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AFA452A7-3C40-4ADE-97B8-B519BAE48997}" xr6:coauthVersionLast="47" xr6:coauthVersionMax="47" xr10:uidLastSave="{00000000-0000-0000-0000-000000000000}"/>
  <bookViews>
    <workbookView xWindow="2175" yWindow="915" windowWidth="22905" windowHeight="13335" xr2:uid="{00000000-000D-0000-FFFF-FFFF00000000}"/>
  </bookViews>
  <sheets>
    <sheet name="Cover" sheetId="1" r:id="rId1"/>
    <sheet name="Incident" sheetId="2" r:id="rId2"/>
    <sheet name="Shooter" sheetId="3" r:id="rId3"/>
    <sheet name="Victim" sheetId="4" r:id="rId4"/>
    <sheet name="Weapon"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111" i="5" l="1"/>
  <c r="B2111" i="5"/>
  <c r="A2111" i="5"/>
  <c r="C2110" i="5"/>
  <c r="B2110" i="5"/>
  <c r="A2110" i="5"/>
  <c r="C2109" i="5"/>
  <c r="B2109" i="5"/>
  <c r="A2109" i="5"/>
  <c r="C2108" i="5"/>
  <c r="B2108" i="5"/>
  <c r="A2108" i="5"/>
  <c r="C2107" i="5"/>
  <c r="B2107" i="5"/>
  <c r="A2107" i="5"/>
  <c r="C2106" i="5"/>
  <c r="B2106" i="5"/>
  <c r="A2106" i="5"/>
  <c r="C2105" i="5"/>
  <c r="B2105" i="5"/>
  <c r="A2105" i="5"/>
  <c r="C2104" i="5"/>
  <c r="B2104" i="5"/>
  <c r="A2104" i="5"/>
  <c r="C2103" i="5"/>
  <c r="B2103" i="5"/>
  <c r="A2103" i="5"/>
  <c r="C2102" i="5"/>
  <c r="B2102" i="5"/>
  <c r="A2102" i="5"/>
  <c r="C2101" i="5"/>
  <c r="B2101" i="5"/>
  <c r="A2101" i="5"/>
  <c r="C2100" i="5"/>
  <c r="B2100" i="5"/>
  <c r="A2100" i="5"/>
  <c r="C2099" i="5"/>
  <c r="B2099" i="5"/>
  <c r="A2099" i="5"/>
  <c r="B2098" i="5"/>
  <c r="A2098" i="5"/>
  <c r="C2097" i="5"/>
  <c r="B2097" i="5"/>
  <c r="A2097" i="5"/>
  <c r="C2096" i="5"/>
  <c r="B2096" i="5"/>
  <c r="A2096" i="5"/>
  <c r="C2095" i="5"/>
  <c r="B2095" i="5"/>
  <c r="A2095" i="5"/>
  <c r="C2094" i="5"/>
  <c r="B2094" i="5"/>
  <c r="A2094" i="5"/>
  <c r="C2093" i="5"/>
  <c r="B2093" i="5"/>
  <c r="A2093" i="5"/>
  <c r="C2092" i="5"/>
  <c r="B2092" i="5"/>
  <c r="A2092" i="5"/>
  <c r="C2091" i="5"/>
  <c r="B2091" i="5"/>
  <c r="A2091" i="5"/>
  <c r="C2090" i="5"/>
  <c r="B2090" i="5"/>
  <c r="A2090" i="5"/>
  <c r="C2089" i="5"/>
  <c r="B2089" i="5"/>
  <c r="A2089" i="5"/>
  <c r="C2088" i="5"/>
  <c r="B2088" i="5"/>
  <c r="A2088" i="5"/>
  <c r="C2087" i="5"/>
  <c r="B2087" i="5"/>
  <c r="A2087" i="5"/>
  <c r="C2086" i="5"/>
  <c r="B2086" i="5"/>
  <c r="A2086" i="5"/>
  <c r="C2085" i="5"/>
  <c r="B2085" i="5"/>
  <c r="A2085" i="5"/>
  <c r="C2084" i="5"/>
  <c r="B2084" i="5"/>
  <c r="A2084" i="5"/>
  <c r="C2083" i="5"/>
  <c r="B2083" i="5"/>
  <c r="A2083" i="5"/>
  <c r="C2082" i="5"/>
  <c r="B2082" i="5"/>
  <c r="A2082" i="5"/>
  <c r="C2081" i="5"/>
  <c r="B2081" i="5"/>
  <c r="A2081" i="5"/>
  <c r="B2080" i="5"/>
  <c r="A2080" i="5"/>
  <c r="C2079" i="5"/>
  <c r="B2079" i="5"/>
  <c r="A2079" i="5"/>
  <c r="C2078" i="5"/>
  <c r="B2078" i="5"/>
  <c r="A2078" i="5"/>
  <c r="C2077" i="5"/>
  <c r="B2077" i="5"/>
  <c r="A2077" i="5"/>
  <c r="C2076" i="5"/>
  <c r="B2076" i="5"/>
  <c r="A2076" i="5"/>
  <c r="C2075" i="5"/>
  <c r="B2075" i="5"/>
  <c r="A2075" i="5"/>
  <c r="C2074" i="5"/>
  <c r="B2074" i="5"/>
  <c r="A2074" i="5"/>
  <c r="C2073" i="5"/>
  <c r="B2073" i="5"/>
  <c r="A2073" i="5"/>
  <c r="C2072" i="5"/>
  <c r="B2072" i="5"/>
  <c r="A2072" i="5"/>
  <c r="C2071" i="5"/>
  <c r="B2071" i="5"/>
  <c r="A2071" i="5"/>
  <c r="C2070" i="5"/>
  <c r="B2070" i="5"/>
  <c r="A2070" i="5"/>
  <c r="C2069" i="5"/>
  <c r="B2069" i="5"/>
  <c r="A2069" i="5"/>
  <c r="C2068" i="5"/>
  <c r="B2068" i="5"/>
  <c r="A2068" i="5"/>
  <c r="C2067" i="5"/>
  <c r="B2067" i="5"/>
  <c r="A2067" i="5"/>
  <c r="C2066" i="5"/>
  <c r="B2066" i="5"/>
  <c r="A2066" i="5"/>
  <c r="C2065" i="5"/>
  <c r="B2065" i="5"/>
  <c r="A2065" i="5"/>
  <c r="C2064" i="5"/>
  <c r="B2064" i="5"/>
  <c r="A2064" i="5"/>
  <c r="C2063" i="5"/>
  <c r="B2063" i="5"/>
  <c r="A2063" i="5"/>
  <c r="B2062" i="5"/>
  <c r="A2062" i="5"/>
  <c r="C2061" i="5"/>
  <c r="B2061" i="5"/>
  <c r="A2061" i="5"/>
  <c r="C2060" i="5"/>
  <c r="B2060" i="5"/>
  <c r="A2060" i="5"/>
  <c r="C2059" i="5"/>
  <c r="B2059" i="5"/>
  <c r="A2059" i="5"/>
  <c r="B2058" i="5"/>
  <c r="A2058" i="5"/>
  <c r="C2057" i="5"/>
  <c r="B2057" i="5"/>
  <c r="A2057" i="5"/>
  <c r="C2056" i="5"/>
  <c r="B2056" i="5"/>
  <c r="A2056" i="5"/>
  <c r="B2055" i="5"/>
  <c r="A2055" i="5"/>
  <c r="B2054" i="5"/>
  <c r="A2054"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C2045" i="5"/>
  <c r="B2045" i="5"/>
  <c r="A2045" i="5"/>
  <c r="C2044" i="5"/>
  <c r="B2044" i="5"/>
  <c r="A2044" i="5"/>
  <c r="B2043" i="5"/>
  <c r="A2043" i="5"/>
  <c r="C2042" i="5"/>
  <c r="B2042" i="5"/>
  <c r="A2042" i="5"/>
  <c r="C2041" i="5"/>
  <c r="B2041" i="5"/>
  <c r="A2041" i="5"/>
  <c r="C2040" i="5"/>
  <c r="B2040" i="5"/>
  <c r="A2040" i="5"/>
  <c r="C2039" i="5"/>
  <c r="B2039" i="5"/>
  <c r="A2039" i="5"/>
  <c r="C2038" i="5"/>
  <c r="B2038" i="5"/>
  <c r="A2038" i="5"/>
  <c r="B2037" i="5"/>
  <c r="A2037" i="5"/>
  <c r="C2036" i="5"/>
  <c r="B2036" i="5"/>
  <c r="A2036" i="5"/>
  <c r="C2035" i="5"/>
  <c r="B2035" i="5"/>
  <c r="A2035" i="5"/>
  <c r="D2034" i="5"/>
  <c r="C2034" i="5"/>
  <c r="B2034" i="5"/>
  <c r="A2034" i="5"/>
  <c r="D2033" i="5"/>
  <c r="C2033" i="5"/>
  <c r="B2033" i="5"/>
  <c r="A2033" i="5"/>
  <c r="B2032" i="5"/>
  <c r="A2032" i="5"/>
  <c r="C2031" i="5"/>
  <c r="B2031" i="5"/>
  <c r="A2031" i="5"/>
  <c r="C2030" i="5"/>
  <c r="B2030" i="5"/>
  <c r="A2030" i="5"/>
  <c r="C2029" i="5"/>
  <c r="B2029" i="5"/>
  <c r="A2029" i="5"/>
  <c r="C2028" i="5"/>
  <c r="B2028" i="5"/>
  <c r="A2028" i="5"/>
  <c r="C2027" i="5"/>
  <c r="B2027" i="5"/>
  <c r="A2027" i="5"/>
  <c r="C2026" i="5"/>
  <c r="B2026" i="5"/>
  <c r="A2026" i="5"/>
  <c r="C2025" i="5"/>
  <c r="B2025" i="5"/>
  <c r="A2025" i="5"/>
  <c r="C2024" i="5"/>
  <c r="B2024" i="5"/>
  <c r="A2024" i="5"/>
  <c r="C2023" i="5"/>
  <c r="B2023" i="5"/>
  <c r="A2023" i="5"/>
  <c r="B2022" i="5"/>
  <c r="A2022" i="5"/>
  <c r="C2021" i="5"/>
  <c r="B2021" i="5"/>
  <c r="A2021" i="5"/>
  <c r="C2020" i="5"/>
  <c r="B2020" i="5"/>
  <c r="A2020" i="5"/>
  <c r="C2019" i="5"/>
  <c r="B2019" i="5"/>
  <c r="A2019" i="5"/>
  <c r="C2018" i="5"/>
  <c r="B2018" i="5"/>
  <c r="A2018" i="5"/>
  <c r="C2017" i="5"/>
  <c r="B2017" i="5"/>
  <c r="A2017" i="5"/>
  <c r="C2016" i="5"/>
  <c r="B2016" i="5"/>
  <c r="A2016" i="5"/>
  <c r="C2015" i="5"/>
  <c r="B2015" i="5"/>
  <c r="A2015" i="5"/>
  <c r="C2014" i="5"/>
  <c r="B2014" i="5"/>
  <c r="A2014" i="5"/>
  <c r="C2013" i="5"/>
  <c r="B2013" i="5"/>
  <c r="A2013" i="5"/>
  <c r="C2012" i="5"/>
  <c r="B2012" i="5"/>
  <c r="A2012" i="5"/>
  <c r="C2011" i="5"/>
  <c r="B2011" i="5"/>
  <c r="A2011" i="5"/>
  <c r="C2010" i="5"/>
  <c r="B2010" i="5"/>
  <c r="A2010" i="5"/>
  <c r="B2009" i="5"/>
  <c r="A2009" i="5"/>
  <c r="C2008" i="5"/>
  <c r="B2008" i="5"/>
  <c r="A2008" i="5"/>
  <c r="C2007" i="5"/>
  <c r="B2007" i="5"/>
  <c r="A2007" i="5"/>
  <c r="C2006" i="5"/>
  <c r="B2006" i="5"/>
  <c r="A2006" i="5"/>
  <c r="C2005" i="5"/>
  <c r="B2005" i="5"/>
  <c r="A2005" i="5"/>
  <c r="C2004" i="5"/>
  <c r="B2004" i="5"/>
  <c r="A2004" i="5"/>
  <c r="C2003" i="5"/>
  <c r="B2003" i="5"/>
  <c r="A2003" i="5"/>
  <c r="C2002" i="5"/>
  <c r="B2002" i="5"/>
  <c r="A2002" i="5"/>
  <c r="B2001" i="5"/>
  <c r="A2001" i="5"/>
  <c r="C2000" i="5"/>
  <c r="B2000" i="5"/>
  <c r="A2000" i="5"/>
  <c r="C1999" i="5"/>
  <c r="B1999" i="5"/>
  <c r="A1999" i="5"/>
  <c r="C1998" i="5"/>
  <c r="B1998" i="5"/>
  <c r="A1998" i="5"/>
  <c r="C1997" i="5"/>
  <c r="B1997" i="5"/>
  <c r="A1997" i="5"/>
  <c r="B1996" i="5"/>
  <c r="A1996" i="5"/>
  <c r="C1995" i="5"/>
  <c r="B1995" i="5"/>
  <c r="A1995" i="5"/>
  <c r="C1994" i="5"/>
  <c r="B1994" i="5"/>
  <c r="A1994" i="5"/>
  <c r="C1993" i="5"/>
  <c r="B1993" i="5"/>
  <c r="A1993" i="5"/>
  <c r="C1992" i="5"/>
  <c r="B1992" i="5"/>
  <c r="A1992" i="5"/>
  <c r="C1991" i="5"/>
  <c r="B1991" i="5"/>
  <c r="A1991" i="5"/>
  <c r="B1990" i="5"/>
  <c r="A1990" i="5"/>
  <c r="C1989" i="5"/>
  <c r="B1989" i="5"/>
  <c r="A1989" i="5"/>
  <c r="C1988" i="5"/>
  <c r="B1988" i="5"/>
  <c r="A1988" i="5"/>
  <c r="C1987" i="5"/>
  <c r="B1987" i="5"/>
  <c r="A1987" i="5"/>
  <c r="C1986" i="5"/>
  <c r="B1986" i="5"/>
  <c r="A1986" i="5"/>
  <c r="C1985" i="5"/>
  <c r="B1985" i="5"/>
  <c r="A1985" i="5"/>
  <c r="C1984" i="5"/>
  <c r="B1984" i="5"/>
  <c r="A1984" i="5"/>
  <c r="B1983" i="5"/>
  <c r="A1983" i="5"/>
  <c r="C1982" i="5"/>
  <c r="B1982" i="5"/>
  <c r="A1982" i="5"/>
  <c r="C1981" i="5"/>
  <c r="B1981" i="5"/>
  <c r="A1981" i="5"/>
  <c r="B1980" i="5"/>
  <c r="A1980" i="5"/>
  <c r="C1979" i="5"/>
  <c r="B1979" i="5"/>
  <c r="A1979" i="5"/>
  <c r="C1978" i="5"/>
  <c r="B1978" i="5"/>
  <c r="A1978" i="5"/>
  <c r="B1977" i="5"/>
  <c r="A1977" i="5"/>
  <c r="C1976" i="5"/>
  <c r="B1976" i="5"/>
  <c r="A1976" i="5"/>
  <c r="C1975" i="5"/>
  <c r="B1975" i="5"/>
  <c r="A1975" i="5"/>
  <c r="C1974" i="5"/>
  <c r="B1974" i="5"/>
  <c r="A1974" i="5"/>
  <c r="C1973" i="5"/>
  <c r="B1973" i="5"/>
  <c r="A1973" i="5"/>
  <c r="C1972" i="5"/>
  <c r="B1972" i="5"/>
  <c r="A1972" i="5"/>
  <c r="C1971" i="5"/>
  <c r="B1971" i="5"/>
  <c r="A1971" i="5"/>
  <c r="C1970" i="5"/>
  <c r="B1970" i="5"/>
  <c r="A1970" i="5"/>
  <c r="C1969" i="5"/>
  <c r="B1969" i="5"/>
  <c r="A1969" i="5"/>
  <c r="C1968" i="5"/>
  <c r="B1968" i="5"/>
  <c r="A1968" i="5"/>
  <c r="C1967" i="5"/>
  <c r="B1967" i="5"/>
  <c r="A1967" i="5"/>
  <c r="C1966" i="5"/>
  <c r="B1966" i="5"/>
  <c r="A1966" i="5"/>
  <c r="C1965" i="5"/>
  <c r="B1965" i="5"/>
  <c r="A1965" i="5"/>
  <c r="C1964" i="5"/>
  <c r="B1964" i="5"/>
  <c r="A1964" i="5"/>
  <c r="C1963" i="5"/>
  <c r="B1963" i="5"/>
  <c r="A1963" i="5"/>
  <c r="C1962" i="5"/>
  <c r="B1962" i="5"/>
  <c r="A1962" i="5"/>
  <c r="C1961" i="5"/>
  <c r="B1961" i="5"/>
  <c r="A1961" i="5"/>
  <c r="C1960" i="5"/>
  <c r="B1960" i="5"/>
  <c r="A1960" i="5"/>
  <c r="D1959" i="5"/>
  <c r="B1959" i="5"/>
  <c r="A1959" i="5"/>
  <c r="C1958" i="5"/>
  <c r="B1958" i="5"/>
  <c r="A1958" i="5"/>
  <c r="C1957" i="5"/>
  <c r="B1957" i="5"/>
  <c r="A1957" i="5"/>
  <c r="C1956" i="5"/>
  <c r="B1956" i="5"/>
  <c r="A1956" i="5"/>
  <c r="C1955" i="5"/>
  <c r="B1955" i="5"/>
  <c r="A1955" i="5"/>
  <c r="C1954" i="5"/>
  <c r="B1954" i="5"/>
  <c r="A1954" i="5"/>
  <c r="C1953" i="5"/>
  <c r="B1953" i="5"/>
  <c r="A1953" i="5"/>
  <c r="C1952" i="5"/>
  <c r="B1952" i="5"/>
  <c r="A1952" i="5"/>
  <c r="C1951" i="5"/>
  <c r="B1951" i="5"/>
  <c r="A1951" i="5"/>
  <c r="C1950" i="5"/>
  <c r="B1950" i="5"/>
  <c r="A1950" i="5"/>
  <c r="C1949" i="5"/>
  <c r="B1949" i="5"/>
  <c r="A1949" i="5"/>
  <c r="C1948" i="5"/>
  <c r="B1948" i="5"/>
  <c r="A1948" i="5"/>
  <c r="C1947" i="5"/>
  <c r="B1947" i="5"/>
  <c r="A1947" i="5"/>
  <c r="C1946" i="5"/>
  <c r="B1946" i="5"/>
  <c r="A1946" i="5"/>
  <c r="C1945" i="5"/>
  <c r="B1945" i="5"/>
  <c r="A1945" i="5"/>
  <c r="C1944" i="5"/>
  <c r="B1944" i="5"/>
  <c r="A1944" i="5"/>
  <c r="C1943" i="5"/>
  <c r="B1943" i="5"/>
  <c r="A1943" i="5"/>
  <c r="C1942" i="5"/>
  <c r="B1942" i="5"/>
  <c r="A1942" i="5"/>
  <c r="C1941" i="5"/>
  <c r="B1941" i="5"/>
  <c r="A1941" i="5"/>
  <c r="C1940" i="5"/>
  <c r="B1940" i="5"/>
  <c r="A1940" i="5"/>
  <c r="C1939" i="5"/>
  <c r="B1939" i="5"/>
  <c r="A1939" i="5"/>
  <c r="C1938" i="5"/>
  <c r="B1938" i="5"/>
  <c r="A1938" i="5"/>
  <c r="C1937" i="5"/>
  <c r="B1937" i="5"/>
  <c r="A1937" i="5"/>
  <c r="C1936" i="5"/>
  <c r="B1936" i="5"/>
  <c r="A1936" i="5"/>
  <c r="C1935" i="5"/>
  <c r="B1935" i="5"/>
  <c r="A1935" i="5"/>
  <c r="C1934" i="5"/>
  <c r="B1934" i="5"/>
  <c r="A1934" i="5"/>
  <c r="C1933" i="5"/>
  <c r="B1933" i="5"/>
  <c r="A1933" i="5"/>
  <c r="C1932" i="5"/>
  <c r="B1932" i="5"/>
  <c r="A1932" i="5"/>
  <c r="C1931" i="5"/>
  <c r="B1931" i="5"/>
  <c r="A1931" i="5"/>
  <c r="C1930" i="5"/>
  <c r="B1930" i="5"/>
  <c r="A1930" i="5"/>
  <c r="C1929" i="5"/>
  <c r="B1929" i="5"/>
  <c r="A1929" i="5"/>
  <c r="C1928" i="5"/>
  <c r="B1928" i="5"/>
  <c r="A1928" i="5"/>
  <c r="C1927" i="5"/>
  <c r="B1927" i="5"/>
  <c r="A1927" i="5"/>
  <c r="C1926"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B1918" i="5"/>
  <c r="A1918" i="5"/>
  <c r="C1917" i="5"/>
  <c r="B1917" i="5"/>
  <c r="A1917" i="5"/>
  <c r="C1916" i="5"/>
  <c r="B1916" i="5"/>
  <c r="A1916" i="5"/>
  <c r="C1915" i="5"/>
  <c r="B1915" i="5"/>
  <c r="A1915" i="5"/>
  <c r="C1914" i="5"/>
  <c r="B1914" i="5"/>
  <c r="A1914" i="5"/>
  <c r="C1913" i="5"/>
  <c r="B1913" i="5"/>
  <c r="A1913" i="5"/>
  <c r="C1912" i="5"/>
  <c r="B1912" i="5"/>
  <c r="A1912" i="5"/>
  <c r="C1911" i="5"/>
  <c r="B1911" i="5"/>
  <c r="A1911" i="5"/>
  <c r="C1910" i="5"/>
  <c r="B1910" i="5"/>
  <c r="A1910" i="5"/>
  <c r="C1909" i="5"/>
  <c r="B1909" i="5"/>
  <c r="A1909" i="5"/>
  <c r="C1908" i="5"/>
  <c r="B1908" i="5"/>
  <c r="A1908" i="5"/>
  <c r="C1907" i="5"/>
  <c r="B1907" i="5"/>
  <c r="A1907" i="5"/>
  <c r="B1906" i="5"/>
  <c r="A1906" i="5"/>
  <c r="C1905" i="5"/>
  <c r="B1905" i="5"/>
  <c r="A1905" i="5"/>
  <c r="C1904" i="5"/>
  <c r="B1904" i="5"/>
  <c r="A1904" i="5"/>
  <c r="C1903" i="5"/>
  <c r="B1903" i="5"/>
  <c r="A1903" i="5"/>
  <c r="C1902" i="5"/>
  <c r="B1902" i="5"/>
  <c r="A1902" i="5"/>
  <c r="C1901" i="5"/>
  <c r="B1901" i="5"/>
  <c r="A1901" i="5"/>
  <c r="C1900" i="5"/>
  <c r="B1900" i="5"/>
  <c r="A1900" i="5"/>
  <c r="C1899" i="5"/>
  <c r="B1899" i="5"/>
  <c r="A1899" i="5"/>
  <c r="C1898" i="5"/>
  <c r="B1898" i="5"/>
  <c r="A1898" i="5"/>
  <c r="B1897" i="5"/>
  <c r="A1897" i="5"/>
  <c r="C1896" i="5"/>
  <c r="B1896" i="5"/>
  <c r="A1896" i="5"/>
  <c r="C1895" i="5"/>
  <c r="B1895" i="5"/>
  <c r="A1895" i="5"/>
  <c r="C1894" i="5"/>
  <c r="B1894" i="5"/>
  <c r="A1894" i="5"/>
  <c r="C1893" i="5"/>
  <c r="B1893" i="5"/>
  <c r="A1893" i="5"/>
  <c r="C1892" i="5"/>
  <c r="B1892" i="5"/>
  <c r="A1892" i="5"/>
  <c r="C1891" i="5"/>
  <c r="B1891" i="5"/>
  <c r="A1891" i="5"/>
  <c r="C1890" i="5"/>
  <c r="B1890" i="5"/>
  <c r="A1890" i="5"/>
  <c r="D1889" i="5"/>
  <c r="C1889" i="5"/>
  <c r="B1889" i="5"/>
  <c r="A1889" i="5"/>
  <c r="D1888" i="5"/>
  <c r="C1888" i="5"/>
  <c r="B1888" i="5"/>
  <c r="A1888" i="5"/>
  <c r="C1887" i="5"/>
  <c r="B1887" i="5"/>
  <c r="A1887" i="5"/>
  <c r="C1886" i="5"/>
  <c r="B1886" i="5"/>
  <c r="A1886" i="5"/>
  <c r="C1885" i="5"/>
  <c r="B1885" i="5"/>
  <c r="A1885" i="5"/>
  <c r="C1884" i="5"/>
  <c r="B1884" i="5"/>
  <c r="A1884" i="5"/>
  <c r="B1883" i="5"/>
  <c r="A1883" i="5"/>
  <c r="C1882" i="5"/>
  <c r="B1882" i="5"/>
  <c r="A1882" i="5"/>
  <c r="B1881" i="5"/>
  <c r="A1881" i="5"/>
  <c r="C1880" i="5"/>
  <c r="B1880" i="5"/>
  <c r="A1880" i="5"/>
  <c r="C1879" i="5"/>
  <c r="B1879" i="5"/>
  <c r="A1879" i="5"/>
  <c r="C1878" i="5"/>
  <c r="B1878" i="5"/>
  <c r="A1878" i="5"/>
  <c r="C1877" i="5"/>
  <c r="B1877" i="5"/>
  <c r="A1877" i="5"/>
  <c r="C1876" i="5"/>
  <c r="B1876" i="5"/>
  <c r="A1876" i="5"/>
  <c r="C1875" i="5"/>
  <c r="B1875" i="5"/>
  <c r="A1875" i="5"/>
  <c r="C1874" i="5"/>
  <c r="B1874" i="5"/>
  <c r="A1874" i="5"/>
  <c r="C1873" i="5"/>
  <c r="B1873" i="5"/>
  <c r="A1873" i="5"/>
  <c r="B1872" i="5"/>
  <c r="A1872" i="5"/>
  <c r="C1871" i="5"/>
  <c r="B1871" i="5"/>
  <c r="A1871" i="5"/>
  <c r="C1870" i="5"/>
  <c r="B1870" i="5"/>
  <c r="A1870" i="5"/>
  <c r="C1869" i="5"/>
  <c r="B1869" i="5"/>
  <c r="A1869" i="5"/>
  <c r="C1868" i="5"/>
  <c r="B1868" i="5"/>
  <c r="A1868" i="5"/>
  <c r="C1867" i="5"/>
  <c r="B1867" i="5"/>
  <c r="A1867" i="5"/>
  <c r="C1866" i="5"/>
  <c r="B1866" i="5"/>
  <c r="A1866" i="5"/>
  <c r="C1865" i="5"/>
  <c r="B1865" i="5"/>
  <c r="A1865" i="5"/>
  <c r="C1864" i="5"/>
  <c r="B1864" i="5"/>
  <c r="A1864" i="5"/>
  <c r="C1863" i="5"/>
  <c r="B1863" i="5"/>
  <c r="A1863" i="5"/>
  <c r="C1862" i="5"/>
  <c r="B1862" i="5"/>
  <c r="A1862" i="5"/>
  <c r="D1861" i="5"/>
  <c r="C1861" i="5"/>
  <c r="B1861" i="5"/>
  <c r="A1861" i="5"/>
  <c r="D1860" i="5"/>
  <c r="C1860" i="5"/>
  <c r="B1860" i="5"/>
  <c r="A1860" i="5"/>
  <c r="D1859" i="5"/>
  <c r="C1859" i="5"/>
  <c r="B1859" i="5"/>
  <c r="A1859" i="5"/>
  <c r="C1858" i="5"/>
  <c r="B1858" i="5"/>
  <c r="A1858" i="5"/>
  <c r="C1857" i="5"/>
  <c r="B1857" i="5"/>
  <c r="A1857" i="5"/>
  <c r="C1856" i="5"/>
  <c r="B1856" i="5"/>
  <c r="A1856" i="5"/>
  <c r="C1855" i="5"/>
  <c r="B1855" i="5"/>
  <c r="A1855" i="5"/>
  <c r="C1854" i="5"/>
  <c r="B1854" i="5"/>
  <c r="A1854" i="5"/>
  <c r="C1853" i="5"/>
  <c r="B1853" i="5"/>
  <c r="A1853" i="5"/>
  <c r="C1852" i="5"/>
  <c r="B1852" i="5"/>
  <c r="A1852" i="5"/>
  <c r="C1851" i="5"/>
  <c r="B1851" i="5"/>
  <c r="A1851" i="5"/>
  <c r="B1850" i="5"/>
  <c r="A1850" i="5"/>
  <c r="C1849" i="5"/>
  <c r="B1849" i="5"/>
  <c r="A1849" i="5"/>
  <c r="C1848" i="5"/>
  <c r="B1848" i="5"/>
  <c r="A1848" i="5"/>
  <c r="C1847" i="5"/>
  <c r="B1847" i="5"/>
  <c r="A1847" i="5"/>
  <c r="C1846" i="5"/>
  <c r="B1846" i="5"/>
  <c r="A1846" i="5"/>
  <c r="C1845" i="5"/>
  <c r="B1845" i="5"/>
  <c r="A1845" i="5"/>
  <c r="C1844" i="5"/>
  <c r="B1844" i="5"/>
  <c r="A1844" i="5"/>
  <c r="C1843" i="5"/>
  <c r="B1843" i="5"/>
  <c r="A1843" i="5"/>
  <c r="C1842" i="5"/>
  <c r="B1842" i="5"/>
  <c r="A1842" i="5"/>
  <c r="C1841" i="5"/>
  <c r="B1841" i="5"/>
  <c r="A1841" i="5"/>
  <c r="C1840" i="5"/>
  <c r="B1840" i="5"/>
  <c r="A1840" i="5"/>
  <c r="C1839" i="5"/>
  <c r="B1839" i="5"/>
  <c r="A1839" i="5"/>
  <c r="C1838" i="5"/>
  <c r="B1838" i="5"/>
  <c r="A1838" i="5"/>
  <c r="C1837" i="5"/>
  <c r="B1837" i="5"/>
  <c r="A1837" i="5"/>
  <c r="D1836" i="5"/>
  <c r="C1836" i="5"/>
  <c r="B1836" i="5"/>
  <c r="A1836" i="5"/>
  <c r="D1835" i="5"/>
  <c r="C1835" i="5"/>
  <c r="B1835" i="5"/>
  <c r="A1835" i="5"/>
  <c r="C1834" i="5"/>
  <c r="B1834" i="5"/>
  <c r="A1834" i="5"/>
  <c r="C1833" i="5"/>
  <c r="B1833" i="5"/>
  <c r="A1833" i="5"/>
  <c r="C1832" i="5"/>
  <c r="B1832" i="5"/>
  <c r="A1832" i="5"/>
  <c r="C1831" i="5"/>
  <c r="B1831" i="5"/>
  <c r="A1831" i="5"/>
  <c r="C1830" i="5"/>
  <c r="B1830" i="5"/>
  <c r="A1830" i="5"/>
  <c r="C1829" i="5"/>
  <c r="B1829" i="5"/>
  <c r="A1829" i="5"/>
  <c r="C1828" i="5"/>
  <c r="B1828" i="5"/>
  <c r="A1828" i="5"/>
  <c r="C1827" i="5"/>
  <c r="B1827" i="5"/>
  <c r="A1827" i="5"/>
  <c r="C1826" i="5"/>
  <c r="B1826" i="5"/>
  <c r="A1826" i="5"/>
  <c r="C1825" i="5"/>
  <c r="B1825" i="5"/>
  <c r="A1825" i="5"/>
  <c r="C1824" i="5"/>
  <c r="B1824" i="5"/>
  <c r="A1824" i="5"/>
  <c r="C1823"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C1815" i="5"/>
  <c r="B1815" i="5"/>
  <c r="A1815" i="5"/>
  <c r="C1814" i="5"/>
  <c r="B1814" i="5"/>
  <c r="A1814" i="5"/>
  <c r="C1813" i="5"/>
  <c r="B1813" i="5"/>
  <c r="A1813" i="5"/>
  <c r="C1812" i="5"/>
  <c r="B1812" i="5"/>
  <c r="A1812" i="5"/>
  <c r="C1811" i="5"/>
  <c r="B1811" i="5"/>
  <c r="A1811" i="5"/>
  <c r="C1810" i="5"/>
  <c r="B1810" i="5"/>
  <c r="A1810" i="5"/>
  <c r="C1809" i="5"/>
  <c r="B1809" i="5"/>
  <c r="A1809" i="5"/>
  <c r="C1808" i="5"/>
  <c r="B1808" i="5"/>
  <c r="A1808" i="5"/>
  <c r="C1807" i="5"/>
  <c r="B1807" i="5"/>
  <c r="A1807" i="5"/>
  <c r="C1806" i="5"/>
  <c r="B1806" i="5"/>
  <c r="A1806" i="5"/>
  <c r="C1805" i="5"/>
  <c r="B1805" i="5"/>
  <c r="A1805" i="5"/>
  <c r="C1804" i="5"/>
  <c r="B1804" i="5"/>
  <c r="A1804" i="5"/>
  <c r="C1803" i="5"/>
  <c r="B1803" i="5"/>
  <c r="A1803" i="5"/>
  <c r="B1802" i="5"/>
  <c r="A1802" i="5"/>
  <c r="C1801" i="5"/>
  <c r="B1801" i="5"/>
  <c r="A1801" i="5"/>
  <c r="B1800" i="5"/>
  <c r="A1800" i="5"/>
  <c r="C1799" i="5"/>
  <c r="B1799" i="5"/>
  <c r="A1799" i="5"/>
  <c r="C1798" i="5"/>
  <c r="B1798" i="5"/>
  <c r="A1798" i="5"/>
  <c r="C1797" i="5"/>
  <c r="B1797" i="5"/>
  <c r="A1797" i="5"/>
  <c r="C1796" i="5"/>
  <c r="B1796" i="5"/>
  <c r="A1796" i="5"/>
  <c r="B1795" i="5"/>
  <c r="A1795" i="5"/>
  <c r="C1794" i="5"/>
  <c r="B1794" i="5"/>
  <c r="A1794" i="5"/>
  <c r="C1793" i="5"/>
  <c r="B1793" i="5"/>
  <c r="A1793" i="5"/>
  <c r="C1792" i="5"/>
  <c r="B1792" i="5"/>
  <c r="A1792" i="5"/>
  <c r="C1791" i="5"/>
  <c r="B1791" i="5"/>
  <c r="A1791" i="5"/>
  <c r="C1790" i="5"/>
  <c r="B1790" i="5"/>
  <c r="A1790" i="5"/>
  <c r="C1789" i="5"/>
  <c r="B1789" i="5"/>
  <c r="A1789" i="5"/>
  <c r="C1788" i="5"/>
  <c r="B1788" i="5"/>
  <c r="A1788" i="5"/>
  <c r="C1787" i="5"/>
  <c r="B1787" i="5"/>
  <c r="A1787" i="5"/>
  <c r="C1786" i="5"/>
  <c r="B1786" i="5"/>
  <c r="A1786" i="5"/>
  <c r="C1785" i="5"/>
  <c r="B1785" i="5"/>
  <c r="A1785" i="5"/>
  <c r="C1784" i="5"/>
  <c r="B1784" i="5"/>
  <c r="A1784" i="5"/>
  <c r="C1783" i="5"/>
  <c r="B1783" i="5"/>
  <c r="A1783" i="5"/>
  <c r="C1782" i="5"/>
  <c r="B1782" i="5"/>
  <c r="A1782" i="5"/>
  <c r="C1781" i="5"/>
  <c r="B1781" i="5"/>
  <c r="A1781" i="5"/>
  <c r="C1780" i="5"/>
  <c r="B1780" i="5"/>
  <c r="A1780" i="5"/>
  <c r="B1779" i="5"/>
  <c r="A1779" i="5"/>
  <c r="C1778" i="5"/>
  <c r="B1778" i="5"/>
  <c r="A1778" i="5"/>
  <c r="C1777" i="5"/>
  <c r="B1777" i="5"/>
  <c r="A1777" i="5"/>
  <c r="C1776" i="5"/>
  <c r="B1776" i="5"/>
  <c r="A1776" i="5"/>
  <c r="C1775" i="5"/>
  <c r="B1775" i="5"/>
  <c r="A1775" i="5"/>
  <c r="C1774" i="5"/>
  <c r="B1774" i="5"/>
  <c r="A1774" i="5"/>
  <c r="B1773" i="5"/>
  <c r="A1773" i="5"/>
  <c r="C1772" i="5"/>
  <c r="B1772" i="5"/>
  <c r="A1772" i="5"/>
  <c r="D1771" i="5"/>
  <c r="C1771" i="5"/>
  <c r="B1771" i="5"/>
  <c r="A1771" i="5"/>
  <c r="D1770" i="5"/>
  <c r="C1770" i="5"/>
  <c r="B1770" i="5"/>
  <c r="A1770" i="5"/>
  <c r="C1769" i="5"/>
  <c r="B1769" i="5"/>
  <c r="A1769" i="5"/>
  <c r="B1768" i="5"/>
  <c r="A1768" i="5"/>
  <c r="B1767" i="5"/>
  <c r="A1767" i="5"/>
  <c r="C1766" i="5"/>
  <c r="B1766" i="5"/>
  <c r="A1766" i="5"/>
  <c r="C1765" i="5"/>
  <c r="B1765" i="5"/>
  <c r="A1765" i="5"/>
  <c r="C1764" i="5"/>
  <c r="B1764" i="5"/>
  <c r="A1764" i="5"/>
  <c r="C1763" i="5"/>
  <c r="B1763" i="5"/>
  <c r="A1763" i="5"/>
  <c r="C1762" i="5"/>
  <c r="B1762" i="5"/>
  <c r="A1762" i="5"/>
  <c r="C1761" i="5"/>
  <c r="B1761" i="5"/>
  <c r="A1761" i="5"/>
  <c r="B1760" i="5"/>
  <c r="A1760" i="5"/>
  <c r="C1759" i="5"/>
  <c r="B1759" i="5"/>
  <c r="A1759" i="5"/>
  <c r="C1758" i="5"/>
  <c r="B1758" i="5"/>
  <c r="A1758" i="5"/>
  <c r="C1757" i="5"/>
  <c r="B1757" i="5"/>
  <c r="A1757" i="5"/>
  <c r="C1756" i="5"/>
  <c r="B1756" i="5"/>
  <c r="A1756" i="5"/>
  <c r="C1755" i="5"/>
  <c r="B1755" i="5"/>
  <c r="A1755" i="5"/>
  <c r="C1754" i="5"/>
  <c r="B1754" i="5"/>
  <c r="A1754" i="5"/>
  <c r="C1753" i="5"/>
  <c r="B1753" i="5"/>
  <c r="A1753" i="5"/>
  <c r="C1752" i="5"/>
  <c r="B1752" i="5"/>
  <c r="A1752" i="5"/>
  <c r="C1751" i="5"/>
  <c r="B1751" i="5"/>
  <c r="A1751" i="5"/>
  <c r="C1750" i="5"/>
  <c r="B1750" i="5"/>
  <c r="A1750" i="5"/>
  <c r="C1749" i="5"/>
  <c r="B1749" i="5"/>
  <c r="A1749" i="5"/>
  <c r="C1748" i="5"/>
  <c r="B1748" i="5"/>
  <c r="A1748" i="5"/>
  <c r="C1747" i="5"/>
  <c r="B1747" i="5"/>
  <c r="A1747" i="5"/>
  <c r="C1746" i="5"/>
  <c r="B1746" i="5"/>
  <c r="A1746" i="5"/>
  <c r="B1745" i="5"/>
  <c r="A1745" i="5"/>
  <c r="C1744" i="5"/>
  <c r="B1744" i="5"/>
  <c r="A1744" i="5"/>
  <c r="C1743" i="5"/>
  <c r="B1743" i="5"/>
  <c r="A1743" i="5"/>
  <c r="C1742" i="5"/>
  <c r="B1742" i="5"/>
  <c r="A1742" i="5"/>
  <c r="C1741" i="5"/>
  <c r="B1741" i="5"/>
  <c r="A1741" i="5"/>
  <c r="C1740" i="5"/>
  <c r="B1740" i="5"/>
  <c r="A1740" i="5"/>
  <c r="C1739" i="5"/>
  <c r="B1739" i="5"/>
  <c r="A1739" i="5"/>
  <c r="C1738" i="5"/>
  <c r="B1738" i="5"/>
  <c r="A1738" i="5"/>
  <c r="C1737" i="5"/>
  <c r="B1737" i="5"/>
  <c r="A1737" i="5"/>
  <c r="C1736" i="5"/>
  <c r="B1736" i="5"/>
  <c r="A1736" i="5"/>
  <c r="D1735" i="5"/>
  <c r="C1735" i="5"/>
  <c r="B1735" i="5"/>
  <c r="A1735" i="5"/>
  <c r="D1734" i="5"/>
  <c r="C1734" i="5"/>
  <c r="B1734" i="5"/>
  <c r="A1734" i="5"/>
  <c r="C1733" i="5"/>
  <c r="B1733" i="5"/>
  <c r="A1733" i="5"/>
  <c r="C1732" i="5"/>
  <c r="B1732" i="5"/>
  <c r="A1732" i="5"/>
  <c r="C1731" i="5"/>
  <c r="B1731" i="5"/>
  <c r="A1731" i="5"/>
  <c r="C1730" i="5"/>
  <c r="B1730" i="5"/>
  <c r="A1730" i="5"/>
  <c r="C1729" i="5"/>
  <c r="B1729" i="5"/>
  <c r="A1729" i="5"/>
  <c r="B1728" i="5"/>
  <c r="A1728" i="5"/>
  <c r="C1727" i="5"/>
  <c r="B1727" i="5"/>
  <c r="A1727" i="5"/>
  <c r="C1726" i="5"/>
  <c r="B1726" i="5"/>
  <c r="A1726" i="5"/>
  <c r="D1725" i="5"/>
  <c r="C1725" i="5"/>
  <c r="B1725" i="5"/>
  <c r="A1725" i="5"/>
  <c r="D1724" i="5"/>
  <c r="C1724" i="5"/>
  <c r="B1724" i="5"/>
  <c r="A1724" i="5"/>
  <c r="C1723" i="5"/>
  <c r="B1723" i="5"/>
  <c r="A1723" i="5"/>
  <c r="C1722" i="5"/>
  <c r="B1722" i="5"/>
  <c r="A1722" i="5"/>
  <c r="C1721" i="5"/>
  <c r="B1721" i="5"/>
  <c r="A1721" i="5"/>
  <c r="C1720" i="5"/>
  <c r="B1720" i="5"/>
  <c r="A1720" i="5"/>
  <c r="B1719" i="5"/>
  <c r="A1719" i="5"/>
  <c r="C1718" i="5"/>
  <c r="B1718" i="5"/>
  <c r="A1718" i="5"/>
  <c r="C1717" i="5"/>
  <c r="B1717" i="5"/>
  <c r="A1717" i="5"/>
  <c r="C1716" i="5"/>
  <c r="B1716" i="5"/>
  <c r="A1716" i="5"/>
  <c r="B1715" i="5"/>
  <c r="A1715" i="5"/>
  <c r="C1714" i="5"/>
  <c r="B1714" i="5"/>
  <c r="A1714" i="5"/>
  <c r="C1713" i="5"/>
  <c r="B1713" i="5"/>
  <c r="A1713" i="5"/>
  <c r="C1712" i="5"/>
  <c r="B1712" i="5"/>
  <c r="A1712" i="5"/>
  <c r="C1711" i="5"/>
  <c r="B1711" i="5"/>
  <c r="A1711" i="5"/>
  <c r="B1710" i="5"/>
  <c r="A1710" i="5"/>
  <c r="C1709" i="5"/>
  <c r="B1709" i="5"/>
  <c r="A1709" i="5"/>
  <c r="C1708" i="5"/>
  <c r="B1708" i="5"/>
  <c r="A1708" i="5"/>
  <c r="C1707" i="5"/>
  <c r="B1707" i="5"/>
  <c r="A1707" i="5"/>
  <c r="C1706" i="5"/>
  <c r="B1706" i="5"/>
  <c r="A1706" i="5"/>
  <c r="C1705" i="5"/>
  <c r="B1705" i="5"/>
  <c r="A1705" i="5"/>
  <c r="C1704" i="5"/>
  <c r="B1704" i="5"/>
  <c r="A1704" i="5"/>
  <c r="C1703" i="5"/>
  <c r="B1703" i="5"/>
  <c r="A1703" i="5"/>
  <c r="C1702" i="5"/>
  <c r="B1702" i="5"/>
  <c r="A1702" i="5"/>
  <c r="C1701" i="5"/>
  <c r="B1701" i="5"/>
  <c r="A1701" i="5"/>
  <c r="C1700" i="5"/>
  <c r="B1700" i="5"/>
  <c r="A1700" i="5"/>
  <c r="C1699" i="5"/>
  <c r="B1699" i="5"/>
  <c r="A1699" i="5"/>
  <c r="C1698" i="5"/>
  <c r="B1698" i="5"/>
  <c r="A1698" i="5"/>
  <c r="D1697" i="5"/>
  <c r="C1697" i="5"/>
  <c r="B1697" i="5"/>
  <c r="A1697" i="5"/>
  <c r="B1696" i="5"/>
  <c r="A1696" i="5"/>
  <c r="C1695" i="5"/>
  <c r="B1695" i="5"/>
  <c r="A1695" i="5"/>
  <c r="C1694" i="5"/>
  <c r="B1694" i="5"/>
  <c r="A1694" i="5"/>
  <c r="C1693" i="5"/>
  <c r="B1693" i="5"/>
  <c r="A1693" i="5"/>
  <c r="C1692" i="5"/>
  <c r="B1692" i="5"/>
  <c r="A1692" i="5"/>
  <c r="B1691" i="5"/>
  <c r="A1691" i="5"/>
  <c r="B1690" i="5"/>
  <c r="A1690" i="5"/>
  <c r="C1689" i="5"/>
  <c r="B1689" i="5"/>
  <c r="A1689" i="5"/>
  <c r="B1688" i="5"/>
  <c r="A1688" i="5"/>
  <c r="C1687" i="5"/>
  <c r="B1687" i="5"/>
  <c r="A1687" i="5"/>
  <c r="C1686" i="5"/>
  <c r="B1686" i="5"/>
  <c r="A1686" i="5"/>
  <c r="C1685" i="5"/>
  <c r="B1685" i="5"/>
  <c r="A1685" i="5"/>
  <c r="C1684" i="5"/>
  <c r="B1684" i="5"/>
  <c r="A1684" i="5"/>
  <c r="C1683" i="5"/>
  <c r="B1683" i="5"/>
  <c r="A1683" i="5"/>
  <c r="C1682" i="5"/>
  <c r="B1682" i="5"/>
  <c r="A1682" i="5"/>
  <c r="C1681" i="5"/>
  <c r="B1681" i="5"/>
  <c r="A1681" i="5"/>
  <c r="C1680" i="5"/>
  <c r="B1680" i="5"/>
  <c r="A1680" i="5"/>
  <c r="C1679" i="5"/>
  <c r="B1679" i="5"/>
  <c r="A1679" i="5"/>
  <c r="C1678" i="5"/>
  <c r="B1678" i="5"/>
  <c r="A1678" i="5"/>
  <c r="C1677" i="5"/>
  <c r="B1677" i="5"/>
  <c r="A1677" i="5"/>
  <c r="C1676" i="5"/>
  <c r="B1676" i="5"/>
  <c r="A1676" i="5"/>
  <c r="C1675" i="5"/>
  <c r="B1675" i="5"/>
  <c r="A1675" i="5"/>
  <c r="C1674" i="5"/>
  <c r="B1674" i="5"/>
  <c r="A1674" i="5"/>
  <c r="C1673" i="5"/>
  <c r="B1673" i="5"/>
  <c r="A1673" i="5"/>
  <c r="C1672" i="5"/>
  <c r="B1672" i="5"/>
  <c r="A1672" i="5"/>
  <c r="C1671" i="5"/>
  <c r="B1671" i="5"/>
  <c r="A1671" i="5"/>
  <c r="C1670" i="5"/>
  <c r="B1670" i="5"/>
  <c r="A1670" i="5"/>
  <c r="C1669" i="5"/>
  <c r="B1669" i="5"/>
  <c r="A1669" i="5"/>
  <c r="C1668" i="5"/>
  <c r="B1668" i="5"/>
  <c r="A1668" i="5"/>
  <c r="C1667" i="5"/>
  <c r="B1667" i="5"/>
  <c r="A1667" i="5"/>
  <c r="C1666" i="5"/>
  <c r="B1666" i="5"/>
  <c r="A1666" i="5"/>
  <c r="C1665" i="5"/>
  <c r="B1665" i="5"/>
  <c r="A1665" i="5"/>
  <c r="C1664" i="5"/>
  <c r="B1664" i="5"/>
  <c r="A1664" i="5"/>
  <c r="B1663" i="5"/>
  <c r="A1663" i="5"/>
  <c r="C1662" i="5"/>
  <c r="B1662" i="5"/>
  <c r="A1662" i="5"/>
  <c r="C1661" i="5"/>
  <c r="B1661" i="5"/>
  <c r="A1661" i="5"/>
  <c r="B1660" i="5"/>
  <c r="A1660" i="5"/>
  <c r="C1659" i="5"/>
  <c r="B1659" i="5"/>
  <c r="A1659" i="5"/>
  <c r="C1658" i="5"/>
  <c r="B1658" i="5"/>
  <c r="A1658" i="5"/>
  <c r="C1657" i="5"/>
  <c r="B1657" i="5"/>
  <c r="A1657" i="5"/>
  <c r="C1656" i="5"/>
  <c r="B1656" i="5"/>
  <c r="A1656" i="5"/>
  <c r="C1655" i="5"/>
  <c r="B1655" i="5"/>
  <c r="A1655" i="5"/>
  <c r="B1654" i="5"/>
  <c r="A1654" i="5"/>
  <c r="D1653" i="5"/>
  <c r="C1653" i="5"/>
  <c r="B1653" i="5"/>
  <c r="A1653" i="5"/>
  <c r="D1652" i="5"/>
  <c r="C1652" i="5"/>
  <c r="B1652" i="5"/>
  <c r="A1652" i="5"/>
  <c r="C1651" i="5"/>
  <c r="B1651" i="5"/>
  <c r="A1651" i="5"/>
  <c r="C1650" i="5"/>
  <c r="B1650" i="5"/>
  <c r="A1650" i="5"/>
  <c r="B1649" i="5"/>
  <c r="A1649" i="5"/>
  <c r="B1648" i="5"/>
  <c r="A1648" i="5"/>
  <c r="C1647" i="5"/>
  <c r="B1647" i="5"/>
  <c r="A1647" i="5"/>
  <c r="C1646" i="5"/>
  <c r="B1646" i="5"/>
  <c r="A1646" i="5"/>
  <c r="C1645" i="5"/>
  <c r="B1645" i="5"/>
  <c r="A1645" i="5"/>
  <c r="B1644" i="5"/>
  <c r="A1644" i="5"/>
  <c r="C1643" i="5"/>
  <c r="B1643" i="5"/>
  <c r="A1643" i="5"/>
  <c r="C1642" i="5"/>
  <c r="B1642" i="5"/>
  <c r="A1642" i="5"/>
  <c r="C1641" i="5"/>
  <c r="B1641" i="5"/>
  <c r="A1641" i="5"/>
  <c r="C1640" i="5"/>
  <c r="B1640" i="5"/>
  <c r="A1640" i="5"/>
  <c r="B1639" i="5"/>
  <c r="A1639" i="5"/>
  <c r="C1638" i="5"/>
  <c r="B1638" i="5"/>
  <c r="A1638" i="5"/>
  <c r="C1637" i="5"/>
  <c r="B1637" i="5"/>
  <c r="A1637" i="5"/>
  <c r="C1636" i="5"/>
  <c r="B1636" i="5"/>
  <c r="A1636" i="5"/>
  <c r="C1635" i="5"/>
  <c r="B1635" i="5"/>
  <c r="A1635" i="5"/>
  <c r="C1634" i="5"/>
  <c r="B1634" i="5"/>
  <c r="A1634" i="5"/>
  <c r="C1633" i="5"/>
  <c r="B1633" i="5"/>
  <c r="A1633" i="5"/>
  <c r="C1632" i="5"/>
  <c r="B1632" i="5"/>
  <c r="A1632" i="5"/>
  <c r="C1631" i="5"/>
  <c r="B1631" i="5"/>
  <c r="A1631" i="5"/>
  <c r="C1630" i="5"/>
  <c r="B1630" i="5"/>
  <c r="A1630" i="5"/>
  <c r="B1629" i="5"/>
  <c r="A1629" i="5"/>
  <c r="B1628" i="5"/>
  <c r="A1628" i="5"/>
  <c r="C1627" i="5"/>
  <c r="B1627" i="5"/>
  <c r="A1627" i="5"/>
  <c r="C1626" i="5"/>
  <c r="B1626" i="5"/>
  <c r="A1626" i="5"/>
  <c r="C1625" i="5"/>
  <c r="B1625" i="5"/>
  <c r="A1625" i="5"/>
  <c r="C1624" i="5"/>
  <c r="B1624" i="5"/>
  <c r="A1624" i="5"/>
  <c r="B1623" i="5"/>
  <c r="A1623" i="5"/>
  <c r="C1622" i="5"/>
  <c r="B1622" i="5"/>
  <c r="A1622" i="5"/>
  <c r="B1621" i="5"/>
  <c r="A1621" i="5"/>
  <c r="C1620" i="5"/>
  <c r="B1620" i="5"/>
  <c r="A1620" i="5"/>
  <c r="C1619" i="5"/>
  <c r="B1619" i="5"/>
  <c r="A1619" i="5"/>
  <c r="C1618" i="5"/>
  <c r="B1618" i="5"/>
  <c r="A1618" i="5"/>
  <c r="C1617" i="5"/>
  <c r="B1617" i="5"/>
  <c r="A1617" i="5"/>
  <c r="B1616" i="5"/>
  <c r="A1616" i="5"/>
  <c r="C1615" i="5"/>
  <c r="B1615" i="5"/>
  <c r="A1615" i="5"/>
  <c r="C1614" i="5"/>
  <c r="B1614" i="5"/>
  <c r="A1614" i="5"/>
  <c r="C1613" i="5"/>
  <c r="B1613" i="5"/>
  <c r="A1613" i="5"/>
  <c r="C1612" i="5"/>
  <c r="B1612" i="5"/>
  <c r="A1612" i="5"/>
  <c r="C1611" i="5"/>
  <c r="B1611" i="5"/>
  <c r="A1611" i="5"/>
  <c r="C1610" i="5"/>
  <c r="B1610" i="5"/>
  <c r="A1610" i="5"/>
  <c r="C1609" i="5"/>
  <c r="B1609" i="5"/>
  <c r="A1609" i="5"/>
  <c r="C1608" i="5"/>
  <c r="B1608" i="5"/>
  <c r="A1608" i="5"/>
  <c r="C1607" i="5"/>
  <c r="B1607" i="5"/>
  <c r="A1607" i="5"/>
  <c r="C1606" i="5"/>
  <c r="B1606" i="5"/>
  <c r="A1606" i="5"/>
  <c r="C1605" i="5"/>
  <c r="B1605" i="5"/>
  <c r="A1605" i="5"/>
  <c r="C1604" i="5"/>
  <c r="B1604" i="5"/>
  <c r="A1604" i="5"/>
  <c r="C1603" i="5"/>
  <c r="B1603" i="5"/>
  <c r="A1603" i="5"/>
  <c r="C1602" i="5"/>
  <c r="B1602" i="5"/>
  <c r="A1602" i="5"/>
  <c r="C1601" i="5"/>
  <c r="B1601" i="5"/>
  <c r="A1601" i="5"/>
  <c r="B1600" i="5"/>
  <c r="A1600" i="5"/>
  <c r="B1599" i="5"/>
  <c r="A1599" i="5"/>
  <c r="C1598" i="5"/>
  <c r="B1598" i="5"/>
  <c r="A1598" i="5"/>
  <c r="D1597" i="5"/>
  <c r="C1597" i="5"/>
  <c r="B1597" i="5"/>
  <c r="A1597" i="5"/>
  <c r="C1596" i="5"/>
  <c r="B1596" i="5"/>
  <c r="A1596" i="5"/>
  <c r="C1595" i="5"/>
  <c r="B1595" i="5"/>
  <c r="A1595" i="5"/>
  <c r="C1594" i="5"/>
  <c r="B1594" i="5"/>
  <c r="A1594" i="5"/>
  <c r="C1593" i="5"/>
  <c r="B1593" i="5"/>
  <c r="A1593" i="5"/>
  <c r="C1592" i="5"/>
  <c r="B1592" i="5"/>
  <c r="A1592" i="5"/>
  <c r="B1591" i="5"/>
  <c r="A1591" i="5"/>
  <c r="C1590" i="5"/>
  <c r="B1590" i="5"/>
  <c r="A1590" i="5"/>
  <c r="B1589" i="5"/>
  <c r="A1589" i="5"/>
  <c r="C1588" i="5"/>
  <c r="B1588" i="5"/>
  <c r="A1588" i="5"/>
  <c r="B1587" i="5"/>
  <c r="A1587" i="5"/>
  <c r="B1586" i="5"/>
  <c r="A1586" i="5"/>
  <c r="C1585" i="5"/>
  <c r="B1585" i="5"/>
  <c r="A1585" i="5"/>
  <c r="C1584" i="5"/>
  <c r="B1584" i="5"/>
  <c r="A1584" i="5"/>
  <c r="C1583" i="5"/>
  <c r="B1583" i="5"/>
  <c r="A1583" i="5"/>
  <c r="B1582" i="5"/>
  <c r="A1582" i="5"/>
  <c r="C1581" i="5"/>
  <c r="B1581" i="5"/>
  <c r="A1581" i="5"/>
  <c r="C1580" i="5"/>
  <c r="B1580" i="5"/>
  <c r="A1580" i="5"/>
  <c r="B1579" i="5"/>
  <c r="A1579" i="5"/>
  <c r="C1578" i="5"/>
  <c r="B1578" i="5"/>
  <c r="A1578" i="5"/>
  <c r="C1577" i="5"/>
  <c r="B1577" i="5"/>
  <c r="A1577" i="5"/>
  <c r="C1576" i="5"/>
  <c r="B1576" i="5"/>
  <c r="A1576" i="5"/>
  <c r="B1575" i="5"/>
  <c r="A1575" i="5"/>
  <c r="C1574" i="5"/>
  <c r="B1574" i="5"/>
  <c r="A1574" i="5"/>
  <c r="C1573" i="5"/>
  <c r="B1573" i="5"/>
  <c r="A1573" i="5"/>
  <c r="C1572" i="5"/>
  <c r="B1572" i="5"/>
  <c r="A1572" i="5"/>
  <c r="C1571" i="5"/>
  <c r="B1571" i="5"/>
  <c r="A1571" i="5"/>
  <c r="B1570" i="5"/>
  <c r="A1570" i="5"/>
  <c r="B1569" i="5"/>
  <c r="A1569" i="5"/>
  <c r="C1568" i="5"/>
  <c r="B1568" i="5"/>
  <c r="A1568" i="5"/>
  <c r="C1567" i="5"/>
  <c r="B1567" i="5"/>
  <c r="A1567" i="5"/>
  <c r="C1566" i="5"/>
  <c r="B1566" i="5"/>
  <c r="A1566" i="5"/>
  <c r="C1565" i="5"/>
  <c r="B1565" i="5"/>
  <c r="A1565" i="5"/>
  <c r="C1564" i="5"/>
  <c r="B1564" i="5"/>
  <c r="A1564" i="5"/>
  <c r="B1563" i="5"/>
  <c r="A1563" i="5"/>
  <c r="C1562" i="5"/>
  <c r="B1562" i="5"/>
  <c r="A1562" i="5"/>
  <c r="C1561" i="5"/>
  <c r="B1561" i="5"/>
  <c r="A1561" i="5"/>
  <c r="C1560" i="5"/>
  <c r="B1560" i="5"/>
  <c r="A1560" i="5"/>
  <c r="C1559" i="5"/>
  <c r="B1559" i="5"/>
  <c r="A1559" i="5"/>
  <c r="C1558" i="5"/>
  <c r="B1558" i="5"/>
  <c r="A1558" i="5"/>
  <c r="C1557" i="5"/>
  <c r="B1557" i="5"/>
  <c r="A1557" i="5"/>
  <c r="B1556" i="5"/>
  <c r="A1556" i="5"/>
  <c r="C1555" i="5"/>
  <c r="B1555" i="5"/>
  <c r="A1555" i="5"/>
  <c r="B1554" i="5"/>
  <c r="A1554" i="5"/>
  <c r="C1553" i="5"/>
  <c r="B1553" i="5"/>
  <c r="A1553" i="5"/>
  <c r="B1552" i="5"/>
  <c r="A1552" i="5"/>
  <c r="C1551" i="5"/>
  <c r="B1551" i="5"/>
  <c r="A1551" i="5"/>
  <c r="B1550" i="5"/>
  <c r="A1550" i="5"/>
  <c r="C1549" i="5"/>
  <c r="B1549" i="5"/>
  <c r="A1549" i="5"/>
  <c r="C1548" i="5"/>
  <c r="B1548" i="5"/>
  <c r="A1548" i="5"/>
  <c r="C1547" i="5"/>
  <c r="B1547" i="5"/>
  <c r="A1547" i="5"/>
  <c r="B1546" i="5"/>
  <c r="A1546" i="5"/>
  <c r="B1545" i="5"/>
  <c r="A1545" i="5"/>
  <c r="C1544" i="5"/>
  <c r="B1544" i="5"/>
  <c r="A1544" i="5"/>
  <c r="C1543" i="5"/>
  <c r="B1543" i="5"/>
  <c r="A1543" i="5"/>
  <c r="C1542" i="5"/>
  <c r="B1542" i="5"/>
  <c r="A1542" i="5"/>
  <c r="C1541" i="5"/>
  <c r="B1541" i="5"/>
  <c r="A1541" i="5"/>
  <c r="C1540" i="5"/>
  <c r="B1540" i="5"/>
  <c r="A1540" i="5"/>
  <c r="C1539" i="5"/>
  <c r="B1539" i="5"/>
  <c r="A1539" i="5"/>
  <c r="C1538"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B1524" i="5"/>
  <c r="A1524" i="5"/>
  <c r="C1523" i="5"/>
  <c r="B1523" i="5"/>
  <c r="A1523" i="5"/>
  <c r="C1522" i="5"/>
  <c r="B1522" i="5"/>
  <c r="A1522" i="5"/>
  <c r="B1521" i="5"/>
  <c r="A1521" i="5"/>
  <c r="B1520" i="5"/>
  <c r="A1520" i="5"/>
  <c r="C1519" i="5"/>
  <c r="B1519" i="5"/>
  <c r="A1519" i="5"/>
  <c r="D1518" i="5"/>
  <c r="C1518" i="5"/>
  <c r="B1518" i="5"/>
  <c r="A1518" i="5"/>
  <c r="D1517" i="5"/>
  <c r="C1517" i="5"/>
  <c r="B1517" i="5"/>
  <c r="A1517" i="5"/>
  <c r="D1516" i="5"/>
  <c r="C1516" i="5"/>
  <c r="B1516" i="5"/>
  <c r="A1516" i="5"/>
  <c r="C1515" i="5"/>
  <c r="B1515" i="5"/>
  <c r="A1515" i="5"/>
  <c r="C1514" i="5"/>
  <c r="B1514" i="5"/>
  <c r="A1514" i="5"/>
  <c r="C1513" i="5"/>
  <c r="B1513" i="5"/>
  <c r="A1513" i="5"/>
  <c r="C1512" i="5"/>
  <c r="B1512" i="5"/>
  <c r="A1512" i="5"/>
  <c r="C1511" i="5"/>
  <c r="B1511" i="5"/>
  <c r="A1511" i="5"/>
  <c r="C1510" i="5"/>
  <c r="B1510" i="5"/>
  <c r="A1510" i="5"/>
  <c r="B1509" i="5"/>
  <c r="A1509" i="5"/>
  <c r="C1508" i="5"/>
  <c r="B1508" i="5"/>
  <c r="A1508" i="5"/>
  <c r="C1507" i="5"/>
  <c r="B1507" i="5"/>
  <c r="A1507" i="5"/>
  <c r="B1506" i="5"/>
  <c r="A1506" i="5"/>
  <c r="C1505" i="5"/>
  <c r="B1505" i="5"/>
  <c r="A1505" i="5"/>
  <c r="B1504" i="5"/>
  <c r="A1504" i="5"/>
  <c r="B1503" i="5"/>
  <c r="A1503" i="5"/>
  <c r="B1502" i="5"/>
  <c r="A1502" i="5"/>
  <c r="B1501" i="5"/>
  <c r="A1501" i="5"/>
  <c r="B1500" i="5"/>
  <c r="A1500" i="5"/>
  <c r="C1499" i="5"/>
  <c r="B1499" i="5"/>
  <c r="A1499" i="5"/>
  <c r="C1498" i="5"/>
  <c r="B1498" i="5"/>
  <c r="A1498" i="5"/>
  <c r="C1497" i="5"/>
  <c r="B1497" i="5"/>
  <c r="A1497" i="5"/>
  <c r="C1496" i="5"/>
  <c r="B1496" i="5"/>
  <c r="A1496" i="5"/>
  <c r="C1495" i="5"/>
  <c r="B1495" i="5"/>
  <c r="A1495" i="5"/>
  <c r="C1494" i="5"/>
  <c r="B1494" i="5"/>
  <c r="A1494" i="5"/>
  <c r="C1493" i="5"/>
  <c r="B1493" i="5"/>
  <c r="A1493" i="5"/>
  <c r="C1492" i="5"/>
  <c r="B1492" i="5"/>
  <c r="A1492" i="5"/>
  <c r="C1491" i="5"/>
  <c r="B1491" i="5"/>
  <c r="A1491" i="5"/>
  <c r="C1490" i="5"/>
  <c r="B1490" i="5"/>
  <c r="A1490" i="5"/>
  <c r="B1489" i="5"/>
  <c r="A1489" i="5"/>
  <c r="C1488" i="5"/>
  <c r="B1488" i="5"/>
  <c r="A1488" i="5"/>
  <c r="B1487" i="5"/>
  <c r="A1487" i="5"/>
  <c r="C1486" i="5"/>
  <c r="B1486" i="5"/>
  <c r="A1486" i="5"/>
  <c r="C1485" i="5"/>
  <c r="B1485" i="5"/>
  <c r="A1485" i="5"/>
  <c r="C1484" i="5"/>
  <c r="B1484" i="5"/>
  <c r="A1484" i="5"/>
  <c r="C1483" i="5"/>
  <c r="B1483" i="5"/>
  <c r="A1483" i="5"/>
  <c r="C1482" i="5"/>
  <c r="B1482" i="5"/>
  <c r="A1482" i="5"/>
  <c r="C1481" i="5"/>
  <c r="B1481" i="5"/>
  <c r="A1481" i="5"/>
  <c r="C1480" i="5"/>
  <c r="B1480" i="5"/>
  <c r="A1480" i="5"/>
  <c r="C1479" i="5"/>
  <c r="B1479" i="5"/>
  <c r="A1479" i="5"/>
  <c r="B1478" i="5"/>
  <c r="A1478" i="5"/>
  <c r="C1477" i="5"/>
  <c r="B1477" i="5"/>
  <c r="A1477" i="5"/>
  <c r="C1476" i="5"/>
  <c r="B1476" i="5"/>
  <c r="A1476" i="5"/>
  <c r="C1475" i="5"/>
  <c r="B1475" i="5"/>
  <c r="A1475" i="5"/>
  <c r="D1474" i="5"/>
  <c r="C1474" i="5"/>
  <c r="B1474" i="5"/>
  <c r="A1474" i="5"/>
  <c r="D1473" i="5"/>
  <c r="C1473" i="5"/>
  <c r="B1473" i="5"/>
  <c r="A1473" i="5"/>
  <c r="D1472" i="5"/>
  <c r="C1472" i="5"/>
  <c r="B1472" i="5"/>
  <c r="A1472" i="5"/>
  <c r="C1471" i="5"/>
  <c r="B1471" i="5"/>
  <c r="A1471" i="5"/>
  <c r="C1470" i="5"/>
  <c r="B1470" i="5"/>
  <c r="A1470" i="5"/>
  <c r="C1469" i="5"/>
  <c r="B1469" i="5"/>
  <c r="A1469" i="5"/>
  <c r="C1468" i="5"/>
  <c r="B1468" i="5"/>
  <c r="A1468" i="5"/>
  <c r="C1467" i="5"/>
  <c r="B1467" i="5"/>
  <c r="A1467" i="5"/>
  <c r="C1466" i="5"/>
  <c r="B1466" i="5"/>
  <c r="A1466" i="5"/>
  <c r="C1465" i="5"/>
  <c r="B1465" i="5"/>
  <c r="A1465" i="5"/>
  <c r="C1464" i="5"/>
  <c r="B1464" i="5"/>
  <c r="A1464" i="5"/>
  <c r="C1463" i="5"/>
  <c r="B1463" i="5"/>
  <c r="A1463" i="5"/>
  <c r="B1462" i="5"/>
  <c r="A1462" i="5"/>
  <c r="C1461" i="5"/>
  <c r="B1461" i="5"/>
  <c r="A1461" i="5"/>
  <c r="C1460" i="5"/>
  <c r="B1460" i="5"/>
  <c r="A1460" i="5"/>
  <c r="C1459" i="5"/>
  <c r="B1459" i="5"/>
  <c r="A1459" i="5"/>
  <c r="B1458" i="5"/>
  <c r="A1458" i="5"/>
  <c r="C1457" i="5"/>
  <c r="B1457" i="5"/>
  <c r="A1457" i="5"/>
  <c r="C1456" i="5"/>
  <c r="B1456" i="5"/>
  <c r="A1456" i="5"/>
  <c r="C1455" i="5"/>
  <c r="B1455" i="5"/>
  <c r="A1455" i="5"/>
  <c r="C1454" i="5"/>
  <c r="B1454" i="5"/>
  <c r="A1454" i="5"/>
  <c r="C1453" i="5"/>
  <c r="B1453" i="5"/>
  <c r="A1453" i="5"/>
  <c r="C1452" i="5"/>
  <c r="B1452" i="5"/>
  <c r="A1452" i="5"/>
  <c r="C1451" i="5"/>
  <c r="B1451" i="5"/>
  <c r="A1451" i="5"/>
  <c r="B1450" i="5"/>
  <c r="A1450" i="5"/>
  <c r="C1449" i="5"/>
  <c r="B1449" i="5"/>
  <c r="A1449" i="5"/>
  <c r="C1448" i="5"/>
  <c r="B1448" i="5"/>
  <c r="A1448" i="5"/>
  <c r="B1447" i="5"/>
  <c r="A1447" i="5"/>
  <c r="C1446" i="5"/>
  <c r="B1446" i="5"/>
  <c r="A1446" i="5"/>
  <c r="B1445" i="5"/>
  <c r="A1445" i="5"/>
  <c r="C1444" i="5"/>
  <c r="B1444" i="5"/>
  <c r="A1444" i="5"/>
  <c r="C1443" i="5"/>
  <c r="B1443" i="5"/>
  <c r="A1443" i="5"/>
  <c r="C1442" i="5"/>
  <c r="B1442" i="5"/>
  <c r="A1442" i="5"/>
  <c r="C1441" i="5"/>
  <c r="B1441" i="5"/>
  <c r="A1441" i="5"/>
  <c r="C1440" i="5"/>
  <c r="B1440" i="5"/>
  <c r="A1440" i="5"/>
  <c r="C1439" i="5"/>
  <c r="B1439" i="5"/>
  <c r="A1439" i="5"/>
  <c r="C1438" i="5"/>
  <c r="B1438" i="5"/>
  <c r="A1438" i="5"/>
  <c r="C1437" i="5"/>
  <c r="B1437" i="5"/>
  <c r="A1437" i="5"/>
  <c r="B1436" i="5"/>
  <c r="A1436" i="5"/>
  <c r="C1435" i="5"/>
  <c r="B1435" i="5"/>
  <c r="A1435" i="5"/>
  <c r="C1434" i="5"/>
  <c r="B1434" i="5"/>
  <c r="A1434" i="5"/>
  <c r="D1433" i="5"/>
  <c r="C1433" i="5"/>
  <c r="B1433" i="5"/>
  <c r="A1433" i="5"/>
  <c r="D1432" i="5"/>
  <c r="C1432" i="5"/>
  <c r="B1432" i="5"/>
  <c r="A1432" i="5"/>
  <c r="D1431" i="5"/>
  <c r="C1431" i="5"/>
  <c r="B1431" i="5"/>
  <c r="A1431" i="5"/>
  <c r="D1430" i="5"/>
  <c r="C1430" i="5"/>
  <c r="B1430" i="5"/>
  <c r="A1430" i="5"/>
  <c r="C1429" i="5"/>
  <c r="B1429" i="5"/>
  <c r="A1429" i="5"/>
  <c r="C1428" i="5"/>
  <c r="B1428" i="5"/>
  <c r="A1428" i="5"/>
  <c r="D1427" i="5"/>
  <c r="C1427" i="5"/>
  <c r="B1427" i="5"/>
  <c r="A1427" i="5"/>
  <c r="D1426" i="5"/>
  <c r="C1426" i="5"/>
  <c r="B1426" i="5"/>
  <c r="A1426" i="5"/>
  <c r="B1425" i="5"/>
  <c r="A1425" i="5"/>
  <c r="C1424" i="5"/>
  <c r="B1424" i="5"/>
  <c r="A1424" i="5"/>
  <c r="C1423" i="5"/>
  <c r="B1423" i="5"/>
  <c r="A1423" i="5"/>
  <c r="C1422" i="5"/>
  <c r="B1422" i="5"/>
  <c r="A1422" i="5"/>
  <c r="C1421" i="5"/>
  <c r="B1421" i="5"/>
  <c r="A1421" i="5"/>
  <c r="C1420" i="5"/>
  <c r="B1420" i="5"/>
  <c r="A1420" i="5"/>
  <c r="B1419" i="5"/>
  <c r="A1419" i="5"/>
  <c r="B1418" i="5"/>
  <c r="A1418" i="5"/>
  <c r="C1417" i="5"/>
  <c r="B1417" i="5"/>
  <c r="A1417" i="5"/>
  <c r="C1416" i="5"/>
  <c r="B1416" i="5"/>
  <c r="A1416" i="5"/>
  <c r="C1415" i="5"/>
  <c r="B1415" i="5"/>
  <c r="A1415" i="5"/>
  <c r="C1414" i="5"/>
  <c r="B1414" i="5"/>
  <c r="A1414" i="5"/>
  <c r="C1413" i="5"/>
  <c r="B1413" i="5"/>
  <c r="A1413" i="5"/>
  <c r="C1412" i="5"/>
  <c r="B1412" i="5"/>
  <c r="A1412" i="5"/>
  <c r="C1411" i="5"/>
  <c r="B1411" i="5"/>
  <c r="A1411" i="5"/>
  <c r="C1410" i="5"/>
  <c r="B1410" i="5"/>
  <c r="A1410" i="5"/>
  <c r="B1409" i="5"/>
  <c r="A1409" i="5"/>
  <c r="C1408" i="5"/>
  <c r="B1408" i="5"/>
  <c r="A1408" i="5"/>
  <c r="C1407" i="5"/>
  <c r="B1407" i="5"/>
  <c r="A1407" i="5"/>
  <c r="C1406" i="5"/>
  <c r="B1406" i="5"/>
  <c r="A1406" i="5"/>
  <c r="B1405" i="5"/>
  <c r="A1405" i="5"/>
  <c r="C1404" i="5"/>
  <c r="B1404" i="5"/>
  <c r="A1404" i="5"/>
  <c r="C1403" i="5"/>
  <c r="B1403" i="5"/>
  <c r="A1403" i="5"/>
  <c r="C1402" i="5"/>
  <c r="B1402" i="5"/>
  <c r="A1402" i="5"/>
  <c r="B1401" i="5"/>
  <c r="A1401" i="5"/>
  <c r="C1400" i="5"/>
  <c r="B1400" i="5"/>
  <c r="A1400" i="5"/>
  <c r="C1399" i="5"/>
  <c r="B1399" i="5"/>
  <c r="A1399" i="5"/>
  <c r="C1398" i="5"/>
  <c r="B1398" i="5"/>
  <c r="A1398" i="5"/>
  <c r="B1397" i="5"/>
  <c r="A1397" i="5"/>
  <c r="B1396" i="5"/>
  <c r="A1396" i="5"/>
  <c r="C1395" i="5"/>
  <c r="B1395" i="5"/>
  <c r="A1395" i="5"/>
  <c r="C1394" i="5"/>
  <c r="B1394" i="5"/>
  <c r="A1394" i="5"/>
  <c r="C1393" i="5"/>
  <c r="B1393" i="5"/>
  <c r="A1393" i="5"/>
  <c r="B1392" i="5"/>
  <c r="A1392" i="5"/>
  <c r="C1391" i="5"/>
  <c r="B1391" i="5"/>
  <c r="A1391" i="5"/>
  <c r="C1390" i="5"/>
  <c r="B1390" i="5"/>
  <c r="A1390" i="5"/>
  <c r="C1389" i="5"/>
  <c r="B1389" i="5"/>
  <c r="A1389" i="5"/>
  <c r="B1388" i="5"/>
  <c r="A1388" i="5"/>
  <c r="B1387" i="5"/>
  <c r="A1387" i="5"/>
  <c r="B1386" i="5"/>
  <c r="A1386" i="5"/>
  <c r="C1385" i="5"/>
  <c r="B1385" i="5"/>
  <c r="A1385" i="5"/>
  <c r="C1384" i="5"/>
  <c r="B1384" i="5"/>
  <c r="A1384" i="5"/>
  <c r="C1383" i="5"/>
  <c r="B1383" i="5"/>
  <c r="A1383" i="5"/>
  <c r="B1382" i="5"/>
  <c r="A1382" i="5"/>
  <c r="B1381" i="5"/>
  <c r="A1381" i="5"/>
  <c r="C1380" i="5"/>
  <c r="B1380" i="5"/>
  <c r="A1380" i="5"/>
  <c r="C1379" i="5"/>
  <c r="B1379" i="5"/>
  <c r="A1379" i="5"/>
  <c r="C1378" i="5"/>
  <c r="B1378" i="5"/>
  <c r="A1378" i="5"/>
  <c r="C1377" i="5"/>
  <c r="B1377" i="5"/>
  <c r="A1377" i="5"/>
  <c r="C1376" i="5"/>
  <c r="B1376" i="5"/>
  <c r="A1376" i="5"/>
  <c r="C1375" i="5"/>
  <c r="B1375" i="5"/>
  <c r="A1375" i="5"/>
  <c r="C1374" i="5"/>
  <c r="B1374" i="5"/>
  <c r="A1374" i="5"/>
  <c r="C1373" i="5"/>
  <c r="B1373" i="5"/>
  <c r="A1373" i="5"/>
  <c r="C1372" i="5"/>
  <c r="B1372" i="5"/>
  <c r="A1372" i="5"/>
  <c r="B1371" i="5"/>
  <c r="A1371" i="5"/>
  <c r="C1370" i="5"/>
  <c r="B1370" i="5"/>
  <c r="A1370" i="5"/>
  <c r="C1369" i="5"/>
  <c r="B1369" i="5"/>
  <c r="A1369" i="5"/>
  <c r="C1368" i="5"/>
  <c r="B1368" i="5"/>
  <c r="A1368" i="5"/>
  <c r="C1367" i="5"/>
  <c r="B1367" i="5"/>
  <c r="A1367" i="5"/>
  <c r="C1366" i="5"/>
  <c r="B1366" i="5"/>
  <c r="A1366" i="5"/>
  <c r="C1365" i="5"/>
  <c r="B1365" i="5"/>
  <c r="A1365" i="5"/>
  <c r="C1364" i="5"/>
  <c r="B1364" i="5"/>
  <c r="A1364" i="5"/>
  <c r="C1363" i="5"/>
  <c r="B1363" i="5"/>
  <c r="A1363" i="5"/>
  <c r="C1362" i="5"/>
  <c r="B1362" i="5"/>
  <c r="A1362" i="5"/>
  <c r="C1361" i="5"/>
  <c r="B1361" i="5"/>
  <c r="A1361" i="5"/>
  <c r="B1360" i="5"/>
  <c r="A1360" i="5"/>
  <c r="C1359" i="5"/>
  <c r="B1359" i="5"/>
  <c r="A1359" i="5"/>
  <c r="C1358" i="5"/>
  <c r="B1358" i="5"/>
  <c r="A1358" i="5"/>
  <c r="C1357" i="5"/>
  <c r="B1357" i="5"/>
  <c r="A1357" i="5"/>
  <c r="C1356" i="5"/>
  <c r="B1356" i="5"/>
  <c r="A1356" i="5"/>
  <c r="C1355" i="5"/>
  <c r="B1355" i="5"/>
  <c r="A1355" i="5"/>
  <c r="C1354" i="5"/>
  <c r="B1354" i="5"/>
  <c r="A1354" i="5"/>
  <c r="C1353" i="5"/>
  <c r="B1353" i="5"/>
  <c r="A1353" i="5"/>
  <c r="C1352" i="5"/>
  <c r="B1352" i="5"/>
  <c r="A1352" i="5"/>
  <c r="C1351" i="5"/>
  <c r="B1351" i="5"/>
  <c r="A1351" i="5"/>
  <c r="C1350" i="5"/>
  <c r="B1350" i="5"/>
  <c r="A1350" i="5"/>
  <c r="C1349" i="5"/>
  <c r="B1349" i="5"/>
  <c r="A1349" i="5"/>
  <c r="C1348" i="5"/>
  <c r="B1348" i="5"/>
  <c r="A1348" i="5"/>
  <c r="C1347" i="5"/>
  <c r="B1347" i="5"/>
  <c r="A1347" i="5"/>
  <c r="B1346" i="5"/>
  <c r="A1346" i="5"/>
  <c r="C1345" i="5"/>
  <c r="B1345" i="5"/>
  <c r="A1345" i="5"/>
  <c r="C1344" i="5"/>
  <c r="B1344" i="5"/>
  <c r="A1344" i="5"/>
  <c r="C1343" i="5"/>
  <c r="B1343" i="5"/>
  <c r="A1343" i="5"/>
  <c r="C1342" i="5"/>
  <c r="B1342" i="5"/>
  <c r="A1342" i="5"/>
  <c r="C1341" i="5"/>
  <c r="B1341" i="5"/>
  <c r="A1341" i="5"/>
  <c r="C1340" i="5"/>
  <c r="B1340" i="5"/>
  <c r="A1340" i="5"/>
  <c r="C1339" i="5"/>
  <c r="B1339" i="5"/>
  <c r="A1339" i="5"/>
  <c r="C1338" i="5"/>
  <c r="B1338" i="5"/>
  <c r="A1338" i="5"/>
  <c r="C1337" i="5"/>
  <c r="B1337" i="5"/>
  <c r="A1337" i="5"/>
  <c r="C1336" i="5"/>
  <c r="B1336" i="5"/>
  <c r="A1336" i="5"/>
  <c r="C1335" i="5"/>
  <c r="B1335" i="5"/>
  <c r="A1335" i="5"/>
  <c r="B1334" i="5"/>
  <c r="A1334" i="5"/>
  <c r="C1333" i="5"/>
  <c r="B1333" i="5"/>
  <c r="A1333" i="5"/>
  <c r="C1332" i="5"/>
  <c r="B1332" i="5"/>
  <c r="A1332" i="5"/>
  <c r="B1331" i="5"/>
  <c r="A1331" i="5"/>
  <c r="C1330" i="5"/>
  <c r="B1330" i="5"/>
  <c r="A1330" i="5"/>
  <c r="B1329" i="5"/>
  <c r="A1329" i="5"/>
  <c r="C1328" i="5"/>
  <c r="B1328" i="5"/>
  <c r="A1328" i="5"/>
  <c r="C1327" i="5"/>
  <c r="B1327" i="5"/>
  <c r="A1327" i="5"/>
  <c r="C1326" i="5"/>
  <c r="B1326" i="5"/>
  <c r="A1326" i="5"/>
  <c r="C1325" i="5"/>
  <c r="B1325" i="5"/>
  <c r="A1325" i="5"/>
  <c r="C1324" i="5"/>
  <c r="B1324" i="5"/>
  <c r="A1324" i="5"/>
  <c r="C1323" i="5"/>
  <c r="B1323" i="5"/>
  <c r="A1323" i="5"/>
  <c r="C1322" i="5"/>
  <c r="B1322" i="5"/>
  <c r="A1322" i="5"/>
  <c r="C1321" i="5"/>
  <c r="B1321" i="5"/>
  <c r="A1321" i="5"/>
  <c r="C1320" i="5"/>
  <c r="B1320" i="5"/>
  <c r="A1320" i="5"/>
  <c r="C1319" i="5"/>
  <c r="B1319" i="5"/>
  <c r="A1319" i="5"/>
  <c r="C1318" i="5"/>
  <c r="B1318" i="5"/>
  <c r="A1318" i="5"/>
  <c r="C1317" i="5"/>
  <c r="B1317" i="5"/>
  <c r="A1317" i="5"/>
  <c r="C1316" i="5"/>
  <c r="B1316" i="5"/>
  <c r="A1316" i="5"/>
  <c r="C1315" i="5"/>
  <c r="B1315" i="5"/>
  <c r="A1315" i="5"/>
  <c r="C1314" i="5"/>
  <c r="B1314" i="5"/>
  <c r="A1314" i="5"/>
  <c r="C1313" i="5"/>
  <c r="B1313" i="5"/>
  <c r="A1313" i="5"/>
  <c r="C1312" i="5"/>
  <c r="B1312" i="5"/>
  <c r="A1312" i="5"/>
  <c r="B1311" i="5"/>
  <c r="A1311" i="5"/>
  <c r="C1310" i="5"/>
  <c r="B1310" i="5"/>
  <c r="A1310" i="5"/>
  <c r="C1309" i="5"/>
  <c r="B1309" i="5"/>
  <c r="A1309" i="5"/>
  <c r="C1308" i="5"/>
  <c r="B1308" i="5"/>
  <c r="A1308" i="5"/>
  <c r="C1307" i="5"/>
  <c r="B1307" i="5"/>
  <c r="A1307" i="5"/>
  <c r="C1306" i="5"/>
  <c r="B1306" i="5"/>
  <c r="A1306" i="5"/>
  <c r="C1305" i="5"/>
  <c r="B1305" i="5"/>
  <c r="A1305" i="5"/>
  <c r="C1304" i="5"/>
  <c r="B1304" i="5"/>
  <c r="A1304" i="5"/>
  <c r="C1303" i="5"/>
  <c r="B1303" i="5"/>
  <c r="A1303" i="5"/>
  <c r="C1302" i="5"/>
  <c r="B1302" i="5"/>
  <c r="A1302" i="5"/>
  <c r="B1301" i="5"/>
  <c r="A1301" i="5"/>
  <c r="C1300" i="5"/>
  <c r="B1300" i="5"/>
  <c r="A1300" i="5"/>
  <c r="B1299" i="5"/>
  <c r="A1299" i="5"/>
  <c r="C1298" i="5"/>
  <c r="B1298" i="5"/>
  <c r="A1298" i="5"/>
  <c r="C1297" i="5"/>
  <c r="B1297" i="5"/>
  <c r="A1297" i="5"/>
  <c r="C1296" i="5"/>
  <c r="B1296" i="5"/>
  <c r="A1296" i="5"/>
  <c r="B1295" i="5"/>
  <c r="A1295" i="5"/>
  <c r="C1294" i="5"/>
  <c r="B1294" i="5"/>
  <c r="A1294" i="5"/>
  <c r="C1293" i="5"/>
  <c r="B1293" i="5"/>
  <c r="A1293" i="5"/>
  <c r="C1292" i="5"/>
  <c r="B1292" i="5"/>
  <c r="A1292" i="5"/>
  <c r="C1291" i="5"/>
  <c r="B1291" i="5"/>
  <c r="A1291" i="5"/>
  <c r="C1290" i="5"/>
  <c r="B1290" i="5"/>
  <c r="A1290" i="5"/>
  <c r="C1289" i="5"/>
  <c r="B1289" i="5"/>
  <c r="A1289" i="5"/>
  <c r="C1288" i="5"/>
  <c r="B1288" i="5"/>
  <c r="A1288" i="5"/>
  <c r="C1287" i="5"/>
  <c r="B1287" i="5"/>
  <c r="A1287" i="5"/>
  <c r="B1286" i="5"/>
  <c r="A1286" i="5"/>
  <c r="C1285" i="5"/>
  <c r="B1285" i="5"/>
  <c r="A1285" i="5"/>
  <c r="B1284" i="5"/>
  <c r="A1284" i="5"/>
  <c r="C1283" i="5"/>
  <c r="B1283" i="5"/>
  <c r="A1283" i="5"/>
  <c r="B1282" i="5"/>
  <c r="A1282" i="5"/>
  <c r="C1281" i="5"/>
  <c r="B1281" i="5"/>
  <c r="A1281" i="5"/>
  <c r="C1280" i="5"/>
  <c r="B1280" i="5"/>
  <c r="A1280" i="5"/>
  <c r="C1279" i="5"/>
  <c r="B1279" i="5"/>
  <c r="A1279" i="5"/>
  <c r="B1278" i="5"/>
  <c r="A1278" i="5"/>
  <c r="C1277" i="5"/>
  <c r="B1277" i="5"/>
  <c r="A1277" i="5"/>
  <c r="C1276" i="5"/>
  <c r="B1276" i="5"/>
  <c r="A1276" i="5"/>
  <c r="C1275" i="5"/>
  <c r="B1275" i="5"/>
  <c r="A1275" i="5"/>
  <c r="C1274" i="5"/>
  <c r="B1274" i="5"/>
  <c r="A1274" i="5"/>
  <c r="C1273" i="5"/>
  <c r="B1273" i="5"/>
  <c r="A1273" i="5"/>
  <c r="B1272" i="5"/>
  <c r="A1272" i="5"/>
  <c r="C1271" i="5"/>
  <c r="B1271" i="5"/>
  <c r="A1271" i="5"/>
  <c r="C1270" i="5"/>
  <c r="B1270" i="5"/>
  <c r="A1270" i="5"/>
  <c r="C1269" i="5"/>
  <c r="B1269" i="5"/>
  <c r="A1269" i="5"/>
  <c r="C1268" i="5"/>
  <c r="B1268" i="5"/>
  <c r="A1268" i="5"/>
  <c r="C1267" i="5"/>
  <c r="B1267" i="5"/>
  <c r="A1267" i="5"/>
  <c r="C1266" i="5"/>
  <c r="B1266" i="5"/>
  <c r="A1266" i="5"/>
  <c r="C1265" i="5"/>
  <c r="B1265" i="5"/>
  <c r="A1265" i="5"/>
  <c r="C1264" i="5"/>
  <c r="B1264" i="5"/>
  <c r="A1264" i="5"/>
  <c r="C1263" i="5"/>
  <c r="B1263" i="5"/>
  <c r="A1263" i="5"/>
  <c r="C1262" i="5"/>
  <c r="B1262" i="5"/>
  <c r="A1262" i="5"/>
  <c r="C1261" i="5"/>
  <c r="B1261" i="5"/>
  <c r="A1261" i="5"/>
  <c r="C1260" i="5"/>
  <c r="B1260" i="5"/>
  <c r="A1260" i="5"/>
  <c r="C1259" i="5"/>
  <c r="B1259" i="5"/>
  <c r="A1259" i="5"/>
  <c r="C1258" i="5"/>
  <c r="B1258" i="5"/>
  <c r="A1258" i="5"/>
  <c r="B1257" i="5"/>
  <c r="A1257" i="5"/>
  <c r="C1256" i="5"/>
  <c r="B1256" i="5"/>
  <c r="A1256" i="5"/>
  <c r="C1255" i="5"/>
  <c r="B1255" i="5"/>
  <c r="A1255" i="5"/>
  <c r="C1254" i="5"/>
  <c r="B1254" i="5"/>
  <c r="A1254" i="5"/>
  <c r="C1253" i="5"/>
  <c r="B1253" i="5"/>
  <c r="A1253" i="5"/>
  <c r="C1252" i="5"/>
  <c r="B1252" i="5"/>
  <c r="A1252" i="5"/>
  <c r="C1251" i="5"/>
  <c r="B1251" i="5"/>
  <c r="A1251" i="5"/>
  <c r="C1250" i="5"/>
  <c r="B1250" i="5"/>
  <c r="A1250" i="5"/>
  <c r="C1249" i="5"/>
  <c r="B1249" i="5"/>
  <c r="A1249" i="5"/>
  <c r="B1248" i="5"/>
  <c r="A1248" i="5"/>
  <c r="C1247" i="5"/>
  <c r="B1247" i="5"/>
  <c r="A1247" i="5"/>
  <c r="C1246" i="5"/>
  <c r="B1246" i="5"/>
  <c r="A1246" i="5"/>
  <c r="C1245" i="5"/>
  <c r="B1245" i="5"/>
  <c r="A1245" i="5"/>
  <c r="C1244" i="5"/>
  <c r="B1244" i="5"/>
  <c r="A1244" i="5"/>
  <c r="C1243" i="5"/>
  <c r="B1243" i="5"/>
  <c r="A1243" i="5"/>
  <c r="C1242" i="5"/>
  <c r="B1242" i="5"/>
  <c r="A1242" i="5"/>
  <c r="B1241" i="5"/>
  <c r="A1241" i="5"/>
  <c r="C1240" i="5"/>
  <c r="B1240" i="5"/>
  <c r="A1240" i="5"/>
  <c r="C1239" i="5"/>
  <c r="B1239" i="5"/>
  <c r="A1239" i="5"/>
  <c r="B1238" i="5"/>
  <c r="A1238" i="5"/>
  <c r="C1237" i="5"/>
  <c r="B1237" i="5"/>
  <c r="A1237" i="5"/>
  <c r="B1236" i="5"/>
  <c r="A1236" i="5"/>
  <c r="C1235" i="5"/>
  <c r="B1235" i="5"/>
  <c r="A1235" i="5"/>
  <c r="C1234" i="5"/>
  <c r="B1234" i="5"/>
  <c r="A1234" i="5"/>
  <c r="C1233" i="5"/>
  <c r="B1233" i="5"/>
  <c r="A1233" i="5"/>
  <c r="C1232" i="5"/>
  <c r="B1232" i="5"/>
  <c r="A1232" i="5"/>
  <c r="C1231" i="5"/>
  <c r="B1231" i="5"/>
  <c r="A1231" i="5"/>
  <c r="C1230" i="5"/>
  <c r="B1230" i="5"/>
  <c r="A1230" i="5"/>
  <c r="C1229" i="5"/>
  <c r="B1229" i="5"/>
  <c r="A1229" i="5"/>
  <c r="C1228" i="5"/>
  <c r="B1228" i="5"/>
  <c r="A1228" i="5"/>
  <c r="C1227" i="5"/>
  <c r="B1227" i="5"/>
  <c r="A1227" i="5"/>
  <c r="C1226" i="5"/>
  <c r="B1226" i="5"/>
  <c r="A1226" i="5"/>
  <c r="B1225" i="5"/>
  <c r="A1225" i="5"/>
  <c r="C1224" i="5"/>
  <c r="B1224" i="5"/>
  <c r="A1224" i="5"/>
  <c r="C1223" i="5"/>
  <c r="B1223" i="5"/>
  <c r="A1223" i="5"/>
  <c r="C1222" i="5"/>
  <c r="B1222" i="5"/>
  <c r="A1222" i="5"/>
  <c r="C1221" i="5"/>
  <c r="B1221" i="5"/>
  <c r="A1221" i="5"/>
  <c r="C1220" i="5"/>
  <c r="B1220" i="5"/>
  <c r="A1220" i="5"/>
  <c r="C1219" i="5"/>
  <c r="B1219" i="5"/>
  <c r="A1219" i="5"/>
  <c r="B1218" i="5"/>
  <c r="A1218" i="5"/>
  <c r="C1217" i="5"/>
  <c r="B1217" i="5"/>
  <c r="A1217" i="5"/>
  <c r="C1216" i="5"/>
  <c r="B1216" i="5"/>
  <c r="A1216" i="5"/>
  <c r="C1215" i="5"/>
  <c r="B1215" i="5"/>
  <c r="A1215" i="5"/>
  <c r="C1214" i="5"/>
  <c r="B1214" i="5"/>
  <c r="A1214" i="5"/>
  <c r="C1213" i="5"/>
  <c r="B1213" i="5"/>
  <c r="A1213" i="5"/>
  <c r="C1212" i="5"/>
  <c r="B1212" i="5"/>
  <c r="A1212" i="5"/>
  <c r="C1211" i="5"/>
  <c r="B1211" i="5"/>
  <c r="A1211" i="5"/>
  <c r="C1210" i="5"/>
  <c r="B1210" i="5"/>
  <c r="A1210" i="5"/>
  <c r="C1209" i="5"/>
  <c r="B1209" i="5"/>
  <c r="A1209" i="5"/>
  <c r="C1208" i="5"/>
  <c r="B1208" i="5"/>
  <c r="A1208" i="5"/>
  <c r="B1207" i="5"/>
  <c r="A1207" i="5"/>
  <c r="C1206" i="5"/>
  <c r="B1206" i="5"/>
  <c r="A1206" i="5"/>
  <c r="C1205" i="5"/>
  <c r="B1205" i="5"/>
  <c r="A1205" i="5"/>
  <c r="C1204" i="5"/>
  <c r="B1204" i="5"/>
  <c r="A1204" i="5"/>
  <c r="C1203" i="5"/>
  <c r="B1203" i="5"/>
  <c r="A1203" i="5"/>
  <c r="C1202" i="5"/>
  <c r="B1202" i="5"/>
  <c r="A1202" i="5"/>
  <c r="C1201" i="5"/>
  <c r="B1201" i="5"/>
  <c r="A1201" i="5"/>
  <c r="C1200" i="5"/>
  <c r="B1200" i="5"/>
  <c r="A1200" i="5"/>
  <c r="C1199" i="5"/>
  <c r="B1199" i="5"/>
  <c r="A1199" i="5"/>
  <c r="C1198" i="5"/>
  <c r="B1198" i="5"/>
  <c r="A1198" i="5"/>
  <c r="C1197" i="5"/>
  <c r="B1197" i="5"/>
  <c r="A1197" i="5"/>
  <c r="C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C1179" i="5"/>
  <c r="B1179" i="5"/>
  <c r="A1179" i="5"/>
  <c r="B1178" i="5"/>
  <c r="A1178" i="5"/>
  <c r="C1177"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C1167" i="5"/>
  <c r="B1167" i="5"/>
  <c r="A1167" i="5"/>
  <c r="B1166" i="5"/>
  <c r="A1166" i="5"/>
  <c r="C1165" i="5"/>
  <c r="B1165" i="5"/>
  <c r="A1165" i="5"/>
  <c r="B1164" i="5"/>
  <c r="A1164" i="5"/>
  <c r="C1163" i="5"/>
  <c r="B1163" i="5"/>
  <c r="A1163" i="5"/>
  <c r="C1162" i="5"/>
  <c r="B1162" i="5"/>
  <c r="A1162" i="5"/>
  <c r="C1161" i="5"/>
  <c r="B1161" i="5"/>
  <c r="A1161" i="5"/>
  <c r="C1160" i="5"/>
  <c r="B1160" i="5"/>
  <c r="A1160" i="5"/>
  <c r="C1159" i="5"/>
  <c r="B1159" i="5"/>
  <c r="A1159" i="5"/>
  <c r="C1158" i="5"/>
  <c r="B1158" i="5"/>
  <c r="A1158" i="5"/>
  <c r="C1157" i="5"/>
  <c r="B1157" i="5"/>
  <c r="A1157" i="5"/>
  <c r="C1156" i="5"/>
  <c r="B1156" i="5"/>
  <c r="A1156" i="5"/>
  <c r="C1155" i="5"/>
  <c r="B1155" i="5"/>
  <c r="A1155" i="5"/>
  <c r="C1154" i="5"/>
  <c r="B1154" i="5"/>
  <c r="A1154" i="5"/>
  <c r="C1153" i="5"/>
  <c r="B1153" i="5"/>
  <c r="A1153" i="5"/>
  <c r="B1152" i="5"/>
  <c r="A1152" i="5"/>
  <c r="C1151" i="5"/>
  <c r="B1151" i="5"/>
  <c r="A1151" i="5"/>
  <c r="C1150" i="5"/>
  <c r="B1150" i="5"/>
  <c r="A1150" i="5"/>
  <c r="C1149" i="5"/>
  <c r="B1149" i="5"/>
  <c r="A1149" i="5"/>
  <c r="C1148" i="5"/>
  <c r="B1148" i="5"/>
  <c r="A1148" i="5"/>
  <c r="C1147" i="5"/>
  <c r="B1147" i="5"/>
  <c r="A1147" i="5"/>
  <c r="C1146" i="5"/>
  <c r="B1146" i="5"/>
  <c r="A1146" i="5"/>
  <c r="C1145" i="5"/>
  <c r="B1145" i="5"/>
  <c r="A1145" i="5"/>
  <c r="C1144" i="5"/>
  <c r="B1144" i="5"/>
  <c r="A1144" i="5"/>
  <c r="C1143" i="5"/>
  <c r="B1143" i="5"/>
  <c r="A1143" i="5"/>
  <c r="B1142" i="5"/>
  <c r="A1142" i="5"/>
  <c r="C1141" i="5"/>
  <c r="B1141" i="5"/>
  <c r="A1141" i="5"/>
  <c r="C1140" i="5"/>
  <c r="B1140" i="5"/>
  <c r="A1140" i="5"/>
  <c r="C1139" i="5"/>
  <c r="B1139" i="5"/>
  <c r="A1139" i="5"/>
  <c r="C1138" i="5"/>
  <c r="B1138" i="5"/>
  <c r="A1138" i="5"/>
  <c r="C1137" i="5"/>
  <c r="B1137" i="5"/>
  <c r="A1137" i="5"/>
  <c r="C1136" i="5"/>
  <c r="B1136" i="5"/>
  <c r="A1136" i="5"/>
  <c r="C1135" i="5"/>
  <c r="B1135" i="5"/>
  <c r="A1135" i="5"/>
  <c r="B1134" i="5"/>
  <c r="A1134" i="5"/>
  <c r="C1133" i="5"/>
  <c r="B1133" i="5"/>
  <c r="A1133" i="5"/>
  <c r="C1132" i="5"/>
  <c r="B1132" i="5"/>
  <c r="A1132" i="5"/>
  <c r="B1131" i="5"/>
  <c r="A1131" i="5"/>
  <c r="C1130" i="5"/>
  <c r="B1130" i="5"/>
  <c r="A1130" i="5"/>
  <c r="C1129" i="5"/>
  <c r="B1129" i="5"/>
  <c r="A1129" i="5"/>
  <c r="C1128" i="5"/>
  <c r="B1128" i="5"/>
  <c r="A1128" i="5"/>
  <c r="C1127" i="5"/>
  <c r="B1127" i="5"/>
  <c r="A1127" i="5"/>
  <c r="C1126" i="5"/>
  <c r="B1126" i="5"/>
  <c r="A1126" i="5"/>
  <c r="B1125" i="5"/>
  <c r="A1125" i="5"/>
  <c r="C1124" i="5"/>
  <c r="B1124" i="5"/>
  <c r="A1124" i="5"/>
  <c r="C1123" i="5"/>
  <c r="B1123" i="5"/>
  <c r="A1123" i="5"/>
  <c r="C1122" i="5"/>
  <c r="B1122" i="5"/>
  <c r="A1122" i="5"/>
  <c r="C1121" i="5"/>
  <c r="B1121" i="5"/>
  <c r="A1121" i="5"/>
  <c r="C1120" i="5"/>
  <c r="B1120" i="5"/>
  <c r="A1120" i="5"/>
  <c r="B1119" i="5"/>
  <c r="A1119" i="5"/>
  <c r="C1118" i="5"/>
  <c r="B1118" i="5"/>
  <c r="A1118" i="5"/>
  <c r="C1117" i="5"/>
  <c r="B1117" i="5"/>
  <c r="A1117" i="5"/>
  <c r="C1116" i="5"/>
  <c r="B1116" i="5"/>
  <c r="A1116" i="5"/>
  <c r="C1115" i="5"/>
  <c r="B1115" i="5"/>
  <c r="A1115" i="5"/>
  <c r="C1114" i="5"/>
  <c r="B1114" i="5"/>
  <c r="A1114" i="5"/>
  <c r="B1113" i="5"/>
  <c r="A1113" i="5"/>
  <c r="B1112" i="5"/>
  <c r="A1112" i="5"/>
  <c r="C1111" i="5"/>
  <c r="B1111" i="5"/>
  <c r="A1111" i="5"/>
  <c r="C1110" i="5"/>
  <c r="B1110" i="5"/>
  <c r="A1110" i="5"/>
  <c r="C1109" i="5"/>
  <c r="B1109" i="5"/>
  <c r="A1109" i="5"/>
  <c r="B1108" i="5"/>
  <c r="A1108" i="5"/>
  <c r="C1107" i="5"/>
  <c r="B1107" i="5"/>
  <c r="A1107" i="5"/>
  <c r="C1106" i="5"/>
  <c r="B1106" i="5"/>
  <c r="A1106" i="5"/>
  <c r="C1105" i="5"/>
  <c r="B1105" i="5"/>
  <c r="A1105" i="5"/>
  <c r="C1104" i="5"/>
  <c r="B1104" i="5"/>
  <c r="A1104" i="5"/>
  <c r="C1103" i="5"/>
  <c r="B1103" i="5"/>
  <c r="A1103" i="5"/>
  <c r="C1102" i="5"/>
  <c r="B1102" i="5"/>
  <c r="A1102" i="5"/>
  <c r="C1101" i="5"/>
  <c r="B1101" i="5"/>
  <c r="A1101" i="5"/>
  <c r="B1100" i="5"/>
  <c r="A1100" i="5"/>
  <c r="C1099" i="5"/>
  <c r="B1099" i="5"/>
  <c r="A1099" i="5"/>
  <c r="C1098" i="5"/>
  <c r="B1098" i="5"/>
  <c r="A1098" i="5"/>
  <c r="C1097" i="5"/>
  <c r="B1097" i="5"/>
  <c r="A1097" i="5"/>
  <c r="C1096" i="5"/>
  <c r="B1096" i="5"/>
  <c r="A1096" i="5"/>
  <c r="C1095" i="5"/>
  <c r="B1095" i="5"/>
  <c r="A1095" i="5"/>
  <c r="C1094" i="5"/>
  <c r="B1094" i="5"/>
  <c r="A1094" i="5"/>
  <c r="C1093" i="5"/>
  <c r="B1093" i="5"/>
  <c r="A1093" i="5"/>
  <c r="B1092" i="5"/>
  <c r="A1092" i="5"/>
  <c r="C1091" i="5"/>
  <c r="B1091" i="5"/>
  <c r="A1091" i="5"/>
  <c r="B1090" i="5"/>
  <c r="A1090" i="5"/>
  <c r="C1089" i="5"/>
  <c r="B1089" i="5"/>
  <c r="A1089" i="5"/>
  <c r="C1088" i="5"/>
  <c r="B1088" i="5"/>
  <c r="A1088" i="5"/>
  <c r="B1087" i="5"/>
  <c r="A1087" i="5"/>
  <c r="C1086" i="5"/>
  <c r="B1086" i="5"/>
  <c r="A1086" i="5"/>
  <c r="C1085" i="5"/>
  <c r="B1085" i="5"/>
  <c r="A1085" i="5"/>
  <c r="C1084" i="5"/>
  <c r="B1084" i="5"/>
  <c r="A1084" i="5"/>
  <c r="C1083" i="5"/>
  <c r="B1083" i="5"/>
  <c r="A1083" i="5"/>
  <c r="C1082" i="5"/>
  <c r="B1082" i="5"/>
  <c r="A1082" i="5"/>
  <c r="C1081" i="5"/>
  <c r="B1081" i="5"/>
  <c r="A1081" i="5"/>
  <c r="C1080" i="5"/>
  <c r="B1080" i="5"/>
  <c r="A1080" i="5"/>
  <c r="C1079" i="5"/>
  <c r="B1079" i="5"/>
  <c r="A1079" i="5"/>
  <c r="C1078" i="5"/>
  <c r="B1078" i="5"/>
  <c r="A1078" i="5"/>
  <c r="C1077" i="5"/>
  <c r="B1077" i="5"/>
  <c r="A1077" i="5"/>
  <c r="C1076" i="5"/>
  <c r="B1076" i="5"/>
  <c r="A1076" i="5"/>
  <c r="B1075" i="5"/>
  <c r="A1075" i="5"/>
  <c r="C1074" i="5"/>
  <c r="B1074" i="5"/>
  <c r="A1074" i="5"/>
  <c r="C1073" i="5"/>
  <c r="B1073" i="5"/>
  <c r="A1073" i="5"/>
  <c r="C1072" i="5"/>
  <c r="B1072" i="5"/>
  <c r="A1072" i="5"/>
  <c r="B1071" i="5"/>
  <c r="A1071" i="5"/>
  <c r="C1070" i="5"/>
  <c r="B1070" i="5"/>
  <c r="A1070" i="5"/>
  <c r="C1069" i="5"/>
  <c r="B1069" i="5"/>
  <c r="A1069" i="5"/>
  <c r="C1068" i="5"/>
  <c r="B1068" i="5"/>
  <c r="A1068" i="5"/>
  <c r="C1067" i="5"/>
  <c r="B1067" i="5"/>
  <c r="A1067" i="5"/>
  <c r="C1066" i="5"/>
  <c r="B1066" i="5"/>
  <c r="A1066" i="5"/>
  <c r="C1065" i="5"/>
  <c r="B1065" i="5"/>
  <c r="A1065" i="5"/>
  <c r="C1064" i="5"/>
  <c r="B1064" i="5"/>
  <c r="A1064" i="5"/>
  <c r="C1063" i="5"/>
  <c r="B1063" i="5"/>
  <c r="A1063" i="5"/>
  <c r="C1062" i="5"/>
  <c r="B1062" i="5"/>
  <c r="A1062" i="5"/>
  <c r="C1061" i="5"/>
  <c r="B1061" i="5"/>
  <c r="A1061" i="5"/>
  <c r="C1060" i="5"/>
  <c r="B1060" i="5"/>
  <c r="A1060" i="5"/>
  <c r="C1059" i="5"/>
  <c r="B1059" i="5"/>
  <c r="A1059" i="5"/>
  <c r="B1058" i="5"/>
  <c r="A1058" i="5"/>
  <c r="C1057" i="5"/>
  <c r="B1057" i="5"/>
  <c r="A1057" i="5"/>
  <c r="C1056" i="5"/>
  <c r="B1056" i="5"/>
  <c r="A1056" i="5"/>
  <c r="C1055" i="5"/>
  <c r="B1055" i="5"/>
  <c r="A1055" i="5"/>
  <c r="B1054" i="5"/>
  <c r="A1054" i="5"/>
  <c r="C1053" i="5"/>
  <c r="B1053" i="5"/>
  <c r="A1053" i="5"/>
  <c r="C1052" i="5"/>
  <c r="B1052" i="5"/>
  <c r="A1052" i="5"/>
  <c r="C1051" i="5"/>
  <c r="B1051" i="5"/>
  <c r="A1051" i="5"/>
  <c r="B1050" i="5"/>
  <c r="A1050" i="5"/>
  <c r="C1049" i="5"/>
  <c r="B1049" i="5"/>
  <c r="A1049" i="5"/>
  <c r="B1048" i="5"/>
  <c r="A1048" i="5"/>
  <c r="C1047" i="5"/>
  <c r="B1047" i="5"/>
  <c r="A1047" i="5"/>
  <c r="C1046" i="5"/>
  <c r="B1046" i="5"/>
  <c r="A1046" i="5"/>
  <c r="C1045" i="5"/>
  <c r="B1045" i="5"/>
  <c r="A1045" i="5"/>
  <c r="C1044" i="5"/>
  <c r="B1044" i="5"/>
  <c r="A1044" i="5"/>
  <c r="C1043" i="5"/>
  <c r="B1043" i="5"/>
  <c r="A1043" i="5"/>
  <c r="C1042" i="5"/>
  <c r="B1042" i="5"/>
  <c r="A1042" i="5"/>
  <c r="C1041" i="5"/>
  <c r="B1041" i="5"/>
  <c r="A1041" i="5"/>
  <c r="C1040" i="5"/>
  <c r="B1040" i="5"/>
  <c r="A1040" i="5"/>
  <c r="C1039" i="5"/>
  <c r="B1039" i="5"/>
  <c r="A1039" i="5"/>
  <c r="C1038" i="5"/>
  <c r="B1038" i="5"/>
  <c r="A1038" i="5"/>
  <c r="C1037" i="5"/>
  <c r="B1037" i="5"/>
  <c r="A1037" i="5"/>
  <c r="C1036" i="5"/>
  <c r="B1036" i="5"/>
  <c r="A1036" i="5"/>
  <c r="C1035" i="5"/>
  <c r="B1035" i="5"/>
  <c r="A1035" i="5"/>
  <c r="C1034" i="5"/>
  <c r="B1034" i="5"/>
  <c r="A1034" i="5"/>
  <c r="C1033" i="5"/>
  <c r="B1033" i="5"/>
  <c r="A1033" i="5"/>
  <c r="C1032" i="5"/>
  <c r="B1032" i="5"/>
  <c r="A1032" i="5"/>
  <c r="D1031" i="5"/>
  <c r="C1031" i="5"/>
  <c r="B1031" i="5"/>
  <c r="A1031" i="5"/>
  <c r="D1030" i="5"/>
  <c r="C1030" i="5"/>
  <c r="B1030" i="5"/>
  <c r="A1030" i="5"/>
  <c r="C1029" i="5"/>
  <c r="B1029" i="5"/>
  <c r="A1029" i="5"/>
  <c r="C1028" i="5"/>
  <c r="B1028" i="5"/>
  <c r="A1028" i="5"/>
  <c r="C1027" i="5"/>
  <c r="B1027" i="5"/>
  <c r="A1027" i="5"/>
  <c r="C1026" i="5"/>
  <c r="B1026" i="5"/>
  <c r="A1026" i="5"/>
  <c r="C1025" i="5"/>
  <c r="B1025" i="5"/>
  <c r="A1025" i="5"/>
  <c r="C1024" i="5"/>
  <c r="B1024" i="5"/>
  <c r="A1024" i="5"/>
  <c r="C1023" i="5"/>
  <c r="B1023" i="5"/>
  <c r="A1023" i="5"/>
  <c r="C1022" i="5"/>
  <c r="B1022" i="5"/>
  <c r="A1022" i="5"/>
  <c r="C1021" i="5"/>
  <c r="B1021" i="5"/>
  <c r="A1021" i="5"/>
  <c r="C1020" i="5"/>
  <c r="B1020" i="5"/>
  <c r="A1020" i="5"/>
  <c r="C1019" i="5"/>
  <c r="B1019" i="5"/>
  <c r="A1019" i="5"/>
  <c r="C1018" i="5"/>
  <c r="B1018" i="5"/>
  <c r="A1018" i="5"/>
  <c r="C1017" i="5"/>
  <c r="B1017" i="5"/>
  <c r="A1017" i="5"/>
  <c r="B1016" i="5"/>
  <c r="A1016" i="5"/>
  <c r="C1015" i="5"/>
  <c r="B1015" i="5"/>
  <c r="A1015" i="5"/>
  <c r="C1014" i="5"/>
  <c r="B1014" i="5"/>
  <c r="A1014" i="5"/>
  <c r="C1013" i="5"/>
  <c r="B1013" i="5"/>
  <c r="A1013" i="5"/>
  <c r="C1012" i="5"/>
  <c r="B1012" i="5"/>
  <c r="A1012" i="5"/>
  <c r="C1011" i="5"/>
  <c r="B1011" i="5"/>
  <c r="A1011" i="5"/>
  <c r="C1010" i="5"/>
  <c r="B1010" i="5"/>
  <c r="A1010" i="5"/>
  <c r="C1009" i="5"/>
  <c r="B1009" i="5"/>
  <c r="A1009" i="5"/>
  <c r="C1008" i="5"/>
  <c r="B1008" i="5"/>
  <c r="A1008" i="5"/>
  <c r="C1007" i="5"/>
  <c r="B1007" i="5"/>
  <c r="A1007" i="5"/>
  <c r="C1006" i="5"/>
  <c r="B1006" i="5"/>
  <c r="A1006" i="5"/>
  <c r="C1005" i="5"/>
  <c r="B1005" i="5"/>
  <c r="A1005" i="5"/>
  <c r="C1004" i="5"/>
  <c r="B1004" i="5"/>
  <c r="A1004" i="5"/>
  <c r="C1003" i="5"/>
  <c r="B1003" i="5"/>
  <c r="A1003" i="5"/>
  <c r="C1002" i="5"/>
  <c r="B1002" i="5"/>
  <c r="A1002" i="5"/>
  <c r="C1001" i="5"/>
  <c r="B1001" i="5"/>
  <c r="A1001" i="5"/>
  <c r="B1000" i="5"/>
  <c r="A1000" i="5"/>
  <c r="C999" i="5"/>
  <c r="B999" i="5"/>
  <c r="A999" i="5"/>
  <c r="C998" i="5"/>
  <c r="B998" i="5"/>
  <c r="A998" i="5"/>
  <c r="C997" i="5"/>
  <c r="B997" i="5"/>
  <c r="A997" i="5"/>
  <c r="C996" i="5"/>
  <c r="B996" i="5"/>
  <c r="A996" i="5"/>
  <c r="C995" i="5"/>
  <c r="B995" i="5"/>
  <c r="A995" i="5"/>
  <c r="C994" i="5"/>
  <c r="B994" i="5"/>
  <c r="A994" i="5"/>
  <c r="C993" i="5"/>
  <c r="B993" i="5"/>
  <c r="A993" i="5"/>
  <c r="C992" i="5"/>
  <c r="B992" i="5"/>
  <c r="A992" i="5"/>
  <c r="C991" i="5"/>
  <c r="B991" i="5"/>
  <c r="A991" i="5"/>
  <c r="C990" i="5"/>
  <c r="B990" i="5"/>
  <c r="A990" i="5"/>
  <c r="C989" i="5"/>
  <c r="B989" i="5"/>
  <c r="A989" i="5"/>
  <c r="C988" i="5"/>
  <c r="B988" i="5"/>
  <c r="A988" i="5"/>
  <c r="C987" i="5"/>
  <c r="B987" i="5"/>
  <c r="A987" i="5"/>
  <c r="C986" i="5"/>
  <c r="B986" i="5"/>
  <c r="A986" i="5"/>
  <c r="C985" i="5"/>
  <c r="B985" i="5"/>
  <c r="A985" i="5"/>
  <c r="C984" i="5"/>
  <c r="B984" i="5"/>
  <c r="A984" i="5"/>
  <c r="C983" i="5"/>
  <c r="B983" i="5"/>
  <c r="A983" i="5"/>
  <c r="C982" i="5"/>
  <c r="B982" i="5"/>
  <c r="A982" i="5"/>
  <c r="C981" i="5"/>
  <c r="B981" i="5"/>
  <c r="A981" i="5"/>
  <c r="C980" i="5"/>
  <c r="B980" i="5"/>
  <c r="A980" i="5"/>
  <c r="C979" i="5"/>
  <c r="B979" i="5"/>
  <c r="A979" i="5"/>
  <c r="C978" i="5"/>
  <c r="B978" i="5"/>
  <c r="A978" i="5"/>
  <c r="C977" i="5"/>
  <c r="B977" i="5"/>
  <c r="A977" i="5"/>
  <c r="C976" i="5"/>
  <c r="B976" i="5"/>
  <c r="A976" i="5"/>
  <c r="C975" i="5"/>
  <c r="B975" i="5"/>
  <c r="A975" i="5"/>
  <c r="C974" i="5"/>
  <c r="B974" i="5"/>
  <c r="A974" i="5"/>
  <c r="C973" i="5"/>
  <c r="B973" i="5"/>
  <c r="A973" i="5"/>
  <c r="C972" i="5"/>
  <c r="B972" i="5"/>
  <c r="A972" i="5"/>
  <c r="C971" i="5"/>
  <c r="B971" i="5"/>
  <c r="A971" i="5"/>
  <c r="C970" i="5"/>
  <c r="B970" i="5"/>
  <c r="A970" i="5"/>
  <c r="C969" i="5"/>
  <c r="B969" i="5"/>
  <c r="A969" i="5"/>
  <c r="C968" i="5"/>
  <c r="B968" i="5"/>
  <c r="A968" i="5"/>
  <c r="C967" i="5"/>
  <c r="B967" i="5"/>
  <c r="A967" i="5"/>
  <c r="C966" i="5"/>
  <c r="B966" i="5"/>
  <c r="A966" i="5"/>
  <c r="C965" i="5"/>
  <c r="B965" i="5"/>
  <c r="A965" i="5"/>
  <c r="C964" i="5"/>
  <c r="B964" i="5"/>
  <c r="A964" i="5"/>
  <c r="C963" i="5"/>
  <c r="B963" i="5"/>
  <c r="A963" i="5"/>
  <c r="C962" i="5"/>
  <c r="B962" i="5"/>
  <c r="A962" i="5"/>
  <c r="C961" i="5"/>
  <c r="B961" i="5"/>
  <c r="A961" i="5"/>
  <c r="C960" i="5"/>
  <c r="B960" i="5"/>
  <c r="A960" i="5"/>
  <c r="C959" i="5"/>
  <c r="B959" i="5"/>
  <c r="A959" i="5"/>
  <c r="C958" i="5"/>
  <c r="B958" i="5"/>
  <c r="A958" i="5"/>
  <c r="C957" i="5"/>
  <c r="B957" i="5"/>
  <c r="A957" i="5"/>
  <c r="C956" i="5"/>
  <c r="B956" i="5"/>
  <c r="A956" i="5"/>
  <c r="C955" i="5"/>
  <c r="B955" i="5"/>
  <c r="A955" i="5"/>
  <c r="C954" i="5"/>
  <c r="B954" i="5"/>
  <c r="A954" i="5"/>
  <c r="C953" i="5"/>
  <c r="B953" i="5"/>
  <c r="A953" i="5"/>
  <c r="B952" i="5"/>
  <c r="A952" i="5"/>
  <c r="C951" i="5"/>
  <c r="B951" i="5"/>
  <c r="A951" i="5"/>
  <c r="C950" i="5"/>
  <c r="B950" i="5"/>
  <c r="A950" i="5"/>
  <c r="C949" i="5"/>
  <c r="B949" i="5"/>
  <c r="A949" i="5"/>
  <c r="B948" i="5"/>
  <c r="A948" i="5"/>
  <c r="C947" i="5"/>
  <c r="B947" i="5"/>
  <c r="A947" i="5"/>
  <c r="B946" i="5"/>
  <c r="A946" i="5"/>
  <c r="C945" i="5"/>
  <c r="B945" i="5"/>
  <c r="A945" i="5"/>
  <c r="C944" i="5"/>
  <c r="B944" i="5"/>
  <c r="A944" i="5"/>
  <c r="D943" i="5"/>
  <c r="C943" i="5"/>
  <c r="B943" i="5"/>
  <c r="A943" i="5"/>
  <c r="D942" i="5"/>
  <c r="C942" i="5"/>
  <c r="B942" i="5"/>
  <c r="A942" i="5"/>
  <c r="C941" i="5"/>
  <c r="B941" i="5"/>
  <c r="A941" i="5"/>
  <c r="B940" i="5"/>
  <c r="A940" i="5"/>
  <c r="C939" i="5"/>
  <c r="B939" i="5"/>
  <c r="A939" i="5"/>
  <c r="D938" i="5"/>
  <c r="C938" i="5"/>
  <c r="B938" i="5"/>
  <c r="A938" i="5"/>
  <c r="C937" i="5"/>
  <c r="B937" i="5"/>
  <c r="A937" i="5"/>
  <c r="C936" i="5"/>
  <c r="B936" i="5"/>
  <c r="A936" i="5"/>
  <c r="C935" i="5"/>
  <c r="B935" i="5"/>
  <c r="A935" i="5"/>
  <c r="C934" i="5"/>
  <c r="B934" i="5"/>
  <c r="A934" i="5"/>
  <c r="C933" i="5"/>
  <c r="B933" i="5"/>
  <c r="A933" i="5"/>
  <c r="C932" i="5"/>
  <c r="B932" i="5"/>
  <c r="A932" i="5"/>
  <c r="C931" i="5"/>
  <c r="B931" i="5"/>
  <c r="A931" i="5"/>
  <c r="C930" i="5"/>
  <c r="B930" i="5"/>
  <c r="A930" i="5"/>
  <c r="C929" i="5"/>
  <c r="B929" i="5"/>
  <c r="A929" i="5"/>
  <c r="C928" i="5"/>
  <c r="B928" i="5"/>
  <c r="A928" i="5"/>
  <c r="C927" i="5"/>
  <c r="B927" i="5"/>
  <c r="A927" i="5"/>
  <c r="C926" i="5"/>
  <c r="B926" i="5"/>
  <c r="A926" i="5"/>
  <c r="B925" i="5"/>
  <c r="A925" i="5"/>
  <c r="C924" i="5"/>
  <c r="B924" i="5"/>
  <c r="A924" i="5"/>
  <c r="C923" i="5"/>
  <c r="B923" i="5"/>
  <c r="A923" i="5"/>
  <c r="C922" i="5"/>
  <c r="B922" i="5"/>
  <c r="A922" i="5"/>
  <c r="C921" i="5"/>
  <c r="B921" i="5"/>
  <c r="A921" i="5"/>
  <c r="C920" i="5"/>
  <c r="B920" i="5"/>
  <c r="A920" i="5"/>
  <c r="C919" i="5"/>
  <c r="B919" i="5"/>
  <c r="A919" i="5"/>
  <c r="C918" i="5"/>
  <c r="B918" i="5"/>
  <c r="A918" i="5"/>
  <c r="C917" i="5"/>
  <c r="B917" i="5"/>
  <c r="A917" i="5"/>
  <c r="B916" i="5"/>
  <c r="A916" i="5"/>
  <c r="C915" i="5"/>
  <c r="B915" i="5"/>
  <c r="A915" i="5"/>
  <c r="B914" i="5"/>
  <c r="A914" i="5"/>
  <c r="B913" i="5"/>
  <c r="A913" i="5"/>
  <c r="C912" i="5"/>
  <c r="B912" i="5"/>
  <c r="A912" i="5"/>
  <c r="C911" i="5"/>
  <c r="B911" i="5"/>
  <c r="A911" i="5"/>
  <c r="C910" i="5"/>
  <c r="B910" i="5"/>
  <c r="A910" i="5"/>
  <c r="B909" i="5"/>
  <c r="A909" i="5"/>
  <c r="C908" i="5"/>
  <c r="B908" i="5"/>
  <c r="A908" i="5"/>
  <c r="C907" i="5"/>
  <c r="B907" i="5"/>
  <c r="A907" i="5"/>
  <c r="C906" i="5"/>
  <c r="B906" i="5"/>
  <c r="A906" i="5"/>
  <c r="C905" i="5"/>
  <c r="B905" i="5"/>
  <c r="A905" i="5"/>
  <c r="B904" i="5"/>
  <c r="A904" i="5"/>
  <c r="B903" i="5"/>
  <c r="A903" i="5"/>
  <c r="C902" i="5"/>
  <c r="B902" i="5"/>
  <c r="A902" i="5"/>
  <c r="C901" i="5"/>
  <c r="B901" i="5"/>
  <c r="A901" i="5"/>
  <c r="C900" i="5"/>
  <c r="B900" i="5"/>
  <c r="A900" i="5"/>
  <c r="B899" i="5"/>
  <c r="A899" i="5"/>
  <c r="C898" i="5"/>
  <c r="B898" i="5"/>
  <c r="A898" i="5"/>
  <c r="C897" i="5"/>
  <c r="B897" i="5"/>
  <c r="A897" i="5"/>
  <c r="C896" i="5"/>
  <c r="B896" i="5"/>
  <c r="A896" i="5"/>
  <c r="C895" i="5"/>
  <c r="B895" i="5"/>
  <c r="A895" i="5"/>
  <c r="C894" i="5"/>
  <c r="B894" i="5"/>
  <c r="A894" i="5"/>
  <c r="C893" i="5"/>
  <c r="B893" i="5"/>
  <c r="A893" i="5"/>
  <c r="B892" i="5"/>
  <c r="A892" i="5"/>
  <c r="B891" i="5"/>
  <c r="A891" i="5"/>
  <c r="C890" i="5"/>
  <c r="B890" i="5"/>
  <c r="A890" i="5"/>
  <c r="C889" i="5"/>
  <c r="B889" i="5"/>
  <c r="A889" i="5"/>
  <c r="C888" i="5"/>
  <c r="B888" i="5"/>
  <c r="A888" i="5"/>
  <c r="B887" i="5"/>
  <c r="A887" i="5"/>
  <c r="C886" i="5"/>
  <c r="B886" i="5"/>
  <c r="A886" i="5"/>
  <c r="C885" i="5"/>
  <c r="B885" i="5"/>
  <c r="A885" i="5"/>
  <c r="C884" i="5"/>
  <c r="B884" i="5"/>
  <c r="A884" i="5"/>
  <c r="C883" i="5"/>
  <c r="B883" i="5"/>
  <c r="A883" i="5"/>
  <c r="C882" i="5"/>
  <c r="B882" i="5"/>
  <c r="A882" i="5"/>
  <c r="C881" i="5"/>
  <c r="B881" i="5"/>
  <c r="A881" i="5"/>
  <c r="C880" i="5"/>
  <c r="B880" i="5"/>
  <c r="A880" i="5"/>
  <c r="C879" i="5"/>
  <c r="B879" i="5"/>
  <c r="A879" i="5"/>
  <c r="C878" i="5"/>
  <c r="B878" i="5"/>
  <c r="A878" i="5"/>
  <c r="C877" i="5"/>
  <c r="B877" i="5"/>
  <c r="A877" i="5"/>
  <c r="C876" i="5"/>
  <c r="B876" i="5"/>
  <c r="A876" i="5"/>
  <c r="C875" i="5"/>
  <c r="B875" i="5"/>
  <c r="A875" i="5"/>
  <c r="C874" i="5"/>
  <c r="B874" i="5"/>
  <c r="A874" i="5"/>
  <c r="C873" i="5"/>
  <c r="B873" i="5"/>
  <c r="A873" i="5"/>
  <c r="C872" i="5"/>
  <c r="B872" i="5"/>
  <c r="A872" i="5"/>
  <c r="C871" i="5"/>
  <c r="B871" i="5"/>
  <c r="A871" i="5"/>
  <c r="C870" i="5"/>
  <c r="B870" i="5"/>
  <c r="A870" i="5"/>
  <c r="C869" i="5"/>
  <c r="B869" i="5"/>
  <c r="A869" i="5"/>
  <c r="C868" i="5"/>
  <c r="B868" i="5"/>
  <c r="A868" i="5"/>
  <c r="C867" i="5"/>
  <c r="B867" i="5"/>
  <c r="A867" i="5"/>
  <c r="C866" i="5"/>
  <c r="B866" i="5"/>
  <c r="A866" i="5"/>
  <c r="C865" i="5"/>
  <c r="B865" i="5"/>
  <c r="A865" i="5"/>
  <c r="C864" i="5"/>
  <c r="B864" i="5"/>
  <c r="A864" i="5"/>
  <c r="C863" i="5"/>
  <c r="B863" i="5"/>
  <c r="A863" i="5"/>
  <c r="C862" i="5"/>
  <c r="B862" i="5"/>
  <c r="A862" i="5"/>
  <c r="B861" i="5"/>
  <c r="A861" i="5"/>
  <c r="B860" i="5"/>
  <c r="A860" i="5"/>
  <c r="C859" i="5"/>
  <c r="B859" i="5"/>
  <c r="A859" i="5"/>
  <c r="C858" i="5"/>
  <c r="B858" i="5"/>
  <c r="A858" i="5"/>
  <c r="C857" i="5"/>
  <c r="B857" i="5"/>
  <c r="A857" i="5"/>
  <c r="C856" i="5"/>
  <c r="B856" i="5"/>
  <c r="A856" i="5"/>
  <c r="B855" i="5"/>
  <c r="A855" i="5"/>
  <c r="C854" i="5"/>
  <c r="B854" i="5"/>
  <c r="A854" i="5"/>
  <c r="C853" i="5"/>
  <c r="B853" i="5"/>
  <c r="A853" i="5"/>
  <c r="C852" i="5"/>
  <c r="B852" i="5"/>
  <c r="A852" i="5"/>
  <c r="C851" i="5"/>
  <c r="B851" i="5"/>
  <c r="A851" i="5"/>
  <c r="C850" i="5"/>
  <c r="B850" i="5"/>
  <c r="A850" i="5"/>
  <c r="C849" i="5"/>
  <c r="B849" i="5"/>
  <c r="A849" i="5"/>
  <c r="B848" i="5"/>
  <c r="A848" i="5"/>
  <c r="B847" i="5"/>
  <c r="A847" i="5"/>
  <c r="B846" i="5"/>
  <c r="A846" i="5"/>
  <c r="B845" i="5"/>
  <c r="A845" i="5"/>
  <c r="C844" i="5"/>
  <c r="B844" i="5"/>
  <c r="A844" i="5"/>
  <c r="B843" i="5"/>
  <c r="A843" i="5"/>
  <c r="C842" i="5"/>
  <c r="B842" i="5"/>
  <c r="A842" i="5"/>
  <c r="C841" i="5"/>
  <c r="B841" i="5"/>
  <c r="A841" i="5"/>
  <c r="B840" i="5"/>
  <c r="A840" i="5"/>
  <c r="B839" i="5"/>
  <c r="A839" i="5"/>
  <c r="C838" i="5"/>
  <c r="B838" i="5"/>
  <c r="A838" i="5"/>
  <c r="C837" i="5"/>
  <c r="B837" i="5"/>
  <c r="A837" i="5"/>
  <c r="C836" i="5"/>
  <c r="B836" i="5"/>
  <c r="A836" i="5"/>
  <c r="C835" i="5"/>
  <c r="B835" i="5"/>
  <c r="A835" i="5"/>
  <c r="C834" i="5"/>
  <c r="B834" i="5"/>
  <c r="A834" i="5"/>
  <c r="C833" i="5"/>
  <c r="B833" i="5"/>
  <c r="A833" i="5"/>
  <c r="C832" i="5"/>
  <c r="B832" i="5"/>
  <c r="A832" i="5"/>
  <c r="C831" i="5"/>
  <c r="B831" i="5"/>
  <c r="A831" i="5"/>
  <c r="B830" i="5"/>
  <c r="A830" i="5"/>
  <c r="C829" i="5"/>
  <c r="B829" i="5"/>
  <c r="A829" i="5"/>
  <c r="B828" i="5"/>
  <c r="A828" i="5"/>
  <c r="C827" i="5"/>
  <c r="B827" i="5"/>
  <c r="A827" i="5"/>
  <c r="C826" i="5"/>
  <c r="B826" i="5"/>
  <c r="A826" i="5"/>
  <c r="C825" i="5"/>
  <c r="B825" i="5"/>
  <c r="A825" i="5"/>
  <c r="C824" i="5"/>
  <c r="B824" i="5"/>
  <c r="A824" i="5"/>
  <c r="C823" i="5"/>
  <c r="B823" i="5"/>
  <c r="A823" i="5"/>
  <c r="C822" i="5"/>
  <c r="B822" i="5"/>
  <c r="A822" i="5"/>
  <c r="C821" i="5"/>
  <c r="B821" i="5"/>
  <c r="A821" i="5"/>
  <c r="B820" i="5"/>
  <c r="A820" i="5"/>
  <c r="B819" i="5"/>
  <c r="A819" i="5"/>
  <c r="C818" i="5"/>
  <c r="B818" i="5"/>
  <c r="A818" i="5"/>
  <c r="C817" i="5"/>
  <c r="B817" i="5"/>
  <c r="A817" i="5"/>
  <c r="C816" i="5"/>
  <c r="B816" i="5"/>
  <c r="A816" i="5"/>
  <c r="B815" i="5"/>
  <c r="A815" i="5"/>
  <c r="C814" i="5"/>
  <c r="B814" i="5"/>
  <c r="A814" i="5"/>
  <c r="C813" i="5"/>
  <c r="B813" i="5"/>
  <c r="A813" i="5"/>
  <c r="C812" i="5"/>
  <c r="B812" i="5"/>
  <c r="A812" i="5"/>
  <c r="C811" i="5"/>
  <c r="B811" i="5"/>
  <c r="A811" i="5"/>
  <c r="C810" i="5"/>
  <c r="B810" i="5"/>
  <c r="A810" i="5"/>
  <c r="C809" i="5"/>
  <c r="B809" i="5"/>
  <c r="A809" i="5"/>
  <c r="A808" i="5"/>
  <c r="B807" i="5"/>
  <c r="A807" i="5"/>
  <c r="C806" i="5"/>
  <c r="B806" i="5"/>
  <c r="A806" i="5"/>
  <c r="B805" i="5"/>
  <c r="A805" i="5"/>
  <c r="C804" i="5"/>
  <c r="B804" i="5"/>
  <c r="A804" i="5"/>
  <c r="D803" i="5"/>
  <c r="C803" i="5"/>
  <c r="B803" i="5"/>
  <c r="A803" i="5"/>
  <c r="D802" i="5"/>
  <c r="C802" i="5"/>
  <c r="B802" i="5"/>
  <c r="A802" i="5"/>
  <c r="C801" i="5"/>
  <c r="B801" i="5"/>
  <c r="A801" i="5"/>
  <c r="B800" i="5"/>
  <c r="A800" i="5"/>
  <c r="C799" i="5"/>
  <c r="B799" i="5"/>
  <c r="A799" i="5"/>
  <c r="B798" i="5"/>
  <c r="A798" i="5"/>
  <c r="C797" i="5"/>
  <c r="B797" i="5"/>
  <c r="A797" i="5"/>
  <c r="C796" i="5"/>
  <c r="B796" i="5"/>
  <c r="A796" i="5"/>
  <c r="C795" i="5"/>
  <c r="B795" i="5"/>
  <c r="A795" i="5"/>
  <c r="C794" i="5"/>
  <c r="B794" i="5"/>
  <c r="A794" i="5"/>
  <c r="B793" i="5"/>
  <c r="A793" i="5"/>
  <c r="C792" i="5"/>
  <c r="B792" i="5"/>
  <c r="A792" i="5"/>
  <c r="C791" i="5"/>
  <c r="B791" i="5"/>
  <c r="A791" i="5"/>
  <c r="C790" i="5"/>
  <c r="B790" i="5"/>
  <c r="A790" i="5"/>
  <c r="D789" i="5"/>
  <c r="C789" i="5"/>
  <c r="B789" i="5"/>
  <c r="A789" i="5"/>
  <c r="D788" i="5"/>
  <c r="C788" i="5"/>
  <c r="B788" i="5"/>
  <c r="A788" i="5"/>
  <c r="D787" i="5"/>
  <c r="C787" i="5"/>
  <c r="B787" i="5"/>
  <c r="A787" i="5"/>
  <c r="D786" i="5"/>
  <c r="C786" i="5"/>
  <c r="B786" i="5"/>
  <c r="A786" i="5"/>
  <c r="C785" i="5"/>
  <c r="B785" i="5"/>
  <c r="A785" i="5"/>
  <c r="B784" i="5"/>
  <c r="A784" i="5"/>
  <c r="B783" i="5"/>
  <c r="A783" i="5"/>
  <c r="C782" i="5"/>
  <c r="B782" i="5"/>
  <c r="A782" i="5"/>
  <c r="C781" i="5"/>
  <c r="B781" i="5"/>
  <c r="A781" i="5"/>
  <c r="B780" i="5"/>
  <c r="A780" i="5"/>
  <c r="C779" i="5"/>
  <c r="B779" i="5"/>
  <c r="A779" i="5"/>
  <c r="C778" i="5"/>
  <c r="B778" i="5"/>
  <c r="A778" i="5"/>
  <c r="C777" i="5"/>
  <c r="B777" i="5"/>
  <c r="A777" i="5"/>
  <c r="B776" i="5"/>
  <c r="A776" i="5"/>
  <c r="C775" i="5"/>
  <c r="B775" i="5"/>
  <c r="A775" i="5"/>
  <c r="C774" i="5"/>
  <c r="B774" i="5"/>
  <c r="A774" i="5"/>
  <c r="C773" i="5"/>
  <c r="B773" i="5"/>
  <c r="A773" i="5"/>
  <c r="C772" i="5"/>
  <c r="B772" i="5"/>
  <c r="A772" i="5"/>
  <c r="B771" i="5"/>
  <c r="A771" i="5"/>
  <c r="B770" i="5"/>
  <c r="A770" i="5"/>
  <c r="C769" i="5"/>
  <c r="B769" i="5"/>
  <c r="A769" i="5"/>
  <c r="C768" i="5"/>
  <c r="B768" i="5"/>
  <c r="A768" i="5"/>
  <c r="C767" i="5"/>
  <c r="B767" i="5"/>
  <c r="A767" i="5"/>
  <c r="B766" i="5"/>
  <c r="A766" i="5"/>
  <c r="C765" i="5"/>
  <c r="B765" i="5"/>
  <c r="A765" i="5"/>
  <c r="C764" i="5"/>
  <c r="B764" i="5"/>
  <c r="A764" i="5"/>
  <c r="C763" i="5"/>
  <c r="B763" i="5"/>
  <c r="A763" i="5"/>
  <c r="B762" i="5"/>
  <c r="A762" i="5"/>
  <c r="D761" i="5"/>
  <c r="C761" i="5"/>
  <c r="B761" i="5"/>
  <c r="A761" i="5"/>
  <c r="C760" i="5"/>
  <c r="B760" i="5"/>
  <c r="A760" i="5"/>
  <c r="C759" i="5"/>
  <c r="B759" i="5"/>
  <c r="A759" i="5"/>
  <c r="C758" i="5"/>
  <c r="B758" i="5"/>
  <c r="A758" i="5"/>
  <c r="C757" i="5"/>
  <c r="B757" i="5"/>
  <c r="A757" i="5"/>
  <c r="C756" i="5"/>
  <c r="B756" i="5"/>
  <c r="A756" i="5"/>
  <c r="C755" i="5"/>
  <c r="B755" i="5"/>
  <c r="A755" i="5"/>
  <c r="C754" i="5"/>
  <c r="B754" i="5"/>
  <c r="A754" i="5"/>
  <c r="C753" i="5"/>
  <c r="B753" i="5"/>
  <c r="A753" i="5"/>
  <c r="C752" i="5"/>
  <c r="B752" i="5"/>
  <c r="A752" i="5"/>
  <c r="C751" i="5"/>
  <c r="B751" i="5"/>
  <c r="A751" i="5"/>
  <c r="B750" i="5"/>
  <c r="A750" i="5"/>
  <c r="C749" i="5"/>
  <c r="B749" i="5"/>
  <c r="A749" i="5"/>
  <c r="C748" i="5"/>
  <c r="B748" i="5"/>
  <c r="A748" i="5"/>
  <c r="C747" i="5"/>
  <c r="B747" i="5"/>
  <c r="A747" i="5"/>
  <c r="C746" i="5"/>
  <c r="B746" i="5"/>
  <c r="A746" i="5"/>
  <c r="C745" i="5"/>
  <c r="B745" i="5"/>
  <c r="A745" i="5"/>
  <c r="B744" i="5"/>
  <c r="A744" i="5"/>
  <c r="C743" i="5"/>
  <c r="B743" i="5"/>
  <c r="A743" i="5"/>
  <c r="C742" i="5"/>
  <c r="B742" i="5"/>
  <c r="A742" i="5"/>
  <c r="C741" i="5"/>
  <c r="B741" i="5"/>
  <c r="A741" i="5"/>
  <c r="C740" i="5"/>
  <c r="B740" i="5"/>
  <c r="A740" i="5"/>
  <c r="C739" i="5"/>
  <c r="B739" i="5"/>
  <c r="A739" i="5"/>
  <c r="C738" i="5"/>
  <c r="B738" i="5"/>
  <c r="A738" i="5"/>
  <c r="C737" i="5"/>
  <c r="B737" i="5"/>
  <c r="A737" i="5"/>
  <c r="C736" i="5"/>
  <c r="B736" i="5"/>
  <c r="A736" i="5"/>
  <c r="B735" i="5"/>
  <c r="A735" i="5"/>
  <c r="B734" i="5"/>
  <c r="A734" i="5"/>
  <c r="B733" i="5"/>
  <c r="A733" i="5"/>
  <c r="C732" i="5"/>
  <c r="B732" i="5"/>
  <c r="A732" i="5"/>
  <c r="C731" i="5"/>
  <c r="B731" i="5"/>
  <c r="A731" i="5"/>
  <c r="C730" i="5"/>
  <c r="B730" i="5"/>
  <c r="A730" i="5"/>
  <c r="C729" i="5"/>
  <c r="B729" i="5"/>
  <c r="A729" i="5"/>
  <c r="C728" i="5"/>
  <c r="B728" i="5"/>
  <c r="A728" i="5"/>
  <c r="D727" i="5"/>
  <c r="C727" i="5"/>
  <c r="B727" i="5"/>
  <c r="A727" i="5"/>
  <c r="D726" i="5"/>
  <c r="C726" i="5"/>
  <c r="B726" i="5"/>
  <c r="A726" i="5"/>
  <c r="B725" i="5"/>
  <c r="A725" i="5"/>
  <c r="D724" i="5"/>
  <c r="C724" i="5"/>
  <c r="B724" i="5"/>
  <c r="A724" i="5"/>
  <c r="D723" i="5"/>
  <c r="C723" i="5"/>
  <c r="B723" i="5"/>
  <c r="A723" i="5"/>
  <c r="B722" i="5"/>
  <c r="A722" i="5"/>
  <c r="B721" i="5"/>
  <c r="A721" i="5"/>
  <c r="B720" i="5"/>
  <c r="A720" i="5"/>
  <c r="B719" i="5"/>
  <c r="A719" i="5"/>
  <c r="C718" i="5"/>
  <c r="B718" i="5"/>
  <c r="A718" i="5"/>
  <c r="C717" i="5"/>
  <c r="B717" i="5"/>
  <c r="A717" i="5"/>
  <c r="B716" i="5"/>
  <c r="A716" i="5"/>
  <c r="C715" i="5"/>
  <c r="B715" i="5"/>
  <c r="A715" i="5"/>
  <c r="B714" i="5"/>
  <c r="A714" i="5"/>
  <c r="C713" i="5"/>
  <c r="B713" i="5"/>
  <c r="A713" i="5"/>
  <c r="B712" i="5"/>
  <c r="A712" i="5"/>
  <c r="B711" i="5"/>
  <c r="A711" i="5"/>
  <c r="B710" i="5"/>
  <c r="A710" i="5"/>
  <c r="B709" i="5"/>
  <c r="A709" i="5"/>
  <c r="C708" i="5"/>
  <c r="B708" i="5"/>
  <c r="A708" i="5"/>
  <c r="C707" i="5"/>
  <c r="B707" i="5"/>
  <c r="A707" i="5"/>
  <c r="C706" i="5"/>
  <c r="B706" i="5"/>
  <c r="A706" i="5"/>
  <c r="C705" i="5"/>
  <c r="B705" i="5"/>
  <c r="A705" i="5"/>
  <c r="C704" i="5"/>
  <c r="B704" i="5"/>
  <c r="A704" i="5"/>
  <c r="C703" i="5"/>
  <c r="B703" i="5"/>
  <c r="A703" i="5"/>
  <c r="C702" i="5"/>
  <c r="B702" i="5"/>
  <c r="A702" i="5"/>
  <c r="A701" i="5"/>
  <c r="C700" i="5"/>
  <c r="B700" i="5"/>
  <c r="A700" i="5"/>
  <c r="C699" i="5"/>
  <c r="B699" i="5"/>
  <c r="A699" i="5"/>
  <c r="C698" i="5"/>
  <c r="B698" i="5"/>
  <c r="A698" i="5"/>
  <c r="C697" i="5"/>
  <c r="B697" i="5"/>
  <c r="A697" i="5"/>
  <c r="C696" i="5"/>
  <c r="B696" i="5"/>
  <c r="A696" i="5"/>
  <c r="B695" i="5"/>
  <c r="A695" i="5"/>
  <c r="C694" i="5"/>
  <c r="B694" i="5"/>
  <c r="A694" i="5"/>
  <c r="C693" i="5"/>
  <c r="B693" i="5"/>
  <c r="A693" i="5"/>
  <c r="B692" i="5"/>
  <c r="A692" i="5"/>
  <c r="C691" i="5"/>
  <c r="B691" i="5"/>
  <c r="A691" i="5"/>
  <c r="C690" i="5"/>
  <c r="B690" i="5"/>
  <c r="A690" i="5"/>
  <c r="C689" i="5"/>
  <c r="B689" i="5"/>
  <c r="A689" i="5"/>
  <c r="C688" i="5"/>
  <c r="B688" i="5"/>
  <c r="A688" i="5"/>
  <c r="C687" i="5"/>
  <c r="B687" i="5"/>
  <c r="A687" i="5"/>
  <c r="B686" i="5"/>
  <c r="A686" i="5"/>
  <c r="C685" i="5"/>
  <c r="B685" i="5"/>
  <c r="A685" i="5"/>
  <c r="C684" i="5"/>
  <c r="B684" i="5"/>
  <c r="A684" i="5"/>
  <c r="C683" i="5"/>
  <c r="B683" i="5"/>
  <c r="A683" i="5"/>
  <c r="C682" i="5"/>
  <c r="B682" i="5"/>
  <c r="A682" i="5"/>
  <c r="C681" i="5"/>
  <c r="B681" i="5"/>
  <c r="A681" i="5"/>
  <c r="C680" i="5"/>
  <c r="B680" i="5"/>
  <c r="A680" i="5"/>
  <c r="C679" i="5"/>
  <c r="B679" i="5"/>
  <c r="A679" i="5"/>
  <c r="C678" i="5"/>
  <c r="B678" i="5"/>
  <c r="A678" i="5"/>
  <c r="C677" i="5"/>
  <c r="B677" i="5"/>
  <c r="A677" i="5"/>
  <c r="C676" i="5"/>
  <c r="B676" i="5"/>
  <c r="A676" i="5"/>
  <c r="C675" i="5"/>
  <c r="B675" i="5"/>
  <c r="A675" i="5"/>
  <c r="C674" i="5"/>
  <c r="B674" i="5"/>
  <c r="A674" i="5"/>
  <c r="B673" i="5"/>
  <c r="A673" i="5"/>
  <c r="B672" i="5"/>
  <c r="A672" i="5"/>
  <c r="C671" i="5"/>
  <c r="B671" i="5"/>
  <c r="A671" i="5"/>
  <c r="C670" i="5"/>
  <c r="B670" i="5"/>
  <c r="A670" i="5"/>
  <c r="C669" i="5"/>
  <c r="B669" i="5"/>
  <c r="A669" i="5"/>
  <c r="B668" i="5"/>
  <c r="A668" i="5"/>
  <c r="B667" i="5"/>
  <c r="A667" i="5"/>
  <c r="C666" i="5"/>
  <c r="B666" i="5"/>
  <c r="A666" i="5"/>
  <c r="C665" i="5"/>
  <c r="B665" i="5"/>
  <c r="A665" i="5"/>
  <c r="C664" i="5"/>
  <c r="B664" i="5"/>
  <c r="A664" i="5"/>
  <c r="B663" i="5"/>
  <c r="A663" i="5"/>
  <c r="C662" i="5"/>
  <c r="B662" i="5"/>
  <c r="A662" i="5"/>
  <c r="C661" i="5"/>
  <c r="B661" i="5"/>
  <c r="A661" i="5"/>
  <c r="C660" i="5"/>
  <c r="B660" i="5"/>
  <c r="A660" i="5"/>
  <c r="C659" i="5"/>
  <c r="B659" i="5"/>
  <c r="A659" i="5"/>
  <c r="C658" i="5"/>
  <c r="B658" i="5"/>
  <c r="A658" i="5"/>
  <c r="C657" i="5"/>
  <c r="B657" i="5"/>
  <c r="A657" i="5"/>
  <c r="C656" i="5"/>
  <c r="B656" i="5"/>
  <c r="A656" i="5"/>
  <c r="B655" i="5"/>
  <c r="A655" i="5"/>
  <c r="C654" i="5"/>
  <c r="B654" i="5"/>
  <c r="A654" i="5"/>
  <c r="C653" i="5"/>
  <c r="B653" i="5"/>
  <c r="A653" i="5"/>
  <c r="D652" i="5"/>
  <c r="C652" i="5"/>
  <c r="B652" i="5"/>
  <c r="A652" i="5"/>
  <c r="D651" i="5"/>
  <c r="C651" i="5"/>
  <c r="B651" i="5"/>
  <c r="A651" i="5"/>
  <c r="C650" i="5"/>
  <c r="B650" i="5"/>
  <c r="A650" i="5"/>
  <c r="C649" i="5"/>
  <c r="B649" i="5"/>
  <c r="A649" i="5"/>
  <c r="B648" i="5"/>
  <c r="A648" i="5"/>
  <c r="C647" i="5"/>
  <c r="B647" i="5"/>
  <c r="A647" i="5"/>
  <c r="C646" i="5"/>
  <c r="B646" i="5"/>
  <c r="A646" i="5"/>
  <c r="C645" i="5"/>
  <c r="B645" i="5"/>
  <c r="A645" i="5"/>
  <c r="B644" i="5"/>
  <c r="A644" i="5"/>
  <c r="C643" i="5"/>
  <c r="B643" i="5"/>
  <c r="A643" i="5"/>
  <c r="B642" i="5"/>
  <c r="A642" i="5"/>
  <c r="C641" i="5"/>
  <c r="B641" i="5"/>
  <c r="A641" i="5"/>
  <c r="C640" i="5"/>
  <c r="B640" i="5"/>
  <c r="A640" i="5"/>
  <c r="D639" i="5"/>
  <c r="B639" i="5"/>
  <c r="A639" i="5"/>
  <c r="C638" i="5"/>
  <c r="B638" i="5"/>
  <c r="A638" i="5"/>
  <c r="C637" i="5"/>
  <c r="B637" i="5"/>
  <c r="A637" i="5"/>
  <c r="C636" i="5"/>
  <c r="B636" i="5"/>
  <c r="A636" i="5"/>
  <c r="C635" i="5"/>
  <c r="B635" i="5"/>
  <c r="A635" i="5"/>
  <c r="C634" i="5"/>
  <c r="B634" i="5"/>
  <c r="A634" i="5"/>
  <c r="C633" i="5"/>
  <c r="B633" i="5"/>
  <c r="A633" i="5"/>
  <c r="C632" i="5"/>
  <c r="B632" i="5"/>
  <c r="A632" i="5"/>
  <c r="C631" i="5"/>
  <c r="B631" i="5"/>
  <c r="A631" i="5"/>
  <c r="C630" i="5"/>
  <c r="B630" i="5"/>
  <c r="A630" i="5"/>
  <c r="C629" i="5"/>
  <c r="B629" i="5"/>
  <c r="A629" i="5"/>
  <c r="C628" i="5"/>
  <c r="B628" i="5"/>
  <c r="A628" i="5"/>
  <c r="C627" i="5"/>
  <c r="B627" i="5"/>
  <c r="A627" i="5"/>
  <c r="C626" i="5"/>
  <c r="B626" i="5"/>
  <c r="A626" i="5"/>
  <c r="C625" i="5"/>
  <c r="B625" i="5"/>
  <c r="A625" i="5"/>
  <c r="C624" i="5"/>
  <c r="B624" i="5"/>
  <c r="A624" i="5"/>
  <c r="C623" i="5"/>
  <c r="B623" i="5"/>
  <c r="A623" i="5"/>
  <c r="B622" i="5"/>
  <c r="A622" i="5"/>
  <c r="C621" i="5"/>
  <c r="B621" i="5"/>
  <c r="A621" i="5"/>
  <c r="B620" i="5"/>
  <c r="A620" i="5"/>
  <c r="C619" i="5"/>
  <c r="B619" i="5"/>
  <c r="A619" i="5"/>
  <c r="C618" i="5"/>
  <c r="B618" i="5"/>
  <c r="A618" i="5"/>
  <c r="C617" i="5"/>
  <c r="B617" i="5"/>
  <c r="A617" i="5"/>
  <c r="C616" i="5"/>
  <c r="B616" i="5"/>
  <c r="A616" i="5"/>
  <c r="C615" i="5"/>
  <c r="B615" i="5"/>
  <c r="A615" i="5"/>
  <c r="C614" i="5"/>
  <c r="B614" i="5"/>
  <c r="A614" i="5"/>
  <c r="C613" i="5"/>
  <c r="B613" i="5"/>
  <c r="A613" i="5"/>
  <c r="C612" i="5"/>
  <c r="B612" i="5"/>
  <c r="A612" i="5"/>
  <c r="C611" i="5"/>
  <c r="B611" i="5"/>
  <c r="A611" i="5"/>
  <c r="C610" i="5"/>
  <c r="B610" i="5"/>
  <c r="A610" i="5"/>
  <c r="C609" i="5"/>
  <c r="B609" i="5"/>
  <c r="A609" i="5"/>
  <c r="B608" i="5"/>
  <c r="A608" i="5"/>
  <c r="C607" i="5"/>
  <c r="B607" i="5"/>
  <c r="A607" i="5"/>
  <c r="C606" i="5"/>
  <c r="B606" i="5"/>
  <c r="A606" i="5"/>
  <c r="C605" i="5"/>
  <c r="B605" i="5"/>
  <c r="A605" i="5"/>
  <c r="C604" i="5"/>
  <c r="B604" i="5"/>
  <c r="A604" i="5"/>
  <c r="C603" i="5"/>
  <c r="B603" i="5"/>
  <c r="A603" i="5"/>
  <c r="C602" i="5"/>
  <c r="B602" i="5"/>
  <c r="A602" i="5"/>
  <c r="C601" i="5"/>
  <c r="B601" i="5"/>
  <c r="A601" i="5"/>
  <c r="C600" i="5"/>
  <c r="B600" i="5"/>
  <c r="A600" i="5"/>
  <c r="C599" i="5"/>
  <c r="B599" i="5"/>
  <c r="A599" i="5"/>
  <c r="C598" i="5"/>
  <c r="B598" i="5"/>
  <c r="A598" i="5"/>
  <c r="B597" i="5"/>
  <c r="A597" i="5"/>
  <c r="C596" i="5"/>
  <c r="B596" i="5"/>
  <c r="A596" i="5"/>
  <c r="C595" i="5"/>
  <c r="B595" i="5"/>
  <c r="A595" i="5"/>
  <c r="B594" i="5"/>
  <c r="A594" i="5"/>
  <c r="C593" i="5"/>
  <c r="B593" i="5"/>
  <c r="A593" i="5"/>
  <c r="C592" i="5"/>
  <c r="B592" i="5"/>
  <c r="A592" i="5"/>
  <c r="C591" i="5"/>
  <c r="B591" i="5"/>
  <c r="A591" i="5"/>
  <c r="B590" i="5"/>
  <c r="A590" i="5"/>
  <c r="C589" i="5"/>
  <c r="B589" i="5"/>
  <c r="A589" i="5"/>
  <c r="B588" i="5"/>
  <c r="A588" i="5"/>
  <c r="C587" i="5"/>
  <c r="B587" i="5"/>
  <c r="A587" i="5"/>
  <c r="B586" i="5"/>
  <c r="A586" i="5"/>
  <c r="C585" i="5"/>
  <c r="B585" i="5"/>
  <c r="A585" i="5"/>
  <c r="C584" i="5"/>
  <c r="B584" i="5"/>
  <c r="A584" i="5"/>
  <c r="C583" i="5"/>
  <c r="B583" i="5"/>
  <c r="A583" i="5"/>
  <c r="C582" i="5"/>
  <c r="B582" i="5"/>
  <c r="A582" i="5"/>
  <c r="B581" i="5"/>
  <c r="A581" i="5"/>
  <c r="B580" i="5"/>
  <c r="A580" i="5"/>
  <c r="C579" i="5"/>
  <c r="B579" i="5"/>
  <c r="A579" i="5"/>
  <c r="B578" i="5"/>
  <c r="A578" i="5"/>
  <c r="C577" i="5"/>
  <c r="B577" i="5"/>
  <c r="A577" i="5"/>
  <c r="B576" i="5"/>
  <c r="A576" i="5"/>
  <c r="C575" i="5"/>
  <c r="B575" i="5"/>
  <c r="A575" i="5"/>
  <c r="C574" i="5"/>
  <c r="B574" i="5"/>
  <c r="A574" i="5"/>
  <c r="C573" i="5"/>
  <c r="B573" i="5"/>
  <c r="A573" i="5"/>
  <c r="B572" i="5"/>
  <c r="A572" i="5"/>
  <c r="C571" i="5"/>
  <c r="B571" i="5"/>
  <c r="A571" i="5"/>
  <c r="D570" i="5"/>
  <c r="B570" i="5"/>
  <c r="A570" i="5"/>
  <c r="C569" i="5"/>
  <c r="B569" i="5"/>
  <c r="A569" i="5"/>
  <c r="B568" i="5"/>
  <c r="A568" i="5"/>
  <c r="C567" i="5"/>
  <c r="B567" i="5"/>
  <c r="A567" i="5"/>
  <c r="C566" i="5"/>
  <c r="B566" i="5"/>
  <c r="A566" i="5"/>
  <c r="C565" i="5"/>
  <c r="B565" i="5"/>
  <c r="A565" i="5"/>
  <c r="B564" i="5"/>
  <c r="A564" i="5"/>
  <c r="C563" i="5"/>
  <c r="B563" i="5"/>
  <c r="A563" i="5"/>
  <c r="C562" i="5"/>
  <c r="B562" i="5"/>
  <c r="A562" i="5"/>
  <c r="C561" i="5"/>
  <c r="B561" i="5"/>
  <c r="A561" i="5"/>
  <c r="C560" i="5"/>
  <c r="B560" i="5"/>
  <c r="A560" i="5"/>
  <c r="B559" i="5"/>
  <c r="A559" i="5"/>
  <c r="C558" i="5"/>
  <c r="B558" i="5"/>
  <c r="A558" i="5"/>
  <c r="C557" i="5"/>
  <c r="B557" i="5"/>
  <c r="A557" i="5"/>
  <c r="C556" i="5"/>
  <c r="B556" i="5"/>
  <c r="A556" i="5"/>
  <c r="B555" i="5"/>
  <c r="A555" i="5"/>
  <c r="B554" i="5"/>
  <c r="A554" i="5"/>
  <c r="C553" i="5"/>
  <c r="B553" i="5"/>
  <c r="A553" i="5"/>
  <c r="C552" i="5"/>
  <c r="B552" i="5"/>
  <c r="A552" i="5"/>
  <c r="C551" i="5"/>
  <c r="B551" i="5"/>
  <c r="A551" i="5"/>
  <c r="C550" i="5"/>
  <c r="B550" i="5"/>
  <c r="A550" i="5"/>
  <c r="C549" i="5"/>
  <c r="B549" i="5"/>
  <c r="A549" i="5"/>
  <c r="C548" i="5"/>
  <c r="B548" i="5"/>
  <c r="A548" i="5"/>
  <c r="C547" i="5"/>
  <c r="B547" i="5"/>
  <c r="A547" i="5"/>
  <c r="C546" i="5"/>
  <c r="B546" i="5"/>
  <c r="A546" i="5"/>
  <c r="C545" i="5"/>
  <c r="B545" i="5"/>
  <c r="A545" i="5"/>
  <c r="C544" i="5"/>
  <c r="B544" i="5"/>
  <c r="A544" i="5"/>
  <c r="C543" i="5"/>
  <c r="B543" i="5"/>
  <c r="A543" i="5"/>
  <c r="C542" i="5"/>
  <c r="B542" i="5"/>
  <c r="A542" i="5"/>
  <c r="C541" i="5"/>
  <c r="B541" i="5"/>
  <c r="A541" i="5"/>
  <c r="C540" i="5"/>
  <c r="B540" i="5"/>
  <c r="A540" i="5"/>
  <c r="B539" i="5"/>
  <c r="A539" i="5"/>
  <c r="C538" i="5"/>
  <c r="B538" i="5"/>
  <c r="A538" i="5"/>
  <c r="C537" i="5"/>
  <c r="B537" i="5"/>
  <c r="A537" i="5"/>
  <c r="C536" i="5"/>
  <c r="B536" i="5"/>
  <c r="A536" i="5"/>
  <c r="C535" i="5"/>
  <c r="B535" i="5"/>
  <c r="A535" i="5"/>
  <c r="C534" i="5"/>
  <c r="B534" i="5"/>
  <c r="A534" i="5"/>
  <c r="B533" i="5"/>
  <c r="A533" i="5"/>
  <c r="C532" i="5"/>
  <c r="B532" i="5"/>
  <c r="A532" i="5"/>
  <c r="B531" i="5"/>
  <c r="A531" i="5"/>
  <c r="C530" i="5"/>
  <c r="B530" i="5"/>
  <c r="A530" i="5"/>
  <c r="C529" i="5"/>
  <c r="B529" i="5"/>
  <c r="A529" i="5"/>
  <c r="C528" i="5"/>
  <c r="B528" i="5"/>
  <c r="A528" i="5"/>
  <c r="C527" i="5"/>
  <c r="B527" i="5"/>
  <c r="A527" i="5"/>
  <c r="C526" i="5"/>
  <c r="B526" i="5"/>
  <c r="A526" i="5"/>
  <c r="C525" i="5"/>
  <c r="B525" i="5"/>
  <c r="A525" i="5"/>
  <c r="C524" i="5"/>
  <c r="B524" i="5"/>
  <c r="A524" i="5"/>
  <c r="B523" i="5"/>
  <c r="A523" i="5"/>
  <c r="C522" i="5"/>
  <c r="B522" i="5"/>
  <c r="A522" i="5"/>
  <c r="C521" i="5"/>
  <c r="B521" i="5"/>
  <c r="A521" i="5"/>
  <c r="C520" i="5"/>
  <c r="B520" i="5"/>
  <c r="A520" i="5"/>
  <c r="C519" i="5"/>
  <c r="B519" i="5"/>
  <c r="A519" i="5"/>
  <c r="C518" i="5"/>
  <c r="B518" i="5"/>
  <c r="A518" i="5"/>
  <c r="C517" i="5"/>
  <c r="B517" i="5"/>
  <c r="A517" i="5"/>
  <c r="C516" i="5"/>
  <c r="B516" i="5"/>
  <c r="A516" i="5"/>
  <c r="C515" i="5"/>
  <c r="B515" i="5"/>
  <c r="A515" i="5"/>
  <c r="C514" i="5"/>
  <c r="B514" i="5"/>
  <c r="A514" i="5"/>
  <c r="C513" i="5"/>
  <c r="B513" i="5"/>
  <c r="A513" i="5"/>
  <c r="C512" i="5"/>
  <c r="B512" i="5"/>
  <c r="A512" i="5"/>
  <c r="C511" i="5"/>
  <c r="B511" i="5"/>
  <c r="A511" i="5"/>
  <c r="C510" i="5"/>
  <c r="B510" i="5"/>
  <c r="A510" i="5"/>
  <c r="C509" i="5"/>
  <c r="B509" i="5"/>
  <c r="A509" i="5"/>
  <c r="B508" i="5"/>
  <c r="A508" i="5"/>
  <c r="B507" i="5"/>
  <c r="A507" i="5"/>
  <c r="C506" i="5"/>
  <c r="B506" i="5"/>
  <c r="A506" i="5"/>
  <c r="C505" i="5"/>
  <c r="B505" i="5"/>
  <c r="A505" i="5"/>
  <c r="C504" i="5"/>
  <c r="B504" i="5"/>
  <c r="A504" i="5"/>
  <c r="C503" i="5"/>
  <c r="B503" i="5"/>
  <c r="A503" i="5"/>
  <c r="C502" i="5"/>
  <c r="B502" i="5"/>
  <c r="A502" i="5"/>
  <c r="C501" i="5"/>
  <c r="B501" i="5"/>
  <c r="A501" i="5"/>
  <c r="C500" i="5"/>
  <c r="B500" i="5"/>
  <c r="A500" i="5"/>
  <c r="C499" i="5"/>
  <c r="B499" i="5"/>
  <c r="A499" i="5"/>
  <c r="C498" i="5"/>
  <c r="B498" i="5"/>
  <c r="A498" i="5"/>
  <c r="D497" i="5"/>
  <c r="B497" i="5"/>
  <c r="A497" i="5"/>
  <c r="B496" i="5"/>
  <c r="A496" i="5"/>
  <c r="C495" i="5"/>
  <c r="B495" i="5"/>
  <c r="A495" i="5"/>
  <c r="C494" i="5"/>
  <c r="B494" i="5"/>
  <c r="A494" i="5"/>
  <c r="B493" i="5"/>
  <c r="A493" i="5"/>
  <c r="C492" i="5"/>
  <c r="B492" i="5"/>
  <c r="A492" i="5"/>
  <c r="C491" i="5"/>
  <c r="B491" i="5"/>
  <c r="A491" i="5"/>
  <c r="B490" i="5"/>
  <c r="A490" i="5"/>
  <c r="B489" i="5"/>
  <c r="A489" i="5"/>
  <c r="D488" i="5"/>
  <c r="C488" i="5"/>
  <c r="B488" i="5"/>
  <c r="A488" i="5"/>
  <c r="C487" i="5"/>
  <c r="B487" i="5"/>
  <c r="A487" i="5"/>
  <c r="C486" i="5"/>
  <c r="B486" i="5"/>
  <c r="A486" i="5"/>
  <c r="C485" i="5"/>
  <c r="B485" i="5"/>
  <c r="A485" i="5"/>
  <c r="B484" i="5"/>
  <c r="A484" i="5"/>
  <c r="B483" i="5"/>
  <c r="A483" i="5"/>
  <c r="B482" i="5"/>
  <c r="A482" i="5"/>
  <c r="B481" i="5"/>
  <c r="A481" i="5"/>
  <c r="B480" i="5"/>
  <c r="A480" i="5"/>
  <c r="B479" i="5"/>
  <c r="A479" i="5"/>
  <c r="B478" i="5"/>
  <c r="A478" i="5"/>
  <c r="B477" i="5"/>
  <c r="A477" i="5"/>
  <c r="D476" i="5"/>
  <c r="C476" i="5"/>
  <c r="B476" i="5"/>
  <c r="A476" i="5"/>
  <c r="B475" i="5"/>
  <c r="A475" i="5"/>
  <c r="B474" i="5"/>
  <c r="A474" i="5"/>
  <c r="D473" i="5"/>
  <c r="C473" i="5"/>
  <c r="B473" i="5"/>
  <c r="A473" i="5"/>
  <c r="B472" i="5"/>
  <c r="A472" i="5"/>
  <c r="D471" i="5"/>
  <c r="B471" i="5"/>
  <c r="A471" i="5"/>
  <c r="B470" i="5"/>
  <c r="A470" i="5"/>
  <c r="C469" i="5"/>
  <c r="B469" i="5"/>
  <c r="A469" i="5"/>
  <c r="B468" i="5"/>
  <c r="A468" i="5"/>
  <c r="C467" i="5"/>
  <c r="B467" i="5"/>
  <c r="A467" i="5"/>
  <c r="B466" i="5"/>
  <c r="A466" i="5"/>
  <c r="C465" i="5"/>
  <c r="B465" i="5"/>
  <c r="A465" i="5"/>
  <c r="B464" i="5"/>
  <c r="A464" i="5"/>
  <c r="B463" i="5"/>
  <c r="A463" i="5"/>
  <c r="B462" i="5"/>
  <c r="A462" i="5"/>
  <c r="C461" i="5"/>
  <c r="B461" i="5"/>
  <c r="A461" i="5"/>
  <c r="B460" i="5"/>
  <c r="A460" i="5"/>
  <c r="C459" i="5"/>
  <c r="B459" i="5"/>
  <c r="A459" i="5"/>
  <c r="C458" i="5"/>
  <c r="B458" i="5"/>
  <c r="A458" i="5"/>
  <c r="C457" i="5"/>
  <c r="B457" i="5"/>
  <c r="A457" i="5"/>
  <c r="B456" i="5"/>
  <c r="A456" i="5"/>
  <c r="C455" i="5"/>
  <c r="B455" i="5"/>
  <c r="A455" i="5"/>
  <c r="B454" i="5"/>
  <c r="A454" i="5"/>
  <c r="B453" i="5"/>
  <c r="A453" i="5"/>
  <c r="B452" i="5"/>
  <c r="A452" i="5"/>
  <c r="B451" i="5"/>
  <c r="A451" i="5"/>
  <c r="B450" i="5"/>
  <c r="A450" i="5"/>
  <c r="B449" i="5"/>
  <c r="A449" i="5"/>
  <c r="B448" i="5"/>
  <c r="A448" i="5"/>
  <c r="A447" i="5"/>
  <c r="A446" i="5"/>
  <c r="B445" i="5"/>
  <c r="A445" i="5"/>
  <c r="B444" i="5"/>
  <c r="A444" i="5"/>
  <c r="D443" i="5"/>
  <c r="C443" i="5"/>
  <c r="B443" i="5"/>
  <c r="A443" i="5"/>
  <c r="B442" i="5"/>
  <c r="A442" i="5"/>
  <c r="B441" i="5"/>
  <c r="A441" i="5"/>
  <c r="A440" i="5"/>
  <c r="A439" i="5"/>
  <c r="A438" i="5"/>
  <c r="A437" i="5"/>
  <c r="A436" i="5"/>
  <c r="A435" i="5"/>
  <c r="C434" i="5"/>
  <c r="B434" i="5"/>
  <c r="A434" i="5"/>
  <c r="A433" i="5"/>
  <c r="A432" i="5"/>
  <c r="A431" i="5"/>
  <c r="B430" i="5"/>
  <c r="A430" i="5"/>
  <c r="B429" i="5"/>
  <c r="A429" i="5"/>
  <c r="C428" i="5"/>
  <c r="B428" i="5"/>
  <c r="A428" i="5"/>
  <c r="B427" i="5"/>
  <c r="A427" i="5"/>
  <c r="A426" i="5"/>
  <c r="B425" i="5"/>
  <c r="A425" i="5"/>
  <c r="A424" i="5"/>
  <c r="B423" i="5"/>
  <c r="A423" i="5"/>
  <c r="B422" i="5"/>
  <c r="A422" i="5"/>
  <c r="B421" i="5"/>
  <c r="A421" i="5"/>
  <c r="C420" i="5"/>
  <c r="B420" i="5"/>
  <c r="A420" i="5"/>
  <c r="B419" i="5"/>
  <c r="A419" i="5"/>
  <c r="B418" i="5"/>
  <c r="A418" i="5"/>
  <c r="A417" i="5"/>
  <c r="B416" i="5"/>
  <c r="A416" i="5"/>
  <c r="C415" i="5"/>
  <c r="B415" i="5"/>
  <c r="A415" i="5"/>
  <c r="D414" i="5"/>
  <c r="C414" i="5"/>
  <c r="B414" i="5"/>
  <c r="A414" i="5"/>
  <c r="D413" i="5"/>
  <c r="B413" i="5"/>
  <c r="A413" i="5"/>
  <c r="C412" i="5"/>
  <c r="B412" i="5"/>
  <c r="A412" i="5"/>
  <c r="B411" i="5"/>
  <c r="A411" i="5"/>
  <c r="B410" i="5"/>
  <c r="A410" i="5"/>
  <c r="A409" i="5"/>
  <c r="B408" i="5"/>
  <c r="A408" i="5"/>
  <c r="B407" i="5"/>
  <c r="A407" i="5"/>
  <c r="B406" i="5"/>
  <c r="A406" i="5"/>
  <c r="B405" i="5"/>
  <c r="A405" i="5"/>
  <c r="B404" i="5"/>
  <c r="A404" i="5"/>
  <c r="B403" i="5"/>
  <c r="A403" i="5"/>
  <c r="B402" i="5"/>
  <c r="A402" i="5"/>
  <c r="B401" i="5"/>
  <c r="A401" i="5"/>
  <c r="B400" i="5"/>
  <c r="A400" i="5"/>
  <c r="B399" i="5"/>
  <c r="A399" i="5"/>
  <c r="B398" i="5"/>
  <c r="A398" i="5"/>
  <c r="B397" i="5"/>
  <c r="A397" i="5"/>
  <c r="B396" i="5"/>
  <c r="A396" i="5"/>
  <c r="B395" i="5"/>
  <c r="A395" i="5"/>
  <c r="D394" i="5"/>
  <c r="B394" i="5"/>
  <c r="A394" i="5"/>
  <c r="C393" i="5"/>
  <c r="B393" i="5"/>
  <c r="A393" i="5"/>
  <c r="B392" i="5"/>
  <c r="A392" i="5"/>
  <c r="B391" i="5"/>
  <c r="A391" i="5"/>
  <c r="D390" i="5"/>
  <c r="B390" i="5"/>
  <c r="A390" i="5"/>
  <c r="B389" i="5"/>
  <c r="A389" i="5"/>
  <c r="C388" i="5"/>
  <c r="B388" i="5"/>
  <c r="A388" i="5"/>
  <c r="D387" i="5"/>
  <c r="B387" i="5"/>
  <c r="A387" i="5"/>
  <c r="B386" i="5"/>
  <c r="A386" i="5"/>
  <c r="B385" i="5"/>
  <c r="A385" i="5"/>
  <c r="B384" i="5"/>
  <c r="A384" i="5"/>
  <c r="A383" i="5"/>
  <c r="B382" i="5"/>
  <c r="A382" i="5"/>
  <c r="B381" i="5"/>
  <c r="A381" i="5"/>
  <c r="B380" i="5"/>
  <c r="A380" i="5"/>
  <c r="D379" i="5"/>
  <c r="C379" i="5"/>
  <c r="B379" i="5"/>
  <c r="A379" i="5"/>
  <c r="B378" i="5"/>
  <c r="A378" i="5"/>
  <c r="A377" i="5"/>
  <c r="B376" i="5"/>
  <c r="A376" i="5"/>
  <c r="D375" i="5"/>
  <c r="C375" i="5"/>
  <c r="B375" i="5"/>
  <c r="A375" i="5"/>
  <c r="B374" i="5"/>
  <c r="A374" i="5"/>
  <c r="B373" i="5"/>
  <c r="A373" i="5"/>
  <c r="B372" i="5"/>
  <c r="A372" i="5"/>
  <c r="C371" i="5"/>
  <c r="B371" i="5"/>
  <c r="A371" i="5"/>
  <c r="A370" i="5"/>
  <c r="A369" i="5"/>
  <c r="A368" i="5"/>
  <c r="B367" i="5"/>
  <c r="A367" i="5"/>
  <c r="B366" i="5"/>
  <c r="A366" i="5"/>
  <c r="B365" i="5"/>
  <c r="A365" i="5"/>
  <c r="D364" i="5"/>
  <c r="C364" i="5"/>
  <c r="B364" i="5"/>
  <c r="A364" i="5"/>
  <c r="A363" i="5"/>
  <c r="B362" i="5"/>
  <c r="A362" i="5"/>
  <c r="A361" i="5"/>
  <c r="B360" i="5"/>
  <c r="A360" i="5"/>
  <c r="A359" i="5"/>
  <c r="B358" i="5"/>
  <c r="A358" i="5"/>
  <c r="B357" i="5"/>
  <c r="A357" i="5"/>
  <c r="A356" i="5"/>
  <c r="B355" i="5"/>
  <c r="A355" i="5"/>
  <c r="C354" i="5"/>
  <c r="B354" i="5"/>
  <c r="A354" i="5"/>
  <c r="B353" i="5"/>
  <c r="A353" i="5"/>
  <c r="B352" i="5"/>
  <c r="A352" i="5"/>
  <c r="A351" i="5"/>
  <c r="C350" i="5"/>
  <c r="B350" i="5"/>
  <c r="A350" i="5"/>
  <c r="B349" i="5"/>
  <c r="A349" i="5"/>
  <c r="B348" i="5"/>
  <c r="A348" i="5"/>
  <c r="B347" i="5"/>
  <c r="A347" i="5"/>
  <c r="B346" i="5"/>
  <c r="A346" i="5"/>
  <c r="A345" i="5"/>
  <c r="B344" i="5"/>
  <c r="A344" i="5"/>
  <c r="B343" i="5"/>
  <c r="A343" i="5"/>
  <c r="B342" i="5"/>
  <c r="A342" i="5"/>
  <c r="B341" i="5"/>
  <c r="A341" i="5"/>
  <c r="B340" i="5"/>
  <c r="A340" i="5"/>
  <c r="B339" i="5"/>
  <c r="A339" i="5"/>
  <c r="B338" i="5"/>
  <c r="A338" i="5"/>
  <c r="B337" i="5"/>
  <c r="A337" i="5"/>
  <c r="C336" i="5"/>
  <c r="B336" i="5"/>
  <c r="A336" i="5"/>
  <c r="B335" i="5"/>
  <c r="A335" i="5"/>
  <c r="B334" i="5"/>
  <c r="A334" i="5"/>
  <c r="B333" i="5"/>
  <c r="A333" i="5"/>
  <c r="B332" i="5"/>
  <c r="A332" i="5"/>
  <c r="B331" i="5"/>
  <c r="A331" i="5"/>
  <c r="B330" i="5"/>
  <c r="A330" i="5"/>
  <c r="B329" i="5"/>
  <c r="A329" i="5"/>
  <c r="B328" i="5"/>
  <c r="A328" i="5"/>
  <c r="B327" i="5"/>
  <c r="A327" i="5"/>
  <c r="B326" i="5"/>
  <c r="A326" i="5"/>
  <c r="B325" i="5"/>
  <c r="A325" i="5"/>
  <c r="B324" i="5"/>
  <c r="A324" i="5"/>
  <c r="B323" i="5"/>
  <c r="A323" i="5"/>
  <c r="B322" i="5"/>
  <c r="A322" i="5"/>
  <c r="B321" i="5"/>
  <c r="A321" i="5"/>
  <c r="B320" i="5"/>
  <c r="A320" i="5"/>
  <c r="B319" i="5"/>
  <c r="A319" i="5"/>
  <c r="C318" i="5"/>
  <c r="B318" i="5"/>
  <c r="A318" i="5"/>
  <c r="B317" i="5"/>
  <c r="A317" i="5"/>
  <c r="B316" i="5"/>
  <c r="A316" i="5"/>
  <c r="B315" i="5"/>
  <c r="A315" i="5"/>
  <c r="B314" i="5"/>
  <c r="A314" i="5"/>
  <c r="B313" i="5"/>
  <c r="A313" i="5"/>
  <c r="B312" i="5"/>
  <c r="A312" i="5"/>
  <c r="A311" i="5"/>
  <c r="C310" i="5"/>
  <c r="B310" i="5"/>
  <c r="A310" i="5"/>
  <c r="B309" i="5"/>
  <c r="A309" i="5"/>
  <c r="B308" i="5"/>
  <c r="A308" i="5"/>
  <c r="B307" i="5"/>
  <c r="A307" i="5"/>
  <c r="B306" i="5"/>
  <c r="A306" i="5"/>
  <c r="B305" i="5"/>
  <c r="A305" i="5"/>
  <c r="B304" i="5"/>
  <c r="A304" i="5"/>
  <c r="D303" i="5"/>
  <c r="B303" i="5"/>
  <c r="A303" i="5"/>
  <c r="C302" i="5"/>
  <c r="B302" i="5"/>
  <c r="A302" i="5"/>
  <c r="B301" i="5"/>
  <c r="A301" i="5"/>
  <c r="B300" i="5"/>
  <c r="A300" i="5"/>
  <c r="B299" i="5"/>
  <c r="A299" i="5"/>
  <c r="B298" i="5"/>
  <c r="A298" i="5"/>
  <c r="B297" i="5"/>
  <c r="A297" i="5"/>
  <c r="B296" i="5"/>
  <c r="A296" i="5"/>
  <c r="B295" i="5"/>
  <c r="A295" i="5"/>
  <c r="B294" i="5"/>
  <c r="A294" i="5"/>
  <c r="B293" i="5"/>
  <c r="A293" i="5"/>
  <c r="B292" i="5"/>
  <c r="A292" i="5"/>
  <c r="C291" i="5"/>
  <c r="B291" i="5"/>
  <c r="A291" i="5"/>
  <c r="B290" i="5"/>
  <c r="A290" i="5"/>
  <c r="B289" i="5"/>
  <c r="A289" i="5"/>
  <c r="C288" i="5"/>
  <c r="B288" i="5"/>
  <c r="A288" i="5"/>
  <c r="B287" i="5"/>
  <c r="A287" i="5"/>
  <c r="A286" i="5"/>
  <c r="B285" i="5"/>
  <c r="A285" i="5"/>
  <c r="B284" i="5"/>
  <c r="A284" i="5"/>
  <c r="A283" i="5"/>
  <c r="B282" i="5"/>
  <c r="A282" i="5"/>
  <c r="B281" i="5"/>
  <c r="A281" i="5"/>
  <c r="B280" i="5"/>
  <c r="A280" i="5"/>
  <c r="B279" i="5"/>
  <c r="A279" i="5"/>
  <c r="C278" i="5"/>
  <c r="B278" i="5"/>
  <c r="A278" i="5"/>
  <c r="B277" i="5"/>
  <c r="A277" i="5"/>
  <c r="B276" i="5"/>
  <c r="A276" i="5"/>
  <c r="B275" i="5"/>
  <c r="A275" i="5"/>
  <c r="B274" i="5"/>
  <c r="A274" i="5"/>
  <c r="B273" i="5"/>
  <c r="A273" i="5"/>
  <c r="B272" i="5"/>
  <c r="A272" i="5"/>
  <c r="B271" i="5"/>
  <c r="A271" i="5"/>
  <c r="B270" i="5"/>
  <c r="A270" i="5"/>
  <c r="B269" i="5"/>
  <c r="A269" i="5"/>
  <c r="B268" i="5"/>
  <c r="A268" i="5"/>
  <c r="B267" i="5"/>
  <c r="A267" i="5"/>
  <c r="C266" i="5"/>
  <c r="B266" i="5"/>
  <c r="A266" i="5"/>
  <c r="B265" i="5"/>
  <c r="A265" i="5"/>
  <c r="B264" i="5"/>
  <c r="A264" i="5"/>
  <c r="B263" i="5"/>
  <c r="A263" i="5"/>
  <c r="B262" i="5"/>
  <c r="A262" i="5"/>
  <c r="D261" i="5"/>
  <c r="C261" i="5"/>
  <c r="B261" i="5"/>
  <c r="A261" i="5"/>
  <c r="B260" i="5"/>
  <c r="A260" i="5"/>
  <c r="A259" i="5"/>
  <c r="C258" i="5"/>
  <c r="B258" i="5"/>
  <c r="A258" i="5"/>
  <c r="A257" i="5"/>
  <c r="B256" i="5"/>
  <c r="A256" i="5"/>
  <c r="A255" i="5"/>
  <c r="C254" i="5"/>
  <c r="B254" i="5"/>
  <c r="A254" i="5"/>
  <c r="B253" i="5"/>
  <c r="A253" i="5"/>
  <c r="D252" i="5"/>
  <c r="C252" i="5"/>
  <c r="B252" i="5"/>
  <c r="A252" i="5"/>
  <c r="A251" i="5"/>
  <c r="C250" i="5"/>
  <c r="B250" i="5"/>
  <c r="A250" i="5"/>
  <c r="A249" i="5"/>
  <c r="B248" i="5"/>
  <c r="A248" i="5"/>
  <c r="C247" i="5"/>
  <c r="B247" i="5"/>
  <c r="A247" i="5"/>
  <c r="D246" i="5"/>
  <c r="C246" i="5"/>
  <c r="B246" i="5"/>
  <c r="A246" i="5"/>
  <c r="B245" i="5"/>
  <c r="A245" i="5"/>
  <c r="A244" i="5"/>
  <c r="B243" i="5"/>
  <c r="A243" i="5"/>
  <c r="B242" i="5"/>
  <c r="A242" i="5"/>
  <c r="B241" i="5"/>
  <c r="A241" i="5"/>
  <c r="B240" i="5"/>
  <c r="A240" i="5"/>
  <c r="B239" i="5"/>
  <c r="A239" i="5"/>
  <c r="B238" i="5"/>
  <c r="A238" i="5"/>
  <c r="D237" i="5"/>
  <c r="C237" i="5"/>
  <c r="B237" i="5"/>
  <c r="A237" i="5"/>
  <c r="B236" i="5"/>
  <c r="A236" i="5"/>
  <c r="B235" i="5"/>
  <c r="A235" i="5"/>
  <c r="B234" i="5"/>
  <c r="A234" i="5"/>
  <c r="A233" i="5"/>
  <c r="C232" i="5"/>
  <c r="B232" i="5"/>
  <c r="A232" i="5"/>
  <c r="A231" i="5"/>
  <c r="B230" i="5"/>
  <c r="A230" i="5"/>
  <c r="B229" i="5"/>
  <c r="A229" i="5"/>
  <c r="A228" i="5"/>
  <c r="B227" i="5"/>
  <c r="A227" i="5"/>
  <c r="A226" i="5"/>
  <c r="A225" i="5"/>
  <c r="B224" i="5"/>
  <c r="A224" i="5"/>
  <c r="B223" i="5"/>
  <c r="A223" i="5"/>
  <c r="B222" i="5"/>
  <c r="A222" i="5"/>
  <c r="C221" i="5"/>
  <c r="B221" i="5"/>
  <c r="A221" i="5"/>
  <c r="D220" i="5"/>
  <c r="C220" i="5"/>
  <c r="B220" i="5"/>
  <c r="A220" i="5"/>
  <c r="B219" i="5"/>
  <c r="A219" i="5"/>
  <c r="B218" i="5"/>
  <c r="A218" i="5"/>
  <c r="B217" i="5"/>
  <c r="A217" i="5"/>
  <c r="B216" i="5"/>
  <c r="A216" i="5"/>
  <c r="D215" i="5"/>
  <c r="B215" i="5"/>
  <c r="A215" i="5"/>
  <c r="B214" i="5"/>
  <c r="A214" i="5"/>
  <c r="D213" i="5"/>
  <c r="B213" i="5"/>
  <c r="A213" i="5"/>
  <c r="A212" i="5"/>
  <c r="B211" i="5"/>
  <c r="A211" i="5"/>
  <c r="B210" i="5"/>
  <c r="A210" i="5"/>
  <c r="A209" i="5"/>
  <c r="B208" i="5"/>
  <c r="A208" i="5"/>
  <c r="B207" i="5"/>
  <c r="A207" i="5"/>
  <c r="B206" i="5"/>
  <c r="A206" i="5"/>
  <c r="B205" i="5"/>
  <c r="A205" i="5"/>
  <c r="B204" i="5"/>
  <c r="A204" i="5"/>
  <c r="B203" i="5"/>
  <c r="A203" i="5"/>
  <c r="B202" i="5"/>
  <c r="A202" i="5"/>
  <c r="B201" i="5"/>
  <c r="A201" i="5"/>
  <c r="B200" i="5"/>
  <c r="A200" i="5"/>
  <c r="B199" i="5"/>
  <c r="A199" i="5"/>
  <c r="D198" i="5"/>
  <c r="B198" i="5"/>
  <c r="A198" i="5"/>
  <c r="B197" i="5"/>
  <c r="A197" i="5"/>
  <c r="A196" i="5"/>
  <c r="C195" i="5"/>
  <c r="B195" i="5"/>
  <c r="A195" i="5"/>
  <c r="B194" i="5"/>
  <c r="A194" i="5"/>
  <c r="B193" i="5"/>
  <c r="A193" i="5"/>
  <c r="A192" i="5"/>
  <c r="D191" i="5"/>
  <c r="C191" i="5"/>
  <c r="B191" i="5"/>
  <c r="A191" i="5"/>
  <c r="B190" i="5"/>
  <c r="A190" i="5"/>
  <c r="B189" i="5"/>
  <c r="A189" i="5"/>
  <c r="C188" i="5"/>
  <c r="B188" i="5"/>
  <c r="A188" i="5"/>
  <c r="B187" i="5"/>
  <c r="A187" i="5"/>
  <c r="B186" i="5"/>
  <c r="A186" i="5"/>
  <c r="A185" i="5"/>
  <c r="D184" i="5"/>
  <c r="C184" i="5"/>
  <c r="B184" i="5"/>
  <c r="A184" i="5"/>
  <c r="A183" i="5"/>
  <c r="B182" i="5"/>
  <c r="A182" i="5"/>
  <c r="B181" i="5"/>
  <c r="A181" i="5"/>
  <c r="B180" i="5"/>
  <c r="A180" i="5"/>
  <c r="B179" i="5"/>
  <c r="A179" i="5"/>
  <c r="B178" i="5"/>
  <c r="A178" i="5"/>
  <c r="A177" i="5"/>
  <c r="B176" i="5"/>
  <c r="A176" i="5"/>
  <c r="B175" i="5"/>
  <c r="A175" i="5"/>
  <c r="A174" i="5"/>
  <c r="A173" i="5"/>
  <c r="B172" i="5"/>
  <c r="A172" i="5"/>
  <c r="B171" i="5"/>
  <c r="A171" i="5"/>
  <c r="B170" i="5"/>
  <c r="A170" i="5"/>
  <c r="B169" i="5"/>
  <c r="A169" i="5"/>
  <c r="A168" i="5"/>
  <c r="B167" i="5"/>
  <c r="A167" i="5"/>
  <c r="B166" i="5"/>
  <c r="A166" i="5"/>
  <c r="B165" i="5"/>
  <c r="A165" i="5"/>
  <c r="B164" i="5"/>
  <c r="A164" i="5"/>
  <c r="D163" i="5"/>
  <c r="C163" i="5"/>
  <c r="B163" i="5"/>
  <c r="A163" i="5"/>
  <c r="A162" i="5"/>
  <c r="A161" i="5"/>
  <c r="B160" i="5"/>
  <c r="A160" i="5"/>
  <c r="B159" i="5"/>
  <c r="A159" i="5"/>
  <c r="C158" i="5"/>
  <c r="B158" i="5"/>
  <c r="A158" i="5"/>
  <c r="B157" i="5"/>
  <c r="A157" i="5"/>
  <c r="B156" i="5"/>
  <c r="A156" i="5"/>
  <c r="B155" i="5"/>
  <c r="A155" i="5"/>
  <c r="D154" i="5"/>
  <c r="B154" i="5"/>
  <c r="A154" i="5"/>
  <c r="B153" i="5"/>
  <c r="A153" i="5"/>
  <c r="B152" i="5"/>
  <c r="A152" i="5"/>
  <c r="B151" i="5"/>
  <c r="A151" i="5"/>
  <c r="B150" i="5"/>
  <c r="A150" i="5"/>
  <c r="D149" i="5"/>
  <c r="B149" i="5"/>
  <c r="A149" i="5"/>
  <c r="D148" i="5"/>
  <c r="B148" i="5"/>
  <c r="A148" i="5"/>
  <c r="D147" i="5"/>
  <c r="B147" i="5"/>
  <c r="A147" i="5"/>
  <c r="D146" i="5"/>
  <c r="B146" i="5"/>
  <c r="A146" i="5"/>
  <c r="B145" i="5"/>
  <c r="A145" i="5"/>
  <c r="D144" i="5"/>
  <c r="B144" i="5"/>
  <c r="A144" i="5"/>
  <c r="B143" i="5"/>
  <c r="A143" i="5"/>
  <c r="B142" i="5"/>
  <c r="A142" i="5"/>
  <c r="B141" i="5"/>
  <c r="A141" i="5"/>
  <c r="B140" i="5"/>
  <c r="A140" i="5"/>
  <c r="A139" i="5"/>
  <c r="B138" i="5"/>
  <c r="A138" i="5"/>
  <c r="A137" i="5"/>
  <c r="A136" i="5"/>
  <c r="B135" i="5"/>
  <c r="A135" i="5"/>
  <c r="B134" i="5"/>
  <c r="A134" i="5"/>
  <c r="D133" i="5"/>
  <c r="B133" i="5"/>
  <c r="A133" i="5"/>
  <c r="B132" i="5"/>
  <c r="A132" i="5"/>
  <c r="B131" i="5"/>
  <c r="A131" i="5"/>
  <c r="B130" i="5"/>
  <c r="A130" i="5"/>
  <c r="B129" i="5"/>
  <c r="A129" i="5"/>
  <c r="D128" i="5"/>
  <c r="C128" i="5"/>
  <c r="B128" i="5"/>
  <c r="A128" i="5"/>
  <c r="D127" i="5"/>
  <c r="C127" i="5"/>
  <c r="B127" i="5"/>
  <c r="A127" i="5"/>
  <c r="B126" i="5"/>
  <c r="A126" i="5"/>
  <c r="B125" i="5"/>
  <c r="A125" i="5"/>
  <c r="C124" i="5"/>
  <c r="B124" i="5"/>
  <c r="A124" i="5"/>
  <c r="A123" i="5"/>
  <c r="D122" i="5"/>
  <c r="C122" i="5"/>
  <c r="B122" i="5"/>
  <c r="A122" i="5"/>
  <c r="B121" i="5"/>
  <c r="A121" i="5"/>
  <c r="B120" i="5"/>
  <c r="A120" i="5"/>
  <c r="D119" i="5"/>
  <c r="B119" i="5"/>
  <c r="A119" i="5"/>
  <c r="B118" i="5"/>
  <c r="A118" i="5"/>
  <c r="D117" i="5"/>
  <c r="C117" i="5"/>
  <c r="B117" i="5"/>
  <c r="A117" i="5"/>
  <c r="D116" i="5"/>
  <c r="C116" i="5"/>
  <c r="B116" i="5"/>
  <c r="A116" i="5"/>
  <c r="B115" i="5"/>
  <c r="A115" i="5"/>
  <c r="B114" i="5"/>
  <c r="A114" i="5"/>
  <c r="B113" i="5"/>
  <c r="A113" i="5"/>
  <c r="C112" i="5"/>
  <c r="B112" i="5"/>
  <c r="A112" i="5"/>
  <c r="B111" i="5"/>
  <c r="A111" i="5"/>
  <c r="B110" i="5"/>
  <c r="A110" i="5"/>
  <c r="B109" i="5"/>
  <c r="A109" i="5"/>
  <c r="B108" i="5"/>
  <c r="A108" i="5"/>
  <c r="B107" i="5"/>
  <c r="A107" i="5"/>
  <c r="C106" i="5"/>
  <c r="B106" i="5"/>
  <c r="A106" i="5"/>
  <c r="B105" i="5"/>
  <c r="A105" i="5"/>
  <c r="C104" i="5"/>
  <c r="B104" i="5"/>
  <c r="A104" i="5"/>
  <c r="C103" i="5"/>
  <c r="B103" i="5"/>
  <c r="A103" i="5"/>
  <c r="B102" i="5"/>
  <c r="A102" i="5"/>
  <c r="B101" i="5"/>
  <c r="A101" i="5"/>
  <c r="C100" i="5"/>
  <c r="B100" i="5"/>
  <c r="A100" i="5"/>
  <c r="D99" i="5"/>
  <c r="C99" i="5"/>
  <c r="B99" i="5"/>
  <c r="A99" i="5"/>
  <c r="B98" i="5"/>
  <c r="A98" i="5"/>
  <c r="B97" i="5"/>
  <c r="A97" i="5"/>
  <c r="C96" i="5"/>
  <c r="B96" i="5"/>
  <c r="A96" i="5"/>
  <c r="B95" i="5"/>
  <c r="A95" i="5"/>
  <c r="B94" i="5"/>
  <c r="A94" i="5"/>
  <c r="D93" i="5"/>
  <c r="B93" i="5"/>
  <c r="A93" i="5"/>
  <c r="B92" i="5"/>
  <c r="A92" i="5"/>
  <c r="B91" i="5"/>
  <c r="A91" i="5"/>
  <c r="B90" i="5"/>
  <c r="A90" i="5"/>
  <c r="C89" i="5"/>
  <c r="B89" i="5"/>
  <c r="A89" i="5"/>
  <c r="B88" i="5"/>
  <c r="A88" i="5"/>
  <c r="B87" i="5"/>
  <c r="A87" i="5"/>
  <c r="C86" i="5"/>
  <c r="B86" i="5"/>
  <c r="A86" i="5"/>
  <c r="C85" i="5"/>
  <c r="B85" i="5"/>
  <c r="A85" i="5"/>
  <c r="B84" i="5"/>
  <c r="A84" i="5"/>
  <c r="B83" i="5"/>
  <c r="A83" i="5"/>
  <c r="B82" i="5"/>
  <c r="A82" i="5"/>
  <c r="A81" i="5"/>
  <c r="C80" i="5"/>
  <c r="B80" i="5"/>
  <c r="A80" i="5"/>
  <c r="B79" i="5"/>
  <c r="A79" i="5"/>
  <c r="B78" i="5"/>
  <c r="A78" i="5"/>
  <c r="B77" i="5"/>
  <c r="A77" i="5"/>
  <c r="A76" i="5"/>
  <c r="B75" i="5"/>
  <c r="A75" i="5"/>
  <c r="A74" i="5"/>
  <c r="C73" i="5"/>
  <c r="B73" i="5"/>
  <c r="A73" i="5"/>
  <c r="A72" i="5"/>
  <c r="C71" i="5"/>
  <c r="B71" i="5"/>
  <c r="A71" i="5"/>
  <c r="C70" i="5"/>
  <c r="B70" i="5"/>
  <c r="A70" i="5"/>
  <c r="B69" i="5"/>
  <c r="A69" i="5"/>
  <c r="A68" i="5"/>
  <c r="B67" i="5"/>
  <c r="A67" i="5"/>
  <c r="B66" i="5"/>
  <c r="A66" i="5"/>
  <c r="B65" i="5"/>
  <c r="A65" i="5"/>
  <c r="B64" i="5"/>
  <c r="A64" i="5"/>
  <c r="A63" i="5"/>
  <c r="A62" i="5"/>
  <c r="A61" i="5"/>
  <c r="B60" i="5"/>
  <c r="A60" i="5"/>
  <c r="C59" i="5"/>
  <c r="B59" i="5"/>
  <c r="A59" i="5"/>
  <c r="A58" i="5"/>
  <c r="B57" i="5"/>
  <c r="A57" i="5"/>
  <c r="B56" i="5"/>
  <c r="A56" i="5"/>
  <c r="B55" i="5"/>
  <c r="A55" i="5"/>
  <c r="B54" i="5"/>
  <c r="A54" i="5"/>
  <c r="B53" i="5"/>
  <c r="A53" i="5"/>
  <c r="A52" i="5"/>
  <c r="A51" i="5"/>
  <c r="B50" i="5"/>
  <c r="A50" i="5"/>
  <c r="B49" i="5"/>
  <c r="A49" i="5"/>
  <c r="B48" i="5"/>
  <c r="A48" i="5"/>
  <c r="B47" i="5"/>
  <c r="A47" i="5"/>
  <c r="B46" i="5"/>
  <c r="A46" i="5"/>
  <c r="B45" i="5"/>
  <c r="A45" i="5"/>
  <c r="B44" i="5"/>
  <c r="A44" i="5"/>
  <c r="B43" i="5"/>
  <c r="A43" i="5"/>
  <c r="A42" i="5"/>
  <c r="C41" i="5"/>
  <c r="B41" i="5"/>
  <c r="A41" i="5"/>
  <c r="B40" i="5"/>
  <c r="A40" i="5"/>
  <c r="B39" i="5"/>
  <c r="A39" i="5"/>
  <c r="A38" i="5"/>
  <c r="A37" i="5"/>
  <c r="B36" i="5"/>
  <c r="A36" i="5"/>
  <c r="B35" i="5"/>
  <c r="A35" i="5"/>
  <c r="B34" i="5"/>
  <c r="A34" i="5"/>
  <c r="B33" i="5"/>
  <c r="A33" i="5"/>
  <c r="B32" i="5"/>
  <c r="A32" i="5"/>
  <c r="A31" i="5"/>
  <c r="B30" i="5"/>
  <c r="A30" i="5"/>
  <c r="B29" i="5"/>
  <c r="A29" i="5"/>
  <c r="A28" i="5"/>
  <c r="B27" i="5"/>
  <c r="A27" i="5"/>
  <c r="B26" i="5"/>
  <c r="A26" i="5"/>
  <c r="B25" i="5"/>
  <c r="A25" i="5"/>
  <c r="B24" i="5"/>
  <c r="A24" i="5"/>
  <c r="B23" i="5"/>
  <c r="A23" i="5"/>
  <c r="B22" i="5"/>
  <c r="A22" i="5"/>
  <c r="A21" i="5"/>
  <c r="B20" i="5"/>
  <c r="A20" i="5"/>
  <c r="A19" i="5"/>
  <c r="B18" i="5"/>
  <c r="A18" i="5"/>
  <c r="B17" i="5"/>
  <c r="A17" i="5"/>
  <c r="B16" i="5"/>
  <c r="A16" i="5"/>
  <c r="A15" i="5"/>
  <c r="D14" i="5"/>
  <c r="C14" i="5"/>
  <c r="B14" i="5"/>
  <c r="A14" i="5"/>
  <c r="B13" i="5"/>
  <c r="A13" i="5"/>
  <c r="B12" i="5"/>
  <c r="A12" i="5"/>
  <c r="C11" i="5"/>
  <c r="B11" i="5"/>
  <c r="A11" i="5"/>
  <c r="B10" i="5"/>
  <c r="A10" i="5"/>
  <c r="B9" i="5"/>
  <c r="A9" i="5"/>
  <c r="B8" i="5"/>
  <c r="A8" i="5"/>
  <c r="D7" i="5"/>
  <c r="B7" i="5"/>
  <c r="A7" i="5"/>
  <c r="B6" i="5"/>
  <c r="A6" i="5"/>
  <c r="B5" i="5"/>
  <c r="A5" i="5"/>
  <c r="B4" i="5"/>
  <c r="A4" i="5"/>
  <c r="B3" i="5"/>
  <c r="A3" i="5"/>
  <c r="B2" i="5"/>
  <c r="A2" i="5"/>
  <c r="D1" i="5"/>
  <c r="C1" i="5"/>
  <c r="B1" i="5"/>
  <c r="A1" i="5"/>
  <c r="E2500" i="4"/>
  <c r="D2500" i="4"/>
  <c r="C2500" i="4"/>
  <c r="B2500" i="4"/>
  <c r="A2500" i="4"/>
  <c r="E2499" i="4"/>
  <c r="D2499" i="4"/>
  <c r="C2499" i="4"/>
  <c r="B2499" i="4"/>
  <c r="A2499" i="4"/>
  <c r="E2498" i="4"/>
  <c r="D2498" i="4"/>
  <c r="C2498" i="4"/>
  <c r="B2498" i="4"/>
  <c r="A2498" i="4"/>
  <c r="E2497" i="4"/>
  <c r="D2497" i="4"/>
  <c r="C2497" i="4"/>
  <c r="B2497" i="4"/>
  <c r="A2497" i="4"/>
  <c r="F2496" i="4"/>
  <c r="E2496" i="4"/>
  <c r="D2496" i="4"/>
  <c r="C2496" i="4"/>
  <c r="B2496" i="4"/>
  <c r="A2496" i="4"/>
  <c r="E2495" i="4"/>
  <c r="D2495" i="4"/>
  <c r="C2495" i="4"/>
  <c r="B2495" i="4"/>
  <c r="A2495" i="4"/>
  <c r="F2494" i="4"/>
  <c r="E2494" i="4"/>
  <c r="D2494" i="4"/>
  <c r="C2494" i="4"/>
  <c r="B2494" i="4"/>
  <c r="A2494" i="4"/>
  <c r="E2493" i="4"/>
  <c r="D2493" i="4"/>
  <c r="C2493" i="4"/>
  <c r="B2493" i="4"/>
  <c r="A2493" i="4"/>
  <c r="E2492" i="4"/>
  <c r="D2492" i="4"/>
  <c r="C2492" i="4"/>
  <c r="B2492" i="4"/>
  <c r="A2492" i="4"/>
  <c r="E2491" i="4"/>
  <c r="D2491" i="4"/>
  <c r="C2491" i="4"/>
  <c r="B2491" i="4"/>
  <c r="A2491" i="4"/>
  <c r="E2490" i="4"/>
  <c r="D2490" i="4"/>
  <c r="C2490" i="4"/>
  <c r="B2490" i="4"/>
  <c r="A2490" i="4"/>
  <c r="E2489" i="4"/>
  <c r="D2489" i="4"/>
  <c r="C2489" i="4"/>
  <c r="B2489" i="4"/>
  <c r="A2489" i="4"/>
  <c r="E2488" i="4"/>
  <c r="D2488" i="4"/>
  <c r="C2488" i="4"/>
  <c r="B2488" i="4"/>
  <c r="A2488" i="4"/>
  <c r="E2487" i="4"/>
  <c r="D2487" i="4"/>
  <c r="C2487" i="4"/>
  <c r="B2487" i="4"/>
  <c r="A2487" i="4"/>
  <c r="D2486" i="4"/>
  <c r="C2486" i="4"/>
  <c r="B2486" i="4"/>
  <c r="A2486" i="4"/>
  <c r="E2485" i="4"/>
  <c r="D2485" i="4"/>
  <c r="C2485" i="4"/>
  <c r="B2485" i="4"/>
  <c r="A2485" i="4"/>
  <c r="E2484" i="4"/>
  <c r="D2484" i="4"/>
  <c r="C2484" i="4"/>
  <c r="B2484" i="4"/>
  <c r="A2484" i="4"/>
  <c r="E2483" i="4"/>
  <c r="D2483" i="4"/>
  <c r="C2483" i="4"/>
  <c r="B2483" i="4"/>
  <c r="A2483" i="4"/>
  <c r="E2482" i="4"/>
  <c r="D2482" i="4"/>
  <c r="C2482" i="4"/>
  <c r="B2482" i="4"/>
  <c r="A2482" i="4"/>
  <c r="F2481" i="4"/>
  <c r="E2481" i="4"/>
  <c r="D2481" i="4"/>
  <c r="C2481" i="4"/>
  <c r="B2481" i="4"/>
  <c r="A2481" i="4"/>
  <c r="E2480" i="4"/>
  <c r="D2480" i="4"/>
  <c r="C2480" i="4"/>
  <c r="B2480" i="4"/>
  <c r="A2480" i="4"/>
  <c r="E2479" i="4"/>
  <c r="D2479" i="4"/>
  <c r="C2479" i="4"/>
  <c r="B2479" i="4"/>
  <c r="A2479" i="4"/>
  <c r="E2478" i="4"/>
  <c r="D2478" i="4"/>
  <c r="C2478" i="4"/>
  <c r="B2478" i="4"/>
  <c r="A2478" i="4"/>
  <c r="F2477" i="4"/>
  <c r="E2477" i="4"/>
  <c r="D2477" i="4"/>
  <c r="C2477" i="4"/>
  <c r="B2477" i="4"/>
  <c r="A2477" i="4"/>
  <c r="E2476" i="4"/>
  <c r="D2476" i="4"/>
  <c r="B2476" i="4"/>
  <c r="A2476" i="4"/>
  <c r="E2475" i="4"/>
  <c r="D2475" i="4"/>
  <c r="C2475" i="4"/>
  <c r="B2475" i="4"/>
  <c r="A2475" i="4"/>
  <c r="E2474" i="4"/>
  <c r="D2474" i="4"/>
  <c r="B2474" i="4"/>
  <c r="A2474" i="4"/>
  <c r="F2473" i="4"/>
  <c r="E2473" i="4"/>
  <c r="D2473" i="4"/>
  <c r="C2473" i="4"/>
  <c r="B2473" i="4"/>
  <c r="A2473" i="4"/>
  <c r="E2472" i="4"/>
  <c r="D2472" i="4"/>
  <c r="B2472" i="4"/>
  <c r="A2472" i="4"/>
  <c r="E2471" i="4"/>
  <c r="D2471" i="4"/>
  <c r="C2471" i="4"/>
  <c r="B2471" i="4"/>
  <c r="A2471" i="4"/>
  <c r="F2470" i="4"/>
  <c r="E2470" i="4"/>
  <c r="D2470" i="4"/>
  <c r="C2470" i="4"/>
  <c r="B2470" i="4"/>
  <c r="A2470" i="4"/>
  <c r="E2469" i="4"/>
  <c r="D2469" i="4"/>
  <c r="C2469" i="4"/>
  <c r="B2469" i="4"/>
  <c r="A2469" i="4"/>
  <c r="F2468" i="4"/>
  <c r="E2468" i="4"/>
  <c r="D2468" i="4"/>
  <c r="C2468" i="4"/>
  <c r="B2468" i="4"/>
  <c r="A2468" i="4"/>
  <c r="E2467" i="4"/>
  <c r="D2467" i="4"/>
  <c r="C2467" i="4"/>
  <c r="B2467" i="4"/>
  <c r="A2467" i="4"/>
  <c r="E2466" i="4"/>
  <c r="D2466" i="4"/>
  <c r="C2466" i="4"/>
  <c r="B2466" i="4"/>
  <c r="A2466" i="4"/>
  <c r="E2465" i="4"/>
  <c r="D2465" i="4"/>
  <c r="C2465" i="4"/>
  <c r="B2465" i="4"/>
  <c r="A2465" i="4"/>
  <c r="E2464" i="4"/>
  <c r="D2464" i="4"/>
  <c r="C2464" i="4"/>
  <c r="B2464" i="4"/>
  <c r="A2464" i="4"/>
  <c r="E2463" i="4"/>
  <c r="D2463" i="4"/>
  <c r="C2463" i="4"/>
  <c r="B2463" i="4"/>
  <c r="A2463" i="4"/>
  <c r="E2462" i="4"/>
  <c r="D2462" i="4"/>
  <c r="C2462" i="4"/>
  <c r="B2462" i="4"/>
  <c r="A2462" i="4"/>
  <c r="E2461" i="4"/>
  <c r="D2461" i="4"/>
  <c r="C2461" i="4"/>
  <c r="B2461" i="4"/>
  <c r="A2461" i="4"/>
  <c r="E2460" i="4"/>
  <c r="D2460" i="4"/>
  <c r="B2460" i="4"/>
  <c r="A2460" i="4"/>
  <c r="E2459" i="4"/>
  <c r="D2459" i="4"/>
  <c r="C2459" i="4"/>
  <c r="B2459" i="4"/>
  <c r="A2459" i="4"/>
  <c r="E2458" i="4"/>
  <c r="D2458" i="4"/>
  <c r="C2458" i="4"/>
  <c r="B2458" i="4"/>
  <c r="A2458" i="4"/>
  <c r="E2457" i="4"/>
  <c r="D2457" i="4"/>
  <c r="C2457" i="4"/>
  <c r="B2457" i="4"/>
  <c r="A2457" i="4"/>
  <c r="E2456" i="4"/>
  <c r="D2456" i="4"/>
  <c r="C2456" i="4"/>
  <c r="B2456" i="4"/>
  <c r="A2456" i="4"/>
  <c r="E2455" i="4"/>
  <c r="D2455" i="4"/>
  <c r="C2455" i="4"/>
  <c r="B2455" i="4"/>
  <c r="A2455" i="4"/>
  <c r="E2454" i="4"/>
  <c r="D2454" i="4"/>
  <c r="C2454"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B2449" i="4"/>
  <c r="A2449" i="4"/>
  <c r="E2448" i="4"/>
  <c r="D2448" i="4"/>
  <c r="B2448" i="4"/>
  <c r="A2448" i="4"/>
  <c r="E2447" i="4"/>
  <c r="D2447" i="4"/>
  <c r="B2447" i="4"/>
  <c r="A2447" i="4"/>
  <c r="E2446" i="4"/>
  <c r="D2446" i="4"/>
  <c r="B2446" i="4"/>
  <c r="A2446" i="4"/>
  <c r="F2445" i="4"/>
  <c r="E2445" i="4"/>
  <c r="D2445" i="4"/>
  <c r="C2445" i="4"/>
  <c r="B2445" i="4"/>
  <c r="A2445" i="4"/>
  <c r="E2444" i="4"/>
  <c r="D2444" i="4"/>
  <c r="B2444" i="4"/>
  <c r="A2444" i="4"/>
  <c r="E2443" i="4"/>
  <c r="D2443" i="4"/>
  <c r="B2443" i="4"/>
  <c r="A2443" i="4"/>
  <c r="F2442" i="4"/>
  <c r="E2442" i="4"/>
  <c r="D2442" i="4"/>
  <c r="C2442" i="4"/>
  <c r="B2442" i="4"/>
  <c r="A2442" i="4"/>
  <c r="E2441" i="4"/>
  <c r="D2441" i="4"/>
  <c r="B2441" i="4"/>
  <c r="A2441" i="4"/>
  <c r="E2440" i="4"/>
  <c r="D2440" i="4"/>
  <c r="B2440" i="4"/>
  <c r="A2440" i="4"/>
  <c r="F2439" i="4"/>
  <c r="E2439" i="4"/>
  <c r="D2439" i="4"/>
  <c r="C2439" i="4"/>
  <c r="B2439" i="4"/>
  <c r="A2439" i="4"/>
  <c r="E2438" i="4"/>
  <c r="D2438" i="4"/>
  <c r="B2438" i="4"/>
  <c r="A2438" i="4"/>
  <c r="E2437" i="4"/>
  <c r="D2437" i="4"/>
  <c r="B2437" i="4"/>
  <c r="A2437" i="4"/>
  <c r="E2436" i="4"/>
  <c r="D2436" i="4"/>
  <c r="B2436" i="4"/>
  <c r="A2436" i="4"/>
  <c r="F2435" i="4"/>
  <c r="E2435" i="4"/>
  <c r="D2435" i="4"/>
  <c r="C2435" i="4"/>
  <c r="B2435" i="4"/>
  <c r="A2435" i="4"/>
  <c r="E2434" i="4"/>
  <c r="D2434" i="4"/>
  <c r="B2434" i="4"/>
  <c r="A2434" i="4"/>
  <c r="E2433" i="4"/>
  <c r="D2433" i="4"/>
  <c r="B2433" i="4"/>
  <c r="A2433" i="4"/>
  <c r="F2432" i="4"/>
  <c r="E2432" i="4"/>
  <c r="D2432" i="4"/>
  <c r="C2432" i="4"/>
  <c r="B2432" i="4"/>
  <c r="A2432" i="4"/>
  <c r="E2431" i="4"/>
  <c r="D2431" i="4"/>
  <c r="B2431" i="4"/>
  <c r="A2431" i="4"/>
  <c r="E2430" i="4"/>
  <c r="D2430" i="4"/>
  <c r="B2430" i="4"/>
  <c r="A2430" i="4"/>
  <c r="E2429" i="4"/>
  <c r="D2429" i="4"/>
  <c r="B2429" i="4"/>
  <c r="A2429" i="4"/>
  <c r="F2428" i="4"/>
  <c r="E2428" i="4"/>
  <c r="D2428" i="4"/>
  <c r="C2428" i="4"/>
  <c r="B2428" i="4"/>
  <c r="A2428" i="4"/>
  <c r="E2427" i="4"/>
  <c r="D2427" i="4"/>
  <c r="B2427" i="4"/>
  <c r="A2427" i="4"/>
  <c r="E2426" i="4"/>
  <c r="D2426" i="4"/>
  <c r="B2426" i="4"/>
  <c r="A2426" i="4"/>
  <c r="E2425" i="4"/>
  <c r="D2425" i="4"/>
  <c r="B2425" i="4"/>
  <c r="A2425" i="4"/>
  <c r="E2424" i="4"/>
  <c r="D2424" i="4"/>
  <c r="C2424" i="4"/>
  <c r="B2424" i="4"/>
  <c r="A2424" i="4"/>
  <c r="E2423" i="4"/>
  <c r="D2423" i="4"/>
  <c r="B2423" i="4"/>
  <c r="A2423" i="4"/>
  <c r="E2422" i="4"/>
  <c r="D2422" i="4"/>
  <c r="B2422" i="4"/>
  <c r="A2422" i="4"/>
  <c r="F2421" i="4"/>
  <c r="E2421" i="4"/>
  <c r="D2421" i="4"/>
  <c r="C2421" i="4"/>
  <c r="B2421" i="4"/>
  <c r="A2421" i="4"/>
  <c r="E2420" i="4"/>
  <c r="D2420" i="4"/>
  <c r="B2420" i="4"/>
  <c r="A2420" i="4"/>
  <c r="E2419" i="4"/>
  <c r="D2419" i="4"/>
  <c r="B2419" i="4"/>
  <c r="A2419" i="4"/>
  <c r="E2418" i="4"/>
  <c r="D2418" i="4"/>
  <c r="B2418" i="4"/>
  <c r="A2418" i="4"/>
  <c r="E2417" i="4"/>
  <c r="D2417" i="4"/>
  <c r="B2417" i="4"/>
  <c r="A2417" i="4"/>
  <c r="F2416" i="4"/>
  <c r="E2416" i="4"/>
  <c r="D2416" i="4"/>
  <c r="C2416" i="4"/>
  <c r="B2416" i="4"/>
  <c r="A2416" i="4"/>
  <c r="E2415" i="4"/>
  <c r="D2415" i="4"/>
  <c r="B2415" i="4"/>
  <c r="A2415" i="4"/>
  <c r="E2414" i="4"/>
  <c r="D2414" i="4"/>
  <c r="C2414" i="4"/>
  <c r="B2414" i="4"/>
  <c r="A2414" i="4"/>
  <c r="E2413" i="4"/>
  <c r="D2413" i="4"/>
  <c r="C2413" i="4"/>
  <c r="B2413" i="4"/>
  <c r="A2413" i="4"/>
  <c r="E2412" i="4"/>
  <c r="D2412" i="4"/>
  <c r="C2412" i="4"/>
  <c r="B2412" i="4"/>
  <c r="A2412" i="4"/>
  <c r="E2411" i="4"/>
  <c r="D2411" i="4"/>
  <c r="C2411" i="4"/>
  <c r="B2411" i="4"/>
  <c r="A2411" i="4"/>
  <c r="E2410" i="4"/>
  <c r="D2410" i="4"/>
  <c r="C2410" i="4"/>
  <c r="B2410" i="4"/>
  <c r="A2410" i="4"/>
  <c r="E2409" i="4"/>
  <c r="D2409" i="4"/>
  <c r="B2409" i="4"/>
  <c r="A2409" i="4"/>
  <c r="E2408" i="4"/>
  <c r="D2408" i="4"/>
  <c r="B2408" i="4"/>
  <c r="A2408" i="4"/>
  <c r="E2407" i="4"/>
  <c r="D2407" i="4"/>
  <c r="C2407" i="4"/>
  <c r="B2407" i="4"/>
  <c r="A2407" i="4"/>
  <c r="F2406" i="4"/>
  <c r="E2406" i="4"/>
  <c r="D2406" i="4"/>
  <c r="C2406" i="4"/>
  <c r="B2406" i="4"/>
  <c r="A2406" i="4"/>
  <c r="E2405" i="4"/>
  <c r="D2405" i="4"/>
  <c r="C2405" i="4"/>
  <c r="B2405" i="4"/>
  <c r="A2405" i="4"/>
  <c r="E2404" i="4"/>
  <c r="D2404" i="4"/>
  <c r="C2404" i="4"/>
  <c r="B2404" i="4"/>
  <c r="A2404" i="4"/>
  <c r="E2403" i="4"/>
  <c r="D2403" i="4"/>
  <c r="C2403" i="4"/>
  <c r="B2403" i="4"/>
  <c r="A2403" i="4"/>
  <c r="F2402" i="4"/>
  <c r="E2402" i="4"/>
  <c r="D2402" i="4"/>
  <c r="C2402" i="4"/>
  <c r="B2402" i="4"/>
  <c r="A2402" i="4"/>
  <c r="B2401" i="4"/>
  <c r="A2401" i="4"/>
  <c r="E2400" i="4"/>
  <c r="D2400" i="4"/>
  <c r="C2400" i="4"/>
  <c r="B2400" i="4"/>
  <c r="A2400" i="4"/>
  <c r="E2399" i="4"/>
  <c r="D2399" i="4"/>
  <c r="C2399" i="4"/>
  <c r="B2399" i="4"/>
  <c r="A2399" i="4"/>
  <c r="E2398" i="4"/>
  <c r="D2398" i="4"/>
  <c r="C2398" i="4"/>
  <c r="B2398" i="4"/>
  <c r="A2398" i="4"/>
  <c r="E2397" i="4"/>
  <c r="D2397" i="4"/>
  <c r="C2397" i="4"/>
  <c r="B2397" i="4"/>
  <c r="A2397" i="4"/>
  <c r="F2396" i="4"/>
  <c r="E2396" i="4"/>
  <c r="D2396" i="4"/>
  <c r="C2396"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E2390" i="4"/>
  <c r="D2390" i="4"/>
  <c r="C2390" i="4"/>
  <c r="B2390" i="4"/>
  <c r="A2390" i="4"/>
  <c r="E2389" i="4"/>
  <c r="D2389" i="4"/>
  <c r="C2389" i="4"/>
  <c r="B2389" i="4"/>
  <c r="A2389" i="4"/>
  <c r="E2388" i="4"/>
  <c r="D2388" i="4"/>
  <c r="C2388" i="4"/>
  <c r="B2388" i="4"/>
  <c r="A2388" i="4"/>
  <c r="E2387" i="4"/>
  <c r="D2387" i="4"/>
  <c r="C2387" i="4"/>
  <c r="B2387" i="4"/>
  <c r="A2387" i="4"/>
  <c r="F2386" i="4"/>
  <c r="E2386" i="4"/>
  <c r="D2386" i="4"/>
  <c r="C2386" i="4"/>
  <c r="B2386" i="4"/>
  <c r="A2386" i="4"/>
  <c r="F2385" i="4"/>
  <c r="E2385" i="4"/>
  <c r="D2385" i="4"/>
  <c r="C2385" i="4"/>
  <c r="B2385" i="4"/>
  <c r="A2385" i="4"/>
  <c r="E2384" i="4"/>
  <c r="D2384" i="4"/>
  <c r="C2384" i="4"/>
  <c r="B2384" i="4"/>
  <c r="A2384" i="4"/>
  <c r="E2383" i="4"/>
  <c r="D2383" i="4"/>
  <c r="C2383" i="4"/>
  <c r="B2383" i="4"/>
  <c r="A2383" i="4"/>
  <c r="E2382" i="4"/>
  <c r="D2382" i="4"/>
  <c r="C2382" i="4"/>
  <c r="B2382" i="4"/>
  <c r="A2382" i="4"/>
  <c r="E2381" i="4"/>
  <c r="D2381" i="4"/>
  <c r="C2381" i="4"/>
  <c r="B2381" i="4"/>
  <c r="A2381" i="4"/>
  <c r="E2380" i="4"/>
  <c r="D2380" i="4"/>
  <c r="C2380" i="4"/>
  <c r="B2380" i="4"/>
  <c r="A2380" i="4"/>
  <c r="E2379" i="4"/>
  <c r="D2379" i="4"/>
  <c r="B2379" i="4"/>
  <c r="A2379" i="4"/>
  <c r="E2378" i="4"/>
  <c r="D2378" i="4"/>
  <c r="C2378" i="4"/>
  <c r="B2378" i="4"/>
  <c r="A2378" i="4"/>
  <c r="E2377" i="4"/>
  <c r="D2377" i="4"/>
  <c r="C2377" i="4"/>
  <c r="B2377" i="4"/>
  <c r="A2377" i="4"/>
  <c r="E2376" i="4"/>
  <c r="D2376" i="4"/>
  <c r="C2376" i="4"/>
  <c r="B2376" i="4"/>
  <c r="A2376" i="4"/>
  <c r="E2375" i="4"/>
  <c r="D2375" i="4"/>
  <c r="C2375" i="4"/>
  <c r="B2375" i="4"/>
  <c r="A2375" i="4"/>
  <c r="E2374" i="4"/>
  <c r="D2374" i="4"/>
  <c r="C2374" i="4"/>
  <c r="B2374" i="4"/>
  <c r="A2374" i="4"/>
  <c r="F2373" i="4"/>
  <c r="E2373" i="4"/>
  <c r="D2373" i="4"/>
  <c r="C2373" i="4"/>
  <c r="B2373" i="4"/>
  <c r="A2373" i="4"/>
  <c r="B2372" i="4"/>
  <c r="A2372" i="4"/>
  <c r="E2371" i="4"/>
  <c r="D2371" i="4"/>
  <c r="C2371" i="4"/>
  <c r="B2371" i="4"/>
  <c r="A2371" i="4"/>
  <c r="E2370" i="4"/>
  <c r="D2370" i="4"/>
  <c r="C2370" i="4"/>
  <c r="B2370" i="4"/>
  <c r="A2370" i="4"/>
  <c r="B2369" i="4"/>
  <c r="A2369" i="4"/>
  <c r="F2368" i="4"/>
  <c r="E2368" i="4"/>
  <c r="D2368" i="4"/>
  <c r="C2368" i="4"/>
  <c r="B2368" i="4"/>
  <c r="A2368" i="4"/>
  <c r="E2367" i="4"/>
  <c r="D2367" i="4"/>
  <c r="C2367" i="4"/>
  <c r="B2367" i="4"/>
  <c r="A2367" i="4"/>
  <c r="F2366" i="4"/>
  <c r="E2366" i="4"/>
  <c r="D2366" i="4"/>
  <c r="C2366" i="4"/>
  <c r="B2366" i="4"/>
  <c r="A2366" i="4"/>
  <c r="F2365" i="4"/>
  <c r="E2365" i="4"/>
  <c r="D2365" i="4"/>
  <c r="C2365" i="4"/>
  <c r="B2365" i="4"/>
  <c r="A2365" i="4"/>
  <c r="E2364" i="4"/>
  <c r="D2364" i="4"/>
  <c r="C2364" i="4"/>
  <c r="B2364" i="4"/>
  <c r="A2364" i="4"/>
  <c r="E2363" i="4"/>
  <c r="D2363" i="4"/>
  <c r="C2363" i="4"/>
  <c r="B2363" i="4"/>
  <c r="A2363" i="4"/>
  <c r="E2362" i="4"/>
  <c r="D2362" i="4"/>
  <c r="C2362" i="4"/>
  <c r="B2362" i="4"/>
  <c r="A2362" i="4"/>
  <c r="E2361" i="4"/>
  <c r="D2361" i="4"/>
  <c r="C2361" i="4"/>
  <c r="B2361" i="4"/>
  <c r="A2361" i="4"/>
  <c r="E2360" i="4"/>
  <c r="D2360" i="4"/>
  <c r="C2360" i="4"/>
  <c r="B2360" i="4"/>
  <c r="A2360" i="4"/>
  <c r="E2359" i="4"/>
  <c r="D2359" i="4"/>
  <c r="C2359" i="4"/>
  <c r="B2359" i="4"/>
  <c r="A2359" i="4"/>
  <c r="E2358" i="4"/>
  <c r="D2358" i="4"/>
  <c r="C2358" i="4"/>
  <c r="B2358" i="4"/>
  <c r="A2358" i="4"/>
  <c r="E2357" i="4"/>
  <c r="D2357" i="4"/>
  <c r="C2357" i="4"/>
  <c r="B2357" i="4"/>
  <c r="A2357" i="4"/>
  <c r="E2356" i="4"/>
  <c r="D2356" i="4"/>
  <c r="C2356" i="4"/>
  <c r="B2356" i="4"/>
  <c r="A2356" i="4"/>
  <c r="E2355" i="4"/>
  <c r="D2355" i="4"/>
  <c r="C2355" i="4"/>
  <c r="B2355" i="4"/>
  <c r="A2355" i="4"/>
  <c r="E2354" i="4"/>
  <c r="D2354" i="4"/>
  <c r="C2354" i="4"/>
  <c r="B2354" i="4"/>
  <c r="A2354" i="4"/>
  <c r="E2353" i="4"/>
  <c r="D2353" i="4"/>
  <c r="C2353" i="4"/>
  <c r="B2353" i="4"/>
  <c r="A2353" i="4"/>
  <c r="E2352" i="4"/>
  <c r="D2352" i="4"/>
  <c r="C2352" i="4"/>
  <c r="B2352" i="4"/>
  <c r="A2352" i="4"/>
  <c r="E2351" i="4"/>
  <c r="D2351" i="4"/>
  <c r="C2351" i="4"/>
  <c r="B2351" i="4"/>
  <c r="A2351" i="4"/>
  <c r="E2350" i="4"/>
  <c r="D2350" i="4"/>
  <c r="C2350" i="4"/>
  <c r="B2350" i="4"/>
  <c r="A2350" i="4"/>
  <c r="E2349" i="4"/>
  <c r="D2349" i="4"/>
  <c r="C2349" i="4"/>
  <c r="B2349" i="4"/>
  <c r="A2349" i="4"/>
  <c r="E2348" i="4"/>
  <c r="D2348" i="4"/>
  <c r="C2348" i="4"/>
  <c r="B2348" i="4"/>
  <c r="A2348" i="4"/>
  <c r="E2347" i="4"/>
  <c r="D2347" i="4"/>
  <c r="C2347" i="4"/>
  <c r="B2347" i="4"/>
  <c r="A2347" i="4"/>
  <c r="E2346" i="4"/>
  <c r="D2346" i="4"/>
  <c r="C2346" i="4"/>
  <c r="B2346" i="4"/>
  <c r="A2346" i="4"/>
  <c r="E2345" i="4"/>
  <c r="D2345" i="4"/>
  <c r="C2345" i="4"/>
  <c r="B2345" i="4"/>
  <c r="A2345" i="4"/>
  <c r="E2344" i="4"/>
  <c r="D2344" i="4"/>
  <c r="C2344" i="4"/>
  <c r="B2344" i="4"/>
  <c r="A2344" i="4"/>
  <c r="E2343" i="4"/>
  <c r="D2343" i="4"/>
  <c r="C2343" i="4"/>
  <c r="B2343" i="4"/>
  <c r="A2343" i="4"/>
  <c r="E2342" i="4"/>
  <c r="D2342" i="4"/>
  <c r="C2342" i="4"/>
  <c r="B2342" i="4"/>
  <c r="A2342" i="4"/>
  <c r="E2341" i="4"/>
  <c r="D2341" i="4"/>
  <c r="C2341" i="4"/>
  <c r="B2341" i="4"/>
  <c r="A2341" i="4"/>
  <c r="E2340" i="4"/>
  <c r="D2340" i="4"/>
  <c r="C2340" i="4"/>
  <c r="B2340" i="4"/>
  <c r="A2340" i="4"/>
  <c r="B2339" i="4"/>
  <c r="A2339" i="4"/>
  <c r="F2338" i="4"/>
  <c r="E2338" i="4"/>
  <c r="D2338" i="4"/>
  <c r="C2338" i="4"/>
  <c r="B2338" i="4"/>
  <c r="A2338" i="4"/>
  <c r="F2337" i="4"/>
  <c r="E2337" i="4"/>
  <c r="D2337" i="4"/>
  <c r="C2337" i="4"/>
  <c r="B2337" i="4"/>
  <c r="A2337" i="4"/>
  <c r="E2336" i="4"/>
  <c r="D2336" i="4"/>
  <c r="B2336" i="4"/>
  <c r="A2336" i="4"/>
  <c r="E2335" i="4"/>
  <c r="D2335" i="4"/>
  <c r="B2335" i="4"/>
  <c r="A2335" i="4"/>
  <c r="B2334" i="4"/>
  <c r="A2334" i="4"/>
  <c r="E2333" i="4"/>
  <c r="D2333" i="4"/>
  <c r="C2333" i="4"/>
  <c r="B2333" i="4"/>
  <c r="A2333" i="4"/>
  <c r="E2332" i="4"/>
  <c r="D2332" i="4"/>
  <c r="C2332" i="4"/>
  <c r="B2332" i="4"/>
  <c r="A2332" i="4"/>
  <c r="E2331" i="4"/>
  <c r="D2331" i="4"/>
  <c r="C2331" i="4"/>
  <c r="B2331" i="4"/>
  <c r="A2331" i="4"/>
  <c r="E2330" i="4"/>
  <c r="D2330" i="4"/>
  <c r="C2330" i="4"/>
  <c r="B2330" i="4"/>
  <c r="A2330" i="4"/>
  <c r="E2329" i="4"/>
  <c r="D2329" i="4"/>
  <c r="C2329" i="4"/>
  <c r="B2329" i="4"/>
  <c r="A2329" i="4"/>
  <c r="E2328" i="4"/>
  <c r="D2328" i="4"/>
  <c r="C2328" i="4"/>
  <c r="B2328" i="4"/>
  <c r="A2328" i="4"/>
  <c r="E2327" i="4"/>
  <c r="D2327" i="4"/>
  <c r="C2327" i="4"/>
  <c r="B2327" i="4"/>
  <c r="A2327" i="4"/>
  <c r="E2326" i="4"/>
  <c r="D2326" i="4"/>
  <c r="C2326" i="4"/>
  <c r="B2326" i="4"/>
  <c r="A2326" i="4"/>
  <c r="E2325" i="4"/>
  <c r="D2325" i="4"/>
  <c r="C2325" i="4"/>
  <c r="B2325" i="4"/>
  <c r="A2325" i="4"/>
  <c r="E2324" i="4"/>
  <c r="D2324" i="4"/>
  <c r="C2324"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E2315" i="4"/>
  <c r="D2315" i="4"/>
  <c r="C2315" i="4"/>
  <c r="B2315" i="4"/>
  <c r="A2315" i="4"/>
  <c r="E2314" i="4"/>
  <c r="D2314" i="4"/>
  <c r="C2314" i="4"/>
  <c r="B2314" i="4"/>
  <c r="A2314" i="4"/>
  <c r="E2313" i="4"/>
  <c r="D2313" i="4"/>
  <c r="C2313" i="4"/>
  <c r="B2313" i="4"/>
  <c r="A2313" i="4"/>
  <c r="E2312" i="4"/>
  <c r="D2312" i="4"/>
  <c r="C2312" i="4"/>
  <c r="B2312" i="4"/>
  <c r="A2312" i="4"/>
  <c r="E2311" i="4"/>
  <c r="D2311" i="4"/>
  <c r="C2311" i="4"/>
  <c r="B2311" i="4"/>
  <c r="A2311" i="4"/>
  <c r="E2310" i="4"/>
  <c r="D2310" i="4"/>
  <c r="C2310" i="4"/>
  <c r="B2310" i="4"/>
  <c r="A2310" i="4"/>
  <c r="E2309" i="4"/>
  <c r="D2309" i="4"/>
  <c r="B2309" i="4"/>
  <c r="A2309" i="4"/>
  <c r="E2308" i="4"/>
  <c r="D2308" i="4"/>
  <c r="B2308" i="4"/>
  <c r="A2308" i="4"/>
  <c r="E2307" i="4"/>
  <c r="D2307" i="4"/>
  <c r="C2307" i="4"/>
  <c r="B2307" i="4"/>
  <c r="A2307" i="4"/>
  <c r="E2306" i="4"/>
  <c r="D2306" i="4"/>
  <c r="B2306" i="4"/>
  <c r="A2306" i="4"/>
  <c r="E2305" i="4"/>
  <c r="D2305" i="4"/>
  <c r="B2305" i="4"/>
  <c r="A2305" i="4"/>
  <c r="E2304" i="4"/>
  <c r="D2304" i="4"/>
  <c r="C2304" i="4"/>
  <c r="B2304" i="4"/>
  <c r="A2304" i="4"/>
  <c r="E2303" i="4"/>
  <c r="D2303" i="4"/>
  <c r="B2303" i="4"/>
  <c r="A2303" i="4"/>
  <c r="E2302" i="4"/>
  <c r="D2302" i="4"/>
  <c r="C2302" i="4"/>
  <c r="B2302" i="4"/>
  <c r="A2302" i="4"/>
  <c r="E2301" i="4"/>
  <c r="D2301" i="4"/>
  <c r="B2301" i="4"/>
  <c r="A2301" i="4"/>
  <c r="E2300" i="4"/>
  <c r="D2300" i="4"/>
  <c r="B2300" i="4"/>
  <c r="A2300" i="4"/>
  <c r="E2299" i="4"/>
  <c r="D2299" i="4"/>
  <c r="B2299" i="4"/>
  <c r="A2299" i="4"/>
  <c r="E2298" i="4"/>
  <c r="D2298" i="4"/>
  <c r="B2298" i="4"/>
  <c r="A2298" i="4"/>
  <c r="E2297" i="4"/>
  <c r="D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C2291" i="4"/>
  <c r="B2291" i="4"/>
  <c r="A2291" i="4"/>
  <c r="E2290" i="4"/>
  <c r="D2290" i="4"/>
  <c r="C2290" i="4"/>
  <c r="B2290" i="4"/>
  <c r="A2290" i="4"/>
  <c r="E2289" i="4"/>
  <c r="D2289" i="4"/>
  <c r="B2289" i="4"/>
  <c r="A2289" i="4"/>
  <c r="E2288" i="4"/>
  <c r="D2288" i="4"/>
  <c r="B2288" i="4"/>
  <c r="A2288" i="4"/>
  <c r="E2287" i="4"/>
  <c r="D2287" i="4"/>
  <c r="C2287" i="4"/>
  <c r="B2287" i="4"/>
  <c r="A2287"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E2280" i="4"/>
  <c r="D2280" i="4"/>
  <c r="C2280" i="4"/>
  <c r="B2280" i="4"/>
  <c r="A2280" i="4"/>
  <c r="E2279" i="4"/>
  <c r="D2279" i="4"/>
  <c r="C2279" i="4"/>
  <c r="B2279" i="4"/>
  <c r="A2279" i="4"/>
  <c r="E2278" i="4"/>
  <c r="D2278" i="4"/>
  <c r="C2278" i="4"/>
  <c r="B2278" i="4"/>
  <c r="A2278" i="4"/>
  <c r="E2277" i="4"/>
  <c r="D2277" i="4"/>
  <c r="C2277" i="4"/>
  <c r="B2277" i="4"/>
  <c r="A2277" i="4"/>
  <c r="E2276" i="4"/>
  <c r="D2276" i="4"/>
  <c r="C2276" i="4"/>
  <c r="B2276" i="4"/>
  <c r="A2276" i="4"/>
  <c r="F2275" i="4"/>
  <c r="E2275" i="4"/>
  <c r="D2275" i="4"/>
  <c r="C2275" i="4"/>
  <c r="B2275" i="4"/>
  <c r="A2275" i="4"/>
  <c r="D2274" i="4"/>
  <c r="C2274" i="4"/>
  <c r="B2274" i="4"/>
  <c r="A2274" i="4"/>
  <c r="D2273" i="4"/>
  <c r="C2273" i="4"/>
  <c r="B2273" i="4"/>
  <c r="A2273" i="4"/>
  <c r="E2272" i="4"/>
  <c r="D2272" i="4"/>
  <c r="C2272" i="4"/>
  <c r="B2272" i="4"/>
  <c r="A2272" i="4"/>
  <c r="E2271" i="4"/>
  <c r="D2271" i="4"/>
  <c r="C2271" i="4"/>
  <c r="B2271" i="4"/>
  <c r="A2271" i="4"/>
  <c r="E2270" i="4"/>
  <c r="D2270" i="4"/>
  <c r="C2270" i="4"/>
  <c r="B2270" i="4"/>
  <c r="A2270" i="4"/>
  <c r="E2269" i="4"/>
  <c r="D2269" i="4"/>
  <c r="C2269" i="4"/>
  <c r="B2269" i="4"/>
  <c r="A2269" i="4"/>
  <c r="E2268" i="4"/>
  <c r="D2268" i="4"/>
  <c r="B2268" i="4"/>
  <c r="A2268" i="4"/>
  <c r="E2267" i="4"/>
  <c r="D2267" i="4"/>
  <c r="B2267" i="4"/>
  <c r="A2267" i="4"/>
  <c r="E2266" i="4"/>
  <c r="D2266" i="4"/>
  <c r="B2266" i="4"/>
  <c r="A2266" i="4"/>
  <c r="E2265" i="4"/>
  <c r="D2265" i="4"/>
  <c r="B2265" i="4"/>
  <c r="A2265" i="4"/>
  <c r="E2264" i="4"/>
  <c r="D2264" i="4"/>
  <c r="B2264" i="4"/>
  <c r="A2264" i="4"/>
  <c r="E2263" i="4"/>
  <c r="D2263" i="4"/>
  <c r="B2263" i="4"/>
  <c r="A2263" i="4"/>
  <c r="E2262" i="4"/>
  <c r="D2262" i="4"/>
  <c r="B2262" i="4"/>
  <c r="A2262" i="4"/>
  <c r="E2261" i="4"/>
  <c r="D2261" i="4"/>
  <c r="C2261" i="4"/>
  <c r="B2261" i="4"/>
  <c r="A2261" i="4"/>
  <c r="E2260" i="4"/>
  <c r="D2260" i="4"/>
  <c r="C2260" i="4"/>
  <c r="B2260" i="4"/>
  <c r="A2260" i="4"/>
  <c r="E2259" i="4"/>
  <c r="D2259" i="4"/>
  <c r="C2259" i="4"/>
  <c r="B2259" i="4"/>
  <c r="A2259" i="4"/>
  <c r="E2258" i="4"/>
  <c r="D2258" i="4"/>
  <c r="C2258" i="4"/>
  <c r="B2258" i="4"/>
  <c r="A2258" i="4"/>
  <c r="E2257" i="4"/>
  <c r="D2257" i="4"/>
  <c r="C2257" i="4"/>
  <c r="B2257" i="4"/>
  <c r="A2257"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E2250" i="4"/>
  <c r="D2250" i="4"/>
  <c r="C2250" i="4"/>
  <c r="B2250" i="4"/>
  <c r="A2250" i="4"/>
  <c r="E2249" i="4"/>
  <c r="D2249" i="4"/>
  <c r="C2249" i="4"/>
  <c r="B2249" i="4"/>
  <c r="A2249" i="4"/>
  <c r="E2248" i="4"/>
  <c r="D2248" i="4"/>
  <c r="C2248" i="4"/>
  <c r="B2248" i="4"/>
  <c r="A2248" i="4"/>
  <c r="E2247" i="4"/>
  <c r="D2247" i="4"/>
  <c r="C2247" i="4"/>
  <c r="B2247" i="4"/>
  <c r="A2247" i="4"/>
  <c r="E2246" i="4"/>
  <c r="D2246" i="4"/>
  <c r="C2246" i="4"/>
  <c r="B2246" i="4"/>
  <c r="A2246" i="4"/>
  <c r="E2245" i="4"/>
  <c r="D2245" i="4"/>
  <c r="C2245" i="4"/>
  <c r="B2245" i="4"/>
  <c r="A2245" i="4"/>
  <c r="F2244" i="4"/>
  <c r="E2244" i="4"/>
  <c r="D2244" i="4"/>
  <c r="C2244" i="4"/>
  <c r="B2244" i="4"/>
  <c r="A2244" i="4"/>
  <c r="E2243" i="4"/>
  <c r="D2243" i="4"/>
  <c r="C2243" i="4"/>
  <c r="B2243" i="4"/>
  <c r="A2243" i="4"/>
  <c r="E2242" i="4"/>
  <c r="D2242" i="4"/>
  <c r="C2242" i="4"/>
  <c r="B2242" i="4"/>
  <c r="A2242" i="4"/>
  <c r="E2241" i="4"/>
  <c r="D2241" i="4"/>
  <c r="C2241" i="4"/>
  <c r="B2241" i="4"/>
  <c r="A2241" i="4"/>
  <c r="E2240" i="4"/>
  <c r="D2240" i="4"/>
  <c r="C2240" i="4"/>
  <c r="B2240" i="4"/>
  <c r="A2240" i="4"/>
  <c r="E2239" i="4"/>
  <c r="D2239" i="4"/>
  <c r="C2239" i="4"/>
  <c r="B2239" i="4"/>
  <c r="A2239" i="4"/>
  <c r="E2238" i="4"/>
  <c r="D2238" i="4"/>
  <c r="C2238" i="4"/>
  <c r="B2238" i="4"/>
  <c r="A2238" i="4"/>
  <c r="E2237" i="4"/>
  <c r="D2237" i="4"/>
  <c r="C2237" i="4"/>
  <c r="B2237" i="4"/>
  <c r="A2237" i="4"/>
  <c r="E2236" i="4"/>
  <c r="D2236" i="4"/>
  <c r="C2236" i="4"/>
  <c r="B2236" i="4"/>
  <c r="A2236" i="4"/>
  <c r="E2235" i="4"/>
  <c r="D2235" i="4"/>
  <c r="C2235" i="4"/>
  <c r="B2235" i="4"/>
  <c r="A2235" i="4"/>
  <c r="E2234" i="4"/>
  <c r="D2234" i="4"/>
  <c r="C2234" i="4"/>
  <c r="B2234" i="4"/>
  <c r="A2234" i="4"/>
  <c r="E2233" i="4"/>
  <c r="D2233" i="4"/>
  <c r="C2233" i="4"/>
  <c r="B2233" i="4"/>
  <c r="A2233" i="4"/>
  <c r="E2232" i="4"/>
  <c r="D2232" i="4"/>
  <c r="C2232" i="4"/>
  <c r="B2232" i="4"/>
  <c r="A2232" i="4"/>
  <c r="E2231" i="4"/>
  <c r="D2231" i="4"/>
  <c r="C2231" i="4"/>
  <c r="B2231" i="4"/>
  <c r="A2231" i="4"/>
  <c r="E2230" i="4"/>
  <c r="D2230" i="4"/>
  <c r="C2230" i="4"/>
  <c r="B2230" i="4"/>
  <c r="A2230" i="4"/>
  <c r="F2229" i="4"/>
  <c r="E2229" i="4"/>
  <c r="D2229" i="4"/>
  <c r="C2229" i="4"/>
  <c r="B2229" i="4"/>
  <c r="A2229" i="4"/>
  <c r="E2228" i="4"/>
  <c r="D2228" i="4"/>
  <c r="C2228" i="4"/>
  <c r="B2228" i="4"/>
  <c r="A2228" i="4"/>
  <c r="E2227" i="4"/>
  <c r="D2227" i="4"/>
  <c r="C2227"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D2222" i="4"/>
  <c r="C2222" i="4"/>
  <c r="B2222" i="4"/>
  <c r="A2222" i="4"/>
  <c r="E2221" i="4"/>
  <c r="D2221" i="4"/>
  <c r="C2221" i="4"/>
  <c r="B2221" i="4"/>
  <c r="A2221" i="4"/>
  <c r="E2220" i="4"/>
  <c r="D2220" i="4"/>
  <c r="C2220" i="4"/>
  <c r="B2220" i="4"/>
  <c r="A2220" i="4"/>
  <c r="E2219" i="4"/>
  <c r="D2219" i="4"/>
  <c r="C2219" i="4"/>
  <c r="B2219" i="4"/>
  <c r="A2219" i="4"/>
  <c r="F2218" i="4"/>
  <c r="E2218" i="4"/>
  <c r="D2218" i="4"/>
  <c r="C2218" i="4"/>
  <c r="B2218" i="4"/>
  <c r="A2218" i="4"/>
  <c r="E2217" i="4"/>
  <c r="D2217" i="4"/>
  <c r="C2217" i="4"/>
  <c r="B2217" i="4"/>
  <c r="A2217" i="4"/>
  <c r="E2216" i="4"/>
  <c r="D2216" i="4"/>
  <c r="C2216" i="4"/>
  <c r="B2216" i="4"/>
  <c r="A2216" i="4"/>
  <c r="F2215" i="4"/>
  <c r="E2215" i="4"/>
  <c r="D2215" i="4"/>
  <c r="C2215" i="4"/>
  <c r="B2215" i="4"/>
  <c r="A2215" i="4"/>
  <c r="E2214" i="4"/>
  <c r="D2214" i="4"/>
  <c r="C2214" i="4"/>
  <c r="B2214" i="4"/>
  <c r="A2214" i="4"/>
  <c r="F2213" i="4"/>
  <c r="E2213" i="4"/>
  <c r="D2213" i="4"/>
  <c r="C2213" i="4"/>
  <c r="B2213" i="4"/>
  <c r="A2213" i="4"/>
  <c r="E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D2204" i="4"/>
  <c r="C2204" i="4"/>
  <c r="B2204" i="4"/>
  <c r="A2204" i="4"/>
  <c r="E2203" i="4"/>
  <c r="D2203" i="4"/>
  <c r="C2203" i="4"/>
  <c r="B2203" i="4"/>
  <c r="A2203" i="4"/>
  <c r="E2202" i="4"/>
  <c r="D2202" i="4"/>
  <c r="C2202" i="4"/>
  <c r="B2202" i="4"/>
  <c r="A2202" i="4"/>
  <c r="E2201" i="4"/>
  <c r="D2201" i="4"/>
  <c r="C2201" i="4"/>
  <c r="B2201" i="4"/>
  <c r="A2201" i="4"/>
  <c r="E2200" i="4"/>
  <c r="D2200" i="4"/>
  <c r="C2200" i="4"/>
  <c r="B2200" i="4"/>
  <c r="A2200" i="4"/>
  <c r="E2199" i="4"/>
  <c r="D2199" i="4"/>
  <c r="C2199" i="4"/>
  <c r="B2199" i="4"/>
  <c r="A2199" i="4"/>
  <c r="E2198" i="4"/>
  <c r="D2198" i="4"/>
  <c r="C2198" i="4"/>
  <c r="B2198" i="4"/>
  <c r="A2198" i="4"/>
  <c r="E2197" i="4"/>
  <c r="D2197" i="4"/>
  <c r="C2197" i="4"/>
  <c r="B2197" i="4"/>
  <c r="A2197" i="4"/>
  <c r="E2196" i="4"/>
  <c r="D2196" i="4"/>
  <c r="C2196" i="4"/>
  <c r="B2196" i="4"/>
  <c r="A2196" i="4"/>
  <c r="F2195" i="4"/>
  <c r="E2195" i="4"/>
  <c r="D2195" i="4"/>
  <c r="C2195" i="4"/>
  <c r="B2195" i="4"/>
  <c r="A2195"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E2188" i="4"/>
  <c r="D2188" i="4"/>
  <c r="C2188" i="4"/>
  <c r="B2188" i="4"/>
  <c r="A2188" i="4"/>
  <c r="E2187" i="4"/>
  <c r="D2187" i="4"/>
  <c r="C2187" i="4"/>
  <c r="B2187" i="4"/>
  <c r="A2187" i="4"/>
  <c r="B2186" i="4"/>
  <c r="A2186" i="4"/>
  <c r="B2185" i="4"/>
  <c r="A2185" i="4"/>
  <c r="F2184" i="4"/>
  <c r="E2184" i="4"/>
  <c r="D2184" i="4"/>
  <c r="C2184"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C2179" i="4"/>
  <c r="B2179" i="4"/>
  <c r="A2179" i="4"/>
  <c r="E2178" i="4"/>
  <c r="D2178" i="4"/>
  <c r="C2178" i="4"/>
  <c r="B2178" i="4"/>
  <c r="A2178" i="4"/>
  <c r="E2177" i="4"/>
  <c r="D2177" i="4"/>
  <c r="C2177"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F2169" i="4"/>
  <c r="E2169" i="4"/>
  <c r="D2169" i="4"/>
  <c r="C2169" i="4"/>
  <c r="B2169" i="4"/>
  <c r="A2169" i="4"/>
  <c r="E2168" i="4"/>
  <c r="D2168" i="4"/>
  <c r="C2168" i="4"/>
  <c r="B2168" i="4"/>
  <c r="A2168" i="4"/>
  <c r="E2167" i="4"/>
  <c r="D2167" i="4"/>
  <c r="C2167" i="4"/>
  <c r="B2167" i="4"/>
  <c r="A2167" i="4"/>
  <c r="F2166" i="4"/>
  <c r="E2166" i="4"/>
  <c r="D2166" i="4"/>
  <c r="C2166" i="4"/>
  <c r="B2166" i="4"/>
  <c r="A2166" i="4"/>
  <c r="F2165" i="4"/>
  <c r="E2165" i="4"/>
  <c r="D2165" i="4"/>
  <c r="C2165" i="4"/>
  <c r="B2165" i="4"/>
  <c r="A2165" i="4"/>
  <c r="E2164" i="4"/>
  <c r="D2164" i="4"/>
  <c r="C2164" i="4"/>
  <c r="B2164" i="4"/>
  <c r="A2164" i="4"/>
  <c r="E2163" i="4"/>
  <c r="D2163" i="4"/>
  <c r="C2163" i="4"/>
  <c r="B2163" i="4"/>
  <c r="A2163" i="4"/>
  <c r="E2162" i="4"/>
  <c r="D2162" i="4"/>
  <c r="C2162" i="4"/>
  <c r="B2162" i="4"/>
  <c r="A2162" i="4"/>
  <c r="B2161" i="4"/>
  <c r="A2161" i="4"/>
  <c r="E2160" i="4"/>
  <c r="D2160" i="4"/>
  <c r="C2160" i="4"/>
  <c r="B2160" i="4"/>
  <c r="A2160" i="4"/>
  <c r="E2159" i="4"/>
  <c r="D2159" i="4"/>
  <c r="C2159" i="4"/>
  <c r="B2159" i="4"/>
  <c r="A2159" i="4"/>
  <c r="E2158" i="4"/>
  <c r="D2158" i="4"/>
  <c r="C2158" i="4"/>
  <c r="B2158" i="4"/>
  <c r="A2158" i="4"/>
  <c r="E2157" i="4"/>
  <c r="D2157" i="4"/>
  <c r="C2157" i="4"/>
  <c r="B2157" i="4"/>
  <c r="A2157" i="4"/>
  <c r="E2156" i="4"/>
  <c r="D2156" i="4"/>
  <c r="C2156" i="4"/>
  <c r="B2156" i="4"/>
  <c r="A2156" i="4"/>
  <c r="E2155" i="4"/>
  <c r="D2155" i="4"/>
  <c r="C2155" i="4"/>
  <c r="B2155" i="4"/>
  <c r="A2155" i="4"/>
  <c r="E2154" i="4"/>
  <c r="D2154" i="4"/>
  <c r="C2154" i="4"/>
  <c r="B2154" i="4"/>
  <c r="A2154" i="4"/>
  <c r="E2153" i="4"/>
  <c r="D2153" i="4"/>
  <c r="C2153" i="4"/>
  <c r="B2153" i="4"/>
  <c r="A2153" i="4"/>
  <c r="E2152" i="4"/>
  <c r="D2152" i="4"/>
  <c r="C2152" i="4"/>
  <c r="B2152" i="4"/>
  <c r="A2152" i="4"/>
  <c r="E2151" i="4"/>
  <c r="D2151" i="4"/>
  <c r="C2151" i="4"/>
  <c r="B2151" i="4"/>
  <c r="A2151" i="4"/>
  <c r="E2150" i="4"/>
  <c r="D2150" i="4"/>
  <c r="C2150" i="4"/>
  <c r="B2150" i="4"/>
  <c r="A2150" i="4"/>
  <c r="E2149" i="4"/>
  <c r="D2149" i="4"/>
  <c r="C2149" i="4"/>
  <c r="B2149" i="4"/>
  <c r="A2149" i="4"/>
  <c r="E2148" i="4"/>
  <c r="D2148" i="4"/>
  <c r="C2148" i="4"/>
  <c r="B2148" i="4"/>
  <c r="A2148" i="4"/>
  <c r="E2147" i="4"/>
  <c r="D2147" i="4"/>
  <c r="C2147" i="4"/>
  <c r="B2147" i="4"/>
  <c r="A2147" i="4"/>
  <c r="E2146" i="4"/>
  <c r="D2146" i="4"/>
  <c r="C2146" i="4"/>
  <c r="B2146" i="4"/>
  <c r="A2146" i="4"/>
  <c r="E2145" i="4"/>
  <c r="D2145" i="4"/>
  <c r="C2145" i="4"/>
  <c r="B2145" i="4"/>
  <c r="A2145" i="4"/>
  <c r="E2144" i="4"/>
  <c r="D2144" i="4"/>
  <c r="C2144" i="4"/>
  <c r="B2144" i="4"/>
  <c r="A2144" i="4"/>
  <c r="E2143" i="4"/>
  <c r="D2143" i="4"/>
  <c r="C2143" i="4"/>
  <c r="B2143" i="4"/>
  <c r="A2143" i="4"/>
  <c r="E2142" i="4"/>
  <c r="D2142" i="4"/>
  <c r="C2142" i="4"/>
  <c r="B2142" i="4"/>
  <c r="A2142" i="4"/>
  <c r="E2141" i="4"/>
  <c r="D2141" i="4"/>
  <c r="C2141" i="4"/>
  <c r="B2141" i="4"/>
  <c r="A2141" i="4"/>
  <c r="E2140" i="4"/>
  <c r="D2140" i="4"/>
  <c r="C2140" i="4"/>
  <c r="B2140" i="4"/>
  <c r="A2140" i="4"/>
  <c r="E2139" i="4"/>
  <c r="D2139" i="4"/>
  <c r="C2139" i="4"/>
  <c r="B2139" i="4"/>
  <c r="A2139" i="4"/>
  <c r="E2138" i="4"/>
  <c r="D2138" i="4"/>
  <c r="C2138" i="4"/>
  <c r="B2138" i="4"/>
  <c r="A2138" i="4"/>
  <c r="E2137" i="4"/>
  <c r="D2137" i="4"/>
  <c r="C2137"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B2120" i="4"/>
  <c r="A2120" i="4"/>
  <c r="E2119" i="4"/>
  <c r="D2119" i="4"/>
  <c r="C2119" i="4"/>
  <c r="B2119" i="4"/>
  <c r="A2119" i="4"/>
  <c r="F2118" i="4"/>
  <c r="E2118" i="4"/>
  <c r="D2118" i="4"/>
  <c r="C2118" i="4"/>
  <c r="B2118" i="4"/>
  <c r="A2118" i="4"/>
  <c r="E2117" i="4"/>
  <c r="D2117" i="4"/>
  <c r="C2117" i="4"/>
  <c r="B2117" i="4"/>
  <c r="A2117" i="4"/>
  <c r="E2116" i="4"/>
  <c r="D2116" i="4"/>
  <c r="C2116" i="4"/>
  <c r="B2116" i="4"/>
  <c r="A2116" i="4"/>
  <c r="E2115" i="4"/>
  <c r="D2115" i="4"/>
  <c r="C2115" i="4"/>
  <c r="B2115" i="4"/>
  <c r="A2115" i="4"/>
  <c r="E2114" i="4"/>
  <c r="D2114" i="4"/>
  <c r="C2114" i="4"/>
  <c r="B2114" i="4"/>
  <c r="A2114" i="4"/>
  <c r="E2113" i="4"/>
  <c r="D2113" i="4"/>
  <c r="C2113" i="4"/>
  <c r="B2113" i="4"/>
  <c r="A2113" i="4"/>
  <c r="E2112" i="4"/>
  <c r="D2112" i="4"/>
  <c r="C2112" i="4"/>
  <c r="B2112" i="4"/>
  <c r="A2112" i="4"/>
  <c r="E2111" i="4"/>
  <c r="D2111" i="4"/>
  <c r="C2111" i="4"/>
  <c r="B2111" i="4"/>
  <c r="A2111" i="4"/>
  <c r="E2110" i="4"/>
  <c r="D2110" i="4"/>
  <c r="B2110" i="4"/>
  <c r="A2110" i="4"/>
  <c r="E2109" i="4"/>
  <c r="D2109" i="4"/>
  <c r="C2109" i="4"/>
  <c r="B2109" i="4"/>
  <c r="A2109" i="4"/>
  <c r="E2108" i="4"/>
  <c r="D2108" i="4"/>
  <c r="C2108" i="4"/>
  <c r="B2108" i="4"/>
  <c r="A2108" i="4"/>
  <c r="E2107" i="4"/>
  <c r="D2107" i="4"/>
  <c r="C2107" i="4"/>
  <c r="B2107" i="4"/>
  <c r="A2107" i="4"/>
  <c r="E2106" i="4"/>
  <c r="D2106" i="4"/>
  <c r="C2106" i="4"/>
  <c r="B2106" i="4"/>
  <c r="A2106" i="4"/>
  <c r="E2105" i="4"/>
  <c r="D2105" i="4"/>
  <c r="C2105" i="4"/>
  <c r="B2105" i="4"/>
  <c r="A2105" i="4"/>
  <c r="F2104" i="4"/>
  <c r="E2104" i="4"/>
  <c r="D2104" i="4"/>
  <c r="C2104" i="4"/>
  <c r="B2104" i="4"/>
  <c r="A2104" i="4"/>
  <c r="F2103" i="4"/>
  <c r="E2103" i="4"/>
  <c r="D2103" i="4"/>
  <c r="C2103" i="4"/>
  <c r="B2103" i="4"/>
  <c r="A2103" i="4"/>
  <c r="E2102" i="4"/>
  <c r="D2102" i="4"/>
  <c r="C2102" i="4"/>
  <c r="B2102" i="4"/>
  <c r="A2102" i="4"/>
  <c r="E2101" i="4"/>
  <c r="D2101" i="4"/>
  <c r="C2101" i="4"/>
  <c r="B2101" i="4"/>
  <c r="A2101" i="4"/>
  <c r="E2100" i="4"/>
  <c r="D2100" i="4"/>
  <c r="C2100" i="4"/>
  <c r="B2100" i="4"/>
  <c r="A2100" i="4"/>
  <c r="E2099" i="4"/>
  <c r="D2099" i="4"/>
  <c r="C2099" i="4"/>
  <c r="B2099" i="4"/>
  <c r="A2099" i="4"/>
  <c r="E2098" i="4"/>
  <c r="D2098" i="4"/>
  <c r="C2098" i="4"/>
  <c r="B2098" i="4"/>
  <c r="A2098" i="4"/>
  <c r="F2097" i="4"/>
  <c r="E2097" i="4"/>
  <c r="D2097" i="4"/>
  <c r="C2097" i="4"/>
  <c r="B2097" i="4"/>
  <c r="A2097" i="4"/>
  <c r="F2096" i="4"/>
  <c r="E2096" i="4"/>
  <c r="D2096" i="4"/>
  <c r="C2096" i="4"/>
  <c r="B2096" i="4"/>
  <c r="A2096" i="4"/>
  <c r="F2095" i="4"/>
  <c r="E2095" i="4"/>
  <c r="D2095" i="4"/>
  <c r="C2095" i="4"/>
  <c r="B2095" i="4"/>
  <c r="A2095" i="4"/>
  <c r="F2094" i="4"/>
  <c r="E2094" i="4"/>
  <c r="D2094" i="4"/>
  <c r="C2094" i="4"/>
  <c r="B2094" i="4"/>
  <c r="A2094" i="4"/>
  <c r="F2093" i="4"/>
  <c r="E2093" i="4"/>
  <c r="D2093" i="4"/>
  <c r="C2093" i="4"/>
  <c r="B2093" i="4"/>
  <c r="A2093" i="4"/>
  <c r="E2092" i="4"/>
  <c r="D2092" i="4"/>
  <c r="C2092" i="4"/>
  <c r="B2092" i="4"/>
  <c r="A2092" i="4"/>
  <c r="E2091" i="4"/>
  <c r="D2091" i="4"/>
  <c r="C2091" i="4"/>
  <c r="B2091" i="4"/>
  <c r="A2091" i="4"/>
  <c r="E2090" i="4"/>
  <c r="D2090" i="4"/>
  <c r="C2090" i="4"/>
  <c r="B2090" i="4"/>
  <c r="A2090" i="4"/>
  <c r="E2089" i="4"/>
  <c r="D2089" i="4"/>
  <c r="C2089" i="4"/>
  <c r="B2089" i="4"/>
  <c r="A2089" i="4"/>
  <c r="E2088" i="4"/>
  <c r="D2088" i="4"/>
  <c r="C2088" i="4"/>
  <c r="B2088" i="4"/>
  <c r="A2088" i="4"/>
  <c r="E2087" i="4"/>
  <c r="D2087" i="4"/>
  <c r="C2087" i="4"/>
  <c r="B2087" i="4"/>
  <c r="A2087" i="4"/>
  <c r="E2086" i="4"/>
  <c r="D2086" i="4"/>
  <c r="C2086" i="4"/>
  <c r="B2086" i="4"/>
  <c r="A2086" i="4"/>
  <c r="F2085" i="4"/>
  <c r="E2085" i="4"/>
  <c r="D2085" i="4"/>
  <c r="C2085" i="4"/>
  <c r="B2085" i="4"/>
  <c r="A2085" i="4"/>
  <c r="F2084" i="4"/>
  <c r="E2084" i="4"/>
  <c r="D2084" i="4"/>
  <c r="C2084" i="4"/>
  <c r="B2084" i="4"/>
  <c r="A2084" i="4"/>
  <c r="E2083" i="4"/>
  <c r="D2083" i="4"/>
  <c r="C2083" i="4"/>
  <c r="B2083" i="4"/>
  <c r="A2083" i="4"/>
  <c r="E2082" i="4"/>
  <c r="D2082" i="4"/>
  <c r="C2082" i="4"/>
  <c r="B2082" i="4"/>
  <c r="A2082" i="4"/>
  <c r="E2081" i="4"/>
  <c r="D2081" i="4"/>
  <c r="C2081" i="4"/>
  <c r="B2081" i="4"/>
  <c r="A2081" i="4"/>
  <c r="E2080" i="4"/>
  <c r="D2080" i="4"/>
  <c r="C2080" i="4"/>
  <c r="B2080" i="4"/>
  <c r="A2080" i="4"/>
  <c r="E2079" i="4"/>
  <c r="D2079" i="4"/>
  <c r="C2079" i="4"/>
  <c r="B2079" i="4"/>
  <c r="A2079" i="4"/>
  <c r="E2078" i="4"/>
  <c r="D2078" i="4"/>
  <c r="C2078" i="4"/>
  <c r="B2078" i="4"/>
  <c r="A2078" i="4"/>
  <c r="E2077" i="4"/>
  <c r="D2077" i="4"/>
  <c r="C2077" i="4"/>
  <c r="B2077" i="4"/>
  <c r="A2077" i="4"/>
  <c r="E2076" i="4"/>
  <c r="D2076" i="4"/>
  <c r="C2076" i="4"/>
  <c r="B2076" i="4"/>
  <c r="A2076" i="4"/>
  <c r="E2075" i="4"/>
  <c r="D2075" i="4"/>
  <c r="C2075" i="4"/>
  <c r="B2075" i="4"/>
  <c r="A2075" i="4"/>
  <c r="E2074" i="4"/>
  <c r="D2074" i="4"/>
  <c r="C2074" i="4"/>
  <c r="B2074" i="4"/>
  <c r="A2074" i="4"/>
  <c r="E2073" i="4"/>
  <c r="D2073" i="4"/>
  <c r="C2073" i="4"/>
  <c r="B2073" i="4"/>
  <c r="A2073" i="4"/>
  <c r="E2072" i="4"/>
  <c r="D2072" i="4"/>
  <c r="C2072" i="4"/>
  <c r="B2072" i="4"/>
  <c r="A2072" i="4"/>
  <c r="E2071" i="4"/>
  <c r="D2071" i="4"/>
  <c r="C2071" i="4"/>
  <c r="B2071" i="4"/>
  <c r="A2071" i="4"/>
  <c r="F2070" i="4"/>
  <c r="E2070" i="4"/>
  <c r="D2070" i="4"/>
  <c r="C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F2062" i="4"/>
  <c r="E2062" i="4"/>
  <c r="D2062" i="4"/>
  <c r="C2062" i="4"/>
  <c r="B2062" i="4"/>
  <c r="A2062" i="4"/>
  <c r="E2061" i="4"/>
  <c r="D2061" i="4"/>
  <c r="C2061" i="4"/>
  <c r="B2061" i="4"/>
  <c r="A2061" i="4"/>
  <c r="E2060" i="4"/>
  <c r="D2060" i="4"/>
  <c r="C2060" i="4"/>
  <c r="B2060" i="4"/>
  <c r="A2060" i="4"/>
  <c r="E2059" i="4"/>
  <c r="D2059" i="4"/>
  <c r="C2059" i="4"/>
  <c r="B2059" i="4"/>
  <c r="A2059" i="4"/>
  <c r="E2058" i="4"/>
  <c r="D2058" i="4"/>
  <c r="C2058" i="4"/>
  <c r="B2058" i="4"/>
  <c r="A2058" i="4"/>
  <c r="E2057" i="4"/>
  <c r="D2057" i="4"/>
  <c r="C2057" i="4"/>
  <c r="B2057" i="4"/>
  <c r="A2057" i="4"/>
  <c r="E2056" i="4"/>
  <c r="D2056" i="4"/>
  <c r="C2056" i="4"/>
  <c r="B2056" i="4"/>
  <c r="A2056" i="4"/>
  <c r="E2055" i="4"/>
  <c r="D2055" i="4"/>
  <c r="C2055" i="4"/>
  <c r="B2055" i="4"/>
  <c r="A2055" i="4"/>
  <c r="E2054" i="4"/>
  <c r="D2054" i="4"/>
  <c r="B2054" i="4"/>
  <c r="A2054" i="4"/>
  <c r="E2053" i="4"/>
  <c r="D2053" i="4"/>
  <c r="B2053" i="4"/>
  <c r="A2053" i="4"/>
  <c r="E2052" i="4"/>
  <c r="D2052" i="4"/>
  <c r="B2052" i="4"/>
  <c r="A2052" i="4"/>
  <c r="E2051" i="4"/>
  <c r="D2051" i="4"/>
  <c r="B2051" i="4"/>
  <c r="A2051" i="4"/>
  <c r="E2050" i="4"/>
  <c r="D2050" i="4"/>
  <c r="B2050" i="4"/>
  <c r="A2050" i="4"/>
  <c r="E2049" i="4"/>
  <c r="D2049" i="4"/>
  <c r="C2049" i="4"/>
  <c r="B2049" i="4"/>
  <c r="A2049" i="4"/>
  <c r="E2048" i="4"/>
  <c r="D2048" i="4"/>
  <c r="B2048" i="4"/>
  <c r="A2048" i="4"/>
  <c r="E2047" i="4"/>
  <c r="D2047" i="4"/>
  <c r="C2047" i="4"/>
  <c r="B2047" i="4"/>
  <c r="A2047" i="4"/>
  <c r="E2046" i="4"/>
  <c r="D2046" i="4"/>
  <c r="B2046" i="4"/>
  <c r="A2046" i="4"/>
  <c r="E2045" i="4"/>
  <c r="D2045" i="4"/>
  <c r="C2045" i="4"/>
  <c r="B2045" i="4"/>
  <c r="A2045" i="4"/>
  <c r="E2044" i="4"/>
  <c r="D2044" i="4"/>
  <c r="C2044" i="4"/>
  <c r="B2044" i="4"/>
  <c r="A2044" i="4"/>
  <c r="E2043" i="4"/>
  <c r="D2043" i="4"/>
  <c r="C2043" i="4"/>
  <c r="B2043" i="4"/>
  <c r="A2043" i="4"/>
  <c r="E2042" i="4"/>
  <c r="D2042" i="4"/>
  <c r="C2042" i="4"/>
  <c r="B2042" i="4"/>
  <c r="A2042" i="4"/>
  <c r="E2041" i="4"/>
  <c r="D2041" i="4"/>
  <c r="C2041" i="4"/>
  <c r="B2041" i="4"/>
  <c r="A2041" i="4"/>
  <c r="E2040" i="4"/>
  <c r="D2040" i="4"/>
  <c r="C2040" i="4"/>
  <c r="B2040" i="4"/>
  <c r="A2040" i="4"/>
  <c r="E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E2034" i="4"/>
  <c r="D2034" i="4"/>
  <c r="C2034" i="4"/>
  <c r="B2034" i="4"/>
  <c r="A2034" i="4"/>
  <c r="E2033" i="4"/>
  <c r="D2033" i="4"/>
  <c r="C2033" i="4"/>
  <c r="B2033" i="4"/>
  <c r="A2033" i="4"/>
  <c r="E2032" i="4"/>
  <c r="D2032" i="4"/>
  <c r="C2032" i="4"/>
  <c r="B2032" i="4"/>
  <c r="A2032" i="4"/>
  <c r="E2031" i="4"/>
  <c r="D2031" i="4"/>
  <c r="C2031" i="4"/>
  <c r="B2031" i="4"/>
  <c r="A2031" i="4"/>
  <c r="E2030" i="4"/>
  <c r="D2030" i="4"/>
  <c r="C2030" i="4"/>
  <c r="B2030" i="4"/>
  <c r="A2030" i="4"/>
  <c r="E2029" i="4"/>
  <c r="D2029" i="4"/>
  <c r="C2029" i="4"/>
  <c r="B2029" i="4"/>
  <c r="A2029" i="4"/>
  <c r="E2028" i="4"/>
  <c r="D2028" i="4"/>
  <c r="C2028" i="4"/>
  <c r="B2028" i="4"/>
  <c r="A2028" i="4"/>
  <c r="E2027" i="4"/>
  <c r="D2027" i="4"/>
  <c r="C2027" i="4"/>
  <c r="B2027" i="4"/>
  <c r="A2027" i="4"/>
  <c r="E2026" i="4"/>
  <c r="D2026" i="4"/>
  <c r="C2026" i="4"/>
  <c r="B2026" i="4"/>
  <c r="A2026" i="4"/>
  <c r="E2025" i="4"/>
  <c r="D2025" i="4"/>
  <c r="C2025" i="4"/>
  <c r="B2025" i="4"/>
  <c r="A2025" i="4"/>
  <c r="E2024" i="4"/>
  <c r="D2024" i="4"/>
  <c r="C2024" i="4"/>
  <c r="B2024" i="4"/>
  <c r="A2024" i="4"/>
  <c r="E2023" i="4"/>
  <c r="D2023" i="4"/>
  <c r="C2023" i="4"/>
  <c r="B2023" i="4"/>
  <c r="A2023" i="4"/>
  <c r="E2022" i="4"/>
  <c r="D2022" i="4"/>
  <c r="C2022" i="4"/>
  <c r="B2022" i="4"/>
  <c r="A2022" i="4"/>
  <c r="E2021" i="4"/>
  <c r="D2021" i="4"/>
  <c r="C2021" i="4"/>
  <c r="B2021" i="4"/>
  <c r="A2021" i="4"/>
  <c r="E2020" i="4"/>
  <c r="D2020" i="4"/>
  <c r="C2020" i="4"/>
  <c r="B2020" i="4"/>
  <c r="A2020" i="4"/>
  <c r="E2019" i="4"/>
  <c r="D2019" i="4"/>
  <c r="B2019" i="4"/>
  <c r="A2019" i="4"/>
  <c r="E2018" i="4"/>
  <c r="D2018" i="4"/>
  <c r="C2018" i="4"/>
  <c r="B2018" i="4"/>
  <c r="A2018" i="4"/>
  <c r="E2017" i="4"/>
  <c r="D2017" i="4"/>
  <c r="B2017" i="4"/>
  <c r="A2017" i="4"/>
  <c r="E2016" i="4"/>
  <c r="D2016" i="4"/>
  <c r="B2016" i="4"/>
  <c r="A2016" i="4"/>
  <c r="E2015" i="4"/>
  <c r="D2015" i="4"/>
  <c r="C2015" i="4"/>
  <c r="B2015" i="4"/>
  <c r="A2015" i="4"/>
  <c r="E2014" i="4"/>
  <c r="D2014" i="4"/>
  <c r="B2014" i="4"/>
  <c r="A2014" i="4"/>
  <c r="E2013" i="4"/>
  <c r="D2013" i="4"/>
  <c r="B2013" i="4"/>
  <c r="A2013" i="4"/>
  <c r="E2012" i="4"/>
  <c r="D2012" i="4"/>
  <c r="B2012" i="4"/>
  <c r="A2012" i="4"/>
  <c r="E2011" i="4"/>
  <c r="D2011" i="4"/>
  <c r="B2011" i="4"/>
  <c r="A2011" i="4"/>
  <c r="E2010" i="4"/>
  <c r="D2010" i="4"/>
  <c r="C2010" i="4"/>
  <c r="B2010" i="4"/>
  <c r="A2010" i="4"/>
  <c r="E2009" i="4"/>
  <c r="D2009" i="4"/>
  <c r="B2009" i="4"/>
  <c r="A2009" i="4"/>
  <c r="E2008" i="4"/>
  <c r="D2008" i="4"/>
  <c r="C2008" i="4"/>
  <c r="B2008" i="4"/>
  <c r="A2008" i="4"/>
  <c r="E2007" i="4"/>
  <c r="D2007" i="4"/>
  <c r="B2007" i="4"/>
  <c r="A2007" i="4"/>
  <c r="E2006" i="4"/>
  <c r="D2006" i="4"/>
  <c r="C2006" i="4"/>
  <c r="B2006" i="4"/>
  <c r="A2006" i="4"/>
  <c r="E2005" i="4"/>
  <c r="D2005" i="4"/>
  <c r="B2005" i="4"/>
  <c r="A2005" i="4"/>
  <c r="E2004" i="4"/>
  <c r="D2004" i="4"/>
  <c r="C2004" i="4"/>
  <c r="B2004" i="4"/>
  <c r="A2004" i="4"/>
  <c r="E2003" i="4"/>
  <c r="D2003" i="4"/>
  <c r="C2003" i="4"/>
  <c r="B2003" i="4"/>
  <c r="A2003" i="4"/>
  <c r="E2002" i="4"/>
  <c r="D2002" i="4"/>
  <c r="C2002" i="4"/>
  <c r="B2002" i="4"/>
  <c r="A2002" i="4"/>
  <c r="B2001" i="4"/>
  <c r="A2001" i="4"/>
  <c r="E2000" i="4"/>
  <c r="D2000" i="4"/>
  <c r="C2000" i="4"/>
  <c r="B2000" i="4"/>
  <c r="A2000" i="4"/>
  <c r="E1999" i="4"/>
  <c r="D1999" i="4"/>
  <c r="C1999" i="4"/>
  <c r="B1999" i="4"/>
  <c r="A1999" i="4"/>
  <c r="E1998" i="4"/>
  <c r="D1998" i="4"/>
  <c r="C1998" i="4"/>
  <c r="B1998" i="4"/>
  <c r="A1998" i="4"/>
  <c r="E1997" i="4"/>
  <c r="D1997" i="4"/>
  <c r="C1997" i="4"/>
  <c r="B1997" i="4"/>
  <c r="A1997" i="4"/>
  <c r="E1996" i="4"/>
  <c r="D1996" i="4"/>
  <c r="C1996" i="4"/>
  <c r="B1996" i="4"/>
  <c r="A1996" i="4"/>
  <c r="E1995" i="4"/>
  <c r="D1995" i="4"/>
  <c r="C1995" i="4"/>
  <c r="B1995" i="4"/>
  <c r="A1995" i="4"/>
  <c r="E1994" i="4"/>
  <c r="D1994" i="4"/>
  <c r="C1994" i="4"/>
  <c r="B1994" i="4"/>
  <c r="A1994" i="4"/>
  <c r="E1993" i="4"/>
  <c r="D1993" i="4"/>
  <c r="C1993" i="4"/>
  <c r="B1993" i="4"/>
  <c r="A1993" i="4"/>
  <c r="E1992" i="4"/>
  <c r="D1992" i="4"/>
  <c r="C1992" i="4"/>
  <c r="B1992" i="4"/>
  <c r="A1992" i="4"/>
  <c r="E1991" i="4"/>
  <c r="D1991" i="4"/>
  <c r="C1991" i="4"/>
  <c r="B1991" i="4"/>
  <c r="A1991" i="4"/>
  <c r="E1990" i="4"/>
  <c r="D1990" i="4"/>
  <c r="C1990" i="4"/>
  <c r="B1990" i="4"/>
  <c r="A1990" i="4"/>
  <c r="E1989" i="4"/>
  <c r="D1989" i="4"/>
  <c r="C1989" i="4"/>
  <c r="B1989" i="4"/>
  <c r="A1989" i="4"/>
  <c r="E1988" i="4"/>
  <c r="D1988" i="4"/>
  <c r="C1988" i="4"/>
  <c r="B1988" i="4"/>
  <c r="A1988" i="4"/>
  <c r="E1987" i="4"/>
  <c r="D1987" i="4"/>
  <c r="C1987" i="4"/>
  <c r="B1987" i="4"/>
  <c r="A1987" i="4"/>
  <c r="E1986" i="4"/>
  <c r="D1986" i="4"/>
  <c r="C1986" i="4"/>
  <c r="B1986" i="4"/>
  <c r="A1986" i="4"/>
  <c r="E1985" i="4"/>
  <c r="D1985" i="4"/>
  <c r="B1985" i="4"/>
  <c r="A1985" i="4"/>
  <c r="E1984" i="4"/>
  <c r="D1984" i="4"/>
  <c r="B1984" i="4"/>
  <c r="A1984" i="4"/>
  <c r="E1983" i="4"/>
  <c r="D1983" i="4"/>
  <c r="B1983" i="4"/>
  <c r="A1983" i="4"/>
  <c r="E1982" i="4"/>
  <c r="D1982" i="4"/>
  <c r="B1982" i="4"/>
  <c r="A1982" i="4"/>
  <c r="E1981" i="4"/>
  <c r="D1981" i="4"/>
  <c r="C1981" i="4"/>
  <c r="B1981" i="4"/>
  <c r="A1981" i="4"/>
  <c r="E1980" i="4"/>
  <c r="D1980" i="4"/>
  <c r="B1980" i="4"/>
  <c r="A1980" i="4"/>
  <c r="E1979" i="4"/>
  <c r="D1979" i="4"/>
  <c r="C1979" i="4"/>
  <c r="B1979" i="4"/>
  <c r="A1979" i="4"/>
  <c r="E1978" i="4"/>
  <c r="D1978" i="4"/>
  <c r="B1978" i="4"/>
  <c r="A1978" i="4"/>
  <c r="E1977" i="4"/>
  <c r="D1977" i="4"/>
  <c r="B1977" i="4"/>
  <c r="A1977" i="4"/>
  <c r="E1976" i="4"/>
  <c r="D1976" i="4"/>
  <c r="B1976" i="4"/>
  <c r="A1976" i="4"/>
  <c r="E1975" i="4"/>
  <c r="D1975" i="4"/>
  <c r="B1975" i="4"/>
  <c r="A1975" i="4"/>
  <c r="E1974" i="4"/>
  <c r="D1974" i="4"/>
  <c r="B1974" i="4"/>
  <c r="A1974" i="4"/>
  <c r="E1973" i="4"/>
  <c r="D1973" i="4"/>
  <c r="B1973" i="4"/>
  <c r="A1973" i="4"/>
  <c r="E1972" i="4"/>
  <c r="D1972" i="4"/>
  <c r="B1972" i="4"/>
  <c r="A1972" i="4"/>
  <c r="E1971" i="4"/>
  <c r="D1971" i="4"/>
  <c r="B1971" i="4"/>
  <c r="A1971" i="4"/>
  <c r="E1970" i="4"/>
  <c r="D1970" i="4"/>
  <c r="B1970" i="4"/>
  <c r="A1970" i="4"/>
  <c r="E1969" i="4"/>
  <c r="D1969" i="4"/>
  <c r="B1969" i="4"/>
  <c r="A1969" i="4"/>
  <c r="E1968" i="4"/>
  <c r="D1968" i="4"/>
  <c r="B1968" i="4"/>
  <c r="A1968" i="4"/>
  <c r="E1967" i="4"/>
  <c r="D1967" i="4"/>
  <c r="B1967" i="4"/>
  <c r="A1967" i="4"/>
  <c r="E1966" i="4"/>
  <c r="D1966" i="4"/>
  <c r="B1966" i="4"/>
  <c r="A1966" i="4"/>
  <c r="E1965" i="4"/>
  <c r="D1965" i="4"/>
  <c r="B1965" i="4"/>
  <c r="A1965" i="4"/>
  <c r="E1964" i="4"/>
  <c r="D1964" i="4"/>
  <c r="B1964" i="4"/>
  <c r="A1964" i="4"/>
  <c r="E1963" i="4"/>
  <c r="D1963" i="4"/>
  <c r="B1963" i="4"/>
  <c r="A1963" i="4"/>
  <c r="E1962" i="4"/>
  <c r="D1962" i="4"/>
  <c r="B1962" i="4"/>
  <c r="A1962" i="4"/>
  <c r="E1961" i="4"/>
  <c r="D1961" i="4"/>
  <c r="B1961" i="4"/>
  <c r="A1961" i="4"/>
  <c r="E1960" i="4"/>
  <c r="D1960" i="4"/>
  <c r="B1960" i="4"/>
  <c r="A1960" i="4"/>
  <c r="E1959" i="4"/>
  <c r="D1959" i="4"/>
  <c r="B1959" i="4"/>
  <c r="A1959" i="4"/>
  <c r="E1958" i="4"/>
  <c r="D1958" i="4"/>
  <c r="C1958" i="4"/>
  <c r="B1958" i="4"/>
  <c r="A1958" i="4"/>
  <c r="E1957" i="4"/>
  <c r="C1957" i="4"/>
  <c r="B1957" i="4"/>
  <c r="A1957" i="4"/>
  <c r="E1956" i="4"/>
  <c r="C1956" i="4"/>
  <c r="B1956" i="4"/>
  <c r="A1956" i="4"/>
  <c r="F1955"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E1946" i="4"/>
  <c r="D1946" i="4"/>
  <c r="C1946" i="4"/>
  <c r="B1946" i="4"/>
  <c r="A1946" i="4"/>
  <c r="E1945" i="4"/>
  <c r="D1945" i="4"/>
  <c r="C1945" i="4"/>
  <c r="B1945" i="4"/>
  <c r="A1945" i="4"/>
  <c r="E1944" i="4"/>
  <c r="D1944" i="4"/>
  <c r="C1944" i="4"/>
  <c r="B1944" i="4"/>
  <c r="A1944" i="4"/>
  <c r="B1943" i="4"/>
  <c r="A1943" i="4"/>
  <c r="E1942" i="4"/>
  <c r="D1942" i="4"/>
  <c r="C1942" i="4"/>
  <c r="B1942" i="4"/>
  <c r="A1942" i="4"/>
  <c r="E1941" i="4"/>
  <c r="D1941" i="4"/>
  <c r="C1941" i="4"/>
  <c r="B1941" i="4"/>
  <c r="A1941" i="4"/>
  <c r="E1940" i="4"/>
  <c r="D1940" i="4"/>
  <c r="C1940" i="4"/>
  <c r="B1940" i="4"/>
  <c r="A1940" i="4"/>
  <c r="E1939" i="4"/>
  <c r="D1939" i="4"/>
  <c r="C1939" i="4"/>
  <c r="B1939" i="4"/>
  <c r="A1939" i="4"/>
  <c r="E1938" i="4"/>
  <c r="D1938" i="4"/>
  <c r="C1938" i="4"/>
  <c r="B1938" i="4"/>
  <c r="A1938" i="4"/>
  <c r="E1937" i="4"/>
  <c r="D1937" i="4"/>
  <c r="C1937" i="4"/>
  <c r="B1937" i="4"/>
  <c r="A1937" i="4"/>
  <c r="B1936" i="4"/>
  <c r="A1936" i="4"/>
  <c r="E1935" i="4"/>
  <c r="D1935" i="4"/>
  <c r="C1935" i="4"/>
  <c r="B1935" i="4"/>
  <c r="A1935" i="4"/>
  <c r="E1934" i="4"/>
  <c r="D1934" i="4"/>
  <c r="B1934" i="4"/>
  <c r="A1934" i="4"/>
  <c r="F1933" i="4"/>
  <c r="E1933" i="4"/>
  <c r="D1933" i="4"/>
  <c r="C1933" i="4"/>
  <c r="B1933" i="4"/>
  <c r="A1933" i="4"/>
  <c r="F1932" i="4"/>
  <c r="E1932" i="4"/>
  <c r="D1932" i="4"/>
  <c r="C1932" i="4"/>
  <c r="B1932" i="4"/>
  <c r="A1932" i="4"/>
  <c r="E1931" i="4"/>
  <c r="D1931" i="4"/>
  <c r="C1931" i="4"/>
  <c r="B1931" i="4"/>
  <c r="A1931" i="4"/>
  <c r="E1930" i="4"/>
  <c r="D1930" i="4"/>
  <c r="C1930" i="4"/>
  <c r="B1930" i="4"/>
  <c r="A1930" i="4"/>
  <c r="E1929" i="4"/>
  <c r="D1929" i="4"/>
  <c r="B1929" i="4"/>
  <c r="A1929" i="4"/>
  <c r="E1928" i="4"/>
  <c r="D1928" i="4"/>
  <c r="B1928" i="4"/>
  <c r="A1928" i="4"/>
  <c r="E1927" i="4"/>
  <c r="D1927" i="4"/>
  <c r="B1927" i="4"/>
  <c r="A1927" i="4"/>
  <c r="F1926" i="4"/>
  <c r="E1926" i="4"/>
  <c r="D1926" i="4"/>
  <c r="C1926" i="4"/>
  <c r="B1926" i="4"/>
  <c r="A1926" i="4"/>
  <c r="F1925" i="4"/>
  <c r="E1925" i="4"/>
  <c r="D1925" i="4"/>
  <c r="C1925" i="4"/>
  <c r="B1925" i="4"/>
  <c r="A1925" i="4"/>
  <c r="E1924" i="4"/>
  <c r="D1924" i="4"/>
  <c r="B1924" i="4"/>
  <c r="A1924" i="4"/>
  <c r="E1923" i="4"/>
  <c r="D1923" i="4"/>
  <c r="C1923" i="4"/>
  <c r="B1923" i="4"/>
  <c r="A1923" i="4"/>
  <c r="F1922" i="4"/>
  <c r="E1922" i="4"/>
  <c r="D1922" i="4"/>
  <c r="C1922" i="4"/>
  <c r="B1922" i="4"/>
  <c r="A1922" i="4"/>
  <c r="E1921" i="4"/>
  <c r="D1921" i="4"/>
  <c r="B1921" i="4"/>
  <c r="A1921" i="4"/>
  <c r="F1920" i="4"/>
  <c r="E1920" i="4"/>
  <c r="D1920" i="4"/>
  <c r="C1920" i="4"/>
  <c r="B1920" i="4"/>
  <c r="A1920" i="4"/>
  <c r="E1919" i="4"/>
  <c r="D1919" i="4"/>
  <c r="B1919" i="4"/>
  <c r="A1919" i="4"/>
  <c r="F1918" i="4"/>
  <c r="E1918" i="4"/>
  <c r="D1918" i="4"/>
  <c r="C1918" i="4"/>
  <c r="B1918" i="4"/>
  <c r="A1918" i="4"/>
  <c r="F1917" i="4"/>
  <c r="E1917" i="4"/>
  <c r="D1917" i="4"/>
  <c r="C1917" i="4"/>
  <c r="B1917" i="4"/>
  <c r="A1917" i="4"/>
  <c r="E1916" i="4"/>
  <c r="D1916" i="4"/>
  <c r="B1916" i="4"/>
  <c r="A1916" i="4"/>
  <c r="E1915" i="4"/>
  <c r="D1915" i="4"/>
  <c r="B1915" i="4"/>
  <c r="A1915" i="4"/>
  <c r="E1914" i="4"/>
  <c r="D1914" i="4"/>
  <c r="B1914" i="4"/>
  <c r="A1914" i="4"/>
  <c r="E1913" i="4"/>
  <c r="D1913" i="4"/>
  <c r="C1913" i="4"/>
  <c r="B1913" i="4"/>
  <c r="A1913" i="4"/>
  <c r="E1912" i="4"/>
  <c r="D1912" i="4"/>
  <c r="B1912" i="4"/>
  <c r="A1912" i="4"/>
  <c r="F1911" i="4"/>
  <c r="E1911" i="4"/>
  <c r="D1911" i="4"/>
  <c r="C1911" i="4"/>
  <c r="B1911" i="4"/>
  <c r="A1911" i="4"/>
  <c r="F1910" i="4"/>
  <c r="E1910" i="4"/>
  <c r="D1910" i="4"/>
  <c r="C1910" i="4"/>
  <c r="B1910" i="4"/>
  <c r="A1910" i="4"/>
  <c r="F1909" i="4"/>
  <c r="E1909" i="4"/>
  <c r="D1909" i="4"/>
  <c r="C1909" i="4"/>
  <c r="B1909" i="4"/>
  <c r="A1909" i="4"/>
  <c r="E1908" i="4"/>
  <c r="D1908" i="4"/>
  <c r="B1908" i="4"/>
  <c r="A1908" i="4"/>
  <c r="E1907" i="4"/>
  <c r="D1907" i="4"/>
  <c r="C1907" i="4"/>
  <c r="B1907" i="4"/>
  <c r="A1907" i="4"/>
  <c r="E1906" i="4"/>
  <c r="D1906" i="4"/>
  <c r="C1906" i="4"/>
  <c r="B1906" i="4"/>
  <c r="A1906" i="4"/>
  <c r="E1905" i="4"/>
  <c r="D1905" i="4"/>
  <c r="C1905" i="4"/>
  <c r="B1905" i="4"/>
  <c r="A1905" i="4"/>
  <c r="E1904" i="4"/>
  <c r="D1904" i="4"/>
  <c r="B1904" i="4"/>
  <c r="A1904" i="4"/>
  <c r="F1903" i="4"/>
  <c r="E1903" i="4"/>
  <c r="D1903" i="4"/>
  <c r="C1903" i="4"/>
  <c r="B1903" i="4"/>
  <c r="A1903" i="4"/>
  <c r="F1902" i="4"/>
  <c r="E1902" i="4"/>
  <c r="D1902" i="4"/>
  <c r="C1902" i="4"/>
  <c r="B1902" i="4"/>
  <c r="A1902" i="4"/>
  <c r="E1901" i="4"/>
  <c r="D1901" i="4"/>
  <c r="B1901" i="4"/>
  <c r="A1901" i="4"/>
  <c r="E1900" i="4"/>
  <c r="D1900" i="4"/>
  <c r="C1900" i="4"/>
  <c r="B1900" i="4"/>
  <c r="A1900" i="4"/>
  <c r="E1899" i="4"/>
  <c r="D1899" i="4"/>
  <c r="B1899" i="4"/>
  <c r="A1899" i="4"/>
  <c r="F1898" i="4"/>
  <c r="E1898" i="4"/>
  <c r="D1898" i="4"/>
  <c r="C1898" i="4"/>
  <c r="B1898" i="4"/>
  <c r="A1898" i="4"/>
  <c r="E1897" i="4"/>
  <c r="D1897" i="4"/>
  <c r="C1897" i="4"/>
  <c r="B1897" i="4"/>
  <c r="A1897" i="4"/>
  <c r="E1896" i="4"/>
  <c r="D1896" i="4"/>
  <c r="B1896" i="4"/>
  <c r="A1896" i="4"/>
  <c r="E1895" i="4"/>
  <c r="D1895" i="4"/>
  <c r="B1895" i="4"/>
  <c r="A1895" i="4"/>
  <c r="E1894" i="4"/>
  <c r="D1894" i="4"/>
  <c r="B1894" i="4"/>
  <c r="A1894" i="4"/>
  <c r="E1893" i="4"/>
  <c r="D1893" i="4"/>
  <c r="C1893" i="4"/>
  <c r="B1893" i="4"/>
  <c r="A1893" i="4"/>
  <c r="E1892" i="4"/>
  <c r="D1892" i="4"/>
  <c r="B1892" i="4"/>
  <c r="A1892" i="4"/>
  <c r="E1891" i="4"/>
  <c r="D1891" i="4"/>
  <c r="B1891" i="4"/>
  <c r="A1891" i="4"/>
  <c r="E1890" i="4"/>
  <c r="D1890" i="4"/>
  <c r="C1890" i="4"/>
  <c r="B1890" i="4"/>
  <c r="A1890" i="4"/>
  <c r="E1889" i="4"/>
  <c r="D1889" i="4"/>
  <c r="C1889" i="4"/>
  <c r="B1889" i="4"/>
  <c r="A1889" i="4"/>
  <c r="E1888" i="4"/>
  <c r="D1888" i="4"/>
  <c r="C1888" i="4"/>
  <c r="B1888" i="4"/>
  <c r="A1888" i="4"/>
  <c r="E1887" i="4"/>
  <c r="D1887" i="4"/>
  <c r="C1887" i="4"/>
  <c r="B1887" i="4"/>
  <c r="A1887" i="4"/>
  <c r="E1886" i="4"/>
  <c r="D1886" i="4"/>
  <c r="C1886" i="4"/>
  <c r="B1886" i="4"/>
  <c r="A1886" i="4"/>
  <c r="E1885" i="4"/>
  <c r="D1885" i="4"/>
  <c r="C1885" i="4"/>
  <c r="B1885" i="4"/>
  <c r="A1885" i="4"/>
  <c r="E1884" i="4"/>
  <c r="D1884" i="4"/>
  <c r="C1884" i="4"/>
  <c r="B1884" i="4"/>
  <c r="A1884" i="4"/>
  <c r="E1883" i="4"/>
  <c r="D1883" i="4"/>
  <c r="C1883" i="4"/>
  <c r="B1883" i="4"/>
  <c r="A1883" i="4"/>
  <c r="E1882" i="4"/>
  <c r="D1882" i="4"/>
  <c r="C1882" i="4"/>
  <c r="B1882" i="4"/>
  <c r="A1882" i="4"/>
  <c r="E1881" i="4"/>
  <c r="D1881" i="4"/>
  <c r="C1881" i="4"/>
  <c r="B1881" i="4"/>
  <c r="A1881" i="4"/>
  <c r="E1880" i="4"/>
  <c r="D1880" i="4"/>
  <c r="C1880" i="4"/>
  <c r="B1880" i="4"/>
  <c r="A1880" i="4"/>
  <c r="E1879" i="4"/>
  <c r="D1879" i="4"/>
  <c r="B1879" i="4"/>
  <c r="A1879" i="4"/>
  <c r="E1878" i="4"/>
  <c r="D1878" i="4"/>
  <c r="B1878" i="4"/>
  <c r="A1878" i="4"/>
  <c r="E1877" i="4"/>
  <c r="D1877" i="4"/>
  <c r="B1877" i="4"/>
  <c r="A1877" i="4"/>
  <c r="E1876" i="4"/>
  <c r="D1876" i="4"/>
  <c r="B1876" i="4"/>
  <c r="A1876" i="4"/>
  <c r="E1875" i="4"/>
  <c r="D1875" i="4"/>
  <c r="B1875" i="4"/>
  <c r="A1875" i="4"/>
  <c r="E1874" i="4"/>
  <c r="D1874" i="4"/>
  <c r="C1874" i="4"/>
  <c r="B1874" i="4"/>
  <c r="A1874" i="4"/>
  <c r="B1873" i="4"/>
  <c r="A1873" i="4"/>
  <c r="E1872" i="4"/>
  <c r="D1872" i="4"/>
  <c r="C1872" i="4"/>
  <c r="B1872" i="4"/>
  <c r="A1872"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B1862" i="4"/>
  <c r="A1862" i="4"/>
  <c r="E1861" i="4"/>
  <c r="D1861" i="4"/>
  <c r="C1861" i="4"/>
  <c r="B1861" i="4"/>
  <c r="A1861" i="4"/>
  <c r="E1860" i="4"/>
  <c r="D1860" i="4"/>
  <c r="C1860" i="4"/>
  <c r="B1860" i="4"/>
  <c r="A1860" i="4"/>
  <c r="E1859" i="4"/>
  <c r="D1859" i="4"/>
  <c r="C1859" i="4"/>
  <c r="B1859" i="4"/>
  <c r="A1859" i="4"/>
  <c r="E1858" i="4"/>
  <c r="D1858" i="4"/>
  <c r="C1858" i="4"/>
  <c r="B1858" i="4"/>
  <c r="A1858" i="4"/>
  <c r="F1857" i="4"/>
  <c r="E1857" i="4"/>
  <c r="D1857" i="4"/>
  <c r="C1857" i="4"/>
  <c r="B1857" i="4"/>
  <c r="A1857" i="4"/>
  <c r="B1856" i="4"/>
  <c r="A1856" i="4"/>
  <c r="E1855" i="4"/>
  <c r="D1855" i="4"/>
  <c r="C1855" i="4"/>
  <c r="B1855" i="4"/>
  <c r="A1855" i="4"/>
  <c r="E1854" i="4"/>
  <c r="D1854" i="4"/>
  <c r="C1854" i="4"/>
  <c r="B1854" i="4"/>
  <c r="A1854" i="4"/>
  <c r="F1853" i="4"/>
  <c r="E1853" i="4"/>
  <c r="D1853" i="4"/>
  <c r="C1853" i="4"/>
  <c r="B1853" i="4"/>
  <c r="A1853" i="4"/>
  <c r="B1852" i="4"/>
  <c r="A1852" i="4"/>
  <c r="E1851" i="4"/>
  <c r="D1851" i="4"/>
  <c r="C1851" i="4"/>
  <c r="B1851" i="4"/>
  <c r="A1851" i="4"/>
  <c r="E1850" i="4"/>
  <c r="D1850" i="4"/>
  <c r="C1850" i="4"/>
  <c r="B1850" i="4"/>
  <c r="A1850" i="4"/>
  <c r="E1849" i="4"/>
  <c r="D1849" i="4"/>
  <c r="C1849" i="4"/>
  <c r="B1849" i="4"/>
  <c r="A1849" i="4"/>
  <c r="E1848" i="4"/>
  <c r="D1848" i="4"/>
  <c r="C1848" i="4"/>
  <c r="B1848" i="4"/>
  <c r="A1848" i="4"/>
  <c r="B1847" i="4"/>
  <c r="A1847" i="4"/>
  <c r="B1846" i="4"/>
  <c r="A1846" i="4"/>
  <c r="E1845" i="4"/>
  <c r="D1845" i="4"/>
  <c r="C1845" i="4"/>
  <c r="B1845" i="4"/>
  <c r="A1845" i="4"/>
  <c r="E1844" i="4"/>
  <c r="D1844" i="4"/>
  <c r="C1844" i="4"/>
  <c r="B1844" i="4"/>
  <c r="A1844" i="4"/>
  <c r="E1843" i="4"/>
  <c r="D1843" i="4"/>
  <c r="C1843" i="4"/>
  <c r="B1843" i="4"/>
  <c r="A1843" i="4"/>
  <c r="E1842" i="4"/>
  <c r="D1842" i="4"/>
  <c r="C1842" i="4"/>
  <c r="B1842" i="4"/>
  <c r="A1842" i="4"/>
  <c r="E1841" i="4"/>
  <c r="D1841" i="4"/>
  <c r="C1841" i="4"/>
  <c r="B1841" i="4"/>
  <c r="A1841" i="4"/>
  <c r="E1840" i="4"/>
  <c r="D1840" i="4"/>
  <c r="C1840" i="4"/>
  <c r="B1840" i="4"/>
  <c r="A1840" i="4"/>
  <c r="E1839" i="4"/>
  <c r="D1839" i="4"/>
  <c r="C1839" i="4"/>
  <c r="B1839" i="4"/>
  <c r="A1839" i="4"/>
  <c r="E1838" i="4"/>
  <c r="D1838" i="4"/>
  <c r="B1838" i="4"/>
  <c r="A1838" i="4"/>
  <c r="E1837" i="4"/>
  <c r="D1837" i="4"/>
  <c r="B1837" i="4"/>
  <c r="A1837" i="4"/>
  <c r="E1836" i="4"/>
  <c r="D1836" i="4"/>
  <c r="B1836" i="4"/>
  <c r="A1836" i="4"/>
  <c r="E1835" i="4"/>
  <c r="D1835" i="4"/>
  <c r="C1835" i="4"/>
  <c r="B1835" i="4"/>
  <c r="A1835" i="4"/>
  <c r="E1834" i="4"/>
  <c r="D1834" i="4"/>
  <c r="C1834" i="4"/>
  <c r="B1834" i="4"/>
  <c r="A1834" i="4"/>
  <c r="E1833" i="4"/>
  <c r="D1833" i="4"/>
  <c r="C1833" i="4"/>
  <c r="B1833" i="4"/>
  <c r="A1833" i="4"/>
  <c r="E1832" i="4"/>
  <c r="D1832" i="4"/>
  <c r="C1832" i="4"/>
  <c r="B1832" i="4"/>
  <c r="A1832" i="4"/>
  <c r="E1831" i="4"/>
  <c r="D1831" i="4"/>
  <c r="C1831" i="4"/>
  <c r="B1831" i="4"/>
  <c r="A1831" i="4"/>
  <c r="E1830" i="4"/>
  <c r="D1830" i="4"/>
  <c r="C1830" i="4"/>
  <c r="B1830" i="4"/>
  <c r="A1830" i="4"/>
  <c r="E1829"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F1818" i="4"/>
  <c r="E1818" i="4"/>
  <c r="D1818" i="4"/>
  <c r="C1818" i="4"/>
  <c r="B1818" i="4"/>
  <c r="A1818" i="4"/>
  <c r="B1817" i="4"/>
  <c r="A1817" i="4"/>
  <c r="E1816" i="4"/>
  <c r="D1816" i="4"/>
  <c r="C1816" i="4"/>
  <c r="B1816" i="4"/>
  <c r="A1816" i="4"/>
  <c r="E1815" i="4"/>
  <c r="D1815" i="4"/>
  <c r="C1815" i="4"/>
  <c r="B1815" i="4"/>
  <c r="A1815" i="4"/>
  <c r="E1814" i="4"/>
  <c r="D1814" i="4"/>
  <c r="C1814" i="4"/>
  <c r="B1814" i="4"/>
  <c r="A1814" i="4"/>
  <c r="E1813" i="4"/>
  <c r="D1813" i="4"/>
  <c r="C1813" i="4"/>
  <c r="B1813" i="4"/>
  <c r="A1813" i="4"/>
  <c r="E1812" i="4"/>
  <c r="D1812" i="4"/>
  <c r="C1812" i="4"/>
  <c r="B1812" i="4"/>
  <c r="A1812" i="4"/>
  <c r="E1811" i="4"/>
  <c r="D1811" i="4"/>
  <c r="C1811" i="4"/>
  <c r="B1811" i="4"/>
  <c r="A1811" i="4"/>
  <c r="E1810" i="4"/>
  <c r="D1810" i="4"/>
  <c r="C1810" i="4"/>
  <c r="B1810" i="4"/>
  <c r="A1810" i="4"/>
  <c r="B1809" i="4"/>
  <c r="A1809" i="4"/>
  <c r="B1808" i="4"/>
  <c r="A1808" i="4"/>
  <c r="E1807" i="4"/>
  <c r="D1807" i="4"/>
  <c r="C1807" i="4"/>
  <c r="B1807" i="4"/>
  <c r="A1807" i="4"/>
  <c r="E1806" i="4"/>
  <c r="D1806" i="4"/>
  <c r="C1806" i="4"/>
  <c r="B1806" i="4"/>
  <c r="A1806" i="4"/>
  <c r="E1805" i="4"/>
  <c r="D1805" i="4"/>
  <c r="C1805" i="4"/>
  <c r="B1805" i="4"/>
  <c r="A1805" i="4"/>
  <c r="E1804" i="4"/>
  <c r="D1804" i="4"/>
  <c r="C1804" i="4"/>
  <c r="B1804" i="4"/>
  <c r="A1804" i="4"/>
  <c r="F1803" i="4"/>
  <c r="E1803" i="4"/>
  <c r="D1803" i="4"/>
  <c r="C1803" i="4"/>
  <c r="B1803" i="4"/>
  <c r="A1803" i="4"/>
  <c r="E1802" i="4"/>
  <c r="D1802" i="4"/>
  <c r="C1802" i="4"/>
  <c r="B1802" i="4"/>
  <c r="A1802" i="4"/>
  <c r="E1801" i="4"/>
  <c r="D1801" i="4"/>
  <c r="C1801" i="4"/>
  <c r="B1801" i="4"/>
  <c r="A1801" i="4"/>
  <c r="E1800" i="4"/>
  <c r="D1800" i="4"/>
  <c r="C1800" i="4"/>
  <c r="B1800" i="4"/>
  <c r="A1800" i="4"/>
  <c r="E1799" i="4"/>
  <c r="D1799" i="4"/>
  <c r="C1799" i="4"/>
  <c r="B1799" i="4"/>
  <c r="A1799" i="4"/>
  <c r="E1798" i="4"/>
  <c r="D1798" i="4"/>
  <c r="C1798" i="4"/>
  <c r="B1798" i="4"/>
  <c r="A1798" i="4"/>
  <c r="B1797" i="4"/>
  <c r="A1797" i="4"/>
  <c r="B1796" i="4"/>
  <c r="A1796" i="4"/>
  <c r="E1795" i="4"/>
  <c r="D1795" i="4"/>
  <c r="C1795" i="4"/>
  <c r="B1795" i="4"/>
  <c r="A1795" i="4"/>
  <c r="E1794" i="4"/>
  <c r="D1794" i="4"/>
  <c r="C1794" i="4"/>
  <c r="B1794" i="4"/>
  <c r="A1794" i="4"/>
  <c r="B1793" i="4"/>
  <c r="A1793" i="4"/>
  <c r="E1792" i="4"/>
  <c r="D1792" i="4"/>
  <c r="C1792" i="4"/>
  <c r="B1792" i="4"/>
  <c r="A1792" i="4"/>
  <c r="E1791" i="4"/>
  <c r="D1791" i="4"/>
  <c r="C1791" i="4"/>
  <c r="B1791" i="4"/>
  <c r="A1791" i="4"/>
  <c r="E1790"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F1784" i="4"/>
  <c r="E1784" i="4"/>
  <c r="D1784" i="4"/>
  <c r="C1784" i="4"/>
  <c r="B1784" i="4"/>
  <c r="A1784" i="4"/>
  <c r="E1783" i="4"/>
  <c r="D1783" i="4"/>
  <c r="C1783" i="4"/>
  <c r="B1783" i="4"/>
  <c r="A1783" i="4"/>
  <c r="E1782" i="4"/>
  <c r="D1782" i="4"/>
  <c r="C1782" i="4"/>
  <c r="B1782" i="4"/>
  <c r="A1782" i="4"/>
  <c r="E1781" i="4"/>
  <c r="D1781" i="4"/>
  <c r="C1781" i="4"/>
  <c r="B1781" i="4"/>
  <c r="A1781" i="4"/>
  <c r="E1780" i="4"/>
  <c r="D1780" i="4"/>
  <c r="C1780" i="4"/>
  <c r="B1780" i="4"/>
  <c r="A1780" i="4"/>
  <c r="E1779" i="4"/>
  <c r="D1779" i="4"/>
  <c r="C1779" i="4"/>
  <c r="B1779" i="4"/>
  <c r="A1779" i="4"/>
  <c r="E1778" i="4"/>
  <c r="D1778" i="4"/>
  <c r="C1778" i="4"/>
  <c r="B1778" i="4"/>
  <c r="A1778" i="4"/>
  <c r="E1777" i="4"/>
  <c r="D1777" i="4"/>
  <c r="C1777" i="4"/>
  <c r="B1777" i="4"/>
  <c r="A1777" i="4"/>
  <c r="E1776" i="4"/>
  <c r="D1776" i="4"/>
  <c r="C1776" i="4"/>
  <c r="B1776" i="4"/>
  <c r="A1776" i="4"/>
  <c r="E1775" i="4"/>
  <c r="D1775" i="4"/>
  <c r="C1775" i="4"/>
  <c r="B1775" i="4"/>
  <c r="A1775" i="4"/>
  <c r="B1774" i="4"/>
  <c r="A1774" i="4"/>
  <c r="E1773" i="4"/>
  <c r="D1773" i="4"/>
  <c r="C1773" i="4"/>
  <c r="B1773" i="4"/>
  <c r="A1773"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B1767" i="4"/>
  <c r="A1767" i="4"/>
  <c r="E1766" i="4"/>
  <c r="D1766" i="4"/>
  <c r="C1766" i="4"/>
  <c r="B1766" i="4"/>
  <c r="A1766" i="4"/>
  <c r="E1765" i="4"/>
  <c r="D1765" i="4"/>
  <c r="C1765" i="4"/>
  <c r="B1765" i="4"/>
  <c r="A1765" i="4"/>
  <c r="E1764" i="4"/>
  <c r="D1764" i="4"/>
  <c r="C1764" i="4"/>
  <c r="B1764" i="4"/>
  <c r="A1764" i="4"/>
  <c r="F1763" i="4"/>
  <c r="E1763" i="4"/>
  <c r="D1763" i="4"/>
  <c r="C1763" i="4"/>
  <c r="B1763" i="4"/>
  <c r="A1763" i="4"/>
  <c r="E1762" i="4"/>
  <c r="D1762" i="4"/>
  <c r="C1762" i="4"/>
  <c r="B1762" i="4"/>
  <c r="A1762" i="4"/>
  <c r="E1761" i="4"/>
  <c r="D1761" i="4"/>
  <c r="C1761" i="4"/>
  <c r="B1761" i="4"/>
  <c r="A1761" i="4"/>
  <c r="E1760" i="4"/>
  <c r="D1760" i="4"/>
  <c r="C1760" i="4"/>
  <c r="B1760" i="4"/>
  <c r="A1760" i="4"/>
  <c r="E1759" i="4"/>
  <c r="D1759" i="4"/>
  <c r="C1759" i="4"/>
  <c r="B1759" i="4"/>
  <c r="A1759" i="4"/>
  <c r="E1758" i="4"/>
  <c r="D1758" i="4"/>
  <c r="C1758" i="4"/>
  <c r="B1758" i="4"/>
  <c r="A1758" i="4"/>
  <c r="E1757" i="4"/>
  <c r="D1757" i="4"/>
  <c r="C1757" i="4"/>
  <c r="B1757" i="4"/>
  <c r="A1757" i="4"/>
  <c r="E1756" i="4"/>
  <c r="D1756" i="4"/>
  <c r="C1756" i="4"/>
  <c r="B1756" i="4"/>
  <c r="A1756" i="4"/>
  <c r="E1755" i="4"/>
  <c r="D1755" i="4"/>
  <c r="C1755" i="4"/>
  <c r="B1755" i="4"/>
  <c r="A1755" i="4"/>
  <c r="E1754" i="4"/>
  <c r="D1754" i="4"/>
  <c r="C1754" i="4"/>
  <c r="B1754" i="4"/>
  <c r="A1754" i="4"/>
  <c r="E1753" i="4"/>
  <c r="D1753" i="4"/>
  <c r="C1753" i="4"/>
  <c r="B1753" i="4"/>
  <c r="A1753" i="4"/>
  <c r="E1752" i="4"/>
  <c r="D1752" i="4"/>
  <c r="C1752" i="4"/>
  <c r="B1752" i="4"/>
  <c r="A1752" i="4"/>
  <c r="E1751" i="4"/>
  <c r="C1751" i="4"/>
  <c r="B1751" i="4"/>
  <c r="A1751" i="4"/>
  <c r="E1750" i="4"/>
  <c r="D1750" i="4"/>
  <c r="C1750" i="4"/>
  <c r="B1750" i="4"/>
  <c r="A1750" i="4"/>
  <c r="E1749" i="4"/>
  <c r="D1749" i="4"/>
  <c r="C1749" i="4"/>
  <c r="B1749" i="4"/>
  <c r="A1749" i="4"/>
  <c r="B1748" i="4"/>
  <c r="A1748" i="4"/>
  <c r="E1747" i="4"/>
  <c r="D1747" i="4"/>
  <c r="C1747" i="4"/>
  <c r="B1747" i="4"/>
  <c r="A1747" i="4"/>
  <c r="E1746" i="4"/>
  <c r="D1746" i="4"/>
  <c r="C1746" i="4"/>
  <c r="B1746" i="4"/>
  <c r="A1746" i="4"/>
  <c r="E1745" i="4"/>
  <c r="D1745" i="4"/>
  <c r="C1745" i="4"/>
  <c r="B1745" i="4"/>
  <c r="A1745" i="4"/>
  <c r="B1744" i="4"/>
  <c r="A1744" i="4"/>
  <c r="E1743" i="4"/>
  <c r="D1743" i="4"/>
  <c r="C1743" i="4"/>
  <c r="B1743" i="4"/>
  <c r="A1743" i="4"/>
  <c r="E1742" i="4"/>
  <c r="D1742" i="4"/>
  <c r="C1742" i="4"/>
  <c r="B1742" i="4"/>
  <c r="A1742" i="4"/>
  <c r="E1741" i="4"/>
  <c r="D1741" i="4"/>
  <c r="C1741" i="4"/>
  <c r="B1741" i="4"/>
  <c r="A1741" i="4"/>
  <c r="E1740" i="4"/>
  <c r="D1740" i="4"/>
  <c r="C1740" i="4"/>
  <c r="B1740" i="4"/>
  <c r="A1740" i="4"/>
  <c r="E1739" i="4"/>
  <c r="D1739" i="4"/>
  <c r="C1739" i="4"/>
  <c r="B1739" i="4"/>
  <c r="A1739" i="4"/>
  <c r="E1738" i="4"/>
  <c r="D1738" i="4"/>
  <c r="C1738" i="4"/>
  <c r="B1738" i="4"/>
  <c r="A1738" i="4"/>
  <c r="E1737" i="4"/>
  <c r="D1737" i="4"/>
  <c r="C1737" i="4"/>
  <c r="B1737" i="4"/>
  <c r="A1737" i="4"/>
  <c r="E1736" i="4"/>
  <c r="D1736" i="4"/>
  <c r="C1736" i="4"/>
  <c r="B1736" i="4"/>
  <c r="A1736" i="4"/>
  <c r="E1735" i="4"/>
  <c r="D1735" i="4"/>
  <c r="C1735" i="4"/>
  <c r="B1735" i="4"/>
  <c r="A1735" i="4"/>
  <c r="E1734" i="4"/>
  <c r="D1734" i="4"/>
  <c r="C1734" i="4"/>
  <c r="B1734" i="4"/>
  <c r="A1734" i="4"/>
  <c r="E1733" i="4"/>
  <c r="D1733" i="4"/>
  <c r="C1733" i="4"/>
  <c r="B1733" i="4"/>
  <c r="A1733" i="4"/>
  <c r="B1732" i="4"/>
  <c r="A1732" i="4"/>
  <c r="E1731" i="4"/>
  <c r="D1731" i="4"/>
  <c r="C1731" i="4"/>
  <c r="B1731" i="4"/>
  <c r="A1731" i="4"/>
  <c r="E1730" i="4"/>
  <c r="D1730" i="4"/>
  <c r="C1730" i="4"/>
  <c r="B1730" i="4"/>
  <c r="A1730" i="4"/>
  <c r="E1729" i="4"/>
  <c r="D1729" i="4"/>
  <c r="C1729" i="4"/>
  <c r="B1729" i="4"/>
  <c r="A1729" i="4"/>
  <c r="E1728" i="4"/>
  <c r="D1728" i="4"/>
  <c r="C1728" i="4"/>
  <c r="B1728" i="4"/>
  <c r="A1728" i="4"/>
  <c r="E1727" i="4"/>
  <c r="D1727" i="4"/>
  <c r="C1727" i="4"/>
  <c r="B1727" i="4"/>
  <c r="A1727" i="4"/>
  <c r="E1726" i="4"/>
  <c r="D1726" i="4"/>
  <c r="C1726" i="4"/>
  <c r="B1726" i="4"/>
  <c r="A1726" i="4"/>
  <c r="E1725" i="4"/>
  <c r="D1725" i="4"/>
  <c r="C1725" i="4"/>
  <c r="B1725" i="4"/>
  <c r="A1725" i="4"/>
  <c r="B1724" i="4"/>
  <c r="A1724" i="4"/>
  <c r="E1723" i="4"/>
  <c r="D1723" i="4"/>
  <c r="C1723" i="4"/>
  <c r="B1723" i="4"/>
  <c r="A1723" i="4"/>
  <c r="E1722" i="4"/>
  <c r="D1722" i="4"/>
  <c r="C1722" i="4"/>
  <c r="B1722" i="4"/>
  <c r="A1722" i="4"/>
  <c r="E1721" i="4"/>
  <c r="D1721" i="4"/>
  <c r="C1721" i="4"/>
  <c r="B1721" i="4"/>
  <c r="A1721" i="4"/>
  <c r="E1720" i="4"/>
  <c r="D1720" i="4"/>
  <c r="C1720" i="4"/>
  <c r="B1720" i="4"/>
  <c r="A1720" i="4"/>
  <c r="E1719" i="4"/>
  <c r="D1719" i="4"/>
  <c r="C1719" i="4"/>
  <c r="B1719" i="4"/>
  <c r="A1719" i="4"/>
  <c r="E1718" i="4"/>
  <c r="D1718" i="4"/>
  <c r="C1718" i="4"/>
  <c r="B1718" i="4"/>
  <c r="A1718" i="4"/>
  <c r="E1717" i="4"/>
  <c r="D1717" i="4"/>
  <c r="C1717" i="4"/>
  <c r="B1717" i="4"/>
  <c r="A1717" i="4"/>
  <c r="E1716" i="4"/>
  <c r="D1716" i="4"/>
  <c r="C1716" i="4"/>
  <c r="B1716" i="4"/>
  <c r="A1716" i="4"/>
  <c r="B1715" i="4"/>
  <c r="A1715" i="4"/>
  <c r="E1714" i="4"/>
  <c r="D1714" i="4"/>
  <c r="C1714" i="4"/>
  <c r="B1714" i="4"/>
  <c r="A1714" i="4"/>
  <c r="E1713" i="4"/>
  <c r="D1713" i="4"/>
  <c r="C1713" i="4"/>
  <c r="B1713" i="4"/>
  <c r="A1713" i="4"/>
  <c r="E1712" i="4"/>
  <c r="D1712" i="4"/>
  <c r="C1712" i="4"/>
  <c r="B1712" i="4"/>
  <c r="A1712" i="4"/>
  <c r="E1711" i="4"/>
  <c r="D1711" i="4"/>
  <c r="C1711" i="4"/>
  <c r="B1711" i="4"/>
  <c r="A1711" i="4"/>
  <c r="E1710" i="4"/>
  <c r="D1710" i="4"/>
  <c r="C1710" i="4"/>
  <c r="B1710" i="4"/>
  <c r="A1710" i="4"/>
  <c r="E1709" i="4"/>
  <c r="D1709" i="4"/>
  <c r="C1709" i="4"/>
  <c r="B1709" i="4"/>
  <c r="A1709" i="4"/>
  <c r="E1708" i="4"/>
  <c r="D1708" i="4"/>
  <c r="C1708" i="4"/>
  <c r="B1708" i="4"/>
  <c r="A1708" i="4"/>
  <c r="E1707" i="4"/>
  <c r="D1707" i="4"/>
  <c r="C1707" i="4"/>
  <c r="B1707" i="4"/>
  <c r="A1707" i="4"/>
  <c r="E1706" i="4"/>
  <c r="D1706" i="4"/>
  <c r="C1706" i="4"/>
  <c r="B1706" i="4"/>
  <c r="A1706" i="4"/>
  <c r="E1705" i="4"/>
  <c r="D1705" i="4"/>
  <c r="C1705" i="4"/>
  <c r="B1705" i="4"/>
  <c r="A1705" i="4"/>
  <c r="E1704" i="4"/>
  <c r="D1704" i="4"/>
  <c r="C1704" i="4"/>
  <c r="B1704" i="4"/>
  <c r="A1704" i="4"/>
  <c r="E1703" i="4"/>
  <c r="D1703" i="4"/>
  <c r="C1703" i="4"/>
  <c r="B1703" i="4"/>
  <c r="A1703" i="4"/>
  <c r="E1702" i="4"/>
  <c r="D1702" i="4"/>
  <c r="C1702" i="4"/>
  <c r="B1702" i="4"/>
  <c r="A1702" i="4"/>
  <c r="B1701" i="4"/>
  <c r="A1701" i="4"/>
  <c r="E1700" i="4"/>
  <c r="D1700" i="4"/>
  <c r="C1700" i="4"/>
  <c r="B1700" i="4"/>
  <c r="A1700" i="4"/>
  <c r="E1699" i="4"/>
  <c r="D1699" i="4"/>
  <c r="C1699" i="4"/>
  <c r="B1699" i="4"/>
  <c r="A1699" i="4"/>
  <c r="E1698" i="4"/>
  <c r="D1698" i="4"/>
  <c r="C1698" i="4"/>
  <c r="B1698" i="4"/>
  <c r="A1698" i="4"/>
  <c r="E1697" i="4"/>
  <c r="D1697" i="4"/>
  <c r="C1697" i="4"/>
  <c r="B1697" i="4"/>
  <c r="A1697" i="4"/>
  <c r="E1696" i="4"/>
  <c r="D1696" i="4"/>
  <c r="C1696" i="4"/>
  <c r="B1696" i="4"/>
  <c r="A1696" i="4"/>
  <c r="E1695" i="4"/>
  <c r="D1695" i="4"/>
  <c r="C1695" i="4"/>
  <c r="B1695" i="4"/>
  <c r="A1695" i="4"/>
  <c r="E1694" i="4"/>
  <c r="D1694" i="4"/>
  <c r="C1694" i="4"/>
  <c r="B1694" i="4"/>
  <c r="A1694" i="4"/>
  <c r="E1693" i="4"/>
  <c r="D1693" i="4"/>
  <c r="C1693" i="4"/>
  <c r="B1693" i="4"/>
  <c r="A1693" i="4"/>
  <c r="E1692" i="4"/>
  <c r="D1692" i="4"/>
  <c r="C1692" i="4"/>
  <c r="B1692" i="4"/>
  <c r="A1692" i="4"/>
  <c r="E1691" i="4"/>
  <c r="D1691" i="4"/>
  <c r="C1691" i="4"/>
  <c r="B1691" i="4"/>
  <c r="A1691" i="4"/>
  <c r="B1690" i="4"/>
  <c r="A1690" i="4"/>
  <c r="E1689" i="4"/>
  <c r="D1689" i="4"/>
  <c r="C1689" i="4"/>
  <c r="B1689" i="4"/>
  <c r="A1689" i="4"/>
  <c r="E1688" i="4"/>
  <c r="D1688" i="4"/>
  <c r="C1688" i="4"/>
  <c r="B1688" i="4"/>
  <c r="A1688" i="4"/>
  <c r="E1687" i="4"/>
  <c r="D1687" i="4"/>
  <c r="C1687" i="4"/>
  <c r="B1687" i="4"/>
  <c r="A1687"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E1681" i="4"/>
  <c r="D1681" i="4"/>
  <c r="C1681" i="4"/>
  <c r="B1681" i="4"/>
  <c r="A1681" i="4"/>
  <c r="E1680" i="4"/>
  <c r="D1680" i="4"/>
  <c r="C1680" i="4"/>
  <c r="B1680" i="4"/>
  <c r="A1680" i="4"/>
  <c r="E1679" i="4"/>
  <c r="D1679" i="4"/>
  <c r="C1679" i="4"/>
  <c r="B1679" i="4"/>
  <c r="A1679" i="4"/>
  <c r="E1678" i="4"/>
  <c r="D1678" i="4"/>
  <c r="C1678" i="4"/>
  <c r="B1678" i="4"/>
  <c r="A1678" i="4"/>
  <c r="E1677" i="4"/>
  <c r="D1677" i="4"/>
  <c r="C1677" i="4"/>
  <c r="B1677" i="4"/>
  <c r="A1677" i="4"/>
  <c r="E1676" i="4"/>
  <c r="D1676" i="4"/>
  <c r="C1676" i="4"/>
  <c r="B1676" i="4"/>
  <c r="A1676" i="4"/>
  <c r="E1675" i="4"/>
  <c r="D1675" i="4"/>
  <c r="C1675" i="4"/>
  <c r="B1675" i="4"/>
  <c r="A1675" i="4"/>
  <c r="E1674" i="4"/>
  <c r="D1674" i="4"/>
  <c r="C1674" i="4"/>
  <c r="B1674" i="4"/>
  <c r="A1674" i="4"/>
  <c r="E1673" i="4"/>
  <c r="D1673" i="4"/>
  <c r="C1673" i="4"/>
  <c r="B1673" i="4"/>
  <c r="A1673" i="4"/>
  <c r="E1672" i="4"/>
  <c r="D1672" i="4"/>
  <c r="C1672" i="4"/>
  <c r="B1672" i="4"/>
  <c r="A1672" i="4"/>
  <c r="E1671" i="4"/>
  <c r="D1671" i="4"/>
  <c r="C1671" i="4"/>
  <c r="B1671" i="4"/>
  <c r="A1671" i="4"/>
  <c r="E1670" i="4"/>
  <c r="D1670" i="4"/>
  <c r="C1670" i="4"/>
  <c r="B1670" i="4"/>
  <c r="A1670" i="4"/>
  <c r="E1669" i="4"/>
  <c r="D1669" i="4"/>
  <c r="C1669" i="4"/>
  <c r="B1669" i="4"/>
  <c r="A1669" i="4"/>
  <c r="E1668" i="4"/>
  <c r="D1668" i="4"/>
  <c r="C1668" i="4"/>
  <c r="B1668" i="4"/>
  <c r="A1668" i="4"/>
  <c r="E1667" i="4"/>
  <c r="D1667" i="4"/>
  <c r="C1667" i="4"/>
  <c r="B1667" i="4"/>
  <c r="A1667" i="4"/>
  <c r="E1666" i="4"/>
  <c r="D1666" i="4"/>
  <c r="C1666" i="4"/>
  <c r="B1666" i="4"/>
  <c r="A1666" i="4"/>
  <c r="E1665" i="4"/>
  <c r="D1665" i="4"/>
  <c r="C1665" i="4"/>
  <c r="B1665" i="4"/>
  <c r="A1665" i="4"/>
  <c r="E1664" i="4"/>
  <c r="D1664" i="4"/>
  <c r="C1664" i="4"/>
  <c r="B1664" i="4"/>
  <c r="A1664" i="4"/>
  <c r="E1663" i="4"/>
  <c r="D1663" i="4"/>
  <c r="C1663" i="4"/>
  <c r="B1663" i="4"/>
  <c r="A1663" i="4"/>
  <c r="E1662" i="4"/>
  <c r="D1662" i="4"/>
  <c r="C1662" i="4"/>
  <c r="B1662" i="4"/>
  <c r="A1662" i="4"/>
  <c r="E1661" i="4"/>
  <c r="D1661" i="4"/>
  <c r="C1661" i="4"/>
  <c r="B1661" i="4"/>
  <c r="A1661" i="4"/>
  <c r="E1660" i="4"/>
  <c r="D1660" i="4"/>
  <c r="C1660" i="4"/>
  <c r="B1660" i="4"/>
  <c r="A1660" i="4"/>
  <c r="E1659" i="4"/>
  <c r="D1659" i="4"/>
  <c r="C1659" i="4"/>
  <c r="B1659" i="4"/>
  <c r="A1659" i="4"/>
  <c r="E1658" i="4"/>
  <c r="D1658" i="4"/>
  <c r="C1658" i="4"/>
  <c r="B1658" i="4"/>
  <c r="A1658" i="4"/>
  <c r="E1657" i="4"/>
  <c r="D1657" i="4"/>
  <c r="C1657" i="4"/>
  <c r="B1657" i="4"/>
  <c r="A1657" i="4"/>
  <c r="F1656" i="4"/>
  <c r="E1656" i="4"/>
  <c r="D1656" i="4"/>
  <c r="C1656" i="4"/>
  <c r="B1656" i="4"/>
  <c r="A1656" i="4"/>
  <c r="B1655" i="4"/>
  <c r="A1655" i="4"/>
  <c r="E1654" i="4"/>
  <c r="D1654" i="4"/>
  <c r="C1654" i="4"/>
  <c r="B1654" i="4"/>
  <c r="A1654" i="4"/>
  <c r="E1653" i="4"/>
  <c r="D1653" i="4"/>
  <c r="C1653" i="4"/>
  <c r="B1653" i="4"/>
  <c r="A1653" i="4"/>
  <c r="E1652" i="4"/>
  <c r="D1652" i="4"/>
  <c r="C1652" i="4"/>
  <c r="B1652" i="4"/>
  <c r="A1652" i="4"/>
  <c r="E1651" i="4"/>
  <c r="D1651" i="4"/>
  <c r="C1651" i="4"/>
  <c r="B1651" i="4"/>
  <c r="A1651" i="4"/>
  <c r="E1650" i="4"/>
  <c r="D1650" i="4"/>
  <c r="C1650" i="4"/>
  <c r="B1650" i="4"/>
  <c r="A1650" i="4"/>
  <c r="E1649" i="4"/>
  <c r="D1649" i="4"/>
  <c r="C1649" i="4"/>
  <c r="B1649" i="4"/>
  <c r="A1649" i="4"/>
  <c r="E1648" i="4"/>
  <c r="D1648" i="4"/>
  <c r="C1648" i="4"/>
  <c r="B1648" i="4"/>
  <c r="A1648" i="4"/>
  <c r="E1647" i="4"/>
  <c r="D1647" i="4"/>
  <c r="C1647" i="4"/>
  <c r="B1647" i="4"/>
  <c r="A1647" i="4"/>
  <c r="E1646" i="4"/>
  <c r="D1646" i="4"/>
  <c r="C1646" i="4"/>
  <c r="B1646" i="4"/>
  <c r="A1646" i="4"/>
  <c r="E1645" i="4"/>
  <c r="D1645" i="4"/>
  <c r="C1645" i="4"/>
  <c r="B1645" i="4"/>
  <c r="A1645" i="4"/>
  <c r="E1644" i="4"/>
  <c r="D1644" i="4"/>
  <c r="C1644" i="4"/>
  <c r="B1644" i="4"/>
  <c r="A1644" i="4"/>
  <c r="E1643" i="4"/>
  <c r="D1643" i="4"/>
  <c r="C1643" i="4"/>
  <c r="B1643" i="4"/>
  <c r="A1643" i="4"/>
  <c r="E1642" i="4"/>
  <c r="D1642" i="4"/>
  <c r="C1642" i="4"/>
  <c r="B1642" i="4"/>
  <c r="A1642" i="4"/>
  <c r="E1641" i="4"/>
  <c r="D1641" i="4"/>
  <c r="C1641" i="4"/>
  <c r="B1641" i="4"/>
  <c r="A1641" i="4"/>
  <c r="E1640" i="4"/>
  <c r="D1640" i="4"/>
  <c r="C1640" i="4"/>
  <c r="B1640" i="4"/>
  <c r="A1640" i="4"/>
  <c r="E1639" i="4"/>
  <c r="D1639" i="4"/>
  <c r="C1639" i="4"/>
  <c r="B1639" i="4"/>
  <c r="A1639" i="4"/>
  <c r="E1638" i="4"/>
  <c r="D1638" i="4"/>
  <c r="C1638" i="4"/>
  <c r="B1638" i="4"/>
  <c r="A1638" i="4"/>
  <c r="E1637" i="4"/>
  <c r="D1637" i="4"/>
  <c r="C1637" i="4"/>
  <c r="B1637" i="4"/>
  <c r="A1637" i="4"/>
  <c r="E1636" i="4"/>
  <c r="D1636" i="4"/>
  <c r="C1636" i="4"/>
  <c r="B1636" i="4"/>
  <c r="A1636" i="4"/>
  <c r="E1635" i="4"/>
  <c r="D1635" i="4"/>
  <c r="C1635" i="4"/>
  <c r="B1635" i="4"/>
  <c r="A1635" i="4"/>
  <c r="E1634" i="4"/>
  <c r="D1634" i="4"/>
  <c r="C1634" i="4"/>
  <c r="B1634" i="4"/>
  <c r="A1634"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B1628" i="4"/>
  <c r="A1628" i="4"/>
  <c r="E1627" i="4"/>
  <c r="D1627" i="4"/>
  <c r="C1627" i="4"/>
  <c r="B1627" i="4"/>
  <c r="A1627" i="4"/>
  <c r="E1626" i="4"/>
  <c r="D1626" i="4"/>
  <c r="C1626" i="4"/>
  <c r="B1626" i="4"/>
  <c r="A1626" i="4"/>
  <c r="E1625" i="4"/>
  <c r="D1625" i="4"/>
  <c r="C1625" i="4"/>
  <c r="B1625" i="4"/>
  <c r="A1625" i="4"/>
  <c r="E1624" i="4"/>
  <c r="D1624" i="4"/>
  <c r="C1624" i="4"/>
  <c r="B1624" i="4"/>
  <c r="A1624" i="4"/>
  <c r="E1623" i="4"/>
  <c r="D1623" i="4"/>
  <c r="C1623" i="4"/>
  <c r="B1623" i="4"/>
  <c r="A1623" i="4"/>
  <c r="E1622" i="4"/>
  <c r="D1622" i="4"/>
  <c r="C1622" i="4"/>
  <c r="B1622" i="4"/>
  <c r="A1622" i="4"/>
  <c r="E1621" i="4"/>
  <c r="D1621" i="4"/>
  <c r="C1621" i="4"/>
  <c r="B1621" i="4"/>
  <c r="A1621" i="4"/>
  <c r="E1620" i="4"/>
  <c r="D1620" i="4"/>
  <c r="C1620" i="4"/>
  <c r="B1620" i="4"/>
  <c r="A1620" i="4"/>
  <c r="E1619" i="4"/>
  <c r="D1619" i="4"/>
  <c r="C1619" i="4"/>
  <c r="B1619" i="4"/>
  <c r="A1619" i="4"/>
  <c r="E1618" i="4"/>
  <c r="D1618" i="4"/>
  <c r="C1618" i="4"/>
  <c r="B1618" i="4"/>
  <c r="A1618" i="4"/>
  <c r="E1617" i="4"/>
  <c r="D1617" i="4"/>
  <c r="C1617" i="4"/>
  <c r="B1617" i="4"/>
  <c r="A1617" i="4"/>
  <c r="B1616" i="4"/>
  <c r="A1616" i="4"/>
  <c r="E1615" i="4"/>
  <c r="D1615" i="4"/>
  <c r="C1615" i="4"/>
  <c r="B1615" i="4"/>
  <c r="A1615" i="4"/>
  <c r="D1614" i="4"/>
  <c r="C1614" i="4"/>
  <c r="B1614" i="4"/>
  <c r="A1614" i="4"/>
  <c r="E1613" i="4"/>
  <c r="D1613" i="4"/>
  <c r="C1613" i="4"/>
  <c r="B1613" i="4"/>
  <c r="A1613" i="4"/>
  <c r="E1612" i="4"/>
  <c r="D1612" i="4"/>
  <c r="C1612" i="4"/>
  <c r="B1612" i="4"/>
  <c r="A1612" i="4"/>
  <c r="E1611" i="4"/>
  <c r="D1611" i="4"/>
  <c r="C1611" i="4"/>
  <c r="B1611" i="4"/>
  <c r="A1611" i="4"/>
  <c r="E1610" i="4"/>
  <c r="D1610" i="4"/>
  <c r="C1610" i="4"/>
  <c r="B1610" i="4"/>
  <c r="A1610" i="4"/>
  <c r="E1609" i="4"/>
  <c r="D1609" i="4"/>
  <c r="C1609" i="4"/>
  <c r="B1609" i="4"/>
  <c r="A1609" i="4"/>
  <c r="E1608" i="4"/>
  <c r="D1608" i="4"/>
  <c r="C1608" i="4"/>
  <c r="B1608" i="4"/>
  <c r="A1608" i="4"/>
  <c r="E1607" i="4"/>
  <c r="D1607" i="4"/>
  <c r="C1607" i="4"/>
  <c r="B1607" i="4"/>
  <c r="A1607" i="4"/>
  <c r="E1606" i="4"/>
  <c r="D1606" i="4"/>
  <c r="C1606" i="4"/>
  <c r="B1606" i="4"/>
  <c r="A1606" i="4"/>
  <c r="E1605" i="4"/>
  <c r="D1605" i="4"/>
  <c r="C1605" i="4"/>
  <c r="B1605" i="4"/>
  <c r="A1605" i="4"/>
  <c r="E1604" i="4"/>
  <c r="D1604" i="4"/>
  <c r="C1604" i="4"/>
  <c r="B1604" i="4"/>
  <c r="A1604" i="4"/>
  <c r="E1603" i="4"/>
  <c r="D1603" i="4"/>
  <c r="C1603" i="4"/>
  <c r="B1603" i="4"/>
  <c r="A1603" i="4"/>
  <c r="E1602" i="4"/>
  <c r="D1602" i="4"/>
  <c r="C1602" i="4"/>
  <c r="B1602" i="4"/>
  <c r="A1602" i="4"/>
  <c r="E1601" i="4"/>
  <c r="D1601" i="4"/>
  <c r="C1601" i="4"/>
  <c r="B1601" i="4"/>
  <c r="A1601" i="4"/>
  <c r="E1600" i="4"/>
  <c r="D1600" i="4"/>
  <c r="C1600" i="4"/>
  <c r="B1600" i="4"/>
  <c r="A1600" i="4"/>
  <c r="E1599" i="4"/>
  <c r="D1599" i="4"/>
  <c r="C1599" i="4"/>
  <c r="B1599" i="4"/>
  <c r="A1599" i="4"/>
  <c r="E1598" i="4"/>
  <c r="D1598" i="4"/>
  <c r="C1598" i="4"/>
  <c r="B1598" i="4"/>
  <c r="A1598" i="4"/>
  <c r="E1597" i="4"/>
  <c r="D1597" i="4"/>
  <c r="C1597" i="4"/>
  <c r="B1597" i="4"/>
  <c r="A1597" i="4"/>
  <c r="E1596" i="4"/>
  <c r="D1596" i="4"/>
  <c r="C1596" i="4"/>
  <c r="B1596" i="4"/>
  <c r="A1596" i="4"/>
  <c r="E1595" i="4"/>
  <c r="D1595" i="4"/>
  <c r="C1595" i="4"/>
  <c r="B1595" i="4"/>
  <c r="A1595" i="4"/>
  <c r="E1594" i="4"/>
  <c r="D1594" i="4"/>
  <c r="C1594" i="4"/>
  <c r="B1594" i="4"/>
  <c r="A1594" i="4"/>
  <c r="E1593" i="4"/>
  <c r="D1593" i="4"/>
  <c r="C1593" i="4"/>
  <c r="B1593" i="4"/>
  <c r="A1593" i="4"/>
  <c r="E1592" i="4"/>
  <c r="D1592" i="4"/>
  <c r="C1592" i="4"/>
  <c r="B1592" i="4"/>
  <c r="A1592" i="4"/>
  <c r="E1591" i="4"/>
  <c r="D1591" i="4"/>
  <c r="C1591" i="4"/>
  <c r="B1591" i="4"/>
  <c r="A1591" i="4"/>
  <c r="E1590" i="4"/>
  <c r="D1590" i="4"/>
  <c r="C1590" i="4"/>
  <c r="B1590" i="4"/>
  <c r="A1590" i="4"/>
  <c r="E1589" i="4"/>
  <c r="D1589" i="4"/>
  <c r="C1589" i="4"/>
  <c r="B1589" i="4"/>
  <c r="A1589" i="4"/>
  <c r="E1588" i="4"/>
  <c r="D1588" i="4"/>
  <c r="C1588" i="4"/>
  <c r="B1588" i="4"/>
  <c r="A1588" i="4"/>
  <c r="E1587" i="4"/>
  <c r="D1587" i="4"/>
  <c r="C1587" i="4"/>
  <c r="B1587" i="4"/>
  <c r="A1587" i="4"/>
  <c r="E1586" i="4"/>
  <c r="D1586" i="4"/>
  <c r="C1586" i="4"/>
  <c r="B1586" i="4"/>
  <c r="A1586" i="4"/>
  <c r="E1585" i="4"/>
  <c r="D1585" i="4"/>
  <c r="C1585" i="4"/>
  <c r="B1585" i="4"/>
  <c r="A1585" i="4"/>
  <c r="B1584" i="4"/>
  <c r="A1584" i="4"/>
  <c r="E1583" i="4"/>
  <c r="D1583" i="4"/>
  <c r="C1583" i="4"/>
  <c r="B1583" i="4"/>
  <c r="A1583" i="4"/>
  <c r="B1582" i="4"/>
  <c r="A1582" i="4"/>
  <c r="B1581" i="4"/>
  <c r="A1581" i="4"/>
  <c r="E1580" i="4"/>
  <c r="D1580" i="4"/>
  <c r="C1580" i="4"/>
  <c r="B1580" i="4"/>
  <c r="A1580" i="4"/>
  <c r="E1579" i="4"/>
  <c r="D1579" i="4"/>
  <c r="C1579" i="4"/>
  <c r="B1579" i="4"/>
  <c r="A1579" i="4"/>
  <c r="E1578" i="4"/>
  <c r="D1578" i="4"/>
  <c r="C1578" i="4"/>
  <c r="B1578" i="4"/>
  <c r="A1578" i="4"/>
  <c r="E1577" i="4"/>
  <c r="D1577" i="4"/>
  <c r="C1577" i="4"/>
  <c r="B1577" i="4"/>
  <c r="A1577" i="4"/>
  <c r="B1576" i="4"/>
  <c r="A1576" i="4"/>
  <c r="E1575" i="4"/>
  <c r="D1575" i="4"/>
  <c r="C1575" i="4"/>
  <c r="B1575" i="4"/>
  <c r="A1575" i="4"/>
  <c r="E1574" i="4"/>
  <c r="D1574" i="4"/>
  <c r="C1574" i="4"/>
  <c r="B1574" i="4"/>
  <c r="A1574" i="4"/>
  <c r="E1573" i="4"/>
  <c r="D1573" i="4"/>
  <c r="C1573" i="4"/>
  <c r="B1573" i="4"/>
  <c r="A1573" i="4"/>
  <c r="E1572" i="4"/>
  <c r="D1572" i="4"/>
  <c r="C1572" i="4"/>
  <c r="B1572" i="4"/>
  <c r="A1572" i="4"/>
  <c r="F1571" i="4"/>
  <c r="E1571" i="4"/>
  <c r="D1571" i="4"/>
  <c r="C1571" i="4"/>
  <c r="B1571" i="4"/>
  <c r="A1571" i="4"/>
  <c r="E1570" i="4"/>
  <c r="D1570" i="4"/>
  <c r="C1570" i="4"/>
  <c r="B1570" i="4"/>
  <c r="A1570" i="4"/>
  <c r="B1569" i="4"/>
  <c r="A1569" i="4"/>
  <c r="E1568" i="4"/>
  <c r="D1568" i="4"/>
  <c r="C1568" i="4"/>
  <c r="B1568" i="4"/>
  <c r="A1568" i="4"/>
  <c r="E1567" i="4"/>
  <c r="D1567" i="4"/>
  <c r="C1567" i="4"/>
  <c r="B1567" i="4"/>
  <c r="A1567" i="4"/>
  <c r="E1566" i="4"/>
  <c r="D1566" i="4"/>
  <c r="C1566" i="4"/>
  <c r="B1566" i="4"/>
  <c r="A1566" i="4"/>
  <c r="E1565" i="4"/>
  <c r="D1565" i="4"/>
  <c r="C1565" i="4"/>
  <c r="B1565" i="4"/>
  <c r="A1565" i="4"/>
  <c r="E1564" i="4"/>
  <c r="D1564" i="4"/>
  <c r="C1564" i="4"/>
  <c r="B1564" i="4"/>
  <c r="A1564" i="4"/>
  <c r="E1563" i="4"/>
  <c r="D1563" i="4"/>
  <c r="C1563" i="4"/>
  <c r="B1563" i="4"/>
  <c r="A1563" i="4"/>
  <c r="E1562" i="4"/>
  <c r="D1562" i="4"/>
  <c r="C1562" i="4"/>
  <c r="B1562" i="4"/>
  <c r="A1562" i="4"/>
  <c r="F1561" i="4"/>
  <c r="E1561" i="4"/>
  <c r="D1561" i="4"/>
  <c r="C1561" i="4"/>
  <c r="B1561" i="4"/>
  <c r="A1561" i="4"/>
  <c r="E1560" i="4"/>
  <c r="D1560" i="4"/>
  <c r="C1560" i="4"/>
  <c r="B1560" i="4"/>
  <c r="A1560" i="4"/>
  <c r="E1559" i="4"/>
  <c r="D1559" i="4"/>
  <c r="C1559" i="4"/>
  <c r="B1559" i="4"/>
  <c r="A1559" i="4"/>
  <c r="E1558" i="4"/>
  <c r="D1558" i="4"/>
  <c r="C1558" i="4"/>
  <c r="B1558" i="4"/>
  <c r="A1558" i="4"/>
  <c r="E1557" i="4"/>
  <c r="D1557" i="4"/>
  <c r="C1557" i="4"/>
  <c r="B1557" i="4"/>
  <c r="A1557" i="4"/>
  <c r="E1556" i="4"/>
  <c r="D1556" i="4"/>
  <c r="C1556" i="4"/>
  <c r="B1556" i="4"/>
  <c r="A1556" i="4"/>
  <c r="E1555" i="4"/>
  <c r="D1555" i="4"/>
  <c r="C1555" i="4"/>
  <c r="B1555" i="4"/>
  <c r="A1555" i="4"/>
  <c r="E1554" i="4"/>
  <c r="D1554" i="4"/>
  <c r="C1554" i="4"/>
  <c r="B1554" i="4"/>
  <c r="A1554" i="4"/>
  <c r="E1553" i="4"/>
  <c r="D1553" i="4"/>
  <c r="C1553" i="4"/>
  <c r="B1553" i="4"/>
  <c r="A1553" i="4"/>
  <c r="E1552" i="4"/>
  <c r="D1552" i="4"/>
  <c r="C1552" i="4"/>
  <c r="B1552" i="4"/>
  <c r="A1552" i="4"/>
  <c r="E1551" i="4"/>
  <c r="D1551" i="4"/>
  <c r="C1551" i="4"/>
  <c r="B1551" i="4"/>
  <c r="A1551" i="4"/>
  <c r="E1550" i="4"/>
  <c r="D1550" i="4"/>
  <c r="C1550" i="4"/>
  <c r="B1550" i="4"/>
  <c r="A1550" i="4"/>
  <c r="B1549" i="4"/>
  <c r="A1549" i="4"/>
  <c r="E1548" i="4"/>
  <c r="D1548" i="4"/>
  <c r="C1548" i="4"/>
  <c r="B1548" i="4"/>
  <c r="A1548" i="4"/>
  <c r="E1547" i="4"/>
  <c r="D1547" i="4"/>
  <c r="C1547" i="4"/>
  <c r="B1547" i="4"/>
  <c r="A1547"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D1541" i="4"/>
  <c r="C1541" i="4"/>
  <c r="B1541" i="4"/>
  <c r="A1541" i="4"/>
  <c r="E1540" i="4"/>
  <c r="D1540" i="4"/>
  <c r="C1540" i="4"/>
  <c r="B1540" i="4"/>
  <c r="A1540" i="4"/>
  <c r="E1539" i="4"/>
  <c r="D1539" i="4"/>
  <c r="C1539" i="4"/>
  <c r="B1539" i="4"/>
  <c r="A1539" i="4"/>
  <c r="E1538" i="4"/>
  <c r="D1538" i="4"/>
  <c r="C1538" i="4"/>
  <c r="B1538" i="4"/>
  <c r="A1538" i="4"/>
  <c r="E1537" i="4"/>
  <c r="D1537" i="4"/>
  <c r="C1537" i="4"/>
  <c r="B1537" i="4"/>
  <c r="A1537" i="4"/>
  <c r="E1536" i="4"/>
  <c r="D1536" i="4"/>
  <c r="C1536" i="4"/>
  <c r="B1536" i="4"/>
  <c r="A1536" i="4"/>
  <c r="E1535" i="4"/>
  <c r="D1535" i="4"/>
  <c r="C1535" i="4"/>
  <c r="B1535" i="4"/>
  <c r="A1535" i="4"/>
  <c r="F1534" i="4"/>
  <c r="E1534" i="4"/>
  <c r="D1534" i="4"/>
  <c r="C1534" i="4"/>
  <c r="B1534" i="4"/>
  <c r="A1534" i="4"/>
  <c r="E1533" i="4"/>
  <c r="D1533" i="4"/>
  <c r="C1533" i="4"/>
  <c r="B1533" i="4"/>
  <c r="A1533" i="4"/>
  <c r="E1532" i="4"/>
  <c r="D1532" i="4"/>
  <c r="C1532" i="4"/>
  <c r="B1532" i="4"/>
  <c r="A1532" i="4"/>
  <c r="E1531" i="4"/>
  <c r="D1531" i="4"/>
  <c r="C1531" i="4"/>
  <c r="B1531" i="4"/>
  <c r="A1531" i="4"/>
  <c r="E1530" i="4"/>
  <c r="D1530" i="4"/>
  <c r="C1530" i="4"/>
  <c r="B1530" i="4"/>
  <c r="A1530" i="4"/>
  <c r="E1529" i="4"/>
  <c r="D1529" i="4"/>
  <c r="C1529" i="4"/>
  <c r="B1529" i="4"/>
  <c r="A1529" i="4"/>
  <c r="E1528" i="4"/>
  <c r="D1528" i="4"/>
  <c r="C1528" i="4"/>
  <c r="B1528" i="4"/>
  <c r="A1528" i="4"/>
  <c r="E1527" i="4"/>
  <c r="D1527" i="4"/>
  <c r="C1527" i="4"/>
  <c r="B1527" i="4"/>
  <c r="A1527" i="4"/>
  <c r="E1526" i="4"/>
  <c r="D1526" i="4"/>
  <c r="C1526" i="4"/>
  <c r="B1526" i="4"/>
  <c r="A1526" i="4"/>
  <c r="E1525" i="4"/>
  <c r="D1525" i="4"/>
  <c r="C1525" i="4"/>
  <c r="B1525" i="4"/>
  <c r="A1525" i="4"/>
  <c r="E1524" i="4"/>
  <c r="D1524" i="4"/>
  <c r="C1524" i="4"/>
  <c r="B1524" i="4"/>
  <c r="A1524" i="4"/>
  <c r="E1523" i="4"/>
  <c r="D1523" i="4"/>
  <c r="C1523" i="4"/>
  <c r="B1523" i="4"/>
  <c r="A1523" i="4"/>
  <c r="E1522" i="4"/>
  <c r="D1522" i="4"/>
  <c r="C1522"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E1516" i="4"/>
  <c r="D1516" i="4"/>
  <c r="C1516" i="4"/>
  <c r="B1516" i="4"/>
  <c r="A1516" i="4"/>
  <c r="E1515" i="4"/>
  <c r="D1515" i="4"/>
  <c r="C1515" i="4"/>
  <c r="B1515" i="4"/>
  <c r="A1515" i="4"/>
  <c r="E1514" i="4"/>
  <c r="D1514" i="4"/>
  <c r="C1514" i="4"/>
  <c r="B1514" i="4"/>
  <c r="A1514" i="4"/>
  <c r="E1513" i="4"/>
  <c r="D1513" i="4"/>
  <c r="C1513" i="4"/>
  <c r="B1513" i="4"/>
  <c r="A1513" i="4"/>
  <c r="E1512" i="4"/>
  <c r="D1512" i="4"/>
  <c r="C1512" i="4"/>
  <c r="B1512" i="4"/>
  <c r="A1512" i="4"/>
  <c r="E1511" i="4"/>
  <c r="D1511" i="4"/>
  <c r="C1511" i="4"/>
  <c r="B1511" i="4"/>
  <c r="A1511" i="4"/>
  <c r="E1510" i="4"/>
  <c r="D1510" i="4"/>
  <c r="C1510" i="4"/>
  <c r="B1510" i="4"/>
  <c r="A1510" i="4"/>
  <c r="E1509" i="4"/>
  <c r="D1509" i="4"/>
  <c r="C1509" i="4"/>
  <c r="B1509" i="4"/>
  <c r="A1509" i="4"/>
  <c r="E1508" i="4"/>
  <c r="D1508" i="4"/>
  <c r="C1508" i="4"/>
  <c r="B1508" i="4"/>
  <c r="A1508" i="4"/>
  <c r="E1507" i="4"/>
  <c r="D1507" i="4"/>
  <c r="C1507" i="4"/>
  <c r="B1507" i="4"/>
  <c r="A1507" i="4"/>
  <c r="E1506" i="4"/>
  <c r="D1506" i="4"/>
  <c r="C1506" i="4"/>
  <c r="B1506" i="4"/>
  <c r="A1506" i="4"/>
  <c r="E1505" i="4"/>
  <c r="D1505" i="4"/>
  <c r="C1505" i="4"/>
  <c r="B1505" i="4"/>
  <c r="A1505" i="4"/>
  <c r="E1504" i="4"/>
  <c r="D1504" i="4"/>
  <c r="C1504" i="4"/>
  <c r="B1504" i="4"/>
  <c r="A1504" i="4"/>
  <c r="E1503" i="4"/>
  <c r="D1503" i="4"/>
  <c r="C1503" i="4"/>
  <c r="B1503" i="4"/>
  <c r="A1503" i="4"/>
  <c r="E1502" i="4"/>
  <c r="D1502" i="4"/>
  <c r="C1502" i="4"/>
  <c r="B1502" i="4"/>
  <c r="A1502" i="4"/>
  <c r="E1501" i="4"/>
  <c r="D1501" i="4"/>
  <c r="C1501" i="4"/>
  <c r="B1501" i="4"/>
  <c r="A1501" i="4"/>
  <c r="E1500" i="4"/>
  <c r="D1500" i="4"/>
  <c r="C1500" i="4"/>
  <c r="B1500" i="4"/>
  <c r="A1500" i="4"/>
  <c r="B1499" i="4"/>
  <c r="A1499" i="4"/>
  <c r="E1498" i="4"/>
  <c r="D1498" i="4"/>
  <c r="C1498" i="4"/>
  <c r="B1498" i="4"/>
  <c r="A1498" i="4"/>
  <c r="E1497" i="4"/>
  <c r="D1497" i="4"/>
  <c r="C1497" i="4"/>
  <c r="B1497" i="4"/>
  <c r="A1497" i="4"/>
  <c r="E1496" i="4"/>
  <c r="D1496" i="4"/>
  <c r="C1496" i="4"/>
  <c r="B1496" i="4"/>
  <c r="A1496" i="4"/>
  <c r="E1495" i="4"/>
  <c r="D1495" i="4"/>
  <c r="C1495" i="4"/>
  <c r="B1495" i="4"/>
  <c r="A1495" i="4"/>
  <c r="E1494" i="4"/>
  <c r="D1494" i="4"/>
  <c r="C1494" i="4"/>
  <c r="B1494" i="4"/>
  <c r="A1494" i="4"/>
  <c r="B1493" i="4"/>
  <c r="A1493" i="4"/>
  <c r="E1492" i="4"/>
  <c r="D1492" i="4"/>
  <c r="C1492" i="4"/>
  <c r="B1492" i="4"/>
  <c r="A1492" i="4"/>
  <c r="E1491" i="4"/>
  <c r="D1491" i="4"/>
  <c r="C1491" i="4"/>
  <c r="B1491" i="4"/>
  <c r="A1491" i="4"/>
  <c r="E1490" i="4"/>
  <c r="D1490" i="4"/>
  <c r="C1490" i="4"/>
  <c r="B1490" i="4"/>
  <c r="A1490" i="4"/>
  <c r="E1489" i="4"/>
  <c r="D1489" i="4"/>
  <c r="C1489" i="4"/>
  <c r="B1489" i="4"/>
  <c r="A1489" i="4"/>
  <c r="E1488" i="4"/>
  <c r="D1488" i="4"/>
  <c r="C1488" i="4"/>
  <c r="B1488" i="4"/>
  <c r="A1488" i="4"/>
  <c r="E1487" i="4"/>
  <c r="D1487" i="4"/>
  <c r="C1487" i="4"/>
  <c r="B1487" i="4"/>
  <c r="A1487" i="4"/>
  <c r="E1486" i="4"/>
  <c r="D1486" i="4"/>
  <c r="C1486" i="4"/>
  <c r="B1486" i="4"/>
  <c r="A1486" i="4"/>
  <c r="E1485" i="4"/>
  <c r="D1485" i="4"/>
  <c r="C1485" i="4"/>
  <c r="B1485" i="4"/>
  <c r="A1485" i="4"/>
  <c r="E1484" i="4"/>
  <c r="D1484" i="4"/>
  <c r="C1484" i="4"/>
  <c r="B1484" i="4"/>
  <c r="A1484" i="4"/>
  <c r="E1483" i="4"/>
  <c r="D1483" i="4"/>
  <c r="C1483" i="4"/>
  <c r="B1483" i="4"/>
  <c r="A1483" i="4"/>
  <c r="E1482" i="4"/>
  <c r="D1482" i="4"/>
  <c r="C1482" i="4"/>
  <c r="B1482" i="4"/>
  <c r="A1482" i="4"/>
  <c r="E1481" i="4"/>
  <c r="D1481" i="4"/>
  <c r="C1481" i="4"/>
  <c r="B1481" i="4"/>
  <c r="A1481" i="4"/>
  <c r="E1480" i="4"/>
  <c r="D1480" i="4"/>
  <c r="C1480" i="4"/>
  <c r="B1480" i="4"/>
  <c r="A1480" i="4"/>
  <c r="E1479" i="4"/>
  <c r="D1479" i="4"/>
  <c r="C1479" i="4"/>
  <c r="B1479" i="4"/>
  <c r="A1479" i="4"/>
  <c r="B1478" i="4"/>
  <c r="A1478" i="4"/>
  <c r="C1477" i="4"/>
  <c r="B1477" i="4"/>
  <c r="A1477" i="4"/>
  <c r="C1476" i="4"/>
  <c r="B1476" i="4"/>
  <c r="A1476" i="4"/>
  <c r="E1475" i="4"/>
  <c r="D1475" i="4"/>
  <c r="C1475" i="4"/>
  <c r="B1475" i="4"/>
  <c r="A1475" i="4"/>
  <c r="E1474" i="4"/>
  <c r="D1474" i="4"/>
  <c r="C1474" i="4"/>
  <c r="B1474" i="4"/>
  <c r="A1474" i="4"/>
  <c r="E1473" i="4"/>
  <c r="D1473" i="4"/>
  <c r="C1473" i="4"/>
  <c r="B1473" i="4"/>
  <c r="A1473" i="4"/>
  <c r="E1472" i="4"/>
  <c r="D1472" i="4"/>
  <c r="C1472" i="4"/>
  <c r="B1472" i="4"/>
  <c r="A1472" i="4"/>
  <c r="E1471" i="4"/>
  <c r="D1471" i="4"/>
  <c r="C1471" i="4"/>
  <c r="B1471" i="4"/>
  <c r="A1471" i="4"/>
  <c r="E1470" i="4"/>
  <c r="D1470" i="4"/>
  <c r="C1470" i="4"/>
  <c r="B1470" i="4"/>
  <c r="A1470" i="4"/>
  <c r="E1469" i="4"/>
  <c r="D1469" i="4"/>
  <c r="C1469" i="4"/>
  <c r="B1469" i="4"/>
  <c r="A1469" i="4"/>
  <c r="B1468" i="4"/>
  <c r="A1468" i="4"/>
  <c r="F1467" i="4"/>
  <c r="E1467" i="4"/>
  <c r="D1467" i="4"/>
  <c r="C1467" i="4"/>
  <c r="B1467" i="4"/>
  <c r="A1467" i="4"/>
  <c r="E1466" i="4"/>
  <c r="D1466" i="4"/>
  <c r="C1466" i="4"/>
  <c r="B1466" i="4"/>
  <c r="A1466" i="4"/>
  <c r="E1465" i="4"/>
  <c r="D1465" i="4"/>
  <c r="C1465" i="4"/>
  <c r="B1465" i="4"/>
  <c r="A1465" i="4"/>
  <c r="E1464" i="4"/>
  <c r="D1464" i="4"/>
  <c r="C1464" i="4"/>
  <c r="B1464" i="4"/>
  <c r="A1464" i="4"/>
  <c r="E1463" i="4"/>
  <c r="D1463" i="4"/>
  <c r="C1463" i="4"/>
  <c r="B1463" i="4"/>
  <c r="A1463" i="4"/>
  <c r="F1462" i="4"/>
  <c r="E1462" i="4"/>
  <c r="D1462" i="4"/>
  <c r="C1462" i="4"/>
  <c r="B1462" i="4"/>
  <c r="A1462" i="4"/>
  <c r="E1461" i="4"/>
  <c r="D1461" i="4"/>
  <c r="C1461" i="4"/>
  <c r="B1461" i="4"/>
  <c r="A1461" i="4"/>
  <c r="E1460" i="4"/>
  <c r="D1460" i="4"/>
  <c r="C1460" i="4"/>
  <c r="B1460" i="4"/>
  <c r="A1460" i="4"/>
  <c r="E1459" i="4"/>
  <c r="C1459" i="4"/>
  <c r="B1459" i="4"/>
  <c r="A1459" i="4"/>
  <c r="E1458" i="4"/>
  <c r="D1458" i="4"/>
  <c r="C1458" i="4"/>
  <c r="B1458" i="4"/>
  <c r="A1458" i="4"/>
  <c r="B1457" i="4"/>
  <c r="A1457" i="4"/>
  <c r="E1456" i="4"/>
  <c r="D1456" i="4"/>
  <c r="C1456" i="4"/>
  <c r="B1456" i="4"/>
  <c r="A1456" i="4"/>
  <c r="E1455" i="4"/>
  <c r="D1455" i="4"/>
  <c r="C1455" i="4"/>
  <c r="B1455" i="4"/>
  <c r="A1455" i="4"/>
  <c r="E1454" i="4"/>
  <c r="D1454" i="4"/>
  <c r="C1454" i="4"/>
  <c r="B1454" i="4"/>
  <c r="A1454" i="4"/>
  <c r="E1453" i="4"/>
  <c r="D1453" i="4"/>
  <c r="C1453" i="4"/>
  <c r="B1453" i="4"/>
  <c r="A1453" i="4"/>
  <c r="E1452" i="4"/>
  <c r="D1452" i="4"/>
  <c r="C1452" i="4"/>
  <c r="B1452" i="4"/>
  <c r="A1452" i="4"/>
  <c r="E1451" i="4"/>
  <c r="D1451" i="4"/>
  <c r="C1451" i="4"/>
  <c r="B1451" i="4"/>
  <c r="A1451" i="4"/>
  <c r="E1450" i="4"/>
  <c r="D1450" i="4"/>
  <c r="C1450" i="4"/>
  <c r="B1450" i="4"/>
  <c r="A1450" i="4"/>
  <c r="F1449" i="4"/>
  <c r="E1449" i="4"/>
  <c r="D1449" i="4"/>
  <c r="C1449" i="4"/>
  <c r="B1449" i="4"/>
  <c r="A1449" i="4"/>
  <c r="E1448" i="4"/>
  <c r="D1448" i="4"/>
  <c r="C1448" i="4"/>
  <c r="B1448" i="4"/>
  <c r="A1448" i="4"/>
  <c r="E1447" i="4"/>
  <c r="D1447" i="4"/>
  <c r="C1447" i="4"/>
  <c r="B1447" i="4"/>
  <c r="A1447" i="4"/>
  <c r="B1446" i="4"/>
  <c r="A1446" i="4"/>
  <c r="E1445" i="4"/>
  <c r="C1445" i="4"/>
  <c r="B1445" i="4"/>
  <c r="A1445" i="4"/>
  <c r="B1444" i="4"/>
  <c r="A1444" i="4"/>
  <c r="E1443" i="4"/>
  <c r="D1443" i="4"/>
  <c r="C1443" i="4"/>
  <c r="B1443" i="4"/>
  <c r="A1443" i="4"/>
  <c r="E1442" i="4"/>
  <c r="D1442" i="4"/>
  <c r="C1442" i="4"/>
  <c r="B1442" i="4"/>
  <c r="A1442" i="4"/>
  <c r="E1441" i="4"/>
  <c r="D1441" i="4"/>
  <c r="C1441" i="4"/>
  <c r="B1441" i="4"/>
  <c r="A1441" i="4"/>
  <c r="E1440" i="4"/>
  <c r="D1440" i="4"/>
  <c r="C1440" i="4"/>
  <c r="B1440" i="4"/>
  <c r="A1440" i="4"/>
  <c r="B1439" i="4"/>
  <c r="A1439" i="4"/>
  <c r="C1438" i="4"/>
  <c r="B1438" i="4"/>
  <c r="A1438" i="4"/>
  <c r="E1437" i="4"/>
  <c r="D1437" i="4"/>
  <c r="C1437" i="4"/>
  <c r="B1437" i="4"/>
  <c r="A1437" i="4"/>
  <c r="E1436" i="4"/>
  <c r="D1436" i="4"/>
  <c r="C1436" i="4"/>
  <c r="B1436" i="4"/>
  <c r="A1436" i="4"/>
  <c r="E1435" i="4"/>
  <c r="D1435" i="4"/>
  <c r="C1435" i="4"/>
  <c r="B1435" i="4"/>
  <c r="A1435" i="4"/>
  <c r="E1434" i="4"/>
  <c r="D1434" i="4"/>
  <c r="C1434" i="4"/>
  <c r="B1434" i="4"/>
  <c r="A1434" i="4"/>
  <c r="E1433" i="4"/>
  <c r="D1433" i="4"/>
  <c r="C1433" i="4"/>
  <c r="B1433" i="4"/>
  <c r="A1433" i="4"/>
  <c r="E1432" i="4"/>
  <c r="D1432" i="4"/>
  <c r="C1432" i="4"/>
  <c r="B1432" i="4"/>
  <c r="A1432" i="4"/>
  <c r="E1431" i="4"/>
  <c r="D1431" i="4"/>
  <c r="C1431" i="4"/>
  <c r="B1431" i="4"/>
  <c r="A1431" i="4"/>
  <c r="F1430" i="4"/>
  <c r="E1430" i="4"/>
  <c r="D1430" i="4"/>
  <c r="C1430" i="4"/>
  <c r="B1430" i="4"/>
  <c r="A1430" i="4"/>
  <c r="E1429" i="4"/>
  <c r="D1429" i="4"/>
  <c r="C1429" i="4"/>
  <c r="B1429" i="4"/>
  <c r="A1429" i="4"/>
  <c r="E1428" i="4"/>
  <c r="D1428" i="4"/>
  <c r="C1428" i="4"/>
  <c r="B1428" i="4"/>
  <c r="A1428" i="4"/>
  <c r="E1427" i="4"/>
  <c r="D1427" i="4"/>
  <c r="C1427" i="4"/>
  <c r="B1427" i="4"/>
  <c r="A1427" i="4"/>
  <c r="E1426" i="4"/>
  <c r="D1426" i="4"/>
  <c r="C1426" i="4"/>
  <c r="B1426" i="4"/>
  <c r="A1426" i="4"/>
  <c r="E1425" i="4"/>
  <c r="D1425" i="4"/>
  <c r="C1425" i="4"/>
  <c r="B1425" i="4"/>
  <c r="A1425" i="4"/>
  <c r="E1424" i="4"/>
  <c r="D1424" i="4"/>
  <c r="C1424" i="4"/>
  <c r="B1424" i="4"/>
  <c r="A1424" i="4"/>
  <c r="E1423" i="4"/>
  <c r="D1423" i="4"/>
  <c r="C1423" i="4"/>
  <c r="B1423" i="4"/>
  <c r="A1423" i="4"/>
  <c r="E1422" i="4"/>
  <c r="D1422" i="4"/>
  <c r="C1422" i="4"/>
  <c r="B1422" i="4"/>
  <c r="A1422" i="4"/>
  <c r="E1421" i="4"/>
  <c r="D1421" i="4"/>
  <c r="C1421" i="4"/>
  <c r="B1421" i="4"/>
  <c r="A1421" i="4"/>
  <c r="E1420" i="4"/>
  <c r="D1420" i="4"/>
  <c r="C1420" i="4"/>
  <c r="B1420" i="4"/>
  <c r="A1420" i="4"/>
  <c r="E1419" i="4"/>
  <c r="D1419" i="4"/>
  <c r="C1419" i="4"/>
  <c r="B1419" i="4"/>
  <c r="A1419" i="4"/>
  <c r="E1418" i="4"/>
  <c r="D1418" i="4"/>
  <c r="C1418" i="4"/>
  <c r="B1418" i="4"/>
  <c r="A1418" i="4"/>
  <c r="E1417" i="4"/>
  <c r="D1417" i="4"/>
  <c r="C1417" i="4"/>
  <c r="B1417" i="4"/>
  <c r="A1417" i="4"/>
  <c r="E1416" i="4"/>
  <c r="D1416" i="4"/>
  <c r="C1416" i="4"/>
  <c r="B1416" i="4"/>
  <c r="A1416" i="4"/>
  <c r="F1415" i="4"/>
  <c r="E1415" i="4"/>
  <c r="D1415" i="4"/>
  <c r="C1415" i="4"/>
  <c r="B1415" i="4"/>
  <c r="A1415" i="4"/>
  <c r="E1414" i="4"/>
  <c r="D1414" i="4"/>
  <c r="C1414" i="4"/>
  <c r="B1414" i="4"/>
  <c r="A1414" i="4"/>
  <c r="E1413" i="4"/>
  <c r="D1413" i="4"/>
  <c r="C1413" i="4"/>
  <c r="B1413" i="4"/>
  <c r="A1413" i="4"/>
  <c r="E1412" i="4"/>
  <c r="D1412" i="4"/>
  <c r="C1412" i="4"/>
  <c r="B1412" i="4"/>
  <c r="A1412" i="4"/>
  <c r="E1411" i="4"/>
  <c r="D1411" i="4"/>
  <c r="C1411" i="4"/>
  <c r="B1411" i="4"/>
  <c r="A1411" i="4"/>
  <c r="E1410" i="4"/>
  <c r="D1410" i="4"/>
  <c r="C1410" i="4"/>
  <c r="B1410" i="4"/>
  <c r="A1410" i="4"/>
  <c r="F1409" i="4"/>
  <c r="E1409" i="4"/>
  <c r="D1409" i="4"/>
  <c r="C1409" i="4"/>
  <c r="B1409" i="4"/>
  <c r="A1409" i="4"/>
  <c r="B1408" i="4"/>
  <c r="A1408" i="4"/>
  <c r="B1407" i="4"/>
  <c r="A1407" i="4"/>
  <c r="F1406" i="4"/>
  <c r="E1406" i="4"/>
  <c r="D1406" i="4"/>
  <c r="C1406" i="4"/>
  <c r="B1406" i="4"/>
  <c r="A1406" i="4"/>
  <c r="E1405" i="4"/>
  <c r="D1405" i="4"/>
  <c r="C1405" i="4"/>
  <c r="B1405" i="4"/>
  <c r="A1405" i="4"/>
  <c r="E1404" i="4"/>
  <c r="D1404" i="4"/>
  <c r="C1404" i="4"/>
  <c r="B1404" i="4"/>
  <c r="A1404" i="4"/>
  <c r="E1403" i="4"/>
  <c r="D1403" i="4"/>
  <c r="C1403" i="4"/>
  <c r="B1403" i="4"/>
  <c r="A1403" i="4"/>
  <c r="E1402" i="4"/>
  <c r="D1402" i="4"/>
  <c r="C1402" i="4"/>
  <c r="B1402" i="4"/>
  <c r="A1402" i="4"/>
  <c r="E1401" i="4"/>
  <c r="D1401" i="4"/>
  <c r="C1401" i="4"/>
  <c r="B1401" i="4"/>
  <c r="A1401" i="4"/>
  <c r="E1400" i="4"/>
  <c r="D1400" i="4"/>
  <c r="C1400" i="4"/>
  <c r="B1400" i="4"/>
  <c r="A1400" i="4"/>
  <c r="B1399" i="4"/>
  <c r="A1399" i="4"/>
  <c r="B1398" i="4"/>
  <c r="A1398" i="4"/>
  <c r="E1397" i="4"/>
  <c r="D1397" i="4"/>
  <c r="C1397" i="4"/>
  <c r="B1397" i="4"/>
  <c r="A1397" i="4"/>
  <c r="E1396" i="4"/>
  <c r="D1396" i="4"/>
  <c r="C1396" i="4"/>
  <c r="B1396" i="4"/>
  <c r="A1396" i="4"/>
  <c r="F1395" i="4"/>
  <c r="E1395" i="4"/>
  <c r="D1395" i="4"/>
  <c r="C1395" i="4"/>
  <c r="B1395" i="4"/>
  <c r="A1395" i="4"/>
  <c r="E1394" i="4"/>
  <c r="D1394" i="4"/>
  <c r="C1394" i="4"/>
  <c r="B1394" i="4"/>
  <c r="A1394" i="4"/>
  <c r="E1393" i="4"/>
  <c r="D1393" i="4"/>
  <c r="C1393" i="4"/>
  <c r="B1393" i="4"/>
  <c r="A1393" i="4"/>
  <c r="E1392" i="4"/>
  <c r="D1392" i="4"/>
  <c r="C1392" i="4"/>
  <c r="B1392" i="4"/>
  <c r="A1392" i="4"/>
  <c r="E1391" i="4"/>
  <c r="D1391" i="4"/>
  <c r="C1391" i="4"/>
  <c r="B1391" i="4"/>
  <c r="A1391" i="4"/>
  <c r="F1390" i="4"/>
  <c r="E1390" i="4"/>
  <c r="D1390" i="4"/>
  <c r="C1390" i="4"/>
  <c r="B1390" i="4"/>
  <c r="A1390" i="4"/>
  <c r="E1389" i="4"/>
  <c r="D1389" i="4"/>
  <c r="C1389" i="4"/>
  <c r="B1389" i="4"/>
  <c r="A1389" i="4"/>
  <c r="B1388" i="4"/>
  <c r="A1388" i="4"/>
  <c r="D1387" i="4"/>
  <c r="C1387" i="4"/>
  <c r="B1387" i="4"/>
  <c r="A1387" i="4"/>
  <c r="D1386" i="4"/>
  <c r="C1386" i="4"/>
  <c r="B1386" i="4"/>
  <c r="A1386" i="4"/>
  <c r="E1385" i="4"/>
  <c r="D1385" i="4"/>
  <c r="C1385" i="4"/>
  <c r="B1385" i="4"/>
  <c r="A1385" i="4"/>
  <c r="E1384" i="4"/>
  <c r="D1384" i="4"/>
  <c r="C1384" i="4"/>
  <c r="B1384" i="4"/>
  <c r="A1384" i="4"/>
  <c r="E1383" i="4"/>
  <c r="D1383" i="4"/>
  <c r="C1383" i="4"/>
  <c r="B1383" i="4"/>
  <c r="A1383" i="4"/>
  <c r="E1382" i="4"/>
  <c r="D1382" i="4"/>
  <c r="C1382" i="4"/>
  <c r="B1382" i="4"/>
  <c r="A1382" i="4"/>
  <c r="E1381" i="4"/>
  <c r="D1381" i="4"/>
  <c r="C1381" i="4"/>
  <c r="B1381" i="4"/>
  <c r="A1381" i="4"/>
  <c r="E1380" i="4"/>
  <c r="D1380" i="4"/>
  <c r="C1380" i="4"/>
  <c r="B1380" i="4"/>
  <c r="A1380" i="4"/>
  <c r="E1379" i="4"/>
  <c r="D1379" i="4"/>
  <c r="C1379" i="4"/>
  <c r="B1379" i="4"/>
  <c r="A1379" i="4"/>
  <c r="E1378" i="4"/>
  <c r="D1378" i="4"/>
  <c r="C1378" i="4"/>
  <c r="B1378" i="4"/>
  <c r="A1378" i="4"/>
  <c r="E1377" i="4"/>
  <c r="D1377" i="4"/>
  <c r="C1377" i="4"/>
  <c r="B1377" i="4"/>
  <c r="A1377" i="4"/>
  <c r="E1376" i="4"/>
  <c r="D1376" i="4"/>
  <c r="C1376" i="4"/>
  <c r="B1376" i="4"/>
  <c r="A1376" i="4"/>
  <c r="E1375" i="4"/>
  <c r="D1375" i="4"/>
  <c r="C1375" i="4"/>
  <c r="B1375" i="4"/>
  <c r="A1375" i="4"/>
  <c r="E1374" i="4"/>
  <c r="D1374" i="4"/>
  <c r="C1374" i="4"/>
  <c r="B1374" i="4"/>
  <c r="A1374" i="4"/>
  <c r="E1373" i="4"/>
  <c r="D1373" i="4"/>
  <c r="C1373" i="4"/>
  <c r="B1373" i="4"/>
  <c r="A1373" i="4"/>
  <c r="F1372" i="4"/>
  <c r="E1372" i="4"/>
  <c r="D1372" i="4"/>
  <c r="C1372" i="4"/>
  <c r="B1372" i="4"/>
  <c r="A1372" i="4"/>
  <c r="B1371" i="4"/>
  <c r="A1371" i="4"/>
  <c r="E1370" i="4"/>
  <c r="D1370" i="4"/>
  <c r="C1370" i="4"/>
  <c r="B1370" i="4"/>
  <c r="A1370" i="4"/>
  <c r="F1369" i="4"/>
  <c r="E1369" i="4"/>
  <c r="D1369" i="4"/>
  <c r="C1369" i="4"/>
  <c r="B1369" i="4"/>
  <c r="A1369" i="4"/>
  <c r="E1368" i="4"/>
  <c r="D1368" i="4"/>
  <c r="C1368" i="4"/>
  <c r="B1368" i="4"/>
  <c r="A1368" i="4"/>
  <c r="E1367" i="4"/>
  <c r="D1367" i="4"/>
  <c r="C1367" i="4"/>
  <c r="B1367" i="4"/>
  <c r="A1367" i="4"/>
  <c r="E1366" i="4"/>
  <c r="D1366" i="4"/>
  <c r="C1366" i="4"/>
  <c r="B1366" i="4"/>
  <c r="A1366" i="4"/>
  <c r="E1365" i="4"/>
  <c r="D1365" i="4"/>
  <c r="C1365" i="4"/>
  <c r="B1365" i="4"/>
  <c r="A1365" i="4"/>
  <c r="E1364" i="4"/>
  <c r="D1364" i="4"/>
  <c r="C1364" i="4"/>
  <c r="B1364" i="4"/>
  <c r="A1364" i="4"/>
  <c r="E1363" i="4"/>
  <c r="D1363" i="4"/>
  <c r="C1363" i="4"/>
  <c r="B1363" i="4"/>
  <c r="A1363" i="4"/>
  <c r="E1362" i="4"/>
  <c r="C1362" i="4"/>
  <c r="B1362" i="4"/>
  <c r="A1362" i="4"/>
  <c r="E1361" i="4"/>
  <c r="D1361" i="4"/>
  <c r="C1361" i="4"/>
  <c r="B1361" i="4"/>
  <c r="A1361" i="4"/>
  <c r="F1360" i="4"/>
  <c r="E1360" i="4"/>
  <c r="D1360" i="4"/>
  <c r="C1360" i="4"/>
  <c r="B1360" i="4"/>
  <c r="A1360" i="4"/>
  <c r="F1359" i="4"/>
  <c r="E1359" i="4"/>
  <c r="D1359" i="4"/>
  <c r="C1359" i="4"/>
  <c r="B1359" i="4"/>
  <c r="A1359" i="4"/>
  <c r="B1358" i="4"/>
  <c r="A1358" i="4"/>
  <c r="E1357" i="4"/>
  <c r="D1357" i="4"/>
  <c r="C1357" i="4"/>
  <c r="B1357" i="4"/>
  <c r="A1357" i="4"/>
  <c r="E1356" i="4"/>
  <c r="D1356" i="4"/>
  <c r="C1356" i="4"/>
  <c r="B1356" i="4"/>
  <c r="A1356" i="4"/>
  <c r="E1355" i="4"/>
  <c r="D1355" i="4"/>
  <c r="C1355" i="4"/>
  <c r="B1355" i="4"/>
  <c r="A1355" i="4"/>
  <c r="E1354" i="4"/>
  <c r="D1354" i="4"/>
  <c r="C1354" i="4"/>
  <c r="B1354" i="4"/>
  <c r="A1354" i="4"/>
  <c r="F1353" i="4"/>
  <c r="E1353" i="4"/>
  <c r="D1353" i="4"/>
  <c r="C1353" i="4"/>
  <c r="B1353" i="4"/>
  <c r="A1353" i="4"/>
  <c r="F1352" i="4"/>
  <c r="E1352" i="4"/>
  <c r="D1352" i="4"/>
  <c r="C1352" i="4"/>
  <c r="B1352" i="4"/>
  <c r="A1352" i="4"/>
  <c r="D1351" i="4"/>
  <c r="C1351" i="4"/>
  <c r="B1351" i="4"/>
  <c r="A1351" i="4"/>
  <c r="C1350" i="4"/>
  <c r="B1350" i="4"/>
  <c r="A1350" i="4"/>
  <c r="C1349" i="4"/>
  <c r="B1349" i="4"/>
  <c r="A1349" i="4"/>
  <c r="D1348" i="4"/>
  <c r="C1348" i="4"/>
  <c r="B1348" i="4"/>
  <c r="A1348" i="4"/>
  <c r="D1347" i="4"/>
  <c r="C1347" i="4"/>
  <c r="B1347" i="4"/>
  <c r="A1347" i="4"/>
  <c r="E1346" i="4"/>
  <c r="D1346" i="4"/>
  <c r="C1346" i="4"/>
  <c r="B1346" i="4"/>
  <c r="A1346" i="4"/>
  <c r="E1345" i="4"/>
  <c r="D1345" i="4"/>
  <c r="C1345" i="4"/>
  <c r="B1345" i="4"/>
  <c r="A1345" i="4"/>
  <c r="E1344" i="4"/>
  <c r="D1344" i="4"/>
  <c r="C1344" i="4"/>
  <c r="B1344" i="4"/>
  <c r="A1344" i="4"/>
  <c r="E1343" i="4"/>
  <c r="D1343" i="4"/>
  <c r="C1343" i="4"/>
  <c r="B1343" i="4"/>
  <c r="A1343" i="4"/>
  <c r="E1342" i="4"/>
  <c r="D1342" i="4"/>
  <c r="C1342" i="4"/>
  <c r="B1342" i="4"/>
  <c r="A1342" i="4"/>
  <c r="E1341" i="4"/>
  <c r="D1341" i="4"/>
  <c r="C1341" i="4"/>
  <c r="B1341" i="4"/>
  <c r="A1341" i="4"/>
  <c r="E1340" i="4"/>
  <c r="D1340" i="4"/>
  <c r="C1340" i="4"/>
  <c r="B1340" i="4"/>
  <c r="A1340" i="4"/>
  <c r="E1339" i="4"/>
  <c r="D1339" i="4"/>
  <c r="C1339" i="4"/>
  <c r="B1339" i="4"/>
  <c r="A1339" i="4"/>
  <c r="E1338" i="4"/>
  <c r="D1338" i="4"/>
  <c r="C1338" i="4"/>
  <c r="B1338" i="4"/>
  <c r="A1338" i="4"/>
  <c r="B1337" i="4"/>
  <c r="A1337" i="4"/>
  <c r="F1336" i="4"/>
  <c r="E1336" i="4"/>
  <c r="D1336" i="4"/>
  <c r="C1336" i="4"/>
  <c r="B1336" i="4"/>
  <c r="A1336" i="4"/>
  <c r="F1335" i="4"/>
  <c r="E1335" i="4"/>
  <c r="D1335" i="4"/>
  <c r="C1335" i="4"/>
  <c r="B1335" i="4"/>
  <c r="A1335" i="4"/>
  <c r="F1334" i="4"/>
  <c r="E1334" i="4"/>
  <c r="D1334" i="4"/>
  <c r="C1334" i="4"/>
  <c r="B1334" i="4"/>
  <c r="A1334" i="4"/>
  <c r="D1333" i="4"/>
  <c r="C1333" i="4"/>
  <c r="B1333" i="4"/>
  <c r="A1333" i="4"/>
  <c r="E1332" i="4"/>
  <c r="D1332" i="4"/>
  <c r="C1332" i="4"/>
  <c r="B1332" i="4"/>
  <c r="A1332" i="4"/>
  <c r="F1331" i="4"/>
  <c r="E1331" i="4"/>
  <c r="D1331" i="4"/>
  <c r="C1331" i="4"/>
  <c r="B1331" i="4"/>
  <c r="A1331" i="4"/>
  <c r="F1330" i="4"/>
  <c r="E1330" i="4"/>
  <c r="D1330" i="4"/>
  <c r="C1330" i="4"/>
  <c r="B1330" i="4"/>
  <c r="A1330" i="4"/>
  <c r="F1329" i="4"/>
  <c r="E1329" i="4"/>
  <c r="D1329" i="4"/>
  <c r="C1329" i="4"/>
  <c r="B1329" i="4"/>
  <c r="A1329" i="4"/>
  <c r="E1328" i="4"/>
  <c r="D1328" i="4"/>
  <c r="C1328" i="4"/>
  <c r="B1328" i="4"/>
  <c r="A1328" i="4"/>
  <c r="E1327" i="4"/>
  <c r="D1327" i="4"/>
  <c r="C1327" i="4"/>
  <c r="B1327" i="4"/>
  <c r="A1327" i="4"/>
  <c r="E1326" i="4"/>
  <c r="D1326" i="4"/>
  <c r="C1326" i="4"/>
  <c r="B1326" i="4"/>
  <c r="A1326" i="4"/>
  <c r="E1325" i="4"/>
  <c r="D1325" i="4"/>
  <c r="C1325" i="4"/>
  <c r="B1325" i="4"/>
  <c r="A1325" i="4"/>
  <c r="E1324" i="4"/>
  <c r="D1324" i="4"/>
  <c r="C1324" i="4"/>
  <c r="B1324" i="4"/>
  <c r="A1324" i="4"/>
  <c r="E1323" i="4"/>
  <c r="D1323" i="4"/>
  <c r="C1323" i="4"/>
  <c r="B1323" i="4"/>
  <c r="A1323" i="4"/>
  <c r="F1322" i="4"/>
  <c r="E1322" i="4"/>
  <c r="D1322" i="4"/>
  <c r="C1322" i="4"/>
  <c r="B1322" i="4"/>
  <c r="A1322" i="4"/>
  <c r="E1321" i="4"/>
  <c r="D1321" i="4"/>
  <c r="C1321" i="4"/>
  <c r="B1321" i="4"/>
  <c r="A1321" i="4"/>
  <c r="E1320" i="4"/>
  <c r="D1320" i="4"/>
  <c r="C1320" i="4"/>
  <c r="B1320" i="4"/>
  <c r="A1320" i="4"/>
  <c r="F1319" i="4"/>
  <c r="E1319" i="4"/>
  <c r="D1319" i="4"/>
  <c r="C1319" i="4"/>
  <c r="B1319" i="4"/>
  <c r="A1319" i="4"/>
  <c r="F1318" i="4"/>
  <c r="E1318" i="4"/>
  <c r="D1318" i="4"/>
  <c r="C1318" i="4"/>
  <c r="B1318" i="4"/>
  <c r="A1318" i="4"/>
  <c r="F1317" i="4"/>
  <c r="E1317" i="4"/>
  <c r="D1317" i="4"/>
  <c r="C1317" i="4"/>
  <c r="B1317" i="4"/>
  <c r="A1317" i="4"/>
  <c r="E1316" i="4"/>
  <c r="D1316" i="4"/>
  <c r="B1316" i="4"/>
  <c r="A1316" i="4"/>
  <c r="E1315" i="4"/>
  <c r="D1315" i="4"/>
  <c r="B1315" i="4"/>
  <c r="A1315" i="4"/>
  <c r="E1314" i="4"/>
  <c r="D1314" i="4"/>
  <c r="C1314" i="4"/>
  <c r="B1314" i="4"/>
  <c r="A1314" i="4"/>
  <c r="F1313" i="4"/>
  <c r="E1313" i="4"/>
  <c r="D1313" i="4"/>
  <c r="C1313" i="4"/>
  <c r="B1313" i="4"/>
  <c r="A1313" i="4"/>
  <c r="B1312" i="4"/>
  <c r="A1312" i="4"/>
  <c r="F1311" i="4"/>
  <c r="E1311" i="4"/>
  <c r="D1311" i="4"/>
  <c r="C1311" i="4"/>
  <c r="B1311" i="4"/>
  <c r="A1311" i="4"/>
  <c r="E1310" i="4"/>
  <c r="D1310" i="4"/>
  <c r="C1310" i="4"/>
  <c r="B1310" i="4"/>
  <c r="A1310" i="4"/>
  <c r="F1309" i="4"/>
  <c r="E1309" i="4"/>
  <c r="D1309" i="4"/>
  <c r="C1309" i="4"/>
  <c r="B1309" i="4"/>
  <c r="A1309" i="4"/>
  <c r="B1308" i="4"/>
  <c r="A1308" i="4"/>
  <c r="F1307" i="4"/>
  <c r="E1307" i="4"/>
  <c r="D1307" i="4"/>
  <c r="C1307" i="4"/>
  <c r="B1307" i="4"/>
  <c r="A1307" i="4"/>
  <c r="F1306" i="4"/>
  <c r="E1306" i="4"/>
  <c r="D1306" i="4"/>
  <c r="C1306" i="4"/>
  <c r="B1306" i="4"/>
  <c r="A1306" i="4"/>
  <c r="E1305" i="4"/>
  <c r="D1305" i="4"/>
  <c r="C1305" i="4"/>
  <c r="B1305" i="4"/>
  <c r="A1305" i="4"/>
  <c r="F1304" i="4"/>
  <c r="E1304" i="4"/>
  <c r="D1304" i="4"/>
  <c r="C1304" i="4"/>
  <c r="B1304" i="4"/>
  <c r="A1304" i="4"/>
  <c r="F1303" i="4"/>
  <c r="E1303" i="4"/>
  <c r="D1303" i="4"/>
  <c r="C1303" i="4"/>
  <c r="B1303" i="4"/>
  <c r="A1303" i="4"/>
  <c r="F1302" i="4"/>
  <c r="E1302" i="4"/>
  <c r="D1302" i="4"/>
  <c r="C1302" i="4"/>
  <c r="B1302" i="4"/>
  <c r="A1302" i="4"/>
  <c r="F1301" i="4"/>
  <c r="E1301" i="4"/>
  <c r="D1301" i="4"/>
  <c r="C1301" i="4"/>
  <c r="B1301" i="4"/>
  <c r="A1301" i="4"/>
  <c r="F1300" i="4"/>
  <c r="E1300" i="4"/>
  <c r="D1300" i="4"/>
  <c r="C1300" i="4"/>
  <c r="B1300" i="4"/>
  <c r="A1300" i="4"/>
  <c r="F1299" i="4"/>
  <c r="E1299" i="4"/>
  <c r="D1299" i="4"/>
  <c r="C1299" i="4"/>
  <c r="B1299" i="4"/>
  <c r="A1299" i="4"/>
  <c r="E1298" i="4"/>
  <c r="D1298" i="4"/>
  <c r="C1298" i="4"/>
  <c r="B1298" i="4"/>
  <c r="A1298" i="4"/>
  <c r="E1297" i="4"/>
  <c r="D1297" i="4"/>
  <c r="C1297" i="4"/>
  <c r="B1297" i="4"/>
  <c r="A1297" i="4"/>
  <c r="F1296" i="4"/>
  <c r="E1296" i="4"/>
  <c r="D1296" i="4"/>
  <c r="C1296" i="4"/>
  <c r="B1296" i="4"/>
  <c r="A1296" i="4"/>
  <c r="F1295" i="4"/>
  <c r="E1295" i="4"/>
  <c r="D1295" i="4"/>
  <c r="C1295" i="4"/>
  <c r="B1295" i="4"/>
  <c r="A1295" i="4"/>
  <c r="E1294" i="4"/>
  <c r="D1294" i="4"/>
  <c r="C1294" i="4"/>
  <c r="B1294" i="4"/>
  <c r="A1294" i="4"/>
  <c r="F1293" i="4"/>
  <c r="E1293" i="4"/>
  <c r="D1293" i="4"/>
  <c r="C1293" i="4"/>
  <c r="B1293" i="4"/>
  <c r="A1293" i="4"/>
  <c r="F1292" i="4"/>
  <c r="E1292" i="4"/>
  <c r="D1292" i="4"/>
  <c r="C1292" i="4"/>
  <c r="B1292" i="4"/>
  <c r="A1292" i="4"/>
  <c r="F1291" i="4"/>
  <c r="E1291" i="4"/>
  <c r="D1291" i="4"/>
  <c r="C1291" i="4"/>
  <c r="B1291" i="4"/>
  <c r="A1291" i="4"/>
  <c r="E1290" i="4"/>
  <c r="D1290" i="4"/>
  <c r="C1290" i="4"/>
  <c r="B1290" i="4"/>
  <c r="A1290" i="4"/>
  <c r="F1289" i="4"/>
  <c r="E1289" i="4"/>
  <c r="D1289" i="4"/>
  <c r="C1289" i="4"/>
  <c r="B1289" i="4"/>
  <c r="A1289" i="4"/>
  <c r="F1288" i="4"/>
  <c r="E1288" i="4"/>
  <c r="D1288" i="4"/>
  <c r="C1288" i="4"/>
  <c r="B1288" i="4"/>
  <c r="A1288" i="4"/>
  <c r="F1287" i="4"/>
  <c r="E1287" i="4"/>
  <c r="D1287" i="4"/>
  <c r="C1287" i="4"/>
  <c r="B1287" i="4"/>
  <c r="A1287" i="4"/>
  <c r="F1286" i="4"/>
  <c r="E1286" i="4"/>
  <c r="D1286" i="4"/>
  <c r="C1286" i="4"/>
  <c r="B1286" i="4"/>
  <c r="A1286" i="4"/>
  <c r="F1285" i="4"/>
  <c r="E1285" i="4"/>
  <c r="D1285" i="4"/>
  <c r="C1285" i="4"/>
  <c r="B1285" i="4"/>
  <c r="A1285" i="4"/>
  <c r="F1284" i="4"/>
  <c r="E1284" i="4"/>
  <c r="D1284" i="4"/>
  <c r="C1284" i="4"/>
  <c r="B1284" i="4"/>
  <c r="A1284" i="4"/>
  <c r="F1283" i="4"/>
  <c r="E1283" i="4"/>
  <c r="D1283" i="4"/>
  <c r="C1283" i="4"/>
  <c r="B1283" i="4"/>
  <c r="A1283" i="4"/>
  <c r="F1282" i="4"/>
  <c r="E1282" i="4"/>
  <c r="D1282" i="4"/>
  <c r="C1282" i="4"/>
  <c r="B1282" i="4"/>
  <c r="A1282" i="4"/>
  <c r="F1281" i="4"/>
  <c r="E1281" i="4"/>
  <c r="D1281" i="4"/>
  <c r="C1281" i="4"/>
  <c r="B1281" i="4"/>
  <c r="A1281" i="4"/>
  <c r="F1280" i="4"/>
  <c r="E1280" i="4"/>
  <c r="D1280" i="4"/>
  <c r="C1280" i="4"/>
  <c r="B1280" i="4"/>
  <c r="A1280" i="4"/>
  <c r="F1279" i="4"/>
  <c r="E1279" i="4"/>
  <c r="D1279" i="4"/>
  <c r="C1279" i="4"/>
  <c r="B1279" i="4"/>
  <c r="A1279" i="4"/>
  <c r="E1278" i="4"/>
  <c r="D1278" i="4"/>
  <c r="C1278" i="4"/>
  <c r="B1278" i="4"/>
  <c r="A1278" i="4"/>
  <c r="E1277" i="4"/>
  <c r="D1277" i="4"/>
  <c r="C1277" i="4"/>
  <c r="B1277" i="4"/>
  <c r="A1277" i="4"/>
  <c r="F1276" i="4"/>
  <c r="E1276" i="4"/>
  <c r="D1276" i="4"/>
  <c r="C1276" i="4"/>
  <c r="B1276" i="4"/>
  <c r="A1276" i="4"/>
  <c r="E1275" i="4"/>
  <c r="D1275" i="4"/>
  <c r="C1275" i="4"/>
  <c r="B1275" i="4"/>
  <c r="A1275" i="4"/>
  <c r="E1274" i="4"/>
  <c r="D1274" i="4"/>
  <c r="C1274" i="4"/>
  <c r="B1274" i="4"/>
  <c r="A1274" i="4"/>
  <c r="F1273" i="4"/>
  <c r="E1273" i="4"/>
  <c r="D1273" i="4"/>
  <c r="C1273" i="4"/>
  <c r="B1273" i="4"/>
  <c r="A1273" i="4"/>
  <c r="F1272" i="4"/>
  <c r="E1272" i="4"/>
  <c r="D1272" i="4"/>
  <c r="C1272" i="4"/>
  <c r="B1272" i="4"/>
  <c r="A1272" i="4"/>
  <c r="E1271" i="4"/>
  <c r="D1271" i="4"/>
  <c r="C1271" i="4"/>
  <c r="B1271" i="4"/>
  <c r="A1271" i="4"/>
  <c r="E1270" i="4"/>
  <c r="D1270" i="4"/>
  <c r="C1270" i="4"/>
  <c r="B1270" i="4"/>
  <c r="A1270" i="4"/>
  <c r="E1269" i="4"/>
  <c r="D1269" i="4"/>
  <c r="C1269" i="4"/>
  <c r="B1269" i="4"/>
  <c r="A1269" i="4"/>
  <c r="E1268" i="4"/>
  <c r="D1268" i="4"/>
  <c r="C1268" i="4"/>
  <c r="B1268" i="4"/>
  <c r="A1268" i="4"/>
  <c r="B1267" i="4"/>
  <c r="A1267" i="4"/>
  <c r="E1266" i="4"/>
  <c r="D1266" i="4"/>
  <c r="C1266" i="4"/>
  <c r="B1266" i="4"/>
  <c r="A1266" i="4"/>
  <c r="E1265" i="4"/>
  <c r="D1265" i="4"/>
  <c r="C1265" i="4"/>
  <c r="B1265" i="4"/>
  <c r="A1265" i="4"/>
  <c r="F1264" i="4"/>
  <c r="E1264" i="4"/>
  <c r="D1264" i="4"/>
  <c r="C1264" i="4"/>
  <c r="B1264" i="4"/>
  <c r="A1264" i="4"/>
  <c r="F1263" i="4"/>
  <c r="E1263" i="4"/>
  <c r="D1263" i="4"/>
  <c r="C1263" i="4"/>
  <c r="B1263" i="4"/>
  <c r="A1263" i="4"/>
  <c r="F1262" i="4"/>
  <c r="E1262" i="4"/>
  <c r="D1262" i="4"/>
  <c r="C1262" i="4"/>
  <c r="B1262" i="4"/>
  <c r="A1262" i="4"/>
  <c r="B1261" i="4"/>
  <c r="A1261" i="4"/>
  <c r="B1260" i="4"/>
  <c r="A1260" i="4"/>
  <c r="E1259" i="4"/>
  <c r="D1259" i="4"/>
  <c r="C1259" i="4"/>
  <c r="B1259" i="4"/>
  <c r="A1259" i="4"/>
  <c r="E1258" i="4"/>
  <c r="D1258" i="4"/>
  <c r="C1258" i="4"/>
  <c r="B1258" i="4"/>
  <c r="A1258" i="4"/>
  <c r="E1257" i="4"/>
  <c r="D1257" i="4"/>
  <c r="C1257" i="4"/>
  <c r="B1257" i="4"/>
  <c r="A1257" i="4"/>
  <c r="F1256" i="4"/>
  <c r="E1256" i="4"/>
  <c r="D1256" i="4"/>
  <c r="C1256" i="4"/>
  <c r="B1256" i="4"/>
  <c r="A1256" i="4"/>
  <c r="E1255" i="4"/>
  <c r="D1255" i="4"/>
  <c r="C1255" i="4"/>
  <c r="B1255" i="4"/>
  <c r="A1255" i="4"/>
  <c r="E1254" i="4"/>
  <c r="D1254" i="4"/>
  <c r="C1254" i="4"/>
  <c r="B1254" i="4"/>
  <c r="A1254" i="4"/>
  <c r="B1253" i="4"/>
  <c r="A1253" i="4"/>
  <c r="E1252" i="4"/>
  <c r="D1252" i="4"/>
  <c r="C1252" i="4"/>
  <c r="B1252" i="4"/>
  <c r="A1252" i="4"/>
  <c r="E1251" i="4"/>
  <c r="D1251" i="4"/>
  <c r="C1251" i="4"/>
  <c r="B1251" i="4"/>
  <c r="A1251" i="4"/>
  <c r="F1250" i="4"/>
  <c r="E1250" i="4"/>
  <c r="D1250" i="4"/>
  <c r="C1250" i="4"/>
  <c r="B1250" i="4"/>
  <c r="A1250" i="4"/>
  <c r="E1249" i="4"/>
  <c r="D1249" i="4"/>
  <c r="C1249" i="4"/>
  <c r="B1249" i="4"/>
  <c r="A1249" i="4"/>
  <c r="E1248" i="4"/>
  <c r="D1248" i="4"/>
  <c r="C1248" i="4"/>
  <c r="B1248" i="4"/>
  <c r="A1248" i="4"/>
  <c r="E1247" i="4"/>
  <c r="D1247" i="4"/>
  <c r="C1247" i="4"/>
  <c r="B1247" i="4"/>
  <c r="A1247" i="4"/>
  <c r="E1246" i="4"/>
  <c r="D1246" i="4"/>
  <c r="B1246" i="4"/>
  <c r="A1246" i="4"/>
  <c r="E1245" i="4"/>
  <c r="D1245" i="4"/>
  <c r="B1245" i="4"/>
  <c r="A1245" i="4"/>
  <c r="E1244" i="4"/>
  <c r="D1244" i="4"/>
  <c r="B1244" i="4"/>
  <c r="A1244" i="4"/>
  <c r="F1243" i="4"/>
  <c r="E1243" i="4"/>
  <c r="D1243" i="4"/>
  <c r="C1243" i="4"/>
  <c r="B1243" i="4"/>
  <c r="A1243" i="4"/>
  <c r="E1242" i="4"/>
  <c r="D1242" i="4"/>
  <c r="C1242" i="4"/>
  <c r="B1242" i="4"/>
  <c r="A1242" i="4"/>
  <c r="E1241" i="4"/>
  <c r="D1241" i="4"/>
  <c r="C1241" i="4"/>
  <c r="B1241" i="4"/>
  <c r="A1241" i="4"/>
  <c r="E1240" i="4"/>
  <c r="D1240" i="4"/>
  <c r="C1240" i="4"/>
  <c r="B1240" i="4"/>
  <c r="A1240" i="4"/>
  <c r="E1239" i="4"/>
  <c r="D1239" i="4"/>
  <c r="C1239" i="4"/>
  <c r="B1239" i="4"/>
  <c r="A1239" i="4"/>
  <c r="F1238" i="4"/>
  <c r="E1238" i="4"/>
  <c r="D1238" i="4"/>
  <c r="C1238" i="4"/>
  <c r="B1238" i="4"/>
  <c r="A1238" i="4"/>
  <c r="F1237" i="4"/>
  <c r="E1237" i="4"/>
  <c r="D1237" i="4"/>
  <c r="C1237" i="4"/>
  <c r="B1237" i="4"/>
  <c r="A1237" i="4"/>
  <c r="F1236" i="4"/>
  <c r="E1236" i="4"/>
  <c r="D1236" i="4"/>
  <c r="C1236" i="4"/>
  <c r="B1236" i="4"/>
  <c r="A1236" i="4"/>
  <c r="E1235" i="4"/>
  <c r="D1235" i="4"/>
  <c r="C1235" i="4"/>
  <c r="B1235" i="4"/>
  <c r="A1235" i="4"/>
  <c r="E1234" i="4"/>
  <c r="D1234" i="4"/>
  <c r="C1234" i="4"/>
  <c r="B1234" i="4"/>
  <c r="A1234" i="4"/>
  <c r="F1233" i="4"/>
  <c r="E1233" i="4"/>
  <c r="C1233" i="4"/>
  <c r="B1233" i="4"/>
  <c r="A1233" i="4"/>
  <c r="E1232" i="4"/>
  <c r="D1232" i="4"/>
  <c r="C1232" i="4"/>
  <c r="B1232" i="4"/>
  <c r="A1232" i="4"/>
  <c r="E1231" i="4"/>
  <c r="D1231" i="4"/>
  <c r="C1231" i="4"/>
  <c r="B1231" i="4"/>
  <c r="A1231" i="4"/>
  <c r="B1230" i="4"/>
  <c r="A1230" i="4"/>
  <c r="E1229" i="4"/>
  <c r="D1229" i="4"/>
  <c r="C1229" i="4"/>
  <c r="B1229" i="4"/>
  <c r="A1229" i="4"/>
  <c r="E1228" i="4"/>
  <c r="D1228" i="4"/>
  <c r="C1228" i="4"/>
  <c r="B1228" i="4"/>
  <c r="A1228" i="4"/>
  <c r="F1227" i="4"/>
  <c r="E1227" i="4"/>
  <c r="D1227" i="4"/>
  <c r="C1227" i="4"/>
  <c r="B1227" i="4"/>
  <c r="A1227" i="4"/>
  <c r="E1226" i="4"/>
  <c r="D1226" i="4"/>
  <c r="C1226" i="4"/>
  <c r="B1226" i="4"/>
  <c r="A1226" i="4"/>
  <c r="B1225" i="4"/>
  <c r="A1225" i="4"/>
  <c r="F1224" i="4"/>
  <c r="E1224" i="4"/>
  <c r="D1224" i="4"/>
  <c r="C1224" i="4"/>
  <c r="B1224" i="4"/>
  <c r="A1224" i="4"/>
  <c r="E1223" i="4"/>
  <c r="D1223" i="4"/>
  <c r="C1223" i="4"/>
  <c r="B1223" i="4"/>
  <c r="A1223" i="4"/>
  <c r="F1222" i="4"/>
  <c r="E1222" i="4"/>
  <c r="D1222" i="4"/>
  <c r="C1222" i="4"/>
  <c r="B1222" i="4"/>
  <c r="A1222" i="4"/>
  <c r="B1221" i="4"/>
  <c r="A1221" i="4"/>
  <c r="E1220" i="4"/>
  <c r="D1220" i="4"/>
  <c r="C1220" i="4"/>
  <c r="B1220" i="4"/>
  <c r="A1220" i="4"/>
  <c r="E1219" i="4"/>
  <c r="D1219" i="4"/>
  <c r="C1219" i="4"/>
  <c r="B1219" i="4"/>
  <c r="A1219" i="4"/>
  <c r="F1218" i="4"/>
  <c r="E1218" i="4"/>
  <c r="D1218" i="4"/>
  <c r="C1218" i="4"/>
  <c r="B1218" i="4"/>
  <c r="A1218" i="4"/>
  <c r="B1217" i="4"/>
  <c r="A1217" i="4"/>
  <c r="B1216" i="4"/>
  <c r="A1216" i="4"/>
  <c r="B1215" i="4"/>
  <c r="A1215" i="4"/>
  <c r="E1214" i="4"/>
  <c r="D1214" i="4"/>
  <c r="C1214" i="4"/>
  <c r="B1214" i="4"/>
  <c r="A1214" i="4"/>
  <c r="E1213" i="4"/>
  <c r="D1213" i="4"/>
  <c r="C1213" i="4"/>
  <c r="B1213" i="4"/>
  <c r="A1213" i="4"/>
  <c r="F1212" i="4"/>
  <c r="E1212" i="4"/>
  <c r="D1212" i="4"/>
  <c r="C1212" i="4"/>
  <c r="B1212" i="4"/>
  <c r="A1212" i="4"/>
  <c r="E1211" i="4"/>
  <c r="D1211" i="4"/>
  <c r="C1211" i="4"/>
  <c r="B1211" i="4"/>
  <c r="A1211" i="4"/>
  <c r="E1210" i="4"/>
  <c r="D1210" i="4"/>
  <c r="C1210" i="4"/>
  <c r="B1210" i="4"/>
  <c r="A1210" i="4"/>
  <c r="E1209" i="4"/>
  <c r="D1209" i="4"/>
  <c r="C1209" i="4"/>
  <c r="B1209" i="4"/>
  <c r="A1209" i="4"/>
  <c r="F1208" i="4"/>
  <c r="E1208" i="4"/>
  <c r="D1208" i="4"/>
  <c r="C1208" i="4"/>
  <c r="B1208" i="4"/>
  <c r="A1208" i="4"/>
  <c r="F1207" i="4"/>
  <c r="E1207" i="4"/>
  <c r="D1207" i="4"/>
  <c r="C1207" i="4"/>
  <c r="B1207" i="4"/>
  <c r="A1207" i="4"/>
  <c r="F1206" i="4"/>
  <c r="E1206" i="4"/>
  <c r="D1206" i="4"/>
  <c r="C1206" i="4"/>
  <c r="B1206" i="4"/>
  <c r="A1206" i="4"/>
  <c r="F1205" i="4"/>
  <c r="E1205" i="4"/>
  <c r="D1205" i="4"/>
  <c r="C1205" i="4"/>
  <c r="B1205" i="4"/>
  <c r="A1205" i="4"/>
  <c r="F1204" i="4"/>
  <c r="E1204" i="4"/>
  <c r="D1204" i="4"/>
  <c r="C1204" i="4"/>
  <c r="B1204" i="4"/>
  <c r="A1204" i="4"/>
  <c r="B1203" i="4"/>
  <c r="A1203" i="4"/>
  <c r="F1202" i="4"/>
  <c r="E1202" i="4"/>
  <c r="D1202" i="4"/>
  <c r="C1202" i="4"/>
  <c r="B1202" i="4"/>
  <c r="A1202" i="4"/>
  <c r="F1201" i="4"/>
  <c r="E1201" i="4"/>
  <c r="D1201" i="4"/>
  <c r="C1201" i="4"/>
  <c r="B1201" i="4"/>
  <c r="A1201" i="4"/>
  <c r="F1200" i="4"/>
  <c r="E1200" i="4"/>
  <c r="D1200" i="4"/>
  <c r="C1200" i="4"/>
  <c r="B1200" i="4"/>
  <c r="A1200" i="4"/>
  <c r="C1199" i="4"/>
  <c r="B1199" i="4"/>
  <c r="A1199" i="4"/>
  <c r="F1198" i="4"/>
  <c r="E1198" i="4"/>
  <c r="D1198" i="4"/>
  <c r="C1198" i="4"/>
  <c r="B1198" i="4"/>
  <c r="A1198" i="4"/>
  <c r="F1197" i="4"/>
  <c r="E1197" i="4"/>
  <c r="D1197" i="4"/>
  <c r="C1197" i="4"/>
  <c r="B1197" i="4"/>
  <c r="A1197" i="4"/>
  <c r="E1196" i="4"/>
  <c r="D1196" i="4"/>
  <c r="C1196" i="4"/>
  <c r="B1196" i="4"/>
  <c r="A1196" i="4"/>
  <c r="B1195" i="4"/>
  <c r="A1195" i="4"/>
  <c r="F1194" i="4"/>
  <c r="E1194" i="4"/>
  <c r="D1194" i="4"/>
  <c r="C1194" i="4"/>
  <c r="B1194" i="4"/>
  <c r="A1194" i="4"/>
  <c r="F1193" i="4"/>
  <c r="E1193" i="4"/>
  <c r="D1193" i="4"/>
  <c r="C1193" i="4"/>
  <c r="B1193" i="4"/>
  <c r="A1193" i="4"/>
  <c r="F1192" i="4"/>
  <c r="E1192" i="4"/>
  <c r="D1192" i="4"/>
  <c r="C1192" i="4"/>
  <c r="B1192" i="4"/>
  <c r="A1192" i="4"/>
  <c r="E1191" i="4"/>
  <c r="D1191" i="4"/>
  <c r="C1191" i="4"/>
  <c r="B1191" i="4"/>
  <c r="A1191" i="4"/>
  <c r="F1190" i="4"/>
  <c r="E1190" i="4"/>
  <c r="D1190" i="4"/>
  <c r="C1190" i="4"/>
  <c r="B1190" i="4"/>
  <c r="A1190" i="4"/>
  <c r="E1189" i="4"/>
  <c r="D1189" i="4"/>
  <c r="C1189" i="4"/>
  <c r="B1189" i="4"/>
  <c r="A1189" i="4"/>
  <c r="E1188" i="4"/>
  <c r="D1188" i="4"/>
  <c r="C1188" i="4"/>
  <c r="B1188" i="4"/>
  <c r="A1188" i="4"/>
  <c r="E1187" i="4"/>
  <c r="D1187" i="4"/>
  <c r="C1187" i="4"/>
  <c r="B1187" i="4"/>
  <c r="A1187" i="4"/>
  <c r="E1186" i="4"/>
  <c r="D1186" i="4"/>
  <c r="C1186" i="4"/>
  <c r="B1186" i="4"/>
  <c r="A1186" i="4"/>
  <c r="E1185" i="4"/>
  <c r="D1185" i="4"/>
  <c r="C1185" i="4"/>
  <c r="B1185" i="4"/>
  <c r="A1185" i="4"/>
  <c r="E1184" i="4"/>
  <c r="D1184" i="4"/>
  <c r="C1184" i="4"/>
  <c r="B1184" i="4"/>
  <c r="A1184" i="4"/>
  <c r="E1183" i="4"/>
  <c r="D1183" i="4"/>
  <c r="C1183" i="4"/>
  <c r="B1183" i="4"/>
  <c r="A1183" i="4"/>
  <c r="F1182" i="4"/>
  <c r="E1182" i="4"/>
  <c r="D1182" i="4"/>
  <c r="C1182" i="4"/>
  <c r="B1182" i="4"/>
  <c r="A1182" i="4"/>
  <c r="F1181" i="4"/>
  <c r="E1181" i="4"/>
  <c r="D1181" i="4"/>
  <c r="C1181" i="4"/>
  <c r="B1181" i="4"/>
  <c r="A1181" i="4"/>
  <c r="F1180" i="4"/>
  <c r="E1180" i="4"/>
  <c r="D1180" i="4"/>
  <c r="C1180" i="4"/>
  <c r="B1180" i="4"/>
  <c r="A1180" i="4"/>
  <c r="F1179" i="4"/>
  <c r="E1179" i="4"/>
  <c r="D1179" i="4"/>
  <c r="C1179" i="4"/>
  <c r="B1179" i="4"/>
  <c r="A1179" i="4"/>
  <c r="F1178" i="4"/>
  <c r="E1178" i="4"/>
  <c r="D1178" i="4"/>
  <c r="C1178" i="4"/>
  <c r="B1178" i="4"/>
  <c r="A1178" i="4"/>
  <c r="F1177" i="4"/>
  <c r="E1177" i="4"/>
  <c r="D1177" i="4"/>
  <c r="C1177" i="4"/>
  <c r="B1177" i="4"/>
  <c r="A1177" i="4"/>
  <c r="F1176" i="4"/>
  <c r="E1176" i="4"/>
  <c r="D1176" i="4"/>
  <c r="C1176" i="4"/>
  <c r="B1176" i="4"/>
  <c r="A1176" i="4"/>
  <c r="F1175" i="4"/>
  <c r="E1175" i="4"/>
  <c r="D1175" i="4"/>
  <c r="C1175" i="4"/>
  <c r="B1175" i="4"/>
  <c r="A1175" i="4"/>
  <c r="F1174" i="4"/>
  <c r="E1174" i="4"/>
  <c r="D1174" i="4"/>
  <c r="C1174" i="4"/>
  <c r="B1174" i="4"/>
  <c r="A1174" i="4"/>
  <c r="E1173" i="4"/>
  <c r="D1173" i="4"/>
  <c r="C1173" i="4"/>
  <c r="B1173" i="4"/>
  <c r="A1173" i="4"/>
  <c r="E1172" i="4"/>
  <c r="D1172" i="4"/>
  <c r="C1172" i="4"/>
  <c r="B1172" i="4"/>
  <c r="A1172" i="4"/>
  <c r="E1171" i="4"/>
  <c r="D1171" i="4"/>
  <c r="C1171" i="4"/>
  <c r="B1171" i="4"/>
  <c r="A1171" i="4"/>
  <c r="E1170" i="4"/>
  <c r="D1170" i="4"/>
  <c r="C1170" i="4"/>
  <c r="B1170" i="4"/>
  <c r="A1170" i="4"/>
  <c r="E1169" i="4"/>
  <c r="D1169" i="4"/>
  <c r="C1169" i="4"/>
  <c r="B1169" i="4"/>
  <c r="A1169" i="4"/>
  <c r="E1168" i="4"/>
  <c r="D1168" i="4"/>
  <c r="C1168" i="4"/>
  <c r="B1168" i="4"/>
  <c r="A1168" i="4"/>
  <c r="B1167" i="4"/>
  <c r="A1167" i="4"/>
  <c r="E1166" i="4"/>
  <c r="D1166" i="4"/>
  <c r="C1166" i="4"/>
  <c r="B1166" i="4"/>
  <c r="A1166" i="4"/>
  <c r="F1165" i="4"/>
  <c r="E1165" i="4"/>
  <c r="D1165" i="4"/>
  <c r="C1165" i="4"/>
  <c r="B1165" i="4"/>
  <c r="A1165" i="4"/>
  <c r="F1164" i="4"/>
  <c r="E1164" i="4"/>
  <c r="D1164" i="4"/>
  <c r="C1164" i="4"/>
  <c r="B1164" i="4"/>
  <c r="A1164" i="4"/>
  <c r="E1163" i="4"/>
  <c r="D1163" i="4"/>
  <c r="C1163" i="4"/>
  <c r="B1163" i="4"/>
  <c r="A1163" i="4"/>
  <c r="E1162" i="4"/>
  <c r="D1162" i="4"/>
  <c r="C1162" i="4"/>
  <c r="B1162" i="4"/>
  <c r="A1162" i="4"/>
  <c r="F1161" i="4"/>
  <c r="E1161" i="4"/>
  <c r="D1161" i="4"/>
  <c r="C1161" i="4"/>
  <c r="B1161" i="4"/>
  <c r="A1161" i="4"/>
  <c r="E1160" i="4"/>
  <c r="D1160" i="4"/>
  <c r="C1160" i="4"/>
  <c r="B1160" i="4"/>
  <c r="A1160" i="4"/>
  <c r="F1159" i="4"/>
  <c r="E1159" i="4"/>
  <c r="D1159" i="4"/>
  <c r="C1159" i="4"/>
  <c r="B1159" i="4"/>
  <c r="A1159" i="4"/>
  <c r="B1158" i="4"/>
  <c r="A1158" i="4"/>
  <c r="B1157" i="4"/>
  <c r="A1157" i="4"/>
  <c r="E1156" i="4"/>
  <c r="D1156" i="4"/>
  <c r="C1156" i="4"/>
  <c r="B1156" i="4"/>
  <c r="A1156" i="4"/>
  <c r="E1155" i="4"/>
  <c r="D1155" i="4"/>
  <c r="C1155" i="4"/>
  <c r="B1155" i="4"/>
  <c r="A1155" i="4"/>
  <c r="E1154" i="4"/>
  <c r="D1154" i="4"/>
  <c r="C1154" i="4"/>
  <c r="B1154" i="4"/>
  <c r="A1154" i="4"/>
  <c r="B1153" i="4"/>
  <c r="A1153" i="4"/>
  <c r="F1152" i="4"/>
  <c r="E1152" i="4"/>
  <c r="D1152" i="4"/>
  <c r="C1152" i="4"/>
  <c r="B1152" i="4"/>
  <c r="A1152" i="4"/>
  <c r="E1151" i="4"/>
  <c r="D1151" i="4"/>
  <c r="C1151" i="4"/>
  <c r="B1151" i="4"/>
  <c r="A1151" i="4"/>
  <c r="E1150" i="4"/>
  <c r="D1150" i="4"/>
  <c r="C1150" i="4"/>
  <c r="B1150" i="4"/>
  <c r="A1150" i="4"/>
  <c r="E1149" i="4"/>
  <c r="D1149" i="4"/>
  <c r="C1149" i="4"/>
  <c r="B1149" i="4"/>
  <c r="A1149" i="4"/>
  <c r="E1148" i="4"/>
  <c r="D1148" i="4"/>
  <c r="C1148" i="4"/>
  <c r="B1148" i="4"/>
  <c r="A1148" i="4"/>
  <c r="E1147" i="4"/>
  <c r="D1147" i="4"/>
  <c r="C1147" i="4"/>
  <c r="B1147" i="4"/>
  <c r="A1147" i="4"/>
  <c r="B1146" i="4"/>
  <c r="A1146" i="4"/>
  <c r="B1145" i="4"/>
  <c r="A1145" i="4"/>
  <c r="B1144" i="4"/>
  <c r="A1144" i="4"/>
  <c r="B1143" i="4"/>
  <c r="A1143" i="4"/>
  <c r="B1142" i="4"/>
  <c r="A1142" i="4"/>
  <c r="B1141" i="4"/>
  <c r="A1141" i="4"/>
  <c r="B1140" i="4"/>
  <c r="A1140" i="4"/>
  <c r="E1139" i="4"/>
  <c r="D1139" i="4"/>
  <c r="C1139" i="4"/>
  <c r="B1139" i="4"/>
  <c r="A1139" i="4"/>
  <c r="B1138" i="4"/>
  <c r="A1138" i="4"/>
  <c r="B1137" i="4"/>
  <c r="A1137" i="4"/>
  <c r="E1136" i="4"/>
  <c r="D1136" i="4"/>
  <c r="C1136" i="4"/>
  <c r="B1136" i="4"/>
  <c r="A1136" i="4"/>
  <c r="E1135" i="4"/>
  <c r="D1135" i="4"/>
  <c r="C1135" i="4"/>
  <c r="B1135" i="4"/>
  <c r="A1135" i="4"/>
  <c r="E1134" i="4"/>
  <c r="D1134" i="4"/>
  <c r="C1134" i="4"/>
  <c r="B1134" i="4"/>
  <c r="A1134" i="4"/>
  <c r="E1133" i="4"/>
  <c r="D1133" i="4"/>
  <c r="C1133" i="4"/>
  <c r="B1133" i="4"/>
  <c r="A1133" i="4"/>
  <c r="E1132" i="4"/>
  <c r="D1132" i="4"/>
  <c r="C1132" i="4"/>
  <c r="B1132" i="4"/>
  <c r="A1132" i="4"/>
  <c r="F1131" i="4"/>
  <c r="E1131" i="4"/>
  <c r="D1131" i="4"/>
  <c r="C1131" i="4"/>
  <c r="B1131" i="4"/>
  <c r="A1131" i="4"/>
  <c r="E1130" i="4"/>
  <c r="D1130" i="4"/>
  <c r="C1130" i="4"/>
  <c r="B1130" i="4"/>
  <c r="A1130" i="4"/>
  <c r="B1129" i="4"/>
  <c r="A1129" i="4"/>
  <c r="B1128" i="4"/>
  <c r="A1128" i="4"/>
  <c r="E1127" i="4"/>
  <c r="D1127" i="4"/>
  <c r="C1127" i="4"/>
  <c r="B1127" i="4"/>
  <c r="A1127" i="4"/>
  <c r="B1126" i="4"/>
  <c r="A1126" i="4"/>
  <c r="E1125" i="4"/>
  <c r="D1125" i="4"/>
  <c r="C1125" i="4"/>
  <c r="B1125" i="4"/>
  <c r="A1125" i="4"/>
  <c r="F1124" i="4"/>
  <c r="E1124" i="4"/>
  <c r="D1124" i="4"/>
  <c r="C1124" i="4"/>
  <c r="B1124" i="4"/>
  <c r="A1124" i="4"/>
  <c r="F1123" i="4"/>
  <c r="E1123" i="4"/>
  <c r="D1123" i="4"/>
  <c r="C1123" i="4"/>
  <c r="B1123" i="4"/>
  <c r="A1123" i="4"/>
  <c r="B1122" i="4"/>
  <c r="A1122" i="4"/>
  <c r="F1121" i="4"/>
  <c r="E1121" i="4"/>
  <c r="D1121" i="4"/>
  <c r="C1121" i="4"/>
  <c r="B1121" i="4"/>
  <c r="A1121" i="4"/>
  <c r="B1120" i="4"/>
  <c r="A1120" i="4"/>
  <c r="E1119" i="4"/>
  <c r="D1119" i="4"/>
  <c r="C1119" i="4"/>
  <c r="B1119" i="4"/>
  <c r="A1119" i="4"/>
  <c r="B1118" i="4"/>
  <c r="A1118" i="4"/>
  <c r="F1117" i="4"/>
  <c r="E1117" i="4"/>
  <c r="D1117" i="4"/>
  <c r="C1117" i="4"/>
  <c r="B1117" i="4"/>
  <c r="A1117" i="4"/>
  <c r="B1116" i="4"/>
  <c r="A1116" i="4"/>
  <c r="E1115" i="4"/>
  <c r="D1115" i="4"/>
  <c r="C1115" i="4"/>
  <c r="B1115" i="4"/>
  <c r="A1115" i="4"/>
  <c r="B1114" i="4"/>
  <c r="A1114" i="4"/>
  <c r="E1113" i="4"/>
  <c r="D1113" i="4"/>
  <c r="C1113" i="4"/>
  <c r="B1113" i="4"/>
  <c r="A1113" i="4"/>
  <c r="B1112" i="4"/>
  <c r="A1112" i="4"/>
  <c r="E1111" i="4"/>
  <c r="D1111" i="4"/>
  <c r="C1111" i="4"/>
  <c r="B1111" i="4"/>
  <c r="A1111" i="4"/>
  <c r="E1110" i="4"/>
  <c r="D1110" i="4"/>
  <c r="C1110" i="4"/>
  <c r="B1110" i="4"/>
  <c r="A1110" i="4"/>
  <c r="E1109" i="4"/>
  <c r="D1109" i="4"/>
  <c r="C1109" i="4"/>
  <c r="B1109" i="4"/>
  <c r="A1109" i="4"/>
  <c r="F1108" i="4"/>
  <c r="E1108" i="4"/>
  <c r="D1108" i="4"/>
  <c r="C1108" i="4"/>
  <c r="B1108" i="4"/>
  <c r="A1108" i="4"/>
  <c r="B1107" i="4"/>
  <c r="A1107" i="4"/>
  <c r="E1106" i="4"/>
  <c r="D1106" i="4"/>
  <c r="C1106" i="4"/>
  <c r="B1106" i="4"/>
  <c r="A1106" i="4"/>
  <c r="E1105" i="4"/>
  <c r="D1105" i="4"/>
  <c r="C1105" i="4"/>
  <c r="B1105" i="4"/>
  <c r="A1105" i="4"/>
  <c r="E1104" i="4"/>
  <c r="D1104" i="4"/>
  <c r="C1104" i="4"/>
  <c r="B1104" i="4"/>
  <c r="A1104" i="4"/>
  <c r="E1103" i="4"/>
  <c r="D1103" i="4"/>
  <c r="C1103" i="4"/>
  <c r="B1103" i="4"/>
  <c r="A1103" i="4"/>
  <c r="E1102" i="4"/>
  <c r="D1102" i="4"/>
  <c r="C1102" i="4"/>
  <c r="B1102" i="4"/>
  <c r="A1102" i="4"/>
  <c r="E1101" i="4"/>
  <c r="D1101" i="4"/>
  <c r="C1101" i="4"/>
  <c r="B1101" i="4"/>
  <c r="A1101" i="4"/>
  <c r="E1100" i="4"/>
  <c r="D1100" i="4"/>
  <c r="C1100" i="4"/>
  <c r="B1100" i="4"/>
  <c r="A1100" i="4"/>
  <c r="E1099" i="4"/>
  <c r="D1099" i="4"/>
  <c r="C1099" i="4"/>
  <c r="B1099" i="4"/>
  <c r="A1099" i="4"/>
  <c r="E1098" i="4"/>
  <c r="D1098" i="4"/>
  <c r="C1098" i="4"/>
  <c r="B1098" i="4"/>
  <c r="A1098" i="4"/>
  <c r="E1097" i="4"/>
  <c r="D1097" i="4"/>
  <c r="C1097" i="4"/>
  <c r="B1097" i="4"/>
  <c r="A1097" i="4"/>
  <c r="F1096" i="4"/>
  <c r="E1096" i="4"/>
  <c r="D1096" i="4"/>
  <c r="C1096" i="4"/>
  <c r="B1096" i="4"/>
  <c r="A1096" i="4"/>
  <c r="E1095" i="4"/>
  <c r="D1095" i="4"/>
  <c r="C1095" i="4"/>
  <c r="B1095" i="4"/>
  <c r="A1095" i="4"/>
  <c r="F1094" i="4"/>
  <c r="E1094" i="4"/>
  <c r="D1094" i="4"/>
  <c r="C1094" i="4"/>
  <c r="B1094" i="4"/>
  <c r="A1094" i="4"/>
  <c r="F1093" i="4"/>
  <c r="E1093" i="4"/>
  <c r="D1093" i="4"/>
  <c r="C1093" i="4"/>
  <c r="B1093" i="4"/>
  <c r="A1093" i="4"/>
  <c r="E1092" i="4"/>
  <c r="D1092" i="4"/>
  <c r="C1092" i="4"/>
  <c r="B1092" i="4"/>
  <c r="A1092" i="4"/>
  <c r="B1091" i="4"/>
  <c r="A1091" i="4"/>
  <c r="E1090" i="4"/>
  <c r="D1090" i="4"/>
  <c r="C1090" i="4"/>
  <c r="B1090" i="4"/>
  <c r="A1090" i="4"/>
  <c r="E1089" i="4"/>
  <c r="D1089" i="4"/>
  <c r="C1089" i="4"/>
  <c r="B1089" i="4"/>
  <c r="A1089" i="4"/>
  <c r="E1088" i="4"/>
  <c r="D1088" i="4"/>
  <c r="C1088" i="4"/>
  <c r="B1088" i="4"/>
  <c r="A1088" i="4"/>
  <c r="E1087" i="4"/>
  <c r="D1087" i="4"/>
  <c r="C1087" i="4"/>
  <c r="B1087" i="4"/>
  <c r="A1087" i="4"/>
  <c r="F1086" i="4"/>
  <c r="E1086" i="4"/>
  <c r="D1086" i="4"/>
  <c r="C1086" i="4"/>
  <c r="B1086" i="4"/>
  <c r="A1086" i="4"/>
  <c r="E1085" i="4"/>
  <c r="D1085" i="4"/>
  <c r="C1085" i="4"/>
  <c r="B1085" i="4"/>
  <c r="A1085" i="4"/>
  <c r="F1084" i="4"/>
  <c r="E1084" i="4"/>
  <c r="D1084" i="4"/>
  <c r="C1084" i="4"/>
  <c r="B1084" i="4"/>
  <c r="A1084" i="4"/>
  <c r="E1083" i="4"/>
  <c r="D1083" i="4"/>
  <c r="C1083" i="4"/>
  <c r="B1083" i="4"/>
  <c r="A1083" i="4"/>
  <c r="F1082" i="4"/>
  <c r="E1082" i="4"/>
  <c r="D1082" i="4"/>
  <c r="C1082" i="4"/>
  <c r="B1082" i="4"/>
  <c r="A1082" i="4"/>
  <c r="E1081" i="4"/>
  <c r="D1081" i="4"/>
  <c r="C1081" i="4"/>
  <c r="B1081" i="4"/>
  <c r="A1081" i="4"/>
  <c r="E1080" i="4"/>
  <c r="D1080" i="4"/>
  <c r="C1080" i="4"/>
  <c r="B1080" i="4"/>
  <c r="A1080" i="4"/>
  <c r="B1079" i="4"/>
  <c r="A1079" i="4"/>
  <c r="E1078" i="4"/>
  <c r="D1078" i="4"/>
  <c r="C1078" i="4"/>
  <c r="B1078" i="4"/>
  <c r="A1078" i="4"/>
  <c r="E1077" i="4"/>
  <c r="D1077" i="4"/>
  <c r="C1077" i="4"/>
  <c r="B1077" i="4"/>
  <c r="A1077" i="4"/>
  <c r="E1076" i="4"/>
  <c r="D1076" i="4"/>
  <c r="C1076" i="4"/>
  <c r="B1076" i="4"/>
  <c r="A1076" i="4"/>
  <c r="E1075" i="4"/>
  <c r="D1075" i="4"/>
  <c r="C1075" i="4"/>
  <c r="B1075" i="4"/>
  <c r="A1075" i="4"/>
  <c r="E1074" i="4"/>
  <c r="D1074" i="4"/>
  <c r="C1074" i="4"/>
  <c r="B1074" i="4"/>
  <c r="A1074" i="4"/>
  <c r="E1073" i="4"/>
  <c r="D1073" i="4"/>
  <c r="C1073" i="4"/>
  <c r="B1073" i="4"/>
  <c r="A1073" i="4"/>
  <c r="E1072" i="4"/>
  <c r="D1072" i="4"/>
  <c r="C1072" i="4"/>
  <c r="B1072" i="4"/>
  <c r="A1072" i="4"/>
  <c r="F1071" i="4"/>
  <c r="E1071" i="4"/>
  <c r="D1071" i="4"/>
  <c r="C1071" i="4"/>
  <c r="B1071" i="4"/>
  <c r="A1071" i="4"/>
  <c r="E1070" i="4"/>
  <c r="D1070" i="4"/>
  <c r="C1070" i="4"/>
  <c r="B1070" i="4"/>
  <c r="A1070" i="4"/>
  <c r="E1069" i="4"/>
  <c r="D1069" i="4"/>
  <c r="C1069" i="4"/>
  <c r="B1069" i="4"/>
  <c r="A1069" i="4"/>
  <c r="E1068" i="4"/>
  <c r="D1068" i="4"/>
  <c r="C1068" i="4"/>
  <c r="B1068" i="4"/>
  <c r="A1068" i="4"/>
  <c r="F1067" i="4"/>
  <c r="E1067" i="4"/>
  <c r="D1067" i="4"/>
  <c r="B1067" i="4"/>
  <c r="A1067" i="4"/>
  <c r="F1066" i="4"/>
  <c r="E1066" i="4"/>
  <c r="D1066" i="4"/>
  <c r="B1066" i="4"/>
  <c r="A1066" i="4"/>
  <c r="F1065" i="4"/>
  <c r="E1065" i="4"/>
  <c r="D1065" i="4"/>
  <c r="B1065" i="4"/>
  <c r="A1065" i="4"/>
  <c r="F1064" i="4"/>
  <c r="E1064" i="4"/>
  <c r="D1064" i="4"/>
  <c r="B1064" i="4"/>
  <c r="A1064" i="4"/>
  <c r="E1063" i="4"/>
  <c r="D1063" i="4"/>
  <c r="C1063" i="4"/>
  <c r="B1063" i="4"/>
  <c r="A1063" i="4"/>
  <c r="E1062" i="4"/>
  <c r="D1062" i="4"/>
  <c r="C1062" i="4"/>
  <c r="B1062" i="4"/>
  <c r="A1062" i="4"/>
  <c r="E1061" i="4"/>
  <c r="D1061" i="4"/>
  <c r="C1061" i="4"/>
  <c r="B1061" i="4"/>
  <c r="A1061" i="4"/>
  <c r="F1060" i="4"/>
  <c r="E1060" i="4"/>
  <c r="D1060" i="4"/>
  <c r="C1060" i="4"/>
  <c r="B1060" i="4"/>
  <c r="A1060" i="4"/>
  <c r="F1059" i="4"/>
  <c r="E1059" i="4"/>
  <c r="D1059" i="4"/>
  <c r="C1059" i="4"/>
  <c r="B1059" i="4"/>
  <c r="A1059" i="4"/>
  <c r="E1058" i="4"/>
  <c r="D1058" i="4"/>
  <c r="C1058" i="4"/>
  <c r="B1058" i="4"/>
  <c r="A1058" i="4"/>
  <c r="E1057" i="4"/>
  <c r="D1057" i="4"/>
  <c r="C1057" i="4"/>
  <c r="B1057" i="4"/>
  <c r="A1057" i="4"/>
  <c r="E1056" i="4"/>
  <c r="D1056" i="4"/>
  <c r="C1056" i="4"/>
  <c r="B1056" i="4"/>
  <c r="A1056" i="4"/>
  <c r="E1055" i="4"/>
  <c r="D1055" i="4"/>
  <c r="C1055" i="4"/>
  <c r="B1055" i="4"/>
  <c r="A1055" i="4"/>
  <c r="E1054" i="4"/>
  <c r="D1054" i="4"/>
  <c r="C1054" i="4"/>
  <c r="B1054" i="4"/>
  <c r="A1054" i="4"/>
  <c r="E1053" i="4"/>
  <c r="D1053" i="4"/>
  <c r="C1053" i="4"/>
  <c r="B1053" i="4"/>
  <c r="A1053" i="4"/>
  <c r="F1052" i="4"/>
  <c r="E1052" i="4"/>
  <c r="D1052" i="4"/>
  <c r="C1052" i="4"/>
  <c r="B1052" i="4"/>
  <c r="A1052" i="4"/>
  <c r="E1051" i="4"/>
  <c r="D1051" i="4"/>
  <c r="C1051" i="4"/>
  <c r="B1051" i="4"/>
  <c r="A1051" i="4"/>
  <c r="E1050" i="4"/>
  <c r="D1050" i="4"/>
  <c r="C1050" i="4"/>
  <c r="B1050" i="4"/>
  <c r="A1050" i="4"/>
  <c r="B1049" i="4"/>
  <c r="A1049" i="4"/>
  <c r="B1048" i="4"/>
  <c r="A1048" i="4"/>
  <c r="F1047" i="4"/>
  <c r="E1047" i="4"/>
  <c r="D1047" i="4"/>
  <c r="C1047" i="4"/>
  <c r="B1047" i="4"/>
  <c r="A1047" i="4"/>
  <c r="F1046" i="4"/>
  <c r="E1046" i="4"/>
  <c r="D1046" i="4"/>
  <c r="C1046" i="4"/>
  <c r="B1046" i="4"/>
  <c r="A1046" i="4"/>
  <c r="E1045" i="4"/>
  <c r="D1045" i="4"/>
  <c r="B1045" i="4"/>
  <c r="A1045" i="4"/>
  <c r="E1044" i="4"/>
  <c r="D1044" i="4"/>
  <c r="C1044" i="4"/>
  <c r="B1044" i="4"/>
  <c r="A1044" i="4"/>
  <c r="B1043" i="4"/>
  <c r="A1043" i="4"/>
  <c r="B1042" i="4"/>
  <c r="A1042" i="4"/>
  <c r="E1041" i="4"/>
  <c r="D1041" i="4"/>
  <c r="C1041" i="4"/>
  <c r="B1041" i="4"/>
  <c r="A1041" i="4"/>
  <c r="F1040" i="4"/>
  <c r="E1040" i="4"/>
  <c r="D1040" i="4"/>
  <c r="C1040" i="4"/>
  <c r="B1040" i="4"/>
  <c r="A1040" i="4"/>
  <c r="E1039" i="4"/>
  <c r="D1039" i="4"/>
  <c r="C1039" i="4"/>
  <c r="B1039" i="4"/>
  <c r="A1039" i="4"/>
  <c r="E1038" i="4"/>
  <c r="D1038" i="4"/>
  <c r="C1038" i="4"/>
  <c r="B1038" i="4"/>
  <c r="A1038" i="4"/>
  <c r="E1037" i="4"/>
  <c r="D1037" i="4"/>
  <c r="C1037" i="4"/>
  <c r="B1037" i="4"/>
  <c r="A1037" i="4"/>
  <c r="B1036" i="4"/>
  <c r="A1036" i="4"/>
  <c r="E1035" i="4"/>
  <c r="D1035" i="4"/>
  <c r="C1035" i="4"/>
  <c r="B1035" i="4"/>
  <c r="A1035" i="4"/>
  <c r="E1034" i="4"/>
  <c r="D1034" i="4"/>
  <c r="C1034" i="4"/>
  <c r="B1034" i="4"/>
  <c r="A1034" i="4"/>
  <c r="E1033" i="4"/>
  <c r="D1033" i="4"/>
  <c r="C1033" i="4"/>
  <c r="B1033" i="4"/>
  <c r="A1033" i="4"/>
  <c r="E1032" i="4"/>
  <c r="D1032" i="4"/>
  <c r="C1032" i="4"/>
  <c r="B1032" i="4"/>
  <c r="A1032" i="4"/>
  <c r="E1031" i="4"/>
  <c r="D1031" i="4"/>
  <c r="C1031" i="4"/>
  <c r="B1031" i="4"/>
  <c r="A1031" i="4"/>
  <c r="E1030" i="4"/>
  <c r="D1030" i="4"/>
  <c r="B1030" i="4"/>
  <c r="A1030" i="4"/>
  <c r="E1029" i="4"/>
  <c r="D1029" i="4"/>
  <c r="B1029" i="4"/>
  <c r="A1029" i="4"/>
  <c r="E1028" i="4"/>
  <c r="D1028" i="4"/>
  <c r="C1028" i="4"/>
  <c r="B1028" i="4"/>
  <c r="A1028" i="4"/>
  <c r="F1027" i="4"/>
  <c r="E1027" i="4"/>
  <c r="D1027" i="4"/>
  <c r="C1027" i="4"/>
  <c r="B1027" i="4"/>
  <c r="A1027" i="4"/>
  <c r="E1026" i="4"/>
  <c r="D1026" i="4"/>
  <c r="C1026" i="4"/>
  <c r="B1026" i="4"/>
  <c r="A1026" i="4"/>
  <c r="E1025" i="4"/>
  <c r="D1025" i="4"/>
  <c r="C1025" i="4"/>
  <c r="B1025" i="4"/>
  <c r="A1025" i="4"/>
  <c r="E1024" i="4"/>
  <c r="D1024" i="4"/>
  <c r="B1024" i="4"/>
  <c r="A1024" i="4"/>
  <c r="F1023" i="4"/>
  <c r="E1023" i="4"/>
  <c r="C1023" i="4"/>
  <c r="B1023" i="4"/>
  <c r="A1023" i="4"/>
  <c r="E1022" i="4"/>
  <c r="D1022" i="4"/>
  <c r="C1022" i="4"/>
  <c r="B1022" i="4"/>
  <c r="A1022" i="4"/>
  <c r="E1021" i="4"/>
  <c r="D1021" i="4"/>
  <c r="C1021" i="4"/>
  <c r="B1021" i="4"/>
  <c r="A1021" i="4"/>
  <c r="E1020" i="4"/>
  <c r="D1020" i="4"/>
  <c r="C1020" i="4"/>
  <c r="B1020" i="4"/>
  <c r="A1020" i="4"/>
  <c r="E1019" i="4"/>
  <c r="D1019" i="4"/>
  <c r="C1019" i="4"/>
  <c r="B1019" i="4"/>
  <c r="A1019" i="4"/>
  <c r="E1018" i="4"/>
  <c r="D1018" i="4"/>
  <c r="C1018" i="4"/>
  <c r="B1018" i="4"/>
  <c r="A1018" i="4"/>
  <c r="E1017" i="4"/>
  <c r="D1017" i="4"/>
  <c r="C1017" i="4"/>
  <c r="B1017" i="4"/>
  <c r="A1017" i="4"/>
  <c r="E1016" i="4"/>
  <c r="D1016" i="4"/>
  <c r="C1016" i="4"/>
  <c r="B1016" i="4"/>
  <c r="A1016" i="4"/>
  <c r="E1015" i="4"/>
  <c r="D1015" i="4"/>
  <c r="B1015" i="4"/>
  <c r="A1015" i="4"/>
  <c r="E1014" i="4"/>
  <c r="D1014" i="4"/>
  <c r="B1014" i="4"/>
  <c r="A1014" i="4"/>
  <c r="E1013" i="4"/>
  <c r="D1013" i="4"/>
  <c r="C1013" i="4"/>
  <c r="B1013" i="4"/>
  <c r="A1013" i="4"/>
  <c r="B1012" i="4"/>
  <c r="A1012" i="4"/>
  <c r="E1011" i="4"/>
  <c r="D1011" i="4"/>
  <c r="C1011" i="4"/>
  <c r="B1011" i="4"/>
  <c r="A1011" i="4"/>
  <c r="B1010" i="4"/>
  <c r="A1010" i="4"/>
  <c r="E1009" i="4"/>
  <c r="D1009" i="4"/>
  <c r="B1009" i="4"/>
  <c r="A1009" i="4"/>
  <c r="E1008" i="4"/>
  <c r="D1008" i="4"/>
  <c r="B1008" i="4"/>
  <c r="A1008" i="4"/>
  <c r="E1007" i="4"/>
  <c r="D1007" i="4"/>
  <c r="C1007" i="4"/>
  <c r="B1007" i="4"/>
  <c r="A1007" i="4"/>
  <c r="E1006" i="4"/>
  <c r="D1006" i="4"/>
  <c r="B1006" i="4"/>
  <c r="A1006" i="4"/>
  <c r="E1005" i="4"/>
  <c r="D1005" i="4"/>
  <c r="C1005" i="4"/>
  <c r="B1005" i="4"/>
  <c r="A1005" i="4"/>
  <c r="F1004" i="4"/>
  <c r="E1004" i="4"/>
  <c r="D1004" i="4"/>
  <c r="C1004" i="4"/>
  <c r="B1004" i="4"/>
  <c r="A1004" i="4"/>
  <c r="E1003" i="4"/>
  <c r="D1003" i="4"/>
  <c r="B1003" i="4"/>
  <c r="A1003" i="4"/>
  <c r="E1002" i="4"/>
  <c r="D1002" i="4"/>
  <c r="B1002" i="4"/>
  <c r="A1002" i="4"/>
  <c r="E1001" i="4"/>
  <c r="D1001" i="4"/>
  <c r="B1001" i="4"/>
  <c r="A1001" i="4"/>
  <c r="E1000" i="4"/>
  <c r="D1000" i="4"/>
  <c r="B1000" i="4"/>
  <c r="A1000" i="4"/>
  <c r="E999" i="4"/>
  <c r="D999" i="4"/>
  <c r="B999" i="4"/>
  <c r="A999" i="4"/>
  <c r="E998" i="4"/>
  <c r="D998" i="4"/>
  <c r="C998" i="4"/>
  <c r="B998" i="4"/>
  <c r="A998" i="4"/>
  <c r="E997" i="4"/>
  <c r="D997" i="4"/>
  <c r="C997" i="4"/>
  <c r="B997" i="4"/>
  <c r="A997" i="4"/>
  <c r="B996" i="4"/>
  <c r="A996" i="4"/>
  <c r="B995" i="4"/>
  <c r="A995" i="4"/>
  <c r="B994" i="4"/>
  <c r="A994" i="4"/>
  <c r="B993" i="4"/>
  <c r="A993" i="4"/>
  <c r="E992" i="4"/>
  <c r="D992" i="4"/>
  <c r="C992" i="4"/>
  <c r="B992" i="4"/>
  <c r="A992" i="4"/>
  <c r="E991" i="4"/>
  <c r="D991" i="4"/>
  <c r="C991" i="4"/>
  <c r="B991" i="4"/>
  <c r="A991" i="4"/>
  <c r="E990" i="4"/>
  <c r="D990" i="4"/>
  <c r="C990" i="4"/>
  <c r="B990" i="4"/>
  <c r="A990" i="4"/>
  <c r="B989" i="4"/>
  <c r="A989" i="4"/>
  <c r="E988" i="4"/>
  <c r="D988" i="4"/>
  <c r="B988" i="4"/>
  <c r="A988" i="4"/>
  <c r="E987" i="4"/>
  <c r="D987" i="4"/>
  <c r="C987" i="4"/>
  <c r="B987" i="4"/>
  <c r="A987" i="4"/>
  <c r="C986" i="4"/>
  <c r="B986" i="4"/>
  <c r="A986" i="4"/>
  <c r="E985" i="4"/>
  <c r="D985" i="4"/>
  <c r="B985" i="4"/>
  <c r="A985" i="4"/>
  <c r="E984" i="4"/>
  <c r="D984" i="4"/>
  <c r="B984" i="4"/>
  <c r="A984" i="4"/>
  <c r="E983" i="4"/>
  <c r="C983" i="4"/>
  <c r="B983" i="4"/>
  <c r="A983" i="4"/>
  <c r="E982" i="4"/>
  <c r="D982" i="4"/>
  <c r="B982" i="4"/>
  <c r="A982" i="4"/>
  <c r="E981" i="4"/>
  <c r="D981" i="4"/>
  <c r="B981" i="4"/>
  <c r="A981" i="4"/>
  <c r="E980" i="4"/>
  <c r="D980" i="4"/>
  <c r="C980" i="4"/>
  <c r="B980" i="4"/>
  <c r="A980" i="4"/>
  <c r="E979" i="4"/>
  <c r="D979" i="4"/>
  <c r="C979" i="4"/>
  <c r="B979" i="4"/>
  <c r="A979" i="4"/>
  <c r="E978" i="4"/>
  <c r="D978" i="4"/>
  <c r="B978" i="4"/>
  <c r="A978" i="4"/>
  <c r="E977" i="4"/>
  <c r="D977" i="4"/>
  <c r="C977" i="4"/>
  <c r="B977" i="4"/>
  <c r="A977" i="4"/>
  <c r="E976" i="4"/>
  <c r="B976" i="4"/>
  <c r="A976" i="4"/>
  <c r="E975" i="4"/>
  <c r="B975" i="4"/>
  <c r="A975" i="4"/>
  <c r="E974" i="4"/>
  <c r="D974" i="4"/>
  <c r="B974" i="4"/>
  <c r="A974" i="4"/>
  <c r="E973" i="4"/>
  <c r="D973" i="4"/>
  <c r="C973" i="4"/>
  <c r="B973" i="4"/>
  <c r="A973" i="4"/>
  <c r="E972" i="4"/>
  <c r="D972" i="4"/>
  <c r="C972" i="4"/>
  <c r="B972" i="4"/>
  <c r="A972" i="4"/>
  <c r="E971" i="4"/>
  <c r="D971" i="4"/>
  <c r="C971" i="4"/>
  <c r="B971" i="4"/>
  <c r="A971" i="4"/>
  <c r="E970" i="4"/>
  <c r="D970" i="4"/>
  <c r="C970" i="4"/>
  <c r="B970" i="4"/>
  <c r="A970" i="4"/>
  <c r="B969" i="4"/>
  <c r="A969" i="4"/>
  <c r="E968" i="4"/>
  <c r="D968" i="4"/>
  <c r="C968" i="4"/>
  <c r="B968" i="4"/>
  <c r="A968" i="4"/>
  <c r="E967" i="4"/>
  <c r="D967" i="4"/>
  <c r="C967" i="4"/>
  <c r="B967" i="4"/>
  <c r="A967" i="4"/>
  <c r="E966" i="4"/>
  <c r="D966" i="4"/>
  <c r="C966" i="4"/>
  <c r="B966" i="4"/>
  <c r="A966" i="4"/>
  <c r="B965" i="4"/>
  <c r="A965" i="4"/>
  <c r="B964" i="4"/>
  <c r="A964" i="4"/>
  <c r="E963" i="4"/>
  <c r="D963" i="4"/>
  <c r="C963" i="4"/>
  <c r="B963" i="4"/>
  <c r="A963" i="4"/>
  <c r="F962" i="4"/>
  <c r="E962" i="4"/>
  <c r="D962" i="4"/>
  <c r="C962" i="4"/>
  <c r="B962" i="4"/>
  <c r="A962" i="4"/>
  <c r="F961" i="4"/>
  <c r="E961" i="4"/>
  <c r="D961" i="4"/>
  <c r="C961" i="4"/>
  <c r="B961" i="4"/>
  <c r="A961" i="4"/>
  <c r="E960" i="4"/>
  <c r="D960" i="4"/>
  <c r="C960" i="4"/>
  <c r="B960" i="4"/>
  <c r="A960" i="4"/>
  <c r="E959" i="4"/>
  <c r="D959" i="4"/>
  <c r="C959" i="4"/>
  <c r="B959" i="4"/>
  <c r="A959" i="4"/>
  <c r="E958" i="4"/>
  <c r="D958" i="4"/>
  <c r="C958" i="4"/>
  <c r="B958" i="4"/>
  <c r="A958" i="4"/>
  <c r="B957" i="4"/>
  <c r="A957" i="4"/>
  <c r="E956" i="4"/>
  <c r="D956" i="4"/>
  <c r="C956" i="4"/>
  <c r="B956" i="4"/>
  <c r="A956" i="4"/>
  <c r="E955" i="4"/>
  <c r="D955" i="4"/>
  <c r="C955" i="4"/>
  <c r="B955" i="4"/>
  <c r="A955" i="4"/>
  <c r="B954" i="4"/>
  <c r="A954" i="4"/>
  <c r="E953" i="4"/>
  <c r="D953" i="4"/>
  <c r="C953" i="4"/>
  <c r="B953" i="4"/>
  <c r="A953" i="4"/>
  <c r="E952" i="4"/>
  <c r="D952" i="4"/>
  <c r="C952" i="4"/>
  <c r="B952" i="4"/>
  <c r="A952" i="4"/>
  <c r="E951" i="4"/>
  <c r="D951" i="4"/>
  <c r="C951" i="4"/>
  <c r="B951" i="4"/>
  <c r="A951" i="4"/>
  <c r="E950" i="4"/>
  <c r="D950" i="4"/>
  <c r="C950" i="4"/>
  <c r="B950" i="4"/>
  <c r="A950" i="4"/>
  <c r="B949" i="4"/>
  <c r="A949" i="4"/>
  <c r="B948" i="4"/>
  <c r="A948" i="4"/>
  <c r="B947" i="4"/>
  <c r="A947" i="4"/>
  <c r="E946" i="4"/>
  <c r="D946" i="4"/>
  <c r="C946" i="4"/>
  <c r="B946" i="4"/>
  <c r="A946" i="4"/>
  <c r="F945" i="4"/>
  <c r="E945" i="4"/>
  <c r="D945" i="4"/>
  <c r="C945" i="4"/>
  <c r="B945" i="4"/>
  <c r="A945" i="4"/>
  <c r="B944" i="4"/>
  <c r="A944" i="4"/>
  <c r="E943" i="4"/>
  <c r="D943" i="4"/>
  <c r="C943" i="4"/>
  <c r="B943" i="4"/>
  <c r="A943" i="4"/>
  <c r="E942" i="4"/>
  <c r="D942" i="4"/>
  <c r="C942" i="4"/>
  <c r="B942" i="4"/>
  <c r="A942" i="4"/>
  <c r="E941" i="4"/>
  <c r="D941" i="4"/>
  <c r="C941" i="4"/>
  <c r="B941" i="4"/>
  <c r="A941" i="4"/>
  <c r="E940" i="4"/>
  <c r="D940" i="4"/>
  <c r="C940" i="4"/>
  <c r="B940" i="4"/>
  <c r="A940" i="4"/>
  <c r="E939" i="4"/>
  <c r="D939" i="4"/>
  <c r="C939" i="4"/>
  <c r="B939" i="4"/>
  <c r="A939" i="4"/>
  <c r="E938" i="4"/>
  <c r="D938" i="4"/>
  <c r="C938" i="4"/>
  <c r="B938" i="4"/>
  <c r="A938" i="4"/>
  <c r="E937" i="4"/>
  <c r="D937" i="4"/>
  <c r="C937" i="4"/>
  <c r="B937" i="4"/>
  <c r="A937" i="4"/>
  <c r="E936" i="4"/>
  <c r="D936" i="4"/>
  <c r="C936" i="4"/>
  <c r="B936" i="4"/>
  <c r="A936" i="4"/>
  <c r="E935" i="4"/>
  <c r="D935" i="4"/>
  <c r="C935" i="4"/>
  <c r="B935" i="4"/>
  <c r="A935" i="4"/>
  <c r="E934" i="4"/>
  <c r="D934" i="4"/>
  <c r="C934" i="4"/>
  <c r="B934" i="4"/>
  <c r="A934" i="4"/>
  <c r="E933" i="4"/>
  <c r="D933" i="4"/>
  <c r="C933" i="4"/>
  <c r="B933" i="4"/>
  <c r="A933" i="4"/>
  <c r="E932" i="4"/>
  <c r="D932" i="4"/>
  <c r="C932" i="4"/>
  <c r="B932" i="4"/>
  <c r="A932" i="4"/>
  <c r="E931" i="4"/>
  <c r="D931" i="4"/>
  <c r="C931" i="4"/>
  <c r="B931" i="4"/>
  <c r="A931" i="4"/>
  <c r="E930" i="4"/>
  <c r="D930" i="4"/>
  <c r="C930" i="4"/>
  <c r="B930" i="4"/>
  <c r="A930" i="4"/>
  <c r="E929" i="4"/>
  <c r="D929" i="4"/>
  <c r="C929" i="4"/>
  <c r="B929" i="4"/>
  <c r="A929" i="4"/>
  <c r="E928" i="4"/>
  <c r="D928" i="4"/>
  <c r="C928" i="4"/>
  <c r="B928" i="4"/>
  <c r="A928" i="4"/>
  <c r="E927" i="4"/>
  <c r="D927" i="4"/>
  <c r="C927" i="4"/>
  <c r="B927" i="4"/>
  <c r="A927" i="4"/>
  <c r="E926" i="4"/>
  <c r="D926" i="4"/>
  <c r="C926" i="4"/>
  <c r="B926" i="4"/>
  <c r="A926" i="4"/>
  <c r="E925" i="4"/>
  <c r="D925" i="4"/>
  <c r="C925" i="4"/>
  <c r="B925" i="4"/>
  <c r="A925" i="4"/>
  <c r="E924" i="4"/>
  <c r="D924" i="4"/>
  <c r="C924" i="4"/>
  <c r="B924" i="4"/>
  <c r="A924" i="4"/>
  <c r="E923" i="4"/>
  <c r="D923" i="4"/>
  <c r="C923" i="4"/>
  <c r="B923" i="4"/>
  <c r="A923" i="4"/>
  <c r="B922" i="4"/>
  <c r="A922" i="4"/>
  <c r="B921" i="4"/>
  <c r="A921" i="4"/>
  <c r="E920" i="4"/>
  <c r="D920" i="4"/>
  <c r="C920" i="4"/>
  <c r="B920" i="4"/>
  <c r="A920" i="4"/>
  <c r="E919" i="4"/>
  <c r="D919" i="4"/>
  <c r="B919" i="4"/>
  <c r="A919" i="4"/>
  <c r="E918" i="4"/>
  <c r="D918" i="4"/>
  <c r="B918" i="4"/>
  <c r="A918" i="4"/>
  <c r="E917" i="4"/>
  <c r="D917" i="4"/>
  <c r="B917" i="4"/>
  <c r="A917" i="4"/>
  <c r="E916" i="4"/>
  <c r="D916" i="4"/>
  <c r="B916" i="4"/>
  <c r="A916" i="4"/>
  <c r="E915" i="4"/>
  <c r="D915" i="4"/>
  <c r="B915" i="4"/>
  <c r="A915" i="4"/>
  <c r="E914" i="4"/>
  <c r="D914" i="4"/>
  <c r="C914" i="4"/>
  <c r="B914" i="4"/>
  <c r="A914" i="4"/>
  <c r="B913" i="4"/>
  <c r="A913" i="4"/>
  <c r="B912" i="4"/>
  <c r="A912" i="4"/>
  <c r="F911" i="4"/>
  <c r="E911" i="4"/>
  <c r="D911" i="4"/>
  <c r="C911" i="4"/>
  <c r="B911" i="4"/>
  <c r="A911" i="4"/>
  <c r="E910" i="4"/>
  <c r="D910" i="4"/>
  <c r="C910" i="4"/>
  <c r="B910" i="4"/>
  <c r="A910" i="4"/>
  <c r="E909" i="4"/>
  <c r="D909" i="4"/>
  <c r="C909" i="4"/>
  <c r="B909" i="4"/>
  <c r="A909" i="4"/>
  <c r="E908" i="4"/>
  <c r="D908" i="4"/>
  <c r="C908" i="4"/>
  <c r="B908" i="4"/>
  <c r="A908" i="4"/>
  <c r="E907" i="4"/>
  <c r="D907" i="4"/>
  <c r="C907" i="4"/>
  <c r="B907" i="4"/>
  <c r="A907" i="4"/>
  <c r="E906" i="4"/>
  <c r="D906" i="4"/>
  <c r="C906" i="4"/>
  <c r="B906" i="4"/>
  <c r="A906" i="4"/>
  <c r="E905" i="4"/>
  <c r="D905" i="4"/>
  <c r="C905" i="4"/>
  <c r="B905" i="4"/>
  <c r="A905" i="4"/>
  <c r="E904" i="4"/>
  <c r="D904" i="4"/>
  <c r="C904" i="4"/>
  <c r="B904" i="4"/>
  <c r="A904" i="4"/>
  <c r="E903" i="4"/>
  <c r="D903" i="4"/>
  <c r="C903" i="4"/>
  <c r="B903" i="4"/>
  <c r="A903" i="4"/>
  <c r="E902" i="4"/>
  <c r="D902" i="4"/>
  <c r="C902" i="4"/>
  <c r="B902" i="4"/>
  <c r="A902" i="4"/>
  <c r="E901" i="4"/>
  <c r="D901" i="4"/>
  <c r="C901" i="4"/>
  <c r="B901" i="4"/>
  <c r="A901" i="4"/>
  <c r="E900" i="4"/>
  <c r="D900" i="4"/>
  <c r="C900" i="4"/>
  <c r="B900" i="4"/>
  <c r="A900" i="4"/>
  <c r="E899" i="4"/>
  <c r="D899" i="4"/>
  <c r="C899" i="4"/>
  <c r="B899" i="4"/>
  <c r="A899" i="4"/>
  <c r="E898" i="4"/>
  <c r="D898" i="4"/>
  <c r="C898" i="4"/>
  <c r="B898" i="4"/>
  <c r="A898" i="4"/>
  <c r="E897" i="4"/>
  <c r="D897" i="4"/>
  <c r="C897" i="4"/>
  <c r="B897" i="4"/>
  <c r="A897" i="4"/>
  <c r="E896" i="4"/>
  <c r="D896" i="4"/>
  <c r="C896" i="4"/>
  <c r="B896" i="4"/>
  <c r="A896" i="4"/>
  <c r="E895" i="4"/>
  <c r="D895" i="4"/>
  <c r="C895" i="4"/>
  <c r="B895" i="4"/>
  <c r="A895" i="4"/>
  <c r="E894" i="4"/>
  <c r="D894" i="4"/>
  <c r="C894" i="4"/>
  <c r="B894" i="4"/>
  <c r="A894" i="4"/>
  <c r="E893" i="4"/>
  <c r="D893" i="4"/>
  <c r="B893" i="4"/>
  <c r="A893" i="4"/>
  <c r="E892" i="4"/>
  <c r="D892" i="4"/>
  <c r="C892" i="4"/>
  <c r="B892" i="4"/>
  <c r="A892" i="4"/>
  <c r="E891" i="4"/>
  <c r="D891" i="4"/>
  <c r="C891" i="4"/>
  <c r="B891" i="4"/>
  <c r="A891" i="4"/>
  <c r="E890" i="4"/>
  <c r="D890" i="4"/>
  <c r="C890" i="4"/>
  <c r="B890" i="4"/>
  <c r="A890" i="4"/>
  <c r="E889" i="4"/>
  <c r="D889" i="4"/>
  <c r="C889" i="4"/>
  <c r="B889" i="4"/>
  <c r="A889" i="4"/>
  <c r="E888" i="4"/>
  <c r="D888" i="4"/>
  <c r="C888" i="4"/>
  <c r="B888" i="4"/>
  <c r="A888" i="4"/>
  <c r="E887" i="4"/>
  <c r="D887" i="4"/>
  <c r="C887" i="4"/>
  <c r="B887" i="4"/>
  <c r="A887" i="4"/>
  <c r="E886" i="4"/>
  <c r="D886" i="4"/>
  <c r="C886" i="4"/>
  <c r="B886" i="4"/>
  <c r="A886" i="4"/>
  <c r="E885" i="4"/>
  <c r="D885" i="4"/>
  <c r="C885" i="4"/>
  <c r="B885" i="4"/>
  <c r="A885" i="4"/>
  <c r="E884" i="4"/>
  <c r="D884" i="4"/>
  <c r="C884" i="4"/>
  <c r="B884" i="4"/>
  <c r="A884" i="4"/>
  <c r="E883" i="4"/>
  <c r="D883" i="4"/>
  <c r="C883" i="4"/>
  <c r="B883" i="4"/>
  <c r="A883" i="4"/>
  <c r="E882" i="4"/>
  <c r="D882" i="4"/>
  <c r="C882" i="4"/>
  <c r="B882" i="4"/>
  <c r="A882" i="4"/>
  <c r="E881" i="4"/>
  <c r="D881" i="4"/>
  <c r="C881" i="4"/>
  <c r="B881" i="4"/>
  <c r="A881" i="4"/>
  <c r="E880" i="4"/>
  <c r="D880" i="4"/>
  <c r="C880" i="4"/>
  <c r="B880" i="4"/>
  <c r="A880" i="4"/>
  <c r="E879" i="4"/>
  <c r="D879" i="4"/>
  <c r="C879" i="4"/>
  <c r="B879" i="4"/>
  <c r="A879" i="4"/>
  <c r="E878" i="4"/>
  <c r="D878" i="4"/>
  <c r="C878" i="4"/>
  <c r="B878" i="4"/>
  <c r="A878" i="4"/>
  <c r="E877" i="4"/>
  <c r="D877" i="4"/>
  <c r="C877" i="4"/>
  <c r="B877" i="4"/>
  <c r="A877" i="4"/>
  <c r="B876" i="4"/>
  <c r="A876" i="4"/>
  <c r="E875" i="4"/>
  <c r="D875" i="4"/>
  <c r="C875" i="4"/>
  <c r="B875" i="4"/>
  <c r="A875" i="4"/>
  <c r="B874" i="4"/>
  <c r="A874" i="4"/>
  <c r="B873" i="4"/>
  <c r="A873" i="4"/>
  <c r="B872" i="4"/>
  <c r="A872" i="4"/>
  <c r="F871" i="4"/>
  <c r="E871" i="4"/>
  <c r="D871" i="4"/>
  <c r="C871" i="4"/>
  <c r="B871" i="4"/>
  <c r="A871" i="4"/>
  <c r="E870" i="4"/>
  <c r="D870" i="4"/>
  <c r="C870" i="4"/>
  <c r="B870" i="4"/>
  <c r="A870" i="4"/>
  <c r="E869" i="4"/>
  <c r="D869" i="4"/>
  <c r="B869" i="4"/>
  <c r="A869" i="4"/>
  <c r="E868" i="4"/>
  <c r="D868" i="4"/>
  <c r="B868" i="4"/>
  <c r="A868" i="4"/>
  <c r="E867" i="4"/>
  <c r="D867" i="4"/>
  <c r="B867" i="4"/>
  <c r="A867" i="4"/>
  <c r="B866" i="4"/>
  <c r="A866" i="4"/>
  <c r="B865" i="4"/>
  <c r="A865" i="4"/>
  <c r="E864" i="4"/>
  <c r="D864" i="4"/>
  <c r="C864" i="4"/>
  <c r="B864" i="4"/>
  <c r="A864" i="4"/>
  <c r="F863" i="4"/>
  <c r="E863" i="4"/>
  <c r="D863" i="4"/>
  <c r="C863" i="4"/>
  <c r="B863" i="4"/>
  <c r="A863" i="4"/>
  <c r="F862" i="4"/>
  <c r="E862" i="4"/>
  <c r="D862" i="4"/>
  <c r="C862" i="4"/>
  <c r="B862" i="4"/>
  <c r="A862" i="4"/>
  <c r="B861" i="4"/>
  <c r="A861" i="4"/>
  <c r="F860" i="4"/>
  <c r="E860" i="4"/>
  <c r="D860" i="4"/>
  <c r="C860" i="4"/>
  <c r="B860" i="4"/>
  <c r="A860" i="4"/>
  <c r="E859" i="4"/>
  <c r="D859" i="4"/>
  <c r="C859" i="4"/>
  <c r="B859" i="4"/>
  <c r="A859" i="4"/>
  <c r="E858" i="4"/>
  <c r="D858" i="4"/>
  <c r="C858" i="4"/>
  <c r="B858" i="4"/>
  <c r="A858" i="4"/>
  <c r="B857" i="4"/>
  <c r="A857" i="4"/>
  <c r="E856" i="4"/>
  <c r="D856" i="4"/>
  <c r="C856" i="4"/>
  <c r="B856" i="4"/>
  <c r="A856" i="4"/>
  <c r="B855" i="4"/>
  <c r="A855" i="4"/>
  <c r="E854" i="4"/>
  <c r="D854" i="4"/>
  <c r="C854" i="4"/>
  <c r="B854" i="4"/>
  <c r="A854" i="4"/>
  <c r="E853" i="4"/>
  <c r="D853" i="4"/>
  <c r="C853" i="4"/>
  <c r="B853" i="4"/>
  <c r="A853" i="4"/>
  <c r="B852" i="4"/>
  <c r="A852" i="4"/>
  <c r="B851" i="4"/>
  <c r="A851" i="4"/>
  <c r="E850" i="4"/>
  <c r="D850" i="4"/>
  <c r="C850" i="4"/>
  <c r="B850" i="4"/>
  <c r="A850" i="4"/>
  <c r="D849" i="4"/>
  <c r="C849" i="4"/>
  <c r="B849" i="4"/>
  <c r="A849" i="4"/>
  <c r="E848" i="4"/>
  <c r="D848" i="4"/>
  <c r="B848" i="4"/>
  <c r="A848" i="4"/>
  <c r="E847" i="4"/>
  <c r="D847" i="4"/>
  <c r="B847" i="4"/>
  <c r="A847" i="4"/>
  <c r="E846" i="4"/>
  <c r="D846" i="4"/>
  <c r="C846" i="4"/>
  <c r="B846" i="4"/>
  <c r="A846" i="4"/>
  <c r="E845" i="4"/>
  <c r="D845" i="4"/>
  <c r="C845" i="4"/>
  <c r="B845" i="4"/>
  <c r="A845" i="4"/>
  <c r="E844" i="4"/>
  <c r="D844" i="4"/>
  <c r="C844" i="4"/>
  <c r="B844" i="4"/>
  <c r="A844" i="4"/>
  <c r="E843" i="4"/>
  <c r="D843" i="4"/>
  <c r="B843" i="4"/>
  <c r="A843" i="4"/>
  <c r="E842" i="4"/>
  <c r="D842" i="4"/>
  <c r="B842" i="4"/>
  <c r="A842" i="4"/>
  <c r="E841" i="4"/>
  <c r="D841" i="4"/>
  <c r="C841" i="4"/>
  <c r="B841" i="4"/>
  <c r="A841" i="4"/>
  <c r="E840" i="4"/>
  <c r="D840" i="4"/>
  <c r="B840" i="4"/>
  <c r="A840" i="4"/>
  <c r="E839" i="4"/>
  <c r="D839" i="4"/>
  <c r="B839" i="4"/>
  <c r="A839" i="4"/>
  <c r="E838" i="4"/>
  <c r="D838" i="4"/>
  <c r="B838" i="4"/>
  <c r="A838" i="4"/>
  <c r="E837" i="4"/>
  <c r="D837" i="4"/>
  <c r="C837" i="4"/>
  <c r="B837" i="4"/>
  <c r="A837" i="4"/>
  <c r="E836" i="4"/>
  <c r="D836" i="4"/>
  <c r="B836" i="4"/>
  <c r="A836" i="4"/>
  <c r="E835" i="4"/>
  <c r="D835" i="4"/>
  <c r="B835" i="4"/>
  <c r="A835" i="4"/>
  <c r="E834" i="4"/>
  <c r="D834" i="4"/>
  <c r="B834" i="4"/>
  <c r="A834" i="4"/>
  <c r="E833" i="4"/>
  <c r="D833" i="4"/>
  <c r="C833" i="4"/>
  <c r="B833" i="4"/>
  <c r="A833" i="4"/>
  <c r="E832" i="4"/>
  <c r="D832" i="4"/>
  <c r="B832" i="4"/>
  <c r="A832" i="4"/>
  <c r="E831" i="4"/>
  <c r="D831" i="4"/>
  <c r="B831" i="4"/>
  <c r="A831" i="4"/>
  <c r="E830" i="4"/>
  <c r="D830" i="4"/>
  <c r="B830" i="4"/>
  <c r="A830" i="4"/>
  <c r="E829" i="4"/>
  <c r="D829" i="4"/>
  <c r="C829" i="4"/>
  <c r="B829" i="4"/>
  <c r="A829" i="4"/>
  <c r="E828" i="4"/>
  <c r="D828" i="4"/>
  <c r="C828" i="4"/>
  <c r="B828" i="4"/>
  <c r="A828" i="4"/>
  <c r="E827" i="4"/>
  <c r="D827" i="4"/>
  <c r="B827" i="4"/>
  <c r="A827" i="4"/>
  <c r="E826" i="4"/>
  <c r="D826" i="4"/>
  <c r="C826" i="4"/>
  <c r="B826" i="4"/>
  <c r="A826" i="4"/>
  <c r="E825" i="4"/>
  <c r="D825" i="4"/>
  <c r="C825" i="4"/>
  <c r="B825" i="4"/>
  <c r="A825" i="4"/>
  <c r="E824" i="4"/>
  <c r="D824" i="4"/>
  <c r="C824" i="4"/>
  <c r="B824" i="4"/>
  <c r="A824" i="4"/>
  <c r="E823" i="4"/>
  <c r="D823" i="4"/>
  <c r="C823" i="4"/>
  <c r="B823" i="4"/>
  <c r="A823" i="4"/>
  <c r="E822" i="4"/>
  <c r="D822" i="4"/>
  <c r="C822" i="4"/>
  <c r="B822" i="4"/>
  <c r="A822" i="4"/>
  <c r="E821" i="4"/>
  <c r="D821" i="4"/>
  <c r="B821" i="4"/>
  <c r="A821" i="4"/>
  <c r="E820" i="4"/>
  <c r="D820" i="4"/>
  <c r="C820" i="4"/>
  <c r="B820" i="4"/>
  <c r="A820" i="4"/>
  <c r="F819" i="4"/>
  <c r="E819" i="4"/>
  <c r="D819" i="4"/>
  <c r="C819" i="4"/>
  <c r="B819" i="4"/>
  <c r="A819" i="4"/>
  <c r="F818" i="4"/>
  <c r="E818" i="4"/>
  <c r="D818" i="4"/>
  <c r="C818" i="4"/>
  <c r="B818" i="4"/>
  <c r="A818" i="4"/>
  <c r="E817" i="4"/>
  <c r="D817" i="4"/>
  <c r="C817" i="4"/>
  <c r="B817" i="4"/>
  <c r="A817" i="4"/>
  <c r="E816" i="4"/>
  <c r="D816" i="4"/>
  <c r="C816" i="4"/>
  <c r="B816" i="4"/>
  <c r="A816" i="4"/>
  <c r="E815" i="4"/>
  <c r="D815" i="4"/>
  <c r="C815" i="4"/>
  <c r="B815" i="4"/>
  <c r="A815" i="4"/>
  <c r="E814" i="4"/>
  <c r="D814" i="4"/>
  <c r="C814" i="4"/>
  <c r="B814" i="4"/>
  <c r="A814" i="4"/>
  <c r="E813" i="4"/>
  <c r="D813" i="4"/>
  <c r="C813" i="4"/>
  <c r="B813" i="4"/>
  <c r="A813" i="4"/>
  <c r="E812" i="4"/>
  <c r="D812" i="4"/>
  <c r="C812" i="4"/>
  <c r="B812" i="4"/>
  <c r="A812" i="4"/>
  <c r="E811" i="4"/>
  <c r="D811" i="4"/>
  <c r="C811" i="4"/>
  <c r="B811" i="4"/>
  <c r="A811" i="4"/>
  <c r="E810" i="4"/>
  <c r="D810" i="4"/>
  <c r="C810" i="4"/>
  <c r="B810" i="4"/>
  <c r="A810" i="4"/>
  <c r="E809" i="4"/>
  <c r="D809" i="4"/>
  <c r="C809" i="4"/>
  <c r="B809" i="4"/>
  <c r="A809" i="4"/>
  <c r="E808" i="4"/>
  <c r="D808" i="4"/>
  <c r="C808" i="4"/>
  <c r="B808" i="4"/>
  <c r="A808" i="4"/>
  <c r="F807" i="4"/>
  <c r="E807" i="4"/>
  <c r="C807" i="4"/>
  <c r="B807" i="4"/>
  <c r="A807" i="4"/>
  <c r="B806" i="4"/>
  <c r="A806" i="4"/>
  <c r="F805" i="4"/>
  <c r="E805" i="4"/>
  <c r="D805" i="4"/>
  <c r="C805" i="4"/>
  <c r="B805" i="4"/>
  <c r="A805" i="4"/>
  <c r="E804" i="4"/>
  <c r="C804" i="4"/>
  <c r="B804" i="4"/>
  <c r="A804" i="4"/>
  <c r="F803" i="4"/>
  <c r="E803" i="4"/>
  <c r="D803" i="4"/>
  <c r="C803" i="4"/>
  <c r="B803" i="4"/>
  <c r="A803" i="4"/>
  <c r="E802" i="4"/>
  <c r="D802" i="4"/>
  <c r="C802" i="4"/>
  <c r="B802" i="4"/>
  <c r="A802" i="4"/>
  <c r="E801" i="4"/>
  <c r="D801" i="4"/>
  <c r="C801" i="4"/>
  <c r="B801" i="4"/>
  <c r="A801" i="4"/>
  <c r="E800" i="4"/>
  <c r="D800" i="4"/>
  <c r="C800" i="4"/>
  <c r="B800" i="4"/>
  <c r="A800" i="4"/>
  <c r="B799" i="4"/>
  <c r="A799" i="4"/>
  <c r="E798" i="4"/>
  <c r="D798" i="4"/>
  <c r="C798" i="4"/>
  <c r="B798" i="4"/>
  <c r="A798" i="4"/>
  <c r="E797" i="4"/>
  <c r="D797" i="4"/>
  <c r="C797" i="4"/>
  <c r="B797" i="4"/>
  <c r="A797" i="4"/>
  <c r="E796" i="4"/>
  <c r="D796" i="4"/>
  <c r="C796" i="4"/>
  <c r="B796" i="4"/>
  <c r="A796" i="4"/>
  <c r="E795" i="4"/>
  <c r="D795" i="4"/>
  <c r="C795" i="4"/>
  <c r="B795" i="4"/>
  <c r="A795" i="4"/>
  <c r="E794" i="4"/>
  <c r="D794" i="4"/>
  <c r="C794" i="4"/>
  <c r="B794" i="4"/>
  <c r="A794" i="4"/>
  <c r="E793" i="4"/>
  <c r="D793" i="4"/>
  <c r="C793" i="4"/>
  <c r="B793" i="4"/>
  <c r="A793" i="4"/>
  <c r="E792" i="4"/>
  <c r="D792" i="4"/>
  <c r="C792" i="4"/>
  <c r="B792" i="4"/>
  <c r="A792" i="4"/>
  <c r="E791" i="4"/>
  <c r="D791" i="4"/>
  <c r="C791" i="4"/>
  <c r="B791" i="4"/>
  <c r="A791" i="4"/>
  <c r="E790" i="4"/>
  <c r="D790" i="4"/>
  <c r="C790" i="4"/>
  <c r="B790" i="4"/>
  <c r="A790" i="4"/>
  <c r="E789" i="4"/>
  <c r="D789" i="4"/>
  <c r="C789" i="4"/>
  <c r="B789" i="4"/>
  <c r="A789" i="4"/>
  <c r="B788" i="4"/>
  <c r="A788" i="4"/>
  <c r="E787" i="4"/>
  <c r="D787" i="4"/>
  <c r="C787" i="4"/>
  <c r="B787" i="4"/>
  <c r="A787" i="4"/>
  <c r="F786" i="4"/>
  <c r="E786" i="4"/>
  <c r="D786" i="4"/>
  <c r="C786" i="4"/>
  <c r="B786" i="4"/>
  <c r="A786" i="4"/>
  <c r="F785" i="4"/>
  <c r="E785" i="4"/>
  <c r="D785" i="4"/>
  <c r="C785" i="4"/>
  <c r="B785" i="4"/>
  <c r="A785" i="4"/>
  <c r="B784" i="4"/>
  <c r="A784" i="4"/>
  <c r="B783" i="4"/>
  <c r="A783" i="4"/>
  <c r="E782" i="4"/>
  <c r="D782" i="4"/>
  <c r="C782" i="4"/>
  <c r="B782" i="4"/>
  <c r="A782" i="4"/>
  <c r="E781" i="4"/>
  <c r="D781" i="4"/>
  <c r="C781" i="4"/>
  <c r="B781" i="4"/>
  <c r="A781" i="4"/>
  <c r="E780" i="4"/>
  <c r="D780" i="4"/>
  <c r="C780" i="4"/>
  <c r="B780" i="4"/>
  <c r="A780" i="4"/>
  <c r="E779" i="4"/>
  <c r="D779" i="4"/>
  <c r="C779" i="4"/>
  <c r="B779" i="4"/>
  <c r="A779" i="4"/>
  <c r="E778" i="4"/>
  <c r="D778" i="4"/>
  <c r="C778" i="4"/>
  <c r="B778" i="4"/>
  <c r="A778" i="4"/>
  <c r="B777" i="4"/>
  <c r="A777" i="4"/>
  <c r="B776" i="4"/>
  <c r="A776" i="4"/>
  <c r="E775" i="4"/>
  <c r="D775" i="4"/>
  <c r="C775" i="4"/>
  <c r="B775" i="4"/>
  <c r="A775" i="4"/>
  <c r="E774" i="4"/>
  <c r="D774" i="4"/>
  <c r="B774" i="4"/>
  <c r="A774" i="4"/>
  <c r="E773" i="4"/>
  <c r="D773" i="4"/>
  <c r="B773" i="4"/>
  <c r="A773" i="4"/>
  <c r="B772" i="4"/>
  <c r="A772" i="4"/>
  <c r="E771" i="4"/>
  <c r="D771" i="4"/>
  <c r="C771" i="4"/>
  <c r="B771" i="4"/>
  <c r="A771" i="4"/>
  <c r="B770" i="4"/>
  <c r="A770" i="4"/>
  <c r="E769" i="4"/>
  <c r="D769" i="4"/>
  <c r="C769" i="4"/>
  <c r="B769" i="4"/>
  <c r="A769" i="4"/>
  <c r="B768" i="4"/>
  <c r="A768" i="4"/>
  <c r="E767" i="4"/>
  <c r="D767" i="4"/>
  <c r="C767" i="4"/>
  <c r="B767" i="4"/>
  <c r="A767" i="4"/>
  <c r="E766" i="4"/>
  <c r="D766" i="4"/>
  <c r="C766" i="4"/>
  <c r="B766" i="4"/>
  <c r="A766" i="4"/>
  <c r="B765" i="4"/>
  <c r="A765" i="4"/>
  <c r="E764" i="4"/>
  <c r="D764" i="4"/>
  <c r="C764" i="4"/>
  <c r="B764" i="4"/>
  <c r="A764" i="4"/>
  <c r="B763" i="4"/>
  <c r="A763" i="4"/>
  <c r="E762" i="4"/>
  <c r="D762" i="4"/>
  <c r="C762" i="4"/>
  <c r="B762" i="4"/>
  <c r="A762" i="4"/>
  <c r="E761" i="4"/>
  <c r="D761" i="4"/>
  <c r="C761" i="4"/>
  <c r="B761" i="4"/>
  <c r="A761" i="4"/>
  <c r="B760" i="4"/>
  <c r="A760" i="4"/>
  <c r="E759" i="4"/>
  <c r="D759" i="4"/>
  <c r="C759" i="4"/>
  <c r="B759" i="4"/>
  <c r="A759" i="4"/>
  <c r="B758" i="4"/>
  <c r="A758" i="4"/>
  <c r="E757" i="4"/>
  <c r="C757" i="4"/>
  <c r="B757" i="4"/>
  <c r="A757" i="4"/>
  <c r="E756" i="4"/>
  <c r="C756" i="4"/>
  <c r="B756" i="4"/>
  <c r="A756" i="4"/>
  <c r="F755" i="4"/>
  <c r="E755" i="4"/>
  <c r="D755" i="4"/>
  <c r="C755" i="4"/>
  <c r="B755" i="4"/>
  <c r="A755" i="4"/>
  <c r="B754" i="4"/>
  <c r="A754" i="4"/>
  <c r="E753" i="4"/>
  <c r="D753" i="4"/>
  <c r="C753" i="4"/>
  <c r="B753" i="4"/>
  <c r="A753" i="4"/>
  <c r="E752" i="4"/>
  <c r="D752" i="4"/>
  <c r="C752" i="4"/>
  <c r="B752" i="4"/>
  <c r="A752" i="4"/>
  <c r="E751" i="4"/>
  <c r="D751" i="4"/>
  <c r="C751" i="4"/>
  <c r="B751" i="4"/>
  <c r="A751" i="4"/>
  <c r="F750" i="4"/>
  <c r="E750" i="4"/>
  <c r="D750" i="4"/>
  <c r="C750" i="4"/>
  <c r="B750" i="4"/>
  <c r="A750" i="4"/>
  <c r="E749" i="4"/>
  <c r="D749" i="4"/>
  <c r="C749" i="4"/>
  <c r="B749" i="4"/>
  <c r="A749" i="4"/>
  <c r="E748" i="4"/>
  <c r="D748" i="4"/>
  <c r="C748" i="4"/>
  <c r="B748" i="4"/>
  <c r="A748" i="4"/>
  <c r="E747" i="4"/>
  <c r="D747" i="4"/>
  <c r="C747" i="4"/>
  <c r="B747" i="4"/>
  <c r="A747" i="4"/>
  <c r="E746" i="4"/>
  <c r="D746" i="4"/>
  <c r="C746" i="4"/>
  <c r="B746" i="4"/>
  <c r="A746" i="4"/>
  <c r="B745" i="4"/>
  <c r="A745" i="4"/>
  <c r="E744" i="4"/>
  <c r="D744" i="4"/>
  <c r="C744" i="4"/>
  <c r="B744" i="4"/>
  <c r="A744" i="4"/>
  <c r="E743" i="4"/>
  <c r="D743" i="4"/>
  <c r="C743" i="4"/>
  <c r="B743" i="4"/>
  <c r="A743" i="4"/>
  <c r="B742" i="4"/>
  <c r="A742" i="4"/>
  <c r="F741" i="4"/>
  <c r="E741" i="4"/>
  <c r="C741" i="4"/>
  <c r="B741" i="4"/>
  <c r="A741" i="4"/>
  <c r="E740" i="4"/>
  <c r="D740" i="4"/>
  <c r="C740" i="4"/>
  <c r="B740" i="4"/>
  <c r="A740" i="4"/>
  <c r="E739" i="4"/>
  <c r="D739" i="4"/>
  <c r="C739" i="4"/>
  <c r="B739" i="4"/>
  <c r="A739" i="4"/>
  <c r="E738" i="4"/>
  <c r="D738" i="4"/>
  <c r="C738" i="4"/>
  <c r="B738" i="4"/>
  <c r="A738" i="4"/>
  <c r="B737" i="4"/>
  <c r="A737" i="4"/>
  <c r="E736" i="4"/>
  <c r="D736" i="4"/>
  <c r="C736" i="4"/>
  <c r="B736" i="4"/>
  <c r="A736" i="4"/>
  <c r="E735" i="4"/>
  <c r="D735" i="4"/>
  <c r="C735" i="4"/>
  <c r="B735" i="4"/>
  <c r="A735" i="4"/>
  <c r="E734" i="4"/>
  <c r="D734" i="4"/>
  <c r="C734" i="4"/>
  <c r="B734" i="4"/>
  <c r="A734" i="4"/>
  <c r="E733" i="4"/>
  <c r="D733" i="4"/>
  <c r="C733" i="4"/>
  <c r="B733" i="4"/>
  <c r="A733" i="4"/>
  <c r="B732" i="4"/>
  <c r="A732" i="4"/>
  <c r="B731" i="4"/>
  <c r="A731" i="4"/>
  <c r="F730" i="4"/>
  <c r="E730" i="4"/>
  <c r="D730" i="4"/>
  <c r="C730" i="4"/>
  <c r="B730" i="4"/>
  <c r="A730" i="4"/>
  <c r="E729" i="4"/>
  <c r="D729" i="4"/>
  <c r="C729" i="4"/>
  <c r="B729" i="4"/>
  <c r="A729" i="4"/>
  <c r="E728" i="4"/>
  <c r="D728" i="4"/>
  <c r="C728" i="4"/>
  <c r="B728" i="4"/>
  <c r="A728" i="4"/>
  <c r="B727" i="4"/>
  <c r="A727" i="4"/>
  <c r="E726" i="4"/>
  <c r="D726" i="4"/>
  <c r="B726" i="4"/>
  <c r="A726" i="4"/>
  <c r="E725" i="4"/>
  <c r="D725" i="4"/>
  <c r="C725" i="4"/>
  <c r="B725" i="4"/>
  <c r="A725" i="4"/>
  <c r="E724" i="4"/>
  <c r="D724" i="4"/>
  <c r="C724" i="4"/>
  <c r="B724" i="4"/>
  <c r="A724" i="4"/>
  <c r="E723" i="4"/>
  <c r="D723" i="4"/>
  <c r="C723" i="4"/>
  <c r="B723" i="4"/>
  <c r="A723" i="4"/>
  <c r="E722" i="4"/>
  <c r="D722" i="4"/>
  <c r="C722" i="4"/>
  <c r="B722" i="4"/>
  <c r="A722" i="4"/>
  <c r="E721" i="4"/>
  <c r="D721" i="4"/>
  <c r="C721" i="4"/>
  <c r="B721" i="4"/>
  <c r="A721" i="4"/>
  <c r="B720" i="4"/>
  <c r="A720" i="4"/>
  <c r="E719" i="4"/>
  <c r="D719" i="4"/>
  <c r="C719" i="4"/>
  <c r="B719" i="4"/>
  <c r="A719" i="4"/>
  <c r="E718" i="4"/>
  <c r="D718" i="4"/>
  <c r="C718" i="4"/>
  <c r="B718" i="4"/>
  <c r="A718" i="4"/>
  <c r="E717" i="4"/>
  <c r="D717" i="4"/>
  <c r="C717" i="4"/>
  <c r="B717" i="4"/>
  <c r="A717" i="4"/>
  <c r="D716" i="4"/>
  <c r="C716" i="4"/>
  <c r="B716" i="4"/>
  <c r="A716" i="4"/>
  <c r="E715" i="4"/>
  <c r="D715" i="4"/>
  <c r="C715" i="4"/>
  <c r="B715" i="4"/>
  <c r="A715" i="4"/>
  <c r="F714" i="4"/>
  <c r="E714" i="4"/>
  <c r="D714" i="4"/>
  <c r="C714" i="4"/>
  <c r="B714" i="4"/>
  <c r="A714" i="4"/>
  <c r="B713" i="4"/>
  <c r="A713" i="4"/>
  <c r="F712" i="4"/>
  <c r="E712" i="4"/>
  <c r="D712" i="4"/>
  <c r="C712" i="4"/>
  <c r="B712" i="4"/>
  <c r="A712" i="4"/>
  <c r="E711" i="4"/>
  <c r="D711" i="4"/>
  <c r="C711" i="4"/>
  <c r="B711" i="4"/>
  <c r="A711" i="4"/>
  <c r="B710" i="4"/>
  <c r="A710" i="4"/>
  <c r="E709" i="4"/>
  <c r="D709" i="4"/>
  <c r="C709" i="4"/>
  <c r="B709" i="4"/>
  <c r="A709" i="4"/>
  <c r="E708" i="4"/>
  <c r="D708" i="4"/>
  <c r="C708" i="4"/>
  <c r="B708" i="4"/>
  <c r="A708" i="4"/>
  <c r="E707" i="4"/>
  <c r="D707" i="4"/>
  <c r="C707" i="4"/>
  <c r="B707" i="4"/>
  <c r="A707" i="4"/>
  <c r="F706" i="4"/>
  <c r="E706" i="4"/>
  <c r="D706" i="4"/>
  <c r="C706" i="4"/>
  <c r="B706" i="4"/>
  <c r="A706" i="4"/>
  <c r="E705" i="4"/>
  <c r="D705" i="4"/>
  <c r="C705" i="4"/>
  <c r="B705" i="4"/>
  <c r="A705" i="4"/>
  <c r="B704" i="4"/>
  <c r="A704" i="4"/>
  <c r="B703" i="4"/>
  <c r="A703" i="4"/>
  <c r="E702" i="4"/>
  <c r="D702" i="4"/>
  <c r="B702" i="4"/>
  <c r="A702" i="4"/>
  <c r="B701" i="4"/>
  <c r="A701" i="4"/>
  <c r="E700" i="4"/>
  <c r="D700" i="4"/>
  <c r="C700" i="4"/>
  <c r="B700" i="4"/>
  <c r="A700" i="4"/>
  <c r="E699" i="4"/>
  <c r="D699" i="4"/>
  <c r="C699" i="4"/>
  <c r="B699" i="4"/>
  <c r="A699" i="4"/>
  <c r="E698" i="4"/>
  <c r="D698" i="4"/>
  <c r="C698" i="4"/>
  <c r="B698" i="4"/>
  <c r="A698" i="4"/>
  <c r="E697" i="4"/>
  <c r="D697" i="4"/>
  <c r="B697" i="4"/>
  <c r="A697" i="4"/>
  <c r="E696" i="4"/>
  <c r="D696" i="4"/>
  <c r="B696" i="4"/>
  <c r="A696" i="4"/>
  <c r="E695" i="4"/>
  <c r="D695" i="4"/>
  <c r="B695" i="4"/>
  <c r="A695" i="4"/>
  <c r="E694" i="4"/>
  <c r="D694" i="4"/>
  <c r="B694" i="4"/>
  <c r="A694" i="4"/>
  <c r="E693" i="4"/>
  <c r="D693" i="4"/>
  <c r="B693" i="4"/>
  <c r="A693" i="4"/>
  <c r="E692" i="4"/>
  <c r="D692" i="4"/>
  <c r="B692" i="4"/>
  <c r="A692" i="4"/>
  <c r="E691" i="4"/>
  <c r="D691" i="4"/>
  <c r="B691" i="4"/>
  <c r="A691" i="4"/>
  <c r="E690" i="4"/>
  <c r="D690" i="4"/>
  <c r="B690" i="4"/>
  <c r="A690" i="4"/>
  <c r="E689" i="4"/>
  <c r="D689" i="4"/>
  <c r="B689" i="4"/>
  <c r="A689" i="4"/>
  <c r="E688" i="4"/>
  <c r="D688" i="4"/>
  <c r="B688" i="4"/>
  <c r="A688" i="4"/>
  <c r="B687" i="4"/>
  <c r="A687" i="4"/>
  <c r="B686" i="4"/>
  <c r="A686" i="4"/>
  <c r="B685" i="4"/>
  <c r="A685" i="4"/>
  <c r="E684" i="4"/>
  <c r="D684" i="4"/>
  <c r="B684" i="4"/>
  <c r="A684" i="4"/>
  <c r="E683" i="4"/>
  <c r="D683" i="4"/>
  <c r="B683" i="4"/>
  <c r="A683" i="4"/>
  <c r="E682" i="4"/>
  <c r="D682" i="4"/>
  <c r="B682" i="4"/>
  <c r="A682" i="4"/>
  <c r="E681" i="4"/>
  <c r="D681" i="4"/>
  <c r="B681" i="4"/>
  <c r="A681" i="4"/>
  <c r="E680" i="4"/>
  <c r="D680" i="4"/>
  <c r="B680" i="4"/>
  <c r="A680" i="4"/>
  <c r="E679" i="4"/>
  <c r="D679" i="4"/>
  <c r="B679" i="4"/>
  <c r="A679" i="4"/>
  <c r="E678" i="4"/>
  <c r="D678" i="4"/>
  <c r="C678" i="4"/>
  <c r="B678" i="4"/>
  <c r="A678" i="4"/>
  <c r="E677" i="4"/>
  <c r="D677" i="4"/>
  <c r="B677" i="4"/>
  <c r="A677" i="4"/>
  <c r="E676" i="4"/>
  <c r="D676" i="4"/>
  <c r="B676" i="4"/>
  <c r="A676" i="4"/>
  <c r="E675" i="4"/>
  <c r="D675" i="4"/>
  <c r="C675" i="4"/>
  <c r="B675" i="4"/>
  <c r="A675" i="4"/>
  <c r="F674" i="4"/>
  <c r="E674" i="4"/>
  <c r="D674" i="4"/>
  <c r="C674" i="4"/>
  <c r="B674" i="4"/>
  <c r="A674" i="4"/>
  <c r="B673" i="4"/>
  <c r="A673" i="4"/>
  <c r="E672" i="4"/>
  <c r="D672" i="4"/>
  <c r="C672" i="4"/>
  <c r="B672" i="4"/>
  <c r="A672" i="4"/>
  <c r="F671" i="4"/>
  <c r="E671" i="4"/>
  <c r="D671" i="4"/>
  <c r="C671" i="4"/>
  <c r="B671" i="4"/>
  <c r="A671" i="4"/>
  <c r="B670" i="4"/>
  <c r="A670" i="4"/>
  <c r="E669" i="4"/>
  <c r="D669" i="4"/>
  <c r="C669" i="4"/>
  <c r="B669" i="4"/>
  <c r="A669" i="4"/>
  <c r="F668" i="4"/>
  <c r="E668" i="4"/>
  <c r="D668" i="4"/>
  <c r="C668" i="4"/>
  <c r="B668" i="4"/>
  <c r="A668" i="4"/>
  <c r="B667" i="4"/>
  <c r="A667" i="4"/>
  <c r="E666" i="4"/>
  <c r="D666" i="4"/>
  <c r="C666" i="4"/>
  <c r="B666" i="4"/>
  <c r="A666" i="4"/>
  <c r="B665" i="4"/>
  <c r="A665" i="4"/>
  <c r="E664" i="4"/>
  <c r="D664" i="4"/>
  <c r="C664" i="4"/>
  <c r="B664" i="4"/>
  <c r="A664" i="4"/>
  <c r="E663" i="4"/>
  <c r="D663" i="4"/>
  <c r="C663" i="4"/>
  <c r="B663" i="4"/>
  <c r="A663" i="4"/>
  <c r="E662" i="4"/>
  <c r="D662" i="4"/>
  <c r="C662" i="4"/>
  <c r="B662" i="4"/>
  <c r="A662" i="4"/>
  <c r="F661" i="4"/>
  <c r="E661" i="4"/>
  <c r="D661" i="4"/>
  <c r="C661" i="4"/>
  <c r="B661" i="4"/>
  <c r="A661" i="4"/>
  <c r="E660" i="4"/>
  <c r="D660" i="4"/>
  <c r="C660" i="4"/>
  <c r="B660" i="4"/>
  <c r="A660" i="4"/>
  <c r="F659" i="4"/>
  <c r="E659" i="4"/>
  <c r="D659" i="4"/>
  <c r="C659" i="4"/>
  <c r="B659" i="4"/>
  <c r="A659" i="4"/>
  <c r="B658" i="4"/>
  <c r="A658" i="4"/>
  <c r="B657" i="4"/>
  <c r="A657" i="4"/>
  <c r="E656" i="4"/>
  <c r="D656" i="4"/>
  <c r="B656" i="4"/>
  <c r="A656" i="4"/>
  <c r="E655" i="4"/>
  <c r="D655" i="4"/>
  <c r="B655" i="4"/>
  <c r="A655" i="4"/>
  <c r="B654" i="4"/>
  <c r="A654" i="4"/>
  <c r="F653" i="4"/>
  <c r="E653" i="4"/>
  <c r="D653" i="4"/>
  <c r="C653" i="4"/>
  <c r="B653" i="4"/>
  <c r="A653" i="4"/>
  <c r="F652" i="4"/>
  <c r="E652" i="4"/>
  <c r="D652" i="4"/>
  <c r="C652" i="4"/>
  <c r="B652" i="4"/>
  <c r="A652" i="4"/>
  <c r="E651" i="4"/>
  <c r="D651" i="4"/>
  <c r="C651" i="4"/>
  <c r="B651" i="4"/>
  <c r="A651" i="4"/>
  <c r="E650" i="4"/>
  <c r="D650" i="4"/>
  <c r="C650" i="4"/>
  <c r="B650" i="4"/>
  <c r="A650" i="4"/>
  <c r="B649" i="4"/>
  <c r="A649" i="4"/>
  <c r="F648" i="4"/>
  <c r="E648" i="4"/>
  <c r="D648" i="4"/>
  <c r="C648" i="4"/>
  <c r="B648" i="4"/>
  <c r="A648" i="4"/>
  <c r="F647" i="4"/>
  <c r="E647" i="4"/>
  <c r="D647" i="4"/>
  <c r="C647" i="4"/>
  <c r="B647" i="4"/>
  <c r="A647" i="4"/>
  <c r="E646" i="4"/>
  <c r="D646" i="4"/>
  <c r="C646" i="4"/>
  <c r="B646" i="4"/>
  <c r="A646" i="4"/>
  <c r="B645" i="4"/>
  <c r="A645" i="4"/>
  <c r="E644" i="4"/>
  <c r="D644" i="4"/>
  <c r="B644" i="4"/>
  <c r="A644" i="4"/>
  <c r="E643" i="4"/>
  <c r="D643" i="4"/>
  <c r="B643" i="4"/>
  <c r="A643" i="4"/>
  <c r="E642" i="4"/>
  <c r="D642" i="4"/>
  <c r="B642" i="4"/>
  <c r="A642" i="4"/>
  <c r="E641" i="4"/>
  <c r="D641" i="4"/>
  <c r="B641" i="4"/>
  <c r="A641" i="4"/>
  <c r="E640" i="4"/>
  <c r="D640" i="4"/>
  <c r="B640" i="4"/>
  <c r="A640" i="4"/>
  <c r="E639" i="4"/>
  <c r="D639" i="4"/>
  <c r="B639" i="4"/>
  <c r="A639" i="4"/>
  <c r="E638" i="4"/>
  <c r="D638" i="4"/>
  <c r="B638" i="4"/>
  <c r="A638" i="4"/>
  <c r="E637" i="4"/>
  <c r="D637" i="4"/>
  <c r="B637" i="4"/>
  <c r="A637" i="4"/>
  <c r="E636" i="4"/>
  <c r="D636" i="4"/>
  <c r="B636" i="4"/>
  <c r="A636" i="4"/>
  <c r="E635" i="4"/>
  <c r="D635" i="4"/>
  <c r="B635" i="4"/>
  <c r="A635" i="4"/>
  <c r="B634" i="4"/>
  <c r="A634" i="4"/>
  <c r="E633" i="4"/>
  <c r="D633" i="4"/>
  <c r="C633" i="4"/>
  <c r="B633" i="4"/>
  <c r="A633" i="4"/>
  <c r="E632" i="4"/>
  <c r="D632" i="4"/>
  <c r="C632" i="4"/>
  <c r="B632" i="4"/>
  <c r="A632" i="4"/>
  <c r="E631" i="4"/>
  <c r="D631" i="4"/>
  <c r="C631" i="4"/>
  <c r="B631" i="4"/>
  <c r="A631" i="4"/>
  <c r="E630" i="4"/>
  <c r="D630" i="4"/>
  <c r="C630" i="4"/>
  <c r="B630" i="4"/>
  <c r="A630" i="4"/>
  <c r="B629" i="4"/>
  <c r="A629" i="4"/>
  <c r="F628" i="4"/>
  <c r="E628" i="4"/>
  <c r="C628" i="4"/>
  <c r="B628" i="4"/>
  <c r="A628" i="4"/>
  <c r="D627" i="4"/>
  <c r="C627" i="4"/>
  <c r="B627" i="4"/>
  <c r="A627" i="4"/>
  <c r="B626" i="4"/>
  <c r="A626" i="4"/>
  <c r="B625" i="4"/>
  <c r="A625" i="4"/>
  <c r="B624" i="4"/>
  <c r="A624" i="4"/>
  <c r="E623" i="4"/>
  <c r="D623" i="4"/>
  <c r="B623" i="4"/>
  <c r="A623" i="4"/>
  <c r="E622" i="4"/>
  <c r="D622" i="4"/>
  <c r="B622" i="4"/>
  <c r="A622" i="4"/>
  <c r="E621" i="4"/>
  <c r="D621" i="4"/>
  <c r="B621" i="4"/>
  <c r="A621" i="4"/>
  <c r="E620" i="4"/>
  <c r="D620" i="4"/>
  <c r="C620" i="4"/>
  <c r="B620" i="4"/>
  <c r="A620" i="4"/>
  <c r="E619" i="4"/>
  <c r="D619" i="4"/>
  <c r="C619" i="4"/>
  <c r="B619" i="4"/>
  <c r="A619" i="4"/>
  <c r="B618" i="4"/>
  <c r="A618" i="4"/>
  <c r="E617" i="4"/>
  <c r="D617" i="4"/>
  <c r="C617" i="4"/>
  <c r="B617" i="4"/>
  <c r="A617" i="4"/>
  <c r="E616" i="4"/>
  <c r="D616" i="4"/>
  <c r="C616" i="4"/>
  <c r="B616" i="4"/>
  <c r="A616" i="4"/>
  <c r="E615" i="4"/>
  <c r="D615" i="4"/>
  <c r="C615" i="4"/>
  <c r="B615" i="4"/>
  <c r="A615" i="4"/>
  <c r="E614" i="4"/>
  <c r="D614" i="4"/>
  <c r="C614" i="4"/>
  <c r="B614" i="4"/>
  <c r="A614" i="4"/>
  <c r="E613" i="4"/>
  <c r="D613" i="4"/>
  <c r="C613" i="4"/>
  <c r="B613" i="4"/>
  <c r="A613" i="4"/>
  <c r="E612" i="4"/>
  <c r="D612" i="4"/>
  <c r="C612" i="4"/>
  <c r="B612" i="4"/>
  <c r="A612" i="4"/>
  <c r="E611" i="4"/>
  <c r="D611" i="4"/>
  <c r="C611" i="4"/>
  <c r="B611" i="4"/>
  <c r="A611" i="4"/>
  <c r="B610" i="4"/>
  <c r="A610" i="4"/>
  <c r="B609" i="4"/>
  <c r="A609" i="4"/>
  <c r="E608" i="4"/>
  <c r="D608" i="4"/>
  <c r="C608" i="4"/>
  <c r="B608" i="4"/>
  <c r="A608" i="4"/>
  <c r="E607" i="4"/>
  <c r="D607" i="4"/>
  <c r="B607" i="4"/>
  <c r="A607" i="4"/>
  <c r="E606" i="4"/>
  <c r="D606" i="4"/>
  <c r="B606" i="4"/>
  <c r="A606" i="4"/>
  <c r="E605" i="4"/>
  <c r="D605" i="4"/>
  <c r="B605" i="4"/>
  <c r="A605" i="4"/>
  <c r="E604" i="4"/>
  <c r="D604" i="4"/>
  <c r="B604" i="4"/>
  <c r="A604" i="4"/>
  <c r="E603" i="4"/>
  <c r="D603" i="4"/>
  <c r="B603" i="4"/>
  <c r="A603" i="4"/>
  <c r="E602" i="4"/>
  <c r="D602" i="4"/>
  <c r="B602" i="4"/>
  <c r="A602" i="4"/>
  <c r="B601" i="4"/>
  <c r="A601" i="4"/>
  <c r="E600" i="4"/>
  <c r="D600" i="4"/>
  <c r="C600" i="4"/>
  <c r="B600" i="4"/>
  <c r="A600" i="4"/>
  <c r="C599" i="4"/>
  <c r="B599" i="4"/>
  <c r="A599" i="4"/>
  <c r="B598" i="4"/>
  <c r="A598" i="4"/>
  <c r="E597" i="4"/>
  <c r="D597" i="4"/>
  <c r="C597" i="4"/>
  <c r="B597" i="4"/>
  <c r="A597" i="4"/>
  <c r="E596" i="4"/>
  <c r="D596" i="4"/>
  <c r="C596" i="4"/>
  <c r="B596" i="4"/>
  <c r="A596" i="4"/>
  <c r="E595" i="4"/>
  <c r="D595" i="4"/>
  <c r="C595" i="4"/>
  <c r="B595" i="4"/>
  <c r="A595" i="4"/>
  <c r="E594" i="4"/>
  <c r="D594" i="4"/>
  <c r="C594" i="4"/>
  <c r="B594" i="4"/>
  <c r="A594" i="4"/>
  <c r="B593" i="4"/>
  <c r="A593" i="4"/>
  <c r="F592" i="4"/>
  <c r="E592" i="4"/>
  <c r="D592" i="4"/>
  <c r="C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E583" i="4"/>
  <c r="D583" i="4"/>
  <c r="C583" i="4"/>
  <c r="B583" i="4"/>
  <c r="A583" i="4"/>
  <c r="E582" i="4"/>
  <c r="D582" i="4"/>
  <c r="C582" i="4"/>
  <c r="B582" i="4"/>
  <c r="A582" i="4"/>
  <c r="E581" i="4"/>
  <c r="D581" i="4"/>
  <c r="B581" i="4"/>
  <c r="A581" i="4"/>
  <c r="E580" i="4"/>
  <c r="D580" i="4"/>
  <c r="C580" i="4"/>
  <c r="B580" i="4"/>
  <c r="A580" i="4"/>
  <c r="E579" i="4"/>
  <c r="D579" i="4"/>
  <c r="C579" i="4"/>
  <c r="B579" i="4"/>
  <c r="A579" i="4"/>
  <c r="E578" i="4"/>
  <c r="D578" i="4"/>
  <c r="C578" i="4"/>
  <c r="B578" i="4"/>
  <c r="A578" i="4"/>
  <c r="E577" i="4"/>
  <c r="D577" i="4"/>
  <c r="C577" i="4"/>
  <c r="B577" i="4"/>
  <c r="A577" i="4"/>
  <c r="E576" i="4"/>
  <c r="D576" i="4"/>
  <c r="C576" i="4"/>
  <c r="B576" i="4"/>
  <c r="A576" i="4"/>
  <c r="F575" i="4"/>
  <c r="E575" i="4"/>
  <c r="D575" i="4"/>
  <c r="C575" i="4"/>
  <c r="B575" i="4"/>
  <c r="A575" i="4"/>
  <c r="E574" i="4"/>
  <c r="D574" i="4"/>
  <c r="C574" i="4"/>
  <c r="B574" i="4"/>
  <c r="A574" i="4"/>
  <c r="E573" i="4"/>
  <c r="D573" i="4"/>
  <c r="C573" i="4"/>
  <c r="B573" i="4"/>
  <c r="A573" i="4"/>
  <c r="E572" i="4"/>
  <c r="D572" i="4"/>
  <c r="C572" i="4"/>
  <c r="B572" i="4"/>
  <c r="A572" i="4"/>
  <c r="E571" i="4"/>
  <c r="D571" i="4"/>
  <c r="C571" i="4"/>
  <c r="B571" i="4"/>
  <c r="A571" i="4"/>
  <c r="B570" i="4"/>
  <c r="A570" i="4"/>
  <c r="B569" i="4"/>
  <c r="A569" i="4"/>
  <c r="B568" i="4"/>
  <c r="A568" i="4"/>
  <c r="B567" i="4"/>
  <c r="A567" i="4"/>
  <c r="B566" i="4"/>
  <c r="A566" i="4"/>
  <c r="B565" i="4"/>
  <c r="A565" i="4"/>
  <c r="E564" i="4"/>
  <c r="D564" i="4"/>
  <c r="C564" i="4"/>
  <c r="B564" i="4"/>
  <c r="A564" i="4"/>
  <c r="E563" i="4"/>
  <c r="D563" i="4"/>
  <c r="C563" i="4"/>
  <c r="B563" i="4"/>
  <c r="A563" i="4"/>
  <c r="E562" i="4"/>
  <c r="D562" i="4"/>
  <c r="C562" i="4"/>
  <c r="B562" i="4"/>
  <c r="A562" i="4"/>
  <c r="E561" i="4"/>
  <c r="D561" i="4"/>
  <c r="B561" i="4"/>
  <c r="A561" i="4"/>
  <c r="E560" i="4"/>
  <c r="D560" i="4"/>
  <c r="B560" i="4"/>
  <c r="A560" i="4"/>
  <c r="E559" i="4"/>
  <c r="D559" i="4"/>
  <c r="B559" i="4"/>
  <c r="A559" i="4"/>
  <c r="E558" i="4"/>
  <c r="D558" i="4"/>
  <c r="B558" i="4"/>
  <c r="A558" i="4"/>
  <c r="F557" i="4"/>
  <c r="E557" i="4"/>
  <c r="D557" i="4"/>
  <c r="C557" i="4"/>
  <c r="B557" i="4"/>
  <c r="A557" i="4"/>
  <c r="B556" i="4"/>
  <c r="A556" i="4"/>
  <c r="B555" i="4"/>
  <c r="A555" i="4"/>
  <c r="E554" i="4"/>
  <c r="D554" i="4"/>
  <c r="C554" i="4"/>
  <c r="B554" i="4"/>
  <c r="A554" i="4"/>
  <c r="E553" i="4"/>
  <c r="D553" i="4"/>
  <c r="C553" i="4"/>
  <c r="B553" i="4"/>
  <c r="A553" i="4"/>
  <c r="E552" i="4"/>
  <c r="D552" i="4"/>
  <c r="C552" i="4"/>
  <c r="B552" i="4"/>
  <c r="A552" i="4"/>
  <c r="E551" i="4"/>
  <c r="D551" i="4"/>
  <c r="C551" i="4"/>
  <c r="B551" i="4"/>
  <c r="A551" i="4"/>
  <c r="B550" i="4"/>
  <c r="A550" i="4"/>
  <c r="E549" i="4"/>
  <c r="D549" i="4"/>
  <c r="C549" i="4"/>
  <c r="B549" i="4"/>
  <c r="A549" i="4"/>
  <c r="E548" i="4"/>
  <c r="D548" i="4"/>
  <c r="C548" i="4"/>
  <c r="B548" i="4"/>
  <c r="A548" i="4"/>
  <c r="E547" i="4"/>
  <c r="D547" i="4"/>
  <c r="B547" i="4"/>
  <c r="A547" i="4"/>
  <c r="E546" i="4"/>
  <c r="D546" i="4"/>
  <c r="B546" i="4"/>
  <c r="A546" i="4"/>
  <c r="E545" i="4"/>
  <c r="D545" i="4"/>
  <c r="C545" i="4"/>
  <c r="B545" i="4"/>
  <c r="A545" i="4"/>
  <c r="B544" i="4"/>
  <c r="A544" i="4"/>
  <c r="E543" i="4"/>
  <c r="D543" i="4"/>
  <c r="C543" i="4"/>
  <c r="B543" i="4"/>
  <c r="A543" i="4"/>
  <c r="B542" i="4"/>
  <c r="A542" i="4"/>
  <c r="E541" i="4"/>
  <c r="D541" i="4"/>
  <c r="C541" i="4"/>
  <c r="B541" i="4"/>
  <c r="A541" i="4"/>
  <c r="C540" i="4"/>
  <c r="B540" i="4"/>
  <c r="A540" i="4"/>
  <c r="F539" i="4"/>
  <c r="E539" i="4"/>
  <c r="D539" i="4"/>
  <c r="C539" i="4"/>
  <c r="B539" i="4"/>
  <c r="A539" i="4"/>
  <c r="E538" i="4"/>
  <c r="D538" i="4"/>
  <c r="C538" i="4"/>
  <c r="B538" i="4"/>
  <c r="A538" i="4"/>
  <c r="E537" i="4"/>
  <c r="D537" i="4"/>
  <c r="C537" i="4"/>
  <c r="B537" i="4"/>
  <c r="A537" i="4"/>
  <c r="E536" i="4"/>
  <c r="D536" i="4"/>
  <c r="C536" i="4"/>
  <c r="B536" i="4"/>
  <c r="A536" i="4"/>
  <c r="B535" i="4"/>
  <c r="A535" i="4"/>
  <c r="E534" i="4"/>
  <c r="D534" i="4"/>
  <c r="C534" i="4"/>
  <c r="B534" i="4"/>
  <c r="A534" i="4"/>
  <c r="E533" i="4"/>
  <c r="D533" i="4"/>
  <c r="C533" i="4"/>
  <c r="B533" i="4"/>
  <c r="A533" i="4"/>
  <c r="B532" i="4"/>
  <c r="A532" i="4"/>
  <c r="E531" i="4"/>
  <c r="D531" i="4"/>
  <c r="C531" i="4"/>
  <c r="B531" i="4"/>
  <c r="A531" i="4"/>
  <c r="B530" i="4"/>
  <c r="A530" i="4"/>
  <c r="B529" i="4"/>
  <c r="A529" i="4"/>
  <c r="D528" i="4"/>
  <c r="C528" i="4"/>
  <c r="B528" i="4"/>
  <c r="A528" i="4"/>
  <c r="B527" i="4"/>
  <c r="A527" i="4"/>
  <c r="B526" i="4"/>
  <c r="A526" i="4"/>
  <c r="F525" i="4"/>
  <c r="E525" i="4"/>
  <c r="D525" i="4"/>
  <c r="C525" i="4"/>
  <c r="B525" i="4"/>
  <c r="A525" i="4"/>
  <c r="E524" i="4"/>
  <c r="D524" i="4"/>
  <c r="C524" i="4"/>
  <c r="B524" i="4"/>
  <c r="A524" i="4"/>
  <c r="C523" i="4"/>
  <c r="B523" i="4"/>
  <c r="A523" i="4"/>
  <c r="D522" i="4"/>
  <c r="B522" i="4"/>
  <c r="A522" i="4"/>
  <c r="D521" i="4"/>
  <c r="B521" i="4"/>
  <c r="A521" i="4"/>
  <c r="D520" i="4"/>
  <c r="B520" i="4"/>
  <c r="A520" i="4"/>
  <c r="E519" i="4"/>
  <c r="D519" i="4"/>
  <c r="C519" i="4"/>
  <c r="B519" i="4"/>
  <c r="A519" i="4"/>
  <c r="F518" i="4"/>
  <c r="E518" i="4"/>
  <c r="D518" i="4"/>
  <c r="C518" i="4"/>
  <c r="B518" i="4"/>
  <c r="A518" i="4"/>
  <c r="F517" i="4"/>
  <c r="E517" i="4"/>
  <c r="D517" i="4"/>
  <c r="C517" i="4"/>
  <c r="B517" i="4"/>
  <c r="A517" i="4"/>
  <c r="F516" i="4"/>
  <c r="E516" i="4"/>
  <c r="D516" i="4"/>
  <c r="C516" i="4"/>
  <c r="B516" i="4"/>
  <c r="A516" i="4"/>
  <c r="B515" i="4"/>
  <c r="A515" i="4"/>
  <c r="B514" i="4"/>
  <c r="A514" i="4"/>
  <c r="E513" i="4"/>
  <c r="D513" i="4"/>
  <c r="C513" i="4"/>
  <c r="B513" i="4"/>
  <c r="A513" i="4"/>
  <c r="E512" i="4"/>
  <c r="D512" i="4"/>
  <c r="C512" i="4"/>
  <c r="B512" i="4"/>
  <c r="A512" i="4"/>
  <c r="E511" i="4"/>
  <c r="D511" i="4"/>
  <c r="C511" i="4"/>
  <c r="B511" i="4"/>
  <c r="A511" i="4"/>
  <c r="E510" i="4"/>
  <c r="D510" i="4"/>
  <c r="C510" i="4"/>
  <c r="B510" i="4"/>
  <c r="A510" i="4"/>
  <c r="B509" i="4"/>
  <c r="A509" i="4"/>
  <c r="E508" i="4"/>
  <c r="D508" i="4"/>
  <c r="C508" i="4"/>
  <c r="B508" i="4"/>
  <c r="A508" i="4"/>
  <c r="E507" i="4"/>
  <c r="D507" i="4"/>
  <c r="C507" i="4"/>
  <c r="B507" i="4"/>
  <c r="A507" i="4"/>
  <c r="E506" i="4"/>
  <c r="D506" i="4"/>
  <c r="C506" i="4"/>
  <c r="B506" i="4"/>
  <c r="A506" i="4"/>
  <c r="E505" i="4"/>
  <c r="D505" i="4"/>
  <c r="C505" i="4"/>
  <c r="B505" i="4"/>
  <c r="A505" i="4"/>
  <c r="B504" i="4"/>
  <c r="A504" i="4"/>
  <c r="F503" i="4"/>
  <c r="D503" i="4"/>
  <c r="C503" i="4"/>
  <c r="B503" i="4"/>
  <c r="A503" i="4"/>
  <c r="B502" i="4"/>
  <c r="A502" i="4"/>
  <c r="E501" i="4"/>
  <c r="D501" i="4"/>
  <c r="C501" i="4"/>
  <c r="B501" i="4"/>
  <c r="A501" i="4"/>
  <c r="E500" i="4"/>
  <c r="D500" i="4"/>
  <c r="C500" i="4"/>
  <c r="B500" i="4"/>
  <c r="A500" i="4"/>
  <c r="E499" i="4"/>
  <c r="D499" i="4"/>
  <c r="C499" i="4"/>
  <c r="B499" i="4"/>
  <c r="A499" i="4"/>
  <c r="E498" i="4"/>
  <c r="D498" i="4"/>
  <c r="C498" i="4"/>
  <c r="B498" i="4"/>
  <c r="A498" i="4"/>
  <c r="F497" i="4"/>
  <c r="E497" i="4"/>
  <c r="D497" i="4"/>
  <c r="C497" i="4"/>
  <c r="B497" i="4"/>
  <c r="A497" i="4"/>
  <c r="E496" i="4"/>
  <c r="D496" i="4"/>
  <c r="C496" i="4"/>
  <c r="B496" i="4"/>
  <c r="A496" i="4"/>
  <c r="E495" i="4"/>
  <c r="D495" i="4"/>
  <c r="C495" i="4"/>
  <c r="B495" i="4"/>
  <c r="A495" i="4"/>
  <c r="E494" i="4"/>
  <c r="D494" i="4"/>
  <c r="C494" i="4"/>
  <c r="B494" i="4"/>
  <c r="A494" i="4"/>
  <c r="E493" i="4"/>
  <c r="D493" i="4"/>
  <c r="C493" i="4"/>
  <c r="B493" i="4"/>
  <c r="A493" i="4"/>
  <c r="D492" i="4"/>
  <c r="B492" i="4"/>
  <c r="A492" i="4"/>
  <c r="E491" i="4"/>
  <c r="C491" i="4"/>
  <c r="B491" i="4"/>
  <c r="A491" i="4"/>
  <c r="E490" i="4"/>
  <c r="D490" i="4"/>
  <c r="C490" i="4"/>
  <c r="B490" i="4"/>
  <c r="A490" i="4"/>
  <c r="E489" i="4"/>
  <c r="D489" i="4"/>
  <c r="C489" i="4"/>
  <c r="B489" i="4"/>
  <c r="A489" i="4"/>
  <c r="E488" i="4"/>
  <c r="D488" i="4"/>
  <c r="C488" i="4"/>
  <c r="B488" i="4"/>
  <c r="A488" i="4"/>
  <c r="E487" i="4"/>
  <c r="D487" i="4"/>
  <c r="B487" i="4"/>
  <c r="A487" i="4"/>
  <c r="E486" i="4"/>
  <c r="D486" i="4"/>
  <c r="C486" i="4"/>
  <c r="B486" i="4"/>
  <c r="A486" i="4"/>
  <c r="B485" i="4"/>
  <c r="A485" i="4"/>
  <c r="C484" i="4"/>
  <c r="B484" i="4"/>
  <c r="A484" i="4"/>
  <c r="E483" i="4"/>
  <c r="D483" i="4"/>
  <c r="C483" i="4"/>
  <c r="B483" i="4"/>
  <c r="A483" i="4"/>
  <c r="E482" i="4"/>
  <c r="D482" i="4"/>
  <c r="C482" i="4"/>
  <c r="B482" i="4"/>
  <c r="A482" i="4"/>
  <c r="E481" i="4"/>
  <c r="D481" i="4"/>
  <c r="B481" i="4"/>
  <c r="A481" i="4"/>
  <c r="F480" i="4"/>
  <c r="E480" i="4"/>
  <c r="D480" i="4"/>
  <c r="C480" i="4"/>
  <c r="B480" i="4"/>
  <c r="A480" i="4"/>
  <c r="F479" i="4"/>
  <c r="E479" i="4"/>
  <c r="C479" i="4"/>
  <c r="B479" i="4"/>
  <c r="A479" i="4"/>
  <c r="E478" i="4"/>
  <c r="C478" i="4"/>
  <c r="B478" i="4"/>
  <c r="A478" i="4"/>
  <c r="E477" i="4"/>
  <c r="D477" i="4"/>
  <c r="B477" i="4"/>
  <c r="A477" i="4"/>
  <c r="E476" i="4"/>
  <c r="D476" i="4"/>
  <c r="C476" i="4"/>
  <c r="B476" i="4"/>
  <c r="A476" i="4"/>
  <c r="E475" i="4"/>
  <c r="D475" i="4"/>
  <c r="C475" i="4"/>
  <c r="B475" i="4"/>
  <c r="A475" i="4"/>
  <c r="E474" i="4"/>
  <c r="D474" i="4"/>
  <c r="C474" i="4"/>
  <c r="B474" i="4"/>
  <c r="A474" i="4"/>
  <c r="E473" i="4"/>
  <c r="D473" i="4"/>
  <c r="C473" i="4"/>
  <c r="B473" i="4"/>
  <c r="A473" i="4"/>
  <c r="F472" i="4"/>
  <c r="E472" i="4"/>
  <c r="D472" i="4"/>
  <c r="C472" i="4"/>
  <c r="B472" i="4"/>
  <c r="A472" i="4"/>
  <c r="E471" i="4"/>
  <c r="D471" i="4"/>
  <c r="C471" i="4"/>
  <c r="B471" i="4"/>
  <c r="A471" i="4"/>
  <c r="E470" i="4"/>
  <c r="D470" i="4"/>
  <c r="C470" i="4"/>
  <c r="B470" i="4"/>
  <c r="A470" i="4"/>
  <c r="E469" i="4"/>
  <c r="B469" i="4"/>
  <c r="A469" i="4"/>
  <c r="E468" i="4"/>
  <c r="B468" i="4"/>
  <c r="A468" i="4"/>
  <c r="E467" i="4"/>
  <c r="B467" i="4"/>
  <c r="A467" i="4"/>
  <c r="E466" i="4"/>
  <c r="C466" i="4"/>
  <c r="B466" i="4"/>
  <c r="A466" i="4"/>
  <c r="E465" i="4"/>
  <c r="D465" i="4"/>
  <c r="C465" i="4"/>
  <c r="B465" i="4"/>
  <c r="A465" i="4"/>
  <c r="E464" i="4"/>
  <c r="D464" i="4"/>
  <c r="C464" i="4"/>
  <c r="B464" i="4"/>
  <c r="A464" i="4"/>
  <c r="E463" i="4"/>
  <c r="D463" i="4"/>
  <c r="C463" i="4"/>
  <c r="B463" i="4"/>
  <c r="A463" i="4"/>
  <c r="F462" i="4"/>
  <c r="E462" i="4"/>
  <c r="D462" i="4"/>
  <c r="C462" i="4"/>
  <c r="B462" i="4"/>
  <c r="A462" i="4"/>
  <c r="E461" i="4"/>
  <c r="D461" i="4"/>
  <c r="C461" i="4"/>
  <c r="B461" i="4"/>
  <c r="A461" i="4"/>
  <c r="E460" i="4"/>
  <c r="D460" i="4"/>
  <c r="C460" i="4"/>
  <c r="B460" i="4"/>
  <c r="A460" i="4"/>
  <c r="F459" i="4"/>
  <c r="E459" i="4"/>
  <c r="D459" i="4"/>
  <c r="C459" i="4"/>
  <c r="B459" i="4"/>
  <c r="A459" i="4"/>
  <c r="E458" i="4"/>
  <c r="D458" i="4"/>
  <c r="C458" i="4"/>
  <c r="B458" i="4"/>
  <c r="A458" i="4"/>
  <c r="E457" i="4"/>
  <c r="D457" i="4"/>
  <c r="C457" i="4"/>
  <c r="B457" i="4"/>
  <c r="A457" i="4"/>
  <c r="E456" i="4"/>
  <c r="D456" i="4"/>
  <c r="C456" i="4"/>
  <c r="B456" i="4"/>
  <c r="A456" i="4"/>
  <c r="E455" i="4"/>
  <c r="D455" i="4"/>
  <c r="C455" i="4"/>
  <c r="B455" i="4"/>
  <c r="A455" i="4"/>
  <c r="F454" i="4"/>
  <c r="E454" i="4"/>
  <c r="D454" i="4"/>
  <c r="C454" i="4"/>
  <c r="B454" i="4"/>
  <c r="A454" i="4"/>
  <c r="E453" i="4"/>
  <c r="C453" i="4"/>
  <c r="B453" i="4"/>
  <c r="A453" i="4"/>
  <c r="E452" i="4"/>
  <c r="C452" i="4"/>
  <c r="B452" i="4"/>
  <c r="A452" i="4"/>
  <c r="E451" i="4"/>
  <c r="D451" i="4"/>
  <c r="C451" i="4"/>
  <c r="B451" i="4"/>
  <c r="A451" i="4"/>
  <c r="F450" i="4"/>
  <c r="E450" i="4"/>
  <c r="D450" i="4"/>
  <c r="C450" i="4"/>
  <c r="B450" i="4"/>
  <c r="A450" i="4"/>
  <c r="E449" i="4"/>
  <c r="D449" i="4"/>
  <c r="C449" i="4"/>
  <c r="B449" i="4"/>
  <c r="A449" i="4"/>
  <c r="E448" i="4"/>
  <c r="D448" i="4"/>
  <c r="C448" i="4"/>
  <c r="B448" i="4"/>
  <c r="A448" i="4"/>
  <c r="E447" i="4"/>
  <c r="D447" i="4"/>
  <c r="B447" i="4"/>
  <c r="A447" i="4"/>
  <c r="D446" i="4"/>
  <c r="B446" i="4"/>
  <c r="A446" i="4"/>
  <c r="E445" i="4"/>
  <c r="D445" i="4"/>
  <c r="C445" i="4"/>
  <c r="B445" i="4"/>
  <c r="A445" i="4"/>
  <c r="E444" i="4"/>
  <c r="D444" i="4"/>
  <c r="C444" i="4"/>
  <c r="B444" i="4"/>
  <c r="A444" i="4"/>
  <c r="E443" i="4"/>
  <c r="D443" i="4"/>
  <c r="C443" i="4"/>
  <c r="B443" i="4"/>
  <c r="A443" i="4"/>
  <c r="E442" i="4"/>
  <c r="D442" i="4"/>
  <c r="C442" i="4"/>
  <c r="B442" i="4"/>
  <c r="A442" i="4"/>
  <c r="E441" i="4"/>
  <c r="D441" i="4"/>
  <c r="C441" i="4"/>
  <c r="B441" i="4"/>
  <c r="A441" i="4"/>
  <c r="E440" i="4"/>
  <c r="D440" i="4"/>
  <c r="C440" i="4"/>
  <c r="B440" i="4"/>
  <c r="A440" i="4"/>
  <c r="E439" i="4"/>
  <c r="D439" i="4"/>
  <c r="B439" i="4"/>
  <c r="A439" i="4"/>
  <c r="E438" i="4"/>
  <c r="D438" i="4"/>
  <c r="C438" i="4"/>
  <c r="B438" i="4"/>
  <c r="A438" i="4"/>
  <c r="E437" i="4"/>
  <c r="D437" i="4"/>
  <c r="C437" i="4"/>
  <c r="B437" i="4"/>
  <c r="A437" i="4"/>
  <c r="E436" i="4"/>
  <c r="D436" i="4"/>
  <c r="C436" i="4"/>
  <c r="B436" i="4"/>
  <c r="A436" i="4"/>
  <c r="F435" i="4"/>
  <c r="E435" i="4"/>
  <c r="D435" i="4"/>
  <c r="C435" i="4"/>
  <c r="B435" i="4"/>
  <c r="A435" i="4"/>
  <c r="E434" i="4"/>
  <c r="D434" i="4"/>
  <c r="C434" i="4"/>
  <c r="B434" i="4"/>
  <c r="A434" i="4"/>
  <c r="E433" i="4"/>
  <c r="D433" i="4"/>
  <c r="C433" i="4"/>
  <c r="B433" i="4"/>
  <c r="A433" i="4"/>
  <c r="E432" i="4"/>
  <c r="D432" i="4"/>
  <c r="C432" i="4"/>
  <c r="B432" i="4"/>
  <c r="A432" i="4"/>
  <c r="E431" i="4"/>
  <c r="D431" i="4"/>
  <c r="C431" i="4"/>
  <c r="B431" i="4"/>
  <c r="A431" i="4"/>
  <c r="E430" i="4"/>
  <c r="D430" i="4"/>
  <c r="C430" i="4"/>
  <c r="B430" i="4"/>
  <c r="A430" i="4"/>
  <c r="F429" i="4"/>
  <c r="E429" i="4"/>
  <c r="D429" i="4"/>
  <c r="C429" i="4"/>
  <c r="B429" i="4"/>
  <c r="A429" i="4"/>
  <c r="E428" i="4"/>
  <c r="D428" i="4"/>
  <c r="C428" i="4"/>
  <c r="B428" i="4"/>
  <c r="A428" i="4"/>
  <c r="E427" i="4"/>
  <c r="D427" i="4"/>
  <c r="C427" i="4"/>
  <c r="B427" i="4"/>
  <c r="A427" i="4"/>
  <c r="E426"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D420" i="4"/>
  <c r="B420" i="4"/>
  <c r="A420" i="4"/>
  <c r="E419" i="4"/>
  <c r="D419" i="4"/>
  <c r="C419" i="4"/>
  <c r="B419" i="4"/>
  <c r="A419" i="4"/>
  <c r="E418" i="4"/>
  <c r="D418" i="4"/>
  <c r="C418" i="4"/>
  <c r="B418" i="4"/>
  <c r="A418" i="4"/>
  <c r="F417" i="4"/>
  <c r="E417" i="4"/>
  <c r="D417" i="4"/>
  <c r="C417" i="4"/>
  <c r="B417" i="4"/>
  <c r="A417" i="4"/>
  <c r="E416" i="4"/>
  <c r="D416" i="4"/>
  <c r="C416" i="4"/>
  <c r="B416" i="4"/>
  <c r="A416" i="4"/>
  <c r="E415" i="4"/>
  <c r="D415" i="4"/>
  <c r="C415" i="4"/>
  <c r="B415" i="4"/>
  <c r="A415" i="4"/>
  <c r="E414" i="4"/>
  <c r="D414" i="4"/>
  <c r="C414" i="4"/>
  <c r="B414" i="4"/>
  <c r="A414" i="4"/>
  <c r="E413" i="4"/>
  <c r="D413" i="4"/>
  <c r="C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E401" i="4"/>
  <c r="D401" i="4"/>
  <c r="C401" i="4"/>
  <c r="B401" i="4"/>
  <c r="A401" i="4"/>
  <c r="E400" i="4"/>
  <c r="D400" i="4"/>
  <c r="C400" i="4"/>
  <c r="B400" i="4"/>
  <c r="A400" i="4"/>
  <c r="F399" i="4"/>
  <c r="E399" i="4"/>
  <c r="D399" i="4"/>
  <c r="C399" i="4"/>
  <c r="B399" i="4"/>
  <c r="A399" i="4"/>
  <c r="E398" i="4"/>
  <c r="D398" i="4"/>
  <c r="C398" i="4"/>
  <c r="B398" i="4"/>
  <c r="A398" i="4"/>
  <c r="E397" i="4"/>
  <c r="D397" i="4"/>
  <c r="C397" i="4"/>
  <c r="B397" i="4"/>
  <c r="A397" i="4"/>
  <c r="E396" i="4"/>
  <c r="D396" i="4"/>
  <c r="C396" i="4"/>
  <c r="B396" i="4"/>
  <c r="A396" i="4"/>
  <c r="E395" i="4"/>
  <c r="C395" i="4"/>
  <c r="B395" i="4"/>
  <c r="A395" i="4"/>
  <c r="E394" i="4"/>
  <c r="D394" i="4"/>
  <c r="C394" i="4"/>
  <c r="B394" i="4"/>
  <c r="A394" i="4"/>
  <c r="E393" i="4"/>
  <c r="D393" i="4"/>
  <c r="C393" i="4"/>
  <c r="B393" i="4"/>
  <c r="A393" i="4"/>
  <c r="F392" i="4"/>
  <c r="E392" i="4"/>
  <c r="D392" i="4"/>
  <c r="C392" i="4"/>
  <c r="B392" i="4"/>
  <c r="A392" i="4"/>
  <c r="E391" i="4"/>
  <c r="D391" i="4"/>
  <c r="C391" i="4"/>
  <c r="B391" i="4"/>
  <c r="A391" i="4"/>
  <c r="F390" i="4"/>
  <c r="E390" i="4"/>
  <c r="D390" i="4"/>
  <c r="C390" i="4"/>
  <c r="B390" i="4"/>
  <c r="A390" i="4"/>
  <c r="E389" i="4"/>
  <c r="D389" i="4"/>
  <c r="C389" i="4"/>
  <c r="B389" i="4"/>
  <c r="A389" i="4"/>
  <c r="E388" i="4"/>
  <c r="C388" i="4"/>
  <c r="B388" i="4"/>
  <c r="A388" i="4"/>
  <c r="E387" i="4"/>
  <c r="D387" i="4"/>
  <c r="C387" i="4"/>
  <c r="B387" i="4"/>
  <c r="A387" i="4"/>
  <c r="E386" i="4"/>
  <c r="D386" i="4"/>
  <c r="C386" i="4"/>
  <c r="B386" i="4"/>
  <c r="A386" i="4"/>
  <c r="E385" i="4"/>
  <c r="D385" i="4"/>
  <c r="C385" i="4"/>
  <c r="B385" i="4"/>
  <c r="A385" i="4"/>
  <c r="E384" i="4"/>
  <c r="C384" i="4"/>
  <c r="B384" i="4"/>
  <c r="A384" i="4"/>
  <c r="E383" i="4"/>
  <c r="D383" i="4"/>
  <c r="C383" i="4"/>
  <c r="B383" i="4"/>
  <c r="A383" i="4"/>
  <c r="E382" i="4"/>
  <c r="D382" i="4"/>
  <c r="C382" i="4"/>
  <c r="B382" i="4"/>
  <c r="A382" i="4"/>
  <c r="E381" i="4"/>
  <c r="D381" i="4"/>
  <c r="C381" i="4"/>
  <c r="B381" i="4"/>
  <c r="A381" i="4"/>
  <c r="E380" i="4"/>
  <c r="D380" i="4"/>
  <c r="C380" i="4"/>
  <c r="B380" i="4"/>
  <c r="A380" i="4"/>
  <c r="E379" i="4"/>
  <c r="D379" i="4"/>
  <c r="C379" i="4"/>
  <c r="B379" i="4"/>
  <c r="A379" i="4"/>
  <c r="E378" i="4"/>
  <c r="D378" i="4"/>
  <c r="C378" i="4"/>
  <c r="B378" i="4"/>
  <c r="A378" i="4"/>
  <c r="E377" i="4"/>
  <c r="D377" i="4"/>
  <c r="C377" i="4"/>
  <c r="B377" i="4"/>
  <c r="A377" i="4"/>
  <c r="E376" i="4"/>
  <c r="D376" i="4"/>
  <c r="C376" i="4"/>
  <c r="B376" i="4"/>
  <c r="A376" i="4"/>
  <c r="E375" i="4"/>
  <c r="D375" i="4"/>
  <c r="C375" i="4"/>
  <c r="B375" i="4"/>
  <c r="A375" i="4"/>
  <c r="E374" i="4"/>
  <c r="D374" i="4"/>
  <c r="C374" i="4"/>
  <c r="B374" i="4"/>
  <c r="A374" i="4"/>
  <c r="E373" i="4"/>
  <c r="C373" i="4"/>
  <c r="B373" i="4"/>
  <c r="A373" i="4"/>
  <c r="E372" i="4"/>
  <c r="C372" i="4"/>
  <c r="B372" i="4"/>
  <c r="A372" i="4"/>
  <c r="E371" i="4"/>
  <c r="D371" i="4"/>
  <c r="C371" i="4"/>
  <c r="B371" i="4"/>
  <c r="A371" i="4"/>
  <c r="E370" i="4"/>
  <c r="D370" i="4"/>
  <c r="C370" i="4"/>
  <c r="B370" i="4"/>
  <c r="A370" i="4"/>
  <c r="E369" i="4"/>
  <c r="D369" i="4"/>
  <c r="C369" i="4"/>
  <c r="B369" i="4"/>
  <c r="A369" i="4"/>
  <c r="E368" i="4"/>
  <c r="D368" i="4"/>
  <c r="C368" i="4"/>
  <c r="B368" i="4"/>
  <c r="A368" i="4"/>
  <c r="E367" i="4"/>
  <c r="C367" i="4"/>
  <c r="B367" i="4"/>
  <c r="A367" i="4"/>
  <c r="E366" i="4"/>
  <c r="D366" i="4"/>
  <c r="C366" i="4"/>
  <c r="B366" i="4"/>
  <c r="A366" i="4"/>
  <c r="E365" i="4"/>
  <c r="D365" i="4"/>
  <c r="C365" i="4"/>
  <c r="B365" i="4"/>
  <c r="A365" i="4"/>
  <c r="E364" i="4"/>
  <c r="D364" i="4"/>
  <c r="C364" i="4"/>
  <c r="B364" i="4"/>
  <c r="A364" i="4"/>
  <c r="E363" i="4"/>
  <c r="D363" i="4"/>
  <c r="B363" i="4"/>
  <c r="A363" i="4"/>
  <c r="E362" i="4"/>
  <c r="D362" i="4"/>
  <c r="B362" i="4"/>
  <c r="A362" i="4"/>
  <c r="E361" i="4"/>
  <c r="D361" i="4"/>
  <c r="B361" i="4"/>
  <c r="A361" i="4"/>
  <c r="F360" i="4"/>
  <c r="E360" i="4"/>
  <c r="D360" i="4"/>
  <c r="C360" i="4"/>
  <c r="B360" i="4"/>
  <c r="A360" i="4"/>
  <c r="F359" i="4"/>
  <c r="E359" i="4"/>
  <c r="D359" i="4"/>
  <c r="C359" i="4"/>
  <c r="B359" i="4"/>
  <c r="A359" i="4"/>
  <c r="F358" i="4"/>
  <c r="E358" i="4"/>
  <c r="D358" i="4"/>
  <c r="C358" i="4"/>
  <c r="B358" i="4"/>
  <c r="A358" i="4"/>
  <c r="E357" i="4"/>
  <c r="D357" i="4"/>
  <c r="C357" i="4"/>
  <c r="B357" i="4"/>
  <c r="A357" i="4"/>
  <c r="E356" i="4"/>
  <c r="D356" i="4"/>
  <c r="B356" i="4"/>
  <c r="A356" i="4"/>
  <c r="E355" i="4"/>
  <c r="D355" i="4"/>
  <c r="B355" i="4"/>
  <c r="A355" i="4"/>
  <c r="E354" i="4"/>
  <c r="D354" i="4"/>
  <c r="C354" i="4"/>
  <c r="B354" i="4"/>
  <c r="A354" i="4"/>
  <c r="E353" i="4"/>
  <c r="D353" i="4"/>
  <c r="B353" i="4"/>
  <c r="A353" i="4"/>
  <c r="E352" i="4"/>
  <c r="D352" i="4"/>
  <c r="B352" i="4"/>
  <c r="A352" i="4"/>
  <c r="E351" i="4"/>
  <c r="D351" i="4"/>
  <c r="B351" i="4"/>
  <c r="A351" i="4"/>
  <c r="F350" i="4"/>
  <c r="E350" i="4"/>
  <c r="D350" i="4"/>
  <c r="C350" i="4"/>
  <c r="B350" i="4"/>
  <c r="A350" i="4"/>
  <c r="E349" i="4"/>
  <c r="D349" i="4"/>
  <c r="B349" i="4"/>
  <c r="A349" i="4"/>
  <c r="E348" i="4"/>
  <c r="D348" i="4"/>
  <c r="C348" i="4"/>
  <c r="B348" i="4"/>
  <c r="A348" i="4"/>
  <c r="E347" i="4"/>
  <c r="D347" i="4"/>
  <c r="C347" i="4"/>
  <c r="B347" i="4"/>
  <c r="A347" i="4"/>
  <c r="E346" i="4"/>
  <c r="D346" i="4"/>
  <c r="C346" i="4"/>
  <c r="B346" i="4"/>
  <c r="A346" i="4"/>
  <c r="E345" i="4"/>
  <c r="D345" i="4"/>
  <c r="C345" i="4"/>
  <c r="B345" i="4"/>
  <c r="A345" i="4"/>
  <c r="E344" i="4"/>
  <c r="D344" i="4"/>
  <c r="C344" i="4"/>
  <c r="B344" i="4"/>
  <c r="A344" i="4"/>
  <c r="E343" i="4"/>
  <c r="D343" i="4"/>
  <c r="C343" i="4"/>
  <c r="B343" i="4"/>
  <c r="A343" i="4"/>
  <c r="F342" i="4"/>
  <c r="E342" i="4"/>
  <c r="D342" i="4"/>
  <c r="C342" i="4"/>
  <c r="B342" i="4"/>
  <c r="A342" i="4"/>
  <c r="E341"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E335" i="4"/>
  <c r="D335" i="4"/>
  <c r="C335" i="4"/>
  <c r="B335" i="4"/>
  <c r="A335" i="4"/>
  <c r="D334" i="4"/>
  <c r="B334" i="4"/>
  <c r="A334" i="4"/>
  <c r="E333" i="4"/>
  <c r="D333" i="4"/>
  <c r="C333" i="4"/>
  <c r="B333" i="4"/>
  <c r="A333" i="4"/>
  <c r="E332" i="4"/>
  <c r="D332" i="4"/>
  <c r="C332" i="4"/>
  <c r="B332" i="4"/>
  <c r="A332" i="4"/>
  <c r="E331" i="4"/>
  <c r="D331" i="4"/>
  <c r="C331" i="4"/>
  <c r="B331" i="4"/>
  <c r="A331" i="4"/>
  <c r="E330" i="4"/>
  <c r="D330" i="4"/>
  <c r="C330" i="4"/>
  <c r="B330" i="4"/>
  <c r="A330" i="4"/>
  <c r="E329" i="4"/>
  <c r="D329" i="4"/>
  <c r="C329" i="4"/>
  <c r="B329" i="4"/>
  <c r="A329" i="4"/>
  <c r="E328" i="4"/>
  <c r="D328" i="4"/>
  <c r="B328" i="4"/>
  <c r="A328" i="4"/>
  <c r="E327" i="4"/>
  <c r="D327" i="4"/>
  <c r="B327" i="4"/>
  <c r="A327" i="4"/>
  <c r="E326" i="4"/>
  <c r="D326" i="4"/>
  <c r="B326" i="4"/>
  <c r="A326" i="4"/>
  <c r="E325" i="4"/>
  <c r="D325" i="4"/>
  <c r="B325" i="4"/>
  <c r="A325" i="4"/>
  <c r="E324" i="4"/>
  <c r="D324" i="4"/>
  <c r="B324" i="4"/>
  <c r="A324" i="4"/>
  <c r="E323" i="4"/>
  <c r="C323" i="4"/>
  <c r="B323" i="4"/>
  <c r="A323" i="4"/>
  <c r="E322" i="4"/>
  <c r="D322" i="4"/>
  <c r="C322" i="4"/>
  <c r="B322" i="4"/>
  <c r="A322" i="4"/>
  <c r="E321" i="4"/>
  <c r="D321" i="4"/>
  <c r="B321" i="4"/>
  <c r="A321" i="4"/>
  <c r="E320" i="4"/>
  <c r="D320" i="4"/>
  <c r="B320" i="4"/>
  <c r="A320" i="4"/>
  <c r="E319" i="4"/>
  <c r="D319" i="4"/>
  <c r="B319" i="4"/>
  <c r="A319" i="4"/>
  <c r="E318" i="4"/>
  <c r="D318" i="4"/>
  <c r="C318" i="4"/>
  <c r="B318" i="4"/>
  <c r="A318" i="4"/>
  <c r="E317" i="4"/>
  <c r="D317" i="4"/>
  <c r="C317" i="4"/>
  <c r="B317" i="4"/>
  <c r="A317" i="4"/>
  <c r="E316" i="4"/>
  <c r="D316" i="4"/>
  <c r="C316" i="4"/>
  <c r="B316" i="4"/>
  <c r="A316" i="4"/>
  <c r="E315" i="4"/>
  <c r="D315" i="4"/>
  <c r="C315" i="4"/>
  <c r="B315" i="4"/>
  <c r="A315" i="4"/>
  <c r="E314" i="4"/>
  <c r="D314" i="4"/>
  <c r="C314" i="4"/>
  <c r="B314" i="4"/>
  <c r="A314" i="4"/>
  <c r="E313" i="4"/>
  <c r="D313" i="4"/>
  <c r="C313" i="4"/>
  <c r="B313" i="4"/>
  <c r="A313" i="4"/>
  <c r="E312" i="4"/>
  <c r="D312" i="4"/>
  <c r="C312" i="4"/>
  <c r="B312" i="4"/>
  <c r="A312" i="4"/>
  <c r="E311" i="4"/>
  <c r="D311" i="4"/>
  <c r="C311" i="4"/>
  <c r="B311" i="4"/>
  <c r="A311" i="4"/>
  <c r="E310" i="4"/>
  <c r="D310" i="4"/>
  <c r="C310" i="4"/>
  <c r="B310" i="4"/>
  <c r="A310" i="4"/>
  <c r="E309" i="4"/>
  <c r="D309" i="4"/>
  <c r="C309" i="4"/>
  <c r="B309" i="4"/>
  <c r="A309" i="4"/>
  <c r="E308" i="4"/>
  <c r="D308" i="4"/>
  <c r="C308" i="4"/>
  <c r="B308" i="4"/>
  <c r="A308" i="4"/>
  <c r="E307" i="4"/>
  <c r="D307" i="4"/>
  <c r="C307" i="4"/>
  <c r="B307" i="4"/>
  <c r="A307" i="4"/>
  <c r="E306" i="4"/>
  <c r="D306" i="4"/>
  <c r="B306" i="4"/>
  <c r="A306" i="4"/>
  <c r="E305" i="4"/>
  <c r="D305" i="4"/>
  <c r="B305" i="4"/>
  <c r="A305" i="4"/>
  <c r="E304" i="4"/>
  <c r="D304" i="4"/>
  <c r="B304" i="4"/>
  <c r="A304" i="4"/>
  <c r="E303" i="4"/>
  <c r="D303" i="4"/>
  <c r="C303" i="4"/>
  <c r="B303" i="4"/>
  <c r="A303" i="4"/>
  <c r="E302" i="4"/>
  <c r="D302" i="4"/>
  <c r="C302" i="4"/>
  <c r="B302" i="4"/>
  <c r="A302" i="4"/>
  <c r="E301" i="4"/>
  <c r="D301" i="4"/>
  <c r="C301" i="4"/>
  <c r="B301" i="4"/>
  <c r="A301" i="4"/>
  <c r="E300" i="4"/>
  <c r="D300" i="4"/>
  <c r="C300" i="4"/>
  <c r="B300" i="4"/>
  <c r="A300" i="4"/>
  <c r="E299" i="4"/>
  <c r="D299" i="4"/>
  <c r="C299" i="4"/>
  <c r="B299" i="4"/>
  <c r="A299" i="4"/>
  <c r="E298" i="4"/>
  <c r="D298" i="4"/>
  <c r="C298" i="4"/>
  <c r="B298" i="4"/>
  <c r="A298" i="4"/>
  <c r="E297" i="4"/>
  <c r="D297" i="4"/>
  <c r="C297" i="4"/>
  <c r="B297" i="4"/>
  <c r="A297" i="4"/>
  <c r="E296" i="4"/>
  <c r="D296" i="4"/>
  <c r="C296" i="4"/>
  <c r="B296" i="4"/>
  <c r="A296" i="4"/>
  <c r="E295" i="4"/>
  <c r="D295" i="4"/>
  <c r="C295" i="4"/>
  <c r="B295" i="4"/>
  <c r="A295" i="4"/>
  <c r="E294" i="4"/>
  <c r="D294" i="4"/>
  <c r="B294" i="4"/>
  <c r="A294" i="4"/>
  <c r="E293" i="4"/>
  <c r="D293" i="4"/>
  <c r="B293" i="4"/>
  <c r="A293" i="4"/>
  <c r="E292" i="4"/>
  <c r="D292" i="4"/>
  <c r="C292" i="4"/>
  <c r="B292" i="4"/>
  <c r="A292" i="4"/>
  <c r="E291" i="4"/>
  <c r="D291" i="4"/>
  <c r="B291" i="4"/>
  <c r="A291" i="4"/>
  <c r="E290" i="4"/>
  <c r="D290" i="4"/>
  <c r="C290" i="4"/>
  <c r="B290" i="4"/>
  <c r="A290" i="4"/>
  <c r="E289" i="4"/>
  <c r="D289" i="4"/>
  <c r="C289" i="4"/>
  <c r="B289" i="4"/>
  <c r="A289" i="4"/>
  <c r="E288" i="4"/>
  <c r="D288" i="4"/>
  <c r="C288" i="4"/>
  <c r="B288" i="4"/>
  <c r="A288" i="4"/>
  <c r="E287" i="4"/>
  <c r="D287" i="4"/>
  <c r="C287" i="4"/>
  <c r="B287" i="4"/>
  <c r="A287" i="4"/>
  <c r="E286" i="4"/>
  <c r="D286" i="4"/>
  <c r="C286" i="4"/>
  <c r="B286" i="4"/>
  <c r="A286" i="4"/>
  <c r="E285" i="4"/>
  <c r="D285" i="4"/>
  <c r="C285" i="4"/>
  <c r="B285" i="4"/>
  <c r="A285" i="4"/>
  <c r="E284" i="4"/>
  <c r="D284" i="4"/>
  <c r="C284" i="4"/>
  <c r="B284" i="4"/>
  <c r="A284" i="4"/>
  <c r="E283" i="4"/>
  <c r="D283" i="4"/>
  <c r="C283" i="4"/>
  <c r="B283" i="4"/>
  <c r="A283" i="4"/>
  <c r="E282" i="4"/>
  <c r="D282" i="4"/>
  <c r="C282" i="4"/>
  <c r="B282" i="4"/>
  <c r="A282" i="4"/>
  <c r="E281" i="4"/>
  <c r="D281" i="4"/>
  <c r="B281" i="4"/>
  <c r="A281" i="4"/>
  <c r="E280" i="4"/>
  <c r="D280" i="4"/>
  <c r="B280" i="4"/>
  <c r="A280" i="4"/>
  <c r="E279" i="4"/>
  <c r="D279" i="4"/>
  <c r="B279" i="4"/>
  <c r="A279" i="4"/>
  <c r="E278" i="4"/>
  <c r="D278" i="4"/>
  <c r="B278" i="4"/>
  <c r="A278" i="4"/>
  <c r="D277" i="4"/>
  <c r="B277" i="4"/>
  <c r="A277" i="4"/>
  <c r="C276" i="4"/>
  <c r="B276" i="4"/>
  <c r="A276" i="4"/>
  <c r="C275" i="4"/>
  <c r="B275" i="4"/>
  <c r="A275" i="4"/>
  <c r="C274" i="4"/>
  <c r="B274" i="4"/>
  <c r="A274" i="4"/>
  <c r="C273" i="4"/>
  <c r="B273" i="4"/>
  <c r="A273" i="4"/>
  <c r="B272" i="4"/>
  <c r="A272" i="4"/>
  <c r="E271" i="4"/>
  <c r="D271" i="4"/>
  <c r="C271" i="4"/>
  <c r="B271" i="4"/>
  <c r="A271" i="4"/>
  <c r="E270" i="4"/>
  <c r="D270" i="4"/>
  <c r="C270" i="4"/>
  <c r="B270" i="4"/>
  <c r="A270" i="4"/>
  <c r="B269" i="4"/>
  <c r="A269" i="4"/>
  <c r="E268" i="4"/>
  <c r="D268" i="4"/>
  <c r="C268" i="4"/>
  <c r="B268" i="4"/>
  <c r="A268" i="4"/>
  <c r="E267" i="4"/>
  <c r="D267" i="4"/>
  <c r="C267" i="4"/>
  <c r="B267" i="4"/>
  <c r="A267" i="4"/>
  <c r="E266" i="4"/>
  <c r="D266" i="4"/>
  <c r="B266" i="4"/>
  <c r="A266" i="4"/>
  <c r="E265" i="4"/>
  <c r="D265" i="4"/>
  <c r="B265" i="4"/>
  <c r="A265" i="4"/>
  <c r="E264" i="4"/>
  <c r="D264" i="4"/>
  <c r="B264" i="4"/>
  <c r="A264" i="4"/>
  <c r="E263" i="4"/>
  <c r="D263" i="4"/>
  <c r="C263" i="4"/>
  <c r="B263" i="4"/>
  <c r="A263" i="4"/>
  <c r="E262" i="4"/>
  <c r="D262" i="4"/>
  <c r="C262" i="4"/>
  <c r="B262" i="4"/>
  <c r="A262" i="4"/>
  <c r="E261" i="4"/>
  <c r="D261" i="4"/>
  <c r="C261" i="4"/>
  <c r="B261" i="4"/>
  <c r="A261" i="4"/>
  <c r="E260" i="4"/>
  <c r="D260" i="4"/>
  <c r="C260" i="4"/>
  <c r="B260" i="4"/>
  <c r="A260" i="4"/>
  <c r="E259" i="4"/>
  <c r="D259" i="4"/>
  <c r="C259" i="4"/>
  <c r="B259" i="4"/>
  <c r="A259" i="4"/>
  <c r="E258" i="4"/>
  <c r="C258" i="4"/>
  <c r="B258" i="4"/>
  <c r="A258" i="4"/>
  <c r="E257" i="4"/>
  <c r="D257" i="4"/>
  <c r="C257" i="4"/>
  <c r="B257" i="4"/>
  <c r="A257" i="4"/>
  <c r="E256" i="4"/>
  <c r="D256" i="4"/>
  <c r="C256" i="4"/>
  <c r="B256" i="4"/>
  <c r="A256" i="4"/>
  <c r="E255" i="4"/>
  <c r="D255" i="4"/>
  <c r="C255" i="4"/>
  <c r="B255" i="4"/>
  <c r="A255" i="4"/>
  <c r="E254" i="4"/>
  <c r="D254" i="4"/>
  <c r="C254" i="4"/>
  <c r="B254" i="4"/>
  <c r="A254" i="4"/>
  <c r="E253" i="4"/>
  <c r="D253" i="4"/>
  <c r="C253" i="4"/>
  <c r="B253" i="4"/>
  <c r="A253" i="4"/>
  <c r="E252" i="4"/>
  <c r="D252" i="4"/>
  <c r="C252" i="4"/>
  <c r="B252" i="4"/>
  <c r="A252" i="4"/>
  <c r="E251" i="4"/>
  <c r="D251" i="4"/>
  <c r="C251" i="4"/>
  <c r="B251" i="4"/>
  <c r="A251" i="4"/>
  <c r="F250" i="4"/>
  <c r="E250" i="4"/>
  <c r="D250" i="4"/>
  <c r="C250" i="4"/>
  <c r="B250" i="4"/>
  <c r="A250" i="4"/>
  <c r="E249" i="4"/>
  <c r="D249" i="4"/>
  <c r="C249" i="4"/>
  <c r="B249" i="4"/>
  <c r="A249" i="4"/>
  <c r="E248" i="4"/>
  <c r="D248" i="4"/>
  <c r="C248" i="4"/>
  <c r="B248" i="4"/>
  <c r="A248" i="4"/>
  <c r="E247" i="4"/>
  <c r="D247" i="4"/>
  <c r="C247" i="4"/>
  <c r="B247" i="4"/>
  <c r="A247" i="4"/>
  <c r="E246" i="4"/>
  <c r="D246" i="4"/>
  <c r="C246" i="4"/>
  <c r="B246" i="4"/>
  <c r="A246" i="4"/>
  <c r="E245" i="4"/>
  <c r="D245" i="4"/>
  <c r="C245" i="4"/>
  <c r="B245" i="4"/>
  <c r="A245" i="4"/>
  <c r="E244" i="4"/>
  <c r="D244" i="4"/>
  <c r="C244" i="4"/>
  <c r="B244" i="4"/>
  <c r="A244" i="4"/>
  <c r="E243" i="4"/>
  <c r="D243" i="4"/>
  <c r="C243" i="4"/>
  <c r="B243" i="4"/>
  <c r="A243" i="4"/>
  <c r="E242" i="4"/>
  <c r="D242" i="4"/>
  <c r="C242" i="4"/>
  <c r="B242" i="4"/>
  <c r="A242" i="4"/>
  <c r="E241" i="4"/>
  <c r="D241" i="4"/>
  <c r="C241" i="4"/>
  <c r="B241" i="4"/>
  <c r="A241" i="4"/>
  <c r="E240" i="4"/>
  <c r="D240" i="4"/>
  <c r="C240" i="4"/>
  <c r="B240" i="4"/>
  <c r="A240" i="4"/>
  <c r="E239" i="4"/>
  <c r="D239" i="4"/>
  <c r="C239" i="4"/>
  <c r="B239" i="4"/>
  <c r="A239" i="4"/>
  <c r="E238" i="4"/>
  <c r="D238" i="4"/>
  <c r="C238" i="4"/>
  <c r="B238" i="4"/>
  <c r="A238" i="4"/>
  <c r="E237" i="4"/>
  <c r="C237" i="4"/>
  <c r="B237" i="4"/>
  <c r="A237" i="4"/>
  <c r="E236" i="4"/>
  <c r="C236" i="4"/>
  <c r="B236" i="4"/>
  <c r="A236" i="4"/>
  <c r="E235" i="4"/>
  <c r="D235" i="4"/>
  <c r="C235" i="4"/>
  <c r="B235" i="4"/>
  <c r="A235" i="4"/>
  <c r="F234" i="4"/>
  <c r="E234" i="4"/>
  <c r="D234" i="4"/>
  <c r="C234" i="4"/>
  <c r="B234" i="4"/>
  <c r="A234" i="4"/>
  <c r="E233" i="4"/>
  <c r="D233" i="4"/>
  <c r="B233" i="4"/>
  <c r="A233" i="4"/>
  <c r="E232" i="4"/>
  <c r="D232" i="4"/>
  <c r="C232" i="4"/>
  <c r="B232" i="4"/>
  <c r="A232" i="4"/>
  <c r="E231" i="4"/>
  <c r="D231" i="4"/>
  <c r="C231" i="4"/>
  <c r="B231" i="4"/>
  <c r="A231" i="4"/>
  <c r="E230" i="4"/>
  <c r="D230" i="4"/>
  <c r="C230" i="4"/>
  <c r="B230" i="4"/>
  <c r="A230" i="4"/>
  <c r="E229" i="4"/>
  <c r="D229" i="4"/>
  <c r="C229" i="4"/>
  <c r="B229" i="4"/>
  <c r="A229" i="4"/>
  <c r="E228" i="4"/>
  <c r="D228" i="4"/>
  <c r="C228" i="4"/>
  <c r="B228" i="4"/>
  <c r="A228" i="4"/>
  <c r="E227" i="4"/>
  <c r="D227" i="4"/>
  <c r="C227" i="4"/>
  <c r="B227" i="4"/>
  <c r="A227" i="4"/>
  <c r="E226" i="4"/>
  <c r="D226" i="4"/>
  <c r="C226" i="4"/>
  <c r="B226" i="4"/>
  <c r="A226" i="4"/>
  <c r="E225" i="4"/>
  <c r="D225" i="4"/>
  <c r="C225" i="4"/>
  <c r="B225" i="4"/>
  <c r="A225" i="4"/>
  <c r="E224" i="4"/>
  <c r="D224" i="4"/>
  <c r="C224" i="4"/>
  <c r="B224" i="4"/>
  <c r="A224" i="4"/>
  <c r="E223" i="4"/>
  <c r="D223" i="4"/>
  <c r="C223" i="4"/>
  <c r="B223" i="4"/>
  <c r="A223" i="4"/>
  <c r="E222" i="4"/>
  <c r="D222" i="4"/>
  <c r="C222" i="4"/>
  <c r="B222" i="4"/>
  <c r="A222" i="4"/>
  <c r="E221" i="4"/>
  <c r="D221" i="4"/>
  <c r="C221" i="4"/>
  <c r="B221" i="4"/>
  <c r="A221" i="4"/>
  <c r="E220" i="4"/>
  <c r="D220" i="4"/>
  <c r="C220" i="4"/>
  <c r="B220" i="4"/>
  <c r="A220" i="4"/>
  <c r="E219" i="4"/>
  <c r="D219" i="4"/>
  <c r="C219" i="4"/>
  <c r="B219" i="4"/>
  <c r="A219" i="4"/>
  <c r="C218" i="4"/>
  <c r="B218" i="4"/>
  <c r="A218" i="4"/>
  <c r="E217" i="4"/>
  <c r="D217" i="4"/>
  <c r="C217" i="4"/>
  <c r="B217" i="4"/>
  <c r="A217" i="4"/>
  <c r="F216" i="4"/>
  <c r="E216" i="4"/>
  <c r="D216" i="4"/>
  <c r="C216" i="4"/>
  <c r="B216" i="4"/>
  <c r="A216" i="4"/>
  <c r="E215" i="4"/>
  <c r="D215" i="4"/>
  <c r="C215" i="4"/>
  <c r="B215" i="4"/>
  <c r="A215" i="4"/>
  <c r="E214" i="4"/>
  <c r="D214" i="4"/>
  <c r="C214" i="4"/>
  <c r="B214" i="4"/>
  <c r="A214" i="4"/>
  <c r="B213" i="4"/>
  <c r="A213" i="4"/>
  <c r="F212" i="4"/>
  <c r="E212" i="4"/>
  <c r="D212" i="4"/>
  <c r="C212" i="4"/>
  <c r="B212" i="4"/>
  <c r="A212" i="4"/>
  <c r="E211" i="4"/>
  <c r="D211" i="4"/>
  <c r="C211" i="4"/>
  <c r="B211" i="4"/>
  <c r="A211" i="4"/>
  <c r="E210" i="4"/>
  <c r="D210" i="4"/>
  <c r="B210" i="4"/>
  <c r="A210" i="4"/>
  <c r="E209" i="4"/>
  <c r="D209" i="4"/>
  <c r="B209" i="4"/>
  <c r="A209" i="4"/>
  <c r="E208" i="4"/>
  <c r="D208" i="4"/>
  <c r="C208" i="4"/>
  <c r="B208" i="4"/>
  <c r="A208" i="4"/>
  <c r="E207" i="4"/>
  <c r="D207" i="4"/>
  <c r="C207" i="4"/>
  <c r="B207" i="4"/>
  <c r="A207" i="4"/>
  <c r="E206" i="4"/>
  <c r="D206" i="4"/>
  <c r="C206" i="4"/>
  <c r="B206" i="4"/>
  <c r="A206" i="4"/>
  <c r="E205" i="4"/>
  <c r="D205" i="4"/>
  <c r="C205" i="4"/>
  <c r="B205" i="4"/>
  <c r="A205" i="4"/>
  <c r="F204" i="4"/>
  <c r="E204" i="4"/>
  <c r="D204" i="4"/>
  <c r="C204" i="4"/>
  <c r="B204" i="4"/>
  <c r="A204" i="4"/>
  <c r="E203" i="4"/>
  <c r="D203" i="4"/>
  <c r="C203" i="4"/>
  <c r="B203" i="4"/>
  <c r="A203" i="4"/>
  <c r="E202" i="4"/>
  <c r="D202" i="4"/>
  <c r="C202" i="4"/>
  <c r="B202" i="4"/>
  <c r="A202" i="4"/>
  <c r="E201" i="4"/>
  <c r="D201" i="4"/>
  <c r="C201" i="4"/>
  <c r="B201" i="4"/>
  <c r="A201" i="4"/>
  <c r="E200" i="4"/>
  <c r="D200" i="4"/>
  <c r="C200" i="4"/>
  <c r="B200" i="4"/>
  <c r="A200" i="4"/>
  <c r="E199" i="4"/>
  <c r="D199" i="4"/>
  <c r="C199" i="4"/>
  <c r="B199" i="4"/>
  <c r="A199" i="4"/>
  <c r="E198" i="4"/>
  <c r="D198" i="4"/>
  <c r="B198" i="4"/>
  <c r="A198" i="4"/>
  <c r="E197" i="4"/>
  <c r="D197" i="4"/>
  <c r="B197" i="4"/>
  <c r="A197" i="4"/>
  <c r="E196" i="4"/>
  <c r="D196" i="4"/>
  <c r="C196" i="4"/>
  <c r="B196" i="4"/>
  <c r="A196" i="4"/>
  <c r="E195" i="4"/>
  <c r="D195" i="4"/>
  <c r="B195" i="4"/>
  <c r="A195" i="4"/>
  <c r="E194" i="4"/>
  <c r="D194" i="4"/>
  <c r="C194" i="4"/>
  <c r="B194" i="4"/>
  <c r="A194" i="4"/>
  <c r="E193" i="4"/>
  <c r="D193" i="4"/>
  <c r="C193" i="4"/>
  <c r="B193" i="4"/>
  <c r="A193" i="4"/>
  <c r="E192" i="4"/>
  <c r="C192" i="4"/>
  <c r="B192" i="4"/>
  <c r="A192" i="4"/>
  <c r="E191" i="4"/>
  <c r="D191" i="4"/>
  <c r="C191" i="4"/>
  <c r="B191" i="4"/>
  <c r="A191" i="4"/>
  <c r="E190" i="4"/>
  <c r="D190" i="4"/>
  <c r="B190" i="4"/>
  <c r="A190" i="4"/>
  <c r="E189" i="4"/>
  <c r="D189" i="4"/>
  <c r="B189" i="4"/>
  <c r="A189" i="4"/>
  <c r="E188" i="4"/>
  <c r="D188" i="4"/>
  <c r="B188" i="4"/>
  <c r="A188" i="4"/>
  <c r="E187" i="4"/>
  <c r="D187" i="4"/>
  <c r="B187" i="4"/>
  <c r="A187" i="4"/>
  <c r="E186" i="4"/>
  <c r="D186" i="4"/>
  <c r="B186" i="4"/>
  <c r="A186" i="4"/>
  <c r="E185" i="4"/>
  <c r="D185" i="4"/>
  <c r="C185" i="4"/>
  <c r="B185" i="4"/>
  <c r="A185" i="4"/>
  <c r="E184" i="4"/>
  <c r="D184" i="4"/>
  <c r="B184" i="4"/>
  <c r="A184" i="4"/>
  <c r="E183" i="4"/>
  <c r="C183" i="4"/>
  <c r="B183" i="4"/>
  <c r="A183" i="4"/>
  <c r="E182" i="4"/>
  <c r="D182" i="4"/>
  <c r="C182" i="4"/>
  <c r="B182" i="4"/>
  <c r="A182" i="4"/>
  <c r="B181" i="4"/>
  <c r="A181" i="4"/>
  <c r="B180" i="4"/>
  <c r="A180" i="4"/>
  <c r="B179" i="4"/>
  <c r="A179" i="4"/>
  <c r="B178" i="4"/>
  <c r="A178" i="4"/>
  <c r="E177" i="4"/>
  <c r="D177" i="4"/>
  <c r="C177" i="4"/>
  <c r="B177" i="4"/>
  <c r="A177" i="4"/>
  <c r="E176" i="4"/>
  <c r="D176" i="4"/>
  <c r="C176" i="4"/>
  <c r="B176" i="4"/>
  <c r="A176" i="4"/>
  <c r="E175" i="4"/>
  <c r="D175" i="4"/>
  <c r="C175" i="4"/>
  <c r="B175" i="4"/>
  <c r="A175" i="4"/>
  <c r="E174" i="4"/>
  <c r="D174" i="4"/>
  <c r="C174" i="4"/>
  <c r="B174" i="4"/>
  <c r="A174" i="4"/>
  <c r="E173" i="4"/>
  <c r="D173" i="4"/>
  <c r="C173" i="4"/>
  <c r="B173" i="4"/>
  <c r="A173" i="4"/>
  <c r="E172" i="4"/>
  <c r="D172" i="4"/>
  <c r="C172" i="4"/>
  <c r="B172" i="4"/>
  <c r="A172" i="4"/>
  <c r="E171" i="4"/>
  <c r="D171" i="4"/>
  <c r="C171" i="4"/>
  <c r="B171" i="4"/>
  <c r="A171" i="4"/>
  <c r="E170" i="4"/>
  <c r="C170" i="4"/>
  <c r="B170" i="4"/>
  <c r="A170" i="4"/>
  <c r="E169" i="4"/>
  <c r="D169" i="4"/>
  <c r="C169" i="4"/>
  <c r="B169" i="4"/>
  <c r="A169" i="4"/>
  <c r="E168" i="4"/>
  <c r="D168" i="4"/>
  <c r="C168" i="4"/>
  <c r="B168" i="4"/>
  <c r="A168" i="4"/>
  <c r="E167" i="4"/>
  <c r="D167" i="4"/>
  <c r="C167" i="4"/>
  <c r="B167" i="4"/>
  <c r="A167" i="4"/>
  <c r="E166" i="4"/>
  <c r="D166" i="4"/>
  <c r="C166" i="4"/>
  <c r="B166" i="4"/>
  <c r="A166" i="4"/>
  <c r="F165" i="4"/>
  <c r="E165" i="4"/>
  <c r="D165" i="4"/>
  <c r="C165" i="4"/>
  <c r="B165" i="4"/>
  <c r="A165" i="4"/>
  <c r="E164" i="4"/>
  <c r="D164" i="4"/>
  <c r="B164" i="4"/>
  <c r="A164" i="4"/>
  <c r="E163" i="4"/>
  <c r="D163" i="4"/>
  <c r="C163" i="4"/>
  <c r="B163" i="4"/>
  <c r="A163" i="4"/>
  <c r="E162" i="4"/>
  <c r="D162" i="4"/>
  <c r="C162" i="4"/>
  <c r="B162" i="4"/>
  <c r="A162" i="4"/>
  <c r="E161" i="4"/>
  <c r="D161" i="4"/>
  <c r="C161" i="4"/>
  <c r="B161" i="4"/>
  <c r="A161" i="4"/>
  <c r="E160" i="4"/>
  <c r="C160" i="4"/>
  <c r="B160" i="4"/>
  <c r="A160" i="4"/>
  <c r="E159" i="4"/>
  <c r="D159" i="4"/>
  <c r="B159" i="4"/>
  <c r="A159" i="4"/>
  <c r="E158" i="4"/>
  <c r="D158" i="4"/>
  <c r="B158" i="4"/>
  <c r="A158" i="4"/>
  <c r="E157" i="4"/>
  <c r="D157" i="4"/>
  <c r="B157" i="4"/>
  <c r="A157" i="4"/>
  <c r="E156" i="4"/>
  <c r="D156" i="4"/>
  <c r="B156" i="4"/>
  <c r="A156" i="4"/>
  <c r="E155" i="4"/>
  <c r="D155" i="4"/>
  <c r="B155" i="4"/>
  <c r="A155" i="4"/>
  <c r="E154" i="4"/>
  <c r="D154" i="4"/>
  <c r="C154" i="4"/>
  <c r="B154" i="4"/>
  <c r="A154" i="4"/>
  <c r="E153" i="4"/>
  <c r="D153" i="4"/>
  <c r="C153" i="4"/>
  <c r="B153" i="4"/>
  <c r="A153" i="4"/>
  <c r="E152" i="4"/>
  <c r="D152" i="4"/>
  <c r="B152" i="4"/>
  <c r="A152" i="4"/>
  <c r="E151" i="4"/>
  <c r="D151" i="4"/>
  <c r="B151" i="4"/>
  <c r="A151" i="4"/>
  <c r="E150" i="4"/>
  <c r="D150" i="4"/>
  <c r="C150" i="4"/>
  <c r="B150" i="4"/>
  <c r="A150" i="4"/>
  <c r="E149" i="4"/>
  <c r="D149" i="4"/>
  <c r="C149" i="4"/>
  <c r="B149" i="4"/>
  <c r="A149" i="4"/>
  <c r="E148" i="4"/>
  <c r="D148" i="4"/>
  <c r="C148" i="4"/>
  <c r="B148" i="4"/>
  <c r="A148" i="4"/>
  <c r="E147" i="4"/>
  <c r="D147" i="4"/>
  <c r="C147" i="4"/>
  <c r="B147" i="4"/>
  <c r="A147" i="4"/>
  <c r="E146" i="4"/>
  <c r="D146" i="4"/>
  <c r="C146" i="4"/>
  <c r="B146" i="4"/>
  <c r="A146" i="4"/>
  <c r="E145" i="4"/>
  <c r="D145" i="4"/>
  <c r="B145" i="4"/>
  <c r="A145" i="4"/>
  <c r="E144" i="4"/>
  <c r="D144" i="4"/>
  <c r="C144" i="4"/>
  <c r="B144" i="4"/>
  <c r="A144" i="4"/>
  <c r="E143" i="4"/>
  <c r="D143" i="4"/>
  <c r="C143" i="4"/>
  <c r="B143" i="4"/>
  <c r="A143" i="4"/>
  <c r="E142" i="4"/>
  <c r="D142" i="4"/>
  <c r="C142" i="4"/>
  <c r="B142" i="4"/>
  <c r="A142" i="4"/>
  <c r="E141" i="4"/>
  <c r="D141" i="4"/>
  <c r="C141" i="4"/>
  <c r="B141" i="4"/>
  <c r="A141" i="4"/>
  <c r="E140" i="4"/>
  <c r="D140" i="4"/>
  <c r="C140" i="4"/>
  <c r="B140" i="4"/>
  <c r="A140" i="4"/>
  <c r="E139" i="4"/>
  <c r="D139" i="4"/>
  <c r="C139" i="4"/>
  <c r="B139" i="4"/>
  <c r="A139" i="4"/>
  <c r="E138" i="4"/>
  <c r="D138" i="4"/>
  <c r="C138" i="4"/>
  <c r="B138" i="4"/>
  <c r="A138" i="4"/>
  <c r="E137" i="4"/>
  <c r="D137" i="4"/>
  <c r="C137" i="4"/>
  <c r="B137" i="4"/>
  <c r="A137" i="4"/>
  <c r="F136" i="4"/>
  <c r="E136" i="4"/>
  <c r="D136" i="4"/>
  <c r="C136" i="4"/>
  <c r="B136" i="4"/>
  <c r="A136" i="4"/>
  <c r="E135" i="4"/>
  <c r="C135" i="4"/>
  <c r="B135" i="4"/>
  <c r="A135" i="4"/>
  <c r="E134" i="4"/>
  <c r="D134" i="4"/>
  <c r="B134" i="4"/>
  <c r="A134" i="4"/>
  <c r="E133" i="4"/>
  <c r="B133" i="4"/>
  <c r="A133" i="4"/>
  <c r="E132" i="4"/>
  <c r="D132" i="4"/>
  <c r="B132" i="4"/>
  <c r="A132" i="4"/>
  <c r="E131" i="4"/>
  <c r="D131" i="4"/>
  <c r="B131" i="4"/>
  <c r="A131" i="4"/>
  <c r="E130" i="4"/>
  <c r="D130" i="4"/>
  <c r="C130" i="4"/>
  <c r="B130" i="4"/>
  <c r="A130" i="4"/>
  <c r="E129" i="4"/>
  <c r="D129" i="4"/>
  <c r="B129" i="4"/>
  <c r="A129" i="4"/>
  <c r="E128" i="4"/>
  <c r="D128" i="4"/>
  <c r="C128" i="4"/>
  <c r="B128" i="4"/>
  <c r="A128" i="4"/>
  <c r="E127" i="4"/>
  <c r="D127" i="4"/>
  <c r="C127" i="4"/>
  <c r="B127" i="4"/>
  <c r="A127" i="4"/>
  <c r="E126" i="4"/>
  <c r="D126" i="4"/>
  <c r="C126" i="4"/>
  <c r="B126" i="4"/>
  <c r="A126" i="4"/>
  <c r="E125" i="4"/>
  <c r="D125" i="4"/>
  <c r="C125" i="4"/>
  <c r="B125" i="4"/>
  <c r="A125" i="4"/>
  <c r="E124" i="4"/>
  <c r="B124" i="4"/>
  <c r="A124" i="4"/>
  <c r="E123" i="4"/>
  <c r="C123" i="4"/>
  <c r="B123" i="4"/>
  <c r="A123" i="4"/>
  <c r="E122" i="4"/>
  <c r="D122" i="4"/>
  <c r="C122" i="4"/>
  <c r="B122" i="4"/>
  <c r="A122"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F116" i="4"/>
  <c r="E116" i="4"/>
  <c r="C116" i="4"/>
  <c r="B116" i="4"/>
  <c r="A116" i="4"/>
  <c r="E115" i="4"/>
  <c r="D115" i="4"/>
  <c r="C115" i="4"/>
  <c r="B115" i="4"/>
  <c r="A115" i="4"/>
  <c r="E114" i="4"/>
  <c r="D114" i="4"/>
  <c r="C114" i="4"/>
  <c r="B114" i="4"/>
  <c r="A114" i="4"/>
  <c r="E113" i="4"/>
  <c r="C113" i="4"/>
  <c r="B113" i="4"/>
  <c r="A113" i="4"/>
  <c r="E112" i="4"/>
  <c r="D112" i="4"/>
  <c r="C112" i="4"/>
  <c r="B112" i="4"/>
  <c r="A112" i="4"/>
  <c r="E111" i="4"/>
  <c r="D111" i="4"/>
  <c r="C111" i="4"/>
  <c r="B111" i="4"/>
  <c r="A111" i="4"/>
  <c r="E110" i="4"/>
  <c r="D110" i="4"/>
  <c r="C110" i="4"/>
  <c r="B110" i="4"/>
  <c r="A110" i="4"/>
  <c r="E109" i="4"/>
  <c r="C109" i="4"/>
  <c r="B109" i="4"/>
  <c r="A109" i="4"/>
  <c r="E108" i="4"/>
  <c r="D108" i="4"/>
  <c r="C108" i="4"/>
  <c r="B108" i="4"/>
  <c r="A108" i="4"/>
  <c r="E107" i="4"/>
  <c r="C107" i="4"/>
  <c r="B107" i="4"/>
  <c r="A107" i="4"/>
  <c r="B106" i="4"/>
  <c r="A106" i="4"/>
  <c r="B105" i="4"/>
  <c r="A105" i="4"/>
  <c r="E104" i="4"/>
  <c r="D104" i="4"/>
  <c r="B104" i="4"/>
  <c r="A104" i="4"/>
  <c r="E103" i="4"/>
  <c r="D103" i="4"/>
  <c r="C103" i="4"/>
  <c r="B103" i="4"/>
  <c r="A103" i="4"/>
  <c r="E102" i="4"/>
  <c r="C102" i="4"/>
  <c r="B102" i="4"/>
  <c r="A102" i="4"/>
  <c r="E101" i="4"/>
  <c r="D101" i="4"/>
  <c r="C101" i="4"/>
  <c r="B101" i="4"/>
  <c r="A101" i="4"/>
  <c r="E100" i="4"/>
  <c r="D100" i="4"/>
  <c r="C100" i="4"/>
  <c r="B100" i="4"/>
  <c r="A100" i="4"/>
  <c r="E99" i="4"/>
  <c r="D99" i="4"/>
  <c r="C99" i="4"/>
  <c r="B99" i="4"/>
  <c r="A99" i="4"/>
  <c r="E98" i="4"/>
  <c r="D98" i="4"/>
  <c r="C98" i="4"/>
  <c r="B98" i="4"/>
  <c r="A98" i="4"/>
  <c r="B97" i="4"/>
  <c r="A97" i="4"/>
  <c r="E96" i="4"/>
  <c r="D96" i="4"/>
  <c r="C96" i="4"/>
  <c r="B96" i="4"/>
  <c r="A96" i="4"/>
  <c r="E95" i="4"/>
  <c r="B95" i="4"/>
  <c r="A95" i="4"/>
  <c r="E94" i="4"/>
  <c r="B94" i="4"/>
  <c r="A94" i="4"/>
  <c r="E93" i="4"/>
  <c r="B93" i="4"/>
  <c r="A93" i="4"/>
  <c r="E92" i="4"/>
  <c r="B92" i="4"/>
  <c r="A92" i="4"/>
  <c r="E91" i="4"/>
  <c r="D91" i="4"/>
  <c r="C91" i="4"/>
  <c r="B91" i="4"/>
  <c r="A91" i="4"/>
  <c r="E90" i="4"/>
  <c r="D90" i="4"/>
  <c r="C90" i="4"/>
  <c r="B90" i="4"/>
  <c r="A90" i="4"/>
  <c r="E89" i="4"/>
  <c r="D89" i="4"/>
  <c r="B89" i="4"/>
  <c r="A89" i="4"/>
  <c r="E88" i="4"/>
  <c r="D88" i="4"/>
  <c r="C88" i="4"/>
  <c r="B88" i="4"/>
  <c r="A88" i="4"/>
  <c r="E87" i="4"/>
  <c r="D87" i="4"/>
  <c r="C87" i="4"/>
  <c r="B87" i="4"/>
  <c r="A87" i="4"/>
  <c r="E86" i="4"/>
  <c r="D86" i="4"/>
  <c r="C86" i="4"/>
  <c r="B86" i="4"/>
  <c r="A86" i="4"/>
  <c r="E85" i="4"/>
  <c r="D85" i="4"/>
  <c r="C85" i="4"/>
  <c r="B85" i="4"/>
  <c r="A85" i="4"/>
  <c r="E84" i="4"/>
  <c r="D84" i="4"/>
  <c r="C84" i="4"/>
  <c r="B84" i="4"/>
  <c r="A84" i="4"/>
  <c r="E83" i="4"/>
  <c r="D83" i="4"/>
  <c r="C83" i="4"/>
  <c r="B83" i="4"/>
  <c r="A83" i="4"/>
  <c r="B82" i="4"/>
  <c r="A82" i="4"/>
  <c r="E81" i="4"/>
  <c r="D81" i="4"/>
  <c r="B81" i="4"/>
  <c r="A81" i="4"/>
  <c r="B80" i="4"/>
  <c r="A80" i="4"/>
  <c r="E79" i="4"/>
  <c r="D79" i="4"/>
  <c r="B79" i="4"/>
  <c r="A79" i="4"/>
  <c r="E78" i="4"/>
  <c r="D78" i="4"/>
  <c r="B78" i="4"/>
  <c r="A78" i="4"/>
  <c r="E77" i="4"/>
  <c r="D77" i="4"/>
  <c r="B77" i="4"/>
  <c r="A77" i="4"/>
  <c r="B76" i="4"/>
  <c r="A76" i="4"/>
  <c r="E75" i="4"/>
  <c r="D75" i="4"/>
  <c r="B75" i="4"/>
  <c r="A75" i="4"/>
  <c r="B74" i="4"/>
  <c r="A74" i="4"/>
  <c r="B73" i="4"/>
  <c r="A73" i="4"/>
  <c r="E72" i="4"/>
  <c r="D72" i="4"/>
  <c r="B72" i="4"/>
  <c r="A72" i="4"/>
  <c r="E71" i="4"/>
  <c r="D71" i="4"/>
  <c r="C71" i="4"/>
  <c r="B71" i="4"/>
  <c r="A71" i="4"/>
  <c r="E70" i="4"/>
  <c r="D70" i="4"/>
  <c r="B70" i="4"/>
  <c r="A70" i="4"/>
  <c r="B69" i="4"/>
  <c r="A69" i="4"/>
  <c r="E68" i="4"/>
  <c r="D68" i="4"/>
  <c r="B68" i="4"/>
  <c r="A68" i="4"/>
  <c r="E67" i="4"/>
  <c r="B67" i="4"/>
  <c r="A67" i="4"/>
  <c r="B66" i="4"/>
  <c r="A66" i="4"/>
  <c r="E65" i="4"/>
  <c r="D65" i="4"/>
  <c r="B65" i="4"/>
  <c r="A65" i="4"/>
  <c r="E64" i="4"/>
  <c r="D64" i="4"/>
  <c r="B64" i="4"/>
  <c r="A64" i="4"/>
  <c r="E63" i="4"/>
  <c r="D63" i="4"/>
  <c r="B63" i="4"/>
  <c r="A63" i="4"/>
  <c r="B62" i="4"/>
  <c r="A62" i="4"/>
  <c r="E61" i="4"/>
  <c r="D61" i="4"/>
  <c r="B61" i="4"/>
  <c r="A61" i="4"/>
  <c r="E60" i="4"/>
  <c r="D60" i="4"/>
  <c r="B60" i="4"/>
  <c r="A60" i="4"/>
  <c r="B59" i="4"/>
  <c r="A59" i="4"/>
  <c r="E58" i="4"/>
  <c r="D58" i="4"/>
  <c r="B58" i="4"/>
  <c r="A58" i="4"/>
  <c r="B57" i="4"/>
  <c r="A57" i="4"/>
  <c r="E56" i="4"/>
  <c r="D56" i="4"/>
  <c r="B56" i="4"/>
  <c r="A56" i="4"/>
  <c r="E55" i="4"/>
  <c r="D55" i="4"/>
  <c r="B55" i="4"/>
  <c r="A55" i="4"/>
  <c r="E54" i="4"/>
  <c r="D54" i="4"/>
  <c r="B54" i="4"/>
  <c r="A54" i="4"/>
  <c r="B53" i="4"/>
  <c r="A53" i="4"/>
  <c r="E52" i="4"/>
  <c r="D52" i="4"/>
  <c r="B52" i="4"/>
  <c r="A52" i="4"/>
  <c r="B51" i="4"/>
  <c r="A51" i="4"/>
  <c r="E50" i="4"/>
  <c r="D50" i="4"/>
  <c r="B50" i="4"/>
  <c r="A50" i="4"/>
  <c r="B49" i="4"/>
  <c r="A49" i="4"/>
  <c r="E48" i="4"/>
  <c r="D48" i="4"/>
  <c r="B48" i="4"/>
  <c r="A48" i="4"/>
  <c r="E47" i="4"/>
  <c r="D47" i="4"/>
  <c r="B47" i="4"/>
  <c r="A47" i="4"/>
  <c r="E46" i="4"/>
  <c r="D46" i="4"/>
  <c r="B46" i="4"/>
  <c r="A46" i="4"/>
  <c r="E45" i="4"/>
  <c r="D45" i="4"/>
  <c r="B45" i="4"/>
  <c r="A45" i="4"/>
  <c r="B44" i="4"/>
  <c r="A44" i="4"/>
  <c r="E43" i="4"/>
  <c r="D43" i="4"/>
  <c r="C43" i="4"/>
  <c r="B43" i="4"/>
  <c r="A43" i="4"/>
  <c r="E42" i="4"/>
  <c r="C42" i="4"/>
  <c r="B42" i="4"/>
  <c r="A42" i="4"/>
  <c r="E41" i="4"/>
  <c r="C41" i="4"/>
  <c r="B41" i="4"/>
  <c r="A41" i="4"/>
  <c r="E40" i="4"/>
  <c r="C40" i="4"/>
  <c r="B40" i="4"/>
  <c r="A40" i="4"/>
  <c r="E39" i="4"/>
  <c r="C39" i="4"/>
  <c r="B39" i="4"/>
  <c r="A39" i="4"/>
  <c r="E38" i="4"/>
  <c r="C38" i="4"/>
  <c r="B38" i="4"/>
  <c r="A38" i="4"/>
  <c r="E37" i="4"/>
  <c r="D37" i="4"/>
  <c r="C37" i="4"/>
  <c r="B37" i="4"/>
  <c r="A37" i="4"/>
  <c r="F36" i="4"/>
  <c r="E36" i="4"/>
  <c r="D36" i="4"/>
  <c r="C36" i="4"/>
  <c r="B36" i="4"/>
  <c r="A36" i="4"/>
  <c r="E35" i="4"/>
  <c r="D35" i="4"/>
  <c r="C35" i="4"/>
  <c r="B35" i="4"/>
  <c r="A35" i="4"/>
  <c r="E34" i="4"/>
  <c r="D34" i="4"/>
  <c r="C34" i="4"/>
  <c r="B34" i="4"/>
  <c r="A34" i="4"/>
  <c r="E33" i="4"/>
  <c r="D33" i="4"/>
  <c r="C33" i="4"/>
  <c r="B33" i="4"/>
  <c r="A33" i="4"/>
  <c r="E32" i="4"/>
  <c r="C32" i="4"/>
  <c r="B32" i="4"/>
  <c r="A32" i="4"/>
  <c r="E31" i="4"/>
  <c r="C31" i="4"/>
  <c r="B31" i="4"/>
  <c r="A31" i="4"/>
  <c r="F30" i="4"/>
  <c r="E30" i="4"/>
  <c r="D30" i="4"/>
  <c r="C30" i="4"/>
  <c r="B30" i="4"/>
  <c r="A30" i="4"/>
  <c r="E29" i="4"/>
  <c r="D29" i="4"/>
  <c r="C29" i="4"/>
  <c r="B29" i="4"/>
  <c r="A29" i="4"/>
  <c r="E28" i="4"/>
  <c r="D28" i="4"/>
  <c r="C28" i="4"/>
  <c r="B28" i="4"/>
  <c r="A28" i="4"/>
  <c r="E27" i="4"/>
  <c r="D27" i="4"/>
  <c r="C27" i="4"/>
  <c r="B27" i="4"/>
  <c r="A27" i="4"/>
  <c r="E26" i="4"/>
  <c r="D26" i="4"/>
  <c r="C26" i="4"/>
  <c r="B26" i="4"/>
  <c r="A26" i="4"/>
  <c r="E25" i="4"/>
  <c r="D25" i="4"/>
  <c r="C25" i="4"/>
  <c r="B25" i="4"/>
  <c r="A25" i="4"/>
  <c r="E24" i="4"/>
  <c r="D24" i="4"/>
  <c r="C24" i="4"/>
  <c r="B24" i="4"/>
  <c r="A24" i="4"/>
  <c r="E23" i="4"/>
  <c r="D23" i="4"/>
  <c r="C23" i="4"/>
  <c r="B23" i="4"/>
  <c r="A23" i="4"/>
  <c r="E22" i="4"/>
  <c r="D22" i="4"/>
  <c r="C22" i="4"/>
  <c r="B22" i="4"/>
  <c r="A22" i="4"/>
  <c r="E21" i="4"/>
  <c r="D21" i="4"/>
  <c r="C21" i="4"/>
  <c r="B21" i="4"/>
  <c r="A21" i="4"/>
  <c r="E20" i="4"/>
  <c r="D20" i="4"/>
  <c r="C20" i="4"/>
  <c r="B20" i="4"/>
  <c r="A20" i="4"/>
  <c r="E19" i="4"/>
  <c r="D19" i="4"/>
  <c r="C19" i="4"/>
  <c r="B19" i="4"/>
  <c r="A19" i="4"/>
  <c r="E18" i="4"/>
  <c r="D18" i="4"/>
  <c r="C18" i="4"/>
  <c r="B18" i="4"/>
  <c r="A18" i="4"/>
  <c r="E17" i="4"/>
  <c r="D17" i="4"/>
  <c r="C17" i="4"/>
  <c r="B17" i="4"/>
  <c r="A17" i="4"/>
  <c r="E16" i="4"/>
  <c r="D16" i="4"/>
  <c r="C16" i="4"/>
  <c r="B16" i="4"/>
  <c r="A16" i="4"/>
  <c r="E15" i="4"/>
  <c r="D15" i="4"/>
  <c r="B15" i="4"/>
  <c r="A15" i="4"/>
  <c r="E14" i="4"/>
  <c r="D14" i="4"/>
  <c r="B14" i="4"/>
  <c r="A14" i="4"/>
  <c r="E13" i="4"/>
  <c r="D13" i="4"/>
  <c r="B13" i="4"/>
  <c r="A13" i="4"/>
  <c r="E12" i="4"/>
  <c r="D12" i="4"/>
  <c r="C12" i="4"/>
  <c r="B12" i="4"/>
  <c r="A12" i="4"/>
  <c r="E11" i="4"/>
  <c r="D11" i="4"/>
  <c r="C11" i="4"/>
  <c r="B11" i="4"/>
  <c r="A11" i="4"/>
  <c r="E10" i="4"/>
  <c r="D10" i="4"/>
  <c r="C10" i="4"/>
  <c r="B10" i="4"/>
  <c r="A10" i="4"/>
  <c r="E9" i="4"/>
  <c r="D9" i="4"/>
  <c r="C9" i="4"/>
  <c r="B9" i="4"/>
  <c r="A9" i="4"/>
  <c r="E8" i="4"/>
  <c r="D8" i="4"/>
  <c r="C8" i="4"/>
  <c r="B8" i="4"/>
  <c r="A8" i="4"/>
  <c r="E7" i="4"/>
  <c r="D7" i="4"/>
  <c r="C7" i="4"/>
  <c r="B7" i="4"/>
  <c r="A7" i="4"/>
  <c r="F6" i="4"/>
  <c r="E6" i="4"/>
  <c r="D6" i="4"/>
  <c r="C6" i="4"/>
  <c r="B6" i="4"/>
  <c r="A6" i="4"/>
  <c r="E5" i="4"/>
  <c r="D5" i="4"/>
  <c r="B5" i="4"/>
  <c r="A5" i="4"/>
  <c r="E4" i="4"/>
  <c r="D4" i="4"/>
  <c r="B4" i="4"/>
  <c r="A4" i="4"/>
  <c r="E3" i="4"/>
  <c r="D3" i="4"/>
  <c r="B3" i="4"/>
  <c r="A3" i="4"/>
  <c r="E2" i="4"/>
  <c r="D2" i="4"/>
  <c r="B2" i="4"/>
  <c r="A2" i="4"/>
  <c r="F1" i="4"/>
  <c r="E1" i="4"/>
  <c r="D1" i="4"/>
  <c r="C1" i="4"/>
  <c r="B1" i="4"/>
  <c r="A1" i="4"/>
  <c r="H2335" i="3"/>
  <c r="G2335" i="3"/>
  <c r="F2335" i="3"/>
  <c r="E2335" i="3"/>
  <c r="C2335" i="3"/>
  <c r="B2335" i="3"/>
  <c r="A2335" i="3"/>
  <c r="H2334" i="3"/>
  <c r="G2334" i="3"/>
  <c r="F2334" i="3"/>
  <c r="E2334" i="3"/>
  <c r="C2334" i="3"/>
  <c r="A2334" i="3"/>
  <c r="H2333" i="3"/>
  <c r="G2333" i="3"/>
  <c r="F2333" i="3"/>
  <c r="E2333" i="3"/>
  <c r="C2333" i="3"/>
  <c r="A2333" i="3"/>
  <c r="H2332" i="3"/>
  <c r="G2332" i="3"/>
  <c r="F2332" i="3"/>
  <c r="E2332" i="3"/>
  <c r="D2332" i="3"/>
  <c r="C2332" i="3"/>
  <c r="B2332" i="3"/>
  <c r="A2332" i="3"/>
  <c r="H2331" i="3"/>
  <c r="G2331" i="3"/>
  <c r="F2331" i="3"/>
  <c r="E2331" i="3"/>
  <c r="D2331" i="3"/>
  <c r="C2331" i="3"/>
  <c r="B2331" i="3"/>
  <c r="A2331" i="3"/>
  <c r="H2330" i="3"/>
  <c r="G2330" i="3"/>
  <c r="F2330" i="3"/>
  <c r="E2330" i="3"/>
  <c r="D2330" i="3"/>
  <c r="C2330" i="3"/>
  <c r="B2330" i="3"/>
  <c r="A2330" i="3"/>
  <c r="H2329" i="3"/>
  <c r="G2329" i="3"/>
  <c r="F2329" i="3"/>
  <c r="E2329" i="3"/>
  <c r="C2329" i="3"/>
  <c r="B2329" i="3"/>
  <c r="A2329" i="3"/>
  <c r="H2328" i="3"/>
  <c r="G2328" i="3"/>
  <c r="F2328" i="3"/>
  <c r="E2328" i="3"/>
  <c r="C2328" i="3"/>
  <c r="B2328" i="3"/>
  <c r="A2328" i="3"/>
  <c r="H2327" i="3"/>
  <c r="G2327" i="3"/>
  <c r="F2327" i="3"/>
  <c r="E2327" i="3"/>
  <c r="C2327" i="3"/>
  <c r="B2327" i="3"/>
  <c r="A2327" i="3"/>
  <c r="H2326" i="3"/>
  <c r="G2326" i="3"/>
  <c r="F2326" i="3"/>
  <c r="E2326" i="3"/>
  <c r="C2326" i="3"/>
  <c r="B2326" i="3"/>
  <c r="A2326" i="3"/>
  <c r="H2325" i="3"/>
  <c r="G2325" i="3"/>
  <c r="F2325" i="3"/>
  <c r="E2325" i="3"/>
  <c r="C2325" i="3"/>
  <c r="B2325" i="3"/>
  <c r="A2325" i="3"/>
  <c r="H2324" i="3"/>
  <c r="G2324" i="3"/>
  <c r="F2324" i="3"/>
  <c r="E2324" i="3"/>
  <c r="C2324" i="3"/>
  <c r="B2324" i="3"/>
  <c r="A2324" i="3"/>
  <c r="H2323" i="3"/>
  <c r="G2323" i="3"/>
  <c r="F2323" i="3"/>
  <c r="E2323" i="3"/>
  <c r="C2323" i="3"/>
  <c r="B2323" i="3"/>
  <c r="A2323" i="3"/>
  <c r="H2322" i="3"/>
  <c r="G2322" i="3"/>
  <c r="F2322" i="3"/>
  <c r="E2322" i="3"/>
  <c r="C2322" i="3"/>
  <c r="B2322" i="3"/>
  <c r="A2322" i="3"/>
  <c r="H2321" i="3"/>
  <c r="G2321" i="3"/>
  <c r="F2321" i="3"/>
  <c r="E2321" i="3"/>
  <c r="D2321" i="3"/>
  <c r="C2321" i="3"/>
  <c r="B2321" i="3"/>
  <c r="A2321" i="3"/>
  <c r="H2320" i="3"/>
  <c r="G2320" i="3"/>
  <c r="F2320" i="3"/>
  <c r="E2320" i="3"/>
  <c r="D2320" i="3"/>
  <c r="C2320" i="3"/>
  <c r="B2320" i="3"/>
  <c r="A2320" i="3"/>
  <c r="H2319" i="3"/>
  <c r="G2319" i="3"/>
  <c r="F2319" i="3"/>
  <c r="E2319" i="3"/>
  <c r="D2319" i="3"/>
  <c r="C2319" i="3"/>
  <c r="B2319" i="3"/>
  <c r="A2319" i="3"/>
  <c r="H2318" i="3"/>
  <c r="G2318" i="3"/>
  <c r="F2318" i="3"/>
  <c r="E2318" i="3"/>
  <c r="C2318" i="3"/>
  <c r="B2318" i="3"/>
  <c r="A2318" i="3"/>
  <c r="H2317" i="3"/>
  <c r="G2317" i="3"/>
  <c r="F2317" i="3"/>
  <c r="E2317" i="3"/>
  <c r="C2317" i="3"/>
  <c r="B2317" i="3"/>
  <c r="A2317" i="3"/>
  <c r="H2316" i="3"/>
  <c r="G2316" i="3"/>
  <c r="F2316" i="3"/>
  <c r="E2316" i="3"/>
  <c r="D2316" i="3"/>
  <c r="C2316" i="3"/>
  <c r="B2316" i="3"/>
  <c r="A2316" i="3"/>
  <c r="H2315" i="3"/>
  <c r="G2315" i="3"/>
  <c r="F2315" i="3"/>
  <c r="E2315" i="3"/>
  <c r="D2315" i="3"/>
  <c r="C2315" i="3"/>
  <c r="B2315" i="3"/>
  <c r="A2315" i="3"/>
  <c r="H2314" i="3"/>
  <c r="G2314" i="3"/>
  <c r="F2314" i="3"/>
  <c r="E2314" i="3"/>
  <c r="A2314" i="3"/>
  <c r="H2313" i="3"/>
  <c r="G2313" i="3"/>
  <c r="F2313" i="3"/>
  <c r="E2313" i="3"/>
  <c r="C2313" i="3"/>
  <c r="B2313" i="3"/>
  <c r="A2313" i="3"/>
  <c r="H2312" i="3"/>
  <c r="G2312" i="3"/>
  <c r="F2312" i="3"/>
  <c r="E2312" i="3"/>
  <c r="C2312" i="3"/>
  <c r="B2312" i="3"/>
  <c r="A2312" i="3"/>
  <c r="H2311" i="3"/>
  <c r="G2311" i="3"/>
  <c r="F2311" i="3"/>
  <c r="E2311" i="3"/>
  <c r="C2311" i="3"/>
  <c r="B2311" i="3"/>
  <c r="A2311" i="3"/>
  <c r="H2310" i="3"/>
  <c r="G2310" i="3"/>
  <c r="F2310" i="3"/>
  <c r="E2310" i="3"/>
  <c r="C2310" i="3"/>
  <c r="B2310" i="3"/>
  <c r="A2310" i="3"/>
  <c r="H2309" i="3"/>
  <c r="G2309" i="3"/>
  <c r="F2309" i="3"/>
  <c r="E2309" i="3"/>
  <c r="C2309" i="3"/>
  <c r="B2309" i="3"/>
  <c r="A2309" i="3"/>
  <c r="H2308" i="3"/>
  <c r="G2308" i="3"/>
  <c r="F2308" i="3"/>
  <c r="E2308" i="3"/>
  <c r="C2308" i="3"/>
  <c r="B2308" i="3"/>
  <c r="A2308" i="3"/>
  <c r="H2307" i="3"/>
  <c r="G2307" i="3"/>
  <c r="F2307" i="3"/>
  <c r="E2307" i="3"/>
  <c r="B2307" i="3"/>
  <c r="A2307" i="3"/>
  <c r="H2306" i="3"/>
  <c r="G2306" i="3"/>
  <c r="F2306" i="3"/>
  <c r="E2306" i="3"/>
  <c r="D2306" i="3"/>
  <c r="C2306" i="3"/>
  <c r="B2306" i="3"/>
  <c r="A2306" i="3"/>
  <c r="H2305" i="3"/>
  <c r="G2305" i="3"/>
  <c r="F2305" i="3"/>
  <c r="E2305" i="3"/>
  <c r="C2305" i="3"/>
  <c r="B2305" i="3"/>
  <c r="A2305" i="3"/>
  <c r="H2304" i="3"/>
  <c r="G2304" i="3"/>
  <c r="F2304" i="3"/>
  <c r="E2304" i="3"/>
  <c r="C2304" i="3"/>
  <c r="B2304" i="3"/>
  <c r="A2304" i="3"/>
  <c r="H2303" i="3"/>
  <c r="G2303" i="3"/>
  <c r="F2303" i="3"/>
  <c r="E2303" i="3"/>
  <c r="C2303" i="3"/>
  <c r="B2303" i="3"/>
  <c r="A2303" i="3"/>
  <c r="H2302" i="3"/>
  <c r="G2302" i="3"/>
  <c r="F2302" i="3"/>
  <c r="E2302" i="3"/>
  <c r="C2302" i="3"/>
  <c r="B2302" i="3"/>
  <c r="A2302" i="3"/>
  <c r="H2301" i="3"/>
  <c r="G2301" i="3"/>
  <c r="F2301" i="3"/>
  <c r="E2301" i="3"/>
  <c r="C2301" i="3"/>
  <c r="B2301" i="3"/>
  <c r="A2301" i="3"/>
  <c r="H2300" i="3"/>
  <c r="G2300" i="3"/>
  <c r="F2300" i="3"/>
  <c r="E2300" i="3"/>
  <c r="C2300" i="3"/>
  <c r="B2300" i="3"/>
  <c r="A2300" i="3"/>
  <c r="H2299" i="3"/>
  <c r="G2299" i="3"/>
  <c r="F2299" i="3"/>
  <c r="E2299" i="3"/>
  <c r="C2299" i="3"/>
  <c r="B2299" i="3"/>
  <c r="A2299" i="3"/>
  <c r="H2298" i="3"/>
  <c r="G2298" i="3"/>
  <c r="F2298" i="3"/>
  <c r="E2298" i="3"/>
  <c r="D2298" i="3"/>
  <c r="C2298" i="3"/>
  <c r="B2298" i="3"/>
  <c r="A2298" i="3"/>
  <c r="H2297" i="3"/>
  <c r="G2297" i="3"/>
  <c r="F2297" i="3"/>
  <c r="E2297" i="3"/>
  <c r="D2297" i="3"/>
  <c r="C2297" i="3"/>
  <c r="B2297" i="3"/>
  <c r="A2297" i="3"/>
  <c r="H2296" i="3"/>
  <c r="G2296" i="3"/>
  <c r="F2296" i="3"/>
  <c r="E2296" i="3"/>
  <c r="B2296" i="3"/>
  <c r="A2296" i="3"/>
  <c r="H2295" i="3"/>
  <c r="G2295" i="3"/>
  <c r="F2295" i="3"/>
  <c r="E2295" i="3"/>
  <c r="C2295" i="3"/>
  <c r="B2295" i="3"/>
  <c r="A2295" i="3"/>
  <c r="H2294" i="3"/>
  <c r="G2294" i="3"/>
  <c r="F2294" i="3"/>
  <c r="E2294" i="3"/>
  <c r="D2294" i="3"/>
  <c r="C2294" i="3"/>
  <c r="B2294" i="3"/>
  <c r="A2294" i="3"/>
  <c r="H2293" i="3"/>
  <c r="G2293" i="3"/>
  <c r="F2293" i="3"/>
  <c r="E2293" i="3"/>
  <c r="C2293" i="3"/>
  <c r="A2293" i="3"/>
  <c r="H2292" i="3"/>
  <c r="G2292" i="3"/>
  <c r="F2292" i="3"/>
  <c r="E2292" i="3"/>
  <c r="C2292" i="3"/>
  <c r="B2292" i="3"/>
  <c r="A2292" i="3"/>
  <c r="H2291" i="3"/>
  <c r="G2291" i="3"/>
  <c r="F2291" i="3"/>
  <c r="E2291" i="3"/>
  <c r="C2291" i="3"/>
  <c r="B2291" i="3"/>
  <c r="A2291" i="3"/>
  <c r="H2290" i="3"/>
  <c r="G2290" i="3"/>
  <c r="F2290" i="3"/>
  <c r="E2290" i="3"/>
  <c r="C2290" i="3"/>
  <c r="B2290" i="3"/>
  <c r="A2290" i="3"/>
  <c r="H2289" i="3"/>
  <c r="G2289" i="3"/>
  <c r="F2289" i="3"/>
  <c r="E2289" i="3"/>
  <c r="C2289" i="3"/>
  <c r="B2289" i="3"/>
  <c r="A2289" i="3"/>
  <c r="H2288" i="3"/>
  <c r="G2288" i="3"/>
  <c r="F2288" i="3"/>
  <c r="E2288" i="3"/>
  <c r="C2288" i="3"/>
  <c r="B2288" i="3"/>
  <c r="A2288" i="3"/>
  <c r="H2287" i="3"/>
  <c r="G2287" i="3"/>
  <c r="F2287" i="3"/>
  <c r="E2287" i="3"/>
  <c r="C2287" i="3"/>
  <c r="B2287" i="3"/>
  <c r="A2287" i="3"/>
  <c r="H2286" i="3"/>
  <c r="G2286" i="3"/>
  <c r="F2286" i="3"/>
  <c r="E2286" i="3"/>
  <c r="D2286" i="3"/>
  <c r="C2286" i="3"/>
  <c r="B2286" i="3"/>
  <c r="A2286" i="3"/>
  <c r="H2285" i="3"/>
  <c r="G2285" i="3"/>
  <c r="F2285" i="3"/>
  <c r="E2285" i="3"/>
  <c r="D2285" i="3"/>
  <c r="C2285" i="3"/>
  <c r="B2285" i="3"/>
  <c r="A2285" i="3"/>
  <c r="H2284" i="3"/>
  <c r="G2284" i="3"/>
  <c r="F2284" i="3"/>
  <c r="E2284" i="3"/>
  <c r="C2284" i="3"/>
  <c r="B2284" i="3"/>
  <c r="A2284" i="3"/>
  <c r="H2283" i="3"/>
  <c r="G2283" i="3"/>
  <c r="F2283" i="3"/>
  <c r="E2283" i="3"/>
  <c r="C2283" i="3"/>
  <c r="B2283" i="3"/>
  <c r="A2283" i="3"/>
  <c r="H2282" i="3"/>
  <c r="G2282" i="3"/>
  <c r="F2282" i="3"/>
  <c r="E2282" i="3"/>
  <c r="D2282" i="3"/>
  <c r="C2282" i="3"/>
  <c r="B2282" i="3"/>
  <c r="A2282" i="3"/>
  <c r="H2281" i="3"/>
  <c r="G2281" i="3"/>
  <c r="F2281" i="3"/>
  <c r="E2281" i="3"/>
  <c r="C2281" i="3"/>
  <c r="B2281" i="3"/>
  <c r="A2281" i="3"/>
  <c r="H2280" i="3"/>
  <c r="G2280" i="3"/>
  <c r="F2280" i="3"/>
  <c r="E2280" i="3"/>
  <c r="C2280" i="3"/>
  <c r="B2280" i="3"/>
  <c r="A2280" i="3"/>
  <c r="H2279" i="3"/>
  <c r="G2279" i="3"/>
  <c r="F2279" i="3"/>
  <c r="E2279" i="3"/>
  <c r="C2279" i="3"/>
  <c r="A2279" i="3"/>
  <c r="H2278" i="3"/>
  <c r="G2278" i="3"/>
  <c r="F2278" i="3"/>
  <c r="E2278" i="3"/>
  <c r="C2278" i="3"/>
  <c r="B2278" i="3"/>
  <c r="A2278" i="3"/>
  <c r="H2277" i="3"/>
  <c r="G2277" i="3"/>
  <c r="F2277" i="3"/>
  <c r="E2277" i="3"/>
  <c r="C2277" i="3"/>
  <c r="B2277" i="3"/>
  <c r="A2277" i="3"/>
  <c r="H2276" i="3"/>
  <c r="G2276" i="3"/>
  <c r="F2276" i="3"/>
  <c r="E2276" i="3"/>
  <c r="C2276" i="3"/>
  <c r="B2276" i="3"/>
  <c r="A2276" i="3"/>
  <c r="H2275" i="3"/>
  <c r="G2275" i="3"/>
  <c r="F2275" i="3"/>
  <c r="E2275" i="3"/>
  <c r="C2275" i="3"/>
  <c r="B2275" i="3"/>
  <c r="A2275" i="3"/>
  <c r="H2274" i="3"/>
  <c r="G2274" i="3"/>
  <c r="F2274" i="3"/>
  <c r="E2274" i="3"/>
  <c r="D2274" i="3"/>
  <c r="C2274" i="3"/>
  <c r="B2274" i="3"/>
  <c r="A2274" i="3"/>
  <c r="H2273" i="3"/>
  <c r="G2273" i="3"/>
  <c r="F2273" i="3"/>
  <c r="E2273" i="3"/>
  <c r="D2273" i="3"/>
  <c r="C2273" i="3"/>
  <c r="B2273" i="3"/>
  <c r="A2273" i="3"/>
  <c r="H2272" i="3"/>
  <c r="G2272" i="3"/>
  <c r="F2272" i="3"/>
  <c r="E2272" i="3"/>
  <c r="C2272" i="3"/>
  <c r="B2272" i="3"/>
  <c r="A2272" i="3"/>
  <c r="H2271" i="3"/>
  <c r="G2271" i="3"/>
  <c r="F2271" i="3"/>
  <c r="E2271" i="3"/>
  <c r="C2271" i="3"/>
  <c r="B2271" i="3"/>
  <c r="A2271" i="3"/>
  <c r="H2270" i="3"/>
  <c r="G2270" i="3"/>
  <c r="F2270" i="3"/>
  <c r="E2270" i="3"/>
  <c r="C2270" i="3"/>
  <c r="B2270" i="3"/>
  <c r="A2270" i="3"/>
  <c r="H2269" i="3"/>
  <c r="G2269" i="3"/>
  <c r="F2269" i="3"/>
  <c r="E2269" i="3"/>
  <c r="C2269" i="3"/>
  <c r="B2269" i="3"/>
  <c r="A2269" i="3"/>
  <c r="H2268" i="3"/>
  <c r="G2268" i="3"/>
  <c r="F2268" i="3"/>
  <c r="E2268" i="3"/>
  <c r="C2268" i="3"/>
  <c r="B2268" i="3"/>
  <c r="A2268" i="3"/>
  <c r="H2267" i="3"/>
  <c r="G2267" i="3"/>
  <c r="F2267" i="3"/>
  <c r="E2267" i="3"/>
  <c r="C2267" i="3"/>
  <c r="B2267" i="3"/>
  <c r="A2267" i="3"/>
  <c r="H2266" i="3"/>
  <c r="G2266" i="3"/>
  <c r="F2266" i="3"/>
  <c r="E2266" i="3"/>
  <c r="D2266" i="3"/>
  <c r="C2266" i="3"/>
  <c r="B2266" i="3"/>
  <c r="A2266" i="3"/>
  <c r="H2265" i="3"/>
  <c r="G2265" i="3"/>
  <c r="F2265" i="3"/>
  <c r="E2265" i="3"/>
  <c r="C2265" i="3"/>
  <c r="B2265" i="3"/>
  <c r="A2265" i="3"/>
  <c r="H2264" i="3"/>
  <c r="G2264" i="3"/>
  <c r="F2264" i="3"/>
  <c r="E2264" i="3"/>
  <c r="D2264" i="3"/>
  <c r="C2264" i="3"/>
  <c r="B2264" i="3"/>
  <c r="A2264" i="3"/>
  <c r="H2263" i="3"/>
  <c r="G2263" i="3"/>
  <c r="F2263" i="3"/>
  <c r="E2263" i="3"/>
  <c r="C2263" i="3"/>
  <c r="B2263" i="3"/>
  <c r="A2263" i="3"/>
  <c r="H2262" i="3"/>
  <c r="G2262" i="3"/>
  <c r="F2262" i="3"/>
  <c r="E2262" i="3"/>
  <c r="C2262" i="3"/>
  <c r="B2262" i="3"/>
  <c r="A2262" i="3"/>
  <c r="H2261" i="3"/>
  <c r="G2261" i="3"/>
  <c r="F2261" i="3"/>
  <c r="E2261" i="3"/>
  <c r="C2261" i="3"/>
  <c r="B2261" i="3"/>
  <c r="A2261" i="3"/>
  <c r="H2260" i="3"/>
  <c r="G2260" i="3"/>
  <c r="F2260" i="3"/>
  <c r="E2260" i="3"/>
  <c r="C2260" i="3"/>
  <c r="B2260" i="3"/>
  <c r="A2260" i="3"/>
  <c r="H2259" i="3"/>
  <c r="G2259" i="3"/>
  <c r="F2259" i="3"/>
  <c r="E2259" i="3"/>
  <c r="D2259" i="3"/>
  <c r="C2259" i="3"/>
  <c r="B2259" i="3"/>
  <c r="A2259" i="3"/>
  <c r="H2258" i="3"/>
  <c r="G2258" i="3"/>
  <c r="F2258" i="3"/>
  <c r="E2258" i="3"/>
  <c r="C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C2254" i="3"/>
  <c r="B2254" i="3"/>
  <c r="A2254" i="3"/>
  <c r="H2253" i="3"/>
  <c r="G2253" i="3"/>
  <c r="F2253" i="3"/>
  <c r="E2253" i="3"/>
  <c r="C2253" i="3"/>
  <c r="B2253" i="3"/>
  <c r="A2253" i="3"/>
  <c r="H2252" i="3"/>
  <c r="G2252" i="3"/>
  <c r="F2252" i="3"/>
  <c r="E2252" i="3"/>
  <c r="C2252" i="3"/>
  <c r="B2252" i="3"/>
  <c r="A2252" i="3"/>
  <c r="H2251" i="3"/>
  <c r="G2251" i="3"/>
  <c r="F2251" i="3"/>
  <c r="E2251" i="3"/>
  <c r="D2251" i="3"/>
  <c r="C2251" i="3"/>
  <c r="B2251" i="3"/>
  <c r="A2251" i="3"/>
  <c r="H2250" i="3"/>
  <c r="G2250" i="3"/>
  <c r="F2250" i="3"/>
  <c r="E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A2246" i="3"/>
  <c r="H2245" i="3"/>
  <c r="G2245" i="3"/>
  <c r="F2245" i="3"/>
  <c r="E2245" i="3"/>
  <c r="C2245" i="3"/>
  <c r="B2245" i="3"/>
  <c r="A2245" i="3"/>
  <c r="H2244" i="3"/>
  <c r="G2244" i="3"/>
  <c r="F2244" i="3"/>
  <c r="E2244" i="3"/>
  <c r="C2244" i="3"/>
  <c r="B2244" i="3"/>
  <c r="A2244" i="3"/>
  <c r="H2243" i="3"/>
  <c r="G2243" i="3"/>
  <c r="F2243" i="3"/>
  <c r="E2243" i="3"/>
  <c r="C2243" i="3"/>
  <c r="B2243" i="3"/>
  <c r="A2243" i="3"/>
  <c r="H2242" i="3"/>
  <c r="G2242" i="3"/>
  <c r="F2242" i="3"/>
  <c r="E2242" i="3"/>
  <c r="D2242" i="3"/>
  <c r="C2242" i="3"/>
  <c r="B2242" i="3"/>
  <c r="A2242" i="3"/>
  <c r="H2241" i="3"/>
  <c r="G2241" i="3"/>
  <c r="F2241" i="3"/>
  <c r="E2241" i="3"/>
  <c r="D2241" i="3"/>
  <c r="C2241" i="3"/>
  <c r="B2241" i="3"/>
  <c r="A2241" i="3"/>
  <c r="H2240" i="3"/>
  <c r="G2240" i="3"/>
  <c r="F2240" i="3"/>
  <c r="E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C2236" i="3"/>
  <c r="B2236" i="3"/>
  <c r="A2236" i="3"/>
  <c r="H2235" i="3"/>
  <c r="G2235" i="3"/>
  <c r="F2235" i="3"/>
  <c r="E2235" i="3"/>
  <c r="C2235" i="3"/>
  <c r="B2235" i="3"/>
  <c r="A2235" i="3"/>
  <c r="H2234" i="3"/>
  <c r="G2234" i="3"/>
  <c r="F2234" i="3"/>
  <c r="E2234" i="3"/>
  <c r="C2234" i="3"/>
  <c r="B2234" i="3"/>
  <c r="A2234" i="3"/>
  <c r="H2233" i="3"/>
  <c r="G2233" i="3"/>
  <c r="F2233" i="3"/>
  <c r="E2233" i="3"/>
  <c r="D2233" i="3"/>
  <c r="C2233" i="3"/>
  <c r="B2233" i="3"/>
  <c r="A2233" i="3"/>
  <c r="H2232" i="3"/>
  <c r="G2232" i="3"/>
  <c r="F2232" i="3"/>
  <c r="E2232" i="3"/>
  <c r="C2232" i="3"/>
  <c r="B2232" i="3"/>
  <c r="A2232" i="3"/>
  <c r="H2231" i="3"/>
  <c r="G2231" i="3"/>
  <c r="F2231" i="3"/>
  <c r="E2231" i="3"/>
  <c r="C2231" i="3"/>
  <c r="A2231" i="3"/>
  <c r="H2230" i="3"/>
  <c r="G2230" i="3"/>
  <c r="F2230" i="3"/>
  <c r="E2230" i="3"/>
  <c r="C2230" i="3"/>
  <c r="B2230" i="3"/>
  <c r="A2230" i="3"/>
  <c r="H2229" i="3"/>
  <c r="G2229" i="3"/>
  <c r="F2229" i="3"/>
  <c r="E2229" i="3"/>
  <c r="C2229" i="3"/>
  <c r="B2229" i="3"/>
  <c r="A2229" i="3"/>
  <c r="H2228" i="3"/>
  <c r="G2228" i="3"/>
  <c r="F2228" i="3"/>
  <c r="E2228" i="3"/>
  <c r="C2228" i="3"/>
  <c r="B2228" i="3"/>
  <c r="A2228" i="3"/>
  <c r="H2227" i="3"/>
  <c r="G2227" i="3"/>
  <c r="F2227" i="3"/>
  <c r="E2227" i="3"/>
  <c r="C2227" i="3"/>
  <c r="B2227" i="3"/>
  <c r="A2227" i="3"/>
  <c r="H2226" i="3"/>
  <c r="G2226" i="3"/>
  <c r="F2226" i="3"/>
  <c r="E2226" i="3"/>
  <c r="D2226" i="3"/>
  <c r="C2226" i="3"/>
  <c r="B2226" i="3"/>
  <c r="A2226" i="3"/>
  <c r="H2225" i="3"/>
  <c r="G2225" i="3"/>
  <c r="F2225" i="3"/>
  <c r="E2225" i="3"/>
  <c r="C2225" i="3"/>
  <c r="B2225" i="3"/>
  <c r="A2225" i="3"/>
  <c r="H2224" i="3"/>
  <c r="G2224" i="3"/>
  <c r="F2224" i="3"/>
  <c r="E2224" i="3"/>
  <c r="C2224" i="3"/>
  <c r="B2224" i="3"/>
  <c r="A2224" i="3"/>
  <c r="H2223" i="3"/>
  <c r="G2223" i="3"/>
  <c r="F2223" i="3"/>
  <c r="E2223" i="3"/>
  <c r="B2223" i="3"/>
  <c r="A2223" i="3"/>
  <c r="H2222" i="3"/>
  <c r="G2222" i="3"/>
  <c r="F2222" i="3"/>
  <c r="E2222" i="3"/>
  <c r="C2222" i="3"/>
  <c r="B2222" i="3"/>
  <c r="A2222" i="3"/>
  <c r="H2221" i="3"/>
  <c r="G2221" i="3"/>
  <c r="F2221" i="3"/>
  <c r="E2221" i="3"/>
  <c r="C2221" i="3"/>
  <c r="B2221" i="3"/>
  <c r="A2221" i="3"/>
  <c r="H2220" i="3"/>
  <c r="G2220" i="3"/>
  <c r="F2220" i="3"/>
  <c r="E2220" i="3"/>
  <c r="C2220" i="3"/>
  <c r="B2220" i="3"/>
  <c r="A2220" i="3"/>
  <c r="H2219" i="3"/>
  <c r="G2219" i="3"/>
  <c r="F2219" i="3"/>
  <c r="E2219" i="3"/>
  <c r="C2219" i="3"/>
  <c r="B2219" i="3"/>
  <c r="A2219" i="3"/>
  <c r="H2218" i="3"/>
  <c r="G2218" i="3"/>
  <c r="F2218" i="3"/>
  <c r="E2218" i="3"/>
  <c r="C2218" i="3"/>
  <c r="B2218" i="3"/>
  <c r="A2218" i="3"/>
  <c r="H2217" i="3"/>
  <c r="G2217" i="3"/>
  <c r="F2217" i="3"/>
  <c r="E2217" i="3"/>
  <c r="D2217" i="3"/>
  <c r="C2217" i="3"/>
  <c r="B2217" i="3"/>
  <c r="A2217" i="3"/>
  <c r="H2216" i="3"/>
  <c r="G2216" i="3"/>
  <c r="F2216" i="3"/>
  <c r="E2216" i="3"/>
  <c r="C2216" i="3"/>
  <c r="B2216" i="3"/>
  <c r="A2216" i="3"/>
  <c r="H2215" i="3"/>
  <c r="G2215" i="3"/>
  <c r="F2215" i="3"/>
  <c r="E2215" i="3"/>
  <c r="D2215" i="3"/>
  <c r="C2215" i="3"/>
  <c r="B2215" i="3"/>
  <c r="A2215" i="3"/>
  <c r="H2214" i="3"/>
  <c r="G2214" i="3"/>
  <c r="F2214" i="3"/>
  <c r="E2214" i="3"/>
  <c r="C2214" i="3"/>
  <c r="B2214" i="3"/>
  <c r="A2214" i="3"/>
  <c r="H2213" i="3"/>
  <c r="G2213" i="3"/>
  <c r="F2213" i="3"/>
  <c r="E2213" i="3"/>
  <c r="C2213" i="3"/>
  <c r="B2213" i="3"/>
  <c r="A2213" i="3"/>
  <c r="H2212" i="3"/>
  <c r="G2212" i="3"/>
  <c r="F2212" i="3"/>
  <c r="E2212" i="3"/>
  <c r="C2212" i="3"/>
  <c r="B2212" i="3"/>
  <c r="A2212" i="3"/>
  <c r="H2211" i="3"/>
  <c r="G2211" i="3"/>
  <c r="F2211" i="3"/>
  <c r="E2211" i="3"/>
  <c r="A2211" i="3"/>
  <c r="H2210" i="3"/>
  <c r="G2210" i="3"/>
  <c r="F2210" i="3"/>
  <c r="E2210" i="3"/>
  <c r="C2210" i="3"/>
  <c r="B2210" i="3"/>
  <c r="A2210" i="3"/>
  <c r="H2209" i="3"/>
  <c r="G2209" i="3"/>
  <c r="F2209" i="3"/>
  <c r="E2209" i="3"/>
  <c r="A2209" i="3"/>
  <c r="H2208" i="3"/>
  <c r="G2208" i="3"/>
  <c r="F2208" i="3"/>
  <c r="E2208" i="3"/>
  <c r="C2208" i="3"/>
  <c r="B2208" i="3"/>
  <c r="A2208" i="3"/>
  <c r="H2207" i="3"/>
  <c r="G2207" i="3"/>
  <c r="F2207" i="3"/>
  <c r="E2207" i="3"/>
  <c r="C2207" i="3"/>
  <c r="B2207" i="3"/>
  <c r="A2207" i="3"/>
  <c r="H2206" i="3"/>
  <c r="G2206" i="3"/>
  <c r="F2206" i="3"/>
  <c r="E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C2200" i="3"/>
  <c r="B2200" i="3"/>
  <c r="A2200" i="3"/>
  <c r="H2199" i="3"/>
  <c r="G2199" i="3"/>
  <c r="F2199" i="3"/>
  <c r="E2199" i="3"/>
  <c r="A2199" i="3"/>
  <c r="H2198" i="3"/>
  <c r="G2198" i="3"/>
  <c r="F2198" i="3"/>
  <c r="E2198" i="3"/>
  <c r="C2198" i="3"/>
  <c r="B2198" i="3"/>
  <c r="A2198" i="3"/>
  <c r="H2197" i="3"/>
  <c r="G2197" i="3"/>
  <c r="F2197" i="3"/>
  <c r="E2197" i="3"/>
  <c r="C2197" i="3"/>
  <c r="B2197" i="3"/>
  <c r="A2197" i="3"/>
  <c r="H2196" i="3"/>
  <c r="G2196" i="3"/>
  <c r="F2196" i="3"/>
  <c r="E2196" i="3"/>
  <c r="C2196" i="3"/>
  <c r="B2196" i="3"/>
  <c r="A2196" i="3"/>
  <c r="H2195" i="3"/>
  <c r="G2195" i="3"/>
  <c r="F2195" i="3"/>
  <c r="E2195" i="3"/>
  <c r="C2195" i="3"/>
  <c r="B2195" i="3"/>
  <c r="A2195" i="3"/>
  <c r="H2194" i="3"/>
  <c r="G2194" i="3"/>
  <c r="F2194" i="3"/>
  <c r="E2194" i="3"/>
  <c r="C2194" i="3"/>
  <c r="B2194" i="3"/>
  <c r="A2194" i="3"/>
  <c r="H2193" i="3"/>
  <c r="G2193" i="3"/>
  <c r="F2193" i="3"/>
  <c r="E2193" i="3"/>
  <c r="C2193" i="3"/>
  <c r="B2193" i="3"/>
  <c r="A2193" i="3"/>
  <c r="H2192" i="3"/>
  <c r="G2192" i="3"/>
  <c r="F2192" i="3"/>
  <c r="E2192" i="3"/>
  <c r="C2192" i="3"/>
  <c r="B2192" i="3"/>
  <c r="A2192" i="3"/>
  <c r="H2191" i="3"/>
  <c r="G2191" i="3"/>
  <c r="F2191" i="3"/>
  <c r="E2191" i="3"/>
  <c r="C2191" i="3"/>
  <c r="B2191" i="3"/>
  <c r="A2191" i="3"/>
  <c r="H2190" i="3"/>
  <c r="G2190" i="3"/>
  <c r="F2190" i="3"/>
  <c r="E2190" i="3"/>
  <c r="C2190" i="3"/>
  <c r="B2190" i="3"/>
  <c r="A2190" i="3"/>
  <c r="H2189" i="3"/>
  <c r="G2189" i="3"/>
  <c r="F2189" i="3"/>
  <c r="E2189" i="3"/>
  <c r="C2189" i="3"/>
  <c r="B2189" i="3"/>
  <c r="A2189" i="3"/>
  <c r="H2188" i="3"/>
  <c r="G2188" i="3"/>
  <c r="F2188" i="3"/>
  <c r="E2188" i="3"/>
  <c r="C2188" i="3"/>
  <c r="B2188" i="3"/>
  <c r="A2188" i="3"/>
  <c r="H2187" i="3"/>
  <c r="G2187" i="3"/>
  <c r="F2187" i="3"/>
  <c r="E2187" i="3"/>
  <c r="C2187" i="3"/>
  <c r="B2187" i="3"/>
  <c r="A2187" i="3"/>
  <c r="H2186" i="3"/>
  <c r="G2186" i="3"/>
  <c r="F2186" i="3"/>
  <c r="E2186" i="3"/>
  <c r="B2186" i="3"/>
  <c r="A2186" i="3"/>
  <c r="H2185" i="3"/>
  <c r="G2185" i="3"/>
  <c r="F2185" i="3"/>
  <c r="E2185" i="3"/>
  <c r="B2185" i="3"/>
  <c r="A2185" i="3"/>
  <c r="H2184" i="3"/>
  <c r="G2184" i="3"/>
  <c r="F2184" i="3"/>
  <c r="E2184" i="3"/>
  <c r="C2184" i="3"/>
  <c r="B2184" i="3"/>
  <c r="A2184" i="3"/>
  <c r="H2183" i="3"/>
  <c r="G2183" i="3"/>
  <c r="F2183" i="3"/>
  <c r="E2183" i="3"/>
  <c r="C2183" i="3"/>
  <c r="B2183" i="3"/>
  <c r="A2183" i="3"/>
  <c r="H2182" i="3"/>
  <c r="G2182" i="3"/>
  <c r="F2182" i="3"/>
  <c r="E2182" i="3"/>
  <c r="C2182" i="3"/>
  <c r="B2182" i="3"/>
  <c r="A2182" i="3"/>
  <c r="H2181" i="3"/>
  <c r="G2181" i="3"/>
  <c r="F2181" i="3"/>
  <c r="E2181" i="3"/>
  <c r="C2181" i="3"/>
  <c r="B2181" i="3"/>
  <c r="A2181" i="3"/>
  <c r="H2180" i="3"/>
  <c r="G2180" i="3"/>
  <c r="F2180" i="3"/>
  <c r="E2180" i="3"/>
  <c r="C2180" i="3"/>
  <c r="A2180" i="3"/>
  <c r="H2179" i="3"/>
  <c r="G2179" i="3"/>
  <c r="F2179" i="3"/>
  <c r="E2179" i="3"/>
  <c r="C2179" i="3"/>
  <c r="B2179" i="3"/>
  <c r="A2179" i="3"/>
  <c r="H2178" i="3"/>
  <c r="G2178" i="3"/>
  <c r="F2178" i="3"/>
  <c r="E2178" i="3"/>
  <c r="D2178" i="3"/>
  <c r="C2178" i="3"/>
  <c r="B2178" i="3"/>
  <c r="A2178" i="3"/>
  <c r="H2177" i="3"/>
  <c r="G2177" i="3"/>
  <c r="F2177" i="3"/>
  <c r="E2177" i="3"/>
  <c r="D2177" i="3"/>
  <c r="C2177" i="3"/>
  <c r="B2177" i="3"/>
  <c r="A2177" i="3"/>
  <c r="H2176" i="3"/>
  <c r="G2176" i="3"/>
  <c r="F2176" i="3"/>
  <c r="E2176" i="3"/>
  <c r="C2176" i="3"/>
  <c r="B2176" i="3"/>
  <c r="A2176" i="3"/>
  <c r="H2175" i="3"/>
  <c r="G2175" i="3"/>
  <c r="F2175" i="3"/>
  <c r="E2175" i="3"/>
  <c r="D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D2171" i="3"/>
  <c r="C2171" i="3"/>
  <c r="B2171" i="3"/>
  <c r="A2171" i="3"/>
  <c r="H2170" i="3"/>
  <c r="G2170" i="3"/>
  <c r="F2170" i="3"/>
  <c r="E2170" i="3"/>
  <c r="A2170" i="3"/>
  <c r="H2169" i="3"/>
  <c r="G2169" i="3"/>
  <c r="F2169" i="3"/>
  <c r="E2169" i="3"/>
  <c r="C2169" i="3"/>
  <c r="B2169" i="3"/>
  <c r="A2169" i="3"/>
  <c r="H2168" i="3"/>
  <c r="G2168" i="3"/>
  <c r="F2168" i="3"/>
  <c r="E2168" i="3"/>
  <c r="C2168" i="3"/>
  <c r="B2168" i="3"/>
  <c r="A2168" i="3"/>
  <c r="H2167" i="3"/>
  <c r="G2167" i="3"/>
  <c r="F2167" i="3"/>
  <c r="E2167" i="3"/>
  <c r="D2167" i="3"/>
  <c r="C2167" i="3"/>
  <c r="B2167" i="3"/>
  <c r="A2167" i="3"/>
  <c r="H2166" i="3"/>
  <c r="G2166" i="3"/>
  <c r="F2166" i="3"/>
  <c r="E2166" i="3"/>
  <c r="D2166" i="3"/>
  <c r="C2166" i="3"/>
  <c r="B2166" i="3"/>
  <c r="A2166" i="3"/>
  <c r="H2165" i="3"/>
  <c r="G2165" i="3"/>
  <c r="F2165" i="3"/>
  <c r="E2165" i="3"/>
  <c r="C2165" i="3"/>
  <c r="B2165" i="3"/>
  <c r="A2165" i="3"/>
  <c r="H2164" i="3"/>
  <c r="G2164" i="3"/>
  <c r="F2164" i="3"/>
  <c r="E2164" i="3"/>
  <c r="C2164" i="3"/>
  <c r="B2164" i="3"/>
  <c r="A2164" i="3"/>
  <c r="H2163" i="3"/>
  <c r="G2163" i="3"/>
  <c r="F2163" i="3"/>
  <c r="E2163" i="3"/>
  <c r="D2163" i="3"/>
  <c r="C2163" i="3"/>
  <c r="B2163" i="3"/>
  <c r="A2163" i="3"/>
  <c r="H2162" i="3"/>
  <c r="G2162" i="3"/>
  <c r="F2162" i="3"/>
  <c r="E2162" i="3"/>
  <c r="D2162" i="3"/>
  <c r="C2162" i="3"/>
  <c r="B2162" i="3"/>
  <c r="A2162" i="3"/>
  <c r="H2161" i="3"/>
  <c r="G2161" i="3"/>
  <c r="F2161" i="3"/>
  <c r="E2161" i="3"/>
  <c r="D2161" i="3"/>
  <c r="C2161" i="3"/>
  <c r="B2161" i="3"/>
  <c r="A2161" i="3"/>
  <c r="H2160" i="3"/>
  <c r="G2160" i="3"/>
  <c r="F2160" i="3"/>
  <c r="E2160" i="3"/>
  <c r="C2160" i="3"/>
  <c r="B2160" i="3"/>
  <c r="A2160" i="3"/>
  <c r="H2159" i="3"/>
  <c r="G2159" i="3"/>
  <c r="F2159" i="3"/>
  <c r="E2159" i="3"/>
  <c r="C2159" i="3"/>
  <c r="B2159" i="3"/>
  <c r="A2159" i="3"/>
  <c r="H2158" i="3"/>
  <c r="G2158" i="3"/>
  <c r="F2158" i="3"/>
  <c r="E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C2154" i="3"/>
  <c r="B2154" i="3"/>
  <c r="A2154" i="3"/>
  <c r="H2153" i="3"/>
  <c r="G2153" i="3"/>
  <c r="F2153" i="3"/>
  <c r="E2153" i="3"/>
  <c r="D2153" i="3"/>
  <c r="C2153" i="3"/>
  <c r="B2153" i="3"/>
  <c r="A2153" i="3"/>
  <c r="H2152" i="3"/>
  <c r="G2152" i="3"/>
  <c r="F2152" i="3"/>
  <c r="E2152" i="3"/>
  <c r="D2152" i="3"/>
  <c r="C2152" i="3"/>
  <c r="B2152" i="3"/>
  <c r="A2152" i="3"/>
  <c r="H2151" i="3"/>
  <c r="G2151" i="3"/>
  <c r="F2151" i="3"/>
  <c r="E2151" i="3"/>
  <c r="C2151" i="3"/>
  <c r="B2151" i="3"/>
  <c r="A2151" i="3"/>
  <c r="H2150" i="3"/>
  <c r="G2150" i="3"/>
  <c r="F2150" i="3"/>
  <c r="E2150" i="3"/>
  <c r="C2150" i="3"/>
  <c r="B2150" i="3"/>
  <c r="A2150" i="3"/>
  <c r="H2149" i="3"/>
  <c r="G2149" i="3"/>
  <c r="F2149" i="3"/>
  <c r="E2149" i="3"/>
  <c r="C2149" i="3"/>
  <c r="B2149" i="3"/>
  <c r="A2149" i="3"/>
  <c r="H2148" i="3"/>
  <c r="G2148" i="3"/>
  <c r="F2148" i="3"/>
  <c r="E2148" i="3"/>
  <c r="C2148" i="3"/>
  <c r="B2148" i="3"/>
  <c r="A2148" i="3"/>
  <c r="H2147" i="3"/>
  <c r="G2147" i="3"/>
  <c r="F2147" i="3"/>
  <c r="E2147" i="3"/>
  <c r="C2147" i="3"/>
  <c r="B2147" i="3"/>
  <c r="A2147" i="3"/>
  <c r="H2146" i="3"/>
  <c r="G2146" i="3"/>
  <c r="F2146" i="3"/>
  <c r="E2146" i="3"/>
  <c r="C2146" i="3"/>
  <c r="B2146" i="3"/>
  <c r="A2146" i="3"/>
  <c r="H2145" i="3"/>
  <c r="G2145" i="3"/>
  <c r="F2145" i="3"/>
  <c r="E2145" i="3"/>
  <c r="C2145" i="3"/>
  <c r="B2145" i="3"/>
  <c r="A2145" i="3"/>
  <c r="H2144" i="3"/>
  <c r="G2144" i="3"/>
  <c r="F2144" i="3"/>
  <c r="E2144" i="3"/>
  <c r="C2144" i="3"/>
  <c r="B2144" i="3"/>
  <c r="A2144" i="3"/>
  <c r="H2143" i="3"/>
  <c r="G2143" i="3"/>
  <c r="F2143" i="3"/>
  <c r="E2143" i="3"/>
  <c r="D2143" i="3"/>
  <c r="C2143" i="3"/>
  <c r="B2143" i="3"/>
  <c r="A2143" i="3"/>
  <c r="H2142" i="3"/>
  <c r="G2142" i="3"/>
  <c r="F2142" i="3"/>
  <c r="E2142" i="3"/>
  <c r="C2142" i="3"/>
  <c r="B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C2136" i="3"/>
  <c r="B2136" i="3"/>
  <c r="A2136" i="3"/>
  <c r="H2135" i="3"/>
  <c r="G2135" i="3"/>
  <c r="F2135" i="3"/>
  <c r="E2135" i="3"/>
  <c r="D2135" i="3"/>
  <c r="C2135" i="3"/>
  <c r="B2135" i="3"/>
  <c r="A2135" i="3"/>
  <c r="H2134" i="3"/>
  <c r="G2134" i="3"/>
  <c r="F2134" i="3"/>
  <c r="E2134" i="3"/>
  <c r="C2134" i="3"/>
  <c r="B2134" i="3"/>
  <c r="A2134" i="3"/>
  <c r="H2133" i="3"/>
  <c r="G2133" i="3"/>
  <c r="F2133" i="3"/>
  <c r="E2133" i="3"/>
  <c r="C2133" i="3"/>
  <c r="B2133" i="3"/>
  <c r="A2133" i="3"/>
  <c r="H2132" i="3"/>
  <c r="G2132" i="3"/>
  <c r="F2132" i="3"/>
  <c r="E2132" i="3"/>
  <c r="D2132" i="3"/>
  <c r="C2132" i="3"/>
  <c r="B2132" i="3"/>
  <c r="A2132" i="3"/>
  <c r="H2131" i="3"/>
  <c r="G2131" i="3"/>
  <c r="F2131" i="3"/>
  <c r="E2131" i="3"/>
  <c r="C2131" i="3"/>
  <c r="B2131" i="3"/>
  <c r="A2131" i="3"/>
  <c r="H2130" i="3"/>
  <c r="G2130" i="3"/>
  <c r="F2130" i="3"/>
  <c r="E2130" i="3"/>
  <c r="C2130" i="3"/>
  <c r="B2130" i="3"/>
  <c r="A2130" i="3"/>
  <c r="H2129" i="3"/>
  <c r="G2129" i="3"/>
  <c r="F2129" i="3"/>
  <c r="E2129" i="3"/>
  <c r="C2129" i="3"/>
  <c r="B2129" i="3"/>
  <c r="A2129" i="3"/>
  <c r="H2128" i="3"/>
  <c r="G2128" i="3"/>
  <c r="F2128" i="3"/>
  <c r="E2128" i="3"/>
  <c r="C2128" i="3"/>
  <c r="B2128" i="3"/>
  <c r="A2128" i="3"/>
  <c r="H2127" i="3"/>
  <c r="G2127" i="3"/>
  <c r="F2127" i="3"/>
  <c r="E2127" i="3"/>
  <c r="C2127" i="3"/>
  <c r="B2127" i="3"/>
  <c r="A2127" i="3"/>
  <c r="H2126" i="3"/>
  <c r="G2126" i="3"/>
  <c r="F2126" i="3"/>
  <c r="E2126" i="3"/>
  <c r="C2126" i="3"/>
  <c r="B2126" i="3"/>
  <c r="A2126" i="3"/>
  <c r="H2125" i="3"/>
  <c r="G2125" i="3"/>
  <c r="F2125" i="3"/>
  <c r="E2125" i="3"/>
  <c r="C2125" i="3"/>
  <c r="B2125" i="3"/>
  <c r="A2125" i="3"/>
  <c r="H2124" i="3"/>
  <c r="G2124" i="3"/>
  <c r="F2124" i="3"/>
  <c r="E2124" i="3"/>
  <c r="C2124" i="3"/>
  <c r="B2124" i="3"/>
  <c r="A2124" i="3"/>
  <c r="H2123" i="3"/>
  <c r="G2123" i="3"/>
  <c r="F2123" i="3"/>
  <c r="E2123" i="3"/>
  <c r="C2123" i="3"/>
  <c r="B2123" i="3"/>
  <c r="A2123" i="3"/>
  <c r="H2122" i="3"/>
  <c r="G2122" i="3"/>
  <c r="F2122" i="3"/>
  <c r="E2122" i="3"/>
  <c r="D2122" i="3"/>
  <c r="C2122" i="3"/>
  <c r="B2122" i="3"/>
  <c r="A2122" i="3"/>
  <c r="H2121" i="3"/>
  <c r="G2121" i="3"/>
  <c r="F2121" i="3"/>
  <c r="E2121" i="3"/>
  <c r="C2121" i="3"/>
  <c r="B2121" i="3"/>
  <c r="A2121" i="3"/>
  <c r="H2120" i="3"/>
  <c r="G2120" i="3"/>
  <c r="F2120" i="3"/>
  <c r="E2120" i="3"/>
  <c r="C2120" i="3"/>
  <c r="B2120" i="3"/>
  <c r="A2120" i="3"/>
  <c r="H2119" i="3"/>
  <c r="G2119" i="3"/>
  <c r="F2119" i="3"/>
  <c r="E2119" i="3"/>
  <c r="C2119" i="3"/>
  <c r="B2119" i="3"/>
  <c r="A2119" i="3"/>
  <c r="H2118" i="3"/>
  <c r="G2118" i="3"/>
  <c r="F2118" i="3"/>
  <c r="E2118" i="3"/>
  <c r="C2118" i="3"/>
  <c r="B2118" i="3"/>
  <c r="A2118" i="3"/>
  <c r="H2117" i="3"/>
  <c r="G2117" i="3"/>
  <c r="F2117" i="3"/>
  <c r="E2117" i="3"/>
  <c r="C2117" i="3"/>
  <c r="B2117" i="3"/>
  <c r="A2117" i="3"/>
  <c r="H2116" i="3"/>
  <c r="G2116" i="3"/>
  <c r="F2116" i="3"/>
  <c r="E2116" i="3"/>
  <c r="C2116" i="3"/>
  <c r="B2116" i="3"/>
  <c r="A2116" i="3"/>
  <c r="H2115" i="3"/>
  <c r="G2115" i="3"/>
  <c r="F2115" i="3"/>
  <c r="E2115" i="3"/>
  <c r="A2115" i="3"/>
  <c r="H2114" i="3"/>
  <c r="G2114" i="3"/>
  <c r="F2114" i="3"/>
  <c r="E2114" i="3"/>
  <c r="C2114" i="3"/>
  <c r="B2114" i="3"/>
  <c r="A2114" i="3"/>
  <c r="H2113" i="3"/>
  <c r="G2113" i="3"/>
  <c r="F2113" i="3"/>
  <c r="E2113" i="3"/>
  <c r="C2113" i="3"/>
  <c r="A2113" i="3"/>
  <c r="H2112" i="3"/>
  <c r="G2112" i="3"/>
  <c r="F2112" i="3"/>
  <c r="E2112" i="3"/>
  <c r="C2112" i="3"/>
  <c r="B2112" i="3"/>
  <c r="A2112" i="3"/>
  <c r="H2111" i="3"/>
  <c r="G2111" i="3"/>
  <c r="F2111" i="3"/>
  <c r="E2111" i="3"/>
  <c r="C2111" i="3"/>
  <c r="B2111" i="3"/>
  <c r="A2111" i="3"/>
  <c r="H2110" i="3"/>
  <c r="G2110" i="3"/>
  <c r="F2110" i="3"/>
  <c r="E2110" i="3"/>
  <c r="B2110" i="3"/>
  <c r="A2110" i="3"/>
  <c r="H2109" i="3"/>
  <c r="G2109" i="3"/>
  <c r="F2109" i="3"/>
  <c r="E2109" i="3"/>
  <c r="C2109" i="3"/>
  <c r="B2109" i="3"/>
  <c r="A2109" i="3"/>
  <c r="H2108" i="3"/>
  <c r="G2108" i="3"/>
  <c r="F2108" i="3"/>
  <c r="E2108" i="3"/>
  <c r="C2108" i="3"/>
  <c r="A2108" i="3"/>
  <c r="H2107" i="3"/>
  <c r="G2107" i="3"/>
  <c r="F2107" i="3"/>
  <c r="E2107" i="3"/>
  <c r="C2107" i="3"/>
  <c r="B2107" i="3"/>
  <c r="A2107" i="3"/>
  <c r="H2106" i="3"/>
  <c r="G2106" i="3"/>
  <c r="F2106" i="3"/>
  <c r="E2106" i="3"/>
  <c r="C2106" i="3"/>
  <c r="B2106" i="3"/>
  <c r="A2106" i="3"/>
  <c r="H2105" i="3"/>
  <c r="G2105" i="3"/>
  <c r="F2105" i="3"/>
  <c r="E2105" i="3"/>
  <c r="C2105" i="3"/>
  <c r="A2105" i="3"/>
  <c r="H2104" i="3"/>
  <c r="G2104" i="3"/>
  <c r="F2104" i="3"/>
  <c r="E2104" i="3"/>
  <c r="D2104" i="3"/>
  <c r="C2104" i="3"/>
  <c r="B2104" i="3"/>
  <c r="A2104" i="3"/>
  <c r="H2103" i="3"/>
  <c r="G2103" i="3"/>
  <c r="F2103" i="3"/>
  <c r="E2103" i="3"/>
  <c r="C2103" i="3"/>
  <c r="B2103" i="3"/>
  <c r="A2103" i="3"/>
  <c r="H2102" i="3"/>
  <c r="G2102" i="3"/>
  <c r="F2102" i="3"/>
  <c r="E2102" i="3"/>
  <c r="C2102" i="3"/>
  <c r="B2102" i="3"/>
  <c r="A2102" i="3"/>
  <c r="H2101" i="3"/>
  <c r="G2101" i="3"/>
  <c r="F2101" i="3"/>
  <c r="E2101" i="3"/>
  <c r="C2101" i="3"/>
  <c r="B2101" i="3"/>
  <c r="A2101" i="3"/>
  <c r="H2100" i="3"/>
  <c r="G2100" i="3"/>
  <c r="F2100" i="3"/>
  <c r="E2100" i="3"/>
  <c r="C2100" i="3"/>
  <c r="B2100" i="3"/>
  <c r="A2100" i="3"/>
  <c r="H2099" i="3"/>
  <c r="G2099" i="3"/>
  <c r="F2099" i="3"/>
  <c r="E2099" i="3"/>
  <c r="D2099" i="3"/>
  <c r="C2099" i="3"/>
  <c r="B2099" i="3"/>
  <c r="A2099" i="3"/>
  <c r="H2098" i="3"/>
  <c r="G2098" i="3"/>
  <c r="F2098" i="3"/>
  <c r="E2098" i="3"/>
  <c r="D2098" i="3"/>
  <c r="C2098" i="3"/>
  <c r="B2098" i="3"/>
  <c r="A2098" i="3"/>
  <c r="H2097" i="3"/>
  <c r="G2097" i="3"/>
  <c r="F2097" i="3"/>
  <c r="E2097" i="3"/>
  <c r="C2097" i="3"/>
  <c r="B2097" i="3"/>
  <c r="A2097" i="3"/>
  <c r="H2096" i="3"/>
  <c r="G2096" i="3"/>
  <c r="F2096" i="3"/>
  <c r="E2096" i="3"/>
  <c r="D2096" i="3"/>
  <c r="C2096" i="3"/>
  <c r="B2096" i="3"/>
  <c r="A2096" i="3"/>
  <c r="H2095" i="3"/>
  <c r="G2095" i="3"/>
  <c r="F2095" i="3"/>
  <c r="E2095" i="3"/>
  <c r="C2095" i="3"/>
  <c r="B2095" i="3"/>
  <c r="A2095" i="3"/>
  <c r="H2094" i="3"/>
  <c r="G2094" i="3"/>
  <c r="F2094" i="3"/>
  <c r="E2094" i="3"/>
  <c r="C2094" i="3"/>
  <c r="B2094" i="3"/>
  <c r="A2094" i="3"/>
  <c r="H2093" i="3"/>
  <c r="G2093" i="3"/>
  <c r="F2093" i="3"/>
  <c r="E2093" i="3"/>
  <c r="C2093" i="3"/>
  <c r="B2093" i="3"/>
  <c r="A2093" i="3"/>
  <c r="H2092" i="3"/>
  <c r="G2092" i="3"/>
  <c r="F2092" i="3"/>
  <c r="E2092" i="3"/>
  <c r="C2092" i="3"/>
  <c r="B2092" i="3"/>
  <c r="A2092" i="3"/>
  <c r="H2091" i="3"/>
  <c r="G2091" i="3"/>
  <c r="F2091" i="3"/>
  <c r="E2091" i="3"/>
  <c r="C2091" i="3"/>
  <c r="B2091" i="3"/>
  <c r="A2091" i="3"/>
  <c r="H2090" i="3"/>
  <c r="G2090" i="3"/>
  <c r="F2090" i="3"/>
  <c r="E2090" i="3"/>
  <c r="C2090" i="3"/>
  <c r="B2090" i="3"/>
  <c r="A2090" i="3"/>
  <c r="H2089" i="3"/>
  <c r="G2089" i="3"/>
  <c r="F2089" i="3"/>
  <c r="E2089" i="3"/>
  <c r="C2089" i="3"/>
  <c r="B2089" i="3"/>
  <c r="A2089" i="3"/>
  <c r="H2088" i="3"/>
  <c r="G2088" i="3"/>
  <c r="F2088" i="3"/>
  <c r="E2088" i="3"/>
  <c r="C2088" i="3"/>
  <c r="B2088" i="3"/>
  <c r="A2088" i="3"/>
  <c r="H2087" i="3"/>
  <c r="G2087" i="3"/>
  <c r="F2087" i="3"/>
  <c r="E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E2083" i="3"/>
  <c r="D2083" i="3"/>
  <c r="C2083" i="3"/>
  <c r="B2083" i="3"/>
  <c r="A2083" i="3"/>
  <c r="H2082" i="3"/>
  <c r="G2082" i="3"/>
  <c r="F2082" i="3"/>
  <c r="E2082" i="3"/>
  <c r="C2082" i="3"/>
  <c r="B2082" i="3"/>
  <c r="A2082" i="3"/>
  <c r="H2081" i="3"/>
  <c r="G2081" i="3"/>
  <c r="F2081" i="3"/>
  <c r="E2081" i="3"/>
  <c r="C2081" i="3"/>
  <c r="A2081" i="3"/>
  <c r="H2080" i="3"/>
  <c r="G2080" i="3"/>
  <c r="F2080" i="3"/>
  <c r="E2080" i="3"/>
  <c r="C2080" i="3"/>
  <c r="B2080" i="3"/>
  <c r="A2080" i="3"/>
  <c r="H2079" i="3"/>
  <c r="G2079" i="3"/>
  <c r="F2079" i="3"/>
  <c r="E2079" i="3"/>
  <c r="C2079" i="3"/>
  <c r="B2079" i="3"/>
  <c r="A2079" i="3"/>
  <c r="H2078" i="3"/>
  <c r="G2078" i="3"/>
  <c r="F2078" i="3"/>
  <c r="E2078" i="3"/>
  <c r="C2078" i="3"/>
  <c r="A2078" i="3"/>
  <c r="H2077" i="3"/>
  <c r="G2077" i="3"/>
  <c r="F2077" i="3"/>
  <c r="E2077" i="3"/>
  <c r="C2077" i="3"/>
  <c r="B2077" i="3"/>
  <c r="A2077" i="3"/>
  <c r="H2076" i="3"/>
  <c r="G2076" i="3"/>
  <c r="F2076" i="3"/>
  <c r="E2076" i="3"/>
  <c r="C2076" i="3"/>
  <c r="B2076" i="3"/>
  <c r="A2076" i="3"/>
  <c r="H2075" i="3"/>
  <c r="G2075" i="3"/>
  <c r="F2075" i="3"/>
  <c r="E2075" i="3"/>
  <c r="C2075" i="3"/>
  <c r="B2075" i="3"/>
  <c r="A2075" i="3"/>
  <c r="H2074" i="3"/>
  <c r="G2074" i="3"/>
  <c r="F2074" i="3"/>
  <c r="E2074" i="3"/>
  <c r="C2074" i="3"/>
  <c r="B2074" i="3"/>
  <c r="A2074" i="3"/>
  <c r="H2073" i="3"/>
  <c r="G2073" i="3"/>
  <c r="F2073" i="3"/>
  <c r="E2073" i="3"/>
  <c r="D2073" i="3"/>
  <c r="C2073" i="3"/>
  <c r="B2073" i="3"/>
  <c r="A2073" i="3"/>
  <c r="H2072" i="3"/>
  <c r="G2072" i="3"/>
  <c r="F2072" i="3"/>
  <c r="E2072" i="3"/>
  <c r="C2072" i="3"/>
  <c r="B2072" i="3"/>
  <c r="A2072" i="3"/>
  <c r="H2071" i="3"/>
  <c r="G2071" i="3"/>
  <c r="F2071" i="3"/>
  <c r="E2071" i="3"/>
  <c r="C2071" i="3"/>
  <c r="B2071" i="3"/>
  <c r="A2071" i="3"/>
  <c r="H2070" i="3"/>
  <c r="G2070" i="3"/>
  <c r="F2070" i="3"/>
  <c r="E2070" i="3"/>
  <c r="C2070" i="3"/>
  <c r="B2070" i="3"/>
  <c r="A2070" i="3"/>
  <c r="H2069" i="3"/>
  <c r="G2069" i="3"/>
  <c r="F2069" i="3"/>
  <c r="E2069" i="3"/>
  <c r="C2069" i="3"/>
  <c r="B2069" i="3"/>
  <c r="A2069" i="3"/>
  <c r="H2068" i="3"/>
  <c r="G2068" i="3"/>
  <c r="F2068" i="3"/>
  <c r="E2068" i="3"/>
  <c r="D2068" i="3"/>
  <c r="C2068" i="3"/>
  <c r="B2068" i="3"/>
  <c r="A2068" i="3"/>
  <c r="H2067" i="3"/>
  <c r="G2067" i="3"/>
  <c r="F2067" i="3"/>
  <c r="E2067" i="3"/>
  <c r="C2067" i="3"/>
  <c r="B2067" i="3"/>
  <c r="A2067" i="3"/>
  <c r="H2066" i="3"/>
  <c r="G2066" i="3"/>
  <c r="F2066" i="3"/>
  <c r="E2066" i="3"/>
  <c r="C2066" i="3"/>
  <c r="B2066" i="3"/>
  <c r="A2066" i="3"/>
  <c r="H2065" i="3"/>
  <c r="G2065" i="3"/>
  <c r="F2065" i="3"/>
  <c r="E2065" i="3"/>
  <c r="C2065" i="3"/>
  <c r="A2065" i="3"/>
  <c r="H2064" i="3"/>
  <c r="G2064" i="3"/>
  <c r="F2064" i="3"/>
  <c r="E2064" i="3"/>
  <c r="C2064" i="3"/>
  <c r="B2064" i="3"/>
  <c r="A2064" i="3"/>
  <c r="H2063" i="3"/>
  <c r="G2063" i="3"/>
  <c r="F2063" i="3"/>
  <c r="E2063" i="3"/>
  <c r="C2063" i="3"/>
  <c r="B2063" i="3"/>
  <c r="A2063" i="3"/>
  <c r="H2062" i="3"/>
  <c r="G2062" i="3"/>
  <c r="F2062" i="3"/>
  <c r="E2062" i="3"/>
  <c r="C2062" i="3"/>
  <c r="B2062" i="3"/>
  <c r="A2062" i="3"/>
  <c r="H2061" i="3"/>
  <c r="G2061" i="3"/>
  <c r="F2061" i="3"/>
  <c r="E2061" i="3"/>
  <c r="D2061" i="3"/>
  <c r="C2061" i="3"/>
  <c r="B2061" i="3"/>
  <c r="A2061" i="3"/>
  <c r="H2060" i="3"/>
  <c r="G2060" i="3"/>
  <c r="F2060" i="3"/>
  <c r="E2060" i="3"/>
  <c r="C2060" i="3"/>
  <c r="B2060" i="3"/>
  <c r="A2060" i="3"/>
  <c r="H2059" i="3"/>
  <c r="G2059" i="3"/>
  <c r="F2059" i="3"/>
  <c r="E2059" i="3"/>
  <c r="C2059" i="3"/>
  <c r="B2059" i="3"/>
  <c r="A2059" i="3"/>
  <c r="H2058" i="3"/>
  <c r="G2058" i="3"/>
  <c r="F2058" i="3"/>
  <c r="E2058" i="3"/>
  <c r="C2058" i="3"/>
  <c r="A2058" i="3"/>
  <c r="H2057" i="3"/>
  <c r="G2057" i="3"/>
  <c r="F2057" i="3"/>
  <c r="E2057" i="3"/>
  <c r="C2057" i="3"/>
  <c r="B2057" i="3"/>
  <c r="A2057" i="3"/>
  <c r="H2056" i="3"/>
  <c r="G2056" i="3"/>
  <c r="F2056" i="3"/>
  <c r="E2056" i="3"/>
  <c r="C2056" i="3"/>
  <c r="B2056" i="3"/>
  <c r="A2056" i="3"/>
  <c r="H2055" i="3"/>
  <c r="G2055" i="3"/>
  <c r="F2055" i="3"/>
  <c r="E2055" i="3"/>
  <c r="D2055" i="3"/>
  <c r="C2055" i="3"/>
  <c r="B2055" i="3"/>
  <c r="A2055" i="3"/>
  <c r="H2054" i="3"/>
  <c r="G2054" i="3"/>
  <c r="F2054" i="3"/>
  <c r="E2054" i="3"/>
  <c r="D2054" i="3"/>
  <c r="C2054" i="3"/>
  <c r="B2054" i="3"/>
  <c r="A2054" i="3"/>
  <c r="H2053" i="3"/>
  <c r="G2053" i="3"/>
  <c r="F2053" i="3"/>
  <c r="E2053" i="3"/>
  <c r="B2053" i="3"/>
  <c r="A2053" i="3"/>
  <c r="H2052" i="3"/>
  <c r="G2052" i="3"/>
  <c r="F2052" i="3"/>
  <c r="E2052" i="3"/>
  <c r="C2052" i="3"/>
  <c r="B2052" i="3"/>
  <c r="A2052" i="3"/>
  <c r="H2051" i="3"/>
  <c r="G2051" i="3"/>
  <c r="F2051" i="3"/>
  <c r="E2051" i="3"/>
  <c r="C2051" i="3"/>
  <c r="B2051" i="3"/>
  <c r="A2051" i="3"/>
  <c r="H2050" i="3"/>
  <c r="G2050" i="3"/>
  <c r="F2050" i="3"/>
  <c r="E2050" i="3"/>
  <c r="C2050" i="3"/>
  <c r="B2050" i="3"/>
  <c r="A2050" i="3"/>
  <c r="H2049" i="3"/>
  <c r="G2049" i="3"/>
  <c r="F2049" i="3"/>
  <c r="E2049" i="3"/>
  <c r="C2049" i="3"/>
  <c r="B2049" i="3"/>
  <c r="A2049" i="3"/>
  <c r="H2048" i="3"/>
  <c r="G2048" i="3"/>
  <c r="F2048" i="3"/>
  <c r="E2048" i="3"/>
  <c r="C2048" i="3"/>
  <c r="B2048" i="3"/>
  <c r="A2048" i="3"/>
  <c r="H2047" i="3"/>
  <c r="G2047" i="3"/>
  <c r="F2047" i="3"/>
  <c r="E2047" i="3"/>
  <c r="C2047" i="3"/>
  <c r="B2047" i="3"/>
  <c r="A2047" i="3"/>
  <c r="H2046" i="3"/>
  <c r="G2046" i="3"/>
  <c r="F2046" i="3"/>
  <c r="E2046" i="3"/>
  <c r="C2046" i="3"/>
  <c r="B2046" i="3"/>
  <c r="A2046" i="3"/>
  <c r="H2045" i="3"/>
  <c r="G2045" i="3"/>
  <c r="F2045" i="3"/>
  <c r="E2045" i="3"/>
  <c r="C2045" i="3"/>
  <c r="A2045" i="3"/>
  <c r="H2044" i="3"/>
  <c r="G2044" i="3"/>
  <c r="F2044" i="3"/>
  <c r="E2044" i="3"/>
  <c r="A2044" i="3"/>
  <c r="H2043" i="3"/>
  <c r="G2043" i="3"/>
  <c r="F2043" i="3"/>
  <c r="E2043" i="3"/>
  <c r="D2043" i="3"/>
  <c r="C2043" i="3"/>
  <c r="B2043" i="3"/>
  <c r="A2043" i="3"/>
  <c r="H2042" i="3"/>
  <c r="G2042" i="3"/>
  <c r="F2042" i="3"/>
  <c r="E2042" i="3"/>
  <c r="C2042" i="3"/>
  <c r="A2042" i="3"/>
  <c r="H2041" i="3"/>
  <c r="G2041" i="3"/>
  <c r="F2041" i="3"/>
  <c r="E2041" i="3"/>
  <c r="D2041" i="3"/>
  <c r="C2041" i="3"/>
  <c r="B2041" i="3"/>
  <c r="A2041" i="3"/>
  <c r="H2040" i="3"/>
  <c r="G2040" i="3"/>
  <c r="F2040" i="3"/>
  <c r="E2040" i="3"/>
  <c r="C2040" i="3"/>
  <c r="B2040" i="3"/>
  <c r="A2040" i="3"/>
  <c r="H2039" i="3"/>
  <c r="G2039" i="3"/>
  <c r="F2039" i="3"/>
  <c r="E2039" i="3"/>
  <c r="D2039" i="3"/>
  <c r="C2039" i="3"/>
  <c r="B2039" i="3"/>
  <c r="A2039" i="3"/>
  <c r="H2038" i="3"/>
  <c r="G2038" i="3"/>
  <c r="F2038" i="3"/>
  <c r="E2038" i="3"/>
  <c r="C2038" i="3"/>
  <c r="B2038" i="3"/>
  <c r="A2038" i="3"/>
  <c r="H2037" i="3"/>
  <c r="G2037" i="3"/>
  <c r="F2037" i="3"/>
  <c r="E2037" i="3"/>
  <c r="D2037" i="3"/>
  <c r="C2037" i="3"/>
  <c r="B2037" i="3"/>
  <c r="A2037" i="3"/>
  <c r="H2036" i="3"/>
  <c r="G2036" i="3"/>
  <c r="F2036" i="3"/>
  <c r="E2036" i="3"/>
  <c r="C2036" i="3"/>
  <c r="B2036" i="3"/>
  <c r="A2036" i="3"/>
  <c r="H2035" i="3"/>
  <c r="G2035" i="3"/>
  <c r="F2035" i="3"/>
  <c r="E2035" i="3"/>
  <c r="C2035" i="3"/>
  <c r="B2035" i="3"/>
  <c r="A2035" i="3"/>
  <c r="H2034" i="3"/>
  <c r="G2034" i="3"/>
  <c r="F2034" i="3"/>
  <c r="E2034" i="3"/>
  <c r="D2034" i="3"/>
  <c r="C2034" i="3"/>
  <c r="B2034" i="3"/>
  <c r="A2034" i="3"/>
  <c r="H2033" i="3"/>
  <c r="G2033" i="3"/>
  <c r="F2033" i="3"/>
  <c r="E2033" i="3"/>
  <c r="D2033" i="3"/>
  <c r="C2033" i="3"/>
  <c r="B2033" i="3"/>
  <c r="A2033" i="3"/>
  <c r="H2032" i="3"/>
  <c r="G2032" i="3"/>
  <c r="F2032" i="3"/>
  <c r="E2032" i="3"/>
  <c r="D2032" i="3"/>
  <c r="C2032" i="3"/>
  <c r="B2032" i="3"/>
  <c r="A2032" i="3"/>
  <c r="H2031" i="3"/>
  <c r="G2031" i="3"/>
  <c r="F2031" i="3"/>
  <c r="E2031" i="3"/>
  <c r="C2031" i="3"/>
  <c r="B2031" i="3"/>
  <c r="A2031" i="3"/>
  <c r="H2030" i="3"/>
  <c r="G2030" i="3"/>
  <c r="F2030" i="3"/>
  <c r="E2030" i="3"/>
  <c r="C2030" i="3"/>
  <c r="B2030" i="3"/>
  <c r="A2030" i="3"/>
  <c r="H2029" i="3"/>
  <c r="G2029" i="3"/>
  <c r="F2029" i="3"/>
  <c r="E2029" i="3"/>
  <c r="C2029" i="3"/>
  <c r="B2029" i="3"/>
  <c r="A2029" i="3"/>
  <c r="H2028" i="3"/>
  <c r="G2028" i="3"/>
  <c r="F2028" i="3"/>
  <c r="E2028" i="3"/>
  <c r="C2028" i="3"/>
  <c r="B2028" i="3"/>
  <c r="A2028" i="3"/>
  <c r="H2027" i="3"/>
  <c r="G2027" i="3"/>
  <c r="F2027" i="3"/>
  <c r="E2027" i="3"/>
  <c r="C2027" i="3"/>
  <c r="B2027" i="3"/>
  <c r="A2027" i="3"/>
  <c r="H2026" i="3"/>
  <c r="G2026" i="3"/>
  <c r="F2026" i="3"/>
  <c r="E2026" i="3"/>
  <c r="C2026" i="3"/>
  <c r="B2026" i="3"/>
  <c r="A2026" i="3"/>
  <c r="H2025" i="3"/>
  <c r="G2025" i="3"/>
  <c r="F2025" i="3"/>
  <c r="E2025" i="3"/>
  <c r="C2025" i="3"/>
  <c r="B2025" i="3"/>
  <c r="A2025" i="3"/>
  <c r="H2024" i="3"/>
  <c r="G2024" i="3"/>
  <c r="F2024" i="3"/>
  <c r="E2024" i="3"/>
  <c r="C2024" i="3"/>
  <c r="B2024" i="3"/>
  <c r="A2024" i="3"/>
  <c r="H2023" i="3"/>
  <c r="G2023" i="3"/>
  <c r="F2023" i="3"/>
  <c r="E2023" i="3"/>
  <c r="C2023" i="3"/>
  <c r="B2023" i="3"/>
  <c r="A2023" i="3"/>
  <c r="H2022" i="3"/>
  <c r="G2022" i="3"/>
  <c r="F2022" i="3"/>
  <c r="E2022" i="3"/>
  <c r="C2022" i="3"/>
  <c r="B2022" i="3"/>
  <c r="A2022" i="3"/>
  <c r="H2021" i="3"/>
  <c r="G2021" i="3"/>
  <c r="F2021" i="3"/>
  <c r="E2021" i="3"/>
  <c r="C2021" i="3"/>
  <c r="B2021" i="3"/>
  <c r="A2021" i="3"/>
  <c r="H2020" i="3"/>
  <c r="G2020" i="3"/>
  <c r="F2020" i="3"/>
  <c r="E2020" i="3"/>
  <c r="C2020" i="3"/>
  <c r="B2020" i="3"/>
  <c r="A2020" i="3"/>
  <c r="H2019" i="3"/>
  <c r="G2019" i="3"/>
  <c r="F2019" i="3"/>
  <c r="E2019" i="3"/>
  <c r="C2019" i="3"/>
  <c r="B2019" i="3"/>
  <c r="A2019" i="3"/>
  <c r="H2018" i="3"/>
  <c r="G2018" i="3"/>
  <c r="F2018" i="3"/>
  <c r="E2018" i="3"/>
  <c r="A2018" i="3"/>
  <c r="H2017" i="3"/>
  <c r="G2017" i="3"/>
  <c r="F2017" i="3"/>
  <c r="E2017" i="3"/>
  <c r="B2017" i="3"/>
  <c r="A2017" i="3"/>
  <c r="H2016" i="3"/>
  <c r="G2016" i="3"/>
  <c r="F2016" i="3"/>
  <c r="E2016" i="3"/>
  <c r="C2016" i="3"/>
  <c r="B2016" i="3"/>
  <c r="A2016" i="3"/>
  <c r="H2015" i="3"/>
  <c r="G2015" i="3"/>
  <c r="F2015" i="3"/>
  <c r="E2015" i="3"/>
  <c r="C2015" i="3"/>
  <c r="B2015" i="3"/>
  <c r="A2015" i="3"/>
  <c r="H2014" i="3"/>
  <c r="G2014" i="3"/>
  <c r="F2014" i="3"/>
  <c r="E2014" i="3"/>
  <c r="D2014" i="3"/>
  <c r="C2014" i="3"/>
  <c r="B2014" i="3"/>
  <c r="A2014" i="3"/>
  <c r="H2013" i="3"/>
  <c r="G2013" i="3"/>
  <c r="F2013" i="3"/>
  <c r="E2013" i="3"/>
  <c r="C2013" i="3"/>
  <c r="B2013" i="3"/>
  <c r="A2013" i="3"/>
  <c r="H2012" i="3"/>
  <c r="G2012" i="3"/>
  <c r="F2012" i="3"/>
  <c r="E2012" i="3"/>
  <c r="C2012" i="3"/>
  <c r="B2012" i="3"/>
  <c r="A2012" i="3"/>
  <c r="H2011" i="3"/>
  <c r="G2011" i="3"/>
  <c r="F2011" i="3"/>
  <c r="E2011" i="3"/>
  <c r="C2011" i="3"/>
  <c r="B2011" i="3"/>
  <c r="A2011" i="3"/>
  <c r="H2010" i="3"/>
  <c r="G2010" i="3"/>
  <c r="F2010" i="3"/>
  <c r="E2010" i="3"/>
  <c r="C2010" i="3"/>
  <c r="B2010" i="3"/>
  <c r="A2010" i="3"/>
  <c r="H2009" i="3"/>
  <c r="G2009" i="3"/>
  <c r="F2009" i="3"/>
  <c r="E2009" i="3"/>
  <c r="C2009" i="3"/>
  <c r="B2009" i="3"/>
  <c r="A2009" i="3"/>
  <c r="H2008" i="3"/>
  <c r="G2008" i="3"/>
  <c r="F2008" i="3"/>
  <c r="E2008" i="3"/>
  <c r="C2008" i="3"/>
  <c r="B2008" i="3"/>
  <c r="A2008" i="3"/>
  <c r="H2007" i="3"/>
  <c r="G2007" i="3"/>
  <c r="F2007" i="3"/>
  <c r="E2007" i="3"/>
  <c r="C2007" i="3"/>
  <c r="B2007" i="3"/>
  <c r="A2007" i="3"/>
  <c r="H2006" i="3"/>
  <c r="G2006" i="3"/>
  <c r="F2006" i="3"/>
  <c r="E2006" i="3"/>
  <c r="C2006" i="3"/>
  <c r="B2006" i="3"/>
  <c r="A2006" i="3"/>
  <c r="H2005" i="3"/>
  <c r="G2005" i="3"/>
  <c r="F2005" i="3"/>
  <c r="E2005" i="3"/>
  <c r="C2005" i="3"/>
  <c r="B2005" i="3"/>
  <c r="A2005" i="3"/>
  <c r="H2004" i="3"/>
  <c r="G2004" i="3"/>
  <c r="F2004" i="3"/>
  <c r="E2004" i="3"/>
  <c r="C2004" i="3"/>
  <c r="B2004" i="3"/>
  <c r="A2004" i="3"/>
  <c r="H2003" i="3"/>
  <c r="G2003" i="3"/>
  <c r="F2003" i="3"/>
  <c r="E2003" i="3"/>
  <c r="B2003" i="3"/>
  <c r="A2003" i="3"/>
  <c r="H2002" i="3"/>
  <c r="G2002" i="3"/>
  <c r="F2002" i="3"/>
  <c r="E2002" i="3"/>
  <c r="D2002" i="3"/>
  <c r="C2002" i="3"/>
  <c r="B2002" i="3"/>
  <c r="A2002" i="3"/>
  <c r="H2001" i="3"/>
  <c r="G2001" i="3"/>
  <c r="F2001" i="3"/>
  <c r="E2001" i="3"/>
  <c r="D2001" i="3"/>
  <c r="C2001" i="3"/>
  <c r="B2001" i="3"/>
  <c r="A2001" i="3"/>
  <c r="H2000" i="3"/>
  <c r="G2000" i="3"/>
  <c r="F2000" i="3"/>
  <c r="E2000" i="3"/>
  <c r="C2000" i="3"/>
  <c r="B2000" i="3"/>
  <c r="A2000" i="3"/>
  <c r="H1999" i="3"/>
  <c r="G1999" i="3"/>
  <c r="F1999" i="3"/>
  <c r="E1999" i="3"/>
  <c r="C1999" i="3"/>
  <c r="B1999" i="3"/>
  <c r="A1999" i="3"/>
  <c r="H1998" i="3"/>
  <c r="G1998" i="3"/>
  <c r="F1998" i="3"/>
  <c r="E1998" i="3"/>
  <c r="C1998" i="3"/>
  <c r="B1998" i="3"/>
  <c r="A1998" i="3"/>
  <c r="H1997" i="3"/>
  <c r="G1997" i="3"/>
  <c r="F1997" i="3"/>
  <c r="E1997" i="3"/>
  <c r="C1997" i="3"/>
  <c r="B1997" i="3"/>
  <c r="A1997" i="3"/>
  <c r="H1996" i="3"/>
  <c r="G1996" i="3"/>
  <c r="F1996" i="3"/>
  <c r="E1996" i="3"/>
  <c r="C1996" i="3"/>
  <c r="B1996" i="3"/>
  <c r="A1996" i="3"/>
  <c r="H1995" i="3"/>
  <c r="G1995" i="3"/>
  <c r="F1995" i="3"/>
  <c r="E1995" i="3"/>
  <c r="C1995" i="3"/>
  <c r="B1995" i="3"/>
  <c r="A1995" i="3"/>
  <c r="H1994" i="3"/>
  <c r="G1994" i="3"/>
  <c r="F1994" i="3"/>
  <c r="E1994" i="3"/>
  <c r="C1994" i="3"/>
  <c r="B1994" i="3"/>
  <c r="A1994" i="3"/>
  <c r="H1993" i="3"/>
  <c r="G1993" i="3"/>
  <c r="F1993" i="3"/>
  <c r="E1993" i="3"/>
  <c r="C1993" i="3"/>
  <c r="B1993" i="3"/>
  <c r="A1993" i="3"/>
  <c r="H1992" i="3"/>
  <c r="G1992" i="3"/>
  <c r="F1992" i="3"/>
  <c r="E1992" i="3"/>
  <c r="C1992" i="3"/>
  <c r="B1992" i="3"/>
  <c r="A1992" i="3"/>
  <c r="H1991" i="3"/>
  <c r="G1991" i="3"/>
  <c r="F1991" i="3"/>
  <c r="E1991" i="3"/>
  <c r="C1991" i="3"/>
  <c r="B1991" i="3"/>
  <c r="A1991" i="3"/>
  <c r="H1990" i="3"/>
  <c r="G1990" i="3"/>
  <c r="F1990" i="3"/>
  <c r="E1990" i="3"/>
  <c r="C1990" i="3"/>
  <c r="B1990" i="3"/>
  <c r="A1990" i="3"/>
  <c r="H1989" i="3"/>
  <c r="G1989" i="3"/>
  <c r="F1989" i="3"/>
  <c r="E1989" i="3"/>
  <c r="D1989" i="3"/>
  <c r="C1989" i="3"/>
  <c r="B1989" i="3"/>
  <c r="A1989" i="3"/>
  <c r="H1988" i="3"/>
  <c r="G1988" i="3"/>
  <c r="F1988" i="3"/>
  <c r="E1988" i="3"/>
  <c r="C1988" i="3"/>
  <c r="B1988" i="3"/>
  <c r="A1988" i="3"/>
  <c r="H1987" i="3"/>
  <c r="G1987" i="3"/>
  <c r="F1987" i="3"/>
  <c r="E1987" i="3"/>
  <c r="C1987" i="3"/>
  <c r="B1987" i="3"/>
  <c r="A1987" i="3"/>
  <c r="H1986" i="3"/>
  <c r="G1986" i="3"/>
  <c r="F1986" i="3"/>
  <c r="E1986" i="3"/>
  <c r="D1986" i="3"/>
  <c r="C1986" i="3"/>
  <c r="B1986" i="3"/>
  <c r="A1986" i="3"/>
  <c r="H1985" i="3"/>
  <c r="G1985" i="3"/>
  <c r="F1985" i="3"/>
  <c r="E1985" i="3"/>
  <c r="C1985" i="3"/>
  <c r="B1985" i="3"/>
  <c r="A1985" i="3"/>
  <c r="H1984" i="3"/>
  <c r="G1984" i="3"/>
  <c r="F1984" i="3"/>
  <c r="E1984" i="3"/>
  <c r="C1984" i="3"/>
  <c r="B1984" i="3"/>
  <c r="A1984" i="3"/>
  <c r="H1983" i="3"/>
  <c r="G1983" i="3"/>
  <c r="F1983" i="3"/>
  <c r="E1983" i="3"/>
  <c r="C1983" i="3"/>
  <c r="B1983" i="3"/>
  <c r="A1983" i="3"/>
  <c r="H1982" i="3"/>
  <c r="G1982" i="3"/>
  <c r="F1982" i="3"/>
  <c r="E1982" i="3"/>
  <c r="C1982" i="3"/>
  <c r="B1982" i="3"/>
  <c r="A1982" i="3"/>
  <c r="H1981" i="3"/>
  <c r="G1981" i="3"/>
  <c r="F1981" i="3"/>
  <c r="E1981" i="3"/>
  <c r="C1981" i="3"/>
  <c r="B1981" i="3"/>
  <c r="A1981" i="3"/>
  <c r="H1980" i="3"/>
  <c r="G1980" i="3"/>
  <c r="F1980" i="3"/>
  <c r="E1980" i="3"/>
  <c r="D1980" i="3"/>
  <c r="C1980" i="3"/>
  <c r="B1980" i="3"/>
  <c r="A1980" i="3"/>
  <c r="H1979" i="3"/>
  <c r="G1979" i="3"/>
  <c r="F1979" i="3"/>
  <c r="E1979" i="3"/>
  <c r="C1979" i="3"/>
  <c r="B1979" i="3"/>
  <c r="A1979" i="3"/>
  <c r="H1978" i="3"/>
  <c r="G1978" i="3"/>
  <c r="F1978" i="3"/>
  <c r="E1978" i="3"/>
  <c r="D1978" i="3"/>
  <c r="C1978" i="3"/>
  <c r="B1978" i="3"/>
  <c r="A1978" i="3"/>
  <c r="H1977" i="3"/>
  <c r="G1977" i="3"/>
  <c r="F1977" i="3"/>
  <c r="E1977" i="3"/>
  <c r="C1977" i="3"/>
  <c r="B1977" i="3"/>
  <c r="A1977" i="3"/>
  <c r="H1976" i="3"/>
  <c r="G1976" i="3"/>
  <c r="F1976" i="3"/>
  <c r="E1976" i="3"/>
  <c r="C1976" i="3"/>
  <c r="B1976" i="3"/>
  <c r="A1976" i="3"/>
  <c r="H1975" i="3"/>
  <c r="G1975" i="3"/>
  <c r="F1975" i="3"/>
  <c r="E1975" i="3"/>
  <c r="C1975" i="3"/>
  <c r="B1975" i="3"/>
  <c r="A1975" i="3"/>
  <c r="H1974" i="3"/>
  <c r="G1974" i="3"/>
  <c r="F1974" i="3"/>
  <c r="E1974" i="3"/>
  <c r="C1974" i="3"/>
  <c r="B1974" i="3"/>
  <c r="A1974" i="3"/>
  <c r="H1973" i="3"/>
  <c r="G1973" i="3"/>
  <c r="F1973" i="3"/>
  <c r="C1973" i="3"/>
  <c r="A1973" i="3"/>
  <c r="H1972" i="3"/>
  <c r="G1972" i="3"/>
  <c r="F1972" i="3"/>
  <c r="E1972" i="3"/>
  <c r="C1972" i="3"/>
  <c r="A1972" i="3"/>
  <c r="H1971" i="3"/>
  <c r="G1971" i="3"/>
  <c r="F1971" i="3"/>
  <c r="E1971" i="3"/>
  <c r="C1971" i="3"/>
  <c r="B1971" i="3"/>
  <c r="A1971" i="3"/>
  <c r="H1970" i="3"/>
  <c r="G1970" i="3"/>
  <c r="F1970" i="3"/>
  <c r="E1970" i="3"/>
  <c r="C1970" i="3"/>
  <c r="B1970" i="3"/>
  <c r="A1970" i="3"/>
  <c r="H1969" i="3"/>
  <c r="G1969" i="3"/>
  <c r="F1969" i="3"/>
  <c r="E1969" i="3"/>
  <c r="C1969" i="3"/>
  <c r="B1969" i="3"/>
  <c r="A1969" i="3"/>
  <c r="H1968" i="3"/>
  <c r="G1968" i="3"/>
  <c r="F1968" i="3"/>
  <c r="E1968" i="3"/>
  <c r="C1968" i="3"/>
  <c r="B1968" i="3"/>
  <c r="A1968" i="3"/>
  <c r="H1967" i="3"/>
  <c r="G1967" i="3"/>
  <c r="F1967" i="3"/>
  <c r="E1967" i="3"/>
  <c r="C1967" i="3"/>
  <c r="B1967" i="3"/>
  <c r="A1967" i="3"/>
  <c r="H1966" i="3"/>
  <c r="G1966" i="3"/>
  <c r="F1966" i="3"/>
  <c r="E1966" i="3"/>
  <c r="D1966" i="3"/>
  <c r="C1966" i="3"/>
  <c r="B1966" i="3"/>
  <c r="A1966" i="3"/>
  <c r="H1965" i="3"/>
  <c r="G1965" i="3"/>
  <c r="F1965" i="3"/>
  <c r="E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C1961" i="3"/>
  <c r="B1961" i="3"/>
  <c r="A1961" i="3"/>
  <c r="H1960" i="3"/>
  <c r="G1960" i="3"/>
  <c r="F1960" i="3"/>
  <c r="E1960" i="3"/>
  <c r="C1960" i="3"/>
  <c r="B1960" i="3"/>
  <c r="A1960" i="3"/>
  <c r="H1959" i="3"/>
  <c r="G1959" i="3"/>
  <c r="F1959" i="3"/>
  <c r="E1959" i="3"/>
  <c r="C1959" i="3"/>
  <c r="B1959" i="3"/>
  <c r="A1959" i="3"/>
  <c r="H1958" i="3"/>
  <c r="G1958" i="3"/>
  <c r="F1958" i="3"/>
  <c r="E1958" i="3"/>
  <c r="D1958" i="3"/>
  <c r="C1958" i="3"/>
  <c r="B1958" i="3"/>
  <c r="A1958" i="3"/>
  <c r="H1957" i="3"/>
  <c r="G1957" i="3"/>
  <c r="F1957" i="3"/>
  <c r="E1957" i="3"/>
  <c r="D1957" i="3"/>
  <c r="C1957" i="3"/>
  <c r="B1957" i="3"/>
  <c r="A1957" i="3"/>
  <c r="H1956" i="3"/>
  <c r="G1956" i="3"/>
  <c r="F1956" i="3"/>
  <c r="E1956" i="3"/>
  <c r="C1956" i="3"/>
  <c r="B1956" i="3"/>
  <c r="A1956" i="3"/>
  <c r="H1955" i="3"/>
  <c r="G1955" i="3"/>
  <c r="F1955" i="3"/>
  <c r="E1955" i="3"/>
  <c r="C1955" i="3"/>
  <c r="B1955" i="3"/>
  <c r="A1955" i="3"/>
  <c r="H1954" i="3"/>
  <c r="G1954" i="3"/>
  <c r="F1954" i="3"/>
  <c r="E1954" i="3"/>
  <c r="A1954" i="3"/>
  <c r="H1953" i="3"/>
  <c r="G1953" i="3"/>
  <c r="F1953" i="3"/>
  <c r="E1953" i="3"/>
  <c r="C1953" i="3"/>
  <c r="B1953" i="3"/>
  <c r="A1953" i="3"/>
  <c r="H1952" i="3"/>
  <c r="G1952" i="3"/>
  <c r="F1952" i="3"/>
  <c r="E1952" i="3"/>
  <c r="C1952" i="3"/>
  <c r="B1952" i="3"/>
  <c r="A1952" i="3"/>
  <c r="H1951" i="3"/>
  <c r="G1951" i="3"/>
  <c r="F1951" i="3"/>
  <c r="E1951" i="3"/>
  <c r="C1951" i="3"/>
  <c r="B1951" i="3"/>
  <c r="A1951" i="3"/>
  <c r="H1950" i="3"/>
  <c r="G1950" i="3"/>
  <c r="F1950" i="3"/>
  <c r="E1950" i="3"/>
  <c r="D1950" i="3"/>
  <c r="C1950" i="3"/>
  <c r="B1950" i="3"/>
  <c r="A1950" i="3"/>
  <c r="H1949" i="3"/>
  <c r="G1949" i="3"/>
  <c r="F1949" i="3"/>
  <c r="E1949" i="3"/>
  <c r="C1949" i="3"/>
  <c r="B1949" i="3"/>
  <c r="A1949" i="3"/>
  <c r="H1948" i="3"/>
  <c r="G1948" i="3"/>
  <c r="F1948" i="3"/>
  <c r="E1948" i="3"/>
  <c r="C1948" i="3"/>
  <c r="B1948" i="3"/>
  <c r="A1948" i="3"/>
  <c r="H1947" i="3"/>
  <c r="G1947" i="3"/>
  <c r="F1947" i="3"/>
  <c r="E1947" i="3"/>
  <c r="C1947" i="3"/>
  <c r="B1947" i="3"/>
  <c r="A1947" i="3"/>
  <c r="H1946" i="3"/>
  <c r="G1946" i="3"/>
  <c r="F1946" i="3"/>
  <c r="E1946" i="3"/>
  <c r="C1946" i="3"/>
  <c r="B1946" i="3"/>
  <c r="A1946" i="3"/>
  <c r="H1945" i="3"/>
  <c r="G1945" i="3"/>
  <c r="F1945" i="3"/>
  <c r="E1945" i="3"/>
  <c r="C1945" i="3"/>
  <c r="B1945" i="3"/>
  <c r="A1945" i="3"/>
  <c r="H1944" i="3"/>
  <c r="G1944" i="3"/>
  <c r="F1944" i="3"/>
  <c r="E1944" i="3"/>
  <c r="D1944" i="3"/>
  <c r="C1944" i="3"/>
  <c r="B1944" i="3"/>
  <c r="A1944" i="3"/>
  <c r="H1943" i="3"/>
  <c r="G1943" i="3"/>
  <c r="F1943" i="3"/>
  <c r="E1943" i="3"/>
  <c r="C1943" i="3"/>
  <c r="B1943" i="3"/>
  <c r="A1943" i="3"/>
  <c r="H1942" i="3"/>
  <c r="G1942" i="3"/>
  <c r="F1942" i="3"/>
  <c r="E1942" i="3"/>
  <c r="C1942" i="3"/>
  <c r="B1942" i="3"/>
  <c r="A1942" i="3"/>
  <c r="H1941" i="3"/>
  <c r="G1941" i="3"/>
  <c r="F1941" i="3"/>
  <c r="E1941" i="3"/>
  <c r="C1941" i="3"/>
  <c r="B1941" i="3"/>
  <c r="A1941" i="3"/>
  <c r="H1940" i="3"/>
  <c r="G1940" i="3"/>
  <c r="F1940" i="3"/>
  <c r="E1940" i="3"/>
  <c r="C1940" i="3"/>
  <c r="B1940" i="3"/>
  <c r="A1940" i="3"/>
  <c r="H1939" i="3"/>
  <c r="G1939" i="3"/>
  <c r="F1939" i="3"/>
  <c r="E1939" i="3"/>
  <c r="C1939" i="3"/>
  <c r="B1939" i="3"/>
  <c r="A1939" i="3"/>
  <c r="H1938" i="3"/>
  <c r="G1938" i="3"/>
  <c r="F1938" i="3"/>
  <c r="E1938" i="3"/>
  <c r="A1938" i="3"/>
  <c r="H1937" i="3"/>
  <c r="G1937" i="3"/>
  <c r="F1937" i="3"/>
  <c r="E1937" i="3"/>
  <c r="C1937" i="3"/>
  <c r="B1937" i="3"/>
  <c r="A1937" i="3"/>
  <c r="H1936" i="3"/>
  <c r="G1936" i="3"/>
  <c r="F1936" i="3"/>
  <c r="E1936" i="3"/>
  <c r="C1936" i="3"/>
  <c r="B1936" i="3"/>
  <c r="A1936" i="3"/>
  <c r="H1935" i="3"/>
  <c r="G1935" i="3"/>
  <c r="F1935" i="3"/>
  <c r="E1935" i="3"/>
  <c r="C1935" i="3"/>
  <c r="B1935" i="3"/>
  <c r="A1935" i="3"/>
  <c r="H1934" i="3"/>
  <c r="G1934" i="3"/>
  <c r="F1934" i="3"/>
  <c r="E1934" i="3"/>
  <c r="C1934" i="3"/>
  <c r="B1934" i="3"/>
  <c r="A1934" i="3"/>
  <c r="H1933" i="3"/>
  <c r="G1933" i="3"/>
  <c r="F1933" i="3"/>
  <c r="E1933" i="3"/>
  <c r="C1933" i="3"/>
  <c r="B1933" i="3"/>
  <c r="A1933" i="3"/>
  <c r="H1932" i="3"/>
  <c r="G1932" i="3"/>
  <c r="F1932" i="3"/>
  <c r="E1932" i="3"/>
  <c r="D1932" i="3"/>
  <c r="C1932" i="3"/>
  <c r="B1932" i="3"/>
  <c r="A1932" i="3"/>
  <c r="H1931" i="3"/>
  <c r="G1931" i="3"/>
  <c r="F1931" i="3"/>
  <c r="E1931" i="3"/>
  <c r="D1931" i="3"/>
  <c r="C1931" i="3"/>
  <c r="B1931" i="3"/>
  <c r="A1931" i="3"/>
  <c r="H1930" i="3"/>
  <c r="G1930" i="3"/>
  <c r="F1930" i="3"/>
  <c r="E1930" i="3"/>
  <c r="A1930" i="3"/>
  <c r="H1929" i="3"/>
  <c r="G1929" i="3"/>
  <c r="F1929" i="3"/>
  <c r="E1929" i="3"/>
  <c r="A1929" i="3"/>
  <c r="H1928" i="3"/>
  <c r="G1928" i="3"/>
  <c r="F1928" i="3"/>
  <c r="E1928" i="3"/>
  <c r="C1928" i="3"/>
  <c r="B1928" i="3"/>
  <c r="A1928" i="3"/>
  <c r="H1927" i="3"/>
  <c r="G1927" i="3"/>
  <c r="F1927" i="3"/>
  <c r="E1927" i="3"/>
  <c r="C1927" i="3"/>
  <c r="B1927" i="3"/>
  <c r="A1927" i="3"/>
  <c r="H1926" i="3"/>
  <c r="G1926" i="3"/>
  <c r="F1926" i="3"/>
  <c r="E1926" i="3"/>
  <c r="C1926" i="3"/>
  <c r="B1926" i="3"/>
  <c r="A1926" i="3"/>
  <c r="H1925" i="3"/>
  <c r="G1925" i="3"/>
  <c r="F1925" i="3"/>
  <c r="E1925" i="3"/>
  <c r="C1925" i="3"/>
  <c r="B1925" i="3"/>
  <c r="A1925" i="3"/>
  <c r="H1924" i="3"/>
  <c r="G1924" i="3"/>
  <c r="F1924" i="3"/>
  <c r="E1924" i="3"/>
  <c r="C1924" i="3"/>
  <c r="B1924" i="3"/>
  <c r="A1924" i="3"/>
  <c r="H1923" i="3"/>
  <c r="G1923" i="3"/>
  <c r="F1923" i="3"/>
  <c r="E1923" i="3"/>
  <c r="C1923" i="3"/>
  <c r="B1923" i="3"/>
  <c r="A1923" i="3"/>
  <c r="H1922" i="3"/>
  <c r="G1922" i="3"/>
  <c r="F1922" i="3"/>
  <c r="E1922" i="3"/>
  <c r="C1922" i="3"/>
  <c r="B1922" i="3"/>
  <c r="A1922" i="3"/>
  <c r="H1921" i="3"/>
  <c r="G1921" i="3"/>
  <c r="F1921" i="3"/>
  <c r="E1921" i="3"/>
  <c r="D1921" i="3"/>
  <c r="C1921" i="3"/>
  <c r="B1921" i="3"/>
  <c r="A1921" i="3"/>
  <c r="H1920" i="3"/>
  <c r="G1920" i="3"/>
  <c r="F1920" i="3"/>
  <c r="E1920" i="3"/>
  <c r="D1920" i="3"/>
  <c r="C1920" i="3"/>
  <c r="B1920" i="3"/>
  <c r="A1920" i="3"/>
  <c r="H1919" i="3"/>
  <c r="G1919" i="3"/>
  <c r="F1919" i="3"/>
  <c r="E1919" i="3"/>
  <c r="C1919" i="3"/>
  <c r="B1919" i="3"/>
  <c r="A1919" i="3"/>
  <c r="H1918" i="3"/>
  <c r="G1918" i="3"/>
  <c r="F1918" i="3"/>
  <c r="E1918" i="3"/>
  <c r="D1918" i="3"/>
  <c r="C1918" i="3"/>
  <c r="B1918" i="3"/>
  <c r="A1918" i="3"/>
  <c r="H1917" i="3"/>
  <c r="G1917" i="3"/>
  <c r="F1917" i="3"/>
  <c r="E1917" i="3"/>
  <c r="C1917" i="3"/>
  <c r="B1917" i="3"/>
  <c r="A1917" i="3"/>
  <c r="H1916" i="3"/>
  <c r="G1916" i="3"/>
  <c r="F1916" i="3"/>
  <c r="E1916" i="3"/>
  <c r="C1916" i="3"/>
  <c r="B1916" i="3"/>
  <c r="A1916" i="3"/>
  <c r="H1915" i="3"/>
  <c r="G1915" i="3"/>
  <c r="F1915" i="3"/>
  <c r="E1915" i="3"/>
  <c r="C1915" i="3"/>
  <c r="B1915" i="3"/>
  <c r="A1915" i="3"/>
  <c r="H1914" i="3"/>
  <c r="G1914" i="3"/>
  <c r="F1914" i="3"/>
  <c r="E1914" i="3"/>
  <c r="C1914" i="3"/>
  <c r="B1914" i="3"/>
  <c r="A1914" i="3"/>
  <c r="H1913" i="3"/>
  <c r="G1913" i="3"/>
  <c r="F1913" i="3"/>
  <c r="E1913" i="3"/>
  <c r="C1913" i="3"/>
  <c r="B1913" i="3"/>
  <c r="A1913" i="3"/>
  <c r="H1912" i="3"/>
  <c r="G1912" i="3"/>
  <c r="F1912" i="3"/>
  <c r="E1912" i="3"/>
  <c r="C1912" i="3"/>
  <c r="B1912" i="3"/>
  <c r="A1912" i="3"/>
  <c r="H1911" i="3"/>
  <c r="G1911" i="3"/>
  <c r="F1911" i="3"/>
  <c r="E1911" i="3"/>
  <c r="C1911" i="3"/>
  <c r="B1911" i="3"/>
  <c r="A1911" i="3"/>
  <c r="H1910" i="3"/>
  <c r="G1910" i="3"/>
  <c r="F1910" i="3"/>
  <c r="E1910" i="3"/>
  <c r="C1910" i="3"/>
  <c r="B1910" i="3"/>
  <c r="A1910" i="3"/>
  <c r="H1909" i="3"/>
  <c r="G1909" i="3"/>
  <c r="F1909" i="3"/>
  <c r="E1909" i="3"/>
  <c r="C1909" i="3"/>
  <c r="A1909" i="3"/>
  <c r="H1908" i="3"/>
  <c r="G1908" i="3"/>
  <c r="F1908" i="3"/>
  <c r="E1908" i="3"/>
  <c r="C1908" i="3"/>
  <c r="B1908" i="3"/>
  <c r="A1908" i="3"/>
  <c r="H1907" i="3"/>
  <c r="G1907" i="3"/>
  <c r="F1907" i="3"/>
  <c r="E1907" i="3"/>
  <c r="C1907" i="3"/>
  <c r="B1907" i="3"/>
  <c r="A1907" i="3"/>
  <c r="H1906" i="3"/>
  <c r="G1906" i="3"/>
  <c r="F1906" i="3"/>
  <c r="E1906" i="3"/>
  <c r="C1906" i="3"/>
  <c r="B1906" i="3"/>
  <c r="A1906" i="3"/>
  <c r="H1905" i="3"/>
  <c r="G1905" i="3"/>
  <c r="F1905" i="3"/>
  <c r="E1905" i="3"/>
  <c r="C1905" i="3"/>
  <c r="B1905" i="3"/>
  <c r="A1905" i="3"/>
  <c r="H1904" i="3"/>
  <c r="G1904" i="3"/>
  <c r="F1904" i="3"/>
  <c r="E1904" i="3"/>
  <c r="C1904" i="3"/>
  <c r="B1904" i="3"/>
  <c r="A1904" i="3"/>
  <c r="H1903" i="3"/>
  <c r="G1903" i="3"/>
  <c r="F1903" i="3"/>
  <c r="E1903" i="3"/>
  <c r="D1903" i="3"/>
  <c r="C1903" i="3"/>
  <c r="B1903" i="3"/>
  <c r="A1903" i="3"/>
  <c r="H1902" i="3"/>
  <c r="G1902" i="3"/>
  <c r="F1902" i="3"/>
  <c r="E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C1899" i="3"/>
  <c r="B1899" i="3"/>
  <c r="A1899" i="3"/>
  <c r="H1898" i="3"/>
  <c r="G1898" i="3"/>
  <c r="F1898" i="3"/>
  <c r="E1898" i="3"/>
  <c r="D1898" i="3"/>
  <c r="C1898" i="3"/>
  <c r="B1898" i="3"/>
  <c r="A1898" i="3"/>
  <c r="H1897" i="3"/>
  <c r="G1897" i="3"/>
  <c r="F1897" i="3"/>
  <c r="E1897" i="3"/>
  <c r="C1897" i="3"/>
  <c r="B1897" i="3"/>
  <c r="A1897" i="3"/>
  <c r="H1896" i="3"/>
  <c r="G1896" i="3"/>
  <c r="F1896" i="3"/>
  <c r="E1896" i="3"/>
  <c r="D1896" i="3"/>
  <c r="C1896" i="3"/>
  <c r="B1896" i="3"/>
  <c r="A1896" i="3"/>
  <c r="H1895" i="3"/>
  <c r="G1895" i="3"/>
  <c r="F1895" i="3"/>
  <c r="E1895" i="3"/>
  <c r="C1895" i="3"/>
  <c r="B1895" i="3"/>
  <c r="A1895" i="3"/>
  <c r="H1894" i="3"/>
  <c r="G1894" i="3"/>
  <c r="F1894" i="3"/>
  <c r="E1894" i="3"/>
  <c r="D1894" i="3"/>
  <c r="C1894" i="3"/>
  <c r="B1894" i="3"/>
  <c r="A1894" i="3"/>
  <c r="H1893" i="3"/>
  <c r="G1893" i="3"/>
  <c r="F1893" i="3"/>
  <c r="E1893" i="3"/>
  <c r="C1893" i="3"/>
  <c r="B1893" i="3"/>
  <c r="A1893" i="3"/>
  <c r="H1892" i="3"/>
  <c r="G1892" i="3"/>
  <c r="F1892" i="3"/>
  <c r="E1892" i="3"/>
  <c r="D1892" i="3"/>
  <c r="C1892" i="3"/>
  <c r="B1892" i="3"/>
  <c r="A1892" i="3"/>
  <c r="H1891" i="3"/>
  <c r="G1891" i="3"/>
  <c r="F1891" i="3"/>
  <c r="E1891" i="3"/>
  <c r="A1891" i="3"/>
  <c r="H1890" i="3"/>
  <c r="G1890" i="3"/>
  <c r="F1890" i="3"/>
  <c r="E1890" i="3"/>
  <c r="C1890" i="3"/>
  <c r="B1890" i="3"/>
  <c r="A1890" i="3"/>
  <c r="H1889" i="3"/>
  <c r="G1889" i="3"/>
  <c r="F1889" i="3"/>
  <c r="E1889" i="3"/>
  <c r="C1889" i="3"/>
  <c r="A1889" i="3"/>
  <c r="H1888" i="3"/>
  <c r="G1888" i="3"/>
  <c r="F1888" i="3"/>
  <c r="E1888" i="3"/>
  <c r="C1888" i="3"/>
  <c r="B1888" i="3"/>
  <c r="A1888" i="3"/>
  <c r="H1887" i="3"/>
  <c r="G1887" i="3"/>
  <c r="F1887" i="3"/>
  <c r="E1887" i="3"/>
  <c r="D1887" i="3"/>
  <c r="C1887" i="3"/>
  <c r="A1887" i="3"/>
  <c r="H1886" i="3"/>
  <c r="G1886" i="3"/>
  <c r="F1886" i="3"/>
  <c r="E1886" i="3"/>
  <c r="C1886" i="3"/>
  <c r="A1886" i="3"/>
  <c r="H1885" i="3"/>
  <c r="G1885" i="3"/>
  <c r="F1885" i="3"/>
  <c r="E1885" i="3"/>
  <c r="D1885" i="3"/>
  <c r="C1885" i="3"/>
  <c r="B1885" i="3"/>
  <c r="A1885" i="3"/>
  <c r="H1884" i="3"/>
  <c r="G1884" i="3"/>
  <c r="F1884" i="3"/>
  <c r="E1884" i="3"/>
  <c r="D1884" i="3"/>
  <c r="C1884" i="3"/>
  <c r="B1884" i="3"/>
  <c r="A1884" i="3"/>
  <c r="H1883" i="3"/>
  <c r="G1883" i="3"/>
  <c r="F1883" i="3"/>
  <c r="E1883" i="3"/>
  <c r="D1883" i="3"/>
  <c r="C1883" i="3"/>
  <c r="B1883" i="3"/>
  <c r="A1883" i="3"/>
  <c r="H1882" i="3"/>
  <c r="G1882" i="3"/>
  <c r="F1882" i="3"/>
  <c r="E1882" i="3"/>
  <c r="A1882" i="3"/>
  <c r="H1881" i="3"/>
  <c r="G1881" i="3"/>
  <c r="F1881" i="3"/>
  <c r="E1881" i="3"/>
  <c r="A1881" i="3"/>
  <c r="H1880" i="3"/>
  <c r="G1880" i="3"/>
  <c r="F1880" i="3"/>
  <c r="E1880" i="3"/>
  <c r="D1880" i="3"/>
  <c r="C1880" i="3"/>
  <c r="B1880" i="3"/>
  <c r="A1880" i="3"/>
  <c r="H1879" i="3"/>
  <c r="G1879" i="3"/>
  <c r="F1879" i="3"/>
  <c r="E1879" i="3"/>
  <c r="A1879" i="3"/>
  <c r="H1878" i="3"/>
  <c r="G1878" i="3"/>
  <c r="F1878" i="3"/>
  <c r="E1878" i="3"/>
  <c r="A1878" i="3"/>
  <c r="H1877" i="3"/>
  <c r="G1877" i="3"/>
  <c r="F1877" i="3"/>
  <c r="E1877" i="3"/>
  <c r="D1877" i="3"/>
  <c r="C1877" i="3"/>
  <c r="B1877" i="3"/>
  <c r="A1877" i="3"/>
  <c r="H1876" i="3"/>
  <c r="G1876" i="3"/>
  <c r="F1876" i="3"/>
  <c r="E1876" i="3"/>
  <c r="C1876" i="3"/>
  <c r="B1876" i="3"/>
  <c r="A1876" i="3"/>
  <c r="H1875" i="3"/>
  <c r="G1875" i="3"/>
  <c r="F1875" i="3"/>
  <c r="E1875" i="3"/>
  <c r="D1875" i="3"/>
  <c r="C1875" i="3"/>
  <c r="A1875" i="3"/>
  <c r="H1874" i="3"/>
  <c r="G1874" i="3"/>
  <c r="F1874" i="3"/>
  <c r="E1874" i="3"/>
  <c r="D1874" i="3"/>
  <c r="C1874" i="3"/>
  <c r="B1874" i="3"/>
  <c r="A1874" i="3"/>
  <c r="H1873" i="3"/>
  <c r="G1873" i="3"/>
  <c r="F1873" i="3"/>
  <c r="E1873" i="3"/>
  <c r="C1873" i="3"/>
  <c r="B1873" i="3"/>
  <c r="A1873" i="3"/>
  <c r="H1872" i="3"/>
  <c r="G1872" i="3"/>
  <c r="F1872" i="3"/>
  <c r="E1872" i="3"/>
  <c r="D1872" i="3"/>
  <c r="C1872" i="3"/>
  <c r="B1872" i="3"/>
  <c r="A1872" i="3"/>
  <c r="H1871" i="3"/>
  <c r="G1871" i="3"/>
  <c r="F1871" i="3"/>
  <c r="E1871" i="3"/>
  <c r="C1871" i="3"/>
  <c r="B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C1867" i="3"/>
  <c r="B1867" i="3"/>
  <c r="A1867" i="3"/>
  <c r="H1866" i="3"/>
  <c r="G1866" i="3"/>
  <c r="F1866" i="3"/>
  <c r="E1866" i="3"/>
  <c r="D1866" i="3"/>
  <c r="C1866" i="3"/>
  <c r="B1866" i="3"/>
  <c r="A1866" i="3"/>
  <c r="H1865" i="3"/>
  <c r="G1865" i="3"/>
  <c r="F1865" i="3"/>
  <c r="E1865" i="3"/>
  <c r="C1865" i="3"/>
  <c r="B1865" i="3"/>
  <c r="A1865" i="3"/>
  <c r="H1864" i="3"/>
  <c r="G1864" i="3"/>
  <c r="F1864" i="3"/>
  <c r="E1864" i="3"/>
  <c r="C1864" i="3"/>
  <c r="A1864" i="3"/>
  <c r="H1863" i="3"/>
  <c r="G1863" i="3"/>
  <c r="F1863" i="3"/>
  <c r="E1863" i="3"/>
  <c r="C1863" i="3"/>
  <c r="A1863" i="3"/>
  <c r="H1862" i="3"/>
  <c r="G1862" i="3"/>
  <c r="F1862" i="3"/>
  <c r="E1862" i="3"/>
  <c r="A1862" i="3"/>
  <c r="H1861" i="3"/>
  <c r="G1861" i="3"/>
  <c r="F1861" i="3"/>
  <c r="E1861" i="3"/>
  <c r="D1861" i="3"/>
  <c r="C1861" i="3"/>
  <c r="B1861" i="3"/>
  <c r="A1861" i="3"/>
  <c r="H1860" i="3"/>
  <c r="G1860" i="3"/>
  <c r="F1860" i="3"/>
  <c r="E1860" i="3"/>
  <c r="D1860" i="3"/>
  <c r="C1860" i="3"/>
  <c r="B1860" i="3"/>
  <c r="A1860" i="3"/>
  <c r="H1859" i="3"/>
  <c r="G1859" i="3"/>
  <c r="F1859" i="3"/>
  <c r="E1859" i="3"/>
  <c r="C1859" i="3"/>
  <c r="B1859" i="3"/>
  <c r="A1859" i="3"/>
  <c r="H1858" i="3"/>
  <c r="G1858" i="3"/>
  <c r="F1858" i="3"/>
  <c r="E1858" i="3"/>
  <c r="A1858" i="3"/>
  <c r="H1857" i="3"/>
  <c r="G1857" i="3"/>
  <c r="F1857" i="3"/>
  <c r="E1857" i="3"/>
  <c r="A1857" i="3"/>
  <c r="H1856" i="3"/>
  <c r="G1856" i="3"/>
  <c r="F1856" i="3"/>
  <c r="E1856" i="3"/>
  <c r="C1856" i="3"/>
  <c r="A1856" i="3"/>
  <c r="H1855" i="3"/>
  <c r="G1855" i="3"/>
  <c r="F1855" i="3"/>
  <c r="E1855" i="3"/>
  <c r="D1855" i="3"/>
  <c r="C1855" i="3"/>
  <c r="B1855" i="3"/>
  <c r="A1855" i="3"/>
  <c r="H1854" i="3"/>
  <c r="G1854" i="3"/>
  <c r="F1854" i="3"/>
  <c r="E1854" i="3"/>
  <c r="C1854" i="3"/>
  <c r="B1854" i="3"/>
  <c r="A1854" i="3"/>
  <c r="H1853" i="3"/>
  <c r="G1853" i="3"/>
  <c r="F1853" i="3"/>
  <c r="E1853" i="3"/>
  <c r="C1853" i="3"/>
  <c r="B1853" i="3"/>
  <c r="A1853" i="3"/>
  <c r="H1852" i="3"/>
  <c r="G1852" i="3"/>
  <c r="F1852" i="3"/>
  <c r="E1852" i="3"/>
  <c r="C1852" i="3"/>
  <c r="B1852" i="3"/>
  <c r="A1852" i="3"/>
  <c r="H1851" i="3"/>
  <c r="G1851" i="3"/>
  <c r="F1851" i="3"/>
  <c r="E1851" i="3"/>
  <c r="C1851" i="3"/>
  <c r="B1851" i="3"/>
  <c r="A1851" i="3"/>
  <c r="H1850" i="3"/>
  <c r="G1850" i="3"/>
  <c r="F1850" i="3"/>
  <c r="E1850" i="3"/>
  <c r="D1850" i="3"/>
  <c r="C1850" i="3"/>
  <c r="B1850" i="3"/>
  <c r="A1850" i="3"/>
  <c r="H1849" i="3"/>
  <c r="G1849" i="3"/>
  <c r="F1849" i="3"/>
  <c r="E1849" i="3"/>
  <c r="C1849" i="3"/>
  <c r="B1849" i="3"/>
  <c r="A1849" i="3"/>
  <c r="H1848" i="3"/>
  <c r="G1848" i="3"/>
  <c r="F1848" i="3"/>
  <c r="E1848" i="3"/>
  <c r="C1848" i="3"/>
  <c r="B1848" i="3"/>
  <c r="A1848" i="3"/>
  <c r="H1847" i="3"/>
  <c r="G1847" i="3"/>
  <c r="F1847" i="3"/>
  <c r="E1847" i="3"/>
  <c r="C1847" i="3"/>
  <c r="B1847" i="3"/>
  <c r="A1847" i="3"/>
  <c r="H1846" i="3"/>
  <c r="G1846" i="3"/>
  <c r="F1846" i="3"/>
  <c r="E1846" i="3"/>
  <c r="C1846" i="3"/>
  <c r="B1846" i="3"/>
  <c r="A1846" i="3"/>
  <c r="H1845" i="3"/>
  <c r="G1845" i="3"/>
  <c r="F1845" i="3"/>
  <c r="E1845" i="3"/>
  <c r="C1845" i="3"/>
  <c r="B1845" i="3"/>
  <c r="A1845" i="3"/>
  <c r="H1844" i="3"/>
  <c r="G1844" i="3"/>
  <c r="F1844" i="3"/>
  <c r="E1844" i="3"/>
  <c r="D1844" i="3"/>
  <c r="C1844" i="3"/>
  <c r="B1844" i="3"/>
  <c r="A1844" i="3"/>
  <c r="H1843" i="3"/>
  <c r="G1843" i="3"/>
  <c r="F1843" i="3"/>
  <c r="E1843" i="3"/>
  <c r="C1843" i="3"/>
  <c r="B1843" i="3"/>
  <c r="A1843" i="3"/>
  <c r="H1842" i="3"/>
  <c r="G1842" i="3"/>
  <c r="F1842" i="3"/>
  <c r="E1842" i="3"/>
  <c r="C1842" i="3"/>
  <c r="B1842" i="3"/>
  <c r="A1842" i="3"/>
  <c r="H1841" i="3"/>
  <c r="G1841" i="3"/>
  <c r="F1841" i="3"/>
  <c r="E1841" i="3"/>
  <c r="C1841" i="3"/>
  <c r="B1841" i="3"/>
  <c r="A1841" i="3"/>
  <c r="H1840" i="3"/>
  <c r="G1840" i="3"/>
  <c r="F1840" i="3"/>
  <c r="E1840" i="3"/>
  <c r="C1840" i="3"/>
  <c r="B1840" i="3"/>
  <c r="A1840" i="3"/>
  <c r="H1839" i="3"/>
  <c r="G1839" i="3"/>
  <c r="F1839" i="3"/>
  <c r="E1839" i="3"/>
  <c r="C1839" i="3"/>
  <c r="B1839" i="3"/>
  <c r="A1839" i="3"/>
  <c r="H1838" i="3"/>
  <c r="G1838" i="3"/>
  <c r="F1838" i="3"/>
  <c r="E1838" i="3"/>
  <c r="C1838" i="3"/>
  <c r="A1838" i="3"/>
  <c r="H1837" i="3"/>
  <c r="G1837" i="3"/>
  <c r="F1837" i="3"/>
  <c r="E1837" i="3"/>
  <c r="D1837" i="3"/>
  <c r="C1837" i="3"/>
  <c r="B1837" i="3"/>
  <c r="A1837" i="3"/>
  <c r="H1836" i="3"/>
  <c r="G1836" i="3"/>
  <c r="F1836" i="3"/>
  <c r="E1836" i="3"/>
  <c r="D1836" i="3"/>
  <c r="C1836" i="3"/>
  <c r="B1836" i="3"/>
  <c r="A1836" i="3"/>
  <c r="H1835" i="3"/>
  <c r="G1835" i="3"/>
  <c r="F1835" i="3"/>
  <c r="E1835" i="3"/>
  <c r="C1835" i="3"/>
  <c r="B1835" i="3"/>
  <c r="A1835" i="3"/>
  <c r="H1834" i="3"/>
  <c r="G1834" i="3"/>
  <c r="F1834" i="3"/>
  <c r="E1834" i="3"/>
  <c r="D1834" i="3"/>
  <c r="C1834" i="3"/>
  <c r="B1834" i="3"/>
  <c r="A1834" i="3"/>
  <c r="H1833" i="3"/>
  <c r="G1833" i="3"/>
  <c r="F1833" i="3"/>
  <c r="E1833" i="3"/>
  <c r="A1833" i="3"/>
  <c r="H1832" i="3"/>
  <c r="G1832" i="3"/>
  <c r="F1832" i="3"/>
  <c r="E1832" i="3"/>
  <c r="D1832" i="3"/>
  <c r="C1832" i="3"/>
  <c r="B1832" i="3"/>
  <c r="A1832" i="3"/>
  <c r="H1831" i="3"/>
  <c r="G1831" i="3"/>
  <c r="F1831" i="3"/>
  <c r="E1831" i="3"/>
  <c r="C1831" i="3"/>
  <c r="B1831" i="3"/>
  <c r="A1831" i="3"/>
  <c r="H1830" i="3"/>
  <c r="G1830" i="3"/>
  <c r="F1830" i="3"/>
  <c r="E1830" i="3"/>
  <c r="D1830" i="3"/>
  <c r="C1830" i="3"/>
  <c r="B1830" i="3"/>
  <c r="A1830" i="3"/>
  <c r="H1829" i="3"/>
  <c r="G1829" i="3"/>
  <c r="F1829" i="3"/>
  <c r="E1829" i="3"/>
  <c r="A1829" i="3"/>
  <c r="H1828" i="3"/>
  <c r="G1828" i="3"/>
  <c r="F1828" i="3"/>
  <c r="C1828" i="3"/>
  <c r="A1828" i="3"/>
  <c r="H1827" i="3"/>
  <c r="G1827" i="3"/>
  <c r="F1827" i="3"/>
  <c r="E1827" i="3"/>
  <c r="D1827" i="3"/>
  <c r="C1827" i="3"/>
  <c r="B1827" i="3"/>
  <c r="A1827" i="3"/>
  <c r="H1826" i="3"/>
  <c r="G1826" i="3"/>
  <c r="F1826" i="3"/>
  <c r="E1826" i="3"/>
  <c r="C1826" i="3"/>
  <c r="B1826" i="3"/>
  <c r="A1826" i="3"/>
  <c r="H1825" i="3"/>
  <c r="G1825" i="3"/>
  <c r="F1825" i="3"/>
  <c r="E1825" i="3"/>
  <c r="D1825" i="3"/>
  <c r="C1825" i="3"/>
  <c r="B1825" i="3"/>
  <c r="A1825" i="3"/>
  <c r="H1824" i="3"/>
  <c r="G1824" i="3"/>
  <c r="F1824" i="3"/>
  <c r="E1824" i="3"/>
  <c r="D1824" i="3"/>
  <c r="C1824" i="3"/>
  <c r="B1824" i="3"/>
  <c r="A1824" i="3"/>
  <c r="H1823" i="3"/>
  <c r="G1823" i="3"/>
  <c r="F1823" i="3"/>
  <c r="E1823" i="3"/>
  <c r="D1823" i="3"/>
  <c r="C1823" i="3"/>
  <c r="B1823" i="3"/>
  <c r="A1823" i="3"/>
  <c r="H1822" i="3"/>
  <c r="G1822" i="3"/>
  <c r="F1822" i="3"/>
  <c r="E1822" i="3"/>
  <c r="C1822" i="3"/>
  <c r="B1822" i="3"/>
  <c r="A1822" i="3"/>
  <c r="H1821" i="3"/>
  <c r="G1821" i="3"/>
  <c r="F1821" i="3"/>
  <c r="E1821" i="3"/>
  <c r="D1821" i="3"/>
  <c r="C1821" i="3"/>
  <c r="B1821" i="3"/>
  <c r="A1821" i="3"/>
  <c r="H1820" i="3"/>
  <c r="G1820" i="3"/>
  <c r="F1820" i="3"/>
  <c r="E1820" i="3"/>
  <c r="D1820" i="3"/>
  <c r="C1820" i="3"/>
  <c r="B1820" i="3"/>
  <c r="A1820" i="3"/>
  <c r="H1819" i="3"/>
  <c r="G1819" i="3"/>
  <c r="F1819" i="3"/>
  <c r="E1819" i="3"/>
  <c r="D1819" i="3"/>
  <c r="C1819" i="3"/>
  <c r="A1819" i="3"/>
  <c r="H1818" i="3"/>
  <c r="G1818" i="3"/>
  <c r="F1818" i="3"/>
  <c r="E1818" i="3"/>
  <c r="D1818" i="3"/>
  <c r="C1818" i="3"/>
  <c r="B1818" i="3"/>
  <c r="A1818" i="3"/>
  <c r="H1817" i="3"/>
  <c r="G1817" i="3"/>
  <c r="F1817" i="3"/>
  <c r="E1817" i="3"/>
  <c r="D1817" i="3"/>
  <c r="C1817" i="3"/>
  <c r="B1817" i="3"/>
  <c r="A1817" i="3"/>
  <c r="H1816" i="3"/>
  <c r="G1816" i="3"/>
  <c r="F1816" i="3"/>
  <c r="E1816" i="3"/>
  <c r="D1816" i="3"/>
  <c r="C1816" i="3"/>
  <c r="B1816" i="3"/>
  <c r="A1816" i="3"/>
  <c r="H1815" i="3"/>
  <c r="G1815" i="3"/>
  <c r="F1815" i="3"/>
  <c r="E1815" i="3"/>
  <c r="A1815" i="3"/>
  <c r="H1814" i="3"/>
  <c r="G1814" i="3"/>
  <c r="F1814" i="3"/>
  <c r="E1814" i="3"/>
  <c r="C1814" i="3"/>
  <c r="B1814" i="3"/>
  <c r="A1814" i="3"/>
  <c r="H1813" i="3"/>
  <c r="G1813" i="3"/>
  <c r="F1813" i="3"/>
  <c r="E1813" i="3"/>
  <c r="C1813" i="3"/>
  <c r="B1813" i="3"/>
  <c r="A1813" i="3"/>
  <c r="H1812" i="3"/>
  <c r="G1812" i="3"/>
  <c r="F1812" i="3"/>
  <c r="E1812" i="3"/>
  <c r="C1812" i="3"/>
  <c r="B1812" i="3"/>
  <c r="A1812" i="3"/>
  <c r="H1811" i="3"/>
  <c r="G1811" i="3"/>
  <c r="F1811" i="3"/>
  <c r="E1811" i="3"/>
  <c r="C1811" i="3"/>
  <c r="B1811" i="3"/>
  <c r="A1811" i="3"/>
  <c r="H1810" i="3"/>
  <c r="G1810" i="3"/>
  <c r="F1810" i="3"/>
  <c r="E1810" i="3"/>
  <c r="C1810" i="3"/>
  <c r="B1810" i="3"/>
  <c r="A1810" i="3"/>
  <c r="H1809" i="3"/>
  <c r="G1809" i="3"/>
  <c r="F1809" i="3"/>
  <c r="E1809" i="3"/>
  <c r="C1809" i="3"/>
  <c r="B1809" i="3"/>
  <c r="A1809" i="3"/>
  <c r="H1808" i="3"/>
  <c r="G1808" i="3"/>
  <c r="F1808" i="3"/>
  <c r="E1808" i="3"/>
  <c r="C1808" i="3"/>
  <c r="B1808" i="3"/>
  <c r="A1808" i="3"/>
  <c r="H1807" i="3"/>
  <c r="G1807" i="3"/>
  <c r="F1807" i="3"/>
  <c r="E1807" i="3"/>
  <c r="B1807" i="3"/>
  <c r="A1807" i="3"/>
  <c r="H1806" i="3"/>
  <c r="G1806" i="3"/>
  <c r="F1806" i="3"/>
  <c r="E1806" i="3"/>
  <c r="C1806" i="3"/>
  <c r="B1806" i="3"/>
  <c r="A1806" i="3"/>
  <c r="H1805" i="3"/>
  <c r="G1805" i="3"/>
  <c r="F1805" i="3"/>
  <c r="E1805" i="3"/>
  <c r="C1805" i="3"/>
  <c r="B1805" i="3"/>
  <c r="A1805" i="3"/>
  <c r="H1804" i="3"/>
  <c r="G1804" i="3"/>
  <c r="F1804" i="3"/>
  <c r="E1804" i="3"/>
  <c r="C1804" i="3"/>
  <c r="B1804" i="3"/>
  <c r="A1804" i="3"/>
  <c r="H1803" i="3"/>
  <c r="G1803" i="3"/>
  <c r="F1803" i="3"/>
  <c r="E1803" i="3"/>
  <c r="C1803" i="3"/>
  <c r="B1803" i="3"/>
  <c r="A1803" i="3"/>
  <c r="H1802" i="3"/>
  <c r="G1802" i="3"/>
  <c r="F1802" i="3"/>
  <c r="E1802" i="3"/>
  <c r="C1802" i="3"/>
  <c r="B1802" i="3"/>
  <c r="A1802" i="3"/>
  <c r="H1801" i="3"/>
  <c r="G1801" i="3"/>
  <c r="F1801" i="3"/>
  <c r="E1801" i="3"/>
  <c r="C1801" i="3"/>
  <c r="B1801" i="3"/>
  <c r="A1801" i="3"/>
  <c r="H1800" i="3"/>
  <c r="G1800" i="3"/>
  <c r="F1800" i="3"/>
  <c r="C1800" i="3"/>
  <c r="A1800" i="3"/>
  <c r="H1799" i="3"/>
  <c r="G1799" i="3"/>
  <c r="F1799" i="3"/>
  <c r="E1799" i="3"/>
  <c r="C1799" i="3"/>
  <c r="B1799" i="3"/>
  <c r="A1799" i="3"/>
  <c r="H1798" i="3"/>
  <c r="G1798" i="3"/>
  <c r="F1798" i="3"/>
  <c r="E1798" i="3"/>
  <c r="D1798" i="3"/>
  <c r="C1798" i="3"/>
  <c r="B1798" i="3"/>
  <c r="A1798" i="3"/>
  <c r="H1797" i="3"/>
  <c r="G1797" i="3"/>
  <c r="F1797" i="3"/>
  <c r="E1797" i="3"/>
  <c r="C1797" i="3"/>
  <c r="B1797" i="3"/>
  <c r="A1797" i="3"/>
  <c r="H1796" i="3"/>
  <c r="G1796" i="3"/>
  <c r="F1796" i="3"/>
  <c r="E1796" i="3"/>
  <c r="C1796" i="3"/>
  <c r="B1796" i="3"/>
  <c r="A1796" i="3"/>
  <c r="H1795" i="3"/>
  <c r="G1795" i="3"/>
  <c r="F1795" i="3"/>
  <c r="E1795" i="3"/>
  <c r="C1795" i="3"/>
  <c r="B1795" i="3"/>
  <c r="A1795" i="3"/>
  <c r="H1794" i="3"/>
  <c r="G1794" i="3"/>
  <c r="F1794" i="3"/>
  <c r="A1794" i="3"/>
  <c r="H1793" i="3"/>
  <c r="G1793" i="3"/>
  <c r="F1793" i="3"/>
  <c r="E1793" i="3"/>
  <c r="C1793" i="3"/>
  <c r="B1793" i="3"/>
  <c r="A1793" i="3"/>
  <c r="H1792" i="3"/>
  <c r="G1792" i="3"/>
  <c r="F1792" i="3"/>
  <c r="E1792" i="3"/>
  <c r="C1792" i="3"/>
  <c r="B1792" i="3"/>
  <c r="A1792" i="3"/>
  <c r="H1791" i="3"/>
  <c r="G1791" i="3"/>
  <c r="F1791" i="3"/>
  <c r="E1791" i="3"/>
  <c r="C1791" i="3"/>
  <c r="A1791" i="3"/>
  <c r="H1790" i="3"/>
  <c r="G1790" i="3"/>
  <c r="F1790" i="3"/>
  <c r="E1790" i="3"/>
  <c r="C1790" i="3"/>
  <c r="B1790" i="3"/>
  <c r="A1790" i="3"/>
  <c r="H1789" i="3"/>
  <c r="G1789" i="3"/>
  <c r="F1789" i="3"/>
  <c r="E1789" i="3"/>
  <c r="D1789" i="3"/>
  <c r="C1789" i="3"/>
  <c r="B1789" i="3"/>
  <c r="A1789" i="3"/>
  <c r="H1788" i="3"/>
  <c r="G1788" i="3"/>
  <c r="F1788" i="3"/>
  <c r="E1788" i="3"/>
  <c r="C1788" i="3"/>
  <c r="B1788" i="3"/>
  <c r="A1788" i="3"/>
  <c r="H1787" i="3"/>
  <c r="G1787" i="3"/>
  <c r="F1787" i="3"/>
  <c r="E1787" i="3"/>
  <c r="D1787" i="3"/>
  <c r="C1787" i="3"/>
  <c r="B1787" i="3"/>
  <c r="A1787" i="3"/>
  <c r="H1786" i="3"/>
  <c r="G1786" i="3"/>
  <c r="F1786" i="3"/>
  <c r="E1786" i="3"/>
  <c r="C1786" i="3"/>
  <c r="B1786" i="3"/>
  <c r="A1786" i="3"/>
  <c r="H1785" i="3"/>
  <c r="G1785" i="3"/>
  <c r="F1785" i="3"/>
  <c r="E1785" i="3"/>
  <c r="C1785" i="3"/>
  <c r="B1785" i="3"/>
  <c r="A1785" i="3"/>
  <c r="H1784" i="3"/>
  <c r="G1784" i="3"/>
  <c r="F1784" i="3"/>
  <c r="E1784" i="3"/>
  <c r="C1784" i="3"/>
  <c r="A1784" i="3"/>
  <c r="H1783" i="3"/>
  <c r="G1783" i="3"/>
  <c r="F1783" i="3"/>
  <c r="E1783" i="3"/>
  <c r="D1783" i="3"/>
  <c r="C1783" i="3"/>
  <c r="B1783" i="3"/>
  <c r="A1783" i="3"/>
  <c r="H1782" i="3"/>
  <c r="G1782" i="3"/>
  <c r="F1782" i="3"/>
  <c r="E1782" i="3"/>
  <c r="A1782" i="3"/>
  <c r="H1781" i="3"/>
  <c r="G1781" i="3"/>
  <c r="F1781" i="3"/>
  <c r="E1781" i="3"/>
  <c r="C1781" i="3"/>
  <c r="B1781" i="3"/>
  <c r="A1781" i="3"/>
  <c r="H1780" i="3"/>
  <c r="G1780" i="3"/>
  <c r="F1780" i="3"/>
  <c r="E1780" i="3"/>
  <c r="D1780" i="3"/>
  <c r="C1780" i="3"/>
  <c r="B1780" i="3"/>
  <c r="A1780" i="3"/>
  <c r="H1779" i="3"/>
  <c r="G1779" i="3"/>
  <c r="F1779" i="3"/>
  <c r="E1779" i="3"/>
  <c r="D1779" i="3"/>
  <c r="C1779" i="3"/>
  <c r="B1779" i="3"/>
  <c r="A1779" i="3"/>
  <c r="H1778" i="3"/>
  <c r="G1778" i="3"/>
  <c r="F1778" i="3"/>
  <c r="E1778" i="3"/>
  <c r="D1778" i="3"/>
  <c r="C1778" i="3"/>
  <c r="B1778" i="3"/>
  <c r="A1778" i="3"/>
  <c r="H1777" i="3"/>
  <c r="G1777" i="3"/>
  <c r="F1777" i="3"/>
  <c r="E1777" i="3"/>
  <c r="C1777" i="3"/>
  <c r="B1777" i="3"/>
  <c r="A1777" i="3"/>
  <c r="H1776" i="3"/>
  <c r="G1776" i="3"/>
  <c r="F1776" i="3"/>
  <c r="E1776" i="3"/>
  <c r="C1776" i="3"/>
  <c r="A1776" i="3"/>
  <c r="H1775" i="3"/>
  <c r="G1775" i="3"/>
  <c r="F1775" i="3"/>
  <c r="E1775" i="3"/>
  <c r="D1775" i="3"/>
  <c r="C1775" i="3"/>
  <c r="B1775" i="3"/>
  <c r="A1775" i="3"/>
  <c r="H1774" i="3"/>
  <c r="G1774" i="3"/>
  <c r="F1774" i="3"/>
  <c r="E1774" i="3"/>
  <c r="C1774" i="3"/>
  <c r="B1774" i="3"/>
  <c r="A1774" i="3"/>
  <c r="H1773" i="3"/>
  <c r="G1773" i="3"/>
  <c r="F1773" i="3"/>
  <c r="E1773" i="3"/>
  <c r="C1773" i="3"/>
  <c r="B1773" i="3"/>
  <c r="A1773" i="3"/>
  <c r="H1772" i="3"/>
  <c r="G1772" i="3"/>
  <c r="F1772" i="3"/>
  <c r="E1772" i="3"/>
  <c r="A1772" i="3"/>
  <c r="H1771" i="3"/>
  <c r="G1771" i="3"/>
  <c r="F1771" i="3"/>
  <c r="E1771" i="3"/>
  <c r="C1771" i="3"/>
  <c r="A1771" i="3"/>
  <c r="H1770" i="3"/>
  <c r="G1770" i="3"/>
  <c r="F1770" i="3"/>
  <c r="E1770" i="3"/>
  <c r="D1770" i="3"/>
  <c r="C1770" i="3"/>
  <c r="B1770" i="3"/>
  <c r="A1770" i="3"/>
  <c r="H1769" i="3"/>
  <c r="G1769" i="3"/>
  <c r="F1769" i="3"/>
  <c r="E1769" i="3"/>
  <c r="D1769" i="3"/>
  <c r="C1769" i="3"/>
  <c r="B1769" i="3"/>
  <c r="A1769" i="3"/>
  <c r="H1768" i="3"/>
  <c r="G1768" i="3"/>
  <c r="F1768" i="3"/>
  <c r="E1768" i="3"/>
  <c r="C1768" i="3"/>
  <c r="B1768" i="3"/>
  <c r="A1768" i="3"/>
  <c r="H1767" i="3"/>
  <c r="G1767" i="3"/>
  <c r="F1767" i="3"/>
  <c r="E1767" i="3"/>
  <c r="C1767" i="3"/>
  <c r="B1767" i="3"/>
  <c r="A1767" i="3"/>
  <c r="H1766" i="3"/>
  <c r="G1766" i="3"/>
  <c r="F1766" i="3"/>
  <c r="E1766" i="3"/>
  <c r="C1766" i="3"/>
  <c r="B1766" i="3"/>
  <c r="A1766" i="3"/>
  <c r="H1765" i="3"/>
  <c r="G1765" i="3"/>
  <c r="F1765" i="3"/>
  <c r="E1765" i="3"/>
  <c r="C1765" i="3"/>
  <c r="B1765" i="3"/>
  <c r="A1765" i="3"/>
  <c r="H1764" i="3"/>
  <c r="G1764" i="3"/>
  <c r="F1764" i="3"/>
  <c r="E1764" i="3"/>
  <c r="C1764" i="3"/>
  <c r="B1764" i="3"/>
  <c r="A1764" i="3"/>
  <c r="H1763" i="3"/>
  <c r="G1763" i="3"/>
  <c r="F1763" i="3"/>
  <c r="E1763" i="3"/>
  <c r="C1763" i="3"/>
  <c r="B1763" i="3"/>
  <c r="A1763" i="3"/>
  <c r="H1762" i="3"/>
  <c r="G1762" i="3"/>
  <c r="F1762" i="3"/>
  <c r="E1762" i="3"/>
  <c r="D1762" i="3"/>
  <c r="C1762" i="3"/>
  <c r="B1762" i="3"/>
  <c r="A1762" i="3"/>
  <c r="H1761" i="3"/>
  <c r="G1761" i="3"/>
  <c r="F1761" i="3"/>
  <c r="E1761" i="3"/>
  <c r="C1761" i="3"/>
  <c r="B1761" i="3"/>
  <c r="A1761" i="3"/>
  <c r="H1760" i="3"/>
  <c r="G1760" i="3"/>
  <c r="F1760" i="3"/>
  <c r="E1760" i="3"/>
  <c r="A1760" i="3"/>
  <c r="H1759" i="3"/>
  <c r="G1759" i="3"/>
  <c r="F1759" i="3"/>
  <c r="E1759" i="3"/>
  <c r="A1759" i="3"/>
  <c r="H1758" i="3"/>
  <c r="G1758" i="3"/>
  <c r="F1758" i="3"/>
  <c r="E1758" i="3"/>
  <c r="D1758" i="3"/>
  <c r="C1758" i="3"/>
  <c r="B1758" i="3"/>
  <c r="A1758" i="3"/>
  <c r="H1757" i="3"/>
  <c r="G1757" i="3"/>
  <c r="F1757" i="3"/>
  <c r="E1757" i="3"/>
  <c r="C1757" i="3"/>
  <c r="A1757" i="3"/>
  <c r="H1756" i="3"/>
  <c r="G1756" i="3"/>
  <c r="F1756" i="3"/>
  <c r="E1756" i="3"/>
  <c r="C1756" i="3"/>
  <c r="B1756" i="3"/>
  <c r="A1756" i="3"/>
  <c r="H1755" i="3"/>
  <c r="G1755" i="3"/>
  <c r="F1755" i="3"/>
  <c r="E1755" i="3"/>
  <c r="C1755" i="3"/>
  <c r="B1755" i="3"/>
  <c r="A1755" i="3"/>
  <c r="H1754" i="3"/>
  <c r="G1754" i="3"/>
  <c r="F1754" i="3"/>
  <c r="E1754" i="3"/>
  <c r="C1754" i="3"/>
  <c r="B1754" i="3"/>
  <c r="A1754" i="3"/>
  <c r="H1753" i="3"/>
  <c r="G1753" i="3"/>
  <c r="F1753" i="3"/>
  <c r="E1753" i="3"/>
  <c r="C1753" i="3"/>
  <c r="B1753" i="3"/>
  <c r="A1753" i="3"/>
  <c r="H1752" i="3"/>
  <c r="G1752" i="3"/>
  <c r="F1752" i="3"/>
  <c r="E1752" i="3"/>
  <c r="C1752" i="3"/>
  <c r="B1752" i="3"/>
  <c r="A1752" i="3"/>
  <c r="H1751" i="3"/>
  <c r="G1751" i="3"/>
  <c r="F1751" i="3"/>
  <c r="E1751" i="3"/>
  <c r="D1751" i="3"/>
  <c r="C1751" i="3"/>
  <c r="B1751" i="3"/>
  <c r="A1751" i="3"/>
  <c r="H1750" i="3"/>
  <c r="G1750" i="3"/>
  <c r="F1750" i="3"/>
  <c r="E1750" i="3"/>
  <c r="A1750" i="3"/>
  <c r="H1749" i="3"/>
  <c r="G1749" i="3"/>
  <c r="F1749" i="3"/>
  <c r="E1749" i="3"/>
  <c r="C1749" i="3"/>
  <c r="B1749" i="3"/>
  <c r="A1749" i="3"/>
  <c r="H1748" i="3"/>
  <c r="G1748" i="3"/>
  <c r="F1748" i="3"/>
  <c r="E1748" i="3"/>
  <c r="D1748" i="3"/>
  <c r="C1748" i="3"/>
  <c r="B1748" i="3"/>
  <c r="A1748" i="3"/>
  <c r="H1747" i="3"/>
  <c r="G1747" i="3"/>
  <c r="F1747" i="3"/>
  <c r="E1747" i="3"/>
  <c r="D1747" i="3"/>
  <c r="C1747" i="3"/>
  <c r="B1747" i="3"/>
  <c r="A1747" i="3"/>
  <c r="H1746" i="3"/>
  <c r="G1746" i="3"/>
  <c r="F1746" i="3"/>
  <c r="E1746" i="3"/>
  <c r="A1746" i="3"/>
  <c r="H1745" i="3"/>
  <c r="G1745" i="3"/>
  <c r="F1745" i="3"/>
  <c r="E1745" i="3"/>
  <c r="C1745" i="3"/>
  <c r="B1745" i="3"/>
  <c r="A1745" i="3"/>
  <c r="H1744" i="3"/>
  <c r="G1744" i="3"/>
  <c r="F1744" i="3"/>
  <c r="E1744" i="3"/>
  <c r="D1744" i="3"/>
  <c r="C1744" i="3"/>
  <c r="B1744" i="3"/>
  <c r="A1744" i="3"/>
  <c r="H1743" i="3"/>
  <c r="G1743" i="3"/>
  <c r="F1743" i="3"/>
  <c r="E1743" i="3"/>
  <c r="C1743" i="3"/>
  <c r="B1743" i="3"/>
  <c r="A1743" i="3"/>
  <c r="H1742" i="3"/>
  <c r="G1742" i="3"/>
  <c r="F1742" i="3"/>
  <c r="E1742" i="3"/>
  <c r="C1742" i="3"/>
  <c r="B1742" i="3"/>
  <c r="A1742" i="3"/>
  <c r="H1741" i="3"/>
  <c r="G1741" i="3"/>
  <c r="F1741" i="3"/>
  <c r="E1741" i="3"/>
  <c r="C1741" i="3"/>
  <c r="B1741" i="3"/>
  <c r="A1741" i="3"/>
  <c r="H1740" i="3"/>
  <c r="G1740" i="3"/>
  <c r="F1740" i="3"/>
  <c r="E1740" i="3"/>
  <c r="D1740" i="3"/>
  <c r="C1740" i="3"/>
  <c r="B1740" i="3"/>
  <c r="A1740" i="3"/>
  <c r="H1739" i="3"/>
  <c r="G1739" i="3"/>
  <c r="F1739" i="3"/>
  <c r="E1739" i="3"/>
  <c r="C1739" i="3"/>
  <c r="B1739" i="3"/>
  <c r="A1739" i="3"/>
  <c r="H1738" i="3"/>
  <c r="G1738" i="3"/>
  <c r="F1738" i="3"/>
  <c r="E1738" i="3"/>
  <c r="C1738" i="3"/>
  <c r="B1738" i="3"/>
  <c r="A1738" i="3"/>
  <c r="H1737" i="3"/>
  <c r="G1737" i="3"/>
  <c r="F1737" i="3"/>
  <c r="E1737" i="3"/>
  <c r="C1737" i="3"/>
  <c r="B1737" i="3"/>
  <c r="A1737" i="3"/>
  <c r="H1736" i="3"/>
  <c r="G1736" i="3"/>
  <c r="F1736" i="3"/>
  <c r="E1736" i="3"/>
  <c r="D1736" i="3"/>
  <c r="C1736" i="3"/>
  <c r="B1736" i="3"/>
  <c r="A1736" i="3"/>
  <c r="H1735" i="3"/>
  <c r="G1735" i="3"/>
  <c r="F1735" i="3"/>
  <c r="E1735" i="3"/>
  <c r="D1735" i="3"/>
  <c r="C1735" i="3"/>
  <c r="B1735" i="3"/>
  <c r="A1735" i="3"/>
  <c r="H1734" i="3"/>
  <c r="G1734" i="3"/>
  <c r="F1734" i="3"/>
  <c r="E1734" i="3"/>
  <c r="A1734" i="3"/>
  <c r="H1733" i="3"/>
  <c r="G1733" i="3"/>
  <c r="F1733" i="3"/>
  <c r="E1733" i="3"/>
  <c r="C1733" i="3"/>
  <c r="B1733" i="3"/>
  <c r="A1733" i="3"/>
  <c r="H1732" i="3"/>
  <c r="G1732" i="3"/>
  <c r="F1732" i="3"/>
  <c r="E1732" i="3"/>
  <c r="D1732" i="3"/>
  <c r="C1732" i="3"/>
  <c r="B1732" i="3"/>
  <c r="A1732" i="3"/>
  <c r="H1731" i="3"/>
  <c r="G1731" i="3"/>
  <c r="F1731" i="3"/>
  <c r="E1731" i="3"/>
  <c r="C1731" i="3"/>
  <c r="B1731" i="3"/>
  <c r="A1731" i="3"/>
  <c r="H1730" i="3"/>
  <c r="G1730" i="3"/>
  <c r="F1730" i="3"/>
  <c r="E1730" i="3"/>
  <c r="C1730" i="3"/>
  <c r="B1730" i="3"/>
  <c r="A1730" i="3"/>
  <c r="H1729" i="3"/>
  <c r="G1729" i="3"/>
  <c r="F1729" i="3"/>
  <c r="E1729" i="3"/>
  <c r="C1729" i="3"/>
  <c r="B1729" i="3"/>
  <c r="A1729" i="3"/>
  <c r="H1728" i="3"/>
  <c r="G1728" i="3"/>
  <c r="F1728" i="3"/>
  <c r="E1728" i="3"/>
  <c r="D1728" i="3"/>
  <c r="C1728" i="3"/>
  <c r="B1728" i="3"/>
  <c r="A1728" i="3"/>
  <c r="H1727" i="3"/>
  <c r="G1727" i="3"/>
  <c r="F1727" i="3"/>
  <c r="E1727" i="3"/>
  <c r="C1727" i="3"/>
  <c r="B1727" i="3"/>
  <c r="A1727" i="3"/>
  <c r="H1726" i="3"/>
  <c r="G1726" i="3"/>
  <c r="F1726" i="3"/>
  <c r="E1726" i="3"/>
  <c r="C1726" i="3"/>
  <c r="B1726" i="3"/>
  <c r="A1726" i="3"/>
  <c r="H1725" i="3"/>
  <c r="G1725" i="3"/>
  <c r="F1725" i="3"/>
  <c r="E1725" i="3"/>
  <c r="C1725" i="3"/>
  <c r="A1725" i="3"/>
  <c r="H1724" i="3"/>
  <c r="G1724" i="3"/>
  <c r="F1724" i="3"/>
  <c r="E1724" i="3"/>
  <c r="C1724" i="3"/>
  <c r="B1724" i="3"/>
  <c r="A1724" i="3"/>
  <c r="H1723" i="3"/>
  <c r="G1723" i="3"/>
  <c r="F1723" i="3"/>
  <c r="E1723" i="3"/>
  <c r="C1723" i="3"/>
  <c r="A1723" i="3"/>
  <c r="H1722" i="3"/>
  <c r="G1722" i="3"/>
  <c r="F1722" i="3"/>
  <c r="E1722" i="3"/>
  <c r="C1722" i="3"/>
  <c r="B1722" i="3"/>
  <c r="A1722" i="3"/>
  <c r="H1721" i="3"/>
  <c r="G1721" i="3"/>
  <c r="F1721" i="3"/>
  <c r="E1721" i="3"/>
  <c r="D1721" i="3"/>
  <c r="C1721" i="3"/>
  <c r="B1721" i="3"/>
  <c r="A1721" i="3"/>
  <c r="H1720" i="3"/>
  <c r="G1720" i="3"/>
  <c r="F1720" i="3"/>
  <c r="E1720" i="3"/>
  <c r="C1720" i="3"/>
  <c r="A1720" i="3"/>
  <c r="H1719" i="3"/>
  <c r="G1719" i="3"/>
  <c r="F1719" i="3"/>
  <c r="E1719" i="3"/>
  <c r="C1719" i="3"/>
  <c r="B1719" i="3"/>
  <c r="A1719" i="3"/>
  <c r="H1718" i="3"/>
  <c r="G1718" i="3"/>
  <c r="F1718" i="3"/>
  <c r="E1718" i="3"/>
  <c r="C1718" i="3"/>
  <c r="B1718" i="3"/>
  <c r="A1718" i="3"/>
  <c r="H1717" i="3"/>
  <c r="G1717" i="3"/>
  <c r="F1717" i="3"/>
  <c r="E1717" i="3"/>
  <c r="D1717" i="3"/>
  <c r="C1717" i="3"/>
  <c r="B1717" i="3"/>
  <c r="A1717" i="3"/>
  <c r="H1716" i="3"/>
  <c r="G1716" i="3"/>
  <c r="F1716" i="3"/>
  <c r="E1716" i="3"/>
  <c r="C1716" i="3"/>
  <c r="B1716" i="3"/>
  <c r="A1716" i="3"/>
  <c r="H1715" i="3"/>
  <c r="G1715" i="3"/>
  <c r="F1715" i="3"/>
  <c r="E1715" i="3"/>
  <c r="D1715" i="3"/>
  <c r="C1715" i="3"/>
  <c r="B1715" i="3"/>
  <c r="A1715" i="3"/>
  <c r="H1714" i="3"/>
  <c r="G1714" i="3"/>
  <c r="F1714" i="3"/>
  <c r="E1714" i="3"/>
  <c r="D1714" i="3"/>
  <c r="C1714" i="3"/>
  <c r="B1714" i="3"/>
  <c r="A1714" i="3"/>
  <c r="H1713" i="3"/>
  <c r="G1713" i="3"/>
  <c r="F1713" i="3"/>
  <c r="E1713" i="3"/>
  <c r="C1713" i="3"/>
  <c r="B1713" i="3"/>
  <c r="A1713" i="3"/>
  <c r="H1712" i="3"/>
  <c r="G1712" i="3"/>
  <c r="F1712" i="3"/>
  <c r="E1712" i="3"/>
  <c r="D1712" i="3"/>
  <c r="C1712" i="3"/>
  <c r="B1712" i="3"/>
  <c r="A1712" i="3"/>
  <c r="H1711" i="3"/>
  <c r="G1711" i="3"/>
  <c r="F1711" i="3"/>
  <c r="E1711" i="3"/>
  <c r="D1711" i="3"/>
  <c r="C1711" i="3"/>
  <c r="B1711" i="3"/>
  <c r="A1711" i="3"/>
  <c r="H1710" i="3"/>
  <c r="G1710" i="3"/>
  <c r="F1710" i="3"/>
  <c r="E1710" i="3"/>
  <c r="C1710" i="3"/>
  <c r="B1710" i="3"/>
  <c r="A1710" i="3"/>
  <c r="H1709" i="3"/>
  <c r="G1709" i="3"/>
  <c r="F1709" i="3"/>
  <c r="E1709" i="3"/>
  <c r="C1709" i="3"/>
  <c r="A1709" i="3"/>
  <c r="H1708" i="3"/>
  <c r="G1708" i="3"/>
  <c r="F1708" i="3"/>
  <c r="E1708" i="3"/>
  <c r="C1708" i="3"/>
  <c r="B1708" i="3"/>
  <c r="A1708" i="3"/>
  <c r="H1707" i="3"/>
  <c r="G1707" i="3"/>
  <c r="F1707" i="3"/>
  <c r="E1707" i="3"/>
  <c r="A1707" i="3"/>
  <c r="H1706" i="3"/>
  <c r="G1706" i="3"/>
  <c r="F1706" i="3"/>
  <c r="E1706" i="3"/>
  <c r="C1706" i="3"/>
  <c r="B1706" i="3"/>
  <c r="A1706" i="3"/>
  <c r="H1705" i="3"/>
  <c r="G1705" i="3"/>
  <c r="F1705" i="3"/>
  <c r="E1705" i="3"/>
  <c r="C1705" i="3"/>
  <c r="B1705" i="3"/>
  <c r="A1705" i="3"/>
  <c r="H1704" i="3"/>
  <c r="G1704" i="3"/>
  <c r="F1704" i="3"/>
  <c r="E1704" i="3"/>
  <c r="D1704" i="3"/>
  <c r="C1704" i="3"/>
  <c r="B1704" i="3"/>
  <c r="A1704" i="3"/>
  <c r="H1703" i="3"/>
  <c r="G1703" i="3"/>
  <c r="F1703" i="3"/>
  <c r="E1703" i="3"/>
  <c r="D1703" i="3"/>
  <c r="C1703" i="3"/>
  <c r="B1703" i="3"/>
  <c r="A1703" i="3"/>
  <c r="H1702" i="3"/>
  <c r="G1702" i="3"/>
  <c r="F1702" i="3"/>
  <c r="E1702" i="3"/>
  <c r="D1702" i="3"/>
  <c r="C1702" i="3"/>
  <c r="B1702" i="3"/>
  <c r="A1702" i="3"/>
  <c r="H1701" i="3"/>
  <c r="G1701" i="3"/>
  <c r="F1701" i="3"/>
  <c r="E1701" i="3"/>
  <c r="C1701" i="3"/>
  <c r="B1701" i="3"/>
  <c r="A1701" i="3"/>
  <c r="H1700" i="3"/>
  <c r="G1700" i="3"/>
  <c r="F1700" i="3"/>
  <c r="E1700" i="3"/>
  <c r="C1700" i="3"/>
  <c r="B1700" i="3"/>
  <c r="A1700" i="3"/>
  <c r="H1699" i="3"/>
  <c r="G1699" i="3"/>
  <c r="F1699" i="3"/>
  <c r="E1699" i="3"/>
  <c r="D1699" i="3"/>
  <c r="C1699" i="3"/>
  <c r="B1699" i="3"/>
  <c r="A1699" i="3"/>
  <c r="H1698" i="3"/>
  <c r="G1698" i="3"/>
  <c r="F1698" i="3"/>
  <c r="E1698" i="3"/>
  <c r="D1698" i="3"/>
  <c r="C1698" i="3"/>
  <c r="B1698" i="3"/>
  <c r="A1698" i="3"/>
  <c r="H1697" i="3"/>
  <c r="G1697" i="3"/>
  <c r="F1697" i="3"/>
  <c r="E1697" i="3"/>
  <c r="C1697" i="3"/>
  <c r="B1697" i="3"/>
  <c r="A1697" i="3"/>
  <c r="H1696" i="3"/>
  <c r="G1696" i="3"/>
  <c r="F1696" i="3"/>
  <c r="E1696" i="3"/>
  <c r="D1696" i="3"/>
  <c r="C1696" i="3"/>
  <c r="B1696" i="3"/>
  <c r="A1696" i="3"/>
  <c r="H1695" i="3"/>
  <c r="G1695" i="3"/>
  <c r="F1695" i="3"/>
  <c r="E1695" i="3"/>
  <c r="D1695" i="3"/>
  <c r="C1695" i="3"/>
  <c r="B1695" i="3"/>
  <c r="A1695" i="3"/>
  <c r="H1694" i="3"/>
  <c r="G1694" i="3"/>
  <c r="F1694" i="3"/>
  <c r="E1694" i="3"/>
  <c r="D1694" i="3"/>
  <c r="C1694" i="3"/>
  <c r="B1694" i="3"/>
  <c r="A1694" i="3"/>
  <c r="H1693" i="3"/>
  <c r="G1693" i="3"/>
  <c r="F1693" i="3"/>
  <c r="E1693" i="3"/>
  <c r="C1693" i="3"/>
  <c r="A1693" i="3"/>
  <c r="H1692" i="3"/>
  <c r="G1692" i="3"/>
  <c r="F1692" i="3"/>
  <c r="E1692" i="3"/>
  <c r="C1692" i="3"/>
  <c r="B1692" i="3"/>
  <c r="A1692" i="3"/>
  <c r="H1691" i="3"/>
  <c r="G1691" i="3"/>
  <c r="F1691" i="3"/>
  <c r="E1691" i="3"/>
  <c r="D1691" i="3"/>
  <c r="C1691" i="3"/>
  <c r="B1691" i="3"/>
  <c r="A1691" i="3"/>
  <c r="H1690" i="3"/>
  <c r="G1690" i="3"/>
  <c r="F1690" i="3"/>
  <c r="E1690" i="3"/>
  <c r="B1690" i="3"/>
  <c r="A1690" i="3"/>
  <c r="H1689" i="3"/>
  <c r="G1689" i="3"/>
  <c r="F1689" i="3"/>
  <c r="E1689" i="3"/>
  <c r="D1689" i="3"/>
  <c r="C1689" i="3"/>
  <c r="B1689" i="3"/>
  <c r="A1689" i="3"/>
  <c r="H1688" i="3"/>
  <c r="G1688" i="3"/>
  <c r="F1688" i="3"/>
  <c r="E1688" i="3"/>
  <c r="D1688" i="3"/>
  <c r="C1688" i="3"/>
  <c r="B1688" i="3"/>
  <c r="A1688" i="3"/>
  <c r="H1687" i="3"/>
  <c r="G1687" i="3"/>
  <c r="F1687" i="3"/>
  <c r="E1687" i="3"/>
  <c r="D1687" i="3"/>
  <c r="C1687" i="3"/>
  <c r="B1687" i="3"/>
  <c r="A1687" i="3"/>
  <c r="H1686" i="3"/>
  <c r="G1686" i="3"/>
  <c r="F1686" i="3"/>
  <c r="E1686" i="3"/>
  <c r="D1686" i="3"/>
  <c r="C1686" i="3"/>
  <c r="B1686" i="3"/>
  <c r="A1686" i="3"/>
  <c r="H1685" i="3"/>
  <c r="G1685" i="3"/>
  <c r="F1685" i="3"/>
  <c r="E1685" i="3"/>
  <c r="D1685" i="3"/>
  <c r="C1685" i="3"/>
  <c r="B1685" i="3"/>
  <c r="A1685" i="3"/>
  <c r="H1684" i="3"/>
  <c r="G1684" i="3"/>
  <c r="F1684" i="3"/>
  <c r="E1684" i="3"/>
  <c r="B1684" i="3"/>
  <c r="A1684" i="3"/>
  <c r="H1683" i="3"/>
  <c r="G1683" i="3"/>
  <c r="F1683" i="3"/>
  <c r="E1683" i="3"/>
  <c r="C1683" i="3"/>
  <c r="B1683" i="3"/>
  <c r="A1683" i="3"/>
  <c r="H1682" i="3"/>
  <c r="G1682" i="3"/>
  <c r="F1682" i="3"/>
  <c r="E1682" i="3"/>
  <c r="A1682" i="3"/>
  <c r="H1681" i="3"/>
  <c r="G1681" i="3"/>
  <c r="F1681" i="3"/>
  <c r="E1681" i="3"/>
  <c r="D1681" i="3"/>
  <c r="C1681" i="3"/>
  <c r="B1681" i="3"/>
  <c r="A1681" i="3"/>
  <c r="H1680" i="3"/>
  <c r="G1680" i="3"/>
  <c r="F1680" i="3"/>
  <c r="E1680" i="3"/>
  <c r="D1680" i="3"/>
  <c r="C1680" i="3"/>
  <c r="B1680" i="3"/>
  <c r="A1680" i="3"/>
  <c r="H1679" i="3"/>
  <c r="G1679" i="3"/>
  <c r="F1679" i="3"/>
  <c r="E1679" i="3"/>
  <c r="C1679" i="3"/>
  <c r="B1679" i="3"/>
  <c r="A1679" i="3"/>
  <c r="H1678" i="3"/>
  <c r="G1678" i="3"/>
  <c r="F1678" i="3"/>
  <c r="E1678" i="3"/>
  <c r="D1678" i="3"/>
  <c r="C1678" i="3"/>
  <c r="B1678" i="3"/>
  <c r="A1678" i="3"/>
  <c r="H1677" i="3"/>
  <c r="G1677" i="3"/>
  <c r="F1677" i="3"/>
  <c r="E1677" i="3"/>
  <c r="D1677" i="3"/>
  <c r="C1677" i="3"/>
  <c r="B1677" i="3"/>
  <c r="A1677" i="3"/>
  <c r="H1676" i="3"/>
  <c r="G1676" i="3"/>
  <c r="F1676" i="3"/>
  <c r="E1676" i="3"/>
  <c r="C1676" i="3"/>
  <c r="B1676" i="3"/>
  <c r="A1676" i="3"/>
  <c r="H1675" i="3"/>
  <c r="G1675" i="3"/>
  <c r="F1675" i="3"/>
  <c r="E1675" i="3"/>
  <c r="C1675" i="3"/>
  <c r="B1675" i="3"/>
  <c r="A1675" i="3"/>
  <c r="H1674" i="3"/>
  <c r="G1674" i="3"/>
  <c r="F1674" i="3"/>
  <c r="E1674" i="3"/>
  <c r="D1674" i="3"/>
  <c r="C1674" i="3"/>
  <c r="B1674" i="3"/>
  <c r="A1674" i="3"/>
  <c r="H1673" i="3"/>
  <c r="G1673" i="3"/>
  <c r="F1673" i="3"/>
  <c r="E1673" i="3"/>
  <c r="C1673" i="3"/>
  <c r="B1673" i="3"/>
  <c r="A1673" i="3"/>
  <c r="H1672" i="3"/>
  <c r="G1672" i="3"/>
  <c r="F1672" i="3"/>
  <c r="E1672" i="3"/>
  <c r="A1672" i="3"/>
  <c r="H1671" i="3"/>
  <c r="G1671" i="3"/>
  <c r="F1671" i="3"/>
  <c r="E1671" i="3"/>
  <c r="D1671" i="3"/>
  <c r="C1671" i="3"/>
  <c r="B1671" i="3"/>
  <c r="A1671" i="3"/>
  <c r="H1670" i="3"/>
  <c r="G1670" i="3"/>
  <c r="F1670" i="3"/>
  <c r="E1670" i="3"/>
  <c r="D1670" i="3"/>
  <c r="C1670" i="3"/>
  <c r="B1670" i="3"/>
  <c r="A1670" i="3"/>
  <c r="H1669" i="3"/>
  <c r="G1669" i="3"/>
  <c r="F1669" i="3"/>
  <c r="E1669" i="3"/>
  <c r="D1669" i="3"/>
  <c r="C1669" i="3"/>
  <c r="B1669" i="3"/>
  <c r="A1669" i="3"/>
  <c r="H1668" i="3"/>
  <c r="G1668" i="3"/>
  <c r="F1668" i="3"/>
  <c r="E1668" i="3"/>
  <c r="D1668" i="3"/>
  <c r="C1668" i="3"/>
  <c r="B1668" i="3"/>
  <c r="A1668" i="3"/>
  <c r="H1667" i="3"/>
  <c r="G1667" i="3"/>
  <c r="F1667" i="3"/>
  <c r="E1667" i="3"/>
  <c r="D1667" i="3"/>
  <c r="C1667" i="3"/>
  <c r="B1667" i="3"/>
  <c r="A1667" i="3"/>
  <c r="H1666" i="3"/>
  <c r="G1666" i="3"/>
  <c r="F1666" i="3"/>
  <c r="E1666" i="3"/>
  <c r="C1666" i="3"/>
  <c r="B1666" i="3"/>
  <c r="A1666" i="3"/>
  <c r="H1665" i="3"/>
  <c r="G1665" i="3"/>
  <c r="F1665" i="3"/>
  <c r="E1665" i="3"/>
  <c r="C1665" i="3"/>
  <c r="B1665" i="3"/>
  <c r="A1665" i="3"/>
  <c r="H1664" i="3"/>
  <c r="G1664" i="3"/>
  <c r="F1664" i="3"/>
  <c r="E1664" i="3"/>
  <c r="D1664" i="3"/>
  <c r="C1664" i="3"/>
  <c r="B1664" i="3"/>
  <c r="A1664" i="3"/>
  <c r="H1663" i="3"/>
  <c r="G1663" i="3"/>
  <c r="F1663" i="3"/>
  <c r="E1663" i="3"/>
  <c r="C1663" i="3"/>
  <c r="B1663" i="3"/>
  <c r="A1663" i="3"/>
  <c r="H1662" i="3"/>
  <c r="G1662" i="3"/>
  <c r="F1662" i="3"/>
  <c r="E1662" i="3"/>
  <c r="D1662" i="3"/>
  <c r="C1662" i="3"/>
  <c r="B1662" i="3"/>
  <c r="A1662" i="3"/>
  <c r="H1661" i="3"/>
  <c r="G1661" i="3"/>
  <c r="F1661" i="3"/>
  <c r="E1661" i="3"/>
  <c r="C1661" i="3"/>
  <c r="B1661" i="3"/>
  <c r="A1661" i="3"/>
  <c r="H1660" i="3"/>
  <c r="G1660" i="3"/>
  <c r="F1660" i="3"/>
  <c r="E1660" i="3"/>
  <c r="A1660" i="3"/>
  <c r="H1659" i="3"/>
  <c r="G1659" i="3"/>
  <c r="F1659" i="3"/>
  <c r="E1659" i="3"/>
  <c r="C1659" i="3"/>
  <c r="B1659" i="3"/>
  <c r="A1659" i="3"/>
  <c r="H1658" i="3"/>
  <c r="G1658" i="3"/>
  <c r="F1658" i="3"/>
  <c r="E1658" i="3"/>
  <c r="A1658" i="3"/>
  <c r="H1657" i="3"/>
  <c r="G1657" i="3"/>
  <c r="F1657" i="3"/>
  <c r="E1657" i="3"/>
  <c r="C1657" i="3"/>
  <c r="B1657" i="3"/>
  <c r="A1657" i="3"/>
  <c r="H1656" i="3"/>
  <c r="G1656" i="3"/>
  <c r="F1656" i="3"/>
  <c r="E1656" i="3"/>
  <c r="C1656" i="3"/>
  <c r="B1656" i="3"/>
  <c r="A1656" i="3"/>
  <c r="H1655" i="3"/>
  <c r="G1655" i="3"/>
  <c r="F1655" i="3"/>
  <c r="E1655" i="3"/>
  <c r="D1655" i="3"/>
  <c r="C1655" i="3"/>
  <c r="B1655" i="3"/>
  <c r="A1655" i="3"/>
  <c r="H1654" i="3"/>
  <c r="G1654" i="3"/>
  <c r="F1654" i="3"/>
  <c r="E1654" i="3"/>
  <c r="D1654" i="3"/>
  <c r="C1654" i="3"/>
  <c r="B1654" i="3"/>
  <c r="A1654" i="3"/>
  <c r="H1653" i="3"/>
  <c r="G1653" i="3"/>
  <c r="F1653" i="3"/>
  <c r="E1653" i="3"/>
  <c r="D1653" i="3"/>
  <c r="C1653" i="3"/>
  <c r="A1653" i="3"/>
  <c r="H1652" i="3"/>
  <c r="G1652" i="3"/>
  <c r="F1652" i="3"/>
  <c r="E1652" i="3"/>
  <c r="C1652" i="3"/>
  <c r="B1652" i="3"/>
  <c r="A1652" i="3"/>
  <c r="H1651" i="3"/>
  <c r="G1651" i="3"/>
  <c r="F1651" i="3"/>
  <c r="E1651" i="3"/>
  <c r="C1651" i="3"/>
  <c r="B1651" i="3"/>
  <c r="A1651" i="3"/>
  <c r="H1650" i="3"/>
  <c r="G1650" i="3"/>
  <c r="F1650" i="3"/>
  <c r="E1650" i="3"/>
  <c r="C1650" i="3"/>
  <c r="B1650" i="3"/>
  <c r="A1650" i="3"/>
  <c r="H1649" i="3"/>
  <c r="G1649" i="3"/>
  <c r="F1649" i="3"/>
  <c r="E1649" i="3"/>
  <c r="A1649" i="3"/>
  <c r="H1648" i="3"/>
  <c r="G1648" i="3"/>
  <c r="F1648" i="3"/>
  <c r="E1648" i="3"/>
  <c r="D1648" i="3"/>
  <c r="C1648" i="3"/>
  <c r="B1648" i="3"/>
  <c r="A1648" i="3"/>
  <c r="H1647" i="3"/>
  <c r="G1647" i="3"/>
  <c r="F1647" i="3"/>
  <c r="E1647" i="3"/>
  <c r="C1647" i="3"/>
  <c r="B1647" i="3"/>
  <c r="A1647" i="3"/>
  <c r="H1646" i="3"/>
  <c r="G1646" i="3"/>
  <c r="F1646" i="3"/>
  <c r="E1646" i="3"/>
  <c r="C1646" i="3"/>
  <c r="B1646" i="3"/>
  <c r="A1646" i="3"/>
  <c r="H1645" i="3"/>
  <c r="G1645" i="3"/>
  <c r="F1645" i="3"/>
  <c r="E1645" i="3"/>
  <c r="D1645" i="3"/>
  <c r="C1645" i="3"/>
  <c r="B1645" i="3"/>
  <c r="A1645" i="3"/>
  <c r="H1644" i="3"/>
  <c r="G1644" i="3"/>
  <c r="F1644" i="3"/>
  <c r="E1644" i="3"/>
  <c r="D1644" i="3"/>
  <c r="C1644" i="3"/>
  <c r="B1644" i="3"/>
  <c r="A1644" i="3"/>
  <c r="H1643" i="3"/>
  <c r="G1643" i="3"/>
  <c r="F1643" i="3"/>
  <c r="E1643" i="3"/>
  <c r="C1643" i="3"/>
  <c r="B1643" i="3"/>
  <c r="A1643" i="3"/>
  <c r="H1642" i="3"/>
  <c r="G1642" i="3"/>
  <c r="F1642" i="3"/>
  <c r="E1642" i="3"/>
  <c r="C1642" i="3"/>
  <c r="B1642" i="3"/>
  <c r="A1642" i="3"/>
  <c r="H1641" i="3"/>
  <c r="G1641" i="3"/>
  <c r="F1641" i="3"/>
  <c r="E1641" i="3"/>
  <c r="D1641" i="3"/>
  <c r="C1641" i="3"/>
  <c r="B1641" i="3"/>
  <c r="A1641" i="3"/>
  <c r="H1640" i="3"/>
  <c r="G1640" i="3"/>
  <c r="F1640" i="3"/>
  <c r="E1640" i="3"/>
  <c r="D1640" i="3"/>
  <c r="C1640" i="3"/>
  <c r="B1640" i="3"/>
  <c r="A1640" i="3"/>
  <c r="H1639" i="3"/>
  <c r="G1639" i="3"/>
  <c r="F1639" i="3"/>
  <c r="E1639" i="3"/>
  <c r="D1639" i="3"/>
  <c r="C1639" i="3"/>
  <c r="B1639" i="3"/>
  <c r="A1639" i="3"/>
  <c r="H1638" i="3"/>
  <c r="G1638" i="3"/>
  <c r="F1638" i="3"/>
  <c r="E1638" i="3"/>
  <c r="C1638" i="3"/>
  <c r="B1638" i="3"/>
  <c r="A1638" i="3"/>
  <c r="H1637" i="3"/>
  <c r="G1637" i="3"/>
  <c r="F1637" i="3"/>
  <c r="E1637" i="3"/>
  <c r="C1637" i="3"/>
  <c r="B1637" i="3"/>
  <c r="A1637" i="3"/>
  <c r="H1636" i="3"/>
  <c r="G1636" i="3"/>
  <c r="F1636" i="3"/>
  <c r="E1636" i="3"/>
  <c r="C1636" i="3"/>
  <c r="B1636" i="3"/>
  <c r="A1636" i="3"/>
  <c r="H1635" i="3"/>
  <c r="G1635" i="3"/>
  <c r="F1635" i="3"/>
  <c r="E1635" i="3"/>
  <c r="C1635" i="3"/>
  <c r="B1635" i="3"/>
  <c r="A1635" i="3"/>
  <c r="H1634" i="3"/>
  <c r="G1634" i="3"/>
  <c r="F1634" i="3"/>
  <c r="E1634" i="3"/>
  <c r="A1634" i="3"/>
  <c r="H1633" i="3"/>
  <c r="G1633" i="3"/>
  <c r="F1633" i="3"/>
  <c r="E1633" i="3"/>
  <c r="D1633" i="3"/>
  <c r="C1633" i="3"/>
  <c r="B1633" i="3"/>
  <c r="A1633" i="3"/>
  <c r="H1632" i="3"/>
  <c r="G1632" i="3"/>
  <c r="F1632" i="3"/>
  <c r="E1632" i="3"/>
  <c r="C1632" i="3"/>
  <c r="B1632" i="3"/>
  <c r="A1632" i="3"/>
  <c r="H1631" i="3"/>
  <c r="G1631" i="3"/>
  <c r="F1631" i="3"/>
  <c r="E1631" i="3"/>
  <c r="C1631" i="3"/>
  <c r="B1631" i="3"/>
  <c r="A1631" i="3"/>
  <c r="H1630" i="3"/>
  <c r="G1630" i="3"/>
  <c r="F1630" i="3"/>
  <c r="E1630" i="3"/>
  <c r="C1630" i="3"/>
  <c r="B1630" i="3"/>
  <c r="A1630" i="3"/>
  <c r="H1629" i="3"/>
  <c r="G1629" i="3"/>
  <c r="F1629" i="3"/>
  <c r="E1629" i="3"/>
  <c r="C1629" i="3"/>
  <c r="B1629" i="3"/>
  <c r="A1629" i="3"/>
  <c r="H1628" i="3"/>
  <c r="G1628" i="3"/>
  <c r="F1628" i="3"/>
  <c r="E1628" i="3"/>
  <c r="C1628" i="3"/>
  <c r="B1628" i="3"/>
  <c r="A1628" i="3"/>
  <c r="H1627" i="3"/>
  <c r="G1627" i="3"/>
  <c r="F1627" i="3"/>
  <c r="E1627" i="3"/>
  <c r="D1627" i="3"/>
  <c r="C1627" i="3"/>
  <c r="B1627" i="3"/>
  <c r="A1627" i="3"/>
  <c r="H1626" i="3"/>
  <c r="G1626" i="3"/>
  <c r="F1626" i="3"/>
  <c r="E1626" i="3"/>
  <c r="D1626" i="3"/>
  <c r="C1626" i="3"/>
  <c r="B1626" i="3"/>
  <c r="A1626" i="3"/>
  <c r="H1625" i="3"/>
  <c r="G1625" i="3"/>
  <c r="F1625" i="3"/>
  <c r="E1625" i="3"/>
  <c r="C1625" i="3"/>
  <c r="B1625" i="3"/>
  <c r="A1625" i="3"/>
  <c r="H1624" i="3"/>
  <c r="G1624" i="3"/>
  <c r="F1624" i="3"/>
  <c r="E1624" i="3"/>
  <c r="C1624" i="3"/>
  <c r="A1624" i="3"/>
  <c r="H1623" i="3"/>
  <c r="G1623" i="3"/>
  <c r="F1623" i="3"/>
  <c r="E1623" i="3"/>
  <c r="D1623" i="3"/>
  <c r="C1623" i="3"/>
  <c r="B1623" i="3"/>
  <c r="A1623" i="3"/>
  <c r="H1622" i="3"/>
  <c r="G1622" i="3"/>
  <c r="F1622" i="3"/>
  <c r="E1622" i="3"/>
  <c r="C1622" i="3"/>
  <c r="B1622" i="3"/>
  <c r="A1622" i="3"/>
  <c r="H1621" i="3"/>
  <c r="G1621" i="3"/>
  <c r="F1621" i="3"/>
  <c r="E1621" i="3"/>
  <c r="C1621" i="3"/>
  <c r="B1621" i="3"/>
  <c r="A1621" i="3"/>
  <c r="H1620" i="3"/>
  <c r="G1620" i="3"/>
  <c r="F1620" i="3"/>
  <c r="E1620" i="3"/>
  <c r="C1620" i="3"/>
  <c r="B1620" i="3"/>
  <c r="A1620" i="3"/>
  <c r="H1619" i="3"/>
  <c r="G1619" i="3"/>
  <c r="F1619" i="3"/>
  <c r="E1619" i="3"/>
  <c r="C1619" i="3"/>
  <c r="B1619" i="3"/>
  <c r="A1619" i="3"/>
  <c r="H1618" i="3"/>
  <c r="G1618" i="3"/>
  <c r="F1618" i="3"/>
  <c r="E1618" i="3"/>
  <c r="C1618" i="3"/>
  <c r="B1618" i="3"/>
  <c r="A1618" i="3"/>
  <c r="H1617" i="3"/>
  <c r="G1617" i="3"/>
  <c r="F1617" i="3"/>
  <c r="E1617" i="3"/>
  <c r="C1617" i="3"/>
  <c r="B1617" i="3"/>
  <c r="A1617" i="3"/>
  <c r="H1616" i="3"/>
  <c r="G1616" i="3"/>
  <c r="F1616" i="3"/>
  <c r="E1616" i="3"/>
  <c r="C1616" i="3"/>
  <c r="B1616" i="3"/>
  <c r="A1616" i="3"/>
  <c r="H1615" i="3"/>
  <c r="G1615" i="3"/>
  <c r="F1615" i="3"/>
  <c r="E1615" i="3"/>
  <c r="C1615" i="3"/>
  <c r="B1615" i="3"/>
  <c r="A1615" i="3"/>
  <c r="H1614" i="3"/>
  <c r="G1614" i="3"/>
  <c r="F1614" i="3"/>
  <c r="E1614" i="3"/>
  <c r="C1614" i="3"/>
  <c r="B1614" i="3"/>
  <c r="A1614" i="3"/>
  <c r="H1613" i="3"/>
  <c r="G1613" i="3"/>
  <c r="F1613" i="3"/>
  <c r="E1613" i="3"/>
  <c r="C1613" i="3"/>
  <c r="B1613" i="3"/>
  <c r="A1613" i="3"/>
  <c r="H1612" i="3"/>
  <c r="G1612" i="3"/>
  <c r="F1612" i="3"/>
  <c r="E1612" i="3"/>
  <c r="C1612" i="3"/>
  <c r="B1612" i="3"/>
  <c r="A1612" i="3"/>
  <c r="H1611" i="3"/>
  <c r="G1611" i="3"/>
  <c r="F1611" i="3"/>
  <c r="E1611" i="3"/>
  <c r="C1611" i="3"/>
  <c r="B1611" i="3"/>
  <c r="A1611" i="3"/>
  <c r="H1610" i="3"/>
  <c r="G1610" i="3"/>
  <c r="F1610" i="3"/>
  <c r="E1610" i="3"/>
  <c r="C1610" i="3"/>
  <c r="B1610" i="3"/>
  <c r="A1610" i="3"/>
  <c r="H1609" i="3"/>
  <c r="G1609" i="3"/>
  <c r="F1609" i="3"/>
  <c r="E1609" i="3"/>
  <c r="C1609" i="3"/>
  <c r="B1609" i="3"/>
  <c r="A1609" i="3"/>
  <c r="H1608" i="3"/>
  <c r="G1608" i="3"/>
  <c r="F1608" i="3"/>
  <c r="E1608" i="3"/>
  <c r="C1608" i="3"/>
  <c r="A1608" i="3"/>
  <c r="H1607" i="3"/>
  <c r="G1607" i="3"/>
  <c r="F1607" i="3"/>
  <c r="E1607" i="3"/>
  <c r="C1607" i="3"/>
  <c r="B1607" i="3"/>
  <c r="A1607" i="3"/>
  <c r="H1606" i="3"/>
  <c r="G1606" i="3"/>
  <c r="F1606" i="3"/>
  <c r="E1606" i="3"/>
  <c r="C1606" i="3"/>
  <c r="B1606" i="3"/>
  <c r="A1606" i="3"/>
  <c r="H1605" i="3"/>
  <c r="G1605" i="3"/>
  <c r="F1605" i="3"/>
  <c r="E1605" i="3"/>
  <c r="D1605" i="3"/>
  <c r="C1605" i="3"/>
  <c r="B1605" i="3"/>
  <c r="A1605" i="3"/>
  <c r="H1604" i="3"/>
  <c r="G1604" i="3"/>
  <c r="F1604" i="3"/>
  <c r="E1604" i="3"/>
  <c r="D1604" i="3"/>
  <c r="C1604" i="3"/>
  <c r="B1604" i="3"/>
  <c r="A1604" i="3"/>
  <c r="H1603" i="3"/>
  <c r="G1603" i="3"/>
  <c r="F1603" i="3"/>
  <c r="E1603" i="3"/>
  <c r="D1603" i="3"/>
  <c r="C1603" i="3"/>
  <c r="B1603" i="3"/>
  <c r="A1603" i="3"/>
  <c r="H1602" i="3"/>
  <c r="G1602" i="3"/>
  <c r="F1602" i="3"/>
  <c r="E1602" i="3"/>
  <c r="C1602" i="3"/>
  <c r="B1602" i="3"/>
  <c r="A1602" i="3"/>
  <c r="H1601" i="3"/>
  <c r="G1601" i="3"/>
  <c r="F1601" i="3"/>
  <c r="E1601" i="3"/>
  <c r="C1601" i="3"/>
  <c r="B1601" i="3"/>
  <c r="A1601" i="3"/>
  <c r="H1600" i="3"/>
  <c r="G1600" i="3"/>
  <c r="F1600" i="3"/>
  <c r="E1600" i="3"/>
  <c r="D1600" i="3"/>
  <c r="C1600" i="3"/>
  <c r="B1600" i="3"/>
  <c r="A1600" i="3"/>
  <c r="H1599" i="3"/>
  <c r="G1599" i="3"/>
  <c r="F1599" i="3"/>
  <c r="E1599" i="3"/>
  <c r="C1599" i="3"/>
  <c r="B1599" i="3"/>
  <c r="A1599" i="3"/>
  <c r="H1598" i="3"/>
  <c r="G1598" i="3"/>
  <c r="F1598" i="3"/>
  <c r="E1598" i="3"/>
  <c r="C1598" i="3"/>
  <c r="B1598" i="3"/>
  <c r="A1598" i="3"/>
  <c r="H1597" i="3"/>
  <c r="G1597" i="3"/>
  <c r="F1597" i="3"/>
  <c r="E1597" i="3"/>
  <c r="A1597" i="3"/>
  <c r="H1596" i="3"/>
  <c r="G1596" i="3"/>
  <c r="F1596" i="3"/>
  <c r="E1596" i="3"/>
  <c r="C1596" i="3"/>
  <c r="B1596" i="3"/>
  <c r="A1596" i="3"/>
  <c r="H1595" i="3"/>
  <c r="G1595" i="3"/>
  <c r="F1595" i="3"/>
  <c r="E1595" i="3"/>
  <c r="D1595" i="3"/>
  <c r="C1595" i="3"/>
  <c r="B1595" i="3"/>
  <c r="A1595" i="3"/>
  <c r="H1594" i="3"/>
  <c r="G1594" i="3"/>
  <c r="F1594" i="3"/>
  <c r="E1594" i="3"/>
  <c r="C1594" i="3"/>
  <c r="B1594" i="3"/>
  <c r="A1594" i="3"/>
  <c r="H1593" i="3"/>
  <c r="G1593" i="3"/>
  <c r="F1593" i="3"/>
  <c r="E1593" i="3"/>
  <c r="C1593" i="3"/>
  <c r="B1593" i="3"/>
  <c r="A1593" i="3"/>
  <c r="H1592" i="3"/>
  <c r="G1592" i="3"/>
  <c r="F1592" i="3"/>
  <c r="E1592" i="3"/>
  <c r="C1592" i="3"/>
  <c r="B1592" i="3"/>
  <c r="A1592" i="3"/>
  <c r="H1591" i="3"/>
  <c r="G1591" i="3"/>
  <c r="F1591" i="3"/>
  <c r="E1591" i="3"/>
  <c r="C1591" i="3"/>
  <c r="B1591" i="3"/>
  <c r="A1591" i="3"/>
  <c r="H1590" i="3"/>
  <c r="G1590" i="3"/>
  <c r="F1590" i="3"/>
  <c r="E1590" i="3"/>
  <c r="D1590" i="3"/>
  <c r="C1590" i="3"/>
  <c r="B1590" i="3"/>
  <c r="A1590" i="3"/>
  <c r="H1589" i="3"/>
  <c r="G1589" i="3"/>
  <c r="F1589" i="3"/>
  <c r="E1589" i="3"/>
  <c r="D1589" i="3"/>
  <c r="C1589" i="3"/>
  <c r="B1589" i="3"/>
  <c r="A1589" i="3"/>
  <c r="H1588" i="3"/>
  <c r="G1588" i="3"/>
  <c r="F1588" i="3"/>
  <c r="E1588" i="3"/>
  <c r="C1588" i="3"/>
  <c r="B1588" i="3"/>
  <c r="A1588" i="3"/>
  <c r="H1587" i="3"/>
  <c r="G1587" i="3"/>
  <c r="F1587" i="3"/>
  <c r="E1587" i="3"/>
  <c r="C1587" i="3"/>
  <c r="B1587" i="3"/>
  <c r="A1587" i="3"/>
  <c r="H1586" i="3"/>
  <c r="G1586" i="3"/>
  <c r="F1586" i="3"/>
  <c r="E1586" i="3"/>
  <c r="D1586" i="3"/>
  <c r="C1586" i="3"/>
  <c r="B1586" i="3"/>
  <c r="A1586" i="3"/>
  <c r="H1585" i="3"/>
  <c r="G1585" i="3"/>
  <c r="F1585" i="3"/>
  <c r="E1585" i="3"/>
  <c r="C1585" i="3"/>
  <c r="B1585" i="3"/>
  <c r="A1585" i="3"/>
  <c r="H1584" i="3"/>
  <c r="G1584" i="3"/>
  <c r="F1584" i="3"/>
  <c r="E1584" i="3"/>
  <c r="C1584" i="3"/>
  <c r="B1584" i="3"/>
  <c r="A1584" i="3"/>
  <c r="H1583" i="3"/>
  <c r="G1583" i="3"/>
  <c r="F1583" i="3"/>
  <c r="E1583" i="3"/>
  <c r="C1583" i="3"/>
  <c r="B1583" i="3"/>
  <c r="A1583" i="3"/>
  <c r="H1582" i="3"/>
  <c r="G1582" i="3"/>
  <c r="F1582" i="3"/>
  <c r="E1582" i="3"/>
  <c r="C1582" i="3"/>
  <c r="B1582" i="3"/>
  <c r="A1582" i="3"/>
  <c r="H1581" i="3"/>
  <c r="G1581" i="3"/>
  <c r="F1581" i="3"/>
  <c r="E1581" i="3"/>
  <c r="C1581" i="3"/>
  <c r="B1581" i="3"/>
  <c r="A1581" i="3"/>
  <c r="H1580" i="3"/>
  <c r="G1580" i="3"/>
  <c r="F1580" i="3"/>
  <c r="E1580" i="3"/>
  <c r="D1580" i="3"/>
  <c r="C1580" i="3"/>
  <c r="B1580" i="3"/>
  <c r="A1580" i="3"/>
  <c r="H1579" i="3"/>
  <c r="G1579" i="3"/>
  <c r="F1579" i="3"/>
  <c r="E1579" i="3"/>
  <c r="C1579" i="3"/>
  <c r="B1579" i="3"/>
  <c r="A1579" i="3"/>
  <c r="H1578" i="3"/>
  <c r="G1578" i="3"/>
  <c r="F1578" i="3"/>
  <c r="E1578" i="3"/>
  <c r="C1578" i="3"/>
  <c r="B1578" i="3"/>
  <c r="A1578" i="3"/>
  <c r="H1577" i="3"/>
  <c r="G1577" i="3"/>
  <c r="F1577" i="3"/>
  <c r="E1577" i="3"/>
  <c r="C1577" i="3"/>
  <c r="B1577" i="3"/>
  <c r="A1577" i="3"/>
  <c r="H1576" i="3"/>
  <c r="G1576" i="3"/>
  <c r="F1576" i="3"/>
  <c r="E1576" i="3"/>
  <c r="C1576" i="3"/>
  <c r="B1576" i="3"/>
  <c r="A1576" i="3"/>
  <c r="H1575" i="3"/>
  <c r="G1575" i="3"/>
  <c r="F1575" i="3"/>
  <c r="E1575" i="3"/>
  <c r="C1575" i="3"/>
  <c r="B1575" i="3"/>
  <c r="A1575" i="3"/>
  <c r="H1574" i="3"/>
  <c r="G1574" i="3"/>
  <c r="F1574" i="3"/>
  <c r="E1574" i="3"/>
  <c r="C1574" i="3"/>
  <c r="B1574" i="3"/>
  <c r="A1574" i="3"/>
  <c r="H1573" i="3"/>
  <c r="G1573" i="3"/>
  <c r="F1573" i="3"/>
  <c r="E1573" i="3"/>
  <c r="D1573" i="3"/>
  <c r="C1573" i="3"/>
  <c r="B1573" i="3"/>
  <c r="A1573" i="3"/>
  <c r="H1572" i="3"/>
  <c r="G1572" i="3"/>
  <c r="F1572" i="3"/>
  <c r="E1572" i="3"/>
  <c r="C1572" i="3"/>
  <c r="B1572" i="3"/>
  <c r="A1572" i="3"/>
  <c r="H1571" i="3"/>
  <c r="G1571" i="3"/>
  <c r="F1571" i="3"/>
  <c r="E1571" i="3"/>
  <c r="C1571" i="3"/>
  <c r="B1571" i="3"/>
  <c r="A1571" i="3"/>
  <c r="H1570" i="3"/>
  <c r="G1570" i="3"/>
  <c r="F1570" i="3"/>
  <c r="E1570" i="3"/>
  <c r="C1570" i="3"/>
  <c r="B1570" i="3"/>
  <c r="A1570" i="3"/>
  <c r="H1569" i="3"/>
  <c r="G1569" i="3"/>
  <c r="F1569" i="3"/>
  <c r="E1569" i="3"/>
  <c r="D1569" i="3"/>
  <c r="C1569" i="3"/>
  <c r="B1569" i="3"/>
  <c r="A1569" i="3"/>
  <c r="H1568" i="3"/>
  <c r="G1568" i="3"/>
  <c r="F1568" i="3"/>
  <c r="E1568" i="3"/>
  <c r="C1568" i="3"/>
  <c r="B1568" i="3"/>
  <c r="A1568" i="3"/>
  <c r="H1567" i="3"/>
  <c r="G1567" i="3"/>
  <c r="F1567" i="3"/>
  <c r="E1567" i="3"/>
  <c r="D1567" i="3"/>
  <c r="C1567" i="3"/>
  <c r="B1567" i="3"/>
  <c r="A1567" i="3"/>
  <c r="H1566" i="3"/>
  <c r="G1566" i="3"/>
  <c r="F1566" i="3"/>
  <c r="E1566" i="3"/>
  <c r="D1566" i="3"/>
  <c r="C1566" i="3"/>
  <c r="B1566" i="3"/>
  <c r="A1566" i="3"/>
  <c r="H1565" i="3"/>
  <c r="G1565" i="3"/>
  <c r="F1565" i="3"/>
  <c r="E1565" i="3"/>
  <c r="C1565" i="3"/>
  <c r="A1565" i="3"/>
  <c r="H1564" i="3"/>
  <c r="G1564" i="3"/>
  <c r="F1564" i="3"/>
  <c r="E1564" i="3"/>
  <c r="C1564" i="3"/>
  <c r="B1564" i="3"/>
  <c r="A1564" i="3"/>
  <c r="H1563" i="3"/>
  <c r="G1563" i="3"/>
  <c r="F1563" i="3"/>
  <c r="E1563" i="3"/>
  <c r="C1563" i="3"/>
  <c r="B1563" i="3"/>
  <c r="A1563" i="3"/>
  <c r="H1562" i="3"/>
  <c r="G1562" i="3"/>
  <c r="F1562" i="3"/>
  <c r="E1562" i="3"/>
  <c r="C1562" i="3"/>
  <c r="B1562" i="3"/>
  <c r="A1562" i="3"/>
  <c r="H1561" i="3"/>
  <c r="G1561" i="3"/>
  <c r="F1561" i="3"/>
  <c r="E1561" i="3"/>
  <c r="C1561" i="3"/>
  <c r="B1561" i="3"/>
  <c r="A1561" i="3"/>
  <c r="H1560" i="3"/>
  <c r="G1560" i="3"/>
  <c r="F1560" i="3"/>
  <c r="E1560" i="3"/>
  <c r="B1560" i="3"/>
  <c r="A1560" i="3"/>
  <c r="H1559" i="3"/>
  <c r="G1559" i="3"/>
  <c r="F1559" i="3"/>
  <c r="E1559" i="3"/>
  <c r="C1559" i="3"/>
  <c r="B1559" i="3"/>
  <c r="A1559" i="3"/>
  <c r="H1558" i="3"/>
  <c r="G1558" i="3"/>
  <c r="F1558" i="3"/>
  <c r="E1558" i="3"/>
  <c r="C1558" i="3"/>
  <c r="B1558" i="3"/>
  <c r="A1558" i="3"/>
  <c r="H1557" i="3"/>
  <c r="G1557" i="3"/>
  <c r="F1557" i="3"/>
  <c r="E1557" i="3"/>
  <c r="D1557" i="3"/>
  <c r="C1557" i="3"/>
  <c r="B1557" i="3"/>
  <c r="A1557" i="3"/>
  <c r="H1556" i="3"/>
  <c r="G1556" i="3"/>
  <c r="F1556" i="3"/>
  <c r="E1556" i="3"/>
  <c r="C1556" i="3"/>
  <c r="B1556" i="3"/>
  <c r="A1556" i="3"/>
  <c r="H1555" i="3"/>
  <c r="G1555" i="3"/>
  <c r="F1555" i="3"/>
  <c r="E1555" i="3"/>
  <c r="C1555" i="3"/>
  <c r="B1555" i="3"/>
  <c r="A1555" i="3"/>
  <c r="H1554" i="3"/>
  <c r="G1554" i="3"/>
  <c r="F1554" i="3"/>
  <c r="E1554" i="3"/>
  <c r="C1554" i="3"/>
  <c r="B1554" i="3"/>
  <c r="A1554" i="3"/>
  <c r="H1553" i="3"/>
  <c r="G1553" i="3"/>
  <c r="F1553" i="3"/>
  <c r="E1553" i="3"/>
  <c r="D1553" i="3"/>
  <c r="C1553" i="3"/>
  <c r="B1553" i="3"/>
  <c r="A1553" i="3"/>
  <c r="H1552" i="3"/>
  <c r="G1552" i="3"/>
  <c r="F1552" i="3"/>
  <c r="E1552" i="3"/>
  <c r="C1552" i="3"/>
  <c r="B1552" i="3"/>
  <c r="A1552" i="3"/>
  <c r="H1551" i="3"/>
  <c r="G1551" i="3"/>
  <c r="F1551" i="3"/>
  <c r="E1551" i="3"/>
  <c r="D1551" i="3"/>
  <c r="C1551" i="3"/>
  <c r="B1551" i="3"/>
  <c r="A1551" i="3"/>
  <c r="H1550" i="3"/>
  <c r="G1550" i="3"/>
  <c r="F1550" i="3"/>
  <c r="E1550" i="3"/>
  <c r="C1550" i="3"/>
  <c r="B1550" i="3"/>
  <c r="A1550" i="3"/>
  <c r="H1549" i="3"/>
  <c r="G1549" i="3"/>
  <c r="F1549" i="3"/>
  <c r="E1549" i="3"/>
  <c r="D1549" i="3"/>
  <c r="C1549" i="3"/>
  <c r="B1549" i="3"/>
  <c r="A1549" i="3"/>
  <c r="H1548" i="3"/>
  <c r="G1548" i="3"/>
  <c r="F1548" i="3"/>
  <c r="E1548" i="3"/>
  <c r="D1548" i="3"/>
  <c r="C1548" i="3"/>
  <c r="B1548" i="3"/>
  <c r="A1548" i="3"/>
  <c r="H1547" i="3"/>
  <c r="G1547" i="3"/>
  <c r="F1547" i="3"/>
  <c r="E1547" i="3"/>
  <c r="C1547" i="3"/>
  <c r="B1547" i="3"/>
  <c r="A1547" i="3"/>
  <c r="H1546" i="3"/>
  <c r="G1546" i="3"/>
  <c r="F1546" i="3"/>
  <c r="E1546" i="3"/>
  <c r="C1546" i="3"/>
  <c r="B1546" i="3"/>
  <c r="A1546" i="3"/>
  <c r="H1545" i="3"/>
  <c r="G1545" i="3"/>
  <c r="F1545" i="3"/>
  <c r="E1545" i="3"/>
  <c r="C1545" i="3"/>
  <c r="B1545" i="3"/>
  <c r="A1545" i="3"/>
  <c r="H1544" i="3"/>
  <c r="G1544" i="3"/>
  <c r="F1544" i="3"/>
  <c r="E1544" i="3"/>
  <c r="A1544" i="3"/>
  <c r="H1543" i="3"/>
  <c r="G1543" i="3"/>
  <c r="F1543" i="3"/>
  <c r="E1543" i="3"/>
  <c r="C1543" i="3"/>
  <c r="B1543" i="3"/>
  <c r="A1543" i="3"/>
  <c r="H1542" i="3"/>
  <c r="G1542" i="3"/>
  <c r="F1542" i="3"/>
  <c r="E1542" i="3"/>
  <c r="B1542" i="3"/>
  <c r="A1542" i="3"/>
  <c r="H1541" i="3"/>
  <c r="G1541" i="3"/>
  <c r="F1541" i="3"/>
  <c r="E1541" i="3"/>
  <c r="C1541" i="3"/>
  <c r="A1541" i="3"/>
  <c r="H1540" i="3"/>
  <c r="G1540" i="3"/>
  <c r="F1540" i="3"/>
  <c r="E1540" i="3"/>
  <c r="D1540" i="3"/>
  <c r="C1540" i="3"/>
  <c r="B1540" i="3"/>
  <c r="A1540" i="3"/>
  <c r="H1539" i="3"/>
  <c r="G1539" i="3"/>
  <c r="F1539" i="3"/>
  <c r="E1539" i="3"/>
  <c r="C1539" i="3"/>
  <c r="B1539" i="3"/>
  <c r="A1539" i="3"/>
  <c r="H1538" i="3"/>
  <c r="G1538" i="3"/>
  <c r="F1538" i="3"/>
  <c r="E1538" i="3"/>
  <c r="C1538" i="3"/>
  <c r="B1538" i="3"/>
  <c r="A1538" i="3"/>
  <c r="H1537" i="3"/>
  <c r="G1537" i="3"/>
  <c r="F1537" i="3"/>
  <c r="E1537" i="3"/>
  <c r="C1537" i="3"/>
  <c r="B1537" i="3"/>
  <c r="A1537" i="3"/>
  <c r="H1536" i="3"/>
  <c r="G1536" i="3"/>
  <c r="F1536" i="3"/>
  <c r="E1536" i="3"/>
  <c r="C1536" i="3"/>
  <c r="B1536" i="3"/>
  <c r="A1536" i="3"/>
  <c r="H1535" i="3"/>
  <c r="G1535" i="3"/>
  <c r="F1535" i="3"/>
  <c r="E1535" i="3"/>
  <c r="C1535" i="3"/>
  <c r="B1535" i="3"/>
  <c r="A1535" i="3"/>
  <c r="H1534" i="3"/>
  <c r="G1534" i="3"/>
  <c r="F1534" i="3"/>
  <c r="E1534" i="3"/>
  <c r="C1534" i="3"/>
  <c r="B1534" i="3"/>
  <c r="A1534" i="3"/>
  <c r="H1533" i="3"/>
  <c r="G1533" i="3"/>
  <c r="F1533" i="3"/>
  <c r="E1533" i="3"/>
  <c r="D1533" i="3"/>
  <c r="C1533" i="3"/>
  <c r="B1533" i="3"/>
  <c r="A1533" i="3"/>
  <c r="H1532" i="3"/>
  <c r="G1532" i="3"/>
  <c r="F1532" i="3"/>
  <c r="E1532" i="3"/>
  <c r="D1532" i="3"/>
  <c r="C1532" i="3"/>
  <c r="B1532" i="3"/>
  <c r="A1532" i="3"/>
  <c r="H1531" i="3"/>
  <c r="G1531" i="3"/>
  <c r="F1531" i="3"/>
  <c r="E1531" i="3"/>
  <c r="C1531" i="3"/>
  <c r="B1531" i="3"/>
  <c r="A1531" i="3"/>
  <c r="H1530" i="3"/>
  <c r="G1530" i="3"/>
  <c r="F1530" i="3"/>
  <c r="E1530" i="3"/>
  <c r="C1530" i="3"/>
  <c r="B1530" i="3"/>
  <c r="A1530" i="3"/>
  <c r="H1529" i="3"/>
  <c r="G1529" i="3"/>
  <c r="F1529" i="3"/>
  <c r="E1529" i="3"/>
  <c r="C1529" i="3"/>
  <c r="B1529" i="3"/>
  <c r="A1529" i="3"/>
  <c r="H1528" i="3"/>
  <c r="G1528" i="3"/>
  <c r="F1528" i="3"/>
  <c r="E1528" i="3"/>
  <c r="C1528" i="3"/>
  <c r="B1528" i="3"/>
  <c r="A1528" i="3"/>
  <c r="H1527" i="3"/>
  <c r="G1527" i="3"/>
  <c r="F1527" i="3"/>
  <c r="E1527" i="3"/>
  <c r="C1527" i="3"/>
  <c r="B1527" i="3"/>
  <c r="A1527" i="3"/>
  <c r="H1526" i="3"/>
  <c r="G1526" i="3"/>
  <c r="F1526" i="3"/>
  <c r="E1526" i="3"/>
  <c r="D1526" i="3"/>
  <c r="C1526" i="3"/>
  <c r="B1526" i="3"/>
  <c r="A1526" i="3"/>
  <c r="H1525" i="3"/>
  <c r="G1525" i="3"/>
  <c r="F1525" i="3"/>
  <c r="E1525" i="3"/>
  <c r="C1525" i="3"/>
  <c r="B1525" i="3"/>
  <c r="A1525" i="3"/>
  <c r="H1524" i="3"/>
  <c r="G1524" i="3"/>
  <c r="F1524" i="3"/>
  <c r="E1524" i="3"/>
  <c r="D1524" i="3"/>
  <c r="C1524" i="3"/>
  <c r="B1524" i="3"/>
  <c r="A1524" i="3"/>
  <c r="H1523" i="3"/>
  <c r="G1523" i="3"/>
  <c r="F1523" i="3"/>
  <c r="E1523" i="3"/>
  <c r="C1523" i="3"/>
  <c r="B1523" i="3"/>
  <c r="A1523" i="3"/>
  <c r="H1522" i="3"/>
  <c r="G1522" i="3"/>
  <c r="F1522" i="3"/>
  <c r="E1522" i="3"/>
  <c r="D1522" i="3"/>
  <c r="C1522" i="3"/>
  <c r="B1522" i="3"/>
  <c r="A1522" i="3"/>
  <c r="H1521" i="3"/>
  <c r="G1521" i="3"/>
  <c r="F1521" i="3"/>
  <c r="E1521" i="3"/>
  <c r="C1521" i="3"/>
  <c r="B1521" i="3"/>
  <c r="A1521" i="3"/>
  <c r="H1520" i="3"/>
  <c r="G1520" i="3"/>
  <c r="F1520" i="3"/>
  <c r="E1520" i="3"/>
  <c r="C1520" i="3"/>
  <c r="B1520" i="3"/>
  <c r="A1520" i="3"/>
  <c r="H1519" i="3"/>
  <c r="G1519" i="3"/>
  <c r="F1519" i="3"/>
  <c r="E1519" i="3"/>
  <c r="A1519" i="3"/>
  <c r="H1518" i="3"/>
  <c r="G1518" i="3"/>
  <c r="F1518" i="3"/>
  <c r="E1518" i="3"/>
  <c r="C1518" i="3"/>
  <c r="B1518" i="3"/>
  <c r="A1518" i="3"/>
  <c r="H1517" i="3"/>
  <c r="G1517" i="3"/>
  <c r="F1517" i="3"/>
  <c r="E1517" i="3"/>
  <c r="C1517" i="3"/>
  <c r="B1517" i="3"/>
  <c r="A1517" i="3"/>
  <c r="H1516" i="3"/>
  <c r="G1516" i="3"/>
  <c r="F1516" i="3"/>
  <c r="E1516" i="3"/>
  <c r="C1516" i="3"/>
  <c r="B1516" i="3"/>
  <c r="A1516" i="3"/>
  <c r="H1515" i="3"/>
  <c r="G1515" i="3"/>
  <c r="F1515" i="3"/>
  <c r="E1515" i="3"/>
  <c r="C1515" i="3"/>
  <c r="B1515" i="3"/>
  <c r="A1515" i="3"/>
  <c r="H1514" i="3"/>
  <c r="G1514" i="3"/>
  <c r="F1514" i="3"/>
  <c r="E1514" i="3"/>
  <c r="C1514" i="3"/>
  <c r="B1514" i="3"/>
  <c r="A1514" i="3"/>
  <c r="H1513" i="3"/>
  <c r="G1513" i="3"/>
  <c r="F1513" i="3"/>
  <c r="E1513" i="3"/>
  <c r="C1513" i="3"/>
  <c r="B1513" i="3"/>
  <c r="A1513" i="3"/>
  <c r="H1512" i="3"/>
  <c r="G1512" i="3"/>
  <c r="F1512" i="3"/>
  <c r="E1512" i="3"/>
  <c r="C1512" i="3"/>
  <c r="B1512" i="3"/>
  <c r="A1512" i="3"/>
  <c r="H1511" i="3"/>
  <c r="G1511" i="3"/>
  <c r="F1511" i="3"/>
  <c r="E1511" i="3"/>
  <c r="C1511" i="3"/>
  <c r="B1511" i="3"/>
  <c r="A1511" i="3"/>
  <c r="H1510" i="3"/>
  <c r="G1510" i="3"/>
  <c r="F1510" i="3"/>
  <c r="E1510" i="3"/>
  <c r="C1510" i="3"/>
  <c r="B1510" i="3"/>
  <c r="A1510" i="3"/>
  <c r="H1509" i="3"/>
  <c r="G1509" i="3"/>
  <c r="F1509" i="3"/>
  <c r="E1509" i="3"/>
  <c r="C1509" i="3"/>
  <c r="B1509" i="3"/>
  <c r="A1509" i="3"/>
  <c r="H1508" i="3"/>
  <c r="G1508" i="3"/>
  <c r="F1508" i="3"/>
  <c r="E1508" i="3"/>
  <c r="C1508" i="3"/>
  <c r="B1508" i="3"/>
  <c r="A1508" i="3"/>
  <c r="H1507" i="3"/>
  <c r="G1507" i="3"/>
  <c r="F1507" i="3"/>
  <c r="E1507" i="3"/>
  <c r="C1507" i="3"/>
  <c r="B1507" i="3"/>
  <c r="A1507" i="3"/>
  <c r="H1506" i="3"/>
  <c r="G1506" i="3"/>
  <c r="F1506" i="3"/>
  <c r="E1506" i="3"/>
  <c r="C1506" i="3"/>
  <c r="B1506" i="3"/>
  <c r="A1506" i="3"/>
  <c r="H1505" i="3"/>
  <c r="G1505" i="3"/>
  <c r="F1505" i="3"/>
  <c r="E1505" i="3"/>
  <c r="D1505" i="3"/>
  <c r="C1505" i="3"/>
  <c r="B1505" i="3"/>
  <c r="A1505" i="3"/>
  <c r="H1504" i="3"/>
  <c r="G1504" i="3"/>
  <c r="F1504" i="3"/>
  <c r="E1504" i="3"/>
  <c r="D1504" i="3"/>
  <c r="C1504" i="3"/>
  <c r="B1504" i="3"/>
  <c r="A1504" i="3"/>
  <c r="H1503" i="3"/>
  <c r="G1503" i="3"/>
  <c r="F1503" i="3"/>
  <c r="E1503" i="3"/>
  <c r="D1503" i="3"/>
  <c r="C1503" i="3"/>
  <c r="B1503" i="3"/>
  <c r="A1503" i="3"/>
  <c r="H1502" i="3"/>
  <c r="G1502" i="3"/>
  <c r="F1502" i="3"/>
  <c r="E1502" i="3"/>
  <c r="C1502" i="3"/>
  <c r="B1502" i="3"/>
  <c r="A1502" i="3"/>
  <c r="H1501" i="3"/>
  <c r="G1501" i="3"/>
  <c r="F1501" i="3"/>
  <c r="E1501" i="3"/>
  <c r="D1501" i="3"/>
  <c r="C1501" i="3"/>
  <c r="B1501" i="3"/>
  <c r="A1501" i="3"/>
  <c r="H1500" i="3"/>
  <c r="G1500" i="3"/>
  <c r="F1500" i="3"/>
  <c r="E1500" i="3"/>
  <c r="C1500" i="3"/>
  <c r="B1500" i="3"/>
  <c r="A1500" i="3"/>
  <c r="H1499" i="3"/>
  <c r="G1499" i="3"/>
  <c r="F1499" i="3"/>
  <c r="E1499" i="3"/>
  <c r="C1499" i="3"/>
  <c r="B1499" i="3"/>
  <c r="A1499" i="3"/>
  <c r="H1498" i="3"/>
  <c r="G1498" i="3"/>
  <c r="F1498" i="3"/>
  <c r="E1498" i="3"/>
  <c r="C1498" i="3"/>
  <c r="B1498" i="3"/>
  <c r="A1498" i="3"/>
  <c r="H1497" i="3"/>
  <c r="G1497" i="3"/>
  <c r="F1497" i="3"/>
  <c r="E1497" i="3"/>
  <c r="C1497" i="3"/>
  <c r="B1497" i="3"/>
  <c r="A1497" i="3"/>
  <c r="H1496" i="3"/>
  <c r="G1496" i="3"/>
  <c r="F1496" i="3"/>
  <c r="E1496" i="3"/>
  <c r="C1496" i="3"/>
  <c r="B1496" i="3"/>
  <c r="A1496" i="3"/>
  <c r="H1495" i="3"/>
  <c r="G1495" i="3"/>
  <c r="F1495" i="3"/>
  <c r="E1495" i="3"/>
  <c r="D1495" i="3"/>
  <c r="C1495" i="3"/>
  <c r="B1495" i="3"/>
  <c r="A1495" i="3"/>
  <c r="H1494" i="3"/>
  <c r="G1494" i="3"/>
  <c r="F1494" i="3"/>
  <c r="E1494" i="3"/>
  <c r="D1494" i="3"/>
  <c r="C1494" i="3"/>
  <c r="B1494" i="3"/>
  <c r="A1494" i="3"/>
  <c r="H1493" i="3"/>
  <c r="G1493" i="3"/>
  <c r="F1493" i="3"/>
  <c r="E1493" i="3"/>
  <c r="C1493" i="3"/>
  <c r="B1493" i="3"/>
  <c r="A1493" i="3"/>
  <c r="H1492" i="3"/>
  <c r="G1492" i="3"/>
  <c r="F1492" i="3"/>
  <c r="E1492" i="3"/>
  <c r="C1492" i="3"/>
  <c r="B1492" i="3"/>
  <c r="A1492" i="3"/>
  <c r="H1491" i="3"/>
  <c r="G1491" i="3"/>
  <c r="F1491" i="3"/>
  <c r="E1491" i="3"/>
  <c r="C1491" i="3"/>
  <c r="B1491" i="3"/>
  <c r="A1491" i="3"/>
  <c r="H1490" i="3"/>
  <c r="G1490" i="3"/>
  <c r="F1490" i="3"/>
  <c r="E1490" i="3"/>
  <c r="C1490" i="3"/>
  <c r="B1490" i="3"/>
  <c r="A1490" i="3"/>
  <c r="H1489" i="3"/>
  <c r="G1489" i="3"/>
  <c r="F1489" i="3"/>
  <c r="E1489" i="3"/>
  <c r="C1489" i="3"/>
  <c r="A1489" i="3"/>
  <c r="H1488" i="3"/>
  <c r="G1488" i="3"/>
  <c r="F1488" i="3"/>
  <c r="E1488" i="3"/>
  <c r="C1488" i="3"/>
  <c r="B1488" i="3"/>
  <c r="A1488" i="3"/>
  <c r="H1487" i="3"/>
  <c r="G1487" i="3"/>
  <c r="F1487" i="3"/>
  <c r="E1487" i="3"/>
  <c r="C1487" i="3"/>
  <c r="B1487" i="3"/>
  <c r="A1487" i="3"/>
  <c r="H1486" i="3"/>
  <c r="G1486" i="3"/>
  <c r="F1486" i="3"/>
  <c r="E1486" i="3"/>
  <c r="C1486" i="3"/>
  <c r="B1486" i="3"/>
  <c r="A1486" i="3"/>
  <c r="H1485" i="3"/>
  <c r="G1485" i="3"/>
  <c r="F1485" i="3"/>
  <c r="E1485" i="3"/>
  <c r="C1485" i="3"/>
  <c r="B1485" i="3"/>
  <c r="A1485" i="3"/>
  <c r="H1484" i="3"/>
  <c r="G1484" i="3"/>
  <c r="F1484" i="3"/>
  <c r="E1484" i="3"/>
  <c r="C1484" i="3"/>
  <c r="B1484" i="3"/>
  <c r="A1484" i="3"/>
  <c r="H1483" i="3"/>
  <c r="G1483" i="3"/>
  <c r="F1483" i="3"/>
  <c r="E1483" i="3"/>
  <c r="A1483" i="3"/>
  <c r="H1482" i="3"/>
  <c r="G1482" i="3"/>
  <c r="F1482" i="3"/>
  <c r="E1482" i="3"/>
  <c r="C1482" i="3"/>
  <c r="B1482" i="3"/>
  <c r="A1482" i="3"/>
  <c r="H1481" i="3"/>
  <c r="G1481" i="3"/>
  <c r="F1481" i="3"/>
  <c r="E1481" i="3"/>
  <c r="C1481" i="3"/>
  <c r="B1481" i="3"/>
  <c r="A1481" i="3"/>
  <c r="H1480" i="3"/>
  <c r="G1480" i="3"/>
  <c r="F1480" i="3"/>
  <c r="E1480" i="3"/>
  <c r="C1480" i="3"/>
  <c r="B1480" i="3"/>
  <c r="A1480" i="3"/>
  <c r="H1479" i="3"/>
  <c r="G1479" i="3"/>
  <c r="F1479" i="3"/>
  <c r="E1479" i="3"/>
  <c r="D1479" i="3"/>
  <c r="C1479" i="3"/>
  <c r="B1479" i="3"/>
  <c r="A1479" i="3"/>
  <c r="H1478" i="3"/>
  <c r="G1478" i="3"/>
  <c r="F1478" i="3"/>
  <c r="E1478" i="3"/>
  <c r="D1478" i="3"/>
  <c r="C1478" i="3"/>
  <c r="B1478" i="3"/>
  <c r="A1478" i="3"/>
  <c r="H1477" i="3"/>
  <c r="G1477" i="3"/>
  <c r="F1477" i="3"/>
  <c r="E1477" i="3"/>
  <c r="C1477" i="3"/>
  <c r="B1477" i="3"/>
  <c r="A1477" i="3"/>
  <c r="H1476" i="3"/>
  <c r="G1476" i="3"/>
  <c r="F1476" i="3"/>
  <c r="E1476" i="3"/>
  <c r="B1476" i="3"/>
  <c r="A1476" i="3"/>
  <c r="H1475" i="3"/>
  <c r="G1475" i="3"/>
  <c r="F1475" i="3"/>
  <c r="E1475" i="3"/>
  <c r="D1475" i="3"/>
  <c r="C1475" i="3"/>
  <c r="B1475" i="3"/>
  <c r="A1475" i="3"/>
  <c r="H1474" i="3"/>
  <c r="G1474" i="3"/>
  <c r="F1474" i="3"/>
  <c r="E1474" i="3"/>
  <c r="D1474" i="3"/>
  <c r="C1474" i="3"/>
  <c r="B1474" i="3"/>
  <c r="A1474" i="3"/>
  <c r="H1473" i="3"/>
  <c r="G1473" i="3"/>
  <c r="F1473" i="3"/>
  <c r="E1473" i="3"/>
  <c r="D1473" i="3"/>
  <c r="C1473" i="3"/>
  <c r="B1473" i="3"/>
  <c r="A1473" i="3"/>
  <c r="H1472" i="3"/>
  <c r="G1472" i="3"/>
  <c r="F1472" i="3"/>
  <c r="E1472" i="3"/>
  <c r="C1472" i="3"/>
  <c r="B1472" i="3"/>
  <c r="A1472" i="3"/>
  <c r="H1471" i="3"/>
  <c r="G1471" i="3"/>
  <c r="F1471" i="3"/>
  <c r="E1471" i="3"/>
  <c r="C1471" i="3"/>
  <c r="B1471" i="3"/>
  <c r="A1471" i="3"/>
  <c r="H1470" i="3"/>
  <c r="G1470" i="3"/>
  <c r="F1470" i="3"/>
  <c r="E1470" i="3"/>
  <c r="C1470" i="3"/>
  <c r="A1470" i="3"/>
  <c r="H1469" i="3"/>
  <c r="G1469" i="3"/>
  <c r="F1469" i="3"/>
  <c r="E1469" i="3"/>
  <c r="C1469" i="3"/>
  <c r="B1469" i="3"/>
  <c r="A1469" i="3"/>
  <c r="H1468" i="3"/>
  <c r="G1468" i="3"/>
  <c r="F1468" i="3"/>
  <c r="E1468" i="3"/>
  <c r="C1468" i="3"/>
  <c r="B1468" i="3"/>
  <c r="A1468" i="3"/>
  <c r="H1467" i="3"/>
  <c r="G1467" i="3"/>
  <c r="F1467" i="3"/>
  <c r="E1467" i="3"/>
  <c r="D1467" i="3"/>
  <c r="C1467" i="3"/>
  <c r="B1467" i="3"/>
  <c r="A1467" i="3"/>
  <c r="H1466" i="3"/>
  <c r="G1466" i="3"/>
  <c r="F1466" i="3"/>
  <c r="E1466" i="3"/>
  <c r="D1466" i="3"/>
  <c r="C1466" i="3"/>
  <c r="B1466" i="3"/>
  <c r="A1466" i="3"/>
  <c r="H1465" i="3"/>
  <c r="G1465" i="3"/>
  <c r="F1465" i="3"/>
  <c r="E1465" i="3"/>
  <c r="C1465" i="3"/>
  <c r="B1465" i="3"/>
  <c r="A1465" i="3"/>
  <c r="H1464" i="3"/>
  <c r="G1464" i="3"/>
  <c r="F1464" i="3"/>
  <c r="E1464" i="3"/>
  <c r="C1464" i="3"/>
  <c r="B1464" i="3"/>
  <c r="A1464" i="3"/>
  <c r="H1463" i="3"/>
  <c r="G1463" i="3"/>
  <c r="F1463" i="3"/>
  <c r="E1463" i="3"/>
  <c r="C1463" i="3"/>
  <c r="A1463" i="3"/>
  <c r="H1462" i="3"/>
  <c r="G1462" i="3"/>
  <c r="F1462" i="3"/>
  <c r="E1462" i="3"/>
  <c r="C1462" i="3"/>
  <c r="B1462" i="3"/>
  <c r="A1462" i="3"/>
  <c r="H1461" i="3"/>
  <c r="G1461" i="3"/>
  <c r="F1461" i="3"/>
  <c r="E1461" i="3"/>
  <c r="C1461" i="3"/>
  <c r="B1461" i="3"/>
  <c r="A1461" i="3"/>
  <c r="H1460" i="3"/>
  <c r="G1460" i="3"/>
  <c r="F1460" i="3"/>
  <c r="E1460" i="3"/>
  <c r="D1460" i="3"/>
  <c r="C1460" i="3"/>
  <c r="B1460" i="3"/>
  <c r="A1460" i="3"/>
  <c r="H1459" i="3"/>
  <c r="G1459" i="3"/>
  <c r="F1459" i="3"/>
  <c r="E1459" i="3"/>
  <c r="C1459" i="3"/>
  <c r="B1459" i="3"/>
  <c r="A1459" i="3"/>
  <c r="H1458" i="3"/>
  <c r="G1458" i="3"/>
  <c r="F1458" i="3"/>
  <c r="E1458" i="3"/>
  <c r="C1458" i="3"/>
  <c r="B1458" i="3"/>
  <c r="A1458" i="3"/>
  <c r="H1457" i="3"/>
  <c r="G1457" i="3"/>
  <c r="F1457" i="3"/>
  <c r="E1457" i="3"/>
  <c r="C1457" i="3"/>
  <c r="B1457" i="3"/>
  <c r="A1457" i="3"/>
  <c r="H1456" i="3"/>
  <c r="G1456" i="3"/>
  <c r="F1456" i="3"/>
  <c r="E1456" i="3"/>
  <c r="C1456" i="3"/>
  <c r="B1456" i="3"/>
  <c r="A1456" i="3"/>
  <c r="H1455" i="3"/>
  <c r="G1455" i="3"/>
  <c r="F1455" i="3"/>
  <c r="E1455" i="3"/>
  <c r="C1455" i="3"/>
  <c r="B1455" i="3"/>
  <c r="A1455" i="3"/>
  <c r="H1454" i="3"/>
  <c r="G1454" i="3"/>
  <c r="F1454" i="3"/>
  <c r="E1454" i="3"/>
  <c r="C1454" i="3"/>
  <c r="B1454" i="3"/>
  <c r="A1454" i="3"/>
  <c r="H1453" i="3"/>
  <c r="G1453" i="3"/>
  <c r="F1453" i="3"/>
  <c r="E1453" i="3"/>
  <c r="C1453" i="3"/>
  <c r="B1453" i="3"/>
  <c r="A1453" i="3"/>
  <c r="H1452" i="3"/>
  <c r="G1452" i="3"/>
  <c r="F1452" i="3"/>
  <c r="E1452" i="3"/>
  <c r="C1452" i="3"/>
  <c r="B1452" i="3"/>
  <c r="A1452" i="3"/>
  <c r="H1451" i="3"/>
  <c r="G1451" i="3"/>
  <c r="F1451" i="3"/>
  <c r="E1451" i="3"/>
  <c r="A1451" i="3"/>
  <c r="H1450" i="3"/>
  <c r="G1450" i="3"/>
  <c r="F1450" i="3"/>
  <c r="E1450" i="3"/>
  <c r="C1450" i="3"/>
  <c r="B1450" i="3"/>
  <c r="A1450" i="3"/>
  <c r="H1449" i="3"/>
  <c r="G1449" i="3"/>
  <c r="F1449" i="3"/>
  <c r="E1449" i="3"/>
  <c r="C1449" i="3"/>
  <c r="B1449" i="3"/>
  <c r="A1449" i="3"/>
  <c r="H1448" i="3"/>
  <c r="G1448" i="3"/>
  <c r="F1448" i="3"/>
  <c r="E1448" i="3"/>
  <c r="C1448" i="3"/>
  <c r="B1448" i="3"/>
  <c r="A1448" i="3"/>
  <c r="H1447" i="3"/>
  <c r="G1447" i="3"/>
  <c r="F1447" i="3"/>
  <c r="E1447" i="3"/>
  <c r="C1447" i="3"/>
  <c r="B1447" i="3"/>
  <c r="A1447" i="3"/>
  <c r="H1446" i="3"/>
  <c r="G1446" i="3"/>
  <c r="F1446" i="3"/>
  <c r="E1446" i="3"/>
  <c r="C1446" i="3"/>
  <c r="B1446" i="3"/>
  <c r="A1446" i="3"/>
  <c r="H1445" i="3"/>
  <c r="G1445" i="3"/>
  <c r="F1445" i="3"/>
  <c r="E1445" i="3"/>
  <c r="C1445" i="3"/>
  <c r="B1445" i="3"/>
  <c r="A1445" i="3"/>
  <c r="H1444" i="3"/>
  <c r="G1444" i="3"/>
  <c r="F1444" i="3"/>
  <c r="E1444" i="3"/>
  <c r="C1444" i="3"/>
  <c r="B1444" i="3"/>
  <c r="A1444" i="3"/>
  <c r="H1443" i="3"/>
  <c r="G1443" i="3"/>
  <c r="F1443" i="3"/>
  <c r="E1443" i="3"/>
  <c r="C1443" i="3"/>
  <c r="A1443" i="3"/>
  <c r="H1442" i="3"/>
  <c r="G1442" i="3"/>
  <c r="F1442" i="3"/>
  <c r="E1442" i="3"/>
  <c r="C1442" i="3"/>
  <c r="B1442" i="3"/>
  <c r="A1442" i="3"/>
  <c r="H1441" i="3"/>
  <c r="G1441" i="3"/>
  <c r="F1441" i="3"/>
  <c r="E1441" i="3"/>
  <c r="C1441" i="3"/>
  <c r="B1441" i="3"/>
  <c r="A1441" i="3"/>
  <c r="H1440" i="3"/>
  <c r="G1440" i="3"/>
  <c r="F1440" i="3"/>
  <c r="E1440" i="3"/>
  <c r="C1440" i="3"/>
  <c r="B1440" i="3"/>
  <c r="A1440" i="3"/>
  <c r="H1439" i="3"/>
  <c r="G1439" i="3"/>
  <c r="F1439" i="3"/>
  <c r="E1439" i="3"/>
  <c r="C1439" i="3"/>
  <c r="B1439" i="3"/>
  <c r="A1439" i="3"/>
  <c r="H1438" i="3"/>
  <c r="G1438" i="3"/>
  <c r="F1438" i="3"/>
  <c r="E1438" i="3"/>
  <c r="C1438" i="3"/>
  <c r="B1438" i="3"/>
  <c r="A1438" i="3"/>
  <c r="H1437" i="3"/>
  <c r="G1437" i="3"/>
  <c r="F1437" i="3"/>
  <c r="E1437" i="3"/>
  <c r="D1437" i="3"/>
  <c r="C1437" i="3"/>
  <c r="B1437" i="3"/>
  <c r="A1437" i="3"/>
  <c r="H1436" i="3"/>
  <c r="G1436" i="3"/>
  <c r="F1436" i="3"/>
  <c r="E1436" i="3"/>
  <c r="C1436" i="3"/>
  <c r="B1436" i="3"/>
  <c r="A1436" i="3"/>
  <c r="H1435" i="3"/>
  <c r="G1435" i="3"/>
  <c r="F1435" i="3"/>
  <c r="E1435" i="3"/>
  <c r="C1435" i="3"/>
  <c r="A1435" i="3"/>
  <c r="H1434" i="3"/>
  <c r="G1434" i="3"/>
  <c r="F1434" i="3"/>
  <c r="E1434" i="3"/>
  <c r="C1434" i="3"/>
  <c r="B1434" i="3"/>
  <c r="A1434" i="3"/>
  <c r="H1433" i="3"/>
  <c r="G1433" i="3"/>
  <c r="F1433" i="3"/>
  <c r="E1433" i="3"/>
  <c r="C1433" i="3"/>
  <c r="B1433" i="3"/>
  <c r="A1433" i="3"/>
  <c r="H1432" i="3"/>
  <c r="G1432" i="3"/>
  <c r="F1432" i="3"/>
  <c r="E1432" i="3"/>
  <c r="D1432" i="3"/>
  <c r="C1432" i="3"/>
  <c r="B1432" i="3"/>
  <c r="A1432" i="3"/>
  <c r="H1431" i="3"/>
  <c r="G1431" i="3"/>
  <c r="F1431" i="3"/>
  <c r="E1431" i="3"/>
  <c r="C1431" i="3"/>
  <c r="A1431" i="3"/>
  <c r="H1430" i="3"/>
  <c r="G1430" i="3"/>
  <c r="F1430" i="3"/>
  <c r="E1430" i="3"/>
  <c r="D1430" i="3"/>
  <c r="C1430" i="3"/>
  <c r="B1430" i="3"/>
  <c r="A1430" i="3"/>
  <c r="H1429" i="3"/>
  <c r="G1429" i="3"/>
  <c r="F1429" i="3"/>
  <c r="E1429" i="3"/>
  <c r="C1429" i="3"/>
  <c r="B1429" i="3"/>
  <c r="A1429" i="3"/>
  <c r="H1428" i="3"/>
  <c r="G1428" i="3"/>
  <c r="F1428" i="3"/>
  <c r="E1428" i="3"/>
  <c r="C1428" i="3"/>
  <c r="B1428" i="3"/>
  <c r="A1428" i="3"/>
  <c r="H1427" i="3"/>
  <c r="G1427" i="3"/>
  <c r="F1427" i="3"/>
  <c r="E1427" i="3"/>
  <c r="C1427" i="3"/>
  <c r="B1427" i="3"/>
  <c r="A1427" i="3"/>
  <c r="H1426" i="3"/>
  <c r="G1426" i="3"/>
  <c r="F1426" i="3"/>
  <c r="E1426" i="3"/>
  <c r="D1426" i="3"/>
  <c r="C1426" i="3"/>
  <c r="B1426" i="3"/>
  <c r="A1426" i="3"/>
  <c r="H1425" i="3"/>
  <c r="G1425" i="3"/>
  <c r="F1425" i="3"/>
  <c r="E1425" i="3"/>
  <c r="C1425" i="3"/>
  <c r="B1425" i="3"/>
  <c r="A1425" i="3"/>
  <c r="H1424" i="3"/>
  <c r="G1424" i="3"/>
  <c r="F1424" i="3"/>
  <c r="E1424" i="3"/>
  <c r="C1424" i="3"/>
  <c r="B1424" i="3"/>
  <c r="A1424" i="3"/>
  <c r="H1423" i="3"/>
  <c r="G1423" i="3"/>
  <c r="F1423" i="3"/>
  <c r="E1423" i="3"/>
  <c r="C1423" i="3"/>
  <c r="B1423" i="3"/>
  <c r="A1423" i="3"/>
  <c r="H1422" i="3"/>
  <c r="G1422" i="3"/>
  <c r="F1422" i="3"/>
  <c r="E1422" i="3"/>
  <c r="C1422" i="3"/>
  <c r="B1422" i="3"/>
  <c r="A1422" i="3"/>
  <c r="H1421" i="3"/>
  <c r="G1421" i="3"/>
  <c r="F1421" i="3"/>
  <c r="E1421" i="3"/>
  <c r="C1421" i="3"/>
  <c r="B1421" i="3"/>
  <c r="A1421" i="3"/>
  <c r="H1420" i="3"/>
  <c r="G1420" i="3"/>
  <c r="F1420" i="3"/>
  <c r="E1420" i="3"/>
  <c r="A1420" i="3"/>
  <c r="H1419" i="3"/>
  <c r="G1419" i="3"/>
  <c r="F1419" i="3"/>
  <c r="E1419" i="3"/>
  <c r="C1419" i="3"/>
  <c r="B1419" i="3"/>
  <c r="A1419" i="3"/>
  <c r="H1418" i="3"/>
  <c r="G1418" i="3"/>
  <c r="F1418" i="3"/>
  <c r="E1418" i="3"/>
  <c r="C1418" i="3"/>
  <c r="B1418" i="3"/>
  <c r="A1418" i="3"/>
  <c r="H1417" i="3"/>
  <c r="G1417" i="3"/>
  <c r="F1417" i="3"/>
  <c r="E1417" i="3"/>
  <c r="C1417" i="3"/>
  <c r="B1417" i="3"/>
  <c r="A1417" i="3"/>
  <c r="H1416" i="3"/>
  <c r="G1416" i="3"/>
  <c r="F1416" i="3"/>
  <c r="E1416" i="3"/>
  <c r="C1416" i="3"/>
  <c r="B1416" i="3"/>
  <c r="A1416" i="3"/>
  <c r="H1415" i="3"/>
  <c r="G1415" i="3"/>
  <c r="F1415" i="3"/>
  <c r="E1415" i="3"/>
  <c r="C1415" i="3"/>
  <c r="B1415" i="3"/>
  <c r="A1415" i="3"/>
  <c r="H1414" i="3"/>
  <c r="G1414" i="3"/>
  <c r="F1414" i="3"/>
  <c r="E1414" i="3"/>
  <c r="C1414" i="3"/>
  <c r="B1414" i="3"/>
  <c r="A1414" i="3"/>
  <c r="H1413" i="3"/>
  <c r="G1413" i="3"/>
  <c r="F1413" i="3"/>
  <c r="E1413" i="3"/>
  <c r="C1413" i="3"/>
  <c r="B1413" i="3"/>
  <c r="A1413" i="3"/>
  <c r="H1412" i="3"/>
  <c r="G1412" i="3"/>
  <c r="F1412" i="3"/>
  <c r="E1412" i="3"/>
  <c r="C1412" i="3"/>
  <c r="A1412" i="3"/>
  <c r="H1411" i="3"/>
  <c r="G1411" i="3"/>
  <c r="F1411" i="3"/>
  <c r="E1411" i="3"/>
  <c r="C1411" i="3"/>
  <c r="B1411" i="3"/>
  <c r="A1411" i="3"/>
  <c r="H1410" i="3"/>
  <c r="G1410" i="3"/>
  <c r="F1410" i="3"/>
  <c r="E1410" i="3"/>
  <c r="C1410" i="3"/>
  <c r="B1410" i="3"/>
  <c r="A1410" i="3"/>
  <c r="H1409" i="3"/>
  <c r="G1409" i="3"/>
  <c r="F1409" i="3"/>
  <c r="E1409" i="3"/>
  <c r="C1409" i="3"/>
  <c r="B1409" i="3"/>
  <c r="A1409" i="3"/>
  <c r="H1408" i="3"/>
  <c r="G1408" i="3"/>
  <c r="F1408" i="3"/>
  <c r="E1408" i="3"/>
  <c r="D1408" i="3"/>
  <c r="C1408" i="3"/>
  <c r="B1408" i="3"/>
  <c r="A1408" i="3"/>
  <c r="H1407" i="3"/>
  <c r="G1407" i="3"/>
  <c r="F1407" i="3"/>
  <c r="E1407" i="3"/>
  <c r="A1407" i="3"/>
  <c r="H1406" i="3"/>
  <c r="G1406" i="3"/>
  <c r="F1406" i="3"/>
  <c r="E1406" i="3"/>
  <c r="C1406" i="3"/>
  <c r="B1406" i="3"/>
  <c r="A1406" i="3"/>
  <c r="H1405" i="3"/>
  <c r="G1405" i="3"/>
  <c r="F1405" i="3"/>
  <c r="E1405" i="3"/>
  <c r="C1405" i="3"/>
  <c r="B1405" i="3"/>
  <c r="A1405" i="3"/>
  <c r="H1404" i="3"/>
  <c r="G1404" i="3"/>
  <c r="F1404" i="3"/>
  <c r="E1404" i="3"/>
  <c r="C1404" i="3"/>
  <c r="B1404" i="3"/>
  <c r="A1404" i="3"/>
  <c r="H1403" i="3"/>
  <c r="G1403" i="3"/>
  <c r="F1403" i="3"/>
  <c r="E1403" i="3"/>
  <c r="C1403" i="3"/>
  <c r="B1403" i="3"/>
  <c r="A1403" i="3"/>
  <c r="H1402" i="3"/>
  <c r="G1402" i="3"/>
  <c r="F1402" i="3"/>
  <c r="E1402" i="3"/>
  <c r="C1402" i="3"/>
  <c r="B1402" i="3"/>
  <c r="A1402" i="3"/>
  <c r="H1401" i="3"/>
  <c r="G1401" i="3"/>
  <c r="F1401" i="3"/>
  <c r="E1401" i="3"/>
  <c r="C1401" i="3"/>
  <c r="B1401" i="3"/>
  <c r="A1401" i="3"/>
  <c r="H1400" i="3"/>
  <c r="G1400" i="3"/>
  <c r="F1400" i="3"/>
  <c r="E1400" i="3"/>
  <c r="C1400" i="3"/>
  <c r="A1400" i="3"/>
  <c r="H1399" i="3"/>
  <c r="G1399" i="3"/>
  <c r="F1399" i="3"/>
  <c r="E1399" i="3"/>
  <c r="D1399" i="3"/>
  <c r="C1399" i="3"/>
  <c r="B1399" i="3"/>
  <c r="A1399" i="3"/>
  <c r="H1398" i="3"/>
  <c r="G1398" i="3"/>
  <c r="F1398" i="3"/>
  <c r="E1398" i="3"/>
  <c r="C1398" i="3"/>
  <c r="B1398" i="3"/>
  <c r="A1398" i="3"/>
  <c r="H1397" i="3"/>
  <c r="G1397" i="3"/>
  <c r="F1397" i="3"/>
  <c r="E1397" i="3"/>
  <c r="C1397" i="3"/>
  <c r="B1397" i="3"/>
  <c r="A1397" i="3"/>
  <c r="H1396" i="3"/>
  <c r="G1396" i="3"/>
  <c r="F1396" i="3"/>
  <c r="E1396" i="3"/>
  <c r="D1396" i="3"/>
  <c r="C1396" i="3"/>
  <c r="B1396" i="3"/>
  <c r="A1396" i="3"/>
  <c r="H1395" i="3"/>
  <c r="G1395" i="3"/>
  <c r="F1395" i="3"/>
  <c r="E1395" i="3"/>
  <c r="D1395" i="3"/>
  <c r="C1395" i="3"/>
  <c r="A1395" i="3"/>
  <c r="H1394" i="3"/>
  <c r="G1394" i="3"/>
  <c r="F1394" i="3"/>
  <c r="E1394" i="3"/>
  <c r="A1394" i="3"/>
  <c r="H1393" i="3"/>
  <c r="G1393" i="3"/>
  <c r="F1393" i="3"/>
  <c r="E1393" i="3"/>
  <c r="C1393" i="3"/>
  <c r="B1393" i="3"/>
  <c r="A1393" i="3"/>
  <c r="H1392" i="3"/>
  <c r="G1392" i="3"/>
  <c r="F1392" i="3"/>
  <c r="E1392" i="3"/>
  <c r="C1392" i="3"/>
  <c r="B1392" i="3"/>
  <c r="A1392" i="3"/>
  <c r="H1391" i="3"/>
  <c r="G1391" i="3"/>
  <c r="F1391" i="3"/>
  <c r="E1391" i="3"/>
  <c r="A1391" i="3"/>
  <c r="H1390" i="3"/>
  <c r="G1390" i="3"/>
  <c r="F1390" i="3"/>
  <c r="E1390" i="3"/>
  <c r="C1390" i="3"/>
  <c r="B1390" i="3"/>
  <c r="A1390" i="3"/>
  <c r="H1389" i="3"/>
  <c r="G1389" i="3"/>
  <c r="F1389" i="3"/>
  <c r="E1389" i="3"/>
  <c r="D1389" i="3"/>
  <c r="C1389" i="3"/>
  <c r="B1389" i="3"/>
  <c r="A1389" i="3"/>
  <c r="H1388" i="3"/>
  <c r="G1388" i="3"/>
  <c r="F1388" i="3"/>
  <c r="E1388" i="3"/>
  <c r="C1388" i="3"/>
  <c r="B1388" i="3"/>
  <c r="A1388" i="3"/>
  <c r="H1387" i="3"/>
  <c r="G1387" i="3"/>
  <c r="F1387" i="3"/>
  <c r="E1387" i="3"/>
  <c r="C1387" i="3"/>
  <c r="B1387" i="3"/>
  <c r="A1387" i="3"/>
  <c r="H1386" i="3"/>
  <c r="G1386" i="3"/>
  <c r="F1386" i="3"/>
  <c r="E1386" i="3"/>
  <c r="C1386" i="3"/>
  <c r="B1386" i="3"/>
  <c r="A1386" i="3"/>
  <c r="H1385" i="3"/>
  <c r="G1385" i="3"/>
  <c r="F1385" i="3"/>
  <c r="E1385" i="3"/>
  <c r="C1385" i="3"/>
  <c r="B1385" i="3"/>
  <c r="A1385" i="3"/>
  <c r="H1384" i="3"/>
  <c r="G1384" i="3"/>
  <c r="F1384" i="3"/>
  <c r="E1384" i="3"/>
  <c r="C1384" i="3"/>
  <c r="B1384" i="3"/>
  <c r="A1384" i="3"/>
  <c r="H1383" i="3"/>
  <c r="G1383" i="3"/>
  <c r="F1383" i="3"/>
  <c r="E1383" i="3"/>
  <c r="C1383" i="3"/>
  <c r="B1383" i="3"/>
  <c r="A1383" i="3"/>
  <c r="H1382" i="3"/>
  <c r="G1382" i="3"/>
  <c r="F1382" i="3"/>
  <c r="E1382" i="3"/>
  <c r="C1382" i="3"/>
  <c r="B1382" i="3"/>
  <c r="A1382" i="3"/>
  <c r="H1381" i="3"/>
  <c r="G1381" i="3"/>
  <c r="F1381" i="3"/>
  <c r="E1381" i="3"/>
  <c r="C1381" i="3"/>
  <c r="B1381" i="3"/>
  <c r="A1381" i="3"/>
  <c r="H1380" i="3"/>
  <c r="G1380" i="3"/>
  <c r="F1380" i="3"/>
  <c r="E1380" i="3"/>
  <c r="C1380" i="3"/>
  <c r="B1380" i="3"/>
  <c r="A1380" i="3"/>
  <c r="H1379" i="3"/>
  <c r="G1379" i="3"/>
  <c r="F1379" i="3"/>
  <c r="E1379" i="3"/>
  <c r="C1379" i="3"/>
  <c r="B1379" i="3"/>
  <c r="A1379" i="3"/>
  <c r="H1378" i="3"/>
  <c r="G1378" i="3"/>
  <c r="F1378" i="3"/>
  <c r="E1378" i="3"/>
  <c r="C1378" i="3"/>
  <c r="A1378" i="3"/>
  <c r="H1377" i="3"/>
  <c r="G1377" i="3"/>
  <c r="F1377" i="3"/>
  <c r="E1377" i="3"/>
  <c r="C1377" i="3"/>
  <c r="B1377" i="3"/>
  <c r="A1377" i="3"/>
  <c r="H1376" i="3"/>
  <c r="G1376" i="3"/>
  <c r="F1376" i="3"/>
  <c r="E1376" i="3"/>
  <c r="C1376" i="3"/>
  <c r="B1376" i="3"/>
  <c r="A1376" i="3"/>
  <c r="H1375" i="3"/>
  <c r="G1375" i="3"/>
  <c r="F1375" i="3"/>
  <c r="E1375" i="3"/>
  <c r="D1375" i="3"/>
  <c r="C1375" i="3"/>
  <c r="B1375" i="3"/>
  <c r="A1375" i="3"/>
  <c r="H1374" i="3"/>
  <c r="G1374" i="3"/>
  <c r="F1374" i="3"/>
  <c r="E1374" i="3"/>
  <c r="C1374" i="3"/>
  <c r="B1374" i="3"/>
  <c r="A1374" i="3"/>
  <c r="H1373" i="3"/>
  <c r="G1373" i="3"/>
  <c r="F1373" i="3"/>
  <c r="E1373" i="3"/>
  <c r="C1373" i="3"/>
  <c r="B1373" i="3"/>
  <c r="A1373" i="3"/>
  <c r="H1372" i="3"/>
  <c r="G1372" i="3"/>
  <c r="F1372" i="3"/>
  <c r="E1372" i="3"/>
  <c r="D1372" i="3"/>
  <c r="C1372" i="3"/>
  <c r="B1372" i="3"/>
  <c r="A1372" i="3"/>
  <c r="H1371" i="3"/>
  <c r="G1371" i="3"/>
  <c r="F1371" i="3"/>
  <c r="E1371" i="3"/>
  <c r="A1371" i="3"/>
  <c r="H1370" i="3"/>
  <c r="G1370" i="3"/>
  <c r="F1370" i="3"/>
  <c r="E1370" i="3"/>
  <c r="C1370" i="3"/>
  <c r="A1370" i="3"/>
  <c r="H1369" i="3"/>
  <c r="G1369" i="3"/>
  <c r="F1369" i="3"/>
  <c r="E1369" i="3"/>
  <c r="C1369" i="3"/>
  <c r="B1369" i="3"/>
  <c r="A1369" i="3"/>
  <c r="H1368" i="3"/>
  <c r="G1368" i="3"/>
  <c r="F1368" i="3"/>
  <c r="E1368" i="3"/>
  <c r="C1368" i="3"/>
  <c r="B1368" i="3"/>
  <c r="A1368" i="3"/>
  <c r="H1367" i="3"/>
  <c r="G1367" i="3"/>
  <c r="F1367" i="3"/>
  <c r="E1367" i="3"/>
  <c r="C1367" i="3"/>
  <c r="B1367" i="3"/>
  <c r="A1367" i="3"/>
  <c r="H1366" i="3"/>
  <c r="G1366" i="3"/>
  <c r="F1366" i="3"/>
  <c r="E1366" i="3"/>
  <c r="C1366" i="3"/>
  <c r="B1366" i="3"/>
  <c r="A1366" i="3"/>
  <c r="H1365" i="3"/>
  <c r="G1365" i="3"/>
  <c r="F1365" i="3"/>
  <c r="E1365" i="3"/>
  <c r="D1365" i="3"/>
  <c r="C1365" i="3"/>
  <c r="A1365" i="3"/>
  <c r="H1364" i="3"/>
  <c r="G1364" i="3"/>
  <c r="F1364" i="3"/>
  <c r="E1364" i="3"/>
  <c r="C1364" i="3"/>
  <c r="B1364" i="3"/>
  <c r="A1364" i="3"/>
  <c r="H1363" i="3"/>
  <c r="G1363" i="3"/>
  <c r="F1363" i="3"/>
  <c r="E1363" i="3"/>
  <c r="C1363" i="3"/>
  <c r="B1363" i="3"/>
  <c r="A1363" i="3"/>
  <c r="H1362" i="3"/>
  <c r="G1362" i="3"/>
  <c r="F1362" i="3"/>
  <c r="E1362" i="3"/>
  <c r="D1362" i="3"/>
  <c r="C1362" i="3"/>
  <c r="B1362" i="3"/>
  <c r="A1362" i="3"/>
  <c r="H1361" i="3"/>
  <c r="G1361" i="3"/>
  <c r="F1361" i="3"/>
  <c r="E1361" i="3"/>
  <c r="C1361" i="3"/>
  <c r="B1361" i="3"/>
  <c r="A1361" i="3"/>
  <c r="H1360" i="3"/>
  <c r="G1360" i="3"/>
  <c r="F1360" i="3"/>
  <c r="E1360" i="3"/>
  <c r="D1360" i="3"/>
  <c r="C1360" i="3"/>
  <c r="B1360" i="3"/>
  <c r="A1360" i="3"/>
  <c r="H1359" i="3"/>
  <c r="G1359" i="3"/>
  <c r="F1359" i="3"/>
  <c r="E1359" i="3"/>
  <c r="D1359" i="3"/>
  <c r="C1359" i="3"/>
  <c r="B1359" i="3"/>
  <c r="A1359" i="3"/>
  <c r="H1358" i="3"/>
  <c r="G1358" i="3"/>
  <c r="F1358" i="3"/>
  <c r="E1358" i="3"/>
  <c r="C1358" i="3"/>
  <c r="B1358" i="3"/>
  <c r="A1358" i="3"/>
  <c r="H1357" i="3"/>
  <c r="G1357" i="3"/>
  <c r="F1357" i="3"/>
  <c r="E1357" i="3"/>
  <c r="C1357" i="3"/>
  <c r="B1357" i="3"/>
  <c r="A1357" i="3"/>
  <c r="H1356" i="3"/>
  <c r="G1356" i="3"/>
  <c r="F1356" i="3"/>
  <c r="E1356" i="3"/>
  <c r="C1356" i="3"/>
  <c r="B1356" i="3"/>
  <c r="A1356" i="3"/>
  <c r="H1355" i="3"/>
  <c r="G1355" i="3"/>
  <c r="F1355" i="3"/>
  <c r="E1355" i="3"/>
  <c r="D1355" i="3"/>
  <c r="C1355" i="3"/>
  <c r="B1355" i="3"/>
  <c r="A1355" i="3"/>
  <c r="H1354" i="3"/>
  <c r="G1354" i="3"/>
  <c r="F1354" i="3"/>
  <c r="E1354" i="3"/>
  <c r="C1354" i="3"/>
  <c r="B1354" i="3"/>
  <c r="A1354" i="3"/>
  <c r="H1353" i="3"/>
  <c r="G1353" i="3"/>
  <c r="F1353" i="3"/>
  <c r="E1353" i="3"/>
  <c r="D1353" i="3"/>
  <c r="C1353" i="3"/>
  <c r="B1353" i="3"/>
  <c r="A1353" i="3"/>
  <c r="H1352" i="3"/>
  <c r="G1352" i="3"/>
  <c r="F1352" i="3"/>
  <c r="E1352" i="3"/>
  <c r="C1352" i="3"/>
  <c r="B1352" i="3"/>
  <c r="A1352" i="3"/>
  <c r="H1351" i="3"/>
  <c r="G1351" i="3"/>
  <c r="F1351" i="3"/>
  <c r="E1351" i="3"/>
  <c r="B1351" i="3"/>
  <c r="A1351" i="3"/>
  <c r="H1350" i="3"/>
  <c r="G1350" i="3"/>
  <c r="F1350" i="3"/>
  <c r="E1350" i="3"/>
  <c r="C1350" i="3"/>
  <c r="B1350" i="3"/>
  <c r="A1350" i="3"/>
  <c r="H1349" i="3"/>
  <c r="G1349" i="3"/>
  <c r="F1349" i="3"/>
  <c r="E1349" i="3"/>
  <c r="C1349" i="3"/>
  <c r="B1349" i="3"/>
  <c r="A1349" i="3"/>
  <c r="H1348" i="3"/>
  <c r="G1348" i="3"/>
  <c r="F1348" i="3"/>
  <c r="E1348" i="3"/>
  <c r="C1348" i="3"/>
  <c r="B1348" i="3"/>
  <c r="A1348" i="3"/>
  <c r="H1347" i="3"/>
  <c r="G1347" i="3"/>
  <c r="F1347" i="3"/>
  <c r="E1347" i="3"/>
  <c r="D1347" i="3"/>
  <c r="C1347" i="3"/>
  <c r="B1347" i="3"/>
  <c r="A1347" i="3"/>
  <c r="H1346" i="3"/>
  <c r="G1346" i="3"/>
  <c r="F1346" i="3"/>
  <c r="E1346" i="3"/>
  <c r="D1346" i="3"/>
  <c r="C1346" i="3"/>
  <c r="B1346" i="3"/>
  <c r="A1346" i="3"/>
  <c r="H1345" i="3"/>
  <c r="G1345" i="3"/>
  <c r="F1345" i="3"/>
  <c r="E1345" i="3"/>
  <c r="D1345" i="3"/>
  <c r="C1345" i="3"/>
  <c r="B1345" i="3"/>
  <c r="A1345" i="3"/>
  <c r="H1344" i="3"/>
  <c r="G1344" i="3"/>
  <c r="F1344" i="3"/>
  <c r="E1344" i="3"/>
  <c r="D1344" i="3"/>
  <c r="C1344" i="3"/>
  <c r="B1344" i="3"/>
  <c r="A1344" i="3"/>
  <c r="H1343" i="3"/>
  <c r="G1343" i="3"/>
  <c r="F1343" i="3"/>
  <c r="E1343" i="3"/>
  <c r="C1343" i="3"/>
  <c r="B1343" i="3"/>
  <c r="A1343" i="3"/>
  <c r="H1342" i="3"/>
  <c r="G1342" i="3"/>
  <c r="F1342" i="3"/>
  <c r="E1342" i="3"/>
  <c r="C1342" i="3"/>
  <c r="B1342" i="3"/>
  <c r="A1342" i="3"/>
  <c r="H1341" i="3"/>
  <c r="G1341" i="3"/>
  <c r="F1341" i="3"/>
  <c r="E1341" i="3"/>
  <c r="C1341" i="3"/>
  <c r="B1341" i="3"/>
  <c r="A1341" i="3"/>
  <c r="H1340" i="3"/>
  <c r="G1340" i="3"/>
  <c r="F1340" i="3"/>
  <c r="E1340" i="3"/>
  <c r="C1340" i="3"/>
  <c r="B1340" i="3"/>
  <c r="A1340" i="3"/>
  <c r="H1339" i="3"/>
  <c r="G1339" i="3"/>
  <c r="F1339" i="3"/>
  <c r="E1339" i="3"/>
  <c r="C1339" i="3"/>
  <c r="B1339" i="3"/>
  <c r="A1339" i="3"/>
  <c r="H1338" i="3"/>
  <c r="G1338" i="3"/>
  <c r="F1338" i="3"/>
  <c r="E1338" i="3"/>
  <c r="C1338" i="3"/>
  <c r="A1338" i="3"/>
  <c r="H1337" i="3"/>
  <c r="G1337" i="3"/>
  <c r="F1337" i="3"/>
  <c r="E1337" i="3"/>
  <c r="C1337" i="3"/>
  <c r="B1337" i="3"/>
  <c r="A1337" i="3"/>
  <c r="H1336" i="3"/>
  <c r="G1336" i="3"/>
  <c r="F1336" i="3"/>
  <c r="E1336" i="3"/>
  <c r="C1336" i="3"/>
  <c r="B1336" i="3"/>
  <c r="A1336" i="3"/>
  <c r="H1335" i="3"/>
  <c r="G1335" i="3"/>
  <c r="F1335" i="3"/>
  <c r="E1335" i="3"/>
  <c r="C1335" i="3"/>
  <c r="B1335" i="3"/>
  <c r="A1335" i="3"/>
  <c r="H1334" i="3"/>
  <c r="G1334" i="3"/>
  <c r="F1334" i="3"/>
  <c r="E1334" i="3"/>
  <c r="C1334" i="3"/>
  <c r="B1334" i="3"/>
  <c r="A1334" i="3"/>
  <c r="H1333" i="3"/>
  <c r="G1333" i="3"/>
  <c r="F1333" i="3"/>
  <c r="E1333" i="3"/>
  <c r="C1333" i="3"/>
  <c r="B1333" i="3"/>
  <c r="A1333" i="3"/>
  <c r="H1332" i="3"/>
  <c r="G1332" i="3"/>
  <c r="F1332" i="3"/>
  <c r="E1332" i="3"/>
  <c r="D1332" i="3"/>
  <c r="C1332" i="3"/>
  <c r="B1332" i="3"/>
  <c r="A1332" i="3"/>
  <c r="H1331" i="3"/>
  <c r="G1331" i="3"/>
  <c r="F1331" i="3"/>
  <c r="E1331" i="3"/>
  <c r="C1331" i="3"/>
  <c r="B1331" i="3"/>
  <c r="A1331" i="3"/>
  <c r="H1330" i="3"/>
  <c r="G1330" i="3"/>
  <c r="F1330" i="3"/>
  <c r="E1330" i="3"/>
  <c r="D1330" i="3"/>
  <c r="C1330" i="3"/>
  <c r="B1330" i="3"/>
  <c r="A1330" i="3"/>
  <c r="H1329" i="3"/>
  <c r="G1329" i="3"/>
  <c r="F1329" i="3"/>
  <c r="E1329" i="3"/>
  <c r="C1329" i="3"/>
  <c r="A1329" i="3"/>
  <c r="H1328" i="3"/>
  <c r="G1328" i="3"/>
  <c r="F1328" i="3"/>
  <c r="E1328" i="3"/>
  <c r="C1328" i="3"/>
  <c r="B1328" i="3"/>
  <c r="A1328" i="3"/>
  <c r="H1327" i="3"/>
  <c r="G1327" i="3"/>
  <c r="F1327" i="3"/>
  <c r="E1327" i="3"/>
  <c r="C1327" i="3"/>
  <c r="A1327" i="3"/>
  <c r="H1326" i="3"/>
  <c r="G1326" i="3"/>
  <c r="F1326" i="3"/>
  <c r="E1326" i="3"/>
  <c r="C1326" i="3"/>
  <c r="B1326" i="3"/>
  <c r="A1326" i="3"/>
  <c r="H1325" i="3"/>
  <c r="G1325" i="3"/>
  <c r="F1325" i="3"/>
  <c r="E1325" i="3"/>
  <c r="C1325" i="3"/>
  <c r="B1325" i="3"/>
  <c r="A1325" i="3"/>
  <c r="H1324" i="3"/>
  <c r="G1324" i="3"/>
  <c r="F1324" i="3"/>
  <c r="E1324" i="3"/>
  <c r="C1324" i="3"/>
  <c r="B1324" i="3"/>
  <c r="A1324" i="3"/>
  <c r="H1323" i="3"/>
  <c r="G1323" i="3"/>
  <c r="F1323" i="3"/>
  <c r="E1323" i="3"/>
  <c r="C1323" i="3"/>
  <c r="A1323" i="3"/>
  <c r="H1322" i="3"/>
  <c r="G1322" i="3"/>
  <c r="F1322" i="3"/>
  <c r="E1322" i="3"/>
  <c r="C1322" i="3"/>
  <c r="B1322" i="3"/>
  <c r="A1322" i="3"/>
  <c r="H1321" i="3"/>
  <c r="G1321" i="3"/>
  <c r="F1321" i="3"/>
  <c r="E1321" i="3"/>
  <c r="C1321" i="3"/>
  <c r="B1321" i="3"/>
  <c r="A1321" i="3"/>
  <c r="H1320" i="3"/>
  <c r="G1320" i="3"/>
  <c r="F1320" i="3"/>
  <c r="E1320" i="3"/>
  <c r="C1320" i="3"/>
  <c r="B1320" i="3"/>
  <c r="A1320" i="3"/>
  <c r="H1319" i="3"/>
  <c r="G1319" i="3"/>
  <c r="F1319" i="3"/>
  <c r="E1319" i="3"/>
  <c r="C1319" i="3"/>
  <c r="B1319" i="3"/>
  <c r="A1319" i="3"/>
  <c r="H1318" i="3"/>
  <c r="G1318" i="3"/>
  <c r="F1318" i="3"/>
  <c r="E1318" i="3"/>
  <c r="C1318" i="3"/>
  <c r="B1318" i="3"/>
  <c r="A1318" i="3"/>
  <c r="H1317" i="3"/>
  <c r="G1317" i="3"/>
  <c r="F1317" i="3"/>
  <c r="E1317" i="3"/>
  <c r="C1317" i="3"/>
  <c r="A1317" i="3"/>
  <c r="H1316" i="3"/>
  <c r="G1316" i="3"/>
  <c r="F1316" i="3"/>
  <c r="E1316" i="3"/>
  <c r="C1316" i="3"/>
  <c r="B1316" i="3"/>
  <c r="A1316" i="3"/>
  <c r="H1315" i="3"/>
  <c r="G1315" i="3"/>
  <c r="F1315" i="3"/>
  <c r="E1315" i="3"/>
  <c r="C1315" i="3"/>
  <c r="B1315" i="3"/>
  <c r="A1315" i="3"/>
  <c r="H1314" i="3"/>
  <c r="G1314" i="3"/>
  <c r="F1314" i="3"/>
  <c r="E1314" i="3"/>
  <c r="C1314" i="3"/>
  <c r="B1314" i="3"/>
  <c r="A1314" i="3"/>
  <c r="H1313" i="3"/>
  <c r="G1313" i="3"/>
  <c r="F1313" i="3"/>
  <c r="E1313" i="3"/>
  <c r="C1313" i="3"/>
  <c r="B1313" i="3"/>
  <c r="A1313" i="3"/>
  <c r="H1312" i="3"/>
  <c r="G1312" i="3"/>
  <c r="F1312" i="3"/>
  <c r="E1312" i="3"/>
  <c r="C1312" i="3"/>
  <c r="A1312" i="3"/>
  <c r="H1311" i="3"/>
  <c r="G1311" i="3"/>
  <c r="F1311" i="3"/>
  <c r="E1311" i="3"/>
  <c r="C1311" i="3"/>
  <c r="B1311" i="3"/>
  <c r="A1311" i="3"/>
  <c r="H1310" i="3"/>
  <c r="G1310" i="3"/>
  <c r="F1310" i="3"/>
  <c r="E1310" i="3"/>
  <c r="C1310" i="3"/>
  <c r="B1310" i="3"/>
  <c r="A1310" i="3"/>
  <c r="H1309" i="3"/>
  <c r="G1309" i="3"/>
  <c r="F1309" i="3"/>
  <c r="E1309" i="3"/>
  <c r="C1309" i="3"/>
  <c r="B1309" i="3"/>
  <c r="A1309" i="3"/>
  <c r="H1308" i="3"/>
  <c r="G1308" i="3"/>
  <c r="F1308" i="3"/>
  <c r="E1308" i="3"/>
  <c r="C1308" i="3"/>
  <c r="B1308" i="3"/>
  <c r="A1308" i="3"/>
  <c r="H1307" i="3"/>
  <c r="G1307" i="3"/>
  <c r="F1307" i="3"/>
  <c r="E1307" i="3"/>
  <c r="C1307" i="3"/>
  <c r="B1307" i="3"/>
  <c r="A1307" i="3"/>
  <c r="H1306" i="3"/>
  <c r="G1306" i="3"/>
  <c r="F1306" i="3"/>
  <c r="E1306" i="3"/>
  <c r="C1306" i="3"/>
  <c r="B1306" i="3"/>
  <c r="A1306" i="3"/>
  <c r="H1305" i="3"/>
  <c r="G1305" i="3"/>
  <c r="F1305" i="3"/>
  <c r="E1305" i="3"/>
  <c r="A1305" i="3"/>
  <c r="H1304" i="3"/>
  <c r="G1304" i="3"/>
  <c r="F1304" i="3"/>
  <c r="E1304" i="3"/>
  <c r="C1304" i="3"/>
  <c r="B1304" i="3"/>
  <c r="A1304" i="3"/>
  <c r="H1303" i="3"/>
  <c r="G1303" i="3"/>
  <c r="F1303" i="3"/>
  <c r="E1303" i="3"/>
  <c r="C1303" i="3"/>
  <c r="B1303" i="3"/>
  <c r="A1303" i="3"/>
  <c r="H1302" i="3"/>
  <c r="G1302" i="3"/>
  <c r="F1302" i="3"/>
  <c r="E1302" i="3"/>
  <c r="C1302" i="3"/>
  <c r="B1302" i="3"/>
  <c r="A1302" i="3"/>
  <c r="H1301" i="3"/>
  <c r="G1301" i="3"/>
  <c r="F1301" i="3"/>
  <c r="E1301" i="3"/>
  <c r="C1301" i="3"/>
  <c r="A1301" i="3"/>
  <c r="H1300" i="3"/>
  <c r="G1300" i="3"/>
  <c r="F1300" i="3"/>
  <c r="E1300" i="3"/>
  <c r="C1300" i="3"/>
  <c r="A1300" i="3"/>
  <c r="H1299" i="3"/>
  <c r="G1299" i="3"/>
  <c r="F1299" i="3"/>
  <c r="E1299" i="3"/>
  <c r="C1299" i="3"/>
  <c r="B1299" i="3"/>
  <c r="A1299" i="3"/>
  <c r="H1298" i="3"/>
  <c r="G1298" i="3"/>
  <c r="F1298" i="3"/>
  <c r="E1298" i="3"/>
  <c r="C1298" i="3"/>
  <c r="B1298" i="3"/>
  <c r="A1298" i="3"/>
  <c r="H1297" i="3"/>
  <c r="G1297" i="3"/>
  <c r="F1297" i="3"/>
  <c r="E1297" i="3"/>
  <c r="C1297" i="3"/>
  <c r="A1297" i="3"/>
  <c r="H1296" i="3"/>
  <c r="G1296" i="3"/>
  <c r="F1296" i="3"/>
  <c r="E1296" i="3"/>
  <c r="C1296" i="3"/>
  <c r="B1296" i="3"/>
  <c r="A1296" i="3"/>
  <c r="H1295" i="3"/>
  <c r="G1295" i="3"/>
  <c r="F1295" i="3"/>
  <c r="E1295" i="3"/>
  <c r="D1295" i="3"/>
  <c r="C1295" i="3"/>
  <c r="B1295" i="3"/>
  <c r="A1295" i="3"/>
  <c r="H1294" i="3"/>
  <c r="G1294" i="3"/>
  <c r="F1294" i="3"/>
  <c r="E1294" i="3"/>
  <c r="D1294" i="3"/>
  <c r="C1294" i="3"/>
  <c r="B1294" i="3"/>
  <c r="A1294" i="3"/>
  <c r="H1293" i="3"/>
  <c r="G1293" i="3"/>
  <c r="F1293" i="3"/>
  <c r="E1293" i="3"/>
  <c r="C1293" i="3"/>
  <c r="B1293" i="3"/>
  <c r="A1293" i="3"/>
  <c r="H1292" i="3"/>
  <c r="G1292" i="3"/>
  <c r="F1292" i="3"/>
  <c r="E1292" i="3"/>
  <c r="D1292" i="3"/>
  <c r="C1292" i="3"/>
  <c r="B1292" i="3"/>
  <c r="A1292" i="3"/>
  <c r="H1291" i="3"/>
  <c r="G1291" i="3"/>
  <c r="F1291" i="3"/>
  <c r="E1291" i="3"/>
  <c r="C1291" i="3"/>
  <c r="B1291" i="3"/>
  <c r="A1291" i="3"/>
  <c r="H1290" i="3"/>
  <c r="G1290" i="3"/>
  <c r="F1290" i="3"/>
  <c r="E1290" i="3"/>
  <c r="C1290" i="3"/>
  <c r="B1290" i="3"/>
  <c r="A1290" i="3"/>
  <c r="H1289" i="3"/>
  <c r="G1289" i="3"/>
  <c r="F1289" i="3"/>
  <c r="E1289" i="3"/>
  <c r="D1289" i="3"/>
  <c r="C1289" i="3"/>
  <c r="B1289" i="3"/>
  <c r="A1289" i="3"/>
  <c r="H1288" i="3"/>
  <c r="G1288" i="3"/>
  <c r="F1288" i="3"/>
  <c r="E1288" i="3"/>
  <c r="D1288" i="3"/>
  <c r="C1288" i="3"/>
  <c r="B1288" i="3"/>
  <c r="A1288" i="3"/>
  <c r="H1287" i="3"/>
  <c r="G1287" i="3"/>
  <c r="F1287" i="3"/>
  <c r="E1287" i="3"/>
  <c r="D1287" i="3"/>
  <c r="C1287" i="3"/>
  <c r="B1287" i="3"/>
  <c r="A1287" i="3"/>
  <c r="H1286" i="3"/>
  <c r="G1286" i="3"/>
  <c r="F1286" i="3"/>
  <c r="E1286" i="3"/>
  <c r="C1286" i="3"/>
  <c r="B1286" i="3"/>
  <c r="A1286" i="3"/>
  <c r="H1285" i="3"/>
  <c r="G1285" i="3"/>
  <c r="F1285" i="3"/>
  <c r="E1285" i="3"/>
  <c r="C1285" i="3"/>
  <c r="B1285" i="3"/>
  <c r="A1285" i="3"/>
  <c r="H1284" i="3"/>
  <c r="G1284" i="3"/>
  <c r="F1284" i="3"/>
  <c r="E1284" i="3"/>
  <c r="C1284" i="3"/>
  <c r="B1284" i="3"/>
  <c r="A1284" i="3"/>
  <c r="H1283" i="3"/>
  <c r="G1283" i="3"/>
  <c r="F1283" i="3"/>
  <c r="E1283" i="3"/>
  <c r="B1283" i="3"/>
  <c r="A1283" i="3"/>
  <c r="H1282" i="3"/>
  <c r="G1282" i="3"/>
  <c r="F1282" i="3"/>
  <c r="E1282" i="3"/>
  <c r="C1282" i="3"/>
  <c r="B1282" i="3"/>
  <c r="A1282" i="3"/>
  <c r="H1281" i="3"/>
  <c r="G1281" i="3"/>
  <c r="F1281" i="3"/>
  <c r="E1281" i="3"/>
  <c r="C1281" i="3"/>
  <c r="B1281" i="3"/>
  <c r="A1281" i="3"/>
  <c r="H1280" i="3"/>
  <c r="G1280" i="3"/>
  <c r="F1280" i="3"/>
  <c r="E1280" i="3"/>
  <c r="D1280" i="3"/>
  <c r="C1280" i="3"/>
  <c r="B1280" i="3"/>
  <c r="A1280" i="3"/>
  <c r="H1279" i="3"/>
  <c r="G1279" i="3"/>
  <c r="F1279" i="3"/>
  <c r="E1279" i="3"/>
  <c r="D1279" i="3"/>
  <c r="C1279" i="3"/>
  <c r="B1279" i="3"/>
  <c r="A1279" i="3"/>
  <c r="H1278" i="3"/>
  <c r="G1278" i="3"/>
  <c r="F1278" i="3"/>
  <c r="E1278" i="3"/>
  <c r="C1278" i="3"/>
  <c r="B1278" i="3"/>
  <c r="A1278" i="3"/>
  <c r="H1277" i="3"/>
  <c r="G1277" i="3"/>
  <c r="F1277" i="3"/>
  <c r="E1277" i="3"/>
  <c r="C1277" i="3"/>
  <c r="B1277" i="3"/>
  <c r="A1277" i="3"/>
  <c r="H1276" i="3"/>
  <c r="G1276" i="3"/>
  <c r="F1276" i="3"/>
  <c r="E1276" i="3"/>
  <c r="C1276" i="3"/>
  <c r="A1276" i="3"/>
  <c r="H1275" i="3"/>
  <c r="G1275" i="3"/>
  <c r="F1275" i="3"/>
  <c r="E1275" i="3"/>
  <c r="D1275" i="3"/>
  <c r="C1275" i="3"/>
  <c r="B1275" i="3"/>
  <c r="A1275" i="3"/>
  <c r="H1274" i="3"/>
  <c r="G1274" i="3"/>
  <c r="F1274" i="3"/>
  <c r="E1274" i="3"/>
  <c r="D1274" i="3"/>
  <c r="C1274" i="3"/>
  <c r="B1274" i="3"/>
  <c r="A1274" i="3"/>
  <c r="H1273" i="3"/>
  <c r="G1273" i="3"/>
  <c r="F1273" i="3"/>
  <c r="E1273" i="3"/>
  <c r="C1273" i="3"/>
  <c r="B1273" i="3"/>
  <c r="A1273" i="3"/>
  <c r="H1272" i="3"/>
  <c r="G1272" i="3"/>
  <c r="F1272" i="3"/>
  <c r="E1272" i="3"/>
  <c r="C1272" i="3"/>
  <c r="B1272" i="3"/>
  <c r="A1272" i="3"/>
  <c r="H1271" i="3"/>
  <c r="G1271" i="3"/>
  <c r="F1271" i="3"/>
  <c r="E1271" i="3"/>
  <c r="C1271" i="3"/>
  <c r="B1271" i="3"/>
  <c r="A1271" i="3"/>
  <c r="H1270" i="3"/>
  <c r="G1270" i="3"/>
  <c r="F1270" i="3"/>
  <c r="E1270" i="3"/>
  <c r="A1270" i="3"/>
  <c r="H1269" i="3"/>
  <c r="G1269" i="3"/>
  <c r="F1269" i="3"/>
  <c r="E1269" i="3"/>
  <c r="A1269" i="3"/>
  <c r="H1268" i="3"/>
  <c r="G1268" i="3"/>
  <c r="F1268" i="3"/>
  <c r="E1268" i="3"/>
  <c r="D1268" i="3"/>
  <c r="C1268" i="3"/>
  <c r="B1268" i="3"/>
  <c r="A1268" i="3"/>
  <c r="H1267" i="3"/>
  <c r="G1267" i="3"/>
  <c r="F1267" i="3"/>
  <c r="E1267" i="3"/>
  <c r="C1267" i="3"/>
  <c r="B1267" i="3"/>
  <c r="A1267" i="3"/>
  <c r="H1266" i="3"/>
  <c r="G1266" i="3"/>
  <c r="F1266" i="3"/>
  <c r="E1266" i="3"/>
  <c r="C1266" i="3"/>
  <c r="B1266" i="3"/>
  <c r="A1266" i="3"/>
  <c r="H1265" i="3"/>
  <c r="G1265" i="3"/>
  <c r="F1265" i="3"/>
  <c r="E1265" i="3"/>
  <c r="C1265" i="3"/>
  <c r="B1265" i="3"/>
  <c r="A1265" i="3"/>
  <c r="H1264" i="3"/>
  <c r="G1264" i="3"/>
  <c r="F1264" i="3"/>
  <c r="E1264" i="3"/>
  <c r="C1264" i="3"/>
  <c r="B1264" i="3"/>
  <c r="A1264" i="3"/>
  <c r="H1263" i="3"/>
  <c r="G1263" i="3"/>
  <c r="F1263" i="3"/>
  <c r="E1263" i="3"/>
  <c r="C1263" i="3"/>
  <c r="B1263" i="3"/>
  <c r="A1263" i="3"/>
  <c r="H1262" i="3"/>
  <c r="G1262" i="3"/>
  <c r="F1262" i="3"/>
  <c r="E1262" i="3"/>
  <c r="C1262" i="3"/>
  <c r="B1262" i="3"/>
  <c r="A1262" i="3"/>
  <c r="H1261" i="3"/>
  <c r="G1261" i="3"/>
  <c r="F1261" i="3"/>
  <c r="E1261" i="3"/>
  <c r="C1261" i="3"/>
  <c r="B1261" i="3"/>
  <c r="A1261" i="3"/>
  <c r="H1260" i="3"/>
  <c r="G1260" i="3"/>
  <c r="F1260" i="3"/>
  <c r="E1260" i="3"/>
  <c r="C1260" i="3"/>
  <c r="B1260" i="3"/>
  <c r="A1260" i="3"/>
  <c r="H1259" i="3"/>
  <c r="G1259" i="3"/>
  <c r="F1259" i="3"/>
  <c r="E1259" i="3"/>
  <c r="C1259" i="3"/>
  <c r="B1259" i="3"/>
  <c r="A1259" i="3"/>
  <c r="H1258" i="3"/>
  <c r="G1258" i="3"/>
  <c r="F1258" i="3"/>
  <c r="E1258" i="3"/>
  <c r="D1258" i="3"/>
  <c r="C1258" i="3"/>
  <c r="B1258" i="3"/>
  <c r="A1258" i="3"/>
  <c r="H1257" i="3"/>
  <c r="G1257" i="3"/>
  <c r="F1257" i="3"/>
  <c r="E1257" i="3"/>
  <c r="C1257" i="3"/>
  <c r="B1257" i="3"/>
  <c r="A1257" i="3"/>
  <c r="H1256" i="3"/>
  <c r="G1256" i="3"/>
  <c r="F1256" i="3"/>
  <c r="E1256" i="3"/>
  <c r="D1256" i="3"/>
  <c r="C1256" i="3"/>
  <c r="B1256" i="3"/>
  <c r="A1256" i="3"/>
  <c r="H1255" i="3"/>
  <c r="G1255" i="3"/>
  <c r="F1255" i="3"/>
  <c r="E1255" i="3"/>
  <c r="A1255" i="3"/>
  <c r="H1254" i="3"/>
  <c r="G1254" i="3"/>
  <c r="F1254" i="3"/>
  <c r="E1254" i="3"/>
  <c r="C1254" i="3"/>
  <c r="B1254" i="3"/>
  <c r="A1254" i="3"/>
  <c r="H1253" i="3"/>
  <c r="G1253" i="3"/>
  <c r="F1253" i="3"/>
  <c r="E1253" i="3"/>
  <c r="C1253" i="3"/>
  <c r="B1253" i="3"/>
  <c r="A1253" i="3"/>
  <c r="H1252" i="3"/>
  <c r="G1252" i="3"/>
  <c r="F1252" i="3"/>
  <c r="E1252" i="3"/>
  <c r="C1252" i="3"/>
  <c r="B1252" i="3"/>
  <c r="A1252" i="3"/>
  <c r="H1251" i="3"/>
  <c r="G1251" i="3"/>
  <c r="F1251" i="3"/>
  <c r="E1251" i="3"/>
  <c r="D1251" i="3"/>
  <c r="C1251" i="3"/>
  <c r="B1251" i="3"/>
  <c r="A1251" i="3"/>
  <c r="H1250" i="3"/>
  <c r="G1250" i="3"/>
  <c r="F1250" i="3"/>
  <c r="E1250" i="3"/>
  <c r="A1250" i="3"/>
  <c r="H1249" i="3"/>
  <c r="G1249" i="3"/>
  <c r="F1249" i="3"/>
  <c r="E1249" i="3"/>
  <c r="C1249" i="3"/>
  <c r="B1249" i="3"/>
  <c r="A1249" i="3"/>
  <c r="H1248" i="3"/>
  <c r="G1248" i="3"/>
  <c r="F1248" i="3"/>
  <c r="E1248" i="3"/>
  <c r="C1248" i="3"/>
  <c r="B1248" i="3"/>
  <c r="A1248" i="3"/>
  <c r="H1247" i="3"/>
  <c r="G1247" i="3"/>
  <c r="F1247" i="3"/>
  <c r="E1247" i="3"/>
  <c r="C1247" i="3"/>
  <c r="B1247" i="3"/>
  <c r="A1247" i="3"/>
  <c r="H1246" i="3"/>
  <c r="G1246" i="3"/>
  <c r="F1246" i="3"/>
  <c r="E1246" i="3"/>
  <c r="D1246" i="3"/>
  <c r="C1246" i="3"/>
  <c r="B1246" i="3"/>
  <c r="A1246" i="3"/>
  <c r="H1245" i="3"/>
  <c r="G1245" i="3"/>
  <c r="F1245" i="3"/>
  <c r="E1245" i="3"/>
  <c r="C1245" i="3"/>
  <c r="B1245" i="3"/>
  <c r="A1245" i="3"/>
  <c r="H1244" i="3"/>
  <c r="G1244" i="3"/>
  <c r="F1244" i="3"/>
  <c r="E1244" i="3"/>
  <c r="D1244" i="3"/>
  <c r="C1244" i="3"/>
  <c r="B1244" i="3"/>
  <c r="A1244" i="3"/>
  <c r="H1243" i="3"/>
  <c r="G1243" i="3"/>
  <c r="F1243" i="3"/>
  <c r="E1243" i="3"/>
  <c r="C1243" i="3"/>
  <c r="B1243" i="3"/>
  <c r="A1243" i="3"/>
  <c r="H1242" i="3"/>
  <c r="G1242" i="3"/>
  <c r="F1242" i="3"/>
  <c r="E1242" i="3"/>
  <c r="C1242" i="3"/>
  <c r="B1242" i="3"/>
  <c r="A1242" i="3"/>
  <c r="H1241" i="3"/>
  <c r="G1241" i="3"/>
  <c r="F1241" i="3"/>
  <c r="E1241" i="3"/>
  <c r="C1241" i="3"/>
  <c r="B1241" i="3"/>
  <c r="A1241" i="3"/>
  <c r="H1240" i="3"/>
  <c r="G1240" i="3"/>
  <c r="F1240" i="3"/>
  <c r="E1240" i="3"/>
  <c r="C1240" i="3"/>
  <c r="B1240" i="3"/>
  <c r="A1240" i="3"/>
  <c r="H1239" i="3"/>
  <c r="G1239" i="3"/>
  <c r="F1239" i="3"/>
  <c r="E1239" i="3"/>
  <c r="C1239" i="3"/>
  <c r="A1239" i="3"/>
  <c r="H1238" i="3"/>
  <c r="G1238" i="3"/>
  <c r="F1238" i="3"/>
  <c r="E1238" i="3"/>
  <c r="C1238" i="3"/>
  <c r="B1238" i="3"/>
  <c r="A1238" i="3"/>
  <c r="H1237" i="3"/>
  <c r="G1237" i="3"/>
  <c r="F1237" i="3"/>
  <c r="E1237" i="3"/>
  <c r="C1237" i="3"/>
  <c r="B1237" i="3"/>
  <c r="A1237" i="3"/>
  <c r="H1236" i="3"/>
  <c r="G1236" i="3"/>
  <c r="F1236" i="3"/>
  <c r="E1236" i="3"/>
  <c r="C1236" i="3"/>
  <c r="B1236" i="3"/>
  <c r="A1236" i="3"/>
  <c r="H1235" i="3"/>
  <c r="G1235" i="3"/>
  <c r="F1235" i="3"/>
  <c r="E1235" i="3"/>
  <c r="C1235" i="3"/>
  <c r="B1235" i="3"/>
  <c r="A1235" i="3"/>
  <c r="H1234" i="3"/>
  <c r="G1234" i="3"/>
  <c r="F1234" i="3"/>
  <c r="E1234" i="3"/>
  <c r="C1234" i="3"/>
  <c r="B1234" i="3"/>
  <c r="A1234" i="3"/>
  <c r="H1233" i="3"/>
  <c r="G1233" i="3"/>
  <c r="F1233" i="3"/>
  <c r="E1233" i="3"/>
  <c r="C1233" i="3"/>
  <c r="B1233" i="3"/>
  <c r="A1233" i="3"/>
  <c r="H1232" i="3"/>
  <c r="G1232" i="3"/>
  <c r="F1232" i="3"/>
  <c r="E1232" i="3"/>
  <c r="D1232" i="3"/>
  <c r="C1232" i="3"/>
  <c r="A1232" i="3"/>
  <c r="H1231" i="3"/>
  <c r="G1231" i="3"/>
  <c r="F1231" i="3"/>
  <c r="E1231" i="3"/>
  <c r="C1231" i="3"/>
  <c r="B1231" i="3"/>
  <c r="A1231" i="3"/>
  <c r="H1230" i="3"/>
  <c r="G1230" i="3"/>
  <c r="F1230" i="3"/>
  <c r="E1230" i="3"/>
  <c r="D1230" i="3"/>
  <c r="C1230" i="3"/>
  <c r="B1230" i="3"/>
  <c r="A1230" i="3"/>
  <c r="H1229" i="3"/>
  <c r="G1229" i="3"/>
  <c r="F1229" i="3"/>
  <c r="E1229" i="3"/>
  <c r="D1229" i="3"/>
  <c r="C1229" i="3"/>
  <c r="B1229" i="3"/>
  <c r="A1229" i="3"/>
  <c r="H1228" i="3"/>
  <c r="G1228" i="3"/>
  <c r="F1228" i="3"/>
  <c r="E1228" i="3"/>
  <c r="C1228" i="3"/>
  <c r="A1228" i="3"/>
  <c r="H1227" i="3"/>
  <c r="G1227" i="3"/>
  <c r="F1227" i="3"/>
  <c r="E1227" i="3"/>
  <c r="D1227" i="3"/>
  <c r="C1227" i="3"/>
  <c r="B1227" i="3"/>
  <c r="A1227" i="3"/>
  <c r="H1226" i="3"/>
  <c r="G1226" i="3"/>
  <c r="F1226" i="3"/>
  <c r="E1226" i="3"/>
  <c r="C1226" i="3"/>
  <c r="B1226" i="3"/>
  <c r="A1226" i="3"/>
  <c r="H1225" i="3"/>
  <c r="G1225" i="3"/>
  <c r="F1225" i="3"/>
  <c r="E1225" i="3"/>
  <c r="C1225" i="3"/>
  <c r="B1225" i="3"/>
  <c r="A1225" i="3"/>
  <c r="H1224" i="3"/>
  <c r="G1224" i="3"/>
  <c r="F1224" i="3"/>
  <c r="E1224" i="3"/>
  <c r="C1224" i="3"/>
  <c r="B1224" i="3"/>
  <c r="A1224" i="3"/>
  <c r="H1223" i="3"/>
  <c r="G1223" i="3"/>
  <c r="F1223" i="3"/>
  <c r="E1223" i="3"/>
  <c r="C1223" i="3"/>
  <c r="B1223" i="3"/>
  <c r="A1223" i="3"/>
  <c r="H1222" i="3"/>
  <c r="G1222" i="3"/>
  <c r="F1222" i="3"/>
  <c r="E1222" i="3"/>
  <c r="C1222" i="3"/>
  <c r="B1222" i="3"/>
  <c r="A1222" i="3"/>
  <c r="H1221" i="3"/>
  <c r="G1221" i="3"/>
  <c r="F1221" i="3"/>
  <c r="E1221" i="3"/>
  <c r="D1221" i="3"/>
  <c r="C1221" i="3"/>
  <c r="B1221" i="3"/>
  <c r="A1221" i="3"/>
  <c r="H1220" i="3"/>
  <c r="G1220" i="3"/>
  <c r="F1220" i="3"/>
  <c r="E1220" i="3"/>
  <c r="C1220" i="3"/>
  <c r="B1220" i="3"/>
  <c r="A1220" i="3"/>
  <c r="H1219" i="3"/>
  <c r="G1219" i="3"/>
  <c r="F1219" i="3"/>
  <c r="E1219" i="3"/>
  <c r="C1219" i="3"/>
  <c r="B1219" i="3"/>
  <c r="A1219" i="3"/>
  <c r="H1218" i="3"/>
  <c r="G1218" i="3"/>
  <c r="F1218" i="3"/>
  <c r="E1218" i="3"/>
  <c r="D1218" i="3"/>
  <c r="C1218" i="3"/>
  <c r="B1218" i="3"/>
  <c r="A1218" i="3"/>
  <c r="H1217" i="3"/>
  <c r="G1217" i="3"/>
  <c r="F1217" i="3"/>
  <c r="E1217" i="3"/>
  <c r="D1217" i="3"/>
  <c r="C1217" i="3"/>
  <c r="B1217" i="3"/>
  <c r="A1217" i="3"/>
  <c r="H1216" i="3"/>
  <c r="G1216" i="3"/>
  <c r="F1216" i="3"/>
  <c r="E1216" i="3"/>
  <c r="C1216" i="3"/>
  <c r="B1216" i="3"/>
  <c r="A1216" i="3"/>
  <c r="H1215" i="3"/>
  <c r="G1215" i="3"/>
  <c r="F1215" i="3"/>
  <c r="E1215" i="3"/>
  <c r="D1215" i="3"/>
  <c r="C1215" i="3"/>
  <c r="B1215" i="3"/>
  <c r="A1215" i="3"/>
  <c r="H1214" i="3"/>
  <c r="G1214" i="3"/>
  <c r="F1214" i="3"/>
  <c r="E1214" i="3"/>
  <c r="D1214" i="3"/>
  <c r="C1214" i="3"/>
  <c r="B1214" i="3"/>
  <c r="A1214" i="3"/>
  <c r="H1213" i="3"/>
  <c r="G1213" i="3"/>
  <c r="F1213" i="3"/>
  <c r="E1213" i="3"/>
  <c r="D1213" i="3"/>
  <c r="C1213" i="3"/>
  <c r="B1213" i="3"/>
  <c r="A1213" i="3"/>
  <c r="H1212" i="3"/>
  <c r="G1212" i="3"/>
  <c r="F1212" i="3"/>
  <c r="E1212" i="3"/>
  <c r="C1212" i="3"/>
  <c r="B1212" i="3"/>
  <c r="A1212" i="3"/>
  <c r="H1211" i="3"/>
  <c r="G1211" i="3"/>
  <c r="F1211" i="3"/>
  <c r="E1211" i="3"/>
  <c r="D1211" i="3"/>
  <c r="C1211" i="3"/>
  <c r="B1211" i="3"/>
  <c r="A1211" i="3"/>
  <c r="H1210" i="3"/>
  <c r="G1210" i="3"/>
  <c r="F1210" i="3"/>
  <c r="E1210" i="3"/>
  <c r="D1210" i="3"/>
  <c r="C1210" i="3"/>
  <c r="B1210" i="3"/>
  <c r="A1210" i="3"/>
  <c r="H1209" i="3"/>
  <c r="G1209" i="3"/>
  <c r="F1209" i="3"/>
  <c r="E1209" i="3"/>
  <c r="D1209" i="3"/>
  <c r="C1209" i="3"/>
  <c r="B1209" i="3"/>
  <c r="A1209" i="3"/>
  <c r="H1208" i="3"/>
  <c r="G1208" i="3"/>
  <c r="F1208" i="3"/>
  <c r="E1208" i="3"/>
  <c r="A1208" i="3"/>
  <c r="H1207" i="3"/>
  <c r="G1207" i="3"/>
  <c r="F1207" i="3"/>
  <c r="E1207" i="3"/>
  <c r="D1207" i="3"/>
  <c r="C1207" i="3"/>
  <c r="B1207" i="3"/>
  <c r="A1207" i="3"/>
  <c r="H1206" i="3"/>
  <c r="G1206" i="3"/>
  <c r="F1206" i="3"/>
  <c r="E1206" i="3"/>
  <c r="D1206" i="3"/>
  <c r="C1206" i="3"/>
  <c r="B1206" i="3"/>
  <c r="A1206" i="3"/>
  <c r="H1205" i="3"/>
  <c r="G1205" i="3"/>
  <c r="F1205" i="3"/>
  <c r="E1205" i="3"/>
  <c r="D1205" i="3"/>
  <c r="C1205" i="3"/>
  <c r="B1205" i="3"/>
  <c r="A1205" i="3"/>
  <c r="H1204" i="3"/>
  <c r="G1204" i="3"/>
  <c r="F1204" i="3"/>
  <c r="E1204" i="3"/>
  <c r="D1204" i="3"/>
  <c r="C1204" i="3"/>
  <c r="B1204" i="3"/>
  <c r="A1204" i="3"/>
  <c r="H1203" i="3"/>
  <c r="G1203" i="3"/>
  <c r="F1203" i="3"/>
  <c r="E1203" i="3"/>
  <c r="D1203" i="3"/>
  <c r="C1203" i="3"/>
  <c r="B1203" i="3"/>
  <c r="A1203" i="3"/>
  <c r="H1202" i="3"/>
  <c r="G1202" i="3"/>
  <c r="F1202" i="3"/>
  <c r="E1202" i="3"/>
  <c r="A1202" i="3"/>
  <c r="H1201" i="3"/>
  <c r="G1201" i="3"/>
  <c r="F1201" i="3"/>
  <c r="E1201" i="3"/>
  <c r="D1201" i="3"/>
  <c r="C1201" i="3"/>
  <c r="B1201" i="3"/>
  <c r="A1201" i="3"/>
  <c r="H1200" i="3"/>
  <c r="G1200" i="3"/>
  <c r="F1200" i="3"/>
  <c r="E1200" i="3"/>
  <c r="D1200" i="3"/>
  <c r="C1200" i="3"/>
  <c r="B1200" i="3"/>
  <c r="A1200" i="3"/>
  <c r="H1199" i="3"/>
  <c r="G1199" i="3"/>
  <c r="F1199" i="3"/>
  <c r="E1199" i="3"/>
  <c r="D1199" i="3"/>
  <c r="C1199" i="3"/>
  <c r="B1199" i="3"/>
  <c r="A1199" i="3"/>
  <c r="H1198" i="3"/>
  <c r="G1198" i="3"/>
  <c r="F1198" i="3"/>
  <c r="E1198" i="3"/>
  <c r="D1198" i="3"/>
  <c r="C1198" i="3"/>
  <c r="B1198" i="3"/>
  <c r="A1198" i="3"/>
  <c r="H1197" i="3"/>
  <c r="G1197" i="3"/>
  <c r="F1197" i="3"/>
  <c r="E1197" i="3"/>
  <c r="D1197" i="3"/>
  <c r="C1197" i="3"/>
  <c r="A1197" i="3"/>
  <c r="H1196" i="3"/>
  <c r="G1196" i="3"/>
  <c r="F1196" i="3"/>
  <c r="E1196" i="3"/>
  <c r="D1196" i="3"/>
  <c r="C1196" i="3"/>
  <c r="B1196" i="3"/>
  <c r="A1196" i="3"/>
  <c r="H1195" i="3"/>
  <c r="G1195" i="3"/>
  <c r="F1195" i="3"/>
  <c r="E1195" i="3"/>
  <c r="D1195" i="3"/>
  <c r="C1195" i="3"/>
  <c r="B1195" i="3"/>
  <c r="A1195" i="3"/>
  <c r="H1194" i="3"/>
  <c r="G1194" i="3"/>
  <c r="F1194" i="3"/>
  <c r="E1194" i="3"/>
  <c r="C1194" i="3"/>
  <c r="B1194" i="3"/>
  <c r="A1194" i="3"/>
  <c r="H1193" i="3"/>
  <c r="G1193" i="3"/>
  <c r="F1193" i="3"/>
  <c r="E1193" i="3"/>
  <c r="C1193" i="3"/>
  <c r="B1193" i="3"/>
  <c r="A1193" i="3"/>
  <c r="H1192" i="3"/>
  <c r="G1192" i="3"/>
  <c r="F1192" i="3"/>
  <c r="E1192" i="3"/>
  <c r="C1192" i="3"/>
  <c r="B1192" i="3"/>
  <c r="A1192" i="3"/>
  <c r="H1191" i="3"/>
  <c r="G1191" i="3"/>
  <c r="F1191" i="3"/>
  <c r="E1191" i="3"/>
  <c r="D1191" i="3"/>
  <c r="C1191" i="3"/>
  <c r="B1191" i="3"/>
  <c r="A1191" i="3"/>
  <c r="H1190" i="3"/>
  <c r="G1190" i="3"/>
  <c r="F1190" i="3"/>
  <c r="E1190" i="3"/>
  <c r="C1190" i="3"/>
  <c r="B1190" i="3"/>
  <c r="A1190" i="3"/>
  <c r="H1189" i="3"/>
  <c r="G1189" i="3"/>
  <c r="F1189" i="3"/>
  <c r="E1189" i="3"/>
  <c r="C1189" i="3"/>
  <c r="A1189" i="3"/>
  <c r="H1188" i="3"/>
  <c r="G1188" i="3"/>
  <c r="F1188" i="3"/>
  <c r="E1188" i="3"/>
  <c r="D1188" i="3"/>
  <c r="C1188" i="3"/>
  <c r="B1188" i="3"/>
  <c r="A1188" i="3"/>
  <c r="H1187" i="3"/>
  <c r="G1187" i="3"/>
  <c r="F1187" i="3"/>
  <c r="E1187" i="3"/>
  <c r="D1187" i="3"/>
  <c r="C1187" i="3"/>
  <c r="B1187" i="3"/>
  <c r="A1187" i="3"/>
  <c r="H1186" i="3"/>
  <c r="G1186" i="3"/>
  <c r="F1186" i="3"/>
  <c r="E1186" i="3"/>
  <c r="D1186" i="3"/>
  <c r="C1186" i="3"/>
  <c r="B1186" i="3"/>
  <c r="A1186" i="3"/>
  <c r="H1185" i="3"/>
  <c r="G1185" i="3"/>
  <c r="F1185" i="3"/>
  <c r="E1185" i="3"/>
  <c r="D1185" i="3"/>
  <c r="C1185" i="3"/>
  <c r="B1185" i="3"/>
  <c r="A1185" i="3"/>
  <c r="H1184" i="3"/>
  <c r="G1184" i="3"/>
  <c r="F1184" i="3"/>
  <c r="E1184" i="3"/>
  <c r="D1184" i="3"/>
  <c r="C1184" i="3"/>
  <c r="B1184" i="3"/>
  <c r="A1184" i="3"/>
  <c r="H1183" i="3"/>
  <c r="G1183" i="3"/>
  <c r="F1183" i="3"/>
  <c r="E1183" i="3"/>
  <c r="D1183" i="3"/>
  <c r="C1183" i="3"/>
  <c r="B1183" i="3"/>
  <c r="A1183" i="3"/>
  <c r="H1182" i="3"/>
  <c r="G1182" i="3"/>
  <c r="F1182" i="3"/>
  <c r="E1182" i="3"/>
  <c r="B1182" i="3"/>
  <c r="A1182" i="3"/>
  <c r="H1181" i="3"/>
  <c r="G1181" i="3"/>
  <c r="F1181" i="3"/>
  <c r="E1181" i="3"/>
  <c r="D1181" i="3"/>
  <c r="C1181" i="3"/>
  <c r="B1181" i="3"/>
  <c r="A1181" i="3"/>
  <c r="H1180" i="3"/>
  <c r="G1180" i="3"/>
  <c r="F1180" i="3"/>
  <c r="E1180" i="3"/>
  <c r="D1180" i="3"/>
  <c r="C1180" i="3"/>
  <c r="B1180" i="3"/>
  <c r="A1180" i="3"/>
  <c r="H1179" i="3"/>
  <c r="G1179" i="3"/>
  <c r="F1179" i="3"/>
  <c r="E1179" i="3"/>
  <c r="D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D1176" i="3"/>
  <c r="C1176" i="3"/>
  <c r="B1176" i="3"/>
  <c r="A1176" i="3"/>
  <c r="H1175" i="3"/>
  <c r="G1175" i="3"/>
  <c r="F1175" i="3"/>
  <c r="E1175" i="3"/>
  <c r="D1175" i="3"/>
  <c r="C1175" i="3"/>
  <c r="B1175" i="3"/>
  <c r="A1175" i="3"/>
  <c r="H1174" i="3"/>
  <c r="G1174" i="3"/>
  <c r="F1174" i="3"/>
  <c r="E1174" i="3"/>
  <c r="D1174" i="3"/>
  <c r="C1174" i="3"/>
  <c r="B1174" i="3"/>
  <c r="A1174" i="3"/>
  <c r="H1173" i="3"/>
  <c r="G1173" i="3"/>
  <c r="F1173" i="3"/>
  <c r="E1173" i="3"/>
  <c r="D1173" i="3"/>
  <c r="C1173" i="3"/>
  <c r="B1173" i="3"/>
  <c r="A1173" i="3"/>
  <c r="H1172" i="3"/>
  <c r="G1172" i="3"/>
  <c r="F1172" i="3"/>
  <c r="E1172" i="3"/>
  <c r="D1172" i="3"/>
  <c r="C1172" i="3"/>
  <c r="B1172" i="3"/>
  <c r="A1172" i="3"/>
  <c r="H1171" i="3"/>
  <c r="G1171" i="3"/>
  <c r="F1171" i="3"/>
  <c r="E1171" i="3"/>
  <c r="C1171" i="3"/>
  <c r="B1171" i="3"/>
  <c r="A1171" i="3"/>
  <c r="H1170" i="3"/>
  <c r="G1170" i="3"/>
  <c r="F1170" i="3"/>
  <c r="E1170" i="3"/>
  <c r="C1170" i="3"/>
  <c r="B1170" i="3"/>
  <c r="A1170" i="3"/>
  <c r="H1169" i="3"/>
  <c r="G1169" i="3"/>
  <c r="F1169" i="3"/>
  <c r="E1169" i="3"/>
  <c r="D1169" i="3"/>
  <c r="C1169" i="3"/>
  <c r="B1169" i="3"/>
  <c r="A1169" i="3"/>
  <c r="H1168" i="3"/>
  <c r="G1168" i="3"/>
  <c r="F1168" i="3"/>
  <c r="E1168" i="3"/>
  <c r="D1168" i="3"/>
  <c r="C1168" i="3"/>
  <c r="B1168" i="3"/>
  <c r="A1168" i="3"/>
  <c r="H1167" i="3"/>
  <c r="G1167" i="3"/>
  <c r="F1167" i="3"/>
  <c r="E1167" i="3"/>
  <c r="D1167" i="3"/>
  <c r="C1167" i="3"/>
  <c r="B1167" i="3"/>
  <c r="A1167" i="3"/>
  <c r="H1166" i="3"/>
  <c r="G1166" i="3"/>
  <c r="F1166" i="3"/>
  <c r="E1166" i="3"/>
  <c r="C1166" i="3"/>
  <c r="B1166" i="3"/>
  <c r="A1166" i="3"/>
  <c r="H1165" i="3"/>
  <c r="G1165" i="3"/>
  <c r="F1165" i="3"/>
  <c r="E1165" i="3"/>
  <c r="D1165" i="3"/>
  <c r="C1165" i="3"/>
  <c r="B1165" i="3"/>
  <c r="A1165" i="3"/>
  <c r="H1164" i="3"/>
  <c r="G1164" i="3"/>
  <c r="F1164" i="3"/>
  <c r="E1164" i="3"/>
  <c r="D1164" i="3"/>
  <c r="C1164" i="3"/>
  <c r="B1164" i="3"/>
  <c r="A1164" i="3"/>
  <c r="H1163" i="3"/>
  <c r="G1163" i="3"/>
  <c r="F1163" i="3"/>
  <c r="E1163" i="3"/>
  <c r="C1163" i="3"/>
  <c r="B1163" i="3"/>
  <c r="A1163" i="3"/>
  <c r="H1162" i="3"/>
  <c r="G1162" i="3"/>
  <c r="F1162" i="3"/>
  <c r="E1162" i="3"/>
  <c r="D1162" i="3"/>
  <c r="C1162" i="3"/>
  <c r="B1162" i="3"/>
  <c r="A1162" i="3"/>
  <c r="H1161" i="3"/>
  <c r="G1161" i="3"/>
  <c r="F1161" i="3"/>
  <c r="E1161" i="3"/>
  <c r="A1161" i="3"/>
  <c r="H1160" i="3"/>
  <c r="G1160" i="3"/>
  <c r="F1160" i="3"/>
  <c r="E1160" i="3"/>
  <c r="D1160" i="3"/>
  <c r="C1160" i="3"/>
  <c r="B1160" i="3"/>
  <c r="A1160" i="3"/>
  <c r="H1159" i="3"/>
  <c r="G1159" i="3"/>
  <c r="F1159" i="3"/>
  <c r="E1159" i="3"/>
  <c r="C1159" i="3"/>
  <c r="B1159" i="3"/>
  <c r="A1159" i="3"/>
  <c r="H1158" i="3"/>
  <c r="G1158" i="3"/>
  <c r="F1158" i="3"/>
  <c r="E1158" i="3"/>
  <c r="D1158" i="3"/>
  <c r="C1158" i="3"/>
  <c r="B1158" i="3"/>
  <c r="A1158" i="3"/>
  <c r="H1157" i="3"/>
  <c r="G1157" i="3"/>
  <c r="F1157" i="3"/>
  <c r="E1157" i="3"/>
  <c r="C1157" i="3"/>
  <c r="B1157" i="3"/>
  <c r="A1157" i="3"/>
  <c r="H1156" i="3"/>
  <c r="G1156" i="3"/>
  <c r="F1156" i="3"/>
  <c r="E1156" i="3"/>
  <c r="C1156" i="3"/>
  <c r="B1156" i="3"/>
  <c r="A1156" i="3"/>
  <c r="H1155" i="3"/>
  <c r="G1155" i="3"/>
  <c r="F1155" i="3"/>
  <c r="E1155" i="3"/>
  <c r="C1155" i="3"/>
  <c r="B1155" i="3"/>
  <c r="A1155" i="3"/>
  <c r="H1154" i="3"/>
  <c r="G1154" i="3"/>
  <c r="F1154" i="3"/>
  <c r="E1154" i="3"/>
  <c r="D1154" i="3"/>
  <c r="C1154" i="3"/>
  <c r="B1154" i="3"/>
  <c r="A1154" i="3"/>
  <c r="H1153" i="3"/>
  <c r="G1153" i="3"/>
  <c r="F1153" i="3"/>
  <c r="E1153" i="3"/>
  <c r="D1153" i="3"/>
  <c r="C1153" i="3"/>
  <c r="B1153" i="3"/>
  <c r="A1153" i="3"/>
  <c r="H1152" i="3"/>
  <c r="G1152" i="3"/>
  <c r="F1152" i="3"/>
  <c r="E1152" i="3"/>
  <c r="D1152" i="3"/>
  <c r="C1152" i="3"/>
  <c r="B1152" i="3"/>
  <c r="A1152" i="3"/>
  <c r="H1151" i="3"/>
  <c r="G1151" i="3"/>
  <c r="F1151" i="3"/>
  <c r="E1151" i="3"/>
  <c r="C1151" i="3"/>
  <c r="B1151" i="3"/>
  <c r="A1151" i="3"/>
  <c r="H1150" i="3"/>
  <c r="G1150" i="3"/>
  <c r="F1150" i="3"/>
  <c r="E1150" i="3"/>
  <c r="C1150" i="3"/>
  <c r="B1150" i="3"/>
  <c r="A1150" i="3"/>
  <c r="H1149" i="3"/>
  <c r="G1149" i="3"/>
  <c r="F1149" i="3"/>
  <c r="E1149" i="3"/>
  <c r="C1149" i="3"/>
  <c r="B1149" i="3"/>
  <c r="A1149" i="3"/>
  <c r="H1148" i="3"/>
  <c r="G1148" i="3"/>
  <c r="F1148" i="3"/>
  <c r="E1148" i="3"/>
  <c r="D1148" i="3"/>
  <c r="C1148" i="3"/>
  <c r="B1148" i="3"/>
  <c r="A1148" i="3"/>
  <c r="H1147" i="3"/>
  <c r="G1147" i="3"/>
  <c r="F1147" i="3"/>
  <c r="E1147" i="3"/>
  <c r="C1147" i="3"/>
  <c r="B1147" i="3"/>
  <c r="A1147" i="3"/>
  <c r="H1146" i="3"/>
  <c r="G1146" i="3"/>
  <c r="F1146" i="3"/>
  <c r="E1146" i="3"/>
  <c r="D1146" i="3"/>
  <c r="C1146" i="3"/>
  <c r="B1146" i="3"/>
  <c r="A1146" i="3"/>
  <c r="H1145" i="3"/>
  <c r="G1145" i="3"/>
  <c r="F1145" i="3"/>
  <c r="E1145" i="3"/>
  <c r="D1145" i="3"/>
  <c r="C1145" i="3"/>
  <c r="B1145" i="3"/>
  <c r="A1145" i="3"/>
  <c r="H1144" i="3"/>
  <c r="G1144" i="3"/>
  <c r="F1144" i="3"/>
  <c r="E1144" i="3"/>
  <c r="D1144" i="3"/>
  <c r="C1144" i="3"/>
  <c r="B1144" i="3"/>
  <c r="A1144" i="3"/>
  <c r="H1143" i="3"/>
  <c r="G1143" i="3"/>
  <c r="F1143" i="3"/>
  <c r="E1143" i="3"/>
  <c r="D1143" i="3"/>
  <c r="C1143" i="3"/>
  <c r="B1143" i="3"/>
  <c r="A1143" i="3"/>
  <c r="H1142" i="3"/>
  <c r="G1142" i="3"/>
  <c r="F1142" i="3"/>
  <c r="E1142" i="3"/>
  <c r="D1142" i="3"/>
  <c r="C1142" i="3"/>
  <c r="B1142" i="3"/>
  <c r="A1142" i="3"/>
  <c r="H1141" i="3"/>
  <c r="G1141" i="3"/>
  <c r="F1141" i="3"/>
  <c r="E1141" i="3"/>
  <c r="C1141" i="3"/>
  <c r="B1141" i="3"/>
  <c r="A1141" i="3"/>
  <c r="H1140" i="3"/>
  <c r="G1140" i="3"/>
  <c r="F1140" i="3"/>
  <c r="E1140" i="3"/>
  <c r="D1140" i="3"/>
  <c r="C1140" i="3"/>
  <c r="B1140" i="3"/>
  <c r="A1140" i="3"/>
  <c r="H1139" i="3"/>
  <c r="G1139" i="3"/>
  <c r="F1139" i="3"/>
  <c r="E1139" i="3"/>
  <c r="D1139" i="3"/>
  <c r="C1139" i="3"/>
  <c r="B1139" i="3"/>
  <c r="A1139" i="3"/>
  <c r="H1138" i="3"/>
  <c r="G1138" i="3"/>
  <c r="F1138" i="3"/>
  <c r="E1138" i="3"/>
  <c r="D1138" i="3"/>
  <c r="C1138" i="3"/>
  <c r="B1138" i="3"/>
  <c r="A1138" i="3"/>
  <c r="H1137" i="3"/>
  <c r="G1137" i="3"/>
  <c r="F1137" i="3"/>
  <c r="E1137" i="3"/>
  <c r="D1137" i="3"/>
  <c r="C1137" i="3"/>
  <c r="B1137" i="3"/>
  <c r="A1137" i="3"/>
  <c r="H1136" i="3"/>
  <c r="G1136" i="3"/>
  <c r="F1136" i="3"/>
  <c r="E1136" i="3"/>
  <c r="D1136" i="3"/>
  <c r="C1136" i="3"/>
  <c r="B1136" i="3"/>
  <c r="A1136" i="3"/>
  <c r="H1135" i="3"/>
  <c r="G1135" i="3"/>
  <c r="F1135" i="3"/>
  <c r="E1135" i="3"/>
  <c r="C1135" i="3"/>
  <c r="B1135" i="3"/>
  <c r="A1135" i="3"/>
  <c r="H1134" i="3"/>
  <c r="G1134" i="3"/>
  <c r="F1134" i="3"/>
  <c r="E1134" i="3"/>
  <c r="D1134" i="3"/>
  <c r="C1134" i="3"/>
  <c r="B1134" i="3"/>
  <c r="A1134" i="3"/>
  <c r="H1133" i="3"/>
  <c r="G1133" i="3"/>
  <c r="F1133" i="3"/>
  <c r="E1133" i="3"/>
  <c r="C1133" i="3"/>
  <c r="A1133" i="3"/>
  <c r="H1132" i="3"/>
  <c r="G1132" i="3"/>
  <c r="F1132" i="3"/>
  <c r="E1132" i="3"/>
  <c r="D1132" i="3"/>
  <c r="C1132" i="3"/>
  <c r="B1132" i="3"/>
  <c r="A1132" i="3"/>
  <c r="H1131" i="3"/>
  <c r="G1131" i="3"/>
  <c r="F1131" i="3"/>
  <c r="E1131" i="3"/>
  <c r="D1131" i="3"/>
  <c r="C1131" i="3"/>
  <c r="B1131" i="3"/>
  <c r="A1131" i="3"/>
  <c r="H1130" i="3"/>
  <c r="G1130" i="3"/>
  <c r="F1130" i="3"/>
  <c r="E1130" i="3"/>
  <c r="B1130" i="3"/>
  <c r="A1130" i="3"/>
  <c r="H1129" i="3"/>
  <c r="G1129" i="3"/>
  <c r="F1129" i="3"/>
  <c r="E1129" i="3"/>
  <c r="D1129" i="3"/>
  <c r="C1129" i="3"/>
  <c r="B1129" i="3"/>
  <c r="A1129" i="3"/>
  <c r="H1128" i="3"/>
  <c r="G1128" i="3"/>
  <c r="F1128" i="3"/>
  <c r="E1128" i="3"/>
  <c r="C1128" i="3"/>
  <c r="B1128" i="3"/>
  <c r="A1128" i="3"/>
  <c r="H1127" i="3"/>
  <c r="G1127" i="3"/>
  <c r="F1127" i="3"/>
  <c r="E1127" i="3"/>
  <c r="D1127" i="3"/>
  <c r="C1127" i="3"/>
  <c r="B1127" i="3"/>
  <c r="A1127" i="3"/>
  <c r="H1126" i="3"/>
  <c r="G1126" i="3"/>
  <c r="F1126" i="3"/>
  <c r="E1126" i="3"/>
  <c r="D1126" i="3"/>
  <c r="C1126" i="3"/>
  <c r="B1126" i="3"/>
  <c r="A1126" i="3"/>
  <c r="H1125" i="3"/>
  <c r="G1125" i="3"/>
  <c r="F1125" i="3"/>
  <c r="E1125" i="3"/>
  <c r="D1125" i="3"/>
  <c r="C1125" i="3"/>
  <c r="B1125" i="3"/>
  <c r="A1125" i="3"/>
  <c r="H1124" i="3"/>
  <c r="G1124" i="3"/>
  <c r="F1124" i="3"/>
  <c r="E1124" i="3"/>
  <c r="D1124" i="3"/>
  <c r="C1124" i="3"/>
  <c r="B1124" i="3"/>
  <c r="A1124" i="3"/>
  <c r="H1123" i="3"/>
  <c r="G1123" i="3"/>
  <c r="F1123" i="3"/>
  <c r="E1123" i="3"/>
  <c r="D1123" i="3"/>
  <c r="C1123" i="3"/>
  <c r="B1123" i="3"/>
  <c r="A1123" i="3"/>
  <c r="H1122" i="3"/>
  <c r="G1122" i="3"/>
  <c r="F1122" i="3"/>
  <c r="E1122" i="3"/>
  <c r="D1122" i="3"/>
  <c r="C1122" i="3"/>
  <c r="B1122" i="3"/>
  <c r="A1122" i="3"/>
  <c r="H1121" i="3"/>
  <c r="G1121" i="3"/>
  <c r="F1121" i="3"/>
  <c r="E1121" i="3"/>
  <c r="D1121" i="3"/>
  <c r="C1121" i="3"/>
  <c r="B1121" i="3"/>
  <c r="A1121" i="3"/>
  <c r="H1120" i="3"/>
  <c r="G1120" i="3"/>
  <c r="F1120" i="3"/>
  <c r="E1120" i="3"/>
  <c r="D1120" i="3"/>
  <c r="C1120" i="3"/>
  <c r="B1120" i="3"/>
  <c r="A1120" i="3"/>
  <c r="H1119" i="3"/>
  <c r="G1119" i="3"/>
  <c r="F1119" i="3"/>
  <c r="E1119" i="3"/>
  <c r="D1119" i="3"/>
  <c r="C1119" i="3"/>
  <c r="A1119" i="3"/>
  <c r="H1118" i="3"/>
  <c r="G1118" i="3"/>
  <c r="F1118" i="3"/>
  <c r="E1118" i="3"/>
  <c r="D1118" i="3"/>
  <c r="C1118" i="3"/>
  <c r="B1118" i="3"/>
  <c r="A1118" i="3"/>
  <c r="H1117" i="3"/>
  <c r="G1117" i="3"/>
  <c r="F1117" i="3"/>
  <c r="E1117" i="3"/>
  <c r="D1117" i="3"/>
  <c r="C1117" i="3"/>
  <c r="B1117" i="3"/>
  <c r="A1117" i="3"/>
  <c r="H1116" i="3"/>
  <c r="G1116" i="3"/>
  <c r="F1116" i="3"/>
  <c r="E1116" i="3"/>
  <c r="B1116" i="3"/>
  <c r="A1116" i="3"/>
  <c r="H1115" i="3"/>
  <c r="G1115" i="3"/>
  <c r="F1115" i="3"/>
  <c r="E1115" i="3"/>
  <c r="D1115" i="3"/>
  <c r="C1115" i="3"/>
  <c r="B1115" i="3"/>
  <c r="A1115" i="3"/>
  <c r="H1114" i="3"/>
  <c r="G1114" i="3"/>
  <c r="F1114" i="3"/>
  <c r="E1114" i="3"/>
  <c r="D1114" i="3"/>
  <c r="C1114" i="3"/>
  <c r="B1114" i="3"/>
  <c r="A1114" i="3"/>
  <c r="H1113" i="3"/>
  <c r="G1113" i="3"/>
  <c r="F1113" i="3"/>
  <c r="E1113" i="3"/>
  <c r="D1113" i="3"/>
  <c r="C1113" i="3"/>
  <c r="B1113" i="3"/>
  <c r="A1113" i="3"/>
  <c r="H1112" i="3"/>
  <c r="G1112" i="3"/>
  <c r="F1112" i="3"/>
  <c r="E1112" i="3"/>
  <c r="D1112" i="3"/>
  <c r="C1112" i="3"/>
  <c r="B1112" i="3"/>
  <c r="A1112" i="3"/>
  <c r="H1111" i="3"/>
  <c r="G1111" i="3"/>
  <c r="F1111" i="3"/>
  <c r="E1111" i="3"/>
  <c r="D1111" i="3"/>
  <c r="C1111" i="3"/>
  <c r="B1111" i="3"/>
  <c r="A1111" i="3"/>
  <c r="H1110" i="3"/>
  <c r="G1110" i="3"/>
  <c r="F1110" i="3"/>
  <c r="E1110" i="3"/>
  <c r="D1110" i="3"/>
  <c r="C1110" i="3"/>
  <c r="B1110" i="3"/>
  <c r="A1110" i="3"/>
  <c r="H1109" i="3"/>
  <c r="G1109" i="3"/>
  <c r="F1109" i="3"/>
  <c r="E1109" i="3"/>
  <c r="D1109" i="3"/>
  <c r="C1109" i="3"/>
  <c r="B1109" i="3"/>
  <c r="A1109" i="3"/>
  <c r="H1108" i="3"/>
  <c r="G1108" i="3"/>
  <c r="F1108" i="3"/>
  <c r="E1108" i="3"/>
  <c r="D1108" i="3"/>
  <c r="C1108" i="3"/>
  <c r="B1108" i="3"/>
  <c r="A1108" i="3"/>
  <c r="H1107" i="3"/>
  <c r="G1107" i="3"/>
  <c r="F1107" i="3"/>
  <c r="E1107" i="3"/>
  <c r="C1107" i="3"/>
  <c r="B1107" i="3"/>
  <c r="A1107" i="3"/>
  <c r="H1106" i="3"/>
  <c r="G1106" i="3"/>
  <c r="F1106" i="3"/>
  <c r="E1106" i="3"/>
  <c r="D1106" i="3"/>
  <c r="C1106" i="3"/>
  <c r="B1106" i="3"/>
  <c r="A1106" i="3"/>
  <c r="H1105" i="3"/>
  <c r="G1105" i="3"/>
  <c r="F1105" i="3"/>
  <c r="E1105" i="3"/>
  <c r="C1105" i="3"/>
  <c r="B1105" i="3"/>
  <c r="A1105" i="3"/>
  <c r="H1104" i="3"/>
  <c r="G1104" i="3"/>
  <c r="F1104" i="3"/>
  <c r="E1104" i="3"/>
  <c r="D1104" i="3"/>
  <c r="C1104" i="3"/>
  <c r="B1104" i="3"/>
  <c r="A1104" i="3"/>
  <c r="H1103" i="3"/>
  <c r="G1103" i="3"/>
  <c r="F1103" i="3"/>
  <c r="E1103" i="3"/>
  <c r="D1103" i="3"/>
  <c r="C1103" i="3"/>
  <c r="B1103" i="3"/>
  <c r="A1103" i="3"/>
  <c r="H1102" i="3"/>
  <c r="G1102" i="3"/>
  <c r="F1102" i="3"/>
  <c r="E1102" i="3"/>
  <c r="D1102" i="3"/>
  <c r="C1102" i="3"/>
  <c r="B1102" i="3"/>
  <c r="A1102" i="3"/>
  <c r="H1101" i="3"/>
  <c r="G1101" i="3"/>
  <c r="F1101" i="3"/>
  <c r="E1101" i="3"/>
  <c r="D1101" i="3"/>
  <c r="C1101" i="3"/>
  <c r="B1101" i="3"/>
  <c r="A1101" i="3"/>
  <c r="H1100" i="3"/>
  <c r="G1100" i="3"/>
  <c r="F1100" i="3"/>
  <c r="E1100" i="3"/>
  <c r="D1100" i="3"/>
  <c r="C1100" i="3"/>
  <c r="B1100" i="3"/>
  <c r="A1100" i="3"/>
  <c r="H1099" i="3"/>
  <c r="G1099" i="3"/>
  <c r="F1099" i="3"/>
  <c r="E1099" i="3"/>
  <c r="D1099" i="3"/>
  <c r="C1099" i="3"/>
  <c r="B1099" i="3"/>
  <c r="A1099" i="3"/>
  <c r="H1098" i="3"/>
  <c r="G1098" i="3"/>
  <c r="F1098" i="3"/>
  <c r="E1098" i="3"/>
  <c r="D1098" i="3"/>
  <c r="C1098" i="3"/>
  <c r="B1098" i="3"/>
  <c r="A1098" i="3"/>
  <c r="H1097" i="3"/>
  <c r="G1097" i="3"/>
  <c r="F1097" i="3"/>
  <c r="E1097" i="3"/>
  <c r="D1097" i="3"/>
  <c r="C1097" i="3"/>
  <c r="B1097" i="3"/>
  <c r="A1097" i="3"/>
  <c r="H1096" i="3"/>
  <c r="G1096" i="3"/>
  <c r="F1096" i="3"/>
  <c r="E1096" i="3"/>
  <c r="D1096" i="3"/>
  <c r="C1096" i="3"/>
  <c r="A1096" i="3"/>
  <c r="H1095" i="3"/>
  <c r="G1095" i="3"/>
  <c r="F1095" i="3"/>
  <c r="E1095" i="3"/>
  <c r="D1095" i="3"/>
  <c r="C1095" i="3"/>
  <c r="B1095" i="3"/>
  <c r="A1095" i="3"/>
  <c r="H1094" i="3"/>
  <c r="G1094" i="3"/>
  <c r="F1094" i="3"/>
  <c r="E1094" i="3"/>
  <c r="C1094" i="3"/>
  <c r="B1094" i="3"/>
  <c r="A1094" i="3"/>
  <c r="H1093" i="3"/>
  <c r="G1093" i="3"/>
  <c r="F1093" i="3"/>
  <c r="E1093" i="3"/>
  <c r="C1093" i="3"/>
  <c r="A1093" i="3"/>
  <c r="H1092" i="3"/>
  <c r="G1092" i="3"/>
  <c r="F1092" i="3"/>
  <c r="E1092" i="3"/>
  <c r="D1092" i="3"/>
  <c r="C1092" i="3"/>
  <c r="A1092" i="3"/>
  <c r="H1091" i="3"/>
  <c r="G1091" i="3"/>
  <c r="F1091" i="3"/>
  <c r="E1091" i="3"/>
  <c r="D1091" i="3"/>
  <c r="C1091" i="3"/>
  <c r="B1091" i="3"/>
  <c r="A1091" i="3"/>
  <c r="H1090" i="3"/>
  <c r="G1090" i="3"/>
  <c r="F1090" i="3"/>
  <c r="E1090" i="3"/>
  <c r="D1090" i="3"/>
  <c r="C1090" i="3"/>
  <c r="B1090" i="3"/>
  <c r="A1090" i="3"/>
  <c r="H1089" i="3"/>
  <c r="G1089" i="3"/>
  <c r="F1089" i="3"/>
  <c r="E1089" i="3"/>
  <c r="C1089" i="3"/>
  <c r="B1089" i="3"/>
  <c r="A1089" i="3"/>
  <c r="H1088" i="3"/>
  <c r="G1088" i="3"/>
  <c r="F1088" i="3"/>
  <c r="E1088" i="3"/>
  <c r="D1088" i="3"/>
  <c r="C1088" i="3"/>
  <c r="B1088" i="3"/>
  <c r="A1088" i="3"/>
  <c r="H1087" i="3"/>
  <c r="G1087" i="3"/>
  <c r="F1087" i="3"/>
  <c r="E1087" i="3"/>
  <c r="D1087" i="3"/>
  <c r="C1087" i="3"/>
  <c r="B1087" i="3"/>
  <c r="A1087" i="3"/>
  <c r="H1086" i="3"/>
  <c r="G1086" i="3"/>
  <c r="F1086" i="3"/>
  <c r="E1086" i="3"/>
  <c r="C1086" i="3"/>
  <c r="B1086" i="3"/>
  <c r="A1086" i="3"/>
  <c r="H1085" i="3"/>
  <c r="G1085" i="3"/>
  <c r="F1085" i="3"/>
  <c r="E1085" i="3"/>
  <c r="D1085" i="3"/>
  <c r="C1085" i="3"/>
  <c r="B1085" i="3"/>
  <c r="A1085" i="3"/>
  <c r="H1084" i="3"/>
  <c r="G1084" i="3"/>
  <c r="F1084" i="3"/>
  <c r="E1084" i="3"/>
  <c r="D1084" i="3"/>
  <c r="C1084" i="3"/>
  <c r="B1084" i="3"/>
  <c r="A1084" i="3"/>
  <c r="H1083" i="3"/>
  <c r="G1083" i="3"/>
  <c r="F1083" i="3"/>
  <c r="E1083" i="3"/>
  <c r="D1083" i="3"/>
  <c r="C1083" i="3"/>
  <c r="B1083" i="3"/>
  <c r="A1083" i="3"/>
  <c r="H1082" i="3"/>
  <c r="G1082" i="3"/>
  <c r="F1082" i="3"/>
  <c r="E1082" i="3"/>
  <c r="D1082" i="3"/>
  <c r="C1082" i="3"/>
  <c r="B1082" i="3"/>
  <c r="A1082" i="3"/>
  <c r="H1081" i="3"/>
  <c r="G1081" i="3"/>
  <c r="F1081" i="3"/>
  <c r="E1081" i="3"/>
  <c r="D1081" i="3"/>
  <c r="C1081" i="3"/>
  <c r="B1081" i="3"/>
  <c r="A1081" i="3"/>
  <c r="H1080" i="3"/>
  <c r="G1080" i="3"/>
  <c r="F1080" i="3"/>
  <c r="E1080" i="3"/>
  <c r="D1080" i="3"/>
  <c r="C1080" i="3"/>
  <c r="B1080" i="3"/>
  <c r="A1080" i="3"/>
  <c r="H1079" i="3"/>
  <c r="G1079" i="3"/>
  <c r="F1079" i="3"/>
  <c r="E1079" i="3"/>
  <c r="D1079" i="3"/>
  <c r="C1079" i="3"/>
  <c r="B1079" i="3"/>
  <c r="A1079" i="3"/>
  <c r="H1078" i="3"/>
  <c r="G1078" i="3"/>
  <c r="F1078" i="3"/>
  <c r="E1078" i="3"/>
  <c r="D1078" i="3"/>
  <c r="C1078" i="3"/>
  <c r="B1078" i="3"/>
  <c r="A1078" i="3"/>
  <c r="H1077" i="3"/>
  <c r="G1077" i="3"/>
  <c r="F1077" i="3"/>
  <c r="E1077" i="3"/>
  <c r="D1077" i="3"/>
  <c r="C1077" i="3"/>
  <c r="B1077" i="3"/>
  <c r="A1077" i="3"/>
  <c r="H1076" i="3"/>
  <c r="G1076" i="3"/>
  <c r="F1076" i="3"/>
  <c r="E1076" i="3"/>
  <c r="D1076" i="3"/>
  <c r="C1076" i="3"/>
  <c r="B1076" i="3"/>
  <c r="A1076" i="3"/>
  <c r="H1075" i="3"/>
  <c r="G1075" i="3"/>
  <c r="F1075" i="3"/>
  <c r="E1075" i="3"/>
  <c r="D1075" i="3"/>
  <c r="C1075" i="3"/>
  <c r="B1075" i="3"/>
  <c r="A1075" i="3"/>
  <c r="H1074" i="3"/>
  <c r="G1074" i="3"/>
  <c r="F1074" i="3"/>
  <c r="E1074" i="3"/>
  <c r="D1074" i="3"/>
  <c r="C1074" i="3"/>
  <c r="B1074" i="3"/>
  <c r="A1074" i="3"/>
  <c r="H1073" i="3"/>
  <c r="G1073" i="3"/>
  <c r="F1073" i="3"/>
  <c r="E1073" i="3"/>
  <c r="C1073" i="3"/>
  <c r="B1073" i="3"/>
  <c r="A1073" i="3"/>
  <c r="H1072" i="3"/>
  <c r="G1072" i="3"/>
  <c r="F1072" i="3"/>
  <c r="E1072" i="3"/>
  <c r="D1072" i="3"/>
  <c r="C1072" i="3"/>
  <c r="B1072" i="3"/>
  <c r="A1072" i="3"/>
  <c r="H1071" i="3"/>
  <c r="G1071" i="3"/>
  <c r="F1071" i="3"/>
  <c r="E1071" i="3"/>
  <c r="D1071" i="3"/>
  <c r="C1071" i="3"/>
  <c r="B1071" i="3"/>
  <c r="A1071" i="3"/>
  <c r="H1070" i="3"/>
  <c r="G1070" i="3"/>
  <c r="F1070" i="3"/>
  <c r="E1070" i="3"/>
  <c r="D1070" i="3"/>
  <c r="C1070" i="3"/>
  <c r="B1070" i="3"/>
  <c r="A1070" i="3"/>
  <c r="H1069" i="3"/>
  <c r="G1069" i="3"/>
  <c r="F1069" i="3"/>
  <c r="E1069" i="3"/>
  <c r="D1069" i="3"/>
  <c r="C1069" i="3"/>
  <c r="B1069" i="3"/>
  <c r="A1069" i="3"/>
  <c r="H1068" i="3"/>
  <c r="G1068" i="3"/>
  <c r="F1068" i="3"/>
  <c r="E1068" i="3"/>
  <c r="A1068" i="3"/>
  <c r="H1067" i="3"/>
  <c r="G1067" i="3"/>
  <c r="F1067" i="3"/>
  <c r="E1067" i="3"/>
  <c r="D1067" i="3"/>
  <c r="C1067" i="3"/>
  <c r="B1067" i="3"/>
  <c r="A1067" i="3"/>
  <c r="H1066" i="3"/>
  <c r="G1066" i="3"/>
  <c r="F1066" i="3"/>
  <c r="E1066" i="3"/>
  <c r="C1066" i="3"/>
  <c r="A1066" i="3"/>
  <c r="H1065" i="3"/>
  <c r="G1065" i="3"/>
  <c r="F1065" i="3"/>
  <c r="E1065" i="3"/>
  <c r="D1065" i="3"/>
  <c r="C1065" i="3"/>
  <c r="B1065" i="3"/>
  <c r="A1065" i="3"/>
  <c r="H1064" i="3"/>
  <c r="G1064" i="3"/>
  <c r="F1064" i="3"/>
  <c r="E1064" i="3"/>
  <c r="D1064" i="3"/>
  <c r="C1064" i="3"/>
  <c r="B1064" i="3"/>
  <c r="A1064" i="3"/>
  <c r="H1063" i="3"/>
  <c r="G1063" i="3"/>
  <c r="F1063" i="3"/>
  <c r="E1063" i="3"/>
  <c r="C1063" i="3"/>
  <c r="B1063" i="3"/>
  <c r="A1063" i="3"/>
  <c r="H1062" i="3"/>
  <c r="G1062" i="3"/>
  <c r="F1062" i="3"/>
  <c r="E1062" i="3"/>
  <c r="C1062" i="3"/>
  <c r="B1062" i="3"/>
  <c r="A1062" i="3"/>
  <c r="H1061" i="3"/>
  <c r="G1061" i="3"/>
  <c r="F1061" i="3"/>
  <c r="E1061" i="3"/>
  <c r="C1061" i="3"/>
  <c r="B1061" i="3"/>
  <c r="A1061" i="3"/>
  <c r="H1060" i="3"/>
  <c r="G1060" i="3"/>
  <c r="F1060" i="3"/>
  <c r="E1060" i="3"/>
  <c r="D1060" i="3"/>
  <c r="C1060" i="3"/>
  <c r="A1060" i="3"/>
  <c r="H1059" i="3"/>
  <c r="G1059" i="3"/>
  <c r="F1059" i="3"/>
  <c r="E1059" i="3"/>
  <c r="D1059" i="3"/>
  <c r="C1059" i="3"/>
  <c r="B1059" i="3"/>
  <c r="A1059" i="3"/>
  <c r="H1058" i="3"/>
  <c r="G1058" i="3"/>
  <c r="F1058" i="3"/>
  <c r="E1058" i="3"/>
  <c r="D1058" i="3"/>
  <c r="C1058" i="3"/>
  <c r="B1058" i="3"/>
  <c r="A1058" i="3"/>
  <c r="H1057" i="3"/>
  <c r="G1057" i="3"/>
  <c r="F1057" i="3"/>
  <c r="E1057" i="3"/>
  <c r="D1057" i="3"/>
  <c r="C1057" i="3"/>
  <c r="B1057" i="3"/>
  <c r="A1057" i="3"/>
  <c r="H1056" i="3"/>
  <c r="G1056" i="3"/>
  <c r="F1056" i="3"/>
  <c r="E1056" i="3"/>
  <c r="D1056" i="3"/>
  <c r="C1056" i="3"/>
  <c r="B1056" i="3"/>
  <c r="A1056" i="3"/>
  <c r="H1055" i="3"/>
  <c r="G1055" i="3"/>
  <c r="F1055" i="3"/>
  <c r="E1055" i="3"/>
  <c r="D1055" i="3"/>
  <c r="C1055" i="3"/>
  <c r="B1055" i="3"/>
  <c r="A1055" i="3"/>
  <c r="H1054" i="3"/>
  <c r="G1054" i="3"/>
  <c r="F1054" i="3"/>
  <c r="E1054" i="3"/>
  <c r="C1054" i="3"/>
  <c r="B1054" i="3"/>
  <c r="A1054" i="3"/>
  <c r="H1053" i="3"/>
  <c r="G1053" i="3"/>
  <c r="F1053" i="3"/>
  <c r="E1053" i="3"/>
  <c r="D1053" i="3"/>
  <c r="C1053" i="3"/>
  <c r="B1053" i="3"/>
  <c r="A1053" i="3"/>
  <c r="H1052" i="3"/>
  <c r="G1052" i="3"/>
  <c r="F1052" i="3"/>
  <c r="E1052" i="3"/>
  <c r="C1052" i="3"/>
  <c r="A1052" i="3"/>
  <c r="H1051" i="3"/>
  <c r="G1051" i="3"/>
  <c r="F1051" i="3"/>
  <c r="E1051" i="3"/>
  <c r="A1051" i="3"/>
  <c r="H1050" i="3"/>
  <c r="G1050" i="3"/>
  <c r="F1050" i="3"/>
  <c r="E1050" i="3"/>
  <c r="C1050" i="3"/>
  <c r="B1050" i="3"/>
  <c r="A1050" i="3"/>
  <c r="H1049" i="3"/>
  <c r="G1049" i="3"/>
  <c r="F1049" i="3"/>
  <c r="E1049" i="3"/>
  <c r="D1049" i="3"/>
  <c r="C1049" i="3"/>
  <c r="B1049" i="3"/>
  <c r="A1049" i="3"/>
  <c r="H1048" i="3"/>
  <c r="G1048" i="3"/>
  <c r="F1048" i="3"/>
  <c r="E1048" i="3"/>
  <c r="D1048" i="3"/>
  <c r="C1048" i="3"/>
  <c r="A1048" i="3"/>
  <c r="H1047" i="3"/>
  <c r="G1047" i="3"/>
  <c r="F1047" i="3"/>
  <c r="E1047" i="3"/>
  <c r="C1047" i="3"/>
  <c r="B1047" i="3"/>
  <c r="A1047" i="3"/>
  <c r="H1046" i="3"/>
  <c r="G1046" i="3"/>
  <c r="F1046" i="3"/>
  <c r="E1046" i="3"/>
  <c r="D1046" i="3"/>
  <c r="C1046" i="3"/>
  <c r="B1046" i="3"/>
  <c r="A1046" i="3"/>
  <c r="H1045" i="3"/>
  <c r="G1045" i="3"/>
  <c r="F1045" i="3"/>
  <c r="E1045" i="3"/>
  <c r="A1045" i="3"/>
  <c r="H1044" i="3"/>
  <c r="G1044" i="3"/>
  <c r="F1044" i="3"/>
  <c r="E1044" i="3"/>
  <c r="D1044" i="3"/>
  <c r="C1044" i="3"/>
  <c r="B1044" i="3"/>
  <c r="A1044" i="3"/>
  <c r="H1043" i="3"/>
  <c r="G1043" i="3"/>
  <c r="F1043" i="3"/>
  <c r="E1043" i="3"/>
  <c r="D1043" i="3"/>
  <c r="C1043" i="3"/>
  <c r="B1043" i="3"/>
  <c r="A1043" i="3"/>
  <c r="H1042" i="3"/>
  <c r="G1042" i="3"/>
  <c r="F1042" i="3"/>
  <c r="E1042" i="3"/>
  <c r="D1042" i="3"/>
  <c r="C1042" i="3"/>
  <c r="B1042" i="3"/>
  <c r="A1042" i="3"/>
  <c r="H1041" i="3"/>
  <c r="G1041" i="3"/>
  <c r="F1041" i="3"/>
  <c r="E1041" i="3"/>
  <c r="D1041" i="3"/>
  <c r="C1041" i="3"/>
  <c r="B1041" i="3"/>
  <c r="A1041" i="3"/>
  <c r="H1040" i="3"/>
  <c r="G1040" i="3"/>
  <c r="F1040" i="3"/>
  <c r="E1040" i="3"/>
  <c r="C1040" i="3"/>
  <c r="A1040" i="3"/>
  <c r="H1039" i="3"/>
  <c r="G1039" i="3"/>
  <c r="F1039" i="3"/>
  <c r="E1039" i="3"/>
  <c r="C1039" i="3"/>
  <c r="B1039" i="3"/>
  <c r="A1039" i="3"/>
  <c r="H1038" i="3"/>
  <c r="G1038" i="3"/>
  <c r="F1038" i="3"/>
  <c r="E1038" i="3"/>
  <c r="D1038" i="3"/>
  <c r="C1038" i="3"/>
  <c r="B1038" i="3"/>
  <c r="A1038" i="3"/>
  <c r="H1037" i="3"/>
  <c r="G1037" i="3"/>
  <c r="F1037" i="3"/>
  <c r="E1037" i="3"/>
  <c r="D1037" i="3"/>
  <c r="C1037" i="3"/>
  <c r="B1037" i="3"/>
  <c r="A1037" i="3"/>
  <c r="H1036" i="3"/>
  <c r="G1036" i="3"/>
  <c r="F1036" i="3"/>
  <c r="E1036" i="3"/>
  <c r="D1036" i="3"/>
  <c r="C1036" i="3"/>
  <c r="B1036" i="3"/>
  <c r="A1036" i="3"/>
  <c r="H1035" i="3"/>
  <c r="G1035" i="3"/>
  <c r="F1035" i="3"/>
  <c r="E1035" i="3"/>
  <c r="D1035" i="3"/>
  <c r="C1035" i="3"/>
  <c r="B1035" i="3"/>
  <c r="A1035" i="3"/>
  <c r="H1034" i="3"/>
  <c r="G1034" i="3"/>
  <c r="F1034" i="3"/>
  <c r="E1034" i="3"/>
  <c r="C1034" i="3"/>
  <c r="B1034" i="3"/>
  <c r="A1034" i="3"/>
  <c r="H1033" i="3"/>
  <c r="G1033" i="3"/>
  <c r="F1033" i="3"/>
  <c r="E1033" i="3"/>
  <c r="D1033" i="3"/>
  <c r="C1033" i="3"/>
  <c r="B1033" i="3"/>
  <c r="A1033" i="3"/>
  <c r="H1032" i="3"/>
  <c r="G1032" i="3"/>
  <c r="F1032" i="3"/>
  <c r="E1032" i="3"/>
  <c r="D1032" i="3"/>
  <c r="C1032" i="3"/>
  <c r="A1032" i="3"/>
  <c r="H1031" i="3"/>
  <c r="G1031" i="3"/>
  <c r="F1031" i="3"/>
  <c r="E1031" i="3"/>
  <c r="D1031" i="3"/>
  <c r="C1031" i="3"/>
  <c r="B1031" i="3"/>
  <c r="A1031" i="3"/>
  <c r="H1030" i="3"/>
  <c r="G1030" i="3"/>
  <c r="F1030" i="3"/>
  <c r="E1030" i="3"/>
  <c r="D1030" i="3"/>
  <c r="C1030" i="3"/>
  <c r="B1030" i="3"/>
  <c r="A1030" i="3"/>
  <c r="H1029" i="3"/>
  <c r="G1029" i="3"/>
  <c r="F1029" i="3"/>
  <c r="E1029" i="3"/>
  <c r="D1029" i="3"/>
  <c r="C1029" i="3"/>
  <c r="B1029" i="3"/>
  <c r="A1029" i="3"/>
  <c r="H1028" i="3"/>
  <c r="G1028" i="3"/>
  <c r="F1028" i="3"/>
  <c r="E1028" i="3"/>
  <c r="C1028" i="3"/>
  <c r="A1028" i="3"/>
  <c r="H1027" i="3"/>
  <c r="G1027" i="3"/>
  <c r="F1027" i="3"/>
  <c r="E1027" i="3"/>
  <c r="C1027" i="3"/>
  <c r="B1027" i="3"/>
  <c r="A1027" i="3"/>
  <c r="H1026" i="3"/>
  <c r="G1026" i="3"/>
  <c r="F1026" i="3"/>
  <c r="E1026" i="3"/>
  <c r="C1026" i="3"/>
  <c r="B1026" i="3"/>
  <c r="A1026" i="3"/>
  <c r="H1025" i="3"/>
  <c r="G1025" i="3"/>
  <c r="F1025" i="3"/>
  <c r="E1025" i="3"/>
  <c r="C1025" i="3"/>
  <c r="B1025" i="3"/>
  <c r="A1025" i="3"/>
  <c r="H1024" i="3"/>
  <c r="G1024" i="3"/>
  <c r="F1024" i="3"/>
  <c r="E1024" i="3"/>
  <c r="D1024" i="3"/>
  <c r="C1024" i="3"/>
  <c r="B1024" i="3"/>
  <c r="A1024" i="3"/>
  <c r="H1023" i="3"/>
  <c r="G1023" i="3"/>
  <c r="F1023" i="3"/>
  <c r="E1023" i="3"/>
  <c r="C1023" i="3"/>
  <c r="B1023" i="3"/>
  <c r="A1023" i="3"/>
  <c r="H1022" i="3"/>
  <c r="G1022" i="3"/>
  <c r="F1022" i="3"/>
  <c r="E1022" i="3"/>
  <c r="C1022" i="3"/>
  <c r="B1022" i="3"/>
  <c r="A1022" i="3"/>
  <c r="H1021" i="3"/>
  <c r="G1021" i="3"/>
  <c r="F1021" i="3"/>
  <c r="E1021" i="3"/>
  <c r="C1021" i="3"/>
  <c r="B1021" i="3"/>
  <c r="A1021" i="3"/>
  <c r="H1020" i="3"/>
  <c r="G1020" i="3"/>
  <c r="F1020" i="3"/>
  <c r="E1020" i="3"/>
  <c r="D1020" i="3"/>
  <c r="C1020" i="3"/>
  <c r="B1020" i="3"/>
  <c r="A1020" i="3"/>
  <c r="H1019" i="3"/>
  <c r="G1019" i="3"/>
  <c r="F1019" i="3"/>
  <c r="E1019" i="3"/>
  <c r="D1019" i="3"/>
  <c r="C1019" i="3"/>
  <c r="B1019" i="3"/>
  <c r="A1019" i="3"/>
  <c r="H1018" i="3"/>
  <c r="G1018" i="3"/>
  <c r="F1018" i="3"/>
  <c r="E1018" i="3"/>
  <c r="D1018" i="3"/>
  <c r="C1018" i="3"/>
  <c r="B1018" i="3"/>
  <c r="A1018" i="3"/>
  <c r="H1017" i="3"/>
  <c r="G1017" i="3"/>
  <c r="F1017" i="3"/>
  <c r="E1017" i="3"/>
  <c r="D1017" i="3"/>
  <c r="C1017" i="3"/>
  <c r="B1017" i="3"/>
  <c r="A1017" i="3"/>
  <c r="H1016" i="3"/>
  <c r="G1016" i="3"/>
  <c r="F1016" i="3"/>
  <c r="E1016" i="3"/>
  <c r="C1016" i="3"/>
  <c r="B1016" i="3"/>
  <c r="A1016" i="3"/>
  <c r="H1015" i="3"/>
  <c r="G1015" i="3"/>
  <c r="F1015" i="3"/>
  <c r="E1015" i="3"/>
  <c r="D1015" i="3"/>
  <c r="C1015" i="3"/>
  <c r="B1015" i="3"/>
  <c r="A1015" i="3"/>
  <c r="H1014" i="3"/>
  <c r="G1014" i="3"/>
  <c r="F1014" i="3"/>
  <c r="E1014" i="3"/>
  <c r="D1014" i="3"/>
  <c r="C1014" i="3"/>
  <c r="B1014" i="3"/>
  <c r="A1014" i="3"/>
  <c r="H1013" i="3"/>
  <c r="G1013" i="3"/>
  <c r="F1013" i="3"/>
  <c r="E1013" i="3"/>
  <c r="D1013" i="3"/>
  <c r="C1013" i="3"/>
  <c r="B1013" i="3"/>
  <c r="A1013" i="3"/>
  <c r="H1012" i="3"/>
  <c r="G1012" i="3"/>
  <c r="F1012" i="3"/>
  <c r="E1012" i="3"/>
  <c r="D1012" i="3"/>
  <c r="C1012" i="3"/>
  <c r="B1012" i="3"/>
  <c r="A1012" i="3"/>
  <c r="H1011" i="3"/>
  <c r="G1011" i="3"/>
  <c r="F1011" i="3"/>
  <c r="E1011" i="3"/>
  <c r="D1011" i="3"/>
  <c r="C1011" i="3"/>
  <c r="B1011" i="3"/>
  <c r="A1011" i="3"/>
  <c r="H1010" i="3"/>
  <c r="G1010" i="3"/>
  <c r="F1010" i="3"/>
  <c r="E1010" i="3"/>
  <c r="D1010" i="3"/>
  <c r="C1010" i="3"/>
  <c r="B1010" i="3"/>
  <c r="A1010" i="3"/>
  <c r="H1009" i="3"/>
  <c r="G1009" i="3"/>
  <c r="F1009" i="3"/>
  <c r="E1009" i="3"/>
  <c r="D1009" i="3"/>
  <c r="C1009" i="3"/>
  <c r="B1009" i="3"/>
  <c r="A1009" i="3"/>
  <c r="H1008" i="3"/>
  <c r="G1008" i="3"/>
  <c r="F1008" i="3"/>
  <c r="E1008" i="3"/>
  <c r="D1008" i="3"/>
  <c r="C1008" i="3"/>
  <c r="B1008" i="3"/>
  <c r="A1008" i="3"/>
  <c r="H1007" i="3"/>
  <c r="G1007" i="3"/>
  <c r="F1007" i="3"/>
  <c r="E1007" i="3"/>
  <c r="C1007" i="3"/>
  <c r="B1007" i="3"/>
  <c r="A1007" i="3"/>
  <c r="H1006" i="3"/>
  <c r="G1006" i="3"/>
  <c r="F1006" i="3"/>
  <c r="E1006" i="3"/>
  <c r="C1006" i="3"/>
  <c r="B1006" i="3"/>
  <c r="A1006" i="3"/>
  <c r="H1005" i="3"/>
  <c r="G1005" i="3"/>
  <c r="F1005" i="3"/>
  <c r="E1005" i="3"/>
  <c r="C1005" i="3"/>
  <c r="B1005" i="3"/>
  <c r="A1005" i="3"/>
  <c r="H1004" i="3"/>
  <c r="G1004" i="3"/>
  <c r="F1004" i="3"/>
  <c r="E1004" i="3"/>
  <c r="C1004" i="3"/>
  <c r="B1004" i="3"/>
  <c r="A1004" i="3"/>
  <c r="H1003" i="3"/>
  <c r="G1003" i="3"/>
  <c r="F1003" i="3"/>
  <c r="E1003" i="3"/>
  <c r="D1003" i="3"/>
  <c r="C1003" i="3"/>
  <c r="B1003" i="3"/>
  <c r="A1003" i="3"/>
  <c r="H1002" i="3"/>
  <c r="G1002" i="3"/>
  <c r="F1002" i="3"/>
  <c r="E1002" i="3"/>
  <c r="D1002" i="3"/>
  <c r="C1002" i="3"/>
  <c r="B1002" i="3"/>
  <c r="A1002" i="3"/>
  <c r="H1001" i="3"/>
  <c r="G1001" i="3"/>
  <c r="F1001" i="3"/>
  <c r="E1001" i="3"/>
  <c r="A1001" i="3"/>
  <c r="H1000" i="3"/>
  <c r="G1000" i="3"/>
  <c r="F1000" i="3"/>
  <c r="E1000" i="3"/>
  <c r="A1000" i="3"/>
  <c r="H999" i="3"/>
  <c r="G999" i="3"/>
  <c r="F999" i="3"/>
  <c r="E999" i="3"/>
  <c r="D999" i="3"/>
  <c r="C999" i="3"/>
  <c r="B999" i="3"/>
  <c r="A999" i="3"/>
  <c r="H998" i="3"/>
  <c r="G998" i="3"/>
  <c r="F998" i="3"/>
  <c r="E998" i="3"/>
  <c r="C998" i="3"/>
  <c r="B998" i="3"/>
  <c r="A998" i="3"/>
  <c r="H997" i="3"/>
  <c r="G997" i="3"/>
  <c r="F997" i="3"/>
  <c r="E997" i="3"/>
  <c r="C997" i="3"/>
  <c r="A997" i="3"/>
  <c r="H996" i="3"/>
  <c r="G996" i="3"/>
  <c r="F996" i="3"/>
  <c r="E996" i="3"/>
  <c r="C996" i="3"/>
  <c r="B996" i="3"/>
  <c r="A996" i="3"/>
  <c r="H995" i="3"/>
  <c r="G995" i="3"/>
  <c r="F995" i="3"/>
  <c r="E995" i="3"/>
  <c r="A995" i="3"/>
  <c r="H994" i="3"/>
  <c r="G994" i="3"/>
  <c r="F994" i="3"/>
  <c r="E994" i="3"/>
  <c r="C994" i="3"/>
  <c r="B994" i="3"/>
  <c r="A994" i="3"/>
  <c r="H993" i="3"/>
  <c r="G993" i="3"/>
  <c r="F993" i="3"/>
  <c r="E993" i="3"/>
  <c r="C993" i="3"/>
  <c r="B993" i="3"/>
  <c r="A993" i="3"/>
  <c r="H992" i="3"/>
  <c r="G992" i="3"/>
  <c r="F992" i="3"/>
  <c r="E992" i="3"/>
  <c r="C992" i="3"/>
  <c r="A992" i="3"/>
  <c r="H991" i="3"/>
  <c r="G991" i="3"/>
  <c r="F991" i="3"/>
  <c r="E991" i="3"/>
  <c r="D991" i="3"/>
  <c r="C991" i="3"/>
  <c r="B991" i="3"/>
  <c r="A991" i="3"/>
  <c r="H990" i="3"/>
  <c r="G990" i="3"/>
  <c r="F990" i="3"/>
  <c r="E990" i="3"/>
  <c r="A990" i="3"/>
  <c r="H989" i="3"/>
  <c r="G989" i="3"/>
  <c r="F989" i="3"/>
  <c r="E989" i="3"/>
  <c r="D989" i="3"/>
  <c r="C989" i="3"/>
  <c r="B989" i="3"/>
  <c r="A989" i="3"/>
  <c r="H988" i="3"/>
  <c r="G988" i="3"/>
  <c r="F988" i="3"/>
  <c r="E988" i="3"/>
  <c r="C988" i="3"/>
  <c r="B988" i="3"/>
  <c r="A988" i="3"/>
  <c r="H987" i="3"/>
  <c r="G987" i="3"/>
  <c r="F987" i="3"/>
  <c r="E987" i="3"/>
  <c r="A987" i="3"/>
  <c r="H986" i="3"/>
  <c r="G986" i="3"/>
  <c r="F986" i="3"/>
  <c r="E986" i="3"/>
  <c r="A986" i="3"/>
  <c r="H985" i="3"/>
  <c r="G985" i="3"/>
  <c r="F985" i="3"/>
  <c r="E985" i="3"/>
  <c r="D985" i="3"/>
  <c r="C985" i="3"/>
  <c r="B985" i="3"/>
  <c r="A985" i="3"/>
  <c r="H984" i="3"/>
  <c r="G984" i="3"/>
  <c r="F984" i="3"/>
  <c r="E984" i="3"/>
  <c r="D984" i="3"/>
  <c r="C984" i="3"/>
  <c r="B984" i="3"/>
  <c r="A984" i="3"/>
  <c r="H983" i="3"/>
  <c r="G983" i="3"/>
  <c r="F983" i="3"/>
  <c r="E983" i="3"/>
  <c r="D983" i="3"/>
  <c r="C983" i="3"/>
  <c r="B983" i="3"/>
  <c r="A983" i="3"/>
  <c r="H982" i="3"/>
  <c r="G982" i="3"/>
  <c r="F982" i="3"/>
  <c r="E982" i="3"/>
  <c r="C982" i="3"/>
  <c r="A982" i="3"/>
  <c r="H981" i="3"/>
  <c r="G981" i="3"/>
  <c r="F981" i="3"/>
  <c r="E981" i="3"/>
  <c r="C981" i="3"/>
  <c r="B981" i="3"/>
  <c r="A981" i="3"/>
  <c r="H980" i="3"/>
  <c r="G980" i="3"/>
  <c r="F980" i="3"/>
  <c r="E980" i="3"/>
  <c r="C980" i="3"/>
  <c r="B980" i="3"/>
  <c r="A980" i="3"/>
  <c r="H979" i="3"/>
  <c r="G979" i="3"/>
  <c r="F979" i="3"/>
  <c r="E979" i="3"/>
  <c r="C979" i="3"/>
  <c r="B979" i="3"/>
  <c r="A979" i="3"/>
  <c r="H978" i="3"/>
  <c r="G978" i="3"/>
  <c r="F978" i="3"/>
  <c r="E978" i="3"/>
  <c r="C978" i="3"/>
  <c r="B978" i="3"/>
  <c r="A978" i="3"/>
  <c r="H977" i="3"/>
  <c r="G977" i="3"/>
  <c r="F977" i="3"/>
  <c r="E977" i="3"/>
  <c r="C977" i="3"/>
  <c r="B977" i="3"/>
  <c r="A977" i="3"/>
  <c r="H976" i="3"/>
  <c r="G976" i="3"/>
  <c r="F976" i="3"/>
  <c r="E976" i="3"/>
  <c r="D976" i="3"/>
  <c r="C976" i="3"/>
  <c r="B976" i="3"/>
  <c r="A976" i="3"/>
  <c r="H975" i="3"/>
  <c r="G975" i="3"/>
  <c r="F975" i="3"/>
  <c r="E975" i="3"/>
  <c r="C975" i="3"/>
  <c r="B975" i="3"/>
  <c r="A975" i="3"/>
  <c r="H974" i="3"/>
  <c r="G974" i="3"/>
  <c r="F974" i="3"/>
  <c r="E974" i="3"/>
  <c r="D974" i="3"/>
  <c r="C974" i="3"/>
  <c r="B974" i="3"/>
  <c r="A974" i="3"/>
  <c r="H973" i="3"/>
  <c r="G973" i="3"/>
  <c r="F973" i="3"/>
  <c r="E973" i="3"/>
  <c r="C973" i="3"/>
  <c r="B973" i="3"/>
  <c r="A973" i="3"/>
  <c r="H972" i="3"/>
  <c r="G972" i="3"/>
  <c r="F972" i="3"/>
  <c r="E972" i="3"/>
  <c r="C972" i="3"/>
  <c r="B972" i="3"/>
  <c r="A972" i="3"/>
  <c r="H971" i="3"/>
  <c r="G971" i="3"/>
  <c r="F971" i="3"/>
  <c r="E971" i="3"/>
  <c r="C971" i="3"/>
  <c r="A971" i="3"/>
  <c r="H970" i="3"/>
  <c r="G970" i="3"/>
  <c r="F970" i="3"/>
  <c r="E970" i="3"/>
  <c r="B970" i="3"/>
  <c r="A970" i="3"/>
  <c r="H969" i="3"/>
  <c r="G969" i="3"/>
  <c r="F969" i="3"/>
  <c r="E969" i="3"/>
  <c r="D969" i="3"/>
  <c r="C969" i="3"/>
  <c r="B969" i="3"/>
  <c r="A969" i="3"/>
  <c r="H968" i="3"/>
  <c r="G968" i="3"/>
  <c r="F968" i="3"/>
  <c r="E968" i="3"/>
  <c r="D968" i="3"/>
  <c r="C968" i="3"/>
  <c r="B968" i="3"/>
  <c r="A968" i="3"/>
  <c r="H967" i="3"/>
  <c r="G967" i="3"/>
  <c r="F967" i="3"/>
  <c r="E967" i="3"/>
  <c r="C967" i="3"/>
  <c r="B967" i="3"/>
  <c r="A967" i="3"/>
  <c r="H966" i="3"/>
  <c r="G966" i="3"/>
  <c r="F966" i="3"/>
  <c r="E966" i="3"/>
  <c r="B966" i="3"/>
  <c r="A966" i="3"/>
  <c r="H965" i="3"/>
  <c r="G965" i="3"/>
  <c r="F965" i="3"/>
  <c r="E965" i="3"/>
  <c r="D965" i="3"/>
  <c r="C965" i="3"/>
  <c r="B965" i="3"/>
  <c r="A965" i="3"/>
  <c r="H964" i="3"/>
  <c r="G964" i="3"/>
  <c r="F964" i="3"/>
  <c r="E964" i="3"/>
  <c r="A964" i="3"/>
  <c r="H963" i="3"/>
  <c r="G963" i="3"/>
  <c r="F963" i="3"/>
  <c r="E963" i="3"/>
  <c r="D963" i="3"/>
  <c r="C963" i="3"/>
  <c r="B963" i="3"/>
  <c r="A963" i="3"/>
  <c r="H962" i="3"/>
  <c r="G962" i="3"/>
  <c r="F962" i="3"/>
  <c r="E962" i="3"/>
  <c r="D962" i="3"/>
  <c r="C962" i="3"/>
  <c r="B962" i="3"/>
  <c r="A962" i="3"/>
  <c r="H961" i="3"/>
  <c r="G961" i="3"/>
  <c r="F961" i="3"/>
  <c r="E961" i="3"/>
  <c r="C961" i="3"/>
  <c r="B961" i="3"/>
  <c r="A961" i="3"/>
  <c r="H960" i="3"/>
  <c r="G960" i="3"/>
  <c r="F960" i="3"/>
  <c r="E960" i="3"/>
  <c r="C960" i="3"/>
  <c r="B960" i="3"/>
  <c r="A960" i="3"/>
  <c r="H959" i="3"/>
  <c r="G959" i="3"/>
  <c r="F959" i="3"/>
  <c r="E959" i="3"/>
  <c r="D959" i="3"/>
  <c r="C959" i="3"/>
  <c r="B959" i="3"/>
  <c r="A959" i="3"/>
  <c r="H958" i="3"/>
  <c r="G958" i="3"/>
  <c r="F958" i="3"/>
  <c r="E958" i="3"/>
  <c r="D958" i="3"/>
  <c r="C958" i="3"/>
  <c r="B958" i="3"/>
  <c r="A958" i="3"/>
  <c r="H957" i="3"/>
  <c r="G957" i="3"/>
  <c r="F957" i="3"/>
  <c r="E957" i="3"/>
  <c r="D957" i="3"/>
  <c r="C957" i="3"/>
  <c r="B957" i="3"/>
  <c r="A957" i="3"/>
  <c r="H956" i="3"/>
  <c r="G956" i="3"/>
  <c r="F956" i="3"/>
  <c r="E956" i="3"/>
  <c r="D956" i="3"/>
  <c r="C956" i="3"/>
  <c r="B956" i="3"/>
  <c r="A956" i="3"/>
  <c r="H955" i="3"/>
  <c r="G955" i="3"/>
  <c r="F955" i="3"/>
  <c r="E955" i="3"/>
  <c r="D955" i="3"/>
  <c r="C955" i="3"/>
  <c r="B955" i="3"/>
  <c r="A955" i="3"/>
  <c r="H954" i="3"/>
  <c r="G954" i="3"/>
  <c r="F954" i="3"/>
  <c r="E954" i="3"/>
  <c r="A954" i="3"/>
  <c r="H953" i="3"/>
  <c r="G953" i="3"/>
  <c r="F953" i="3"/>
  <c r="E953" i="3"/>
  <c r="D953" i="3"/>
  <c r="C953" i="3"/>
  <c r="B953" i="3"/>
  <c r="A953" i="3"/>
  <c r="H952" i="3"/>
  <c r="G952" i="3"/>
  <c r="F952" i="3"/>
  <c r="E952" i="3"/>
  <c r="D952" i="3"/>
  <c r="C952" i="3"/>
  <c r="B952" i="3"/>
  <c r="A952" i="3"/>
  <c r="H951" i="3"/>
  <c r="G951" i="3"/>
  <c r="F951" i="3"/>
  <c r="E951" i="3"/>
  <c r="C951" i="3"/>
  <c r="B951" i="3"/>
  <c r="A951" i="3"/>
  <c r="H950" i="3"/>
  <c r="G950" i="3"/>
  <c r="F950" i="3"/>
  <c r="E950" i="3"/>
  <c r="C950" i="3"/>
  <c r="B950" i="3"/>
  <c r="A950" i="3"/>
  <c r="H949" i="3"/>
  <c r="G949" i="3"/>
  <c r="F949" i="3"/>
  <c r="E949" i="3"/>
  <c r="D949" i="3"/>
  <c r="C949" i="3"/>
  <c r="B949" i="3"/>
  <c r="A949" i="3"/>
  <c r="H948" i="3"/>
  <c r="G948" i="3"/>
  <c r="F948" i="3"/>
  <c r="E948" i="3"/>
  <c r="C948" i="3"/>
  <c r="B948" i="3"/>
  <c r="A948" i="3"/>
  <c r="H947" i="3"/>
  <c r="G947" i="3"/>
  <c r="F947" i="3"/>
  <c r="E947" i="3"/>
  <c r="D947" i="3"/>
  <c r="C947" i="3"/>
  <c r="B947" i="3"/>
  <c r="A947" i="3"/>
  <c r="H946" i="3"/>
  <c r="G946" i="3"/>
  <c r="F946" i="3"/>
  <c r="E946" i="3"/>
  <c r="D946" i="3"/>
  <c r="C946" i="3"/>
  <c r="B946" i="3"/>
  <c r="A946" i="3"/>
  <c r="H945" i="3"/>
  <c r="G945" i="3"/>
  <c r="F945" i="3"/>
  <c r="E945" i="3"/>
  <c r="D945" i="3"/>
  <c r="C945" i="3"/>
  <c r="B945" i="3"/>
  <c r="A945" i="3"/>
  <c r="H944" i="3"/>
  <c r="G944" i="3"/>
  <c r="F944" i="3"/>
  <c r="E944" i="3"/>
  <c r="C944" i="3"/>
  <c r="B944" i="3"/>
  <c r="A944" i="3"/>
  <c r="H943" i="3"/>
  <c r="G943" i="3"/>
  <c r="F943" i="3"/>
  <c r="E943" i="3"/>
  <c r="C943" i="3"/>
  <c r="B943" i="3"/>
  <c r="A943" i="3"/>
  <c r="H942" i="3"/>
  <c r="G942" i="3"/>
  <c r="F942" i="3"/>
  <c r="E942" i="3"/>
  <c r="C942" i="3"/>
  <c r="B942" i="3"/>
  <c r="A942" i="3"/>
  <c r="H941" i="3"/>
  <c r="G941" i="3"/>
  <c r="F941" i="3"/>
  <c r="E941" i="3"/>
  <c r="C941" i="3"/>
  <c r="A941" i="3"/>
  <c r="H940" i="3"/>
  <c r="G940" i="3"/>
  <c r="F940" i="3"/>
  <c r="E940" i="3"/>
  <c r="D940" i="3"/>
  <c r="C940" i="3"/>
  <c r="B940" i="3"/>
  <c r="A940" i="3"/>
  <c r="H939" i="3"/>
  <c r="G939" i="3"/>
  <c r="F939" i="3"/>
  <c r="E939" i="3"/>
  <c r="C939" i="3"/>
  <c r="B939" i="3"/>
  <c r="A939" i="3"/>
  <c r="H938" i="3"/>
  <c r="G938" i="3"/>
  <c r="F938" i="3"/>
  <c r="E938" i="3"/>
  <c r="C938" i="3"/>
  <c r="A938" i="3"/>
  <c r="H937" i="3"/>
  <c r="G937" i="3"/>
  <c r="F937" i="3"/>
  <c r="E937" i="3"/>
  <c r="A937" i="3"/>
  <c r="H936" i="3"/>
  <c r="G936" i="3"/>
  <c r="F936" i="3"/>
  <c r="E936" i="3"/>
  <c r="D936" i="3"/>
  <c r="C936" i="3"/>
  <c r="B936" i="3"/>
  <c r="A936" i="3"/>
  <c r="H935" i="3"/>
  <c r="G935" i="3"/>
  <c r="F935" i="3"/>
  <c r="E935" i="3"/>
  <c r="D935" i="3"/>
  <c r="C935" i="3"/>
  <c r="B935" i="3"/>
  <c r="A935" i="3"/>
  <c r="H934" i="3"/>
  <c r="G934" i="3"/>
  <c r="F934" i="3"/>
  <c r="E934" i="3"/>
  <c r="D934" i="3"/>
  <c r="C934" i="3"/>
  <c r="B934" i="3"/>
  <c r="A934" i="3"/>
  <c r="H933" i="3"/>
  <c r="G933" i="3"/>
  <c r="F933" i="3"/>
  <c r="E933" i="3"/>
  <c r="C933" i="3"/>
  <c r="B933" i="3"/>
  <c r="A933" i="3"/>
  <c r="H932" i="3"/>
  <c r="G932" i="3"/>
  <c r="F932" i="3"/>
  <c r="E932" i="3"/>
  <c r="A932" i="3"/>
  <c r="H931" i="3"/>
  <c r="G931" i="3"/>
  <c r="F931" i="3"/>
  <c r="E931" i="3"/>
  <c r="C931" i="3"/>
  <c r="B931" i="3"/>
  <c r="A931" i="3"/>
  <c r="H930" i="3"/>
  <c r="G930" i="3"/>
  <c r="F930" i="3"/>
  <c r="E930" i="3"/>
  <c r="C930" i="3"/>
  <c r="B930" i="3"/>
  <c r="A930" i="3"/>
  <c r="H929" i="3"/>
  <c r="G929" i="3"/>
  <c r="F929" i="3"/>
  <c r="E929" i="3"/>
  <c r="D929" i="3"/>
  <c r="C929" i="3"/>
  <c r="B929" i="3"/>
  <c r="A929" i="3"/>
  <c r="H928" i="3"/>
  <c r="G928" i="3"/>
  <c r="F928" i="3"/>
  <c r="E928" i="3"/>
  <c r="D928" i="3"/>
  <c r="C928" i="3"/>
  <c r="B928" i="3"/>
  <c r="A928" i="3"/>
  <c r="H927" i="3"/>
  <c r="G927" i="3"/>
  <c r="F927" i="3"/>
  <c r="E927" i="3"/>
  <c r="D927" i="3"/>
  <c r="C927" i="3"/>
  <c r="B927" i="3"/>
  <c r="A927" i="3"/>
  <c r="H926" i="3"/>
  <c r="G926" i="3"/>
  <c r="F926" i="3"/>
  <c r="E926" i="3"/>
  <c r="A926" i="3"/>
  <c r="H925" i="3"/>
  <c r="G925" i="3"/>
  <c r="F925" i="3"/>
  <c r="E925" i="3"/>
  <c r="C925" i="3"/>
  <c r="A925" i="3"/>
  <c r="H924" i="3"/>
  <c r="G924" i="3"/>
  <c r="F924" i="3"/>
  <c r="E924" i="3"/>
  <c r="D924" i="3"/>
  <c r="C924" i="3"/>
  <c r="B924" i="3"/>
  <c r="A924" i="3"/>
  <c r="H923" i="3"/>
  <c r="G923" i="3"/>
  <c r="F923" i="3"/>
  <c r="E923" i="3"/>
  <c r="C923" i="3"/>
  <c r="B923" i="3"/>
  <c r="A923" i="3"/>
  <c r="H922" i="3"/>
  <c r="G922" i="3"/>
  <c r="F922" i="3"/>
  <c r="E922" i="3"/>
  <c r="C922" i="3"/>
  <c r="B922" i="3"/>
  <c r="A922" i="3"/>
  <c r="H921" i="3"/>
  <c r="G921" i="3"/>
  <c r="F921" i="3"/>
  <c r="E921" i="3"/>
  <c r="D921" i="3"/>
  <c r="C921" i="3"/>
  <c r="B921" i="3"/>
  <c r="A921" i="3"/>
  <c r="H920" i="3"/>
  <c r="G920" i="3"/>
  <c r="F920" i="3"/>
  <c r="E920" i="3"/>
  <c r="C920" i="3"/>
  <c r="B920" i="3"/>
  <c r="A920" i="3"/>
  <c r="H919" i="3"/>
  <c r="G919" i="3"/>
  <c r="F919" i="3"/>
  <c r="E919" i="3"/>
  <c r="A919" i="3"/>
  <c r="H918" i="3"/>
  <c r="G918" i="3"/>
  <c r="F918" i="3"/>
  <c r="E918" i="3"/>
  <c r="C918" i="3"/>
  <c r="A918" i="3"/>
  <c r="H917" i="3"/>
  <c r="G917" i="3"/>
  <c r="F917" i="3"/>
  <c r="E917" i="3"/>
  <c r="C917" i="3"/>
  <c r="A917" i="3"/>
  <c r="H916" i="3"/>
  <c r="G916" i="3"/>
  <c r="F916" i="3"/>
  <c r="E916" i="3"/>
  <c r="C916" i="3"/>
  <c r="A916" i="3"/>
  <c r="H915" i="3"/>
  <c r="G915" i="3"/>
  <c r="F915" i="3"/>
  <c r="E915" i="3"/>
  <c r="D915" i="3"/>
  <c r="C915" i="3"/>
  <c r="B915" i="3"/>
  <c r="A915" i="3"/>
  <c r="H914" i="3"/>
  <c r="G914" i="3"/>
  <c r="F914" i="3"/>
  <c r="E914" i="3"/>
  <c r="D914" i="3"/>
  <c r="C914" i="3"/>
  <c r="B914" i="3"/>
  <c r="A914" i="3"/>
  <c r="H913" i="3"/>
  <c r="G913" i="3"/>
  <c r="F913" i="3"/>
  <c r="E913" i="3"/>
  <c r="B913" i="3"/>
  <c r="A913" i="3"/>
  <c r="H912" i="3"/>
  <c r="G912" i="3"/>
  <c r="F912" i="3"/>
  <c r="E912" i="3"/>
  <c r="D912" i="3"/>
  <c r="C912" i="3"/>
  <c r="B912" i="3"/>
  <c r="A912" i="3"/>
  <c r="H911" i="3"/>
  <c r="G911" i="3"/>
  <c r="F911" i="3"/>
  <c r="E911" i="3"/>
  <c r="A911" i="3"/>
  <c r="H910" i="3"/>
  <c r="G910" i="3"/>
  <c r="F910" i="3"/>
  <c r="E910" i="3"/>
  <c r="D910" i="3"/>
  <c r="C910" i="3"/>
  <c r="B910" i="3"/>
  <c r="A910" i="3"/>
  <c r="H909" i="3"/>
  <c r="G909" i="3"/>
  <c r="F909" i="3"/>
  <c r="E909" i="3"/>
  <c r="D909" i="3"/>
  <c r="C909" i="3"/>
  <c r="B909" i="3"/>
  <c r="A909" i="3"/>
  <c r="H908" i="3"/>
  <c r="G908" i="3"/>
  <c r="F908" i="3"/>
  <c r="E908" i="3"/>
  <c r="C908" i="3"/>
  <c r="B908" i="3"/>
  <c r="A908" i="3"/>
  <c r="H907" i="3"/>
  <c r="G907" i="3"/>
  <c r="F907" i="3"/>
  <c r="E907" i="3"/>
  <c r="C907" i="3"/>
  <c r="B907" i="3"/>
  <c r="A907" i="3"/>
  <c r="H906" i="3"/>
  <c r="G906" i="3"/>
  <c r="F906" i="3"/>
  <c r="E906" i="3"/>
  <c r="B906" i="3"/>
  <c r="A906" i="3"/>
  <c r="H905" i="3"/>
  <c r="G905" i="3"/>
  <c r="F905" i="3"/>
  <c r="E905" i="3"/>
  <c r="A905" i="3"/>
  <c r="H904" i="3"/>
  <c r="G904" i="3"/>
  <c r="F904" i="3"/>
  <c r="E904" i="3"/>
  <c r="C904" i="3"/>
  <c r="B904" i="3"/>
  <c r="A904" i="3"/>
  <c r="H903" i="3"/>
  <c r="G903" i="3"/>
  <c r="F903" i="3"/>
  <c r="E903" i="3"/>
  <c r="C903" i="3"/>
  <c r="B903" i="3"/>
  <c r="A903" i="3"/>
  <c r="H902" i="3"/>
  <c r="G902" i="3"/>
  <c r="F902" i="3"/>
  <c r="E902" i="3"/>
  <c r="C902" i="3"/>
  <c r="B902" i="3"/>
  <c r="A902" i="3"/>
  <c r="H901" i="3"/>
  <c r="G901" i="3"/>
  <c r="F901" i="3"/>
  <c r="E901" i="3"/>
  <c r="C901" i="3"/>
  <c r="B901" i="3"/>
  <c r="A901" i="3"/>
  <c r="H900" i="3"/>
  <c r="G900" i="3"/>
  <c r="F900" i="3"/>
  <c r="E900" i="3"/>
  <c r="A900" i="3"/>
  <c r="H899" i="3"/>
  <c r="G899" i="3"/>
  <c r="F899" i="3"/>
  <c r="E899" i="3"/>
  <c r="D899" i="3"/>
  <c r="C899" i="3"/>
  <c r="B899" i="3"/>
  <c r="A899" i="3"/>
  <c r="H898" i="3"/>
  <c r="G898" i="3"/>
  <c r="F898" i="3"/>
  <c r="E898" i="3"/>
  <c r="C898" i="3"/>
  <c r="B898" i="3"/>
  <c r="A898" i="3"/>
  <c r="H897" i="3"/>
  <c r="G897" i="3"/>
  <c r="F897" i="3"/>
  <c r="E897" i="3"/>
  <c r="D897" i="3"/>
  <c r="C897" i="3"/>
  <c r="B897" i="3"/>
  <c r="A897" i="3"/>
  <c r="H896" i="3"/>
  <c r="G896" i="3"/>
  <c r="F896" i="3"/>
  <c r="E896" i="3"/>
  <c r="C896" i="3"/>
  <c r="A896" i="3"/>
  <c r="H895" i="3"/>
  <c r="G895" i="3"/>
  <c r="F895" i="3"/>
  <c r="E895" i="3"/>
  <c r="D895" i="3"/>
  <c r="C895" i="3"/>
  <c r="B895" i="3"/>
  <c r="A895" i="3"/>
  <c r="H894" i="3"/>
  <c r="G894" i="3"/>
  <c r="F894" i="3"/>
  <c r="E894" i="3"/>
  <c r="D894" i="3"/>
  <c r="C894" i="3"/>
  <c r="B894" i="3"/>
  <c r="A894" i="3"/>
  <c r="H893" i="3"/>
  <c r="G893" i="3"/>
  <c r="F893" i="3"/>
  <c r="E893" i="3"/>
  <c r="D893" i="3"/>
  <c r="C893" i="3"/>
  <c r="B893" i="3"/>
  <c r="A893" i="3"/>
  <c r="H892" i="3"/>
  <c r="G892" i="3"/>
  <c r="F892" i="3"/>
  <c r="E892" i="3"/>
  <c r="C892" i="3"/>
  <c r="B892" i="3"/>
  <c r="A892" i="3"/>
  <c r="H891" i="3"/>
  <c r="G891" i="3"/>
  <c r="F891" i="3"/>
  <c r="E891" i="3"/>
  <c r="A891" i="3"/>
  <c r="H890" i="3"/>
  <c r="G890" i="3"/>
  <c r="F890" i="3"/>
  <c r="E890" i="3"/>
  <c r="A890" i="3"/>
  <c r="H889" i="3"/>
  <c r="G889" i="3"/>
  <c r="F889" i="3"/>
  <c r="E889" i="3"/>
  <c r="A889" i="3"/>
  <c r="H888" i="3"/>
  <c r="G888" i="3"/>
  <c r="F888" i="3"/>
  <c r="E888" i="3"/>
  <c r="C888" i="3"/>
  <c r="B888" i="3"/>
  <c r="A888" i="3"/>
  <c r="H887" i="3"/>
  <c r="G887" i="3"/>
  <c r="F887" i="3"/>
  <c r="E887" i="3"/>
  <c r="D887" i="3"/>
  <c r="C887" i="3"/>
  <c r="B887" i="3"/>
  <c r="A887" i="3"/>
  <c r="H886" i="3"/>
  <c r="G886" i="3"/>
  <c r="F886" i="3"/>
  <c r="E886" i="3"/>
  <c r="D886" i="3"/>
  <c r="C886" i="3"/>
  <c r="B886" i="3"/>
  <c r="A886" i="3"/>
  <c r="H885" i="3"/>
  <c r="G885" i="3"/>
  <c r="F885" i="3"/>
  <c r="E885" i="3"/>
  <c r="B885" i="3"/>
  <c r="A885" i="3"/>
  <c r="H884" i="3"/>
  <c r="G884" i="3"/>
  <c r="F884" i="3"/>
  <c r="E884" i="3"/>
  <c r="C884" i="3"/>
  <c r="B884" i="3"/>
  <c r="A884" i="3"/>
  <c r="H883" i="3"/>
  <c r="G883" i="3"/>
  <c r="F883" i="3"/>
  <c r="E883" i="3"/>
  <c r="D883" i="3"/>
  <c r="C883" i="3"/>
  <c r="B883" i="3"/>
  <c r="A883" i="3"/>
  <c r="H882" i="3"/>
  <c r="G882" i="3"/>
  <c r="F882" i="3"/>
  <c r="E882" i="3"/>
  <c r="D882" i="3"/>
  <c r="C882" i="3"/>
  <c r="B882" i="3"/>
  <c r="A882" i="3"/>
  <c r="H881" i="3"/>
  <c r="G881" i="3"/>
  <c r="F881" i="3"/>
  <c r="E881" i="3"/>
  <c r="B881" i="3"/>
  <c r="A881" i="3"/>
  <c r="H880" i="3"/>
  <c r="G880" i="3"/>
  <c r="F880" i="3"/>
  <c r="E880" i="3"/>
  <c r="C880" i="3"/>
  <c r="B880" i="3"/>
  <c r="A880" i="3"/>
  <c r="H879" i="3"/>
  <c r="G879" i="3"/>
  <c r="F879" i="3"/>
  <c r="E879" i="3"/>
  <c r="C879" i="3"/>
  <c r="B879" i="3"/>
  <c r="A879" i="3"/>
  <c r="H878" i="3"/>
  <c r="G878" i="3"/>
  <c r="F878" i="3"/>
  <c r="E878" i="3"/>
  <c r="D878" i="3"/>
  <c r="C878" i="3"/>
  <c r="B878" i="3"/>
  <c r="A878" i="3"/>
  <c r="H877" i="3"/>
  <c r="G877" i="3"/>
  <c r="F877" i="3"/>
  <c r="E877" i="3"/>
  <c r="C877" i="3"/>
  <c r="B877" i="3"/>
  <c r="A877" i="3"/>
  <c r="H876" i="3"/>
  <c r="G876" i="3"/>
  <c r="F876" i="3"/>
  <c r="E876" i="3"/>
  <c r="D876" i="3"/>
  <c r="C876" i="3"/>
  <c r="B876" i="3"/>
  <c r="A876" i="3"/>
  <c r="H875" i="3"/>
  <c r="G875" i="3"/>
  <c r="F875" i="3"/>
  <c r="E875" i="3"/>
  <c r="C875" i="3"/>
  <c r="B875" i="3"/>
  <c r="A875" i="3"/>
  <c r="H874" i="3"/>
  <c r="G874" i="3"/>
  <c r="F874" i="3"/>
  <c r="E874" i="3"/>
  <c r="D874" i="3"/>
  <c r="C874" i="3"/>
  <c r="B874" i="3"/>
  <c r="A874" i="3"/>
  <c r="H873" i="3"/>
  <c r="G873" i="3"/>
  <c r="F873" i="3"/>
  <c r="E873" i="3"/>
  <c r="D873" i="3"/>
  <c r="C873" i="3"/>
  <c r="B873" i="3"/>
  <c r="A873" i="3"/>
  <c r="H872" i="3"/>
  <c r="G872" i="3"/>
  <c r="F872" i="3"/>
  <c r="E872" i="3"/>
  <c r="C872" i="3"/>
  <c r="B872" i="3"/>
  <c r="A872" i="3"/>
  <c r="H871" i="3"/>
  <c r="G871" i="3"/>
  <c r="F871" i="3"/>
  <c r="E871" i="3"/>
  <c r="B871" i="3"/>
  <c r="A871" i="3"/>
  <c r="H870" i="3"/>
  <c r="G870" i="3"/>
  <c r="F870" i="3"/>
  <c r="E870" i="3"/>
  <c r="D870" i="3"/>
  <c r="C870" i="3"/>
  <c r="B870" i="3"/>
  <c r="A870" i="3"/>
  <c r="H869" i="3"/>
  <c r="G869" i="3"/>
  <c r="F869" i="3"/>
  <c r="E869" i="3"/>
  <c r="D869" i="3"/>
  <c r="C869" i="3"/>
  <c r="B869" i="3"/>
  <c r="A869" i="3"/>
  <c r="H868" i="3"/>
  <c r="G868" i="3"/>
  <c r="F868" i="3"/>
  <c r="E868" i="3"/>
  <c r="D868" i="3"/>
  <c r="C868" i="3"/>
  <c r="B868" i="3"/>
  <c r="A868" i="3"/>
  <c r="H867" i="3"/>
  <c r="G867" i="3"/>
  <c r="F867" i="3"/>
  <c r="E867" i="3"/>
  <c r="C867" i="3"/>
  <c r="B867" i="3"/>
  <c r="A867" i="3"/>
  <c r="H866" i="3"/>
  <c r="G866" i="3"/>
  <c r="F866" i="3"/>
  <c r="E866" i="3"/>
  <c r="C866" i="3"/>
  <c r="A866" i="3"/>
  <c r="H865" i="3"/>
  <c r="G865" i="3"/>
  <c r="F865" i="3"/>
  <c r="E865" i="3"/>
  <c r="A865" i="3"/>
  <c r="H864" i="3"/>
  <c r="G864" i="3"/>
  <c r="F864" i="3"/>
  <c r="E864" i="3"/>
  <c r="D864" i="3"/>
  <c r="C864" i="3"/>
  <c r="B864" i="3"/>
  <c r="A864" i="3"/>
  <c r="H863" i="3"/>
  <c r="G863" i="3"/>
  <c r="F863" i="3"/>
  <c r="E863" i="3"/>
  <c r="D863" i="3"/>
  <c r="C863" i="3"/>
  <c r="A863" i="3"/>
  <c r="H862" i="3"/>
  <c r="G862" i="3"/>
  <c r="F862" i="3"/>
  <c r="E862" i="3"/>
  <c r="D862" i="3"/>
  <c r="C862" i="3"/>
  <c r="B862" i="3"/>
  <c r="A862" i="3"/>
  <c r="H861" i="3"/>
  <c r="G861" i="3"/>
  <c r="F861" i="3"/>
  <c r="E861" i="3"/>
  <c r="A861" i="3"/>
  <c r="H860" i="3"/>
  <c r="G860" i="3"/>
  <c r="F860" i="3"/>
  <c r="E860" i="3"/>
  <c r="B860" i="3"/>
  <c r="A860" i="3"/>
  <c r="H859" i="3"/>
  <c r="G859" i="3"/>
  <c r="F859" i="3"/>
  <c r="E859" i="3"/>
  <c r="C859" i="3"/>
  <c r="B859" i="3"/>
  <c r="A859" i="3"/>
  <c r="H858" i="3"/>
  <c r="G858" i="3"/>
  <c r="F858" i="3"/>
  <c r="E858" i="3"/>
  <c r="C858" i="3"/>
  <c r="B858" i="3"/>
  <c r="A858" i="3"/>
  <c r="H857" i="3"/>
  <c r="G857" i="3"/>
  <c r="F857" i="3"/>
  <c r="E857" i="3"/>
  <c r="D857" i="3"/>
  <c r="C857" i="3"/>
  <c r="B857" i="3"/>
  <c r="A857" i="3"/>
  <c r="H856" i="3"/>
  <c r="G856" i="3"/>
  <c r="F856" i="3"/>
  <c r="E856" i="3"/>
  <c r="D856" i="3"/>
  <c r="C856" i="3"/>
  <c r="B856" i="3"/>
  <c r="A856" i="3"/>
  <c r="H855" i="3"/>
  <c r="G855" i="3"/>
  <c r="F855" i="3"/>
  <c r="E855" i="3"/>
  <c r="A855" i="3"/>
  <c r="H854" i="3"/>
  <c r="G854" i="3"/>
  <c r="F854" i="3"/>
  <c r="E854" i="3"/>
  <c r="D854" i="3"/>
  <c r="C854" i="3"/>
  <c r="B854" i="3"/>
  <c r="A854" i="3"/>
  <c r="H853" i="3"/>
  <c r="G853" i="3"/>
  <c r="F853" i="3"/>
  <c r="E853" i="3"/>
  <c r="B853" i="3"/>
  <c r="A853" i="3"/>
  <c r="H852" i="3"/>
  <c r="G852" i="3"/>
  <c r="F852" i="3"/>
  <c r="E852" i="3"/>
  <c r="C852" i="3"/>
  <c r="B852" i="3"/>
  <c r="A852" i="3"/>
  <c r="H851" i="3"/>
  <c r="G851" i="3"/>
  <c r="F851" i="3"/>
  <c r="E851" i="3"/>
  <c r="C851" i="3"/>
  <c r="B851" i="3"/>
  <c r="A851" i="3"/>
  <c r="H850" i="3"/>
  <c r="G850" i="3"/>
  <c r="F850" i="3"/>
  <c r="E850" i="3"/>
  <c r="C850" i="3"/>
  <c r="B850" i="3"/>
  <c r="A850" i="3"/>
  <c r="H849" i="3"/>
  <c r="G849" i="3"/>
  <c r="F849" i="3"/>
  <c r="E849" i="3"/>
  <c r="A849" i="3"/>
  <c r="H848" i="3"/>
  <c r="G848" i="3"/>
  <c r="F848" i="3"/>
  <c r="E848" i="3"/>
  <c r="A848" i="3"/>
  <c r="H847" i="3"/>
  <c r="G847" i="3"/>
  <c r="F847" i="3"/>
  <c r="E847" i="3"/>
  <c r="D847" i="3"/>
  <c r="C847" i="3"/>
  <c r="B847" i="3"/>
  <c r="A847" i="3"/>
  <c r="H846" i="3"/>
  <c r="G846" i="3"/>
  <c r="F846" i="3"/>
  <c r="E846" i="3"/>
  <c r="D846" i="3"/>
  <c r="C846" i="3"/>
  <c r="B846" i="3"/>
  <c r="A846" i="3"/>
  <c r="H845" i="3"/>
  <c r="G845" i="3"/>
  <c r="F845" i="3"/>
  <c r="E845" i="3"/>
  <c r="D845" i="3"/>
  <c r="C845" i="3"/>
  <c r="B845" i="3"/>
  <c r="A845" i="3"/>
  <c r="H844" i="3"/>
  <c r="G844" i="3"/>
  <c r="F844" i="3"/>
  <c r="E844" i="3"/>
  <c r="A844" i="3"/>
  <c r="H843" i="3"/>
  <c r="G843" i="3"/>
  <c r="F843" i="3"/>
  <c r="E843" i="3"/>
  <c r="C843" i="3"/>
  <c r="B843" i="3"/>
  <c r="A843" i="3"/>
  <c r="H842" i="3"/>
  <c r="G842" i="3"/>
  <c r="F842" i="3"/>
  <c r="E842" i="3"/>
  <c r="B842" i="3"/>
  <c r="A842" i="3"/>
  <c r="H841" i="3"/>
  <c r="G841" i="3"/>
  <c r="F841" i="3"/>
  <c r="E841" i="3"/>
  <c r="C841" i="3"/>
  <c r="B841" i="3"/>
  <c r="A841" i="3"/>
  <c r="H840" i="3"/>
  <c r="G840" i="3"/>
  <c r="F840" i="3"/>
  <c r="E840" i="3"/>
  <c r="A840" i="3"/>
  <c r="H839" i="3"/>
  <c r="G839" i="3"/>
  <c r="F839" i="3"/>
  <c r="E839" i="3"/>
  <c r="D839" i="3"/>
  <c r="C839" i="3"/>
  <c r="B839" i="3"/>
  <c r="A839" i="3"/>
  <c r="H838" i="3"/>
  <c r="G838" i="3"/>
  <c r="F838" i="3"/>
  <c r="E838" i="3"/>
  <c r="D838" i="3"/>
  <c r="C838" i="3"/>
  <c r="B838" i="3"/>
  <c r="A838" i="3"/>
  <c r="H837" i="3"/>
  <c r="G837" i="3"/>
  <c r="F837" i="3"/>
  <c r="E837" i="3"/>
  <c r="D837" i="3"/>
  <c r="C837" i="3"/>
  <c r="B837" i="3"/>
  <c r="A837" i="3"/>
  <c r="H836" i="3"/>
  <c r="G836" i="3"/>
  <c r="F836" i="3"/>
  <c r="E836" i="3"/>
  <c r="A836" i="3"/>
  <c r="H835" i="3"/>
  <c r="G835" i="3"/>
  <c r="F835" i="3"/>
  <c r="E835" i="3"/>
  <c r="C835" i="3"/>
  <c r="A835" i="3"/>
  <c r="H834" i="3"/>
  <c r="G834" i="3"/>
  <c r="F834" i="3"/>
  <c r="E834" i="3"/>
  <c r="D834" i="3"/>
  <c r="C834" i="3"/>
  <c r="B834" i="3"/>
  <c r="A834" i="3"/>
  <c r="H833" i="3"/>
  <c r="G833" i="3"/>
  <c r="F833" i="3"/>
  <c r="E833" i="3"/>
  <c r="A833" i="3"/>
  <c r="H832" i="3"/>
  <c r="G832" i="3"/>
  <c r="F832" i="3"/>
  <c r="E832" i="3"/>
  <c r="A832" i="3"/>
  <c r="H831" i="3"/>
  <c r="G831" i="3"/>
  <c r="F831" i="3"/>
  <c r="E831" i="3"/>
  <c r="C831" i="3"/>
  <c r="B831" i="3"/>
  <c r="A831" i="3"/>
  <c r="H830" i="3"/>
  <c r="G830" i="3"/>
  <c r="F830" i="3"/>
  <c r="E830" i="3"/>
  <c r="C830" i="3"/>
  <c r="A830" i="3"/>
  <c r="H829" i="3"/>
  <c r="G829" i="3"/>
  <c r="F829" i="3"/>
  <c r="E829" i="3"/>
  <c r="C829" i="3"/>
  <c r="B829" i="3"/>
  <c r="A829" i="3"/>
  <c r="H828" i="3"/>
  <c r="G828" i="3"/>
  <c r="F828" i="3"/>
  <c r="E828" i="3"/>
  <c r="D828" i="3"/>
  <c r="C828" i="3"/>
  <c r="B828" i="3"/>
  <c r="A828" i="3"/>
  <c r="H827" i="3"/>
  <c r="G827" i="3"/>
  <c r="F827" i="3"/>
  <c r="E827" i="3"/>
  <c r="C827" i="3"/>
  <c r="A827" i="3"/>
  <c r="H826" i="3"/>
  <c r="G826" i="3"/>
  <c r="F826" i="3"/>
  <c r="E826" i="3"/>
  <c r="D826" i="3"/>
  <c r="C826" i="3"/>
  <c r="B826" i="3"/>
  <c r="A826" i="3"/>
  <c r="H825" i="3"/>
  <c r="G825" i="3"/>
  <c r="F825" i="3"/>
  <c r="E825" i="3"/>
  <c r="C825" i="3"/>
  <c r="B825" i="3"/>
  <c r="A825" i="3"/>
  <c r="H824" i="3"/>
  <c r="G824" i="3"/>
  <c r="F824" i="3"/>
  <c r="E824" i="3"/>
  <c r="D824" i="3"/>
  <c r="C824" i="3"/>
  <c r="B824" i="3"/>
  <c r="A824" i="3"/>
  <c r="H823" i="3"/>
  <c r="G823" i="3"/>
  <c r="F823" i="3"/>
  <c r="E823" i="3"/>
  <c r="C823" i="3"/>
  <c r="A823" i="3"/>
  <c r="H822" i="3"/>
  <c r="G822" i="3"/>
  <c r="F822" i="3"/>
  <c r="E822" i="3"/>
  <c r="D822" i="3"/>
  <c r="C822" i="3"/>
  <c r="B822" i="3"/>
  <c r="A822" i="3"/>
  <c r="H821" i="3"/>
  <c r="G821" i="3"/>
  <c r="F821" i="3"/>
  <c r="E821" i="3"/>
  <c r="A821" i="3"/>
  <c r="H820" i="3"/>
  <c r="G820" i="3"/>
  <c r="F820" i="3"/>
  <c r="E820" i="3"/>
  <c r="B820" i="3"/>
  <c r="A820" i="3"/>
  <c r="H819" i="3"/>
  <c r="G819" i="3"/>
  <c r="F819" i="3"/>
  <c r="E819" i="3"/>
  <c r="C819" i="3"/>
  <c r="A819" i="3"/>
  <c r="H818" i="3"/>
  <c r="G818" i="3"/>
  <c r="F818" i="3"/>
  <c r="E818" i="3"/>
  <c r="C818" i="3"/>
  <c r="B818" i="3"/>
  <c r="A818" i="3"/>
  <c r="H817" i="3"/>
  <c r="G817" i="3"/>
  <c r="F817" i="3"/>
  <c r="E817" i="3"/>
  <c r="D817" i="3"/>
  <c r="C817" i="3"/>
  <c r="B817" i="3"/>
  <c r="A817" i="3"/>
  <c r="H816" i="3"/>
  <c r="G816" i="3"/>
  <c r="F816" i="3"/>
  <c r="E816" i="3"/>
  <c r="C816" i="3"/>
  <c r="B816" i="3"/>
  <c r="A816" i="3"/>
  <c r="H815" i="3"/>
  <c r="G815" i="3"/>
  <c r="F815" i="3"/>
  <c r="E815" i="3"/>
  <c r="A815" i="3"/>
  <c r="H814" i="3"/>
  <c r="G814" i="3"/>
  <c r="F814" i="3"/>
  <c r="E814" i="3"/>
  <c r="C814" i="3"/>
  <c r="B814" i="3"/>
  <c r="A814" i="3"/>
  <c r="H813" i="3"/>
  <c r="G813" i="3"/>
  <c r="F813" i="3"/>
  <c r="E813" i="3"/>
  <c r="C813" i="3"/>
  <c r="B813" i="3"/>
  <c r="A813" i="3"/>
  <c r="H812" i="3"/>
  <c r="G812" i="3"/>
  <c r="F812" i="3"/>
  <c r="E812" i="3"/>
  <c r="C812" i="3"/>
  <c r="B812" i="3"/>
  <c r="A812" i="3"/>
  <c r="H811" i="3"/>
  <c r="G811" i="3"/>
  <c r="F811" i="3"/>
  <c r="E811" i="3"/>
  <c r="C811" i="3"/>
  <c r="B811" i="3"/>
  <c r="A811" i="3"/>
  <c r="H810" i="3"/>
  <c r="G810" i="3"/>
  <c r="F810" i="3"/>
  <c r="E810" i="3"/>
  <c r="C810" i="3"/>
  <c r="B810" i="3"/>
  <c r="A810" i="3"/>
  <c r="H809" i="3"/>
  <c r="G809" i="3"/>
  <c r="F809" i="3"/>
  <c r="E809" i="3"/>
  <c r="C809" i="3"/>
  <c r="A809" i="3"/>
  <c r="H808" i="3"/>
  <c r="G808" i="3"/>
  <c r="F808" i="3"/>
  <c r="E808" i="3"/>
  <c r="C808" i="3"/>
  <c r="A808" i="3"/>
  <c r="H807" i="3"/>
  <c r="G807" i="3"/>
  <c r="F807" i="3"/>
  <c r="E807" i="3"/>
  <c r="C807" i="3"/>
  <c r="A807" i="3"/>
  <c r="H806" i="3"/>
  <c r="G806" i="3"/>
  <c r="F806" i="3"/>
  <c r="E806" i="3"/>
  <c r="C806" i="3"/>
  <c r="B806" i="3"/>
  <c r="A806" i="3"/>
  <c r="H805" i="3"/>
  <c r="G805" i="3"/>
  <c r="F805" i="3"/>
  <c r="E805" i="3"/>
  <c r="C805" i="3"/>
  <c r="B805" i="3"/>
  <c r="A805" i="3"/>
  <c r="H804" i="3"/>
  <c r="G804" i="3"/>
  <c r="F804" i="3"/>
  <c r="E804" i="3"/>
  <c r="C804" i="3"/>
  <c r="B804" i="3"/>
  <c r="A804" i="3"/>
  <c r="H803" i="3"/>
  <c r="G803" i="3"/>
  <c r="F803" i="3"/>
  <c r="E803" i="3"/>
  <c r="A803" i="3"/>
  <c r="H802" i="3"/>
  <c r="G802" i="3"/>
  <c r="F802" i="3"/>
  <c r="E802" i="3"/>
  <c r="D802" i="3"/>
  <c r="C802" i="3"/>
  <c r="B802" i="3"/>
  <c r="A802" i="3"/>
  <c r="H801" i="3"/>
  <c r="G801" i="3"/>
  <c r="F801" i="3"/>
  <c r="E801" i="3"/>
  <c r="C801" i="3"/>
  <c r="B801" i="3"/>
  <c r="A801" i="3"/>
  <c r="H800" i="3"/>
  <c r="G800" i="3"/>
  <c r="F800" i="3"/>
  <c r="E800" i="3"/>
  <c r="C800" i="3"/>
  <c r="B800" i="3"/>
  <c r="A800" i="3"/>
  <c r="H799" i="3"/>
  <c r="G799" i="3"/>
  <c r="F799" i="3"/>
  <c r="E799" i="3"/>
  <c r="C799" i="3"/>
  <c r="A799" i="3"/>
  <c r="H798" i="3"/>
  <c r="G798" i="3"/>
  <c r="F798" i="3"/>
  <c r="E798" i="3"/>
  <c r="C798" i="3"/>
  <c r="A798" i="3"/>
  <c r="H797" i="3"/>
  <c r="G797" i="3"/>
  <c r="F797" i="3"/>
  <c r="E797" i="3"/>
  <c r="A797" i="3"/>
  <c r="H796" i="3"/>
  <c r="G796" i="3"/>
  <c r="F796" i="3"/>
  <c r="E796" i="3"/>
  <c r="D796" i="3"/>
  <c r="C796" i="3"/>
  <c r="A796" i="3"/>
  <c r="H795" i="3"/>
  <c r="G795" i="3"/>
  <c r="F795" i="3"/>
  <c r="E795" i="3"/>
  <c r="D795" i="3"/>
  <c r="C795" i="3"/>
  <c r="B795" i="3"/>
  <c r="A795" i="3"/>
  <c r="H794" i="3"/>
  <c r="G794" i="3"/>
  <c r="F794" i="3"/>
  <c r="E794" i="3"/>
  <c r="D794" i="3"/>
  <c r="C794" i="3"/>
  <c r="B794" i="3"/>
  <c r="A794" i="3"/>
  <c r="H793" i="3"/>
  <c r="G793" i="3"/>
  <c r="F793" i="3"/>
  <c r="E793" i="3"/>
  <c r="C793" i="3"/>
  <c r="A793" i="3"/>
  <c r="H792" i="3"/>
  <c r="G792" i="3"/>
  <c r="F792" i="3"/>
  <c r="E792" i="3"/>
  <c r="A792" i="3"/>
  <c r="H791" i="3"/>
  <c r="G791" i="3"/>
  <c r="F791" i="3"/>
  <c r="E791" i="3"/>
  <c r="D791" i="3"/>
  <c r="C791" i="3"/>
  <c r="B791" i="3"/>
  <c r="A791" i="3"/>
  <c r="H790" i="3"/>
  <c r="G790" i="3"/>
  <c r="F790" i="3"/>
  <c r="E790" i="3"/>
  <c r="D790" i="3"/>
  <c r="C790" i="3"/>
  <c r="B790" i="3"/>
  <c r="A790" i="3"/>
  <c r="H789" i="3"/>
  <c r="G789" i="3"/>
  <c r="F789" i="3"/>
  <c r="E789" i="3"/>
  <c r="C789" i="3"/>
  <c r="B789" i="3"/>
  <c r="A789" i="3"/>
  <c r="H788" i="3"/>
  <c r="G788" i="3"/>
  <c r="F788" i="3"/>
  <c r="E788" i="3"/>
  <c r="C788" i="3"/>
  <c r="B788" i="3"/>
  <c r="A788" i="3"/>
  <c r="H787" i="3"/>
  <c r="G787" i="3"/>
  <c r="F787" i="3"/>
  <c r="E787" i="3"/>
  <c r="D787" i="3"/>
  <c r="C787" i="3"/>
  <c r="B787" i="3"/>
  <c r="A787" i="3"/>
  <c r="H786" i="3"/>
  <c r="G786" i="3"/>
  <c r="F786" i="3"/>
  <c r="E786" i="3"/>
  <c r="D786" i="3"/>
  <c r="C786" i="3"/>
  <c r="B786" i="3"/>
  <c r="A786" i="3"/>
  <c r="H785" i="3"/>
  <c r="G785" i="3"/>
  <c r="F785" i="3"/>
  <c r="E785" i="3"/>
  <c r="C785" i="3"/>
  <c r="B785" i="3"/>
  <c r="A785" i="3"/>
  <c r="H784" i="3"/>
  <c r="G784" i="3"/>
  <c r="F784" i="3"/>
  <c r="E784" i="3"/>
  <c r="C784" i="3"/>
  <c r="A784" i="3"/>
  <c r="H783" i="3"/>
  <c r="G783" i="3"/>
  <c r="F783" i="3"/>
  <c r="E783" i="3"/>
  <c r="D783" i="3"/>
  <c r="C783" i="3"/>
  <c r="B783" i="3"/>
  <c r="A783" i="3"/>
  <c r="H782" i="3"/>
  <c r="G782" i="3"/>
  <c r="F782" i="3"/>
  <c r="E782" i="3"/>
  <c r="C782" i="3"/>
  <c r="B782" i="3"/>
  <c r="A782" i="3"/>
  <c r="H781" i="3"/>
  <c r="G781" i="3"/>
  <c r="F781" i="3"/>
  <c r="E781" i="3"/>
  <c r="D781" i="3"/>
  <c r="C781" i="3"/>
  <c r="B781" i="3"/>
  <c r="A781" i="3"/>
  <c r="H780" i="3"/>
  <c r="G780" i="3"/>
  <c r="F780" i="3"/>
  <c r="E780" i="3"/>
  <c r="C780" i="3"/>
  <c r="B780" i="3"/>
  <c r="A780" i="3"/>
  <c r="H779" i="3"/>
  <c r="G779" i="3"/>
  <c r="F779" i="3"/>
  <c r="E779" i="3"/>
  <c r="C779" i="3"/>
  <c r="B779" i="3"/>
  <c r="A779" i="3"/>
  <c r="H778" i="3"/>
  <c r="G778" i="3"/>
  <c r="F778" i="3"/>
  <c r="E778" i="3"/>
  <c r="A778" i="3"/>
  <c r="H777" i="3"/>
  <c r="G777" i="3"/>
  <c r="F777" i="3"/>
  <c r="E777" i="3"/>
  <c r="C777" i="3"/>
  <c r="B777" i="3"/>
  <c r="A777" i="3"/>
  <c r="H776" i="3"/>
  <c r="G776" i="3"/>
  <c r="F776" i="3"/>
  <c r="E776" i="3"/>
  <c r="A776" i="3"/>
  <c r="H775" i="3"/>
  <c r="G775" i="3"/>
  <c r="F775" i="3"/>
  <c r="E775" i="3"/>
  <c r="C775" i="3"/>
  <c r="B775" i="3"/>
  <c r="A775" i="3"/>
  <c r="H774" i="3"/>
  <c r="G774" i="3"/>
  <c r="F774" i="3"/>
  <c r="E774" i="3"/>
  <c r="C774" i="3"/>
  <c r="B774" i="3"/>
  <c r="A774" i="3"/>
  <c r="H773" i="3"/>
  <c r="G773" i="3"/>
  <c r="F773" i="3"/>
  <c r="E773" i="3"/>
  <c r="A773" i="3"/>
  <c r="H772" i="3"/>
  <c r="G772" i="3"/>
  <c r="F772" i="3"/>
  <c r="E772" i="3"/>
  <c r="A772" i="3"/>
  <c r="H771" i="3"/>
  <c r="G771" i="3"/>
  <c r="F771" i="3"/>
  <c r="E771" i="3"/>
  <c r="C771" i="3"/>
  <c r="B771" i="3"/>
  <c r="A771" i="3"/>
  <c r="H770" i="3"/>
  <c r="G770" i="3"/>
  <c r="F770" i="3"/>
  <c r="E770" i="3"/>
  <c r="D770" i="3"/>
  <c r="C770" i="3"/>
  <c r="B770" i="3"/>
  <c r="A770" i="3"/>
  <c r="H769" i="3"/>
  <c r="G769" i="3"/>
  <c r="F769" i="3"/>
  <c r="E769" i="3"/>
  <c r="C769" i="3"/>
  <c r="A769" i="3"/>
  <c r="H768" i="3"/>
  <c r="G768" i="3"/>
  <c r="F768" i="3"/>
  <c r="E768" i="3"/>
  <c r="C768" i="3"/>
  <c r="A768" i="3"/>
  <c r="H767" i="3"/>
  <c r="G767" i="3"/>
  <c r="F767" i="3"/>
  <c r="E767" i="3"/>
  <c r="C767" i="3"/>
  <c r="A767" i="3"/>
  <c r="H766" i="3"/>
  <c r="G766" i="3"/>
  <c r="F766" i="3"/>
  <c r="E766" i="3"/>
  <c r="B766" i="3"/>
  <c r="A766" i="3"/>
  <c r="H765" i="3"/>
  <c r="G765" i="3"/>
  <c r="F765" i="3"/>
  <c r="E765" i="3"/>
  <c r="C765" i="3"/>
  <c r="B765" i="3"/>
  <c r="A765" i="3"/>
  <c r="H764" i="3"/>
  <c r="G764" i="3"/>
  <c r="F764" i="3"/>
  <c r="E764" i="3"/>
  <c r="D764" i="3"/>
  <c r="C764" i="3"/>
  <c r="B764" i="3"/>
  <c r="A764" i="3"/>
  <c r="H763" i="3"/>
  <c r="G763" i="3"/>
  <c r="F763" i="3"/>
  <c r="E763" i="3"/>
  <c r="D763" i="3"/>
  <c r="C763" i="3"/>
  <c r="B763" i="3"/>
  <c r="A763" i="3"/>
  <c r="H762" i="3"/>
  <c r="G762" i="3"/>
  <c r="F762" i="3"/>
  <c r="E762" i="3"/>
  <c r="D762" i="3"/>
  <c r="C762" i="3"/>
  <c r="B762" i="3"/>
  <c r="A762" i="3"/>
  <c r="H761" i="3"/>
  <c r="G761" i="3"/>
  <c r="F761" i="3"/>
  <c r="E761" i="3"/>
  <c r="C761" i="3"/>
  <c r="B761" i="3"/>
  <c r="A761" i="3"/>
  <c r="H760" i="3"/>
  <c r="G760" i="3"/>
  <c r="F760" i="3"/>
  <c r="E760" i="3"/>
  <c r="A760" i="3"/>
  <c r="H759" i="3"/>
  <c r="G759" i="3"/>
  <c r="F759" i="3"/>
  <c r="E759" i="3"/>
  <c r="C759" i="3"/>
  <c r="B759" i="3"/>
  <c r="A759" i="3"/>
  <c r="H758" i="3"/>
  <c r="G758" i="3"/>
  <c r="F758" i="3"/>
  <c r="E758" i="3"/>
  <c r="C758" i="3"/>
  <c r="B758" i="3"/>
  <c r="A758" i="3"/>
  <c r="H757" i="3"/>
  <c r="G757" i="3"/>
  <c r="F757" i="3"/>
  <c r="E757" i="3"/>
  <c r="D757" i="3"/>
  <c r="C757" i="3"/>
  <c r="B757" i="3"/>
  <c r="A757" i="3"/>
  <c r="H756" i="3"/>
  <c r="G756" i="3"/>
  <c r="F756" i="3"/>
  <c r="E756" i="3"/>
  <c r="D756" i="3"/>
  <c r="C756" i="3"/>
  <c r="B756" i="3"/>
  <c r="A756" i="3"/>
  <c r="H755" i="3"/>
  <c r="G755" i="3"/>
  <c r="F755" i="3"/>
  <c r="E755" i="3"/>
  <c r="C755" i="3"/>
  <c r="B755" i="3"/>
  <c r="A755" i="3"/>
  <c r="H754" i="3"/>
  <c r="G754" i="3"/>
  <c r="F754" i="3"/>
  <c r="E754" i="3"/>
  <c r="D754" i="3"/>
  <c r="C754" i="3"/>
  <c r="B754" i="3"/>
  <c r="A754" i="3"/>
  <c r="H753" i="3"/>
  <c r="G753" i="3"/>
  <c r="F753" i="3"/>
  <c r="E753" i="3"/>
  <c r="D753" i="3"/>
  <c r="C753" i="3"/>
  <c r="B753" i="3"/>
  <c r="A753" i="3"/>
  <c r="H752" i="3"/>
  <c r="G752" i="3"/>
  <c r="F752" i="3"/>
  <c r="E752" i="3"/>
  <c r="D752" i="3"/>
  <c r="C752" i="3"/>
  <c r="B752" i="3"/>
  <c r="A752" i="3"/>
  <c r="H751" i="3"/>
  <c r="G751" i="3"/>
  <c r="F751" i="3"/>
  <c r="E751" i="3"/>
  <c r="C751" i="3"/>
  <c r="B751" i="3"/>
  <c r="A751" i="3"/>
  <c r="H750" i="3"/>
  <c r="G750" i="3"/>
  <c r="F750" i="3"/>
  <c r="E750" i="3"/>
  <c r="D750" i="3"/>
  <c r="C750" i="3"/>
  <c r="B750" i="3"/>
  <c r="A750" i="3"/>
  <c r="H749" i="3"/>
  <c r="G749" i="3"/>
  <c r="F749" i="3"/>
  <c r="A749" i="3"/>
  <c r="H748" i="3"/>
  <c r="G748" i="3"/>
  <c r="F748" i="3"/>
  <c r="E748" i="3"/>
  <c r="A748" i="3"/>
  <c r="H747" i="3"/>
  <c r="G747" i="3"/>
  <c r="F747" i="3"/>
  <c r="E747" i="3"/>
  <c r="C747" i="3"/>
  <c r="B747" i="3"/>
  <c r="A747" i="3"/>
  <c r="H746" i="3"/>
  <c r="G746" i="3"/>
  <c r="F746" i="3"/>
  <c r="E746" i="3"/>
  <c r="D746" i="3"/>
  <c r="C746" i="3"/>
  <c r="B746" i="3"/>
  <c r="A746" i="3"/>
  <c r="H745" i="3"/>
  <c r="G745" i="3"/>
  <c r="F745" i="3"/>
  <c r="E745" i="3"/>
  <c r="A745" i="3"/>
  <c r="H744" i="3"/>
  <c r="G744" i="3"/>
  <c r="F744" i="3"/>
  <c r="E744" i="3"/>
  <c r="C744" i="3"/>
  <c r="B744" i="3"/>
  <c r="A744" i="3"/>
  <c r="H743" i="3"/>
  <c r="G743" i="3"/>
  <c r="F743" i="3"/>
  <c r="E743" i="3"/>
  <c r="A743" i="3"/>
  <c r="H742" i="3"/>
  <c r="G742" i="3"/>
  <c r="F742" i="3"/>
  <c r="E742" i="3"/>
  <c r="C742" i="3"/>
  <c r="A742" i="3"/>
  <c r="H741" i="3"/>
  <c r="G741" i="3"/>
  <c r="F741" i="3"/>
  <c r="E741" i="3"/>
  <c r="C741" i="3"/>
  <c r="A741" i="3"/>
  <c r="H740" i="3"/>
  <c r="G740" i="3"/>
  <c r="F740" i="3"/>
  <c r="E740" i="3"/>
  <c r="C740" i="3"/>
  <c r="B740" i="3"/>
  <c r="A740" i="3"/>
  <c r="H739" i="3"/>
  <c r="G739" i="3"/>
  <c r="F739" i="3"/>
  <c r="E739" i="3"/>
  <c r="C739" i="3"/>
  <c r="B739" i="3"/>
  <c r="A739" i="3"/>
  <c r="H738" i="3"/>
  <c r="G738" i="3"/>
  <c r="F738" i="3"/>
  <c r="E738" i="3"/>
  <c r="A738" i="3"/>
  <c r="H737" i="3"/>
  <c r="G737" i="3"/>
  <c r="F737" i="3"/>
  <c r="E737" i="3"/>
  <c r="B737" i="3"/>
  <c r="A737" i="3"/>
  <c r="H736" i="3"/>
  <c r="G736" i="3"/>
  <c r="F736" i="3"/>
  <c r="E736" i="3"/>
  <c r="D736" i="3"/>
  <c r="B736" i="3"/>
  <c r="A736" i="3"/>
  <c r="H735" i="3"/>
  <c r="G735" i="3"/>
  <c r="F735" i="3"/>
  <c r="E735" i="3"/>
  <c r="C735" i="3"/>
  <c r="B735" i="3"/>
  <c r="A735" i="3"/>
  <c r="H734" i="3"/>
  <c r="G734" i="3"/>
  <c r="F734" i="3"/>
  <c r="E734" i="3"/>
  <c r="D734" i="3"/>
  <c r="C734" i="3"/>
  <c r="B734" i="3"/>
  <c r="A734" i="3"/>
  <c r="H733" i="3"/>
  <c r="G733" i="3"/>
  <c r="F733" i="3"/>
  <c r="E733" i="3"/>
  <c r="D733" i="3"/>
  <c r="C733" i="3"/>
  <c r="B733" i="3"/>
  <c r="A733" i="3"/>
  <c r="H732" i="3"/>
  <c r="G732" i="3"/>
  <c r="F732" i="3"/>
  <c r="E732" i="3"/>
  <c r="D732" i="3"/>
  <c r="C732" i="3"/>
  <c r="B732" i="3"/>
  <c r="A732" i="3"/>
  <c r="H731" i="3"/>
  <c r="G731" i="3"/>
  <c r="F731" i="3"/>
  <c r="E731" i="3"/>
  <c r="D731" i="3"/>
  <c r="C731" i="3"/>
  <c r="B731" i="3"/>
  <c r="A731" i="3"/>
  <c r="H730" i="3"/>
  <c r="G730" i="3"/>
  <c r="F730" i="3"/>
  <c r="E730" i="3"/>
  <c r="D730" i="3"/>
  <c r="C730" i="3"/>
  <c r="B730" i="3"/>
  <c r="A730" i="3"/>
  <c r="H729" i="3"/>
  <c r="G729" i="3"/>
  <c r="F729" i="3"/>
  <c r="E729" i="3"/>
  <c r="C729" i="3"/>
  <c r="B729" i="3"/>
  <c r="A729" i="3"/>
  <c r="H728" i="3"/>
  <c r="G728" i="3"/>
  <c r="F728" i="3"/>
  <c r="E728" i="3"/>
  <c r="A728" i="3"/>
  <c r="H727" i="3"/>
  <c r="G727" i="3"/>
  <c r="F727" i="3"/>
  <c r="E727" i="3"/>
  <c r="A727" i="3"/>
  <c r="H726" i="3"/>
  <c r="G726" i="3"/>
  <c r="F726" i="3"/>
  <c r="E726" i="3"/>
  <c r="C726" i="3"/>
  <c r="B726" i="3"/>
  <c r="A726" i="3"/>
  <c r="H725" i="3"/>
  <c r="G725" i="3"/>
  <c r="F725" i="3"/>
  <c r="E725" i="3"/>
  <c r="C725" i="3"/>
  <c r="B725" i="3"/>
  <c r="A725" i="3"/>
  <c r="H724" i="3"/>
  <c r="G724" i="3"/>
  <c r="F724" i="3"/>
  <c r="E724" i="3"/>
  <c r="A724" i="3"/>
  <c r="H723" i="3"/>
  <c r="G723" i="3"/>
  <c r="F723" i="3"/>
  <c r="E723" i="3"/>
  <c r="C723" i="3"/>
  <c r="B723" i="3"/>
  <c r="A723" i="3"/>
  <c r="H722" i="3"/>
  <c r="G722" i="3"/>
  <c r="F722" i="3"/>
  <c r="E722" i="3"/>
  <c r="C722" i="3"/>
  <c r="B722" i="3"/>
  <c r="A722" i="3"/>
  <c r="H721" i="3"/>
  <c r="G721" i="3"/>
  <c r="F721" i="3"/>
  <c r="E721" i="3"/>
  <c r="D721" i="3"/>
  <c r="C721" i="3"/>
  <c r="B721" i="3"/>
  <c r="A721" i="3"/>
  <c r="H720" i="3"/>
  <c r="G720" i="3"/>
  <c r="F720" i="3"/>
  <c r="E720" i="3"/>
  <c r="A720" i="3"/>
  <c r="H719" i="3"/>
  <c r="G719" i="3"/>
  <c r="F719" i="3"/>
  <c r="E719" i="3"/>
  <c r="C719" i="3"/>
  <c r="A719" i="3"/>
  <c r="H718" i="3"/>
  <c r="G718" i="3"/>
  <c r="F718" i="3"/>
  <c r="E718" i="3"/>
  <c r="C718" i="3"/>
  <c r="B718" i="3"/>
  <c r="A718" i="3"/>
  <c r="H717" i="3"/>
  <c r="G717" i="3"/>
  <c r="F717" i="3"/>
  <c r="E717" i="3"/>
  <c r="C717" i="3"/>
  <c r="B717" i="3"/>
  <c r="A717" i="3"/>
  <c r="H716" i="3"/>
  <c r="G716" i="3"/>
  <c r="F716" i="3"/>
  <c r="E716" i="3"/>
  <c r="D716" i="3"/>
  <c r="C716" i="3"/>
  <c r="B716" i="3"/>
  <c r="A716" i="3"/>
  <c r="H715" i="3"/>
  <c r="G715" i="3"/>
  <c r="F715" i="3"/>
  <c r="E715" i="3"/>
  <c r="C715" i="3"/>
  <c r="B715" i="3"/>
  <c r="A715" i="3"/>
  <c r="H714" i="3"/>
  <c r="G714" i="3"/>
  <c r="F714" i="3"/>
  <c r="E714" i="3"/>
  <c r="C714" i="3"/>
  <c r="B714" i="3"/>
  <c r="A714" i="3"/>
  <c r="H713" i="3"/>
  <c r="G713" i="3"/>
  <c r="F713" i="3"/>
  <c r="E713" i="3"/>
  <c r="C713" i="3"/>
  <c r="B713" i="3"/>
  <c r="A713" i="3"/>
  <c r="H712" i="3"/>
  <c r="G712" i="3"/>
  <c r="F712" i="3"/>
  <c r="E712" i="3"/>
  <c r="C712" i="3"/>
  <c r="B712" i="3"/>
  <c r="A712" i="3"/>
  <c r="H711" i="3"/>
  <c r="G711" i="3"/>
  <c r="F711" i="3"/>
  <c r="E711" i="3"/>
  <c r="C711" i="3"/>
  <c r="B711" i="3"/>
  <c r="A711" i="3"/>
  <c r="H710" i="3"/>
  <c r="G710" i="3"/>
  <c r="F710" i="3"/>
  <c r="E710" i="3"/>
  <c r="C710" i="3"/>
  <c r="B710" i="3"/>
  <c r="A710" i="3"/>
  <c r="H709" i="3"/>
  <c r="G709" i="3"/>
  <c r="F709" i="3"/>
  <c r="E709" i="3"/>
  <c r="C709" i="3"/>
  <c r="B709" i="3"/>
  <c r="A709" i="3"/>
  <c r="H708" i="3"/>
  <c r="G708" i="3"/>
  <c r="F708" i="3"/>
  <c r="E708" i="3"/>
  <c r="C708" i="3"/>
  <c r="A708" i="3"/>
  <c r="H707" i="3"/>
  <c r="G707" i="3"/>
  <c r="F707" i="3"/>
  <c r="E707" i="3"/>
  <c r="A707" i="3"/>
  <c r="H706" i="3"/>
  <c r="G706" i="3"/>
  <c r="F706" i="3"/>
  <c r="E706" i="3"/>
  <c r="C706" i="3"/>
  <c r="A706" i="3"/>
  <c r="H705" i="3"/>
  <c r="G705" i="3"/>
  <c r="F705" i="3"/>
  <c r="E705" i="3"/>
  <c r="A705" i="3"/>
  <c r="H704" i="3"/>
  <c r="G704" i="3"/>
  <c r="F704" i="3"/>
  <c r="E704" i="3"/>
  <c r="C704" i="3"/>
  <c r="B704" i="3"/>
  <c r="A704" i="3"/>
  <c r="H703" i="3"/>
  <c r="G703" i="3"/>
  <c r="F703" i="3"/>
  <c r="E703" i="3"/>
  <c r="D703" i="3"/>
  <c r="C703" i="3"/>
  <c r="B703" i="3"/>
  <c r="A703" i="3"/>
  <c r="H702" i="3"/>
  <c r="G702" i="3"/>
  <c r="F702" i="3"/>
  <c r="E702" i="3"/>
  <c r="D702" i="3"/>
  <c r="C702" i="3"/>
  <c r="B702" i="3"/>
  <c r="A702" i="3"/>
  <c r="H701" i="3"/>
  <c r="G701" i="3"/>
  <c r="F701" i="3"/>
  <c r="E701" i="3"/>
  <c r="C701" i="3"/>
  <c r="A701" i="3"/>
  <c r="H700" i="3"/>
  <c r="G700" i="3"/>
  <c r="F700" i="3"/>
  <c r="E700" i="3"/>
  <c r="A700" i="3"/>
  <c r="H699" i="3"/>
  <c r="G699" i="3"/>
  <c r="F699" i="3"/>
  <c r="E699" i="3"/>
  <c r="A699" i="3"/>
  <c r="H698" i="3"/>
  <c r="G698" i="3"/>
  <c r="F698" i="3"/>
  <c r="E698" i="3"/>
  <c r="D698" i="3"/>
  <c r="C698" i="3"/>
  <c r="B698" i="3"/>
  <c r="A698" i="3"/>
  <c r="H697" i="3"/>
  <c r="G697" i="3"/>
  <c r="F697" i="3"/>
  <c r="E697" i="3"/>
  <c r="A697" i="3"/>
  <c r="H696" i="3"/>
  <c r="G696" i="3"/>
  <c r="F696" i="3"/>
  <c r="E696" i="3"/>
  <c r="D696" i="3"/>
  <c r="C696" i="3"/>
  <c r="B696" i="3"/>
  <c r="A696" i="3"/>
  <c r="H695" i="3"/>
  <c r="G695" i="3"/>
  <c r="F695" i="3"/>
  <c r="E695" i="3"/>
  <c r="C695" i="3"/>
  <c r="B695" i="3"/>
  <c r="A695" i="3"/>
  <c r="H694" i="3"/>
  <c r="G694" i="3"/>
  <c r="F694" i="3"/>
  <c r="E694" i="3"/>
  <c r="C694" i="3"/>
  <c r="A694" i="3"/>
  <c r="H693" i="3"/>
  <c r="G693" i="3"/>
  <c r="F693" i="3"/>
  <c r="E693" i="3"/>
  <c r="A693" i="3"/>
  <c r="H692" i="3"/>
  <c r="G692" i="3"/>
  <c r="F692" i="3"/>
  <c r="E692" i="3"/>
  <c r="C692" i="3"/>
  <c r="B692" i="3"/>
  <c r="A692" i="3"/>
  <c r="H691" i="3"/>
  <c r="G691" i="3"/>
  <c r="F691" i="3"/>
  <c r="E691" i="3"/>
  <c r="C691" i="3"/>
  <c r="A691" i="3"/>
  <c r="H690" i="3"/>
  <c r="G690" i="3"/>
  <c r="F690" i="3"/>
  <c r="E690" i="3"/>
  <c r="C690" i="3"/>
  <c r="A690" i="3"/>
  <c r="H689" i="3"/>
  <c r="G689" i="3"/>
  <c r="F689" i="3"/>
  <c r="E689" i="3"/>
  <c r="C689" i="3"/>
  <c r="B689" i="3"/>
  <c r="A689" i="3"/>
  <c r="H688" i="3"/>
  <c r="G688" i="3"/>
  <c r="F688" i="3"/>
  <c r="E688" i="3"/>
  <c r="C688" i="3"/>
  <c r="A688" i="3"/>
  <c r="H687" i="3"/>
  <c r="G687" i="3"/>
  <c r="F687" i="3"/>
  <c r="E687" i="3"/>
  <c r="C687" i="3"/>
  <c r="B687" i="3"/>
  <c r="A687" i="3"/>
  <c r="H686" i="3"/>
  <c r="G686" i="3"/>
  <c r="F686" i="3"/>
  <c r="E686" i="3"/>
  <c r="C686" i="3"/>
  <c r="B686" i="3"/>
  <c r="A686" i="3"/>
  <c r="H685" i="3"/>
  <c r="G685" i="3"/>
  <c r="F685" i="3"/>
  <c r="E685" i="3"/>
  <c r="A685" i="3"/>
  <c r="H684" i="3"/>
  <c r="G684" i="3"/>
  <c r="F684" i="3"/>
  <c r="E684" i="3"/>
  <c r="C684" i="3"/>
  <c r="B684" i="3"/>
  <c r="A684" i="3"/>
  <c r="H683" i="3"/>
  <c r="G683" i="3"/>
  <c r="F683" i="3"/>
  <c r="E683" i="3"/>
  <c r="C683" i="3"/>
  <c r="B683" i="3"/>
  <c r="A683" i="3"/>
  <c r="H682" i="3"/>
  <c r="G682" i="3"/>
  <c r="F682" i="3"/>
  <c r="E682" i="3"/>
  <c r="A682" i="3"/>
  <c r="H681" i="3"/>
  <c r="G681" i="3"/>
  <c r="F681" i="3"/>
  <c r="E681" i="3"/>
  <c r="D681" i="3"/>
  <c r="C681" i="3"/>
  <c r="A681" i="3"/>
  <c r="H680" i="3"/>
  <c r="G680" i="3"/>
  <c r="F680" i="3"/>
  <c r="E680" i="3"/>
  <c r="D680" i="3"/>
  <c r="C680" i="3"/>
  <c r="A680" i="3"/>
  <c r="H679" i="3"/>
  <c r="G679" i="3"/>
  <c r="F679" i="3"/>
  <c r="E679" i="3"/>
  <c r="C679" i="3"/>
  <c r="B679" i="3"/>
  <c r="A679" i="3"/>
  <c r="H678" i="3"/>
  <c r="G678" i="3"/>
  <c r="F678" i="3"/>
  <c r="E678" i="3"/>
  <c r="C678" i="3"/>
  <c r="A678" i="3"/>
  <c r="H677" i="3"/>
  <c r="G677" i="3"/>
  <c r="F677" i="3"/>
  <c r="E677" i="3"/>
  <c r="B677" i="3"/>
  <c r="A677" i="3"/>
  <c r="H676" i="3"/>
  <c r="G676" i="3"/>
  <c r="F676" i="3"/>
  <c r="E676" i="3"/>
  <c r="A676" i="3"/>
  <c r="H675" i="3"/>
  <c r="G675" i="3"/>
  <c r="F675" i="3"/>
  <c r="E675" i="3"/>
  <c r="D675" i="3"/>
  <c r="C675" i="3"/>
  <c r="B675" i="3"/>
  <c r="A675" i="3"/>
  <c r="H674" i="3"/>
  <c r="G674" i="3"/>
  <c r="F674" i="3"/>
  <c r="E674" i="3"/>
  <c r="D674" i="3"/>
  <c r="C674" i="3"/>
  <c r="B674" i="3"/>
  <c r="A674" i="3"/>
  <c r="H673" i="3"/>
  <c r="G673" i="3"/>
  <c r="F673" i="3"/>
  <c r="E673" i="3"/>
  <c r="D673" i="3"/>
  <c r="C673" i="3"/>
  <c r="B673" i="3"/>
  <c r="A673" i="3"/>
  <c r="H672" i="3"/>
  <c r="G672" i="3"/>
  <c r="F672" i="3"/>
  <c r="E672" i="3"/>
  <c r="D672" i="3"/>
  <c r="C672" i="3"/>
  <c r="A672" i="3"/>
  <c r="H671" i="3"/>
  <c r="G671" i="3"/>
  <c r="F671" i="3"/>
  <c r="E671" i="3"/>
  <c r="A671" i="3"/>
  <c r="H670" i="3"/>
  <c r="G670" i="3"/>
  <c r="F670" i="3"/>
  <c r="E670" i="3"/>
  <c r="C670" i="3"/>
  <c r="A670" i="3"/>
  <c r="H669" i="3"/>
  <c r="G669" i="3"/>
  <c r="F669" i="3"/>
  <c r="E669" i="3"/>
  <c r="C669" i="3"/>
  <c r="A669" i="3"/>
  <c r="H668" i="3"/>
  <c r="G668" i="3"/>
  <c r="F668" i="3"/>
  <c r="E668" i="3"/>
  <c r="D668" i="3"/>
  <c r="B668" i="3"/>
  <c r="A668" i="3"/>
  <c r="H667" i="3"/>
  <c r="G667" i="3"/>
  <c r="F667" i="3"/>
  <c r="E667" i="3"/>
  <c r="D667" i="3"/>
  <c r="C667" i="3"/>
  <c r="B667" i="3"/>
  <c r="A667" i="3"/>
  <c r="H666" i="3"/>
  <c r="G666" i="3"/>
  <c r="F666" i="3"/>
  <c r="E666" i="3"/>
  <c r="D666" i="3"/>
  <c r="C666" i="3"/>
  <c r="B666" i="3"/>
  <c r="A666" i="3"/>
  <c r="H665" i="3"/>
  <c r="G665" i="3"/>
  <c r="F665" i="3"/>
  <c r="E665" i="3"/>
  <c r="D665" i="3"/>
  <c r="C665" i="3"/>
  <c r="B665" i="3"/>
  <c r="A665" i="3"/>
  <c r="H664" i="3"/>
  <c r="G664" i="3"/>
  <c r="F664" i="3"/>
  <c r="E664" i="3"/>
  <c r="D664" i="3"/>
  <c r="C664" i="3"/>
  <c r="B664" i="3"/>
  <c r="A664" i="3"/>
  <c r="H663" i="3"/>
  <c r="G663" i="3"/>
  <c r="F663" i="3"/>
  <c r="E663" i="3"/>
  <c r="D663" i="3"/>
  <c r="C663" i="3"/>
  <c r="B663" i="3"/>
  <c r="A663" i="3"/>
  <c r="H662" i="3"/>
  <c r="G662" i="3"/>
  <c r="F662" i="3"/>
  <c r="E662" i="3"/>
  <c r="D662" i="3"/>
  <c r="C662" i="3"/>
  <c r="B662" i="3"/>
  <c r="A662" i="3"/>
  <c r="H661" i="3"/>
  <c r="G661" i="3"/>
  <c r="F661" i="3"/>
  <c r="E661" i="3"/>
  <c r="D661" i="3"/>
  <c r="C661" i="3"/>
  <c r="B661" i="3"/>
  <c r="A661" i="3"/>
  <c r="H660" i="3"/>
  <c r="G660" i="3"/>
  <c r="F660" i="3"/>
  <c r="E660" i="3"/>
  <c r="C660" i="3"/>
  <c r="A660" i="3"/>
  <c r="H659" i="3"/>
  <c r="G659" i="3"/>
  <c r="F659" i="3"/>
  <c r="E659" i="3"/>
  <c r="D659" i="3"/>
  <c r="C659" i="3"/>
  <c r="B659" i="3"/>
  <c r="A659" i="3"/>
  <c r="H658" i="3"/>
  <c r="G658" i="3"/>
  <c r="F658" i="3"/>
  <c r="E658" i="3"/>
  <c r="D658" i="3"/>
  <c r="C658" i="3"/>
  <c r="B658" i="3"/>
  <c r="A658" i="3"/>
  <c r="H657" i="3"/>
  <c r="G657" i="3"/>
  <c r="F657" i="3"/>
  <c r="E657" i="3"/>
  <c r="C657" i="3"/>
  <c r="B657" i="3"/>
  <c r="A657" i="3"/>
  <c r="H656" i="3"/>
  <c r="G656" i="3"/>
  <c r="F656" i="3"/>
  <c r="E656" i="3"/>
  <c r="C656" i="3"/>
  <c r="B656" i="3"/>
  <c r="A656" i="3"/>
  <c r="H655" i="3"/>
  <c r="G655" i="3"/>
  <c r="F655" i="3"/>
  <c r="E655" i="3"/>
  <c r="C655" i="3"/>
  <c r="B655" i="3"/>
  <c r="A655" i="3"/>
  <c r="H654" i="3"/>
  <c r="G654" i="3"/>
  <c r="F654" i="3"/>
  <c r="E654" i="3"/>
  <c r="D654" i="3"/>
  <c r="C654" i="3"/>
  <c r="B654" i="3"/>
  <c r="A654" i="3"/>
  <c r="H653" i="3"/>
  <c r="G653" i="3"/>
  <c r="F653" i="3"/>
  <c r="E653" i="3"/>
  <c r="D653" i="3"/>
  <c r="C653" i="3"/>
  <c r="B653" i="3"/>
  <c r="A653" i="3"/>
  <c r="H652" i="3"/>
  <c r="G652" i="3"/>
  <c r="F652" i="3"/>
  <c r="E652" i="3"/>
  <c r="A652" i="3"/>
  <c r="H651" i="3"/>
  <c r="G651" i="3"/>
  <c r="F651" i="3"/>
  <c r="E651" i="3"/>
  <c r="D651" i="3"/>
  <c r="C651" i="3"/>
  <c r="B651" i="3"/>
  <c r="A651" i="3"/>
  <c r="H650" i="3"/>
  <c r="G650" i="3"/>
  <c r="F650" i="3"/>
  <c r="E650" i="3"/>
  <c r="D650" i="3"/>
  <c r="C650" i="3"/>
  <c r="B650" i="3"/>
  <c r="A650" i="3"/>
  <c r="H649" i="3"/>
  <c r="G649" i="3"/>
  <c r="F649" i="3"/>
  <c r="E649" i="3"/>
  <c r="A649" i="3"/>
  <c r="H648" i="3"/>
  <c r="G648" i="3"/>
  <c r="F648" i="3"/>
  <c r="E648" i="3"/>
  <c r="A648" i="3"/>
  <c r="H647" i="3"/>
  <c r="G647" i="3"/>
  <c r="F647" i="3"/>
  <c r="E647" i="3"/>
  <c r="C647" i="3"/>
  <c r="B647" i="3"/>
  <c r="A647" i="3"/>
  <c r="H646" i="3"/>
  <c r="G646" i="3"/>
  <c r="F646" i="3"/>
  <c r="E646" i="3"/>
  <c r="C646" i="3"/>
  <c r="B646" i="3"/>
  <c r="A646" i="3"/>
  <c r="H645" i="3"/>
  <c r="G645" i="3"/>
  <c r="F645" i="3"/>
  <c r="E645" i="3"/>
  <c r="D645" i="3"/>
  <c r="C645" i="3"/>
  <c r="B645" i="3"/>
  <c r="A645" i="3"/>
  <c r="H644" i="3"/>
  <c r="G644" i="3"/>
  <c r="F644" i="3"/>
  <c r="E644" i="3"/>
  <c r="D644" i="3"/>
  <c r="C644" i="3"/>
  <c r="B644" i="3"/>
  <c r="A644" i="3"/>
  <c r="H643" i="3"/>
  <c r="G643" i="3"/>
  <c r="F643" i="3"/>
  <c r="E643" i="3"/>
  <c r="D643" i="3"/>
  <c r="C643" i="3"/>
  <c r="B643" i="3"/>
  <c r="A643" i="3"/>
  <c r="H642" i="3"/>
  <c r="G642" i="3"/>
  <c r="F642" i="3"/>
  <c r="E642" i="3"/>
  <c r="C642" i="3"/>
  <c r="B642" i="3"/>
  <c r="A642" i="3"/>
  <c r="H641" i="3"/>
  <c r="G641" i="3"/>
  <c r="F641" i="3"/>
  <c r="E641" i="3"/>
  <c r="C641" i="3"/>
  <c r="B641" i="3"/>
  <c r="A641" i="3"/>
  <c r="H640" i="3"/>
  <c r="G640" i="3"/>
  <c r="F640" i="3"/>
  <c r="E640" i="3"/>
  <c r="A640" i="3"/>
  <c r="H639" i="3"/>
  <c r="G639" i="3"/>
  <c r="F639" i="3"/>
  <c r="E639" i="3"/>
  <c r="C639" i="3"/>
  <c r="B639" i="3"/>
  <c r="A639" i="3"/>
  <c r="H638" i="3"/>
  <c r="G638" i="3"/>
  <c r="F638" i="3"/>
  <c r="E638" i="3"/>
  <c r="D638" i="3"/>
  <c r="C638" i="3"/>
  <c r="B638" i="3"/>
  <c r="A638" i="3"/>
  <c r="H637" i="3"/>
  <c r="G637" i="3"/>
  <c r="F637" i="3"/>
  <c r="E637" i="3"/>
  <c r="C637" i="3"/>
  <c r="B637" i="3"/>
  <c r="A637" i="3"/>
  <c r="H636" i="3"/>
  <c r="G636" i="3"/>
  <c r="F636" i="3"/>
  <c r="E636" i="3"/>
  <c r="D636" i="3"/>
  <c r="C636" i="3"/>
  <c r="B636" i="3"/>
  <c r="A636" i="3"/>
  <c r="H635" i="3"/>
  <c r="G635" i="3"/>
  <c r="F635" i="3"/>
  <c r="E635" i="3"/>
  <c r="D635" i="3"/>
  <c r="C635" i="3"/>
  <c r="B635" i="3"/>
  <c r="A635" i="3"/>
  <c r="H634" i="3"/>
  <c r="G634" i="3"/>
  <c r="F634" i="3"/>
  <c r="E634" i="3"/>
  <c r="C634" i="3"/>
  <c r="B634" i="3"/>
  <c r="A634" i="3"/>
  <c r="H633" i="3"/>
  <c r="G633" i="3"/>
  <c r="F633" i="3"/>
  <c r="E633" i="3"/>
  <c r="C633" i="3"/>
  <c r="B633" i="3"/>
  <c r="A633" i="3"/>
  <c r="H632" i="3"/>
  <c r="G632" i="3"/>
  <c r="F632" i="3"/>
  <c r="E632" i="3"/>
  <c r="C632" i="3"/>
  <c r="B632" i="3"/>
  <c r="A632" i="3"/>
  <c r="H631" i="3"/>
  <c r="G631" i="3"/>
  <c r="F631" i="3"/>
  <c r="E631" i="3"/>
  <c r="C631" i="3"/>
  <c r="B631" i="3"/>
  <c r="A631" i="3"/>
  <c r="H630" i="3"/>
  <c r="G630" i="3"/>
  <c r="F630" i="3"/>
  <c r="E630" i="3"/>
  <c r="C630" i="3"/>
  <c r="A630" i="3"/>
  <c r="H629" i="3"/>
  <c r="G629" i="3"/>
  <c r="F629" i="3"/>
  <c r="E629" i="3"/>
  <c r="A629" i="3"/>
  <c r="H628" i="3"/>
  <c r="G628" i="3"/>
  <c r="F628" i="3"/>
  <c r="E628" i="3"/>
  <c r="A628" i="3"/>
  <c r="H627" i="3"/>
  <c r="G627" i="3"/>
  <c r="F627" i="3"/>
  <c r="E627" i="3"/>
  <c r="D627" i="3"/>
  <c r="C627" i="3"/>
  <c r="B627" i="3"/>
  <c r="A627" i="3"/>
  <c r="H626" i="3"/>
  <c r="G626" i="3"/>
  <c r="F626" i="3"/>
  <c r="E626" i="3"/>
  <c r="C626" i="3"/>
  <c r="B626" i="3"/>
  <c r="A626" i="3"/>
  <c r="H625" i="3"/>
  <c r="G625" i="3"/>
  <c r="F625" i="3"/>
  <c r="E625" i="3"/>
  <c r="D625" i="3"/>
  <c r="C625" i="3"/>
  <c r="B625" i="3"/>
  <c r="A625" i="3"/>
  <c r="H624" i="3"/>
  <c r="G624" i="3"/>
  <c r="F624" i="3"/>
  <c r="E624" i="3"/>
  <c r="D624" i="3"/>
  <c r="C624" i="3"/>
  <c r="B624" i="3"/>
  <c r="A624" i="3"/>
  <c r="H623" i="3"/>
  <c r="G623" i="3"/>
  <c r="F623" i="3"/>
  <c r="E623" i="3"/>
  <c r="C623" i="3"/>
  <c r="B623" i="3"/>
  <c r="A623" i="3"/>
  <c r="H622" i="3"/>
  <c r="G622" i="3"/>
  <c r="F622" i="3"/>
  <c r="E622" i="3"/>
  <c r="C622" i="3"/>
  <c r="B622" i="3"/>
  <c r="A622" i="3"/>
  <c r="H621" i="3"/>
  <c r="G621" i="3"/>
  <c r="F621" i="3"/>
  <c r="E621" i="3"/>
  <c r="A621" i="3"/>
  <c r="H620" i="3"/>
  <c r="G620" i="3"/>
  <c r="F620" i="3"/>
  <c r="E620" i="3"/>
  <c r="D620" i="3"/>
  <c r="C620" i="3"/>
  <c r="B620" i="3"/>
  <c r="A620" i="3"/>
  <c r="H619" i="3"/>
  <c r="G619" i="3"/>
  <c r="F619" i="3"/>
  <c r="E619" i="3"/>
  <c r="C619" i="3"/>
  <c r="B619" i="3"/>
  <c r="A619" i="3"/>
  <c r="H618" i="3"/>
  <c r="G618" i="3"/>
  <c r="F618" i="3"/>
  <c r="E618" i="3"/>
  <c r="C618" i="3"/>
  <c r="B618" i="3"/>
  <c r="A618" i="3"/>
  <c r="H617" i="3"/>
  <c r="G617" i="3"/>
  <c r="F617" i="3"/>
  <c r="E617" i="3"/>
  <c r="A617" i="3"/>
  <c r="H616" i="3"/>
  <c r="G616" i="3"/>
  <c r="F616" i="3"/>
  <c r="E616" i="3"/>
  <c r="A616" i="3"/>
  <c r="H615" i="3"/>
  <c r="G615" i="3"/>
  <c r="F615" i="3"/>
  <c r="E615" i="3"/>
  <c r="C615" i="3"/>
  <c r="B615" i="3"/>
  <c r="A615" i="3"/>
  <c r="H614" i="3"/>
  <c r="G614" i="3"/>
  <c r="F614" i="3"/>
  <c r="E614" i="3"/>
  <c r="D614" i="3"/>
  <c r="C614" i="3"/>
  <c r="B614" i="3"/>
  <c r="A614" i="3"/>
  <c r="H613" i="3"/>
  <c r="G613" i="3"/>
  <c r="F613" i="3"/>
  <c r="E613" i="3"/>
  <c r="C613" i="3"/>
  <c r="B613" i="3"/>
  <c r="A613" i="3"/>
  <c r="H612" i="3"/>
  <c r="G612" i="3"/>
  <c r="F612" i="3"/>
  <c r="E612" i="3"/>
  <c r="C612" i="3"/>
  <c r="B612" i="3"/>
  <c r="A612" i="3"/>
  <c r="H611" i="3"/>
  <c r="G611" i="3"/>
  <c r="F611" i="3"/>
  <c r="E611" i="3"/>
  <c r="D611" i="3"/>
  <c r="C611" i="3"/>
  <c r="B611" i="3"/>
  <c r="A611" i="3"/>
  <c r="H610" i="3"/>
  <c r="G610" i="3"/>
  <c r="F610" i="3"/>
  <c r="E610" i="3"/>
  <c r="C610" i="3"/>
  <c r="B610" i="3"/>
  <c r="A610" i="3"/>
  <c r="H609" i="3"/>
  <c r="G609" i="3"/>
  <c r="F609" i="3"/>
  <c r="E609" i="3"/>
  <c r="C609" i="3"/>
  <c r="B609" i="3"/>
  <c r="A609" i="3"/>
  <c r="H608" i="3"/>
  <c r="G608" i="3"/>
  <c r="F608" i="3"/>
  <c r="E608" i="3"/>
  <c r="C608" i="3"/>
  <c r="B608" i="3"/>
  <c r="A608" i="3"/>
  <c r="H607" i="3"/>
  <c r="G607" i="3"/>
  <c r="F607" i="3"/>
  <c r="E607" i="3"/>
  <c r="C607" i="3"/>
  <c r="B607" i="3"/>
  <c r="A607" i="3"/>
  <c r="H606" i="3"/>
  <c r="G606" i="3"/>
  <c r="F606" i="3"/>
  <c r="E606" i="3"/>
  <c r="A606" i="3"/>
  <c r="H605" i="3"/>
  <c r="G605" i="3"/>
  <c r="F605" i="3"/>
  <c r="E605" i="3"/>
  <c r="A605" i="3"/>
  <c r="H604" i="3"/>
  <c r="G604" i="3"/>
  <c r="F604" i="3"/>
  <c r="E604" i="3"/>
  <c r="C604" i="3"/>
  <c r="A604" i="3"/>
  <c r="H603" i="3"/>
  <c r="G603" i="3"/>
  <c r="F603" i="3"/>
  <c r="E603" i="3"/>
  <c r="C603" i="3"/>
  <c r="B603" i="3"/>
  <c r="A603" i="3"/>
  <c r="H602" i="3"/>
  <c r="G602" i="3"/>
  <c r="F602" i="3"/>
  <c r="E602" i="3"/>
  <c r="A602" i="3"/>
  <c r="H601" i="3"/>
  <c r="G601" i="3"/>
  <c r="F601" i="3"/>
  <c r="E601" i="3"/>
  <c r="D601" i="3"/>
  <c r="C601" i="3"/>
  <c r="B601" i="3"/>
  <c r="A601" i="3"/>
  <c r="H600" i="3"/>
  <c r="G600" i="3"/>
  <c r="F600" i="3"/>
  <c r="E600" i="3"/>
  <c r="C600" i="3"/>
  <c r="B600" i="3"/>
  <c r="A600" i="3"/>
  <c r="H599" i="3"/>
  <c r="G599" i="3"/>
  <c r="F599" i="3"/>
  <c r="E599" i="3"/>
  <c r="A599" i="3"/>
  <c r="H598" i="3"/>
  <c r="G598" i="3"/>
  <c r="F598" i="3"/>
  <c r="E598" i="3"/>
  <c r="C598" i="3"/>
  <c r="A598" i="3"/>
  <c r="H597" i="3"/>
  <c r="G597" i="3"/>
  <c r="F597" i="3"/>
  <c r="E597" i="3"/>
  <c r="C597" i="3"/>
  <c r="B597" i="3"/>
  <c r="A597" i="3"/>
  <c r="H596" i="3"/>
  <c r="G596" i="3"/>
  <c r="F596" i="3"/>
  <c r="E596" i="3"/>
  <c r="C596" i="3"/>
  <c r="B596" i="3"/>
  <c r="A596" i="3"/>
  <c r="H595" i="3"/>
  <c r="G595" i="3"/>
  <c r="F595" i="3"/>
  <c r="E595" i="3"/>
  <c r="C595" i="3"/>
  <c r="B595" i="3"/>
  <c r="A595" i="3"/>
  <c r="H594" i="3"/>
  <c r="G594" i="3"/>
  <c r="F594" i="3"/>
  <c r="E594" i="3"/>
  <c r="C594" i="3"/>
  <c r="A594" i="3"/>
  <c r="F593" i="3"/>
  <c r="E593" i="3"/>
  <c r="A593" i="3"/>
  <c r="H592" i="3"/>
  <c r="G592" i="3"/>
  <c r="F592" i="3"/>
  <c r="E592" i="3"/>
  <c r="C592" i="3"/>
  <c r="B592" i="3"/>
  <c r="A592" i="3"/>
  <c r="H591" i="3"/>
  <c r="G591" i="3"/>
  <c r="F591" i="3"/>
  <c r="E591" i="3"/>
  <c r="C591" i="3"/>
  <c r="B591" i="3"/>
  <c r="A591" i="3"/>
  <c r="H590" i="3"/>
  <c r="G590" i="3"/>
  <c r="F590" i="3"/>
  <c r="E590" i="3"/>
  <c r="C590" i="3"/>
  <c r="B590" i="3"/>
  <c r="A590" i="3"/>
  <c r="H589" i="3"/>
  <c r="G589" i="3"/>
  <c r="F589" i="3"/>
  <c r="E589" i="3"/>
  <c r="C589" i="3"/>
  <c r="B589" i="3"/>
  <c r="A589" i="3"/>
  <c r="H588" i="3"/>
  <c r="G588" i="3"/>
  <c r="F588" i="3"/>
  <c r="E588" i="3"/>
  <c r="D588" i="3"/>
  <c r="C588" i="3"/>
  <c r="B588" i="3"/>
  <c r="A588" i="3"/>
  <c r="H587" i="3"/>
  <c r="G587" i="3"/>
  <c r="F587" i="3"/>
  <c r="E587" i="3"/>
  <c r="D587" i="3"/>
  <c r="C587" i="3"/>
  <c r="B587" i="3"/>
  <c r="A587" i="3"/>
  <c r="H586" i="3"/>
  <c r="G586" i="3"/>
  <c r="F586" i="3"/>
  <c r="E586" i="3"/>
  <c r="D586" i="3"/>
  <c r="C586" i="3"/>
  <c r="B586" i="3"/>
  <c r="A586" i="3"/>
  <c r="H585" i="3"/>
  <c r="G585" i="3"/>
  <c r="F585" i="3"/>
  <c r="E585" i="3"/>
  <c r="C585" i="3"/>
  <c r="B585" i="3"/>
  <c r="A585" i="3"/>
  <c r="H584" i="3"/>
  <c r="G584" i="3"/>
  <c r="F584" i="3"/>
  <c r="E584" i="3"/>
  <c r="D584" i="3"/>
  <c r="C584" i="3"/>
  <c r="B584" i="3"/>
  <c r="A584" i="3"/>
  <c r="H583" i="3"/>
  <c r="G583" i="3"/>
  <c r="F583" i="3"/>
  <c r="E583" i="3"/>
  <c r="C583" i="3"/>
  <c r="B583" i="3"/>
  <c r="A583" i="3"/>
  <c r="H582" i="3"/>
  <c r="G582" i="3"/>
  <c r="F582" i="3"/>
  <c r="C582" i="3"/>
  <c r="B582" i="3"/>
  <c r="A582" i="3"/>
  <c r="H581" i="3"/>
  <c r="G581" i="3"/>
  <c r="F581" i="3"/>
  <c r="E581" i="3"/>
  <c r="C581" i="3"/>
  <c r="B581" i="3"/>
  <c r="A581" i="3"/>
  <c r="H580" i="3"/>
  <c r="G580" i="3"/>
  <c r="F580" i="3"/>
  <c r="E580" i="3"/>
  <c r="C580" i="3"/>
  <c r="B580" i="3"/>
  <c r="A580" i="3"/>
  <c r="H579" i="3"/>
  <c r="G579" i="3"/>
  <c r="F579" i="3"/>
  <c r="E579" i="3"/>
  <c r="B579" i="3"/>
  <c r="A579" i="3"/>
  <c r="H578" i="3"/>
  <c r="G578" i="3"/>
  <c r="F578" i="3"/>
  <c r="E578" i="3"/>
  <c r="D578" i="3"/>
  <c r="C578" i="3"/>
  <c r="B578" i="3"/>
  <c r="A578" i="3"/>
  <c r="H577" i="3"/>
  <c r="G577" i="3"/>
  <c r="F577" i="3"/>
  <c r="E577" i="3"/>
  <c r="B577" i="3"/>
  <c r="A577" i="3"/>
  <c r="H576" i="3"/>
  <c r="G576" i="3"/>
  <c r="F576" i="3"/>
  <c r="E576" i="3"/>
  <c r="B576" i="3"/>
  <c r="A576" i="3"/>
  <c r="H575" i="3"/>
  <c r="G575" i="3"/>
  <c r="F575" i="3"/>
  <c r="E575" i="3"/>
  <c r="D575" i="3"/>
  <c r="C575" i="3"/>
  <c r="B575" i="3"/>
  <c r="A575" i="3"/>
  <c r="H574" i="3"/>
  <c r="G574" i="3"/>
  <c r="F574" i="3"/>
  <c r="E574" i="3"/>
  <c r="C574" i="3"/>
  <c r="B574" i="3"/>
  <c r="A574" i="3"/>
  <c r="H573" i="3"/>
  <c r="G573" i="3"/>
  <c r="F573" i="3"/>
  <c r="E573" i="3"/>
  <c r="C573" i="3"/>
  <c r="B573" i="3"/>
  <c r="A573" i="3"/>
  <c r="H572" i="3"/>
  <c r="G572" i="3"/>
  <c r="F572" i="3"/>
  <c r="E572" i="3"/>
  <c r="B572" i="3"/>
  <c r="A572" i="3"/>
  <c r="H571" i="3"/>
  <c r="G571" i="3"/>
  <c r="F571" i="3"/>
  <c r="A571" i="3"/>
  <c r="H570" i="3"/>
  <c r="G570" i="3"/>
  <c r="F570" i="3"/>
  <c r="E570" i="3"/>
  <c r="C570" i="3"/>
  <c r="B570" i="3"/>
  <c r="A570" i="3"/>
  <c r="H569" i="3"/>
  <c r="G569" i="3"/>
  <c r="F569" i="3"/>
  <c r="E569" i="3"/>
  <c r="D569" i="3"/>
  <c r="C569" i="3"/>
  <c r="B569" i="3"/>
  <c r="A569" i="3"/>
  <c r="H568" i="3"/>
  <c r="G568" i="3"/>
  <c r="F568" i="3"/>
  <c r="E568" i="3"/>
  <c r="C568" i="3"/>
  <c r="B568" i="3"/>
  <c r="A568" i="3"/>
  <c r="H567" i="3"/>
  <c r="G567" i="3"/>
  <c r="F567" i="3"/>
  <c r="C567" i="3"/>
  <c r="B567" i="3"/>
  <c r="A567" i="3"/>
  <c r="H566" i="3"/>
  <c r="G566" i="3"/>
  <c r="F566" i="3"/>
  <c r="E566" i="3"/>
  <c r="A566" i="3"/>
  <c r="H565" i="3"/>
  <c r="G565" i="3"/>
  <c r="F565" i="3"/>
  <c r="E565" i="3"/>
  <c r="A565" i="3"/>
  <c r="H564" i="3"/>
  <c r="G564" i="3"/>
  <c r="F564" i="3"/>
  <c r="A564" i="3"/>
  <c r="H563" i="3"/>
  <c r="G563" i="3"/>
  <c r="F563" i="3"/>
  <c r="E563" i="3"/>
  <c r="A563" i="3"/>
  <c r="H562" i="3"/>
  <c r="G562" i="3"/>
  <c r="F562" i="3"/>
  <c r="E562" i="3"/>
  <c r="C562" i="3"/>
  <c r="B562" i="3"/>
  <c r="A562" i="3"/>
  <c r="H561" i="3"/>
  <c r="G561" i="3"/>
  <c r="F561" i="3"/>
  <c r="E561" i="3"/>
  <c r="D561" i="3"/>
  <c r="C561" i="3"/>
  <c r="B561" i="3"/>
  <c r="A561" i="3"/>
  <c r="H560" i="3"/>
  <c r="G560" i="3"/>
  <c r="F560" i="3"/>
  <c r="E560" i="3"/>
  <c r="D560" i="3"/>
  <c r="C560" i="3"/>
  <c r="B560" i="3"/>
  <c r="A560" i="3"/>
  <c r="H559" i="3"/>
  <c r="G559" i="3"/>
  <c r="F559" i="3"/>
  <c r="E559" i="3"/>
  <c r="D559" i="3"/>
  <c r="C559" i="3"/>
  <c r="B559" i="3"/>
  <c r="A559" i="3"/>
  <c r="H558" i="3"/>
  <c r="G558" i="3"/>
  <c r="F558" i="3"/>
  <c r="E558" i="3"/>
  <c r="D558" i="3"/>
  <c r="C558" i="3"/>
  <c r="B558" i="3"/>
  <c r="A558" i="3"/>
  <c r="H557" i="3"/>
  <c r="G557" i="3"/>
  <c r="F557" i="3"/>
  <c r="E557" i="3"/>
  <c r="D557" i="3"/>
  <c r="C557" i="3"/>
  <c r="B557" i="3"/>
  <c r="A557" i="3"/>
  <c r="H556" i="3"/>
  <c r="G556" i="3"/>
  <c r="F556" i="3"/>
  <c r="E556" i="3"/>
  <c r="C556" i="3"/>
  <c r="A556" i="3"/>
  <c r="H555" i="3"/>
  <c r="G555" i="3"/>
  <c r="F555" i="3"/>
  <c r="E555" i="3"/>
  <c r="C555" i="3"/>
  <c r="B555" i="3"/>
  <c r="A555" i="3"/>
  <c r="H554" i="3"/>
  <c r="G554" i="3"/>
  <c r="F554" i="3"/>
  <c r="E554" i="3"/>
  <c r="A554" i="3"/>
  <c r="H553" i="3"/>
  <c r="G553" i="3"/>
  <c r="F553" i="3"/>
  <c r="E553" i="3"/>
  <c r="B553" i="3"/>
  <c r="A553" i="3"/>
  <c r="H552" i="3"/>
  <c r="G552" i="3"/>
  <c r="F552" i="3"/>
  <c r="E552" i="3"/>
  <c r="A552" i="3"/>
  <c r="H551" i="3"/>
  <c r="G551" i="3"/>
  <c r="F551" i="3"/>
  <c r="A551" i="3"/>
  <c r="H550" i="3"/>
  <c r="G550" i="3"/>
  <c r="F550" i="3"/>
  <c r="A550" i="3"/>
  <c r="H549" i="3"/>
  <c r="G549" i="3"/>
  <c r="F549" i="3"/>
  <c r="C549" i="3"/>
  <c r="B549" i="3"/>
  <c r="A549" i="3"/>
  <c r="H548" i="3"/>
  <c r="G548" i="3"/>
  <c r="F548" i="3"/>
  <c r="E548" i="3"/>
  <c r="B548" i="3"/>
  <c r="A548" i="3"/>
  <c r="H547" i="3"/>
  <c r="G547" i="3"/>
  <c r="F547" i="3"/>
  <c r="E547" i="3"/>
  <c r="C547" i="3"/>
  <c r="B547" i="3"/>
  <c r="A547" i="3"/>
  <c r="H546" i="3"/>
  <c r="G546" i="3"/>
  <c r="F546" i="3"/>
  <c r="E546" i="3"/>
  <c r="A546" i="3"/>
  <c r="H545" i="3"/>
  <c r="G545" i="3"/>
  <c r="F545" i="3"/>
  <c r="E545" i="3"/>
  <c r="C545" i="3"/>
  <c r="B545" i="3"/>
  <c r="A545" i="3"/>
  <c r="H544" i="3"/>
  <c r="G544" i="3"/>
  <c r="F544" i="3"/>
  <c r="E544" i="3"/>
  <c r="A544" i="3"/>
  <c r="H543" i="3"/>
  <c r="G543" i="3"/>
  <c r="F543" i="3"/>
  <c r="E543" i="3"/>
  <c r="C543" i="3"/>
  <c r="B543" i="3"/>
  <c r="A543" i="3"/>
  <c r="H542" i="3"/>
  <c r="G542" i="3"/>
  <c r="F542" i="3"/>
  <c r="E542" i="3"/>
  <c r="D542" i="3"/>
  <c r="C542" i="3"/>
  <c r="B542" i="3"/>
  <c r="A542" i="3"/>
  <c r="H541" i="3"/>
  <c r="G541" i="3"/>
  <c r="F541" i="3"/>
  <c r="E541" i="3"/>
  <c r="D541" i="3"/>
  <c r="C541" i="3"/>
  <c r="B541" i="3"/>
  <c r="A541" i="3"/>
  <c r="H540" i="3"/>
  <c r="G540" i="3"/>
  <c r="F540" i="3"/>
  <c r="A540" i="3"/>
  <c r="H539" i="3"/>
  <c r="G539" i="3"/>
  <c r="F539" i="3"/>
  <c r="C539" i="3"/>
  <c r="B539" i="3"/>
  <c r="A539" i="3"/>
  <c r="H538" i="3"/>
  <c r="G538" i="3"/>
  <c r="F538" i="3"/>
  <c r="A538" i="3"/>
  <c r="H537" i="3"/>
  <c r="G537" i="3"/>
  <c r="F537" i="3"/>
  <c r="E537" i="3"/>
  <c r="D537" i="3"/>
  <c r="C537" i="3"/>
  <c r="B537" i="3"/>
  <c r="A537" i="3"/>
  <c r="H536" i="3"/>
  <c r="G536" i="3"/>
  <c r="F536" i="3"/>
  <c r="E536" i="3"/>
  <c r="A536" i="3"/>
  <c r="H535" i="3"/>
  <c r="G535" i="3"/>
  <c r="F535" i="3"/>
  <c r="E535" i="3"/>
  <c r="A535" i="3"/>
  <c r="H534" i="3"/>
  <c r="G534" i="3"/>
  <c r="F534" i="3"/>
  <c r="A534" i="3"/>
  <c r="H533" i="3"/>
  <c r="G533" i="3"/>
  <c r="F533" i="3"/>
  <c r="E533" i="3"/>
  <c r="D533" i="3"/>
  <c r="C533" i="3"/>
  <c r="B533" i="3"/>
  <c r="A533" i="3"/>
  <c r="H532" i="3"/>
  <c r="G532" i="3"/>
  <c r="F532" i="3"/>
  <c r="E532" i="3"/>
  <c r="D532" i="3"/>
  <c r="C532" i="3"/>
  <c r="B532" i="3"/>
  <c r="A532" i="3"/>
  <c r="H531" i="3"/>
  <c r="G531" i="3"/>
  <c r="F531" i="3"/>
  <c r="E531" i="3"/>
  <c r="C531" i="3"/>
  <c r="B531" i="3"/>
  <c r="A531" i="3"/>
  <c r="H530" i="3"/>
  <c r="G530" i="3"/>
  <c r="F530" i="3"/>
  <c r="E530" i="3"/>
  <c r="A530" i="3"/>
  <c r="H529" i="3"/>
  <c r="G529" i="3"/>
  <c r="F529" i="3"/>
  <c r="E529" i="3"/>
  <c r="B529" i="3"/>
  <c r="A529" i="3"/>
  <c r="H528" i="3"/>
  <c r="G528" i="3"/>
  <c r="F528" i="3"/>
  <c r="E528" i="3"/>
  <c r="C528" i="3"/>
  <c r="B528" i="3"/>
  <c r="A528" i="3"/>
  <c r="H527" i="3"/>
  <c r="G527" i="3"/>
  <c r="F527" i="3"/>
  <c r="E527" i="3"/>
  <c r="A527" i="3"/>
  <c r="H526" i="3"/>
  <c r="G526" i="3"/>
  <c r="F526" i="3"/>
  <c r="E526" i="3"/>
  <c r="D526" i="3"/>
  <c r="C526" i="3"/>
  <c r="B526" i="3"/>
  <c r="A526" i="3"/>
  <c r="H525" i="3"/>
  <c r="G525" i="3"/>
  <c r="F525" i="3"/>
  <c r="E525" i="3"/>
  <c r="D525" i="3"/>
  <c r="C525" i="3"/>
  <c r="B525" i="3"/>
  <c r="A525" i="3"/>
  <c r="H524" i="3"/>
  <c r="G524" i="3"/>
  <c r="F524" i="3"/>
  <c r="E524" i="3"/>
  <c r="C524" i="3"/>
  <c r="B524" i="3"/>
  <c r="A524" i="3"/>
  <c r="H523" i="3"/>
  <c r="G523" i="3"/>
  <c r="F523" i="3"/>
  <c r="E523" i="3"/>
  <c r="C523" i="3"/>
  <c r="B523" i="3"/>
  <c r="A523" i="3"/>
  <c r="H522" i="3"/>
  <c r="G522" i="3"/>
  <c r="F522" i="3"/>
  <c r="E522" i="3"/>
  <c r="C522" i="3"/>
  <c r="B522" i="3"/>
  <c r="A522" i="3"/>
  <c r="H521" i="3"/>
  <c r="G521" i="3"/>
  <c r="F521" i="3"/>
  <c r="E521" i="3"/>
  <c r="A521" i="3"/>
  <c r="H520" i="3"/>
  <c r="G520" i="3"/>
  <c r="F520" i="3"/>
  <c r="E520" i="3"/>
  <c r="A520" i="3"/>
  <c r="H519" i="3"/>
  <c r="G519" i="3"/>
  <c r="F519" i="3"/>
  <c r="E519" i="3"/>
  <c r="A519" i="3"/>
  <c r="H518" i="3"/>
  <c r="G518" i="3"/>
  <c r="F518" i="3"/>
  <c r="A518" i="3"/>
  <c r="H517" i="3"/>
  <c r="G517" i="3"/>
  <c r="F517" i="3"/>
  <c r="A517" i="3"/>
  <c r="H516" i="3"/>
  <c r="G516" i="3"/>
  <c r="F516" i="3"/>
  <c r="E516" i="3"/>
  <c r="C516" i="3"/>
  <c r="B516" i="3"/>
  <c r="A516" i="3"/>
  <c r="H515" i="3"/>
  <c r="G515" i="3"/>
  <c r="F515" i="3"/>
  <c r="A515" i="3"/>
  <c r="H514" i="3"/>
  <c r="G514" i="3"/>
  <c r="F514" i="3"/>
  <c r="E514" i="3"/>
  <c r="A514" i="3"/>
  <c r="H513" i="3"/>
  <c r="G513" i="3"/>
  <c r="F513" i="3"/>
  <c r="E513" i="3"/>
  <c r="C513" i="3"/>
  <c r="B513" i="3"/>
  <c r="A513" i="3"/>
  <c r="H512" i="3"/>
  <c r="G512" i="3"/>
  <c r="F512" i="3"/>
  <c r="E512" i="3"/>
  <c r="C512" i="3"/>
  <c r="B512" i="3"/>
  <c r="A512" i="3"/>
  <c r="H511" i="3"/>
  <c r="G511" i="3"/>
  <c r="F511" i="3"/>
  <c r="E511" i="3"/>
  <c r="B511" i="3"/>
  <c r="A511" i="3"/>
  <c r="H510" i="3"/>
  <c r="G510" i="3"/>
  <c r="F510" i="3"/>
  <c r="E510" i="3"/>
  <c r="B510" i="3"/>
  <c r="A510" i="3"/>
  <c r="H509" i="3"/>
  <c r="G509" i="3"/>
  <c r="F509" i="3"/>
  <c r="D509" i="3"/>
  <c r="C509" i="3"/>
  <c r="B509" i="3"/>
  <c r="A509" i="3"/>
  <c r="H508" i="3"/>
  <c r="G508" i="3"/>
  <c r="F508" i="3"/>
  <c r="E508" i="3"/>
  <c r="D508" i="3"/>
  <c r="C508" i="3"/>
  <c r="B508" i="3"/>
  <c r="A508" i="3"/>
  <c r="H507" i="3"/>
  <c r="G507" i="3"/>
  <c r="F507" i="3"/>
  <c r="E507" i="3"/>
  <c r="A507" i="3"/>
  <c r="H506" i="3"/>
  <c r="G506" i="3"/>
  <c r="F506" i="3"/>
  <c r="E506" i="3"/>
  <c r="C506" i="3"/>
  <c r="A506" i="3"/>
  <c r="H505" i="3"/>
  <c r="G505" i="3"/>
  <c r="F505" i="3"/>
  <c r="E505" i="3"/>
  <c r="D505" i="3"/>
  <c r="C505" i="3"/>
  <c r="B505" i="3"/>
  <c r="A505" i="3"/>
  <c r="H504" i="3"/>
  <c r="G504" i="3"/>
  <c r="F504" i="3"/>
  <c r="E504" i="3"/>
  <c r="A504" i="3"/>
  <c r="H503" i="3"/>
  <c r="G503" i="3"/>
  <c r="F503" i="3"/>
  <c r="E503" i="3"/>
  <c r="D503" i="3"/>
  <c r="C503" i="3"/>
  <c r="B503" i="3"/>
  <c r="A503" i="3"/>
  <c r="H502" i="3"/>
  <c r="G502" i="3"/>
  <c r="F502" i="3"/>
  <c r="E502" i="3"/>
  <c r="C502" i="3"/>
  <c r="B502" i="3"/>
  <c r="A502" i="3"/>
  <c r="H501" i="3"/>
  <c r="G501" i="3"/>
  <c r="F501" i="3"/>
  <c r="E501" i="3"/>
  <c r="A501" i="3"/>
  <c r="H500" i="3"/>
  <c r="G500" i="3"/>
  <c r="F500" i="3"/>
  <c r="E500" i="3"/>
  <c r="C500" i="3"/>
  <c r="B500" i="3"/>
  <c r="A500" i="3"/>
  <c r="H499" i="3"/>
  <c r="G499" i="3"/>
  <c r="F499" i="3"/>
  <c r="E499" i="3"/>
  <c r="C499" i="3"/>
  <c r="B499" i="3"/>
  <c r="A499" i="3"/>
  <c r="H498" i="3"/>
  <c r="G498" i="3"/>
  <c r="F498" i="3"/>
  <c r="E498" i="3"/>
  <c r="D498" i="3"/>
  <c r="C498" i="3"/>
  <c r="B498" i="3"/>
  <c r="A498" i="3"/>
  <c r="H497" i="3"/>
  <c r="G497" i="3"/>
  <c r="F497" i="3"/>
  <c r="E497" i="3"/>
  <c r="A497" i="3"/>
  <c r="H496" i="3"/>
  <c r="G496" i="3"/>
  <c r="F496" i="3"/>
  <c r="E496" i="3"/>
  <c r="A496" i="3"/>
  <c r="H495" i="3"/>
  <c r="G495" i="3"/>
  <c r="F495" i="3"/>
  <c r="E495" i="3"/>
  <c r="C495" i="3"/>
  <c r="B495" i="3"/>
  <c r="A495" i="3"/>
  <c r="H494" i="3"/>
  <c r="G494" i="3"/>
  <c r="F494" i="3"/>
  <c r="E494" i="3"/>
  <c r="D494" i="3"/>
  <c r="C494" i="3"/>
  <c r="B494" i="3"/>
  <c r="A494" i="3"/>
  <c r="H493" i="3"/>
  <c r="G493" i="3"/>
  <c r="F493" i="3"/>
  <c r="E493" i="3"/>
  <c r="C493" i="3"/>
  <c r="B493" i="3"/>
  <c r="A493" i="3"/>
  <c r="H492" i="3"/>
  <c r="G492" i="3"/>
  <c r="F492" i="3"/>
  <c r="E492" i="3"/>
  <c r="D492" i="3"/>
  <c r="C492" i="3"/>
  <c r="B492" i="3"/>
  <c r="A492" i="3"/>
  <c r="H491" i="3"/>
  <c r="G491" i="3"/>
  <c r="F491" i="3"/>
  <c r="E491" i="3"/>
  <c r="A491" i="3"/>
  <c r="H490" i="3"/>
  <c r="G490" i="3"/>
  <c r="F490" i="3"/>
  <c r="E490" i="3"/>
  <c r="B490" i="3"/>
  <c r="A490" i="3"/>
  <c r="H489" i="3"/>
  <c r="G489" i="3"/>
  <c r="F489" i="3"/>
  <c r="E489" i="3"/>
  <c r="D489" i="3"/>
  <c r="C489" i="3"/>
  <c r="B489" i="3"/>
  <c r="A489" i="3"/>
  <c r="H488" i="3"/>
  <c r="G488" i="3"/>
  <c r="F488" i="3"/>
  <c r="E488" i="3"/>
  <c r="D488" i="3"/>
  <c r="C488" i="3"/>
  <c r="B488" i="3"/>
  <c r="A488" i="3"/>
  <c r="H487" i="3"/>
  <c r="G487" i="3"/>
  <c r="F487" i="3"/>
  <c r="E487" i="3"/>
  <c r="C487" i="3"/>
  <c r="B487" i="3"/>
  <c r="A487" i="3"/>
  <c r="H486" i="3"/>
  <c r="G486" i="3"/>
  <c r="F486" i="3"/>
  <c r="E486" i="3"/>
  <c r="D486" i="3"/>
  <c r="C486" i="3"/>
  <c r="B486" i="3"/>
  <c r="A486" i="3"/>
  <c r="H485" i="3"/>
  <c r="G485" i="3"/>
  <c r="F485" i="3"/>
  <c r="C485" i="3"/>
  <c r="B485" i="3"/>
  <c r="A485" i="3"/>
  <c r="H484" i="3"/>
  <c r="G484" i="3"/>
  <c r="F484" i="3"/>
  <c r="C484" i="3"/>
  <c r="B484" i="3"/>
  <c r="A484" i="3"/>
  <c r="H483" i="3"/>
  <c r="G483" i="3"/>
  <c r="F483" i="3"/>
  <c r="E483" i="3"/>
  <c r="C483" i="3"/>
  <c r="B483" i="3"/>
  <c r="A483" i="3"/>
  <c r="H482" i="3"/>
  <c r="G482" i="3"/>
  <c r="F482" i="3"/>
  <c r="E482" i="3"/>
  <c r="C482" i="3"/>
  <c r="B482" i="3"/>
  <c r="A482" i="3"/>
  <c r="H481" i="3"/>
  <c r="G481" i="3"/>
  <c r="F481" i="3"/>
  <c r="E481" i="3"/>
  <c r="A481" i="3"/>
  <c r="H480" i="3"/>
  <c r="G480" i="3"/>
  <c r="F480" i="3"/>
  <c r="E480" i="3"/>
  <c r="C480" i="3"/>
  <c r="B480" i="3"/>
  <c r="A480" i="3"/>
  <c r="H479" i="3"/>
  <c r="G479" i="3"/>
  <c r="F479" i="3"/>
  <c r="A479" i="3"/>
  <c r="H478" i="3"/>
  <c r="G478" i="3"/>
  <c r="F478" i="3"/>
  <c r="E478" i="3"/>
  <c r="C478" i="3"/>
  <c r="B478" i="3"/>
  <c r="A478" i="3"/>
  <c r="H477" i="3"/>
  <c r="G477" i="3"/>
  <c r="F477" i="3"/>
  <c r="E477" i="3"/>
  <c r="C477" i="3"/>
  <c r="B477" i="3"/>
  <c r="A477" i="3"/>
  <c r="H476" i="3"/>
  <c r="G476" i="3"/>
  <c r="F476" i="3"/>
  <c r="E476" i="3"/>
  <c r="D476" i="3"/>
  <c r="C476" i="3"/>
  <c r="B476" i="3"/>
  <c r="A476" i="3"/>
  <c r="H475" i="3"/>
  <c r="G475" i="3"/>
  <c r="F475" i="3"/>
  <c r="E475" i="3"/>
  <c r="D475" i="3"/>
  <c r="C475" i="3"/>
  <c r="B475" i="3"/>
  <c r="A475" i="3"/>
  <c r="H474" i="3"/>
  <c r="G474" i="3"/>
  <c r="F474" i="3"/>
  <c r="E474" i="3"/>
  <c r="D474" i="3"/>
  <c r="C474" i="3"/>
  <c r="B474" i="3"/>
  <c r="A474" i="3"/>
  <c r="H473" i="3"/>
  <c r="G473" i="3"/>
  <c r="F473" i="3"/>
  <c r="E473" i="3"/>
  <c r="D473" i="3"/>
  <c r="C473" i="3"/>
  <c r="B473" i="3"/>
  <c r="A473" i="3"/>
  <c r="H472" i="3"/>
  <c r="G472" i="3"/>
  <c r="F472" i="3"/>
  <c r="E472" i="3"/>
  <c r="A472" i="3"/>
  <c r="H471" i="3"/>
  <c r="G471" i="3"/>
  <c r="F471" i="3"/>
  <c r="E471" i="3"/>
  <c r="D471" i="3"/>
  <c r="C471" i="3"/>
  <c r="B471" i="3"/>
  <c r="A471" i="3"/>
  <c r="H470" i="3"/>
  <c r="G470" i="3"/>
  <c r="F470" i="3"/>
  <c r="E470" i="3"/>
  <c r="D470" i="3"/>
  <c r="C470" i="3"/>
  <c r="B470" i="3"/>
  <c r="A470" i="3"/>
  <c r="H469" i="3"/>
  <c r="G469" i="3"/>
  <c r="F469" i="3"/>
  <c r="E469" i="3"/>
  <c r="C469" i="3"/>
  <c r="B469" i="3"/>
  <c r="A469" i="3"/>
  <c r="H468" i="3"/>
  <c r="G468" i="3"/>
  <c r="F468" i="3"/>
  <c r="E468" i="3"/>
  <c r="C468" i="3"/>
  <c r="B468" i="3"/>
  <c r="A468" i="3"/>
  <c r="H467" i="3"/>
  <c r="G467" i="3"/>
  <c r="F467" i="3"/>
  <c r="E467" i="3"/>
  <c r="D467" i="3"/>
  <c r="C467" i="3"/>
  <c r="B467" i="3"/>
  <c r="A467" i="3"/>
  <c r="H466" i="3"/>
  <c r="G466" i="3"/>
  <c r="F466" i="3"/>
  <c r="E466" i="3"/>
  <c r="C466" i="3"/>
  <c r="B466" i="3"/>
  <c r="A466" i="3"/>
  <c r="H465" i="3"/>
  <c r="G465" i="3"/>
  <c r="F465" i="3"/>
  <c r="E465" i="3"/>
  <c r="C465" i="3"/>
  <c r="B465" i="3"/>
  <c r="A465" i="3"/>
  <c r="H464" i="3"/>
  <c r="G464" i="3"/>
  <c r="F464" i="3"/>
  <c r="E464" i="3"/>
  <c r="C464" i="3"/>
  <c r="B464" i="3"/>
  <c r="A464" i="3"/>
  <c r="H463" i="3"/>
  <c r="G463" i="3"/>
  <c r="F463" i="3"/>
  <c r="E463" i="3"/>
  <c r="C463" i="3"/>
  <c r="B463" i="3"/>
  <c r="A463" i="3"/>
  <c r="H462" i="3"/>
  <c r="G462" i="3"/>
  <c r="F462" i="3"/>
  <c r="E462" i="3"/>
  <c r="C462" i="3"/>
  <c r="B462" i="3"/>
  <c r="A462" i="3"/>
  <c r="H461" i="3"/>
  <c r="G461" i="3"/>
  <c r="F461" i="3"/>
  <c r="E461" i="3"/>
  <c r="C461" i="3"/>
  <c r="B461" i="3"/>
  <c r="A461" i="3"/>
  <c r="H460" i="3"/>
  <c r="G460" i="3"/>
  <c r="F460" i="3"/>
  <c r="E460" i="3"/>
  <c r="C460" i="3"/>
  <c r="B460" i="3"/>
  <c r="A460" i="3"/>
  <c r="H459" i="3"/>
  <c r="G459" i="3"/>
  <c r="F459" i="3"/>
  <c r="E459" i="3"/>
  <c r="B459" i="3"/>
  <c r="A459" i="3"/>
  <c r="H458" i="3"/>
  <c r="G458" i="3"/>
  <c r="F458" i="3"/>
  <c r="E458" i="3"/>
  <c r="B458" i="3"/>
  <c r="A458" i="3"/>
  <c r="H457" i="3"/>
  <c r="G457" i="3"/>
  <c r="F457" i="3"/>
  <c r="E457" i="3"/>
  <c r="C457" i="3"/>
  <c r="B457" i="3"/>
  <c r="A457" i="3"/>
  <c r="H456" i="3"/>
  <c r="G456" i="3"/>
  <c r="F456" i="3"/>
  <c r="E456" i="3"/>
  <c r="C456" i="3"/>
  <c r="B456" i="3"/>
  <c r="A456" i="3"/>
  <c r="H455" i="3"/>
  <c r="G455" i="3"/>
  <c r="F455" i="3"/>
  <c r="E455" i="3"/>
  <c r="C455" i="3"/>
  <c r="B455" i="3"/>
  <c r="A455" i="3"/>
  <c r="H454" i="3"/>
  <c r="G454" i="3"/>
  <c r="F454" i="3"/>
  <c r="E454" i="3"/>
  <c r="C454" i="3"/>
  <c r="B454" i="3"/>
  <c r="A454" i="3"/>
  <c r="H453" i="3"/>
  <c r="G453" i="3"/>
  <c r="F453" i="3"/>
  <c r="E453" i="3"/>
  <c r="A453" i="3"/>
  <c r="H452" i="3"/>
  <c r="G452" i="3"/>
  <c r="F452" i="3"/>
  <c r="E452" i="3"/>
  <c r="D452" i="3"/>
  <c r="C452" i="3"/>
  <c r="B452" i="3"/>
  <c r="A452" i="3"/>
  <c r="H451" i="3"/>
  <c r="G451" i="3"/>
  <c r="F451" i="3"/>
  <c r="E451" i="3"/>
  <c r="C451" i="3"/>
  <c r="B451" i="3"/>
  <c r="A451" i="3"/>
  <c r="H450" i="3"/>
  <c r="G450" i="3"/>
  <c r="F450" i="3"/>
  <c r="E450" i="3"/>
  <c r="C450" i="3"/>
  <c r="B450" i="3"/>
  <c r="A450" i="3"/>
  <c r="H449" i="3"/>
  <c r="G449" i="3"/>
  <c r="F449" i="3"/>
  <c r="E449" i="3"/>
  <c r="D449" i="3"/>
  <c r="C449" i="3"/>
  <c r="B449" i="3"/>
  <c r="A449" i="3"/>
  <c r="H448" i="3"/>
  <c r="G448" i="3"/>
  <c r="F448" i="3"/>
  <c r="E448" i="3"/>
  <c r="C448" i="3"/>
  <c r="B448" i="3"/>
  <c r="A448" i="3"/>
  <c r="H447" i="3"/>
  <c r="G447" i="3"/>
  <c r="F447" i="3"/>
  <c r="E447" i="3"/>
  <c r="D447" i="3"/>
  <c r="C447" i="3"/>
  <c r="B447" i="3"/>
  <c r="A447" i="3"/>
  <c r="H446" i="3"/>
  <c r="G446" i="3"/>
  <c r="F446" i="3"/>
  <c r="E446" i="3"/>
  <c r="C446" i="3"/>
  <c r="B446" i="3"/>
  <c r="A446" i="3"/>
  <c r="H445" i="3"/>
  <c r="G445" i="3"/>
  <c r="F445" i="3"/>
  <c r="E445" i="3"/>
  <c r="C445" i="3"/>
  <c r="B445" i="3"/>
  <c r="A445" i="3"/>
  <c r="H444" i="3"/>
  <c r="G444" i="3"/>
  <c r="F444" i="3"/>
  <c r="C444" i="3"/>
  <c r="B444" i="3"/>
  <c r="A444" i="3"/>
  <c r="H443" i="3"/>
  <c r="G443" i="3"/>
  <c r="F443" i="3"/>
  <c r="E443" i="3"/>
  <c r="A443" i="3"/>
  <c r="H442" i="3"/>
  <c r="G442" i="3"/>
  <c r="F442" i="3"/>
  <c r="E442" i="3"/>
  <c r="A442" i="3"/>
  <c r="H441" i="3"/>
  <c r="G441" i="3"/>
  <c r="F441" i="3"/>
  <c r="A441" i="3"/>
  <c r="H440" i="3"/>
  <c r="G440" i="3"/>
  <c r="F440" i="3"/>
  <c r="C440" i="3"/>
  <c r="B440" i="3"/>
  <c r="A440" i="3"/>
  <c r="H439" i="3"/>
  <c r="G439" i="3"/>
  <c r="F439" i="3"/>
  <c r="E439" i="3"/>
  <c r="C439" i="3"/>
  <c r="B439" i="3"/>
  <c r="A439" i="3"/>
  <c r="H438" i="3"/>
  <c r="G438" i="3"/>
  <c r="F438" i="3"/>
  <c r="E438" i="3"/>
  <c r="C438" i="3"/>
  <c r="B438" i="3"/>
  <c r="A438" i="3"/>
  <c r="H437" i="3"/>
  <c r="G437" i="3"/>
  <c r="F437" i="3"/>
  <c r="E437" i="3"/>
  <c r="C437" i="3"/>
  <c r="B437" i="3"/>
  <c r="A437" i="3"/>
  <c r="H436" i="3"/>
  <c r="G436" i="3"/>
  <c r="F436" i="3"/>
  <c r="E436" i="3"/>
  <c r="C436" i="3"/>
  <c r="B436" i="3"/>
  <c r="A436" i="3"/>
  <c r="H435" i="3"/>
  <c r="G435" i="3"/>
  <c r="F435" i="3"/>
  <c r="E435" i="3"/>
  <c r="D435" i="3"/>
  <c r="C435" i="3"/>
  <c r="B435" i="3"/>
  <c r="A435" i="3"/>
  <c r="H434" i="3"/>
  <c r="G434" i="3"/>
  <c r="F434" i="3"/>
  <c r="E434" i="3"/>
  <c r="D434" i="3"/>
  <c r="C434" i="3"/>
  <c r="B434" i="3"/>
  <c r="A434" i="3"/>
  <c r="H433" i="3"/>
  <c r="G433" i="3"/>
  <c r="F433" i="3"/>
  <c r="E433" i="3"/>
  <c r="D433" i="3"/>
  <c r="C433" i="3"/>
  <c r="B433" i="3"/>
  <c r="A433" i="3"/>
  <c r="H432" i="3"/>
  <c r="G432" i="3"/>
  <c r="F432" i="3"/>
  <c r="E432" i="3"/>
  <c r="C432" i="3"/>
  <c r="B432" i="3"/>
  <c r="A432" i="3"/>
  <c r="H431" i="3"/>
  <c r="G431" i="3"/>
  <c r="F431" i="3"/>
  <c r="E431" i="3"/>
  <c r="C431" i="3"/>
  <c r="A431" i="3"/>
  <c r="H430" i="3"/>
  <c r="G430" i="3"/>
  <c r="F430" i="3"/>
  <c r="E430" i="3"/>
  <c r="D430" i="3"/>
  <c r="C430" i="3"/>
  <c r="B430" i="3"/>
  <c r="A430" i="3"/>
  <c r="H429" i="3"/>
  <c r="G429" i="3"/>
  <c r="F429" i="3"/>
  <c r="A429" i="3"/>
  <c r="H428" i="3"/>
  <c r="G428" i="3"/>
  <c r="F428" i="3"/>
  <c r="A428" i="3"/>
  <c r="H427" i="3"/>
  <c r="G427" i="3"/>
  <c r="F427" i="3"/>
  <c r="A427" i="3"/>
  <c r="H426" i="3"/>
  <c r="G426" i="3"/>
  <c r="F426" i="3"/>
  <c r="C426" i="3"/>
  <c r="A426" i="3"/>
  <c r="H425" i="3"/>
  <c r="G425" i="3"/>
  <c r="F425" i="3"/>
  <c r="E425" i="3"/>
  <c r="B425" i="3"/>
  <c r="A425" i="3"/>
  <c r="H424" i="3"/>
  <c r="G424" i="3"/>
  <c r="F424" i="3"/>
  <c r="B424" i="3"/>
  <c r="A424" i="3"/>
  <c r="H423" i="3"/>
  <c r="G423" i="3"/>
  <c r="F423" i="3"/>
  <c r="E423" i="3"/>
  <c r="B423" i="3"/>
  <c r="A423" i="3"/>
  <c r="H422" i="3"/>
  <c r="G422" i="3"/>
  <c r="F422" i="3"/>
  <c r="A422" i="3"/>
  <c r="H421" i="3"/>
  <c r="G421" i="3"/>
  <c r="F421" i="3"/>
  <c r="E421" i="3"/>
  <c r="B421" i="3"/>
  <c r="A421" i="3"/>
  <c r="H420" i="3"/>
  <c r="G420" i="3"/>
  <c r="F420" i="3"/>
  <c r="E420" i="3"/>
  <c r="C420" i="3"/>
  <c r="B420" i="3"/>
  <c r="A420" i="3"/>
  <c r="H419" i="3"/>
  <c r="G419" i="3"/>
  <c r="F419" i="3"/>
  <c r="E419" i="3"/>
  <c r="B419" i="3"/>
  <c r="A419" i="3"/>
  <c r="H418" i="3"/>
  <c r="G418" i="3"/>
  <c r="F418" i="3"/>
  <c r="E418" i="3"/>
  <c r="B418" i="3"/>
  <c r="A418" i="3"/>
  <c r="H417" i="3"/>
  <c r="G417" i="3"/>
  <c r="F417" i="3"/>
  <c r="E417" i="3"/>
  <c r="A417" i="3"/>
  <c r="H416" i="3"/>
  <c r="G416" i="3"/>
  <c r="F416" i="3"/>
  <c r="E416" i="3"/>
  <c r="C416" i="3"/>
  <c r="B416" i="3"/>
  <c r="A416" i="3"/>
  <c r="H415" i="3"/>
  <c r="G415" i="3"/>
  <c r="F415" i="3"/>
  <c r="A415" i="3"/>
  <c r="H414" i="3"/>
  <c r="G414" i="3"/>
  <c r="F414" i="3"/>
  <c r="E414" i="3"/>
  <c r="D414" i="3"/>
  <c r="C414" i="3"/>
  <c r="B414" i="3"/>
  <c r="A414" i="3"/>
  <c r="H413" i="3"/>
  <c r="G413" i="3"/>
  <c r="F413" i="3"/>
  <c r="E413" i="3"/>
  <c r="D413" i="3"/>
  <c r="C413" i="3"/>
  <c r="B413" i="3"/>
  <c r="A413" i="3"/>
  <c r="H412" i="3"/>
  <c r="G412" i="3"/>
  <c r="F412" i="3"/>
  <c r="A412" i="3"/>
  <c r="H411" i="3"/>
  <c r="G411" i="3"/>
  <c r="F411" i="3"/>
  <c r="E411" i="3"/>
  <c r="C411" i="3"/>
  <c r="B411" i="3"/>
  <c r="A411" i="3"/>
  <c r="H410" i="3"/>
  <c r="G410" i="3"/>
  <c r="F410" i="3"/>
  <c r="A410" i="3"/>
  <c r="H409" i="3"/>
  <c r="G409" i="3"/>
  <c r="F409" i="3"/>
  <c r="E409" i="3"/>
  <c r="A409" i="3"/>
  <c r="H408" i="3"/>
  <c r="G408" i="3"/>
  <c r="F408" i="3"/>
  <c r="E408" i="3"/>
  <c r="B408" i="3"/>
  <c r="A408" i="3"/>
  <c r="E407" i="3"/>
  <c r="A407" i="3"/>
  <c r="H406" i="3"/>
  <c r="G406" i="3"/>
  <c r="F406" i="3"/>
  <c r="A406" i="3"/>
  <c r="H405" i="3"/>
  <c r="G405" i="3"/>
  <c r="F405" i="3"/>
  <c r="E405" i="3"/>
  <c r="D405" i="3"/>
  <c r="C405" i="3"/>
  <c r="B405" i="3"/>
  <c r="A405" i="3"/>
  <c r="H404" i="3"/>
  <c r="G404" i="3"/>
  <c r="F404" i="3"/>
  <c r="E404" i="3"/>
  <c r="A404" i="3"/>
  <c r="H403" i="3"/>
  <c r="G403" i="3"/>
  <c r="F403" i="3"/>
  <c r="A403" i="3"/>
  <c r="H402" i="3"/>
  <c r="G402" i="3"/>
  <c r="F402" i="3"/>
  <c r="E402" i="3"/>
  <c r="A402" i="3"/>
  <c r="H401" i="3"/>
  <c r="G401" i="3"/>
  <c r="F401" i="3"/>
  <c r="E401" i="3"/>
  <c r="C401" i="3"/>
  <c r="B401" i="3"/>
  <c r="A401" i="3"/>
  <c r="H400" i="3"/>
  <c r="G400" i="3"/>
  <c r="F400" i="3"/>
  <c r="E400" i="3"/>
  <c r="C400" i="3"/>
  <c r="B400" i="3"/>
  <c r="A400" i="3"/>
  <c r="H399" i="3"/>
  <c r="G399" i="3"/>
  <c r="F399" i="3"/>
  <c r="E399" i="3"/>
  <c r="C399" i="3"/>
  <c r="B399" i="3"/>
  <c r="A399" i="3"/>
  <c r="H398" i="3"/>
  <c r="G398" i="3"/>
  <c r="F398" i="3"/>
  <c r="E398" i="3"/>
  <c r="B398" i="3"/>
  <c r="A398" i="3"/>
  <c r="H397" i="3"/>
  <c r="G397" i="3"/>
  <c r="F397" i="3"/>
  <c r="E397" i="3"/>
  <c r="C397" i="3"/>
  <c r="B397" i="3"/>
  <c r="A397" i="3"/>
  <c r="H396" i="3"/>
  <c r="G396" i="3"/>
  <c r="F396" i="3"/>
  <c r="C396" i="3"/>
  <c r="B396" i="3"/>
  <c r="A396" i="3"/>
  <c r="H395" i="3"/>
  <c r="G395" i="3"/>
  <c r="F395" i="3"/>
  <c r="E395" i="3"/>
  <c r="C395" i="3"/>
  <c r="B395" i="3"/>
  <c r="A395" i="3"/>
  <c r="H394" i="3"/>
  <c r="G394" i="3"/>
  <c r="F394" i="3"/>
  <c r="E394" i="3"/>
  <c r="C394" i="3"/>
  <c r="B394" i="3"/>
  <c r="A394" i="3"/>
  <c r="H393" i="3"/>
  <c r="G393" i="3"/>
  <c r="F393" i="3"/>
  <c r="E393" i="3"/>
  <c r="C393" i="3"/>
  <c r="B393" i="3"/>
  <c r="A393" i="3"/>
  <c r="H392" i="3"/>
  <c r="G392" i="3"/>
  <c r="F392" i="3"/>
  <c r="E392" i="3"/>
  <c r="D392" i="3"/>
  <c r="C392" i="3"/>
  <c r="B392" i="3"/>
  <c r="A392" i="3"/>
  <c r="H391" i="3"/>
  <c r="G391" i="3"/>
  <c r="F391" i="3"/>
  <c r="E391" i="3"/>
  <c r="C391" i="3"/>
  <c r="B391" i="3"/>
  <c r="A391" i="3"/>
  <c r="H390" i="3"/>
  <c r="G390" i="3"/>
  <c r="F390" i="3"/>
  <c r="C390" i="3"/>
  <c r="B390" i="3"/>
  <c r="A390" i="3"/>
  <c r="H389" i="3"/>
  <c r="G389" i="3"/>
  <c r="F389" i="3"/>
  <c r="E389" i="3"/>
  <c r="C389" i="3"/>
  <c r="B389" i="3"/>
  <c r="A389" i="3"/>
  <c r="F388" i="3"/>
  <c r="E388" i="3"/>
  <c r="A388" i="3"/>
  <c r="F387" i="3"/>
  <c r="E387" i="3"/>
  <c r="A387" i="3"/>
  <c r="F386" i="3"/>
  <c r="E386" i="3"/>
  <c r="A386" i="3"/>
  <c r="H385" i="3"/>
  <c r="G385" i="3"/>
  <c r="F385" i="3"/>
  <c r="E385" i="3"/>
  <c r="C385" i="3"/>
  <c r="B385" i="3"/>
  <c r="A385" i="3"/>
  <c r="H384" i="3"/>
  <c r="G384" i="3"/>
  <c r="F384" i="3"/>
  <c r="A384" i="3"/>
  <c r="H383" i="3"/>
  <c r="G383" i="3"/>
  <c r="F383" i="3"/>
  <c r="A383" i="3"/>
  <c r="H382" i="3"/>
  <c r="G382" i="3"/>
  <c r="F382" i="3"/>
  <c r="E382" i="3"/>
  <c r="C382" i="3"/>
  <c r="B382" i="3"/>
  <c r="A382" i="3"/>
  <c r="H381" i="3"/>
  <c r="G381" i="3"/>
  <c r="F381" i="3"/>
  <c r="E381" i="3"/>
  <c r="C381" i="3"/>
  <c r="B381" i="3"/>
  <c r="A381" i="3"/>
  <c r="H380" i="3"/>
  <c r="G380" i="3"/>
  <c r="F380" i="3"/>
  <c r="E380" i="3"/>
  <c r="D380" i="3"/>
  <c r="C380" i="3"/>
  <c r="B380" i="3"/>
  <c r="A380" i="3"/>
  <c r="H379" i="3"/>
  <c r="G379" i="3"/>
  <c r="F379" i="3"/>
  <c r="A379" i="3"/>
  <c r="H378" i="3"/>
  <c r="G378" i="3"/>
  <c r="F378" i="3"/>
  <c r="E378" i="3"/>
  <c r="A378" i="3"/>
  <c r="H377" i="3"/>
  <c r="G377" i="3"/>
  <c r="F377" i="3"/>
  <c r="E377" i="3"/>
  <c r="D377" i="3"/>
  <c r="C377" i="3"/>
  <c r="B377" i="3"/>
  <c r="A377" i="3"/>
  <c r="H376" i="3"/>
  <c r="G376" i="3"/>
  <c r="F376" i="3"/>
  <c r="E376" i="3"/>
  <c r="D376" i="3"/>
  <c r="C376" i="3"/>
  <c r="B376" i="3"/>
  <c r="A376" i="3"/>
  <c r="H375" i="3"/>
  <c r="G375" i="3"/>
  <c r="F375" i="3"/>
  <c r="E375" i="3"/>
  <c r="C375" i="3"/>
  <c r="B375" i="3"/>
  <c r="A375" i="3"/>
  <c r="H374" i="3"/>
  <c r="G374" i="3"/>
  <c r="F374" i="3"/>
  <c r="E374" i="3"/>
  <c r="C374" i="3"/>
  <c r="B374" i="3"/>
  <c r="A374" i="3"/>
  <c r="H373" i="3"/>
  <c r="G373" i="3"/>
  <c r="F373" i="3"/>
  <c r="E373" i="3"/>
  <c r="C373" i="3"/>
  <c r="B373" i="3"/>
  <c r="A373" i="3"/>
  <c r="H372" i="3"/>
  <c r="G372" i="3"/>
  <c r="F372" i="3"/>
  <c r="C372" i="3"/>
  <c r="B372" i="3"/>
  <c r="A372" i="3"/>
  <c r="H371" i="3"/>
  <c r="G371" i="3"/>
  <c r="F371" i="3"/>
  <c r="E371" i="3"/>
  <c r="B371" i="3"/>
  <c r="A371" i="3"/>
  <c r="H370" i="3"/>
  <c r="G370" i="3"/>
  <c r="F370" i="3"/>
  <c r="E370" i="3"/>
  <c r="C370" i="3"/>
  <c r="B370" i="3"/>
  <c r="A370" i="3"/>
  <c r="H369" i="3"/>
  <c r="G369" i="3"/>
  <c r="F369" i="3"/>
  <c r="E369" i="3"/>
  <c r="C369" i="3"/>
  <c r="B369" i="3"/>
  <c r="A369" i="3"/>
  <c r="H368" i="3"/>
  <c r="G368" i="3"/>
  <c r="F368" i="3"/>
  <c r="E368" i="3"/>
  <c r="C368" i="3"/>
  <c r="B368" i="3"/>
  <c r="A368" i="3"/>
  <c r="H367" i="3"/>
  <c r="G367" i="3"/>
  <c r="F367" i="3"/>
  <c r="E367" i="3"/>
  <c r="C367" i="3"/>
  <c r="B367" i="3"/>
  <c r="A367" i="3"/>
  <c r="H366" i="3"/>
  <c r="G366" i="3"/>
  <c r="F366" i="3"/>
  <c r="E366" i="3"/>
  <c r="A366" i="3"/>
  <c r="H365" i="3"/>
  <c r="G365" i="3"/>
  <c r="F365" i="3"/>
  <c r="E365" i="3"/>
  <c r="B365" i="3"/>
  <c r="A365" i="3"/>
  <c r="H364" i="3"/>
  <c r="G364" i="3"/>
  <c r="F364" i="3"/>
  <c r="E364" i="3"/>
  <c r="C364" i="3"/>
  <c r="B364" i="3"/>
  <c r="A364" i="3"/>
  <c r="H363" i="3"/>
  <c r="G363" i="3"/>
  <c r="F363" i="3"/>
  <c r="E363" i="3"/>
  <c r="C363" i="3"/>
  <c r="B363" i="3"/>
  <c r="A363" i="3"/>
  <c r="H362" i="3"/>
  <c r="G362" i="3"/>
  <c r="F362" i="3"/>
  <c r="E362" i="3"/>
  <c r="C362" i="3"/>
  <c r="B362" i="3"/>
  <c r="A362" i="3"/>
  <c r="H361" i="3"/>
  <c r="G361" i="3"/>
  <c r="F361" i="3"/>
  <c r="E361" i="3"/>
  <c r="C361" i="3"/>
  <c r="B361" i="3"/>
  <c r="A361" i="3"/>
  <c r="H360" i="3"/>
  <c r="G360" i="3"/>
  <c r="F360" i="3"/>
  <c r="E360" i="3"/>
  <c r="C360" i="3"/>
  <c r="B360" i="3"/>
  <c r="A360" i="3"/>
  <c r="H359" i="3"/>
  <c r="G359" i="3"/>
  <c r="F359" i="3"/>
  <c r="E359" i="3"/>
  <c r="A359" i="3"/>
  <c r="H358" i="3"/>
  <c r="G358" i="3"/>
  <c r="F358" i="3"/>
  <c r="E358" i="3"/>
  <c r="A358" i="3"/>
  <c r="H357" i="3"/>
  <c r="G357" i="3"/>
  <c r="F357" i="3"/>
  <c r="E357" i="3"/>
  <c r="A357" i="3"/>
  <c r="H356" i="3"/>
  <c r="G356" i="3"/>
  <c r="F356" i="3"/>
  <c r="E356" i="3"/>
  <c r="B356" i="3"/>
  <c r="A356" i="3"/>
  <c r="H355" i="3"/>
  <c r="G355" i="3"/>
  <c r="F355" i="3"/>
  <c r="E355" i="3"/>
  <c r="C355" i="3"/>
  <c r="B355" i="3"/>
  <c r="A355" i="3"/>
  <c r="H354" i="3"/>
  <c r="G354" i="3"/>
  <c r="F354" i="3"/>
  <c r="A354" i="3"/>
  <c r="H353" i="3"/>
  <c r="G353" i="3"/>
  <c r="F353" i="3"/>
  <c r="E353" i="3"/>
  <c r="D353" i="3"/>
  <c r="C353" i="3"/>
  <c r="B353" i="3"/>
  <c r="A353" i="3"/>
  <c r="H352" i="3"/>
  <c r="G352" i="3"/>
  <c r="F352" i="3"/>
  <c r="E352" i="3"/>
  <c r="C352" i="3"/>
  <c r="A352" i="3"/>
  <c r="H351" i="3"/>
  <c r="G351" i="3"/>
  <c r="F351" i="3"/>
  <c r="E351" i="3"/>
  <c r="D351" i="3"/>
  <c r="C351" i="3"/>
  <c r="B351" i="3"/>
  <c r="A351" i="3"/>
  <c r="H350" i="3"/>
  <c r="G350" i="3"/>
  <c r="F350" i="3"/>
  <c r="E350" i="3"/>
  <c r="C350" i="3"/>
  <c r="B350" i="3"/>
  <c r="A350" i="3"/>
  <c r="H349" i="3"/>
  <c r="G349" i="3"/>
  <c r="F349" i="3"/>
  <c r="E349" i="3"/>
  <c r="C349" i="3"/>
  <c r="B349" i="3"/>
  <c r="A349" i="3"/>
  <c r="H348" i="3"/>
  <c r="G348" i="3"/>
  <c r="F348" i="3"/>
  <c r="E348" i="3"/>
  <c r="C348" i="3"/>
  <c r="B348" i="3"/>
  <c r="A348" i="3"/>
  <c r="H347" i="3"/>
  <c r="G347" i="3"/>
  <c r="F347" i="3"/>
  <c r="E347" i="3"/>
  <c r="C347" i="3"/>
  <c r="B347" i="3"/>
  <c r="A347" i="3"/>
  <c r="H346" i="3"/>
  <c r="G346" i="3"/>
  <c r="F346" i="3"/>
  <c r="E346" i="3"/>
  <c r="D346" i="3"/>
  <c r="C346" i="3"/>
  <c r="B346" i="3"/>
  <c r="A346" i="3"/>
  <c r="H345" i="3"/>
  <c r="G345" i="3"/>
  <c r="F345" i="3"/>
  <c r="E345" i="3"/>
  <c r="B345" i="3"/>
  <c r="A345" i="3"/>
  <c r="H344" i="3"/>
  <c r="G344" i="3"/>
  <c r="F344" i="3"/>
  <c r="E344" i="3"/>
  <c r="B344" i="3"/>
  <c r="A344" i="3"/>
  <c r="H343" i="3"/>
  <c r="G343" i="3"/>
  <c r="F343" i="3"/>
  <c r="A343" i="3"/>
  <c r="H342" i="3"/>
  <c r="G342" i="3"/>
  <c r="F342" i="3"/>
  <c r="E342" i="3"/>
  <c r="C342" i="3"/>
  <c r="B342" i="3"/>
  <c r="A342" i="3"/>
  <c r="H341" i="3"/>
  <c r="G341" i="3"/>
  <c r="F341" i="3"/>
  <c r="E341" i="3"/>
  <c r="C341" i="3"/>
  <c r="B341" i="3"/>
  <c r="A341" i="3"/>
  <c r="H340" i="3"/>
  <c r="G340" i="3"/>
  <c r="F340" i="3"/>
  <c r="A340" i="3"/>
  <c r="H339" i="3"/>
  <c r="G339" i="3"/>
  <c r="F339" i="3"/>
  <c r="C339" i="3"/>
  <c r="B339" i="3"/>
  <c r="A339" i="3"/>
  <c r="H338" i="3"/>
  <c r="G338" i="3"/>
  <c r="F338" i="3"/>
  <c r="B338" i="3"/>
  <c r="A338" i="3"/>
  <c r="H337" i="3"/>
  <c r="G337" i="3"/>
  <c r="F337" i="3"/>
  <c r="A337" i="3"/>
  <c r="H336" i="3"/>
  <c r="G336" i="3"/>
  <c r="F336" i="3"/>
  <c r="A336" i="3"/>
  <c r="H335" i="3"/>
  <c r="G335" i="3"/>
  <c r="F335" i="3"/>
  <c r="A335" i="3"/>
  <c r="H334" i="3"/>
  <c r="G334" i="3"/>
  <c r="F334" i="3"/>
  <c r="E334" i="3"/>
  <c r="C334" i="3"/>
  <c r="A334" i="3"/>
  <c r="H333" i="3"/>
  <c r="G333" i="3"/>
  <c r="F333" i="3"/>
  <c r="E333" i="3"/>
  <c r="C333" i="3"/>
  <c r="A333" i="3"/>
  <c r="H332" i="3"/>
  <c r="G332" i="3"/>
  <c r="F332" i="3"/>
  <c r="E332" i="3"/>
  <c r="C332" i="3"/>
  <c r="B332" i="3"/>
  <c r="A332" i="3"/>
  <c r="H331" i="3"/>
  <c r="G331" i="3"/>
  <c r="F331" i="3"/>
  <c r="B331" i="3"/>
  <c r="A331" i="3"/>
  <c r="H330" i="3"/>
  <c r="G330" i="3"/>
  <c r="F330" i="3"/>
  <c r="E330" i="3"/>
  <c r="B330" i="3"/>
  <c r="A330" i="3"/>
  <c r="H329" i="3"/>
  <c r="G329" i="3"/>
  <c r="F329" i="3"/>
  <c r="E329" i="3"/>
  <c r="C329" i="3"/>
  <c r="B329" i="3"/>
  <c r="A329" i="3"/>
  <c r="H328" i="3"/>
  <c r="G328" i="3"/>
  <c r="F328" i="3"/>
  <c r="A328" i="3"/>
  <c r="H327" i="3"/>
  <c r="G327" i="3"/>
  <c r="F327" i="3"/>
  <c r="A327" i="3"/>
  <c r="H326" i="3"/>
  <c r="G326" i="3"/>
  <c r="F326" i="3"/>
  <c r="E326" i="3"/>
  <c r="A326" i="3"/>
  <c r="H325" i="3"/>
  <c r="G325" i="3"/>
  <c r="F325" i="3"/>
  <c r="A325" i="3"/>
  <c r="H324" i="3"/>
  <c r="G324" i="3"/>
  <c r="F324" i="3"/>
  <c r="E324" i="3"/>
  <c r="C324" i="3"/>
  <c r="B324" i="3"/>
  <c r="A324" i="3"/>
  <c r="H323" i="3"/>
  <c r="G323" i="3"/>
  <c r="F323" i="3"/>
  <c r="A323" i="3"/>
  <c r="H322" i="3"/>
  <c r="G322" i="3"/>
  <c r="F322" i="3"/>
  <c r="E322" i="3"/>
  <c r="A322" i="3"/>
  <c r="H321" i="3"/>
  <c r="G321" i="3"/>
  <c r="F321" i="3"/>
  <c r="E321" i="3"/>
  <c r="D321" i="3"/>
  <c r="C321" i="3"/>
  <c r="B321" i="3"/>
  <c r="A321" i="3"/>
  <c r="H320" i="3"/>
  <c r="G320" i="3"/>
  <c r="F320" i="3"/>
  <c r="E320" i="3"/>
  <c r="D320" i="3"/>
  <c r="C320" i="3"/>
  <c r="B320" i="3"/>
  <c r="A320" i="3"/>
  <c r="H319" i="3"/>
  <c r="G319" i="3"/>
  <c r="F319" i="3"/>
  <c r="A319" i="3"/>
  <c r="H318" i="3"/>
  <c r="G318" i="3"/>
  <c r="F318" i="3"/>
  <c r="E318" i="3"/>
  <c r="B318" i="3"/>
  <c r="A318" i="3"/>
  <c r="H317" i="3"/>
  <c r="G317" i="3"/>
  <c r="F317" i="3"/>
  <c r="A317" i="3"/>
  <c r="H316" i="3"/>
  <c r="G316" i="3"/>
  <c r="F316" i="3"/>
  <c r="E316" i="3"/>
  <c r="C316" i="3"/>
  <c r="B316" i="3"/>
  <c r="A316" i="3"/>
  <c r="H315" i="3"/>
  <c r="G315" i="3"/>
  <c r="F315" i="3"/>
  <c r="E315" i="3"/>
  <c r="C315" i="3"/>
  <c r="B315" i="3"/>
  <c r="A315" i="3"/>
  <c r="H314" i="3"/>
  <c r="G314" i="3"/>
  <c r="F314" i="3"/>
  <c r="E314" i="3"/>
  <c r="C314" i="3"/>
  <c r="B314" i="3"/>
  <c r="A314" i="3"/>
  <c r="H313" i="3"/>
  <c r="G313" i="3"/>
  <c r="F313" i="3"/>
  <c r="E313" i="3"/>
  <c r="C313" i="3"/>
  <c r="B313" i="3"/>
  <c r="A313" i="3"/>
  <c r="H312" i="3"/>
  <c r="G312" i="3"/>
  <c r="F312" i="3"/>
  <c r="E312" i="3"/>
  <c r="D312" i="3"/>
  <c r="C312" i="3"/>
  <c r="B312" i="3"/>
  <c r="A312" i="3"/>
  <c r="H311" i="3"/>
  <c r="G311" i="3"/>
  <c r="F311" i="3"/>
  <c r="A311" i="3"/>
  <c r="H310" i="3"/>
  <c r="G310" i="3"/>
  <c r="F310" i="3"/>
  <c r="A310" i="3"/>
  <c r="H309" i="3"/>
  <c r="G309" i="3"/>
  <c r="F309" i="3"/>
  <c r="E309" i="3"/>
  <c r="D309" i="3"/>
  <c r="C309" i="3"/>
  <c r="B309" i="3"/>
  <c r="A309" i="3"/>
  <c r="H308" i="3"/>
  <c r="G308" i="3"/>
  <c r="F308" i="3"/>
  <c r="A308" i="3"/>
  <c r="H307" i="3"/>
  <c r="G307" i="3"/>
  <c r="F307" i="3"/>
  <c r="C307" i="3"/>
  <c r="A307" i="3"/>
  <c r="H306" i="3"/>
  <c r="G306" i="3"/>
  <c r="F306" i="3"/>
  <c r="E306" i="3"/>
  <c r="C306" i="3"/>
  <c r="B306" i="3"/>
  <c r="A306" i="3"/>
  <c r="H305" i="3"/>
  <c r="G305" i="3"/>
  <c r="F305" i="3"/>
  <c r="E305" i="3"/>
  <c r="C305" i="3"/>
  <c r="B305" i="3"/>
  <c r="A305" i="3"/>
  <c r="H304" i="3"/>
  <c r="F304" i="3"/>
  <c r="E304" i="3"/>
  <c r="B304" i="3"/>
  <c r="A304" i="3"/>
  <c r="H303" i="3"/>
  <c r="G303" i="3"/>
  <c r="F303" i="3"/>
  <c r="E303" i="3"/>
  <c r="D303" i="3"/>
  <c r="C303" i="3"/>
  <c r="B303" i="3"/>
  <c r="A303" i="3"/>
  <c r="H302" i="3"/>
  <c r="G302" i="3"/>
  <c r="F302" i="3"/>
  <c r="E302" i="3"/>
  <c r="D302" i="3"/>
  <c r="C302" i="3"/>
  <c r="B302" i="3"/>
  <c r="A302" i="3"/>
  <c r="H301" i="3"/>
  <c r="G301" i="3"/>
  <c r="F301" i="3"/>
  <c r="E301" i="3"/>
  <c r="C301" i="3"/>
  <c r="B301" i="3"/>
  <c r="A301" i="3"/>
  <c r="H300" i="3"/>
  <c r="G300" i="3"/>
  <c r="F300" i="3"/>
  <c r="A300" i="3"/>
  <c r="H299" i="3"/>
  <c r="G299" i="3"/>
  <c r="F299" i="3"/>
  <c r="E299" i="3"/>
  <c r="A299" i="3"/>
  <c r="H298" i="3"/>
  <c r="G298" i="3"/>
  <c r="F298" i="3"/>
  <c r="E298" i="3"/>
  <c r="B298" i="3"/>
  <c r="A298" i="3"/>
  <c r="H297" i="3"/>
  <c r="G297" i="3"/>
  <c r="F297" i="3"/>
  <c r="A297" i="3"/>
  <c r="H296" i="3"/>
  <c r="G296" i="3"/>
  <c r="F296" i="3"/>
  <c r="E296" i="3"/>
  <c r="A296" i="3"/>
  <c r="H295" i="3"/>
  <c r="G295" i="3"/>
  <c r="F295" i="3"/>
  <c r="A295" i="3"/>
  <c r="H294" i="3"/>
  <c r="G294" i="3"/>
  <c r="F294" i="3"/>
  <c r="E294" i="3"/>
  <c r="C294" i="3"/>
  <c r="A294" i="3"/>
  <c r="H293" i="3"/>
  <c r="G293" i="3"/>
  <c r="F293" i="3"/>
  <c r="E293" i="3"/>
  <c r="C293" i="3"/>
  <c r="B293" i="3"/>
  <c r="A293" i="3"/>
  <c r="H292" i="3"/>
  <c r="G292" i="3"/>
  <c r="F292" i="3"/>
  <c r="E292" i="3"/>
  <c r="A292" i="3"/>
  <c r="H291" i="3"/>
  <c r="G291" i="3"/>
  <c r="F291" i="3"/>
  <c r="E291" i="3"/>
  <c r="C291" i="3"/>
  <c r="B291" i="3"/>
  <c r="A291" i="3"/>
  <c r="H290" i="3"/>
  <c r="G290" i="3"/>
  <c r="F290" i="3"/>
  <c r="E290" i="3"/>
  <c r="C290" i="3"/>
  <c r="B290" i="3"/>
  <c r="A290" i="3"/>
  <c r="H289" i="3"/>
  <c r="G289" i="3"/>
  <c r="F289" i="3"/>
  <c r="E289" i="3"/>
  <c r="A289" i="3"/>
  <c r="H288" i="3"/>
  <c r="G288" i="3"/>
  <c r="F288" i="3"/>
  <c r="E288" i="3"/>
  <c r="D288" i="3"/>
  <c r="C288" i="3"/>
  <c r="B288" i="3"/>
  <c r="A288" i="3"/>
  <c r="H287" i="3"/>
  <c r="G287" i="3"/>
  <c r="F287" i="3"/>
  <c r="E287" i="3"/>
  <c r="D287" i="3"/>
  <c r="C287" i="3"/>
  <c r="B287" i="3"/>
  <c r="A287" i="3"/>
  <c r="H286" i="3"/>
  <c r="G286" i="3"/>
  <c r="F286" i="3"/>
  <c r="E286" i="3"/>
  <c r="C286" i="3"/>
  <c r="B286" i="3"/>
  <c r="A286" i="3"/>
  <c r="H285" i="3"/>
  <c r="G285" i="3"/>
  <c r="F285" i="3"/>
  <c r="E285" i="3"/>
  <c r="C285" i="3"/>
  <c r="B285" i="3"/>
  <c r="A285" i="3"/>
  <c r="H284" i="3"/>
  <c r="G284" i="3"/>
  <c r="F284" i="3"/>
  <c r="E284" i="3"/>
  <c r="D284" i="3"/>
  <c r="C284" i="3"/>
  <c r="B284" i="3"/>
  <c r="A284" i="3"/>
  <c r="H283" i="3"/>
  <c r="G283" i="3"/>
  <c r="F283" i="3"/>
  <c r="E283" i="3"/>
  <c r="C283" i="3"/>
  <c r="B283" i="3"/>
  <c r="A283" i="3"/>
  <c r="H282" i="3"/>
  <c r="G282" i="3"/>
  <c r="F282" i="3"/>
  <c r="E282" i="3"/>
  <c r="C282" i="3"/>
  <c r="B282" i="3"/>
  <c r="A282" i="3"/>
  <c r="H281" i="3"/>
  <c r="G281" i="3"/>
  <c r="F281" i="3"/>
  <c r="E281" i="3"/>
  <c r="C281" i="3"/>
  <c r="B281" i="3"/>
  <c r="A281" i="3"/>
  <c r="H280" i="3"/>
  <c r="G280" i="3"/>
  <c r="F280" i="3"/>
  <c r="A280" i="3"/>
  <c r="H279" i="3"/>
  <c r="G279" i="3"/>
  <c r="F279" i="3"/>
  <c r="E279" i="3"/>
  <c r="C279" i="3"/>
  <c r="B279" i="3"/>
  <c r="A279" i="3"/>
  <c r="H278" i="3"/>
  <c r="G278" i="3"/>
  <c r="F278" i="3"/>
  <c r="E278" i="3"/>
  <c r="C278" i="3"/>
  <c r="B278" i="3"/>
  <c r="A278" i="3"/>
  <c r="H277" i="3"/>
  <c r="G277" i="3"/>
  <c r="F277" i="3"/>
  <c r="E277" i="3"/>
  <c r="C277" i="3"/>
  <c r="B277" i="3"/>
  <c r="A277" i="3"/>
  <c r="H276" i="3"/>
  <c r="G276" i="3"/>
  <c r="F276" i="3"/>
  <c r="E276" i="3"/>
  <c r="D276" i="3"/>
  <c r="C276" i="3"/>
  <c r="B276" i="3"/>
  <c r="A276" i="3"/>
  <c r="H275" i="3"/>
  <c r="G275" i="3"/>
  <c r="F275" i="3"/>
  <c r="E275" i="3"/>
  <c r="C275" i="3"/>
  <c r="B275" i="3"/>
  <c r="A275" i="3"/>
  <c r="H274" i="3"/>
  <c r="G274" i="3"/>
  <c r="F274" i="3"/>
  <c r="E274" i="3"/>
  <c r="C274" i="3"/>
  <c r="B274" i="3"/>
  <c r="A274" i="3"/>
  <c r="H273" i="3"/>
  <c r="G273" i="3"/>
  <c r="F273" i="3"/>
  <c r="E273" i="3"/>
  <c r="C273" i="3"/>
  <c r="B273" i="3"/>
  <c r="A273" i="3"/>
  <c r="H272" i="3"/>
  <c r="G272" i="3"/>
  <c r="F272" i="3"/>
  <c r="E272" i="3"/>
  <c r="A272" i="3"/>
  <c r="H271" i="3"/>
  <c r="G271" i="3"/>
  <c r="F271" i="3"/>
  <c r="E271" i="3"/>
  <c r="C271" i="3"/>
  <c r="B271" i="3"/>
  <c r="A271" i="3"/>
  <c r="H270" i="3"/>
  <c r="G270" i="3"/>
  <c r="F270" i="3"/>
  <c r="E270" i="3"/>
  <c r="B270" i="3"/>
  <c r="A270" i="3"/>
  <c r="H269" i="3"/>
  <c r="G269" i="3"/>
  <c r="F269" i="3"/>
  <c r="E269" i="3"/>
  <c r="C269" i="3"/>
  <c r="B269" i="3"/>
  <c r="A269" i="3"/>
  <c r="H268" i="3"/>
  <c r="G268" i="3"/>
  <c r="F268" i="3"/>
  <c r="E268" i="3"/>
  <c r="C268" i="3"/>
  <c r="B268" i="3"/>
  <c r="A268" i="3"/>
  <c r="H267" i="3"/>
  <c r="G267" i="3"/>
  <c r="F267" i="3"/>
  <c r="E267" i="3"/>
  <c r="C267" i="3"/>
  <c r="B267" i="3"/>
  <c r="A267" i="3"/>
  <c r="H266" i="3"/>
  <c r="G266" i="3"/>
  <c r="F266" i="3"/>
  <c r="E266" i="3"/>
  <c r="C266" i="3"/>
  <c r="B266" i="3"/>
  <c r="A266" i="3"/>
  <c r="H265" i="3"/>
  <c r="G265" i="3"/>
  <c r="F265" i="3"/>
  <c r="E265" i="3"/>
  <c r="C265" i="3"/>
  <c r="B265" i="3"/>
  <c r="A265" i="3"/>
  <c r="H264" i="3"/>
  <c r="G264" i="3"/>
  <c r="F264" i="3"/>
  <c r="E264" i="3"/>
  <c r="A264" i="3"/>
  <c r="H263" i="3"/>
  <c r="G263" i="3"/>
  <c r="F263" i="3"/>
  <c r="E263" i="3"/>
  <c r="C263" i="3"/>
  <c r="B263" i="3"/>
  <c r="A263" i="3"/>
  <c r="H262" i="3"/>
  <c r="G262" i="3"/>
  <c r="F262" i="3"/>
  <c r="A262" i="3"/>
  <c r="H261" i="3"/>
  <c r="G261" i="3"/>
  <c r="F261" i="3"/>
  <c r="A261" i="3"/>
  <c r="H260" i="3"/>
  <c r="G260" i="3"/>
  <c r="F260" i="3"/>
  <c r="E260" i="3"/>
  <c r="C260" i="3"/>
  <c r="B260" i="3"/>
  <c r="A260" i="3"/>
  <c r="H259" i="3"/>
  <c r="G259" i="3"/>
  <c r="F259" i="3"/>
  <c r="E259" i="3"/>
  <c r="C259" i="3"/>
  <c r="B259" i="3"/>
  <c r="A259" i="3"/>
  <c r="H258" i="3"/>
  <c r="G258" i="3"/>
  <c r="F258" i="3"/>
  <c r="E258" i="3"/>
  <c r="C258" i="3"/>
  <c r="B258" i="3"/>
  <c r="A258" i="3"/>
  <c r="H257" i="3"/>
  <c r="G257" i="3"/>
  <c r="F257" i="3"/>
  <c r="E257" i="3"/>
  <c r="A257" i="3"/>
  <c r="H256" i="3"/>
  <c r="G256" i="3"/>
  <c r="F256" i="3"/>
  <c r="E256" i="3"/>
  <c r="C256" i="3"/>
  <c r="B256" i="3"/>
  <c r="A256" i="3"/>
  <c r="H255" i="3"/>
  <c r="G255" i="3"/>
  <c r="F255" i="3"/>
  <c r="C255" i="3"/>
  <c r="B255" i="3"/>
  <c r="A255" i="3"/>
  <c r="H254" i="3"/>
  <c r="G254" i="3"/>
  <c r="F254" i="3"/>
  <c r="E254" i="3"/>
  <c r="D254" i="3"/>
  <c r="C254" i="3"/>
  <c r="B254" i="3"/>
  <c r="A254" i="3"/>
  <c r="H253" i="3"/>
  <c r="G253" i="3"/>
  <c r="F253" i="3"/>
  <c r="E253" i="3"/>
  <c r="C253" i="3"/>
  <c r="B253" i="3"/>
  <c r="A253" i="3"/>
  <c r="H252" i="3"/>
  <c r="G252" i="3"/>
  <c r="F252" i="3"/>
  <c r="C252" i="3"/>
  <c r="B252" i="3"/>
  <c r="A252" i="3"/>
  <c r="H251" i="3"/>
  <c r="G251" i="3"/>
  <c r="F251" i="3"/>
  <c r="E251" i="3"/>
  <c r="C251" i="3"/>
  <c r="B251" i="3"/>
  <c r="A251" i="3"/>
  <c r="H250" i="3"/>
  <c r="G250" i="3"/>
  <c r="F250" i="3"/>
  <c r="E250" i="3"/>
  <c r="C250" i="3"/>
  <c r="B250" i="3"/>
  <c r="A250" i="3"/>
  <c r="H249" i="3"/>
  <c r="G249" i="3"/>
  <c r="F249" i="3"/>
  <c r="E249" i="3"/>
  <c r="C249" i="3"/>
  <c r="B249" i="3"/>
  <c r="A249" i="3"/>
  <c r="H248" i="3"/>
  <c r="G248" i="3"/>
  <c r="F248" i="3"/>
  <c r="E248" i="3"/>
  <c r="C248" i="3"/>
  <c r="B248" i="3"/>
  <c r="A248" i="3"/>
  <c r="H247" i="3"/>
  <c r="G247" i="3"/>
  <c r="F247" i="3"/>
  <c r="E247" i="3"/>
  <c r="D247" i="3"/>
  <c r="C247" i="3"/>
  <c r="B247" i="3"/>
  <c r="A247" i="3"/>
  <c r="H246" i="3"/>
  <c r="G246" i="3"/>
  <c r="F246" i="3"/>
  <c r="E246" i="3"/>
  <c r="A246" i="3"/>
  <c r="H245" i="3"/>
  <c r="G245" i="3"/>
  <c r="F245" i="3"/>
  <c r="C245" i="3"/>
  <c r="A245" i="3"/>
  <c r="H244" i="3"/>
  <c r="G244" i="3"/>
  <c r="F244" i="3"/>
  <c r="E244" i="3"/>
  <c r="C244" i="3"/>
  <c r="B244" i="3"/>
  <c r="A244" i="3"/>
  <c r="H243" i="3"/>
  <c r="G243" i="3"/>
  <c r="F243" i="3"/>
  <c r="E243" i="3"/>
  <c r="A243" i="3"/>
  <c r="H242" i="3"/>
  <c r="G242" i="3"/>
  <c r="F242" i="3"/>
  <c r="E242" i="3"/>
  <c r="A242" i="3"/>
  <c r="H241" i="3"/>
  <c r="G241" i="3"/>
  <c r="F241" i="3"/>
  <c r="E241" i="3"/>
  <c r="C241" i="3"/>
  <c r="B241" i="3"/>
  <c r="A241" i="3"/>
  <c r="H240" i="3"/>
  <c r="G240" i="3"/>
  <c r="F240" i="3"/>
  <c r="E240" i="3"/>
  <c r="C240" i="3"/>
  <c r="B240" i="3"/>
  <c r="A240" i="3"/>
  <c r="H239" i="3"/>
  <c r="G239" i="3"/>
  <c r="F239" i="3"/>
  <c r="E239" i="3"/>
  <c r="C239" i="3"/>
  <c r="B239" i="3"/>
  <c r="A239" i="3"/>
  <c r="H238" i="3"/>
  <c r="G238" i="3"/>
  <c r="F238" i="3"/>
  <c r="E238" i="3"/>
  <c r="C238" i="3"/>
  <c r="B238" i="3"/>
  <c r="A238" i="3"/>
  <c r="H237" i="3"/>
  <c r="G237" i="3"/>
  <c r="F237" i="3"/>
  <c r="E237" i="3"/>
  <c r="B237" i="3"/>
  <c r="A237" i="3"/>
  <c r="H236" i="3"/>
  <c r="G236" i="3"/>
  <c r="F236" i="3"/>
  <c r="E236" i="3"/>
  <c r="C236" i="3"/>
  <c r="B236" i="3"/>
  <c r="A236" i="3"/>
  <c r="H235" i="3"/>
  <c r="G235" i="3"/>
  <c r="F235" i="3"/>
  <c r="E235" i="3"/>
  <c r="D235" i="3"/>
  <c r="C235" i="3"/>
  <c r="B235" i="3"/>
  <c r="A235" i="3"/>
  <c r="H234" i="3"/>
  <c r="G234" i="3"/>
  <c r="F234" i="3"/>
  <c r="E234" i="3"/>
  <c r="D234" i="3"/>
  <c r="C234" i="3"/>
  <c r="B234" i="3"/>
  <c r="A234" i="3"/>
  <c r="H233" i="3"/>
  <c r="G233" i="3"/>
  <c r="F233" i="3"/>
  <c r="E233" i="3"/>
  <c r="C233" i="3"/>
  <c r="B233" i="3"/>
  <c r="A233" i="3"/>
  <c r="H232" i="3"/>
  <c r="G232" i="3"/>
  <c r="F232" i="3"/>
  <c r="E232" i="3"/>
  <c r="C232" i="3"/>
  <c r="B232" i="3"/>
  <c r="A232" i="3"/>
  <c r="H231" i="3"/>
  <c r="G231" i="3"/>
  <c r="F231" i="3"/>
  <c r="E231" i="3"/>
  <c r="D231" i="3"/>
  <c r="C231" i="3"/>
  <c r="B231" i="3"/>
  <c r="A231" i="3"/>
  <c r="H230" i="3"/>
  <c r="G230" i="3"/>
  <c r="F230" i="3"/>
  <c r="E230" i="3"/>
  <c r="C230" i="3"/>
  <c r="B230" i="3"/>
  <c r="A230" i="3"/>
  <c r="H229" i="3"/>
  <c r="G229" i="3"/>
  <c r="F229" i="3"/>
  <c r="E229" i="3"/>
  <c r="C229" i="3"/>
  <c r="B229" i="3"/>
  <c r="A229" i="3"/>
  <c r="H228" i="3"/>
  <c r="G228" i="3"/>
  <c r="F228" i="3"/>
  <c r="E228" i="3"/>
  <c r="A228" i="3"/>
  <c r="H227" i="3"/>
  <c r="G227" i="3"/>
  <c r="F227" i="3"/>
  <c r="E227" i="3"/>
  <c r="C227" i="3"/>
  <c r="B227" i="3"/>
  <c r="A227" i="3"/>
  <c r="H226" i="3"/>
  <c r="G226" i="3"/>
  <c r="F226" i="3"/>
  <c r="E226" i="3"/>
  <c r="C226" i="3"/>
  <c r="B226" i="3"/>
  <c r="A226" i="3"/>
  <c r="H225" i="3"/>
  <c r="G225" i="3"/>
  <c r="F225" i="3"/>
  <c r="E225" i="3"/>
  <c r="C225" i="3"/>
  <c r="B225" i="3"/>
  <c r="A225" i="3"/>
  <c r="H224" i="3"/>
  <c r="G224" i="3"/>
  <c r="F224" i="3"/>
  <c r="E224" i="3"/>
  <c r="C224" i="3"/>
  <c r="B224" i="3"/>
  <c r="A224" i="3"/>
  <c r="H223" i="3"/>
  <c r="G223" i="3"/>
  <c r="F223" i="3"/>
  <c r="A223" i="3"/>
  <c r="H222" i="3"/>
  <c r="G222" i="3"/>
  <c r="F222" i="3"/>
  <c r="E222" i="3"/>
  <c r="D222" i="3"/>
  <c r="C222" i="3"/>
  <c r="B222" i="3"/>
  <c r="A222" i="3"/>
  <c r="H221" i="3"/>
  <c r="G221" i="3"/>
  <c r="F221" i="3"/>
  <c r="E221" i="3"/>
  <c r="C221" i="3"/>
  <c r="B221" i="3"/>
  <c r="A221" i="3"/>
  <c r="H220" i="3"/>
  <c r="G220" i="3"/>
  <c r="F220" i="3"/>
  <c r="E220" i="3"/>
  <c r="C220" i="3"/>
  <c r="B220" i="3"/>
  <c r="A220" i="3"/>
  <c r="H219" i="3"/>
  <c r="G219" i="3"/>
  <c r="F219" i="3"/>
  <c r="E219" i="3"/>
  <c r="C219" i="3"/>
  <c r="B219" i="3"/>
  <c r="A219" i="3"/>
  <c r="H218" i="3"/>
  <c r="G218" i="3"/>
  <c r="F218" i="3"/>
  <c r="E218" i="3"/>
  <c r="C218" i="3"/>
  <c r="B218" i="3"/>
  <c r="A218" i="3"/>
  <c r="H217" i="3"/>
  <c r="G217" i="3"/>
  <c r="F217" i="3"/>
  <c r="E217" i="3"/>
  <c r="D217" i="3"/>
  <c r="C217" i="3"/>
  <c r="B217" i="3"/>
  <c r="A217" i="3"/>
  <c r="H216" i="3"/>
  <c r="G216" i="3"/>
  <c r="F216" i="3"/>
  <c r="C216" i="3"/>
  <c r="A216" i="3"/>
  <c r="H215" i="3"/>
  <c r="G215" i="3"/>
  <c r="F215" i="3"/>
  <c r="C215" i="3"/>
  <c r="A215" i="3"/>
  <c r="H214" i="3"/>
  <c r="G214" i="3"/>
  <c r="F214" i="3"/>
  <c r="C214" i="3"/>
  <c r="B214" i="3"/>
  <c r="A214" i="3"/>
  <c r="H213" i="3"/>
  <c r="G213" i="3"/>
  <c r="F213" i="3"/>
  <c r="C213" i="3"/>
  <c r="B213" i="3"/>
  <c r="A213" i="3"/>
  <c r="H212" i="3"/>
  <c r="G212" i="3"/>
  <c r="F212" i="3"/>
  <c r="C212" i="3"/>
  <c r="B212" i="3"/>
  <c r="A212" i="3"/>
  <c r="H211" i="3"/>
  <c r="G211" i="3"/>
  <c r="F211" i="3"/>
  <c r="E211" i="3"/>
  <c r="D211" i="3"/>
  <c r="C211" i="3"/>
  <c r="B211" i="3"/>
  <c r="A211" i="3"/>
  <c r="H210" i="3"/>
  <c r="G210" i="3"/>
  <c r="F210" i="3"/>
  <c r="E210" i="3"/>
  <c r="C210" i="3"/>
  <c r="B210" i="3"/>
  <c r="A210" i="3"/>
  <c r="H209" i="3"/>
  <c r="G209" i="3"/>
  <c r="F209" i="3"/>
  <c r="A209" i="3"/>
  <c r="H208" i="3"/>
  <c r="G208" i="3"/>
  <c r="F208" i="3"/>
  <c r="A208" i="3"/>
  <c r="H207" i="3"/>
  <c r="G207" i="3"/>
  <c r="F207" i="3"/>
  <c r="E207" i="3"/>
  <c r="C207" i="3"/>
  <c r="B207" i="3"/>
  <c r="A207" i="3"/>
  <c r="H206" i="3"/>
  <c r="G206" i="3"/>
  <c r="F206" i="3"/>
  <c r="E206" i="3"/>
  <c r="C206" i="3"/>
  <c r="B206" i="3"/>
  <c r="A206" i="3"/>
  <c r="H205" i="3"/>
  <c r="G205" i="3"/>
  <c r="F205" i="3"/>
  <c r="C205" i="3"/>
  <c r="B205" i="3"/>
  <c r="A205" i="3"/>
  <c r="H204" i="3"/>
  <c r="G204" i="3"/>
  <c r="F204" i="3"/>
  <c r="E204" i="3"/>
  <c r="C204" i="3"/>
  <c r="B204" i="3"/>
  <c r="A204" i="3"/>
  <c r="H203" i="3"/>
  <c r="G203" i="3"/>
  <c r="F203" i="3"/>
  <c r="E203" i="3"/>
  <c r="D203" i="3"/>
  <c r="C203" i="3"/>
  <c r="B203" i="3"/>
  <c r="A203" i="3"/>
  <c r="H202" i="3"/>
  <c r="G202" i="3"/>
  <c r="F202" i="3"/>
  <c r="E202" i="3"/>
  <c r="D202" i="3"/>
  <c r="C202" i="3"/>
  <c r="B202" i="3"/>
  <c r="A202" i="3"/>
  <c r="H201" i="3"/>
  <c r="G201" i="3"/>
  <c r="F201" i="3"/>
  <c r="E201" i="3"/>
  <c r="C201" i="3"/>
  <c r="B201" i="3"/>
  <c r="A201" i="3"/>
  <c r="H200" i="3"/>
  <c r="G200" i="3"/>
  <c r="F200" i="3"/>
  <c r="A200" i="3"/>
  <c r="H199" i="3"/>
  <c r="G199" i="3"/>
  <c r="F199" i="3"/>
  <c r="A199" i="3"/>
  <c r="H198" i="3"/>
  <c r="G198" i="3"/>
  <c r="F198" i="3"/>
  <c r="A198" i="3"/>
  <c r="H197" i="3"/>
  <c r="G197" i="3"/>
  <c r="E197" i="3"/>
  <c r="C197" i="3"/>
  <c r="B197" i="3"/>
  <c r="A197" i="3"/>
  <c r="H196" i="3"/>
  <c r="G196" i="3"/>
  <c r="F196" i="3"/>
  <c r="E196" i="3"/>
  <c r="C196" i="3"/>
  <c r="B196" i="3"/>
  <c r="A196" i="3"/>
  <c r="H195" i="3"/>
  <c r="G195" i="3"/>
  <c r="F195" i="3"/>
  <c r="A195" i="3"/>
  <c r="H194" i="3"/>
  <c r="G194" i="3"/>
  <c r="F194" i="3"/>
  <c r="E194" i="3"/>
  <c r="C194" i="3"/>
  <c r="B194" i="3"/>
  <c r="A194" i="3"/>
  <c r="H193" i="3"/>
  <c r="G193" i="3"/>
  <c r="F193" i="3"/>
  <c r="E193" i="3"/>
  <c r="C193" i="3"/>
  <c r="B193" i="3"/>
  <c r="A193" i="3"/>
  <c r="H192" i="3"/>
  <c r="G192" i="3"/>
  <c r="F192" i="3"/>
  <c r="A192" i="3"/>
  <c r="H191" i="3"/>
  <c r="G191" i="3"/>
  <c r="F191" i="3"/>
  <c r="D191" i="3"/>
  <c r="C191" i="3"/>
  <c r="B191" i="3"/>
  <c r="A191" i="3"/>
  <c r="H190" i="3"/>
  <c r="G190" i="3"/>
  <c r="F190" i="3"/>
  <c r="E190" i="3"/>
  <c r="C190" i="3"/>
  <c r="B190" i="3"/>
  <c r="A190" i="3"/>
  <c r="H189" i="3"/>
  <c r="G189" i="3"/>
  <c r="F189" i="3"/>
  <c r="E189" i="3"/>
  <c r="C189" i="3"/>
  <c r="B189" i="3"/>
  <c r="A189" i="3"/>
  <c r="H188" i="3"/>
  <c r="G188" i="3"/>
  <c r="F188" i="3"/>
  <c r="E188" i="3"/>
  <c r="C188" i="3"/>
  <c r="B188" i="3"/>
  <c r="A188" i="3"/>
  <c r="H187" i="3"/>
  <c r="G187" i="3"/>
  <c r="F187" i="3"/>
  <c r="E187" i="3"/>
  <c r="C187" i="3"/>
  <c r="B187" i="3"/>
  <c r="A187" i="3"/>
  <c r="H186" i="3"/>
  <c r="G186" i="3"/>
  <c r="F186" i="3"/>
  <c r="E186" i="3"/>
  <c r="C186" i="3"/>
  <c r="B186" i="3"/>
  <c r="A186" i="3"/>
  <c r="H185" i="3"/>
  <c r="G185" i="3"/>
  <c r="F185" i="3"/>
  <c r="A185" i="3"/>
  <c r="H184" i="3"/>
  <c r="G184" i="3"/>
  <c r="F184" i="3"/>
  <c r="C184" i="3"/>
  <c r="B184" i="3"/>
  <c r="A184" i="3"/>
  <c r="H183" i="3"/>
  <c r="G183" i="3"/>
  <c r="F183" i="3"/>
  <c r="C183" i="3"/>
  <c r="B183" i="3"/>
  <c r="A183" i="3"/>
  <c r="H182" i="3"/>
  <c r="G182" i="3"/>
  <c r="F182" i="3"/>
  <c r="E182" i="3"/>
  <c r="C182" i="3"/>
  <c r="B182" i="3"/>
  <c r="A182" i="3"/>
  <c r="F181" i="3"/>
  <c r="E181" i="3"/>
  <c r="A181" i="3"/>
  <c r="H180" i="3"/>
  <c r="G180" i="3"/>
  <c r="F180" i="3"/>
  <c r="E180" i="3"/>
  <c r="C180" i="3"/>
  <c r="B180" i="3"/>
  <c r="A180" i="3"/>
  <c r="H179" i="3"/>
  <c r="G179" i="3"/>
  <c r="F179" i="3"/>
  <c r="A179" i="3"/>
  <c r="H178" i="3"/>
  <c r="G178" i="3"/>
  <c r="F178" i="3"/>
  <c r="E178" i="3"/>
  <c r="B178" i="3"/>
  <c r="A178" i="3"/>
  <c r="H177" i="3"/>
  <c r="G177" i="3"/>
  <c r="F177" i="3"/>
  <c r="E177" i="3"/>
  <c r="D177" i="3"/>
  <c r="C177" i="3"/>
  <c r="B177" i="3"/>
  <c r="A177" i="3"/>
  <c r="H176" i="3"/>
  <c r="G176" i="3"/>
  <c r="F176" i="3"/>
  <c r="A176" i="3"/>
  <c r="H175" i="3"/>
  <c r="G175" i="3"/>
  <c r="F175" i="3"/>
  <c r="E175" i="3"/>
  <c r="C175" i="3"/>
  <c r="B175" i="3"/>
  <c r="A175" i="3"/>
  <c r="H174" i="3"/>
  <c r="G174" i="3"/>
  <c r="F174" i="3"/>
  <c r="C174" i="3"/>
  <c r="A174" i="3"/>
  <c r="H173" i="3"/>
  <c r="G173" i="3"/>
  <c r="F173" i="3"/>
  <c r="E173" i="3"/>
  <c r="D173" i="3"/>
  <c r="C173" i="3"/>
  <c r="B173" i="3"/>
  <c r="A173" i="3"/>
  <c r="H172" i="3"/>
  <c r="G172" i="3"/>
  <c r="F172" i="3"/>
  <c r="C172" i="3"/>
  <c r="B172" i="3"/>
  <c r="A172" i="3"/>
  <c r="H171" i="3"/>
  <c r="G171" i="3"/>
  <c r="F171" i="3"/>
  <c r="C171" i="3"/>
  <c r="A171" i="3"/>
  <c r="H170" i="3"/>
  <c r="G170" i="3"/>
  <c r="F170" i="3"/>
  <c r="C170" i="3"/>
  <c r="B170" i="3"/>
  <c r="A170" i="3"/>
  <c r="H169" i="3"/>
  <c r="G169" i="3"/>
  <c r="F169" i="3"/>
  <c r="C169" i="3"/>
  <c r="B169" i="3"/>
  <c r="A169" i="3"/>
  <c r="H168" i="3"/>
  <c r="G168" i="3"/>
  <c r="F168" i="3"/>
  <c r="C168" i="3"/>
  <c r="B168" i="3"/>
  <c r="A168" i="3"/>
  <c r="H167" i="3"/>
  <c r="G167" i="3"/>
  <c r="F167" i="3"/>
  <c r="C167" i="3"/>
  <c r="B167" i="3"/>
  <c r="A167" i="3"/>
  <c r="H166" i="3"/>
  <c r="G166" i="3"/>
  <c r="F166" i="3"/>
  <c r="D166" i="3"/>
  <c r="C166" i="3"/>
  <c r="B166" i="3"/>
  <c r="A166" i="3"/>
  <c r="H165" i="3"/>
  <c r="G165" i="3"/>
  <c r="F165" i="3"/>
  <c r="D165" i="3"/>
  <c r="C165" i="3"/>
  <c r="B165" i="3"/>
  <c r="A165" i="3"/>
  <c r="H164" i="3"/>
  <c r="G164" i="3"/>
  <c r="F164" i="3"/>
  <c r="A164" i="3"/>
  <c r="H163" i="3"/>
  <c r="G163" i="3"/>
  <c r="F163" i="3"/>
  <c r="E163" i="3"/>
  <c r="D163" i="3"/>
  <c r="C163" i="3"/>
  <c r="B163" i="3"/>
  <c r="A163" i="3"/>
  <c r="H162" i="3"/>
  <c r="G162" i="3"/>
  <c r="F162" i="3"/>
  <c r="E162" i="3"/>
  <c r="C162" i="3"/>
  <c r="B162" i="3"/>
  <c r="A162" i="3"/>
  <c r="H161" i="3"/>
  <c r="G161" i="3"/>
  <c r="F161" i="3"/>
  <c r="C161" i="3"/>
  <c r="B161" i="3"/>
  <c r="A161" i="3"/>
  <c r="H160" i="3"/>
  <c r="G160" i="3"/>
  <c r="F160" i="3"/>
  <c r="E160" i="3"/>
  <c r="D160" i="3"/>
  <c r="C160" i="3"/>
  <c r="B160" i="3"/>
  <c r="A160" i="3"/>
  <c r="H159" i="3"/>
  <c r="G159" i="3"/>
  <c r="F159" i="3"/>
  <c r="E159" i="3"/>
  <c r="C159" i="3"/>
  <c r="B159" i="3"/>
  <c r="A159" i="3"/>
  <c r="H158" i="3"/>
  <c r="G158" i="3"/>
  <c r="F158" i="3"/>
  <c r="E158" i="3"/>
  <c r="C158" i="3"/>
  <c r="B158" i="3"/>
  <c r="A158" i="3"/>
  <c r="H157" i="3"/>
  <c r="G157" i="3"/>
  <c r="F157" i="3"/>
  <c r="A157" i="3"/>
  <c r="H156" i="3"/>
  <c r="G156" i="3"/>
  <c r="F156" i="3"/>
  <c r="E156" i="3"/>
  <c r="B156" i="3"/>
  <c r="A156" i="3"/>
  <c r="H155" i="3"/>
  <c r="G155" i="3"/>
  <c r="F155" i="3"/>
  <c r="A155" i="3"/>
  <c r="H154" i="3"/>
  <c r="G154" i="3"/>
  <c r="F154" i="3"/>
  <c r="E154" i="3"/>
  <c r="C154" i="3"/>
  <c r="B154" i="3"/>
  <c r="A154" i="3"/>
  <c r="H153" i="3"/>
  <c r="G153" i="3"/>
  <c r="F153" i="3"/>
  <c r="E153" i="3"/>
  <c r="B153" i="3"/>
  <c r="A153" i="3"/>
  <c r="H152" i="3"/>
  <c r="G152" i="3"/>
  <c r="F152" i="3"/>
  <c r="C152" i="3"/>
  <c r="B152" i="3"/>
  <c r="A152" i="3"/>
  <c r="H151" i="3"/>
  <c r="G151" i="3"/>
  <c r="F151" i="3"/>
  <c r="C151" i="3"/>
  <c r="B151" i="3"/>
  <c r="A151" i="3"/>
  <c r="H150" i="3"/>
  <c r="G150" i="3"/>
  <c r="F150" i="3"/>
  <c r="A150" i="3"/>
  <c r="H149" i="3"/>
  <c r="G149" i="3"/>
  <c r="F149" i="3"/>
  <c r="E149" i="3"/>
  <c r="C149" i="3"/>
  <c r="B149" i="3"/>
  <c r="A149" i="3"/>
  <c r="H148" i="3"/>
  <c r="G148" i="3"/>
  <c r="F148" i="3"/>
  <c r="E148" i="3"/>
  <c r="C148" i="3"/>
  <c r="B148" i="3"/>
  <c r="A148" i="3"/>
  <c r="H147" i="3"/>
  <c r="G147" i="3"/>
  <c r="F147" i="3"/>
  <c r="E147" i="3"/>
  <c r="C147" i="3"/>
  <c r="B147" i="3"/>
  <c r="A147" i="3"/>
  <c r="H146" i="3"/>
  <c r="G146" i="3"/>
  <c r="F146" i="3"/>
  <c r="E146" i="3"/>
  <c r="C146" i="3"/>
  <c r="B146" i="3"/>
  <c r="A146" i="3"/>
  <c r="H145" i="3"/>
  <c r="G145" i="3"/>
  <c r="F145" i="3"/>
  <c r="E145" i="3"/>
  <c r="C145" i="3"/>
  <c r="B145" i="3"/>
  <c r="A145" i="3"/>
  <c r="H144" i="3"/>
  <c r="G144" i="3"/>
  <c r="F144" i="3"/>
  <c r="E144" i="3"/>
  <c r="C144" i="3"/>
  <c r="B144" i="3"/>
  <c r="A144" i="3"/>
  <c r="H143" i="3"/>
  <c r="G143" i="3"/>
  <c r="F143" i="3"/>
  <c r="E143" i="3"/>
  <c r="D143" i="3"/>
  <c r="C143" i="3"/>
  <c r="B143" i="3"/>
  <c r="A143" i="3"/>
  <c r="H142" i="3"/>
  <c r="G142" i="3"/>
  <c r="F142" i="3"/>
  <c r="E142" i="3"/>
  <c r="C142" i="3"/>
  <c r="B142" i="3"/>
  <c r="A142" i="3"/>
  <c r="H141" i="3"/>
  <c r="G141" i="3"/>
  <c r="F141" i="3"/>
  <c r="E141" i="3"/>
  <c r="D141" i="3"/>
  <c r="C141" i="3"/>
  <c r="B141" i="3"/>
  <c r="A141" i="3"/>
  <c r="H140" i="3"/>
  <c r="G140" i="3"/>
  <c r="F140" i="3"/>
  <c r="E140" i="3"/>
  <c r="C140" i="3"/>
  <c r="B140" i="3"/>
  <c r="A140" i="3"/>
  <c r="H139" i="3"/>
  <c r="G139" i="3"/>
  <c r="F139" i="3"/>
  <c r="E139" i="3"/>
  <c r="D139" i="3"/>
  <c r="C139" i="3"/>
  <c r="B139" i="3"/>
  <c r="A139" i="3"/>
  <c r="H138" i="3"/>
  <c r="G138" i="3"/>
  <c r="F138" i="3"/>
  <c r="E138" i="3"/>
  <c r="B138" i="3"/>
  <c r="A138" i="3"/>
  <c r="H137" i="3"/>
  <c r="G137" i="3"/>
  <c r="F137" i="3"/>
  <c r="E137" i="3"/>
  <c r="B137" i="3"/>
  <c r="A137" i="3"/>
  <c r="H136" i="3"/>
  <c r="G136" i="3"/>
  <c r="F136" i="3"/>
  <c r="E136" i="3"/>
  <c r="D136" i="3"/>
  <c r="C136" i="3"/>
  <c r="B136" i="3"/>
  <c r="A136" i="3"/>
  <c r="H135" i="3"/>
  <c r="G135" i="3"/>
  <c r="F135" i="3"/>
  <c r="E135" i="3"/>
  <c r="C135" i="3"/>
  <c r="B135" i="3"/>
  <c r="A135" i="3"/>
  <c r="H134" i="3"/>
  <c r="G134" i="3"/>
  <c r="F134" i="3"/>
  <c r="E134" i="3"/>
  <c r="B134" i="3"/>
  <c r="A134" i="3"/>
  <c r="H133" i="3"/>
  <c r="G133" i="3"/>
  <c r="F133" i="3"/>
  <c r="E133" i="3"/>
  <c r="B133" i="3"/>
  <c r="A133" i="3"/>
  <c r="H132" i="3"/>
  <c r="G132" i="3"/>
  <c r="F132" i="3"/>
  <c r="E132" i="3"/>
  <c r="B132" i="3"/>
  <c r="A132" i="3"/>
  <c r="H131" i="3"/>
  <c r="G131" i="3"/>
  <c r="F131" i="3"/>
  <c r="E131" i="3"/>
  <c r="B131" i="3"/>
  <c r="A131" i="3"/>
  <c r="H130" i="3"/>
  <c r="G130" i="3"/>
  <c r="F130" i="3"/>
  <c r="E130" i="3"/>
  <c r="B130" i="3"/>
  <c r="A130" i="3"/>
  <c r="H129" i="3"/>
  <c r="G129" i="3"/>
  <c r="F129" i="3"/>
  <c r="E129" i="3"/>
  <c r="C129" i="3"/>
  <c r="B129" i="3"/>
  <c r="A129" i="3"/>
  <c r="H128" i="3"/>
  <c r="G128" i="3"/>
  <c r="F128" i="3"/>
  <c r="E128" i="3"/>
  <c r="C128" i="3"/>
  <c r="B128" i="3"/>
  <c r="A128" i="3"/>
  <c r="H127" i="3"/>
  <c r="G127" i="3"/>
  <c r="F127" i="3"/>
  <c r="E127" i="3"/>
  <c r="D127" i="3"/>
  <c r="C127" i="3"/>
  <c r="B127" i="3"/>
  <c r="A127" i="3"/>
  <c r="H126" i="3"/>
  <c r="G126" i="3"/>
  <c r="F126" i="3"/>
  <c r="A126" i="3"/>
  <c r="H125" i="3"/>
  <c r="G125" i="3"/>
  <c r="E125" i="3"/>
  <c r="B125" i="3"/>
  <c r="A125" i="3"/>
  <c r="H124" i="3"/>
  <c r="G124" i="3"/>
  <c r="F124" i="3"/>
  <c r="E124" i="3"/>
  <c r="B124" i="3"/>
  <c r="A124" i="3"/>
  <c r="H123" i="3"/>
  <c r="G123" i="3"/>
  <c r="F123" i="3"/>
  <c r="E123" i="3"/>
  <c r="C123" i="3"/>
  <c r="B123" i="3"/>
  <c r="A123" i="3"/>
  <c r="H122" i="3"/>
  <c r="G122" i="3"/>
  <c r="F122" i="3"/>
  <c r="E122" i="3"/>
  <c r="D122" i="3"/>
  <c r="C122" i="3"/>
  <c r="B122" i="3"/>
  <c r="A122" i="3"/>
  <c r="H121" i="3"/>
  <c r="G121" i="3"/>
  <c r="F121" i="3"/>
  <c r="E121" i="3"/>
  <c r="C121" i="3"/>
  <c r="B121" i="3"/>
  <c r="A121" i="3"/>
  <c r="H120" i="3"/>
  <c r="G120" i="3"/>
  <c r="F120" i="3"/>
  <c r="E120" i="3"/>
  <c r="C120" i="3"/>
  <c r="B120" i="3"/>
  <c r="A120" i="3"/>
  <c r="H119" i="3"/>
  <c r="G119" i="3"/>
  <c r="F119" i="3"/>
  <c r="B119" i="3"/>
  <c r="A119" i="3"/>
  <c r="H118" i="3"/>
  <c r="G118" i="3"/>
  <c r="F118" i="3"/>
  <c r="C118" i="3"/>
  <c r="B118" i="3"/>
  <c r="A118" i="3"/>
  <c r="H117" i="3"/>
  <c r="G117" i="3"/>
  <c r="F117" i="3"/>
  <c r="E117" i="3"/>
  <c r="C117" i="3"/>
  <c r="B117" i="3"/>
  <c r="A117" i="3"/>
  <c r="H116" i="3"/>
  <c r="G116" i="3"/>
  <c r="F116" i="3"/>
  <c r="A116" i="3"/>
  <c r="H115" i="3"/>
  <c r="G115" i="3"/>
  <c r="F115" i="3"/>
  <c r="E115" i="3"/>
  <c r="A115" i="3"/>
  <c r="H114" i="3"/>
  <c r="G114" i="3"/>
  <c r="F114" i="3"/>
  <c r="E114" i="3"/>
  <c r="C114" i="3"/>
  <c r="B114" i="3"/>
  <c r="A114" i="3"/>
  <c r="H113" i="3"/>
  <c r="G113" i="3"/>
  <c r="F113" i="3"/>
  <c r="E113" i="3"/>
  <c r="A113" i="3"/>
  <c r="H112" i="3"/>
  <c r="G112" i="3"/>
  <c r="F112" i="3"/>
  <c r="C112" i="3"/>
  <c r="B112" i="3"/>
  <c r="A112" i="3"/>
  <c r="H111" i="3"/>
  <c r="G111" i="3"/>
  <c r="F111" i="3"/>
  <c r="E111" i="3"/>
  <c r="C111" i="3"/>
  <c r="B111" i="3"/>
  <c r="A111" i="3"/>
  <c r="H110" i="3"/>
  <c r="G110" i="3"/>
  <c r="F110" i="3"/>
  <c r="E110" i="3"/>
  <c r="C110" i="3"/>
  <c r="B110" i="3"/>
  <c r="A110" i="3"/>
  <c r="H109" i="3"/>
  <c r="G109" i="3"/>
  <c r="F109" i="3"/>
  <c r="E109" i="3"/>
  <c r="C109" i="3"/>
  <c r="B109" i="3"/>
  <c r="A109" i="3"/>
  <c r="H108" i="3"/>
  <c r="G108" i="3"/>
  <c r="F108" i="3"/>
  <c r="E108" i="3"/>
  <c r="C108" i="3"/>
  <c r="B108" i="3"/>
  <c r="A108" i="3"/>
  <c r="H107" i="3"/>
  <c r="G107" i="3"/>
  <c r="F107" i="3"/>
  <c r="C107" i="3"/>
  <c r="A107" i="3"/>
  <c r="H106" i="3"/>
  <c r="G106" i="3"/>
  <c r="F106" i="3"/>
  <c r="B106" i="3"/>
  <c r="A106" i="3"/>
  <c r="H105" i="3"/>
  <c r="G105" i="3"/>
  <c r="F105" i="3"/>
  <c r="E105" i="3"/>
  <c r="A105" i="3"/>
  <c r="H104" i="3"/>
  <c r="G104" i="3"/>
  <c r="F104" i="3"/>
  <c r="A104" i="3"/>
  <c r="H103" i="3"/>
  <c r="G103" i="3"/>
  <c r="F103" i="3"/>
  <c r="E103" i="3"/>
  <c r="C103" i="3"/>
  <c r="B103" i="3"/>
  <c r="A103" i="3"/>
  <c r="H102" i="3"/>
  <c r="G102" i="3"/>
  <c r="F102" i="3"/>
  <c r="C102" i="3"/>
  <c r="B102" i="3"/>
  <c r="A102" i="3"/>
  <c r="H101" i="3"/>
  <c r="G101" i="3"/>
  <c r="F101" i="3"/>
  <c r="D101" i="3"/>
  <c r="C101" i="3"/>
  <c r="B101" i="3"/>
  <c r="A101" i="3"/>
  <c r="H100" i="3"/>
  <c r="G100" i="3"/>
  <c r="F100" i="3"/>
  <c r="D100" i="3"/>
  <c r="C100" i="3"/>
  <c r="B100" i="3"/>
  <c r="A100" i="3"/>
  <c r="H99" i="3"/>
  <c r="G99" i="3"/>
  <c r="F99" i="3"/>
  <c r="A99" i="3"/>
  <c r="H98" i="3"/>
  <c r="G98" i="3"/>
  <c r="F98" i="3"/>
  <c r="A98" i="3"/>
  <c r="H97" i="3"/>
  <c r="G97" i="3"/>
  <c r="F97" i="3"/>
  <c r="C97" i="3"/>
  <c r="B97" i="3"/>
  <c r="A97" i="3"/>
  <c r="H96" i="3"/>
  <c r="G96" i="3"/>
  <c r="F96" i="3"/>
  <c r="A96" i="3"/>
  <c r="H95" i="3"/>
  <c r="G95" i="3"/>
  <c r="F95" i="3"/>
  <c r="E95" i="3"/>
  <c r="B95" i="3"/>
  <c r="A95" i="3"/>
  <c r="H94" i="3"/>
  <c r="G94" i="3"/>
  <c r="F94" i="3"/>
  <c r="E94" i="3"/>
  <c r="B94" i="3"/>
  <c r="A94" i="3"/>
  <c r="E93" i="3"/>
  <c r="A93" i="3"/>
  <c r="H92" i="3"/>
  <c r="G92" i="3"/>
  <c r="F92" i="3"/>
  <c r="E92" i="3"/>
  <c r="C92" i="3"/>
  <c r="B92" i="3"/>
  <c r="A92" i="3"/>
  <c r="H91" i="3"/>
  <c r="G91" i="3"/>
  <c r="F91" i="3"/>
  <c r="A91" i="3"/>
  <c r="H90" i="3"/>
  <c r="G90" i="3"/>
  <c r="F90" i="3"/>
  <c r="E90" i="3"/>
  <c r="D90" i="3"/>
  <c r="C90" i="3"/>
  <c r="B90" i="3"/>
  <c r="A90" i="3"/>
  <c r="H89" i="3"/>
  <c r="G89" i="3"/>
  <c r="F89" i="3"/>
  <c r="E89" i="3"/>
  <c r="A89" i="3"/>
  <c r="H88" i="3"/>
  <c r="G88" i="3"/>
  <c r="F88" i="3"/>
  <c r="E88" i="3"/>
  <c r="C88" i="3"/>
  <c r="B88" i="3"/>
  <c r="A88" i="3"/>
  <c r="H87" i="3"/>
  <c r="G87" i="3"/>
  <c r="F87" i="3"/>
  <c r="E87" i="3"/>
  <c r="D87" i="3"/>
  <c r="C87" i="3"/>
  <c r="B87" i="3"/>
  <c r="A87" i="3"/>
  <c r="H86" i="3"/>
  <c r="G86" i="3"/>
  <c r="F86" i="3"/>
  <c r="E86" i="3"/>
  <c r="C86" i="3"/>
  <c r="B86" i="3"/>
  <c r="A86" i="3"/>
  <c r="H85" i="3"/>
  <c r="G85" i="3"/>
  <c r="F85" i="3"/>
  <c r="E85" i="3"/>
  <c r="D85" i="3"/>
  <c r="C85" i="3"/>
  <c r="B85" i="3"/>
  <c r="A85" i="3"/>
  <c r="H84" i="3"/>
  <c r="G84" i="3"/>
  <c r="F84" i="3"/>
  <c r="C84" i="3"/>
  <c r="B84" i="3"/>
  <c r="A84" i="3"/>
  <c r="H83" i="3"/>
  <c r="G83" i="3"/>
  <c r="F83" i="3"/>
  <c r="C83" i="3"/>
  <c r="A83" i="3"/>
  <c r="H82" i="3"/>
  <c r="G82" i="3"/>
  <c r="F82" i="3"/>
  <c r="C82" i="3"/>
  <c r="B82" i="3"/>
  <c r="A82" i="3"/>
  <c r="H81" i="3"/>
  <c r="G81" i="3"/>
  <c r="F81" i="3"/>
  <c r="E81" i="3"/>
  <c r="C81" i="3"/>
  <c r="B81" i="3"/>
  <c r="A81" i="3"/>
  <c r="E80" i="3"/>
  <c r="A80" i="3"/>
  <c r="H79" i="3"/>
  <c r="G79" i="3"/>
  <c r="F79" i="3"/>
  <c r="A79" i="3"/>
  <c r="H78" i="3"/>
  <c r="G78" i="3"/>
  <c r="F78" i="3"/>
  <c r="E78" i="3"/>
  <c r="C78" i="3"/>
  <c r="B78" i="3"/>
  <c r="A78" i="3"/>
  <c r="H77" i="3"/>
  <c r="G77" i="3"/>
  <c r="F77" i="3"/>
  <c r="E77" i="3"/>
  <c r="C77" i="3"/>
  <c r="B77" i="3"/>
  <c r="A77" i="3"/>
  <c r="H76" i="3"/>
  <c r="G76" i="3"/>
  <c r="F76" i="3"/>
  <c r="E76" i="3"/>
  <c r="C76" i="3"/>
  <c r="B76" i="3"/>
  <c r="A76" i="3"/>
  <c r="H75" i="3"/>
  <c r="G75" i="3"/>
  <c r="F75" i="3"/>
  <c r="E75" i="3"/>
  <c r="B75" i="3"/>
  <c r="A75" i="3"/>
  <c r="H74" i="3"/>
  <c r="G74" i="3"/>
  <c r="F74" i="3"/>
  <c r="E74" i="3"/>
  <c r="A74" i="3"/>
  <c r="H73" i="3"/>
  <c r="G73" i="3"/>
  <c r="F73" i="3"/>
  <c r="E73" i="3"/>
  <c r="B73" i="3"/>
  <c r="A73" i="3"/>
  <c r="H72" i="3"/>
  <c r="G72" i="3"/>
  <c r="F72" i="3"/>
  <c r="E72" i="3"/>
  <c r="C72" i="3"/>
  <c r="B72" i="3"/>
  <c r="A72" i="3"/>
  <c r="H71" i="3"/>
  <c r="G71" i="3"/>
  <c r="F71" i="3"/>
  <c r="E71" i="3"/>
  <c r="C71" i="3"/>
  <c r="B71" i="3"/>
  <c r="A71" i="3"/>
  <c r="H70" i="3"/>
  <c r="G70" i="3"/>
  <c r="F70" i="3"/>
  <c r="A70" i="3"/>
  <c r="H69" i="3"/>
  <c r="G69" i="3"/>
  <c r="F69" i="3"/>
  <c r="A69" i="3"/>
  <c r="H68" i="3"/>
  <c r="G68" i="3"/>
  <c r="F68" i="3"/>
  <c r="A68" i="3"/>
  <c r="H67" i="3"/>
  <c r="G67" i="3"/>
  <c r="F67" i="3"/>
  <c r="E67" i="3"/>
  <c r="D67" i="3"/>
  <c r="C67" i="3"/>
  <c r="B67" i="3"/>
  <c r="A67" i="3"/>
  <c r="H66" i="3"/>
  <c r="G66" i="3"/>
  <c r="F66" i="3"/>
  <c r="E66" i="3"/>
  <c r="D66" i="3"/>
  <c r="C66" i="3"/>
  <c r="B66" i="3"/>
  <c r="A66" i="3"/>
  <c r="H65" i="3"/>
  <c r="G65" i="3"/>
  <c r="F65" i="3"/>
  <c r="A65" i="3"/>
  <c r="H64" i="3"/>
  <c r="G64" i="3"/>
  <c r="F64" i="3"/>
  <c r="E64" i="3"/>
  <c r="A64" i="3"/>
  <c r="H63" i="3"/>
  <c r="G63" i="3"/>
  <c r="F63" i="3"/>
  <c r="E63" i="3"/>
  <c r="C63" i="3"/>
  <c r="B63" i="3"/>
  <c r="A63" i="3"/>
  <c r="H62" i="3"/>
  <c r="G62" i="3"/>
  <c r="F62" i="3"/>
  <c r="E62" i="3"/>
  <c r="C62" i="3"/>
  <c r="B62" i="3"/>
  <c r="A62" i="3"/>
  <c r="H61" i="3"/>
  <c r="G61" i="3"/>
  <c r="F61" i="3"/>
  <c r="E61" i="3"/>
  <c r="A61" i="3"/>
  <c r="H60" i="3"/>
  <c r="G60" i="3"/>
  <c r="F60" i="3"/>
  <c r="E60" i="3"/>
  <c r="C60" i="3"/>
  <c r="B60" i="3"/>
  <c r="A60" i="3"/>
  <c r="H59" i="3"/>
  <c r="G59" i="3"/>
  <c r="F59" i="3"/>
  <c r="A59" i="3"/>
  <c r="H58" i="3"/>
  <c r="G58" i="3"/>
  <c r="F58" i="3"/>
  <c r="A58" i="3"/>
  <c r="H57" i="3"/>
  <c r="G57" i="3"/>
  <c r="F57" i="3"/>
  <c r="C57" i="3"/>
  <c r="B57" i="3"/>
  <c r="A57" i="3"/>
  <c r="H56" i="3"/>
  <c r="G56" i="3"/>
  <c r="F56" i="3"/>
  <c r="E56" i="3"/>
  <c r="C56" i="3"/>
  <c r="B56" i="3"/>
  <c r="A56" i="3"/>
  <c r="H55" i="3"/>
  <c r="G55" i="3"/>
  <c r="F55" i="3"/>
  <c r="A55" i="3"/>
  <c r="H54" i="3"/>
  <c r="G54" i="3"/>
  <c r="F54" i="3"/>
  <c r="A54" i="3"/>
  <c r="H53" i="3"/>
  <c r="G53" i="3"/>
  <c r="F53" i="3"/>
  <c r="E53" i="3"/>
  <c r="D53" i="3"/>
  <c r="C53" i="3"/>
  <c r="B53" i="3"/>
  <c r="A53" i="3"/>
  <c r="H52" i="3"/>
  <c r="G52" i="3"/>
  <c r="F52" i="3"/>
  <c r="A52" i="3"/>
  <c r="H51" i="3"/>
  <c r="G51" i="3"/>
  <c r="F51" i="3"/>
  <c r="A51" i="3"/>
  <c r="H50" i="3"/>
  <c r="G50" i="3"/>
  <c r="F50" i="3"/>
  <c r="A50" i="3"/>
  <c r="H49" i="3"/>
  <c r="G49" i="3"/>
  <c r="F49" i="3"/>
  <c r="E49" i="3"/>
  <c r="C49" i="3"/>
  <c r="B49" i="3"/>
  <c r="A49" i="3"/>
  <c r="H48" i="3"/>
  <c r="G48" i="3"/>
  <c r="F48" i="3"/>
  <c r="E48" i="3"/>
  <c r="C48" i="3"/>
  <c r="B48" i="3"/>
  <c r="A48" i="3"/>
  <c r="H47" i="3"/>
  <c r="G47" i="3"/>
  <c r="F47" i="3"/>
  <c r="D47" i="3"/>
  <c r="C47" i="3"/>
  <c r="B47" i="3"/>
  <c r="A47" i="3"/>
  <c r="H46" i="3"/>
  <c r="G46" i="3"/>
  <c r="F46" i="3"/>
  <c r="C46" i="3"/>
  <c r="A46" i="3"/>
  <c r="H45" i="3"/>
  <c r="G45" i="3"/>
  <c r="F45" i="3"/>
  <c r="B45" i="3"/>
  <c r="A45" i="3"/>
  <c r="H44" i="3"/>
  <c r="G44" i="3"/>
  <c r="F44" i="3"/>
  <c r="A44" i="3"/>
  <c r="H43" i="3"/>
  <c r="G43" i="3"/>
  <c r="F43" i="3"/>
  <c r="E43" i="3"/>
  <c r="A43" i="3"/>
  <c r="H42" i="3"/>
  <c r="G42" i="3"/>
  <c r="F42" i="3"/>
  <c r="E42" i="3"/>
  <c r="A42" i="3"/>
  <c r="H41" i="3"/>
  <c r="G41" i="3"/>
  <c r="F41" i="3"/>
  <c r="E41" i="3"/>
  <c r="C41" i="3"/>
  <c r="B41" i="3"/>
  <c r="A41" i="3"/>
  <c r="H40" i="3"/>
  <c r="G40" i="3"/>
  <c r="F40" i="3"/>
  <c r="E40" i="3"/>
  <c r="C40" i="3"/>
  <c r="B40" i="3"/>
  <c r="A40" i="3"/>
  <c r="H39" i="3"/>
  <c r="G39" i="3"/>
  <c r="F39" i="3"/>
  <c r="E39" i="3"/>
  <c r="A39" i="3"/>
  <c r="H38" i="3"/>
  <c r="G38" i="3"/>
  <c r="F38" i="3"/>
  <c r="E38" i="3"/>
  <c r="A38" i="3"/>
  <c r="H37" i="3"/>
  <c r="G37" i="3"/>
  <c r="F37" i="3"/>
  <c r="E37" i="3"/>
  <c r="B37" i="3"/>
  <c r="A37" i="3"/>
  <c r="H36" i="3"/>
  <c r="G36" i="3"/>
  <c r="F36" i="3"/>
  <c r="E36" i="3"/>
  <c r="C36" i="3"/>
  <c r="B36" i="3"/>
  <c r="A36" i="3"/>
  <c r="H35" i="3"/>
  <c r="G35" i="3"/>
  <c r="F35" i="3"/>
  <c r="E35" i="3"/>
  <c r="D35" i="3"/>
  <c r="C35" i="3"/>
  <c r="B35" i="3"/>
  <c r="A35" i="3"/>
  <c r="H34" i="3"/>
  <c r="G34" i="3"/>
  <c r="F34" i="3"/>
  <c r="E34" i="3"/>
  <c r="D34" i="3"/>
  <c r="C34" i="3"/>
  <c r="B34" i="3"/>
  <c r="A34" i="3"/>
  <c r="H33" i="3"/>
  <c r="G33" i="3"/>
  <c r="F33" i="3"/>
  <c r="D33" i="3"/>
  <c r="C33" i="3"/>
  <c r="B33" i="3"/>
  <c r="A33" i="3"/>
  <c r="H32" i="3"/>
  <c r="G32" i="3"/>
  <c r="F32" i="3"/>
  <c r="E32" i="3"/>
  <c r="D32" i="3"/>
  <c r="C32" i="3"/>
  <c r="B32" i="3"/>
  <c r="A32" i="3"/>
  <c r="H31" i="3"/>
  <c r="G31" i="3"/>
  <c r="F31" i="3"/>
  <c r="E31" i="3"/>
  <c r="C31" i="3"/>
  <c r="B31" i="3"/>
  <c r="A31" i="3"/>
  <c r="H30" i="3"/>
  <c r="G30" i="3"/>
  <c r="F30" i="3"/>
  <c r="E30" i="3"/>
  <c r="C30" i="3"/>
  <c r="B30" i="3"/>
  <c r="A30" i="3"/>
  <c r="H29" i="3"/>
  <c r="G29" i="3"/>
  <c r="F29" i="3"/>
  <c r="E29" i="3"/>
  <c r="A29" i="3"/>
  <c r="H28" i="3"/>
  <c r="G28" i="3"/>
  <c r="F28" i="3"/>
  <c r="E28" i="3"/>
  <c r="C28" i="3"/>
  <c r="B28" i="3"/>
  <c r="A28" i="3"/>
  <c r="H27" i="3"/>
  <c r="G27" i="3"/>
  <c r="F27" i="3"/>
  <c r="E27" i="3"/>
  <c r="B27" i="3"/>
  <c r="A27" i="3"/>
  <c r="H26" i="3"/>
  <c r="G26" i="3"/>
  <c r="F26" i="3"/>
  <c r="E26" i="3"/>
  <c r="B26" i="3"/>
  <c r="A26" i="3"/>
  <c r="H25" i="3"/>
  <c r="G25" i="3"/>
  <c r="F25" i="3"/>
  <c r="E25" i="3"/>
  <c r="C25" i="3"/>
  <c r="B25" i="3"/>
  <c r="A25" i="3"/>
  <c r="H24" i="3"/>
  <c r="G24" i="3"/>
  <c r="F24" i="3"/>
  <c r="E24" i="3"/>
  <c r="D24" i="3"/>
  <c r="C24" i="3"/>
  <c r="B24" i="3"/>
  <c r="A24" i="3"/>
  <c r="H23" i="3"/>
  <c r="G23" i="3"/>
  <c r="F23" i="3"/>
  <c r="E23" i="3"/>
  <c r="C23" i="3"/>
  <c r="B23" i="3"/>
  <c r="A23" i="3"/>
  <c r="H22" i="3"/>
  <c r="G22" i="3"/>
  <c r="F22" i="3"/>
  <c r="E22" i="3"/>
  <c r="B22" i="3"/>
  <c r="A22" i="3"/>
  <c r="H21" i="3"/>
  <c r="G21" i="3"/>
  <c r="F21" i="3"/>
  <c r="E21" i="3"/>
  <c r="C21" i="3"/>
  <c r="B21" i="3"/>
  <c r="A21" i="3"/>
  <c r="H20" i="3"/>
  <c r="G20" i="3"/>
  <c r="F20" i="3"/>
  <c r="E20" i="3"/>
  <c r="C20" i="3"/>
  <c r="B20" i="3"/>
  <c r="A20" i="3"/>
  <c r="H19" i="3"/>
  <c r="G19" i="3"/>
  <c r="F19" i="3"/>
  <c r="A19" i="3"/>
  <c r="H18" i="3"/>
  <c r="G18" i="3"/>
  <c r="F18" i="3"/>
  <c r="E18" i="3"/>
  <c r="A18" i="3"/>
  <c r="H17" i="3"/>
  <c r="G17" i="3"/>
  <c r="F17" i="3"/>
  <c r="E17" i="3"/>
  <c r="C17" i="3"/>
  <c r="B17" i="3"/>
  <c r="A17" i="3"/>
  <c r="H16" i="3"/>
  <c r="G16" i="3"/>
  <c r="F16" i="3"/>
  <c r="E16" i="3"/>
  <c r="C16" i="3"/>
  <c r="B16" i="3"/>
  <c r="A16" i="3"/>
  <c r="H15" i="3"/>
  <c r="G15" i="3"/>
  <c r="F15" i="3"/>
  <c r="E15" i="3"/>
  <c r="C15" i="3"/>
  <c r="B15" i="3"/>
  <c r="A15" i="3"/>
  <c r="H14" i="3"/>
  <c r="G14" i="3"/>
  <c r="F14" i="3"/>
  <c r="C14" i="3"/>
  <c r="B14" i="3"/>
  <c r="A14" i="3"/>
  <c r="H13" i="3"/>
  <c r="G13" i="3"/>
  <c r="F13" i="3"/>
  <c r="E13" i="3"/>
  <c r="D13" i="3"/>
  <c r="C13" i="3"/>
  <c r="B13" i="3"/>
  <c r="A13" i="3"/>
  <c r="H12" i="3"/>
  <c r="G12" i="3"/>
  <c r="F12" i="3"/>
  <c r="E12" i="3"/>
  <c r="D12" i="3"/>
  <c r="C12" i="3"/>
  <c r="B12" i="3"/>
  <c r="A12" i="3"/>
  <c r="H11" i="3"/>
  <c r="G11" i="3"/>
  <c r="F11" i="3"/>
  <c r="E11" i="3"/>
  <c r="B11" i="3"/>
  <c r="A11" i="3"/>
  <c r="H10" i="3"/>
  <c r="G10" i="3"/>
  <c r="F10" i="3"/>
  <c r="A10" i="3"/>
  <c r="H9" i="3"/>
  <c r="G9" i="3"/>
  <c r="F9" i="3"/>
  <c r="A9" i="3"/>
  <c r="H8" i="3"/>
  <c r="G8" i="3"/>
  <c r="F8" i="3"/>
  <c r="E8" i="3"/>
  <c r="C8" i="3"/>
  <c r="B8" i="3"/>
  <c r="A8" i="3"/>
  <c r="H7" i="3"/>
  <c r="G7" i="3"/>
  <c r="F7" i="3"/>
  <c r="E7" i="3"/>
  <c r="C7" i="3"/>
  <c r="B7" i="3"/>
  <c r="A7" i="3"/>
  <c r="H6" i="3"/>
  <c r="G6" i="3"/>
  <c r="F6" i="3"/>
  <c r="E6" i="3"/>
  <c r="A6" i="3"/>
  <c r="H5" i="3"/>
  <c r="G5" i="3"/>
  <c r="F5" i="3"/>
  <c r="E5" i="3"/>
  <c r="C5" i="3"/>
  <c r="B5" i="3"/>
  <c r="A5" i="3"/>
  <c r="H4" i="3"/>
  <c r="G4" i="3"/>
  <c r="F4" i="3"/>
  <c r="E4" i="3"/>
  <c r="C4" i="3"/>
  <c r="B4" i="3"/>
  <c r="A4" i="3"/>
  <c r="H3" i="3"/>
  <c r="G3" i="3"/>
  <c r="F3" i="3"/>
  <c r="E3" i="3"/>
  <c r="C3" i="3"/>
  <c r="B3" i="3"/>
  <c r="A3" i="3"/>
  <c r="H2" i="3"/>
  <c r="G2" i="3"/>
  <c r="F2" i="3"/>
  <c r="E2" i="3"/>
  <c r="C2" i="3"/>
  <c r="B2" i="3"/>
  <c r="A2" i="3"/>
  <c r="H1" i="3"/>
  <c r="G1" i="3"/>
  <c r="F1" i="3"/>
  <c r="E1" i="3"/>
  <c r="D1" i="3"/>
  <c r="C1" i="3"/>
  <c r="B1" i="3"/>
  <c r="A1" i="3"/>
  <c r="AG2106" i="2"/>
  <c r="AF2106" i="2"/>
  <c r="AE2106" i="2"/>
  <c r="AD2106" i="2"/>
  <c r="AC2106" i="2"/>
  <c r="AB2106" i="2"/>
  <c r="AA2106" i="2"/>
  <c r="Z2106" i="2"/>
  <c r="Y2106" i="2"/>
  <c r="X2106" i="2"/>
  <c r="W2106" i="2"/>
  <c r="V2106" i="2"/>
  <c r="U2106" i="2"/>
  <c r="R2106" i="2"/>
  <c r="Q2106" i="2"/>
  <c r="P2106" i="2"/>
  <c r="O2106" i="2"/>
  <c r="N2106" i="2"/>
  <c r="M2106" i="2"/>
  <c r="L2106" i="2"/>
  <c r="K2106" i="2"/>
  <c r="H2106" i="2"/>
  <c r="G2106" i="2"/>
  <c r="F2106" i="2"/>
  <c r="E2106" i="2"/>
  <c r="D2106" i="2"/>
  <c r="C2106" i="2"/>
  <c r="B2106" i="2"/>
  <c r="A2106" i="2"/>
  <c r="AG2105" i="2"/>
  <c r="AF2105" i="2"/>
  <c r="AE2105" i="2"/>
  <c r="AD2105" i="2"/>
  <c r="AC2105" i="2"/>
  <c r="AB2105" i="2"/>
  <c r="Z2105" i="2"/>
  <c r="Y2105" i="2"/>
  <c r="X2105" i="2"/>
  <c r="W2105" i="2"/>
  <c r="V2105" i="2"/>
  <c r="U2105" i="2"/>
  <c r="R2105" i="2"/>
  <c r="Q2105" i="2"/>
  <c r="P2105" i="2"/>
  <c r="O2105" i="2"/>
  <c r="N2105" i="2"/>
  <c r="M2105" i="2"/>
  <c r="L2105" i="2"/>
  <c r="K2105" i="2"/>
  <c r="H2105" i="2"/>
  <c r="G2105" i="2"/>
  <c r="F2105" i="2"/>
  <c r="E2105" i="2"/>
  <c r="D2105" i="2"/>
  <c r="C2105" i="2"/>
  <c r="B2105" i="2"/>
  <c r="A2105" i="2"/>
  <c r="AG2104" i="2"/>
  <c r="AF2104" i="2"/>
  <c r="AE2104" i="2"/>
  <c r="AD2104" i="2"/>
  <c r="AC2104" i="2"/>
  <c r="AB2104" i="2"/>
  <c r="AA2104" i="2"/>
  <c r="Z2104" i="2"/>
  <c r="Y2104" i="2"/>
  <c r="X2104" i="2"/>
  <c r="W2104" i="2"/>
  <c r="V2104" i="2"/>
  <c r="U2104" i="2"/>
  <c r="R2104" i="2"/>
  <c r="Q2104" i="2"/>
  <c r="P2104" i="2"/>
  <c r="O2104" i="2"/>
  <c r="N2104" i="2"/>
  <c r="M2104" i="2"/>
  <c r="L2104" i="2"/>
  <c r="K2104" i="2"/>
  <c r="H2104" i="2"/>
  <c r="G2104" i="2"/>
  <c r="F2104" i="2"/>
  <c r="E2104" i="2"/>
  <c r="D2104" i="2"/>
  <c r="C2104" i="2"/>
  <c r="B2104" i="2"/>
  <c r="A2104" i="2"/>
  <c r="AG2103" i="2"/>
  <c r="AF2103" i="2"/>
  <c r="AE2103" i="2"/>
  <c r="AD2103" i="2"/>
  <c r="AC2103" i="2"/>
  <c r="AB2103" i="2"/>
  <c r="Z2103" i="2"/>
  <c r="Y2103" i="2"/>
  <c r="X2103" i="2"/>
  <c r="W2103" i="2"/>
  <c r="V2103" i="2"/>
  <c r="U2103" i="2"/>
  <c r="R2103" i="2"/>
  <c r="Q2103" i="2"/>
  <c r="P2103" i="2"/>
  <c r="O2103" i="2"/>
  <c r="N2103" i="2"/>
  <c r="M2103" i="2"/>
  <c r="L2103" i="2"/>
  <c r="K2103" i="2"/>
  <c r="H2103" i="2"/>
  <c r="G2103" i="2"/>
  <c r="F2103" i="2"/>
  <c r="E2103" i="2"/>
  <c r="D2103" i="2"/>
  <c r="C2103" i="2"/>
  <c r="B2103" i="2"/>
  <c r="A2103" i="2"/>
  <c r="AH1955" i="2"/>
  <c r="AG1955" i="2"/>
  <c r="AF1955" i="2"/>
  <c r="AE1955" i="2"/>
  <c r="AD1955" i="2"/>
  <c r="AC1955" i="2"/>
  <c r="AB1955" i="2"/>
  <c r="Z1955" i="2"/>
  <c r="Y1955" i="2"/>
  <c r="X1955" i="2"/>
  <c r="W1955" i="2"/>
  <c r="V1955" i="2"/>
  <c r="U1955" i="2"/>
  <c r="S1955" i="2"/>
  <c r="R1955" i="2"/>
  <c r="Q1955" i="2"/>
  <c r="P1955" i="2"/>
  <c r="O1955" i="2"/>
  <c r="N1955" i="2"/>
  <c r="M1955" i="2"/>
  <c r="L1955" i="2"/>
  <c r="K1955" i="2"/>
  <c r="J1955" i="2"/>
  <c r="I1955" i="2"/>
  <c r="H1955" i="2"/>
  <c r="G1955" i="2"/>
  <c r="F1955" i="2"/>
  <c r="E1955" i="2"/>
  <c r="D1955" i="2"/>
  <c r="C1955" i="2"/>
  <c r="B1955" i="2"/>
  <c r="A1955" i="2"/>
  <c r="AG2102" i="2"/>
  <c r="AF2102" i="2"/>
  <c r="AE2102" i="2"/>
  <c r="AD2102" i="2"/>
  <c r="AC2102" i="2"/>
  <c r="AB2102" i="2"/>
  <c r="AA2102" i="2"/>
  <c r="Z2102" i="2"/>
  <c r="Y2102" i="2"/>
  <c r="X2102" i="2"/>
  <c r="W2102" i="2"/>
  <c r="V2102" i="2"/>
  <c r="S2102" i="2"/>
  <c r="R2102" i="2"/>
  <c r="Q2102" i="2"/>
  <c r="P2102" i="2"/>
  <c r="O2102" i="2"/>
  <c r="N2102" i="2"/>
  <c r="M2102" i="2"/>
  <c r="L2102" i="2"/>
  <c r="K2102" i="2"/>
  <c r="H2102" i="2"/>
  <c r="G2102" i="2"/>
  <c r="F2102" i="2"/>
  <c r="E2102" i="2"/>
  <c r="D2102" i="2"/>
  <c r="C2102" i="2"/>
  <c r="B2102" i="2"/>
  <c r="A2102" i="2"/>
  <c r="AG2101" i="2"/>
  <c r="AF2101" i="2"/>
  <c r="AE2101" i="2"/>
  <c r="AD2101" i="2"/>
  <c r="AC2101" i="2"/>
  <c r="AB2101" i="2"/>
  <c r="AA2101" i="2"/>
  <c r="Z2101" i="2"/>
  <c r="Y2101" i="2"/>
  <c r="X2101" i="2"/>
  <c r="W2101" i="2"/>
  <c r="V2101" i="2"/>
  <c r="U2101" i="2"/>
  <c r="T2101" i="2"/>
  <c r="S2101" i="2"/>
  <c r="R2101" i="2"/>
  <c r="Q2101" i="2"/>
  <c r="P2101" i="2"/>
  <c r="O2101" i="2"/>
  <c r="N2101" i="2"/>
  <c r="M2101" i="2"/>
  <c r="L2101" i="2"/>
  <c r="K2101" i="2"/>
  <c r="H2101" i="2"/>
  <c r="G2101" i="2"/>
  <c r="F2101" i="2"/>
  <c r="E2101" i="2"/>
  <c r="D2101" i="2"/>
  <c r="C2101" i="2"/>
  <c r="B2101" i="2"/>
  <c r="A2101" i="2"/>
  <c r="AG2100" i="2"/>
  <c r="AF2100" i="2"/>
  <c r="AE2100" i="2"/>
  <c r="AD2100" i="2"/>
  <c r="AC2100" i="2"/>
  <c r="AB2100" i="2"/>
  <c r="Z2100" i="2"/>
  <c r="Y2100" i="2"/>
  <c r="X2100" i="2"/>
  <c r="W2100" i="2"/>
  <c r="V2100" i="2"/>
  <c r="U2100" i="2"/>
  <c r="T2100" i="2"/>
  <c r="S2100" i="2"/>
  <c r="R2100" i="2"/>
  <c r="Q2100" i="2"/>
  <c r="P2100" i="2"/>
  <c r="O2100" i="2"/>
  <c r="N2100" i="2"/>
  <c r="M2100" i="2"/>
  <c r="L2100" i="2"/>
  <c r="K2100" i="2"/>
  <c r="H2100" i="2"/>
  <c r="G2100" i="2"/>
  <c r="F2100" i="2"/>
  <c r="E2100" i="2"/>
  <c r="D2100" i="2"/>
  <c r="C2100" i="2"/>
  <c r="B2100" i="2"/>
  <c r="A2100" i="2"/>
  <c r="AG2099" i="2"/>
  <c r="AF2099" i="2"/>
  <c r="AE2099" i="2"/>
  <c r="AD2099" i="2"/>
  <c r="AC2099" i="2"/>
  <c r="AB2099" i="2"/>
  <c r="Z2099" i="2"/>
  <c r="Y2099" i="2"/>
  <c r="X2099" i="2"/>
  <c r="W2099" i="2"/>
  <c r="V2099" i="2"/>
  <c r="U2099" i="2"/>
  <c r="T2099" i="2"/>
  <c r="S2099" i="2"/>
  <c r="R2099" i="2"/>
  <c r="Q2099" i="2"/>
  <c r="P2099" i="2"/>
  <c r="O2099" i="2"/>
  <c r="N2099" i="2"/>
  <c r="M2099" i="2"/>
  <c r="L2099" i="2"/>
  <c r="K2099" i="2"/>
  <c r="H2099" i="2"/>
  <c r="G2099" i="2"/>
  <c r="F2099" i="2"/>
  <c r="E2099" i="2"/>
  <c r="D2099" i="2"/>
  <c r="C2099" i="2"/>
  <c r="B2099" i="2"/>
  <c r="A2099" i="2"/>
  <c r="AG2098" i="2"/>
  <c r="AF2098" i="2"/>
  <c r="AD2098" i="2"/>
  <c r="AC2098" i="2"/>
  <c r="AB2098" i="2"/>
  <c r="Z2098" i="2"/>
  <c r="Y2098" i="2"/>
  <c r="X2098" i="2"/>
  <c r="W2098" i="2"/>
  <c r="V2098" i="2"/>
  <c r="R2098" i="2"/>
  <c r="Q2098" i="2"/>
  <c r="P2098" i="2"/>
  <c r="O2098" i="2"/>
  <c r="N2098" i="2"/>
  <c r="M2098" i="2"/>
  <c r="L2098" i="2"/>
  <c r="K2098" i="2"/>
  <c r="H2098" i="2"/>
  <c r="G2098" i="2"/>
  <c r="F2098" i="2"/>
  <c r="E2098" i="2"/>
  <c r="D2098" i="2"/>
  <c r="C2098" i="2"/>
  <c r="B2098" i="2"/>
  <c r="A2098" i="2"/>
  <c r="AG2097" i="2"/>
  <c r="AF2097" i="2"/>
  <c r="AE2097" i="2"/>
  <c r="AD2097" i="2"/>
  <c r="AC2097" i="2"/>
  <c r="AB2097" i="2"/>
  <c r="AA2097" i="2"/>
  <c r="Z2097" i="2"/>
  <c r="Y2097" i="2"/>
  <c r="X2097" i="2"/>
  <c r="W2097" i="2"/>
  <c r="V2097" i="2"/>
  <c r="U2097" i="2"/>
  <c r="T2097" i="2"/>
  <c r="S2097" i="2"/>
  <c r="R2097" i="2"/>
  <c r="Q2097" i="2"/>
  <c r="P2097" i="2"/>
  <c r="O2097" i="2"/>
  <c r="N2097" i="2"/>
  <c r="M2097" i="2"/>
  <c r="L2097" i="2"/>
  <c r="K2097" i="2"/>
  <c r="H2097" i="2"/>
  <c r="G2097" i="2"/>
  <c r="F2097" i="2"/>
  <c r="E2097" i="2"/>
  <c r="D2097" i="2"/>
  <c r="C2097" i="2"/>
  <c r="B2097" i="2"/>
  <c r="A2097" i="2"/>
  <c r="AG2096" i="2"/>
  <c r="AF2096" i="2"/>
  <c r="AE2096" i="2"/>
  <c r="AD2096" i="2"/>
  <c r="AC2096" i="2"/>
  <c r="AB2096" i="2"/>
  <c r="Z2096" i="2"/>
  <c r="Y2096" i="2"/>
  <c r="X2096" i="2"/>
  <c r="W2096" i="2"/>
  <c r="V2096" i="2"/>
  <c r="S2096" i="2"/>
  <c r="R2096" i="2"/>
  <c r="Q2096" i="2"/>
  <c r="P2096" i="2"/>
  <c r="O2096" i="2"/>
  <c r="N2096" i="2"/>
  <c r="M2096" i="2"/>
  <c r="L2096" i="2"/>
  <c r="K2096" i="2"/>
  <c r="H2096" i="2"/>
  <c r="G2096" i="2"/>
  <c r="F2096" i="2"/>
  <c r="E2096" i="2"/>
  <c r="D2096" i="2"/>
  <c r="C2096" i="2"/>
  <c r="B2096" i="2"/>
  <c r="A2096" i="2"/>
  <c r="AG2095" i="2"/>
  <c r="AF2095" i="2"/>
  <c r="AE2095" i="2"/>
  <c r="AD2095" i="2"/>
  <c r="AC2095" i="2"/>
  <c r="AB2095" i="2"/>
  <c r="Z2095" i="2"/>
  <c r="Y2095" i="2"/>
  <c r="X2095" i="2"/>
  <c r="W2095" i="2"/>
  <c r="V2095" i="2"/>
  <c r="R2095" i="2"/>
  <c r="Q2095" i="2"/>
  <c r="P2095" i="2"/>
  <c r="O2095" i="2"/>
  <c r="N2095" i="2"/>
  <c r="M2095" i="2"/>
  <c r="L2095" i="2"/>
  <c r="K2095" i="2"/>
  <c r="H2095" i="2"/>
  <c r="G2095" i="2"/>
  <c r="F2095" i="2"/>
  <c r="E2095" i="2"/>
  <c r="D2095" i="2"/>
  <c r="C2095" i="2"/>
  <c r="B2095" i="2"/>
  <c r="A2095" i="2"/>
  <c r="AH2094" i="2"/>
  <c r="AG2094" i="2"/>
  <c r="AF2094" i="2"/>
  <c r="AE2094" i="2"/>
  <c r="AD2094" i="2"/>
  <c r="AB2094" i="2"/>
  <c r="Z2094" i="2"/>
  <c r="Y2094" i="2"/>
  <c r="X2094" i="2"/>
  <c r="W2094" i="2"/>
  <c r="V2094" i="2"/>
  <c r="Q2094" i="2"/>
  <c r="P2094" i="2"/>
  <c r="O2094" i="2"/>
  <c r="N2094" i="2"/>
  <c r="M2094" i="2"/>
  <c r="L2094" i="2"/>
  <c r="K2094" i="2"/>
  <c r="H2094" i="2"/>
  <c r="G2094" i="2"/>
  <c r="F2094" i="2"/>
  <c r="E2094" i="2"/>
  <c r="D2094" i="2"/>
  <c r="C2094" i="2"/>
  <c r="B2094" i="2"/>
  <c r="A2094" i="2"/>
  <c r="AG2093" i="2"/>
  <c r="AF2093" i="2"/>
  <c r="AE2093" i="2"/>
  <c r="AD2093" i="2"/>
  <c r="AC2093" i="2"/>
  <c r="AB2093" i="2"/>
  <c r="Z2093" i="2"/>
  <c r="Y2093" i="2"/>
  <c r="X2093" i="2"/>
  <c r="W2093" i="2"/>
  <c r="V2093" i="2"/>
  <c r="R2093" i="2"/>
  <c r="Q2093" i="2"/>
  <c r="P2093" i="2"/>
  <c r="O2093" i="2"/>
  <c r="N2093" i="2"/>
  <c r="M2093" i="2"/>
  <c r="L2093" i="2"/>
  <c r="K2093" i="2"/>
  <c r="H2093" i="2"/>
  <c r="G2093" i="2"/>
  <c r="F2093" i="2"/>
  <c r="E2093" i="2"/>
  <c r="D2093" i="2"/>
  <c r="C2093" i="2"/>
  <c r="B2093" i="2"/>
  <c r="A2093" i="2"/>
  <c r="AG2092" i="2"/>
  <c r="AF2092" i="2"/>
  <c r="AE2092" i="2"/>
  <c r="AD2092" i="2"/>
  <c r="AC2092" i="2"/>
  <c r="AB2092" i="2"/>
  <c r="AA2092" i="2"/>
  <c r="Z2092" i="2"/>
  <c r="Y2092" i="2"/>
  <c r="X2092" i="2"/>
  <c r="W2092" i="2"/>
  <c r="V2092" i="2"/>
  <c r="R2092" i="2"/>
  <c r="Q2092" i="2"/>
  <c r="P2092" i="2"/>
  <c r="O2092" i="2"/>
  <c r="N2092" i="2"/>
  <c r="M2092" i="2"/>
  <c r="L2092" i="2"/>
  <c r="K2092" i="2"/>
  <c r="H2092" i="2"/>
  <c r="G2092" i="2"/>
  <c r="F2092" i="2"/>
  <c r="E2092" i="2"/>
  <c r="D2092" i="2"/>
  <c r="C2092" i="2"/>
  <c r="B2092" i="2"/>
  <c r="A2092" i="2"/>
  <c r="AG2091" i="2"/>
  <c r="AF2091" i="2"/>
  <c r="AE2091" i="2"/>
  <c r="AD2091" i="2"/>
  <c r="AC2091" i="2"/>
  <c r="AB2091" i="2"/>
  <c r="Z2091" i="2"/>
  <c r="Y2091" i="2"/>
  <c r="X2091" i="2"/>
  <c r="W2091" i="2"/>
  <c r="V2091" i="2"/>
  <c r="R2091" i="2"/>
  <c r="Q2091" i="2"/>
  <c r="P2091" i="2"/>
  <c r="O2091" i="2"/>
  <c r="N2091" i="2"/>
  <c r="M2091" i="2"/>
  <c r="L2091" i="2"/>
  <c r="K2091" i="2"/>
  <c r="H2091" i="2"/>
  <c r="G2091" i="2"/>
  <c r="F2091" i="2"/>
  <c r="E2091" i="2"/>
  <c r="D2091" i="2"/>
  <c r="C2091" i="2"/>
  <c r="B2091" i="2"/>
  <c r="A2091" i="2"/>
  <c r="AG2090" i="2"/>
  <c r="AF2090" i="2"/>
  <c r="AE2090" i="2"/>
  <c r="AD2090" i="2"/>
  <c r="AC2090" i="2"/>
  <c r="AB2090" i="2"/>
  <c r="Z2090" i="2"/>
  <c r="Y2090" i="2"/>
  <c r="X2090" i="2"/>
  <c r="W2090" i="2"/>
  <c r="V2090" i="2"/>
  <c r="U2090" i="2"/>
  <c r="T2090" i="2"/>
  <c r="S2090" i="2"/>
  <c r="R2090" i="2"/>
  <c r="Q2090" i="2"/>
  <c r="P2090" i="2"/>
  <c r="O2090" i="2"/>
  <c r="N2090" i="2"/>
  <c r="M2090" i="2"/>
  <c r="L2090" i="2"/>
  <c r="K2090" i="2"/>
  <c r="H2090" i="2"/>
  <c r="G2090" i="2"/>
  <c r="F2090" i="2"/>
  <c r="E2090" i="2"/>
  <c r="D2090" i="2"/>
  <c r="C2090" i="2"/>
  <c r="B2090" i="2"/>
  <c r="A2090" i="2"/>
  <c r="AG2089" i="2"/>
  <c r="AF2089" i="2"/>
  <c r="AD2089" i="2"/>
  <c r="AC2089" i="2"/>
  <c r="AB2089" i="2"/>
  <c r="Z2089" i="2"/>
  <c r="Y2089" i="2"/>
  <c r="X2089" i="2"/>
  <c r="W2089" i="2"/>
  <c r="V2089" i="2"/>
  <c r="U2089" i="2"/>
  <c r="T2089" i="2"/>
  <c r="S2089" i="2"/>
  <c r="R2089" i="2"/>
  <c r="Q2089" i="2"/>
  <c r="P2089" i="2"/>
  <c r="O2089" i="2"/>
  <c r="N2089" i="2"/>
  <c r="M2089" i="2"/>
  <c r="L2089" i="2"/>
  <c r="K2089" i="2"/>
  <c r="H2089" i="2"/>
  <c r="G2089" i="2"/>
  <c r="F2089" i="2"/>
  <c r="E2089" i="2"/>
  <c r="D2089" i="2"/>
  <c r="C2089" i="2"/>
  <c r="B2089" i="2"/>
  <c r="A2089" i="2"/>
  <c r="AG2088" i="2"/>
  <c r="AF2088" i="2"/>
  <c r="AE2088" i="2"/>
  <c r="AD2088" i="2"/>
  <c r="AC2088" i="2"/>
  <c r="AB2088" i="2"/>
  <c r="Z2088" i="2"/>
  <c r="X2088" i="2"/>
  <c r="W2088" i="2"/>
  <c r="V2088" i="2"/>
  <c r="U2088" i="2"/>
  <c r="R2088" i="2"/>
  <c r="Q2088" i="2"/>
  <c r="P2088" i="2"/>
  <c r="O2088" i="2"/>
  <c r="N2088" i="2"/>
  <c r="M2088" i="2"/>
  <c r="L2088" i="2"/>
  <c r="K2088" i="2"/>
  <c r="H2088" i="2"/>
  <c r="G2088" i="2"/>
  <c r="F2088" i="2"/>
  <c r="E2088" i="2"/>
  <c r="D2088" i="2"/>
  <c r="C2088" i="2"/>
  <c r="B2088" i="2"/>
  <c r="A2088" i="2"/>
  <c r="AH2087" i="2"/>
  <c r="AG2087" i="2"/>
  <c r="AF2087" i="2"/>
  <c r="AE2087" i="2"/>
  <c r="AD2087" i="2"/>
  <c r="AC2087" i="2"/>
  <c r="AB2087" i="2"/>
  <c r="Z2087" i="2"/>
  <c r="Y2087" i="2"/>
  <c r="X2087" i="2"/>
  <c r="W2087" i="2"/>
  <c r="V2087" i="2"/>
  <c r="U2087" i="2"/>
  <c r="T2087" i="2"/>
  <c r="S2087" i="2"/>
  <c r="R2087" i="2"/>
  <c r="Q2087" i="2"/>
  <c r="P2087" i="2"/>
  <c r="O2087" i="2"/>
  <c r="N2087" i="2"/>
  <c r="M2087" i="2"/>
  <c r="L2087" i="2"/>
  <c r="K2087" i="2"/>
  <c r="H2087" i="2"/>
  <c r="G2087" i="2"/>
  <c r="F2087" i="2"/>
  <c r="E2087" i="2"/>
  <c r="D2087" i="2"/>
  <c r="C2087" i="2"/>
  <c r="B2087" i="2"/>
  <c r="A2087" i="2"/>
  <c r="AG2086" i="2"/>
  <c r="AF2086" i="2"/>
  <c r="AE2086" i="2"/>
  <c r="AD2086" i="2"/>
  <c r="AC2086" i="2"/>
  <c r="AB2086" i="2"/>
  <c r="Z2086" i="2"/>
  <c r="Y2086" i="2"/>
  <c r="X2086" i="2"/>
  <c r="W2086" i="2"/>
  <c r="V2086" i="2"/>
  <c r="R2086" i="2"/>
  <c r="Q2086" i="2"/>
  <c r="P2086" i="2"/>
  <c r="O2086" i="2"/>
  <c r="N2086" i="2"/>
  <c r="M2086" i="2"/>
  <c r="L2086" i="2"/>
  <c r="K2086" i="2"/>
  <c r="H2086" i="2"/>
  <c r="G2086" i="2"/>
  <c r="F2086" i="2"/>
  <c r="E2086" i="2"/>
  <c r="D2086" i="2"/>
  <c r="C2086" i="2"/>
  <c r="B2086" i="2"/>
  <c r="A2086" i="2"/>
  <c r="AG2085" i="2"/>
  <c r="AD2085" i="2"/>
  <c r="AC2085" i="2"/>
  <c r="AB2085" i="2"/>
  <c r="Z2085" i="2"/>
  <c r="Y2085" i="2"/>
  <c r="X2085" i="2"/>
  <c r="W2085" i="2"/>
  <c r="V2085" i="2"/>
  <c r="S2085" i="2"/>
  <c r="R2085" i="2"/>
  <c r="Q2085" i="2"/>
  <c r="P2085" i="2"/>
  <c r="O2085" i="2"/>
  <c r="N2085" i="2"/>
  <c r="M2085" i="2"/>
  <c r="L2085" i="2"/>
  <c r="K2085" i="2"/>
  <c r="H2085" i="2"/>
  <c r="G2085" i="2"/>
  <c r="F2085" i="2"/>
  <c r="E2085" i="2"/>
  <c r="D2085" i="2"/>
  <c r="C2085" i="2"/>
  <c r="B2085" i="2"/>
  <c r="A2085" i="2"/>
  <c r="AG2084" i="2"/>
  <c r="AF2084" i="2"/>
  <c r="AE2084" i="2"/>
  <c r="AD2084" i="2"/>
  <c r="AC2084" i="2"/>
  <c r="AB2084" i="2"/>
  <c r="AA2084" i="2"/>
  <c r="Z2084" i="2"/>
  <c r="Y2084" i="2"/>
  <c r="X2084" i="2"/>
  <c r="W2084" i="2"/>
  <c r="V2084" i="2"/>
  <c r="R2084" i="2"/>
  <c r="Q2084" i="2"/>
  <c r="P2084" i="2"/>
  <c r="O2084" i="2"/>
  <c r="N2084" i="2"/>
  <c r="M2084" i="2"/>
  <c r="L2084" i="2"/>
  <c r="K2084" i="2"/>
  <c r="H2084" i="2"/>
  <c r="G2084" i="2"/>
  <c r="F2084" i="2"/>
  <c r="E2084" i="2"/>
  <c r="D2084" i="2"/>
  <c r="C2084" i="2"/>
  <c r="B2084" i="2"/>
  <c r="A2084" i="2"/>
  <c r="AG2083" i="2"/>
  <c r="AF2083" i="2"/>
  <c r="AD2083" i="2"/>
  <c r="AC2083" i="2"/>
  <c r="AB2083" i="2"/>
  <c r="AA2083" i="2"/>
  <c r="Z2083" i="2"/>
  <c r="Y2083" i="2"/>
  <c r="X2083" i="2"/>
  <c r="W2083" i="2"/>
  <c r="V2083" i="2"/>
  <c r="R2083" i="2"/>
  <c r="Q2083" i="2"/>
  <c r="P2083" i="2"/>
  <c r="O2083" i="2"/>
  <c r="N2083" i="2"/>
  <c r="M2083" i="2"/>
  <c r="L2083" i="2"/>
  <c r="K2083" i="2"/>
  <c r="H2083" i="2"/>
  <c r="G2083" i="2"/>
  <c r="F2083" i="2"/>
  <c r="E2083" i="2"/>
  <c r="D2083" i="2"/>
  <c r="C2083" i="2"/>
  <c r="B2083" i="2"/>
  <c r="A2083" i="2"/>
  <c r="AG2082" i="2"/>
  <c r="AF2082" i="2"/>
  <c r="AE2082" i="2"/>
  <c r="AD2082" i="2"/>
  <c r="AC2082" i="2"/>
  <c r="AB2082" i="2"/>
  <c r="Z2082" i="2"/>
  <c r="Y2082" i="2"/>
  <c r="X2082" i="2"/>
  <c r="W2082" i="2"/>
  <c r="V2082" i="2"/>
  <c r="U2082" i="2"/>
  <c r="R2082" i="2"/>
  <c r="Q2082" i="2"/>
  <c r="P2082" i="2"/>
  <c r="O2082" i="2"/>
  <c r="N2082" i="2"/>
  <c r="M2082" i="2"/>
  <c r="L2082" i="2"/>
  <c r="K2082" i="2"/>
  <c r="H2082" i="2"/>
  <c r="G2082" i="2"/>
  <c r="F2082" i="2"/>
  <c r="E2082" i="2"/>
  <c r="D2082" i="2"/>
  <c r="C2082" i="2"/>
  <c r="B2082" i="2"/>
  <c r="A2082" i="2"/>
  <c r="AG2081" i="2"/>
  <c r="AF2081" i="2"/>
  <c r="AE2081" i="2"/>
  <c r="AD2081" i="2"/>
  <c r="AC2081" i="2"/>
  <c r="AB2081" i="2"/>
  <c r="Z2081" i="2"/>
  <c r="Y2081" i="2"/>
  <c r="X2081" i="2"/>
  <c r="W2081" i="2"/>
  <c r="V2081" i="2"/>
  <c r="U2081" i="2"/>
  <c r="R2081" i="2"/>
  <c r="Q2081" i="2"/>
  <c r="P2081" i="2"/>
  <c r="O2081" i="2"/>
  <c r="N2081" i="2"/>
  <c r="M2081" i="2"/>
  <c r="L2081" i="2"/>
  <c r="K2081" i="2"/>
  <c r="H2081" i="2"/>
  <c r="G2081" i="2"/>
  <c r="F2081" i="2"/>
  <c r="E2081" i="2"/>
  <c r="D2081" i="2"/>
  <c r="C2081" i="2"/>
  <c r="B2081" i="2"/>
  <c r="A2081" i="2"/>
  <c r="AG2080" i="2"/>
  <c r="AF2080" i="2"/>
  <c r="AE2080" i="2"/>
  <c r="AD2080" i="2"/>
  <c r="AC2080" i="2"/>
  <c r="AB2080" i="2"/>
  <c r="Z2080" i="2"/>
  <c r="Y2080" i="2"/>
  <c r="X2080" i="2"/>
  <c r="W2080" i="2"/>
  <c r="V2080" i="2"/>
  <c r="U2080" i="2"/>
  <c r="R2080" i="2"/>
  <c r="Q2080" i="2"/>
  <c r="P2080" i="2"/>
  <c r="O2080" i="2"/>
  <c r="N2080" i="2"/>
  <c r="M2080" i="2"/>
  <c r="L2080" i="2"/>
  <c r="K2080" i="2"/>
  <c r="H2080" i="2"/>
  <c r="G2080" i="2"/>
  <c r="F2080" i="2"/>
  <c r="E2080" i="2"/>
  <c r="D2080" i="2"/>
  <c r="C2080" i="2"/>
  <c r="B2080" i="2"/>
  <c r="A2080" i="2"/>
  <c r="AG2079" i="2"/>
  <c r="AF2079" i="2"/>
  <c r="AE2079" i="2"/>
  <c r="AD2079" i="2"/>
  <c r="AC2079" i="2"/>
  <c r="AB2079" i="2"/>
  <c r="Z2079" i="2"/>
  <c r="Y2079" i="2"/>
  <c r="X2079" i="2"/>
  <c r="W2079" i="2"/>
  <c r="V2079" i="2"/>
  <c r="U2079" i="2"/>
  <c r="S2079" i="2"/>
  <c r="R2079" i="2"/>
  <c r="Q2079" i="2"/>
  <c r="P2079" i="2"/>
  <c r="O2079" i="2"/>
  <c r="N2079" i="2"/>
  <c r="M2079" i="2"/>
  <c r="L2079" i="2"/>
  <c r="K2079" i="2"/>
  <c r="H2079" i="2"/>
  <c r="G2079" i="2"/>
  <c r="F2079" i="2"/>
  <c r="E2079" i="2"/>
  <c r="D2079" i="2"/>
  <c r="C2079" i="2"/>
  <c r="B2079" i="2"/>
  <c r="A2079" i="2"/>
  <c r="AG2078" i="2"/>
  <c r="AF2078" i="2"/>
  <c r="AE2078" i="2"/>
  <c r="AD2078" i="2"/>
  <c r="AC2078" i="2"/>
  <c r="AB2078" i="2"/>
  <c r="Z2078" i="2"/>
  <c r="Y2078" i="2"/>
  <c r="X2078" i="2"/>
  <c r="W2078" i="2"/>
  <c r="V2078" i="2"/>
  <c r="S2078" i="2"/>
  <c r="R2078" i="2"/>
  <c r="Q2078" i="2"/>
  <c r="P2078" i="2"/>
  <c r="O2078" i="2"/>
  <c r="N2078" i="2"/>
  <c r="M2078" i="2"/>
  <c r="L2078" i="2"/>
  <c r="K2078" i="2"/>
  <c r="H2078" i="2"/>
  <c r="G2078" i="2"/>
  <c r="F2078" i="2"/>
  <c r="E2078" i="2"/>
  <c r="D2078" i="2"/>
  <c r="C2078" i="2"/>
  <c r="B2078" i="2"/>
  <c r="A2078" i="2"/>
  <c r="AG2077" i="2"/>
  <c r="AF2077" i="2"/>
  <c r="AE2077" i="2"/>
  <c r="AD2077" i="2"/>
  <c r="AC2077" i="2"/>
  <c r="AB2077" i="2"/>
  <c r="Z2077" i="2"/>
  <c r="Y2077" i="2"/>
  <c r="X2077" i="2"/>
  <c r="W2077" i="2"/>
  <c r="V2077" i="2"/>
  <c r="S2077" i="2"/>
  <c r="R2077" i="2"/>
  <c r="Q2077" i="2"/>
  <c r="P2077" i="2"/>
  <c r="O2077" i="2"/>
  <c r="N2077" i="2"/>
  <c r="M2077" i="2"/>
  <c r="L2077" i="2"/>
  <c r="K2077" i="2"/>
  <c r="H2077" i="2"/>
  <c r="G2077" i="2"/>
  <c r="F2077" i="2"/>
  <c r="E2077" i="2"/>
  <c r="D2077" i="2"/>
  <c r="C2077" i="2"/>
  <c r="B2077" i="2"/>
  <c r="A2077" i="2"/>
  <c r="AG2076" i="2"/>
  <c r="AF2076" i="2"/>
  <c r="AE2076" i="2"/>
  <c r="AD2076" i="2"/>
  <c r="AC2076" i="2"/>
  <c r="AB2076" i="2"/>
  <c r="Z2076" i="2"/>
  <c r="Y2076" i="2"/>
  <c r="X2076" i="2"/>
  <c r="W2076" i="2"/>
  <c r="V2076" i="2"/>
  <c r="U2076" i="2"/>
  <c r="R2076" i="2"/>
  <c r="Q2076" i="2"/>
  <c r="P2076" i="2"/>
  <c r="O2076" i="2"/>
  <c r="N2076" i="2"/>
  <c r="M2076" i="2"/>
  <c r="L2076" i="2"/>
  <c r="K2076" i="2"/>
  <c r="H2076" i="2"/>
  <c r="G2076" i="2"/>
  <c r="F2076" i="2"/>
  <c r="E2076" i="2"/>
  <c r="D2076" i="2"/>
  <c r="C2076" i="2"/>
  <c r="B2076" i="2"/>
  <c r="A2076" i="2"/>
  <c r="AG2075" i="2"/>
  <c r="AF2075" i="2"/>
  <c r="AE2075" i="2"/>
  <c r="AD2075" i="2"/>
  <c r="AC2075" i="2"/>
  <c r="AB2075" i="2"/>
  <c r="Z2075" i="2"/>
  <c r="Y2075" i="2"/>
  <c r="X2075" i="2"/>
  <c r="W2075" i="2"/>
  <c r="V2075" i="2"/>
  <c r="U2075" i="2"/>
  <c r="T2075" i="2"/>
  <c r="S2075" i="2"/>
  <c r="R2075" i="2"/>
  <c r="Q2075" i="2"/>
  <c r="P2075" i="2"/>
  <c r="O2075" i="2"/>
  <c r="N2075" i="2"/>
  <c r="M2075" i="2"/>
  <c r="L2075" i="2"/>
  <c r="K2075" i="2"/>
  <c r="H2075" i="2"/>
  <c r="G2075" i="2"/>
  <c r="F2075" i="2"/>
  <c r="E2075" i="2"/>
  <c r="D2075" i="2"/>
  <c r="C2075" i="2"/>
  <c r="B2075" i="2"/>
  <c r="A2075" i="2"/>
  <c r="AH2074" i="2"/>
  <c r="AG2074" i="2"/>
  <c r="AF2074" i="2"/>
  <c r="AD2074" i="2"/>
  <c r="AC2074" i="2"/>
  <c r="AB2074" i="2"/>
  <c r="Z2074" i="2"/>
  <c r="Y2074" i="2"/>
  <c r="X2074" i="2"/>
  <c r="W2074" i="2"/>
  <c r="V2074" i="2"/>
  <c r="U2074" i="2"/>
  <c r="R2074" i="2"/>
  <c r="Q2074" i="2"/>
  <c r="P2074" i="2"/>
  <c r="O2074" i="2"/>
  <c r="N2074" i="2"/>
  <c r="M2074" i="2"/>
  <c r="L2074" i="2"/>
  <c r="K2074" i="2"/>
  <c r="H2074" i="2"/>
  <c r="G2074" i="2"/>
  <c r="F2074" i="2"/>
  <c r="E2074" i="2"/>
  <c r="D2074" i="2"/>
  <c r="C2074" i="2"/>
  <c r="B2074" i="2"/>
  <c r="A2074" i="2"/>
  <c r="AG2073" i="2"/>
  <c r="AF2073" i="2"/>
  <c r="AE2073" i="2"/>
  <c r="AD2073" i="2"/>
  <c r="AC2073" i="2"/>
  <c r="AB2073" i="2"/>
  <c r="Z2073" i="2"/>
  <c r="Y2073" i="2"/>
  <c r="X2073" i="2"/>
  <c r="W2073" i="2"/>
  <c r="V2073" i="2"/>
  <c r="U2073" i="2"/>
  <c r="T2073" i="2"/>
  <c r="S2073" i="2"/>
  <c r="R2073" i="2"/>
  <c r="Q2073" i="2"/>
  <c r="P2073" i="2"/>
  <c r="O2073" i="2"/>
  <c r="N2073" i="2"/>
  <c r="M2073" i="2"/>
  <c r="L2073" i="2"/>
  <c r="K2073" i="2"/>
  <c r="H2073" i="2"/>
  <c r="G2073" i="2"/>
  <c r="F2073" i="2"/>
  <c r="E2073" i="2"/>
  <c r="D2073" i="2"/>
  <c r="C2073" i="2"/>
  <c r="B2073" i="2"/>
  <c r="A2073" i="2"/>
  <c r="AG2072" i="2"/>
  <c r="AF2072" i="2"/>
  <c r="AE2072" i="2"/>
  <c r="AD2072" i="2"/>
  <c r="AC2072" i="2"/>
  <c r="AB2072" i="2"/>
  <c r="Z2072" i="2"/>
  <c r="Y2072" i="2"/>
  <c r="X2072" i="2"/>
  <c r="W2072" i="2"/>
  <c r="V2072" i="2"/>
  <c r="U2072" i="2"/>
  <c r="T2072" i="2"/>
  <c r="S2072" i="2"/>
  <c r="R2072" i="2"/>
  <c r="Q2072" i="2"/>
  <c r="P2072" i="2"/>
  <c r="O2072" i="2"/>
  <c r="N2072" i="2"/>
  <c r="M2072" i="2"/>
  <c r="L2072" i="2"/>
  <c r="K2072" i="2"/>
  <c r="H2072" i="2"/>
  <c r="G2072" i="2"/>
  <c r="F2072" i="2"/>
  <c r="E2072" i="2"/>
  <c r="D2072" i="2"/>
  <c r="C2072" i="2"/>
  <c r="B2072" i="2"/>
  <c r="A2072" i="2"/>
  <c r="AG2071" i="2"/>
  <c r="AF2071" i="2"/>
  <c r="AE2071" i="2"/>
  <c r="AD2071" i="2"/>
  <c r="AC2071" i="2"/>
  <c r="AB2071" i="2"/>
  <c r="AA2071" i="2"/>
  <c r="Z2071" i="2"/>
  <c r="Y2071" i="2"/>
  <c r="X2071" i="2"/>
  <c r="W2071" i="2"/>
  <c r="V2071" i="2"/>
  <c r="U2071" i="2"/>
  <c r="T2071" i="2"/>
  <c r="S2071" i="2"/>
  <c r="R2071" i="2"/>
  <c r="Q2071" i="2"/>
  <c r="P2071" i="2"/>
  <c r="O2071" i="2"/>
  <c r="N2071" i="2"/>
  <c r="M2071" i="2"/>
  <c r="L2071" i="2"/>
  <c r="K2071" i="2"/>
  <c r="H2071" i="2"/>
  <c r="G2071" i="2"/>
  <c r="F2071" i="2"/>
  <c r="E2071" i="2"/>
  <c r="D2071" i="2"/>
  <c r="C2071" i="2"/>
  <c r="B2071" i="2"/>
  <c r="A2071" i="2"/>
  <c r="AH2070" i="2"/>
  <c r="AG2070" i="2"/>
  <c r="AF2070" i="2"/>
  <c r="AE2070" i="2"/>
  <c r="AD2070" i="2"/>
  <c r="AC2070" i="2"/>
  <c r="AB2070" i="2"/>
  <c r="Z2070" i="2"/>
  <c r="Y2070" i="2"/>
  <c r="X2070" i="2"/>
  <c r="W2070" i="2"/>
  <c r="V2070" i="2"/>
  <c r="U2070" i="2"/>
  <c r="T2070" i="2"/>
  <c r="S2070" i="2"/>
  <c r="R2070" i="2"/>
  <c r="Q2070" i="2"/>
  <c r="P2070" i="2"/>
  <c r="O2070" i="2"/>
  <c r="N2070" i="2"/>
  <c r="M2070" i="2"/>
  <c r="L2070" i="2"/>
  <c r="K2070" i="2"/>
  <c r="H2070" i="2"/>
  <c r="G2070" i="2"/>
  <c r="F2070" i="2"/>
  <c r="E2070" i="2"/>
  <c r="D2070" i="2"/>
  <c r="C2070" i="2"/>
  <c r="B2070" i="2"/>
  <c r="A2070" i="2"/>
  <c r="AG2069" i="2"/>
  <c r="AF2069" i="2"/>
  <c r="AE2069" i="2"/>
  <c r="AD2069" i="2"/>
  <c r="AC2069" i="2"/>
  <c r="AB2069" i="2"/>
  <c r="Z2069" i="2"/>
  <c r="Y2069" i="2"/>
  <c r="X2069" i="2"/>
  <c r="W2069" i="2"/>
  <c r="V2069" i="2"/>
  <c r="U2069" i="2"/>
  <c r="T2069" i="2"/>
  <c r="S2069" i="2"/>
  <c r="R2069" i="2"/>
  <c r="Q2069" i="2"/>
  <c r="P2069" i="2"/>
  <c r="O2069" i="2"/>
  <c r="N2069" i="2"/>
  <c r="M2069" i="2"/>
  <c r="L2069" i="2"/>
  <c r="K2069" i="2"/>
  <c r="H2069" i="2"/>
  <c r="G2069" i="2"/>
  <c r="F2069" i="2"/>
  <c r="E2069" i="2"/>
  <c r="D2069" i="2"/>
  <c r="C2069" i="2"/>
  <c r="B2069" i="2"/>
  <c r="A2069" i="2"/>
  <c r="AG2068" i="2"/>
  <c r="AF2068" i="2"/>
  <c r="AE2068" i="2"/>
  <c r="AD2068" i="2"/>
  <c r="AC2068" i="2"/>
  <c r="AB2068" i="2"/>
  <c r="Z2068" i="2"/>
  <c r="Y2068" i="2"/>
  <c r="X2068" i="2"/>
  <c r="W2068" i="2"/>
  <c r="V2068" i="2"/>
  <c r="U2068" i="2"/>
  <c r="T2068" i="2"/>
  <c r="S2068" i="2"/>
  <c r="R2068" i="2"/>
  <c r="Q2068" i="2"/>
  <c r="P2068" i="2"/>
  <c r="O2068" i="2"/>
  <c r="N2068" i="2"/>
  <c r="M2068" i="2"/>
  <c r="L2068" i="2"/>
  <c r="K2068" i="2"/>
  <c r="H2068" i="2"/>
  <c r="G2068" i="2"/>
  <c r="F2068" i="2"/>
  <c r="E2068" i="2"/>
  <c r="D2068" i="2"/>
  <c r="C2068" i="2"/>
  <c r="B2068" i="2"/>
  <c r="A2068" i="2"/>
  <c r="AG2067" i="2"/>
  <c r="AF2067" i="2"/>
  <c r="AE2067" i="2"/>
  <c r="AD2067" i="2"/>
  <c r="AC2067" i="2"/>
  <c r="AB2067" i="2"/>
  <c r="Z2067" i="2"/>
  <c r="Y2067" i="2"/>
  <c r="X2067" i="2"/>
  <c r="W2067" i="2"/>
  <c r="V2067" i="2"/>
  <c r="R2067" i="2"/>
  <c r="Q2067" i="2"/>
  <c r="P2067" i="2"/>
  <c r="O2067" i="2"/>
  <c r="N2067" i="2"/>
  <c r="M2067" i="2"/>
  <c r="L2067" i="2"/>
  <c r="K2067" i="2"/>
  <c r="H2067" i="2"/>
  <c r="G2067" i="2"/>
  <c r="F2067" i="2"/>
  <c r="E2067" i="2"/>
  <c r="D2067" i="2"/>
  <c r="C2067" i="2"/>
  <c r="B2067" i="2"/>
  <c r="A2067" i="2"/>
  <c r="AG2066" i="2"/>
  <c r="AF2066" i="2"/>
  <c r="AE2066" i="2"/>
  <c r="AD2066" i="2"/>
  <c r="AC2066" i="2"/>
  <c r="AB2066" i="2"/>
  <c r="Z2066" i="2"/>
  <c r="Y2066" i="2"/>
  <c r="X2066" i="2"/>
  <c r="W2066" i="2"/>
  <c r="V2066" i="2"/>
  <c r="U2066" i="2"/>
  <c r="T2066" i="2"/>
  <c r="S2066" i="2"/>
  <c r="R2066" i="2"/>
  <c r="Q2066" i="2"/>
  <c r="P2066" i="2"/>
  <c r="O2066" i="2"/>
  <c r="N2066" i="2"/>
  <c r="M2066" i="2"/>
  <c r="L2066" i="2"/>
  <c r="K2066" i="2"/>
  <c r="H2066" i="2"/>
  <c r="G2066" i="2"/>
  <c r="F2066" i="2"/>
  <c r="E2066" i="2"/>
  <c r="D2066" i="2"/>
  <c r="C2066" i="2"/>
  <c r="B2066" i="2"/>
  <c r="A2066" i="2"/>
  <c r="AG2065" i="2"/>
  <c r="AF2065" i="2"/>
  <c r="AE2065" i="2"/>
  <c r="AD2065" i="2"/>
  <c r="AC2065" i="2"/>
  <c r="AB2065" i="2"/>
  <c r="Z2065" i="2"/>
  <c r="Y2065" i="2"/>
  <c r="X2065" i="2"/>
  <c r="W2065" i="2"/>
  <c r="V2065" i="2"/>
  <c r="T2065" i="2"/>
  <c r="S2065" i="2"/>
  <c r="R2065" i="2"/>
  <c r="Q2065" i="2"/>
  <c r="P2065" i="2"/>
  <c r="O2065" i="2"/>
  <c r="N2065" i="2"/>
  <c r="M2065" i="2"/>
  <c r="L2065" i="2"/>
  <c r="K2065" i="2"/>
  <c r="H2065" i="2"/>
  <c r="G2065" i="2"/>
  <c r="F2065" i="2"/>
  <c r="E2065" i="2"/>
  <c r="D2065" i="2"/>
  <c r="C2065" i="2"/>
  <c r="B2065" i="2"/>
  <c r="A2065" i="2"/>
  <c r="AG2064" i="2"/>
  <c r="AF2064" i="2"/>
  <c r="AE2064" i="2"/>
  <c r="AD2064" i="2"/>
  <c r="AC2064" i="2"/>
  <c r="AB2064" i="2"/>
  <c r="Z2064" i="2"/>
  <c r="Y2064" i="2"/>
  <c r="X2064" i="2"/>
  <c r="W2064" i="2"/>
  <c r="V2064" i="2"/>
  <c r="U2064" i="2"/>
  <c r="T2064" i="2"/>
  <c r="S2064" i="2"/>
  <c r="R2064" i="2"/>
  <c r="Q2064" i="2"/>
  <c r="P2064" i="2"/>
  <c r="O2064" i="2"/>
  <c r="N2064" i="2"/>
  <c r="M2064" i="2"/>
  <c r="L2064" i="2"/>
  <c r="K2064" i="2"/>
  <c r="H2064" i="2"/>
  <c r="G2064" i="2"/>
  <c r="F2064" i="2"/>
  <c r="E2064" i="2"/>
  <c r="D2064" i="2"/>
  <c r="C2064" i="2"/>
  <c r="B2064" i="2"/>
  <c r="A2064" i="2"/>
  <c r="AG2063" i="2"/>
  <c r="AF2063" i="2"/>
  <c r="AE2063" i="2"/>
  <c r="AD2063" i="2"/>
  <c r="AC2063" i="2"/>
  <c r="AB2063" i="2"/>
  <c r="Z2063" i="2"/>
  <c r="Y2063" i="2"/>
  <c r="X2063" i="2"/>
  <c r="W2063" i="2"/>
  <c r="V2063" i="2"/>
  <c r="U2063" i="2"/>
  <c r="T2063" i="2"/>
  <c r="S2063" i="2"/>
  <c r="R2063" i="2"/>
  <c r="Q2063" i="2"/>
  <c r="P2063" i="2"/>
  <c r="O2063" i="2"/>
  <c r="N2063" i="2"/>
  <c r="M2063" i="2"/>
  <c r="L2063" i="2"/>
  <c r="K2063" i="2"/>
  <c r="H2063" i="2"/>
  <c r="G2063" i="2"/>
  <c r="F2063" i="2"/>
  <c r="E2063" i="2"/>
  <c r="D2063" i="2"/>
  <c r="C2063" i="2"/>
  <c r="B2063" i="2"/>
  <c r="A2063" i="2"/>
  <c r="AG2062" i="2"/>
  <c r="AF2062" i="2"/>
  <c r="AD2062" i="2"/>
  <c r="AC2062" i="2"/>
  <c r="AB2062" i="2"/>
  <c r="Z2062" i="2"/>
  <c r="Y2062" i="2"/>
  <c r="X2062" i="2"/>
  <c r="W2062" i="2"/>
  <c r="V2062" i="2"/>
  <c r="U2062" i="2"/>
  <c r="T2062" i="2"/>
  <c r="S2062" i="2"/>
  <c r="R2062" i="2"/>
  <c r="Q2062" i="2"/>
  <c r="P2062" i="2"/>
  <c r="O2062" i="2"/>
  <c r="N2062" i="2"/>
  <c r="M2062" i="2"/>
  <c r="L2062" i="2"/>
  <c r="K2062" i="2"/>
  <c r="H2062" i="2"/>
  <c r="G2062" i="2"/>
  <c r="F2062" i="2"/>
  <c r="E2062" i="2"/>
  <c r="D2062" i="2"/>
  <c r="C2062" i="2"/>
  <c r="B2062" i="2"/>
  <c r="A2062" i="2"/>
  <c r="AG2061" i="2"/>
  <c r="AF2061" i="2"/>
  <c r="AE2061" i="2"/>
  <c r="AD2061" i="2"/>
  <c r="AC2061" i="2"/>
  <c r="AB2061" i="2"/>
  <c r="AA2061" i="2"/>
  <c r="Z2061" i="2"/>
  <c r="Y2061" i="2"/>
  <c r="X2061" i="2"/>
  <c r="W2061" i="2"/>
  <c r="V2061" i="2"/>
  <c r="U2061" i="2"/>
  <c r="S2061" i="2"/>
  <c r="R2061" i="2"/>
  <c r="Q2061" i="2"/>
  <c r="P2061" i="2"/>
  <c r="O2061" i="2"/>
  <c r="N2061" i="2"/>
  <c r="M2061" i="2"/>
  <c r="L2061" i="2"/>
  <c r="K2061" i="2"/>
  <c r="H2061" i="2"/>
  <c r="G2061" i="2"/>
  <c r="F2061" i="2"/>
  <c r="E2061" i="2"/>
  <c r="D2061" i="2"/>
  <c r="C2061" i="2"/>
  <c r="B2061" i="2"/>
  <c r="A2061" i="2"/>
  <c r="AH2060" i="2"/>
  <c r="AG2060" i="2"/>
  <c r="AF2060" i="2"/>
  <c r="AE2060" i="2"/>
  <c r="AD2060" i="2"/>
  <c r="AC2060" i="2"/>
  <c r="AB2060" i="2"/>
  <c r="Z2060" i="2"/>
  <c r="Y2060" i="2"/>
  <c r="X2060" i="2"/>
  <c r="W2060" i="2"/>
  <c r="V2060" i="2"/>
  <c r="U2060" i="2"/>
  <c r="S2060" i="2"/>
  <c r="R2060" i="2"/>
  <c r="Q2060" i="2"/>
  <c r="P2060" i="2"/>
  <c r="O2060" i="2"/>
  <c r="N2060" i="2"/>
  <c r="M2060" i="2"/>
  <c r="L2060" i="2"/>
  <c r="K2060" i="2"/>
  <c r="H2060" i="2"/>
  <c r="G2060" i="2"/>
  <c r="F2060" i="2"/>
  <c r="E2060" i="2"/>
  <c r="D2060" i="2"/>
  <c r="C2060" i="2"/>
  <c r="B2060" i="2"/>
  <c r="A2060" i="2"/>
  <c r="AG2059" i="2"/>
  <c r="AF2059" i="2"/>
  <c r="AE2059" i="2"/>
  <c r="AD2059" i="2"/>
  <c r="AC2059" i="2"/>
  <c r="AB2059" i="2"/>
  <c r="Z2059" i="2"/>
  <c r="Y2059" i="2"/>
  <c r="X2059" i="2"/>
  <c r="W2059" i="2"/>
  <c r="V2059" i="2"/>
  <c r="U2059" i="2"/>
  <c r="R2059" i="2"/>
  <c r="Q2059" i="2"/>
  <c r="P2059" i="2"/>
  <c r="O2059" i="2"/>
  <c r="N2059" i="2"/>
  <c r="M2059" i="2"/>
  <c r="L2059" i="2"/>
  <c r="K2059" i="2"/>
  <c r="H2059" i="2"/>
  <c r="G2059" i="2"/>
  <c r="F2059" i="2"/>
  <c r="E2059" i="2"/>
  <c r="D2059" i="2"/>
  <c r="C2059" i="2"/>
  <c r="B2059" i="2"/>
  <c r="A2059" i="2"/>
  <c r="AG2058" i="2"/>
  <c r="AF2058" i="2"/>
  <c r="AE2058" i="2"/>
  <c r="AD2058" i="2"/>
  <c r="AC2058" i="2"/>
  <c r="AB2058" i="2"/>
  <c r="Z2058" i="2"/>
  <c r="Y2058" i="2"/>
  <c r="X2058" i="2"/>
  <c r="W2058" i="2"/>
  <c r="V2058" i="2"/>
  <c r="U2058" i="2"/>
  <c r="R2058" i="2"/>
  <c r="Q2058" i="2"/>
  <c r="P2058" i="2"/>
  <c r="O2058" i="2"/>
  <c r="N2058" i="2"/>
  <c r="M2058" i="2"/>
  <c r="L2058" i="2"/>
  <c r="K2058" i="2"/>
  <c r="H2058" i="2"/>
  <c r="G2058" i="2"/>
  <c r="F2058" i="2"/>
  <c r="E2058" i="2"/>
  <c r="D2058" i="2"/>
  <c r="C2058" i="2"/>
  <c r="B2058" i="2"/>
  <c r="A2058" i="2"/>
  <c r="AG2057" i="2"/>
  <c r="AF2057" i="2"/>
  <c r="AE2057" i="2"/>
  <c r="AD2057" i="2"/>
  <c r="AC2057" i="2"/>
  <c r="AB2057" i="2"/>
  <c r="Z2057" i="2"/>
  <c r="Y2057" i="2"/>
  <c r="X2057" i="2"/>
  <c r="W2057" i="2"/>
  <c r="V2057" i="2"/>
  <c r="U2057" i="2"/>
  <c r="S2057" i="2"/>
  <c r="R2057" i="2"/>
  <c r="Q2057" i="2"/>
  <c r="P2057" i="2"/>
  <c r="O2057" i="2"/>
  <c r="N2057" i="2"/>
  <c r="M2057" i="2"/>
  <c r="L2057" i="2"/>
  <c r="K2057" i="2"/>
  <c r="H2057" i="2"/>
  <c r="G2057" i="2"/>
  <c r="F2057" i="2"/>
  <c r="E2057" i="2"/>
  <c r="D2057" i="2"/>
  <c r="C2057" i="2"/>
  <c r="B2057" i="2"/>
  <c r="A2057" i="2"/>
  <c r="AG2056" i="2"/>
  <c r="AF2056" i="2"/>
  <c r="AE2056" i="2"/>
  <c r="AD2056" i="2"/>
  <c r="AC2056" i="2"/>
  <c r="AB2056" i="2"/>
  <c r="Z2056" i="2"/>
  <c r="Y2056" i="2"/>
  <c r="X2056" i="2"/>
  <c r="W2056" i="2"/>
  <c r="V2056" i="2"/>
  <c r="U2056" i="2"/>
  <c r="T2056" i="2"/>
  <c r="S2056" i="2"/>
  <c r="R2056" i="2"/>
  <c r="Q2056" i="2"/>
  <c r="P2056" i="2"/>
  <c r="O2056" i="2"/>
  <c r="N2056" i="2"/>
  <c r="M2056" i="2"/>
  <c r="L2056" i="2"/>
  <c r="K2056" i="2"/>
  <c r="H2056" i="2"/>
  <c r="G2056" i="2"/>
  <c r="F2056" i="2"/>
  <c r="E2056" i="2"/>
  <c r="D2056" i="2"/>
  <c r="C2056" i="2"/>
  <c r="B2056" i="2"/>
  <c r="A2056" i="2"/>
  <c r="AG2055" i="2"/>
  <c r="AF2055" i="2"/>
  <c r="AE2055" i="2"/>
  <c r="AD2055" i="2"/>
  <c r="AC2055" i="2"/>
  <c r="AB2055" i="2"/>
  <c r="Y2055" i="2"/>
  <c r="X2055" i="2"/>
  <c r="W2055" i="2"/>
  <c r="V2055" i="2"/>
  <c r="U2055" i="2"/>
  <c r="T2055" i="2"/>
  <c r="S2055" i="2"/>
  <c r="R2055" i="2"/>
  <c r="Q2055" i="2"/>
  <c r="P2055" i="2"/>
  <c r="O2055" i="2"/>
  <c r="N2055" i="2"/>
  <c r="M2055" i="2"/>
  <c r="L2055" i="2"/>
  <c r="K2055" i="2"/>
  <c r="H2055" i="2"/>
  <c r="G2055" i="2"/>
  <c r="F2055" i="2"/>
  <c r="E2055" i="2"/>
  <c r="D2055" i="2"/>
  <c r="C2055" i="2"/>
  <c r="B2055" i="2"/>
  <c r="A2055" i="2"/>
  <c r="AG2054" i="2"/>
  <c r="AF2054" i="2"/>
  <c r="AE2054" i="2"/>
  <c r="AD2054" i="2"/>
  <c r="AC2054" i="2"/>
  <c r="AB2054" i="2"/>
  <c r="Z2054" i="2"/>
  <c r="Y2054" i="2"/>
  <c r="X2054" i="2"/>
  <c r="W2054" i="2"/>
  <c r="V2054" i="2"/>
  <c r="U2054" i="2"/>
  <c r="T2054" i="2"/>
  <c r="S2054" i="2"/>
  <c r="R2054" i="2"/>
  <c r="Q2054" i="2"/>
  <c r="P2054" i="2"/>
  <c r="O2054" i="2"/>
  <c r="N2054" i="2"/>
  <c r="M2054" i="2"/>
  <c r="L2054" i="2"/>
  <c r="K2054" i="2"/>
  <c r="H2054" i="2"/>
  <c r="G2054" i="2"/>
  <c r="F2054" i="2"/>
  <c r="E2054" i="2"/>
  <c r="D2054" i="2"/>
  <c r="C2054" i="2"/>
  <c r="B2054" i="2"/>
  <c r="A2054" i="2"/>
  <c r="AD2053" i="2"/>
  <c r="AC2053" i="2"/>
  <c r="AB2053" i="2"/>
  <c r="Z2053" i="2"/>
  <c r="X2053" i="2"/>
  <c r="W2053" i="2"/>
  <c r="V2053" i="2"/>
  <c r="U2053" i="2"/>
  <c r="S2053" i="2"/>
  <c r="R2053" i="2"/>
  <c r="Q2053" i="2"/>
  <c r="P2053" i="2"/>
  <c r="O2053" i="2"/>
  <c r="N2053" i="2"/>
  <c r="M2053" i="2"/>
  <c r="L2053" i="2"/>
  <c r="K2053" i="2"/>
  <c r="H2053" i="2"/>
  <c r="G2053" i="2"/>
  <c r="F2053" i="2"/>
  <c r="E2053" i="2"/>
  <c r="D2053" i="2"/>
  <c r="C2053" i="2"/>
  <c r="B2053" i="2"/>
  <c r="A2053" i="2"/>
  <c r="AG2052" i="2"/>
  <c r="AF2052" i="2"/>
  <c r="AE2052" i="2"/>
  <c r="AD2052" i="2"/>
  <c r="AC2052" i="2"/>
  <c r="AB2052" i="2"/>
  <c r="Z2052" i="2"/>
  <c r="Y2052" i="2"/>
  <c r="X2052" i="2"/>
  <c r="W2052" i="2"/>
  <c r="V2052" i="2"/>
  <c r="U2052" i="2"/>
  <c r="S2052" i="2"/>
  <c r="R2052" i="2"/>
  <c r="Q2052" i="2"/>
  <c r="P2052" i="2"/>
  <c r="O2052" i="2"/>
  <c r="N2052" i="2"/>
  <c r="M2052" i="2"/>
  <c r="L2052" i="2"/>
  <c r="K2052" i="2"/>
  <c r="H2052" i="2"/>
  <c r="G2052" i="2"/>
  <c r="F2052" i="2"/>
  <c r="E2052" i="2"/>
  <c r="D2052" i="2"/>
  <c r="C2052" i="2"/>
  <c r="B2052" i="2"/>
  <c r="A2052" i="2"/>
  <c r="AG2051" i="2"/>
  <c r="AF2051" i="2"/>
  <c r="AE2051" i="2"/>
  <c r="AD2051" i="2"/>
  <c r="AC2051" i="2"/>
  <c r="AB2051" i="2"/>
  <c r="Z2051" i="2"/>
  <c r="Y2051" i="2"/>
  <c r="X2051" i="2"/>
  <c r="W2051" i="2"/>
  <c r="V2051" i="2"/>
  <c r="U2051" i="2"/>
  <c r="S2051" i="2"/>
  <c r="R2051" i="2"/>
  <c r="Q2051" i="2"/>
  <c r="P2051" i="2"/>
  <c r="O2051" i="2"/>
  <c r="N2051" i="2"/>
  <c r="M2051" i="2"/>
  <c r="L2051" i="2"/>
  <c r="K2051" i="2"/>
  <c r="H2051" i="2"/>
  <c r="G2051" i="2"/>
  <c r="F2051" i="2"/>
  <c r="E2051" i="2"/>
  <c r="D2051" i="2"/>
  <c r="C2051" i="2"/>
  <c r="B2051" i="2"/>
  <c r="A2051" i="2"/>
  <c r="AG2050" i="2"/>
  <c r="AF2050" i="2"/>
  <c r="AE2050" i="2"/>
  <c r="AD2050" i="2"/>
  <c r="AC2050" i="2"/>
  <c r="AB2050" i="2"/>
  <c r="AA2050" i="2"/>
  <c r="Z2050" i="2"/>
  <c r="Y2050" i="2"/>
  <c r="X2050" i="2"/>
  <c r="W2050" i="2"/>
  <c r="V2050" i="2"/>
  <c r="S2050" i="2"/>
  <c r="R2050" i="2"/>
  <c r="Q2050" i="2"/>
  <c r="P2050" i="2"/>
  <c r="O2050" i="2"/>
  <c r="N2050" i="2"/>
  <c r="M2050" i="2"/>
  <c r="L2050" i="2"/>
  <c r="K2050" i="2"/>
  <c r="H2050" i="2"/>
  <c r="G2050" i="2"/>
  <c r="F2050" i="2"/>
  <c r="E2050" i="2"/>
  <c r="D2050" i="2"/>
  <c r="C2050" i="2"/>
  <c r="B2050" i="2"/>
  <c r="A2050" i="2"/>
  <c r="AG2049" i="2"/>
  <c r="AF2049" i="2"/>
  <c r="AE2049" i="2"/>
  <c r="AD2049" i="2"/>
  <c r="AC2049" i="2"/>
  <c r="AB2049" i="2"/>
  <c r="Z2049" i="2"/>
  <c r="Y2049" i="2"/>
  <c r="X2049" i="2"/>
  <c r="W2049" i="2"/>
  <c r="V2049" i="2"/>
  <c r="R2049" i="2"/>
  <c r="Q2049" i="2"/>
  <c r="P2049" i="2"/>
  <c r="O2049" i="2"/>
  <c r="N2049" i="2"/>
  <c r="M2049" i="2"/>
  <c r="L2049" i="2"/>
  <c r="K2049" i="2"/>
  <c r="H2049" i="2"/>
  <c r="G2049" i="2"/>
  <c r="F2049" i="2"/>
  <c r="E2049" i="2"/>
  <c r="D2049" i="2"/>
  <c r="C2049" i="2"/>
  <c r="B2049" i="2"/>
  <c r="A2049" i="2"/>
  <c r="AG2048" i="2"/>
  <c r="AF2048" i="2"/>
  <c r="AE2048" i="2"/>
  <c r="AD2048" i="2"/>
  <c r="AC2048" i="2"/>
  <c r="AB2048" i="2"/>
  <c r="Z2048" i="2"/>
  <c r="X2048" i="2"/>
  <c r="W2048" i="2"/>
  <c r="V2048" i="2"/>
  <c r="U2048" i="2"/>
  <c r="R2048" i="2"/>
  <c r="Q2048" i="2"/>
  <c r="P2048" i="2"/>
  <c r="O2048" i="2"/>
  <c r="N2048" i="2"/>
  <c r="M2048" i="2"/>
  <c r="L2048" i="2"/>
  <c r="K2048" i="2"/>
  <c r="H2048" i="2"/>
  <c r="G2048" i="2"/>
  <c r="F2048" i="2"/>
  <c r="E2048" i="2"/>
  <c r="D2048" i="2"/>
  <c r="C2048" i="2"/>
  <c r="B2048" i="2"/>
  <c r="A2048" i="2"/>
  <c r="AG2047" i="2"/>
  <c r="AF2047" i="2"/>
  <c r="AE2047" i="2"/>
  <c r="AD2047" i="2"/>
  <c r="AC2047" i="2"/>
  <c r="AB2047" i="2"/>
  <c r="Z2047" i="2"/>
  <c r="Y2047" i="2"/>
  <c r="X2047" i="2"/>
  <c r="W2047" i="2"/>
  <c r="V2047" i="2"/>
  <c r="S2047" i="2"/>
  <c r="R2047" i="2"/>
  <c r="Q2047" i="2"/>
  <c r="P2047" i="2"/>
  <c r="O2047" i="2"/>
  <c r="N2047" i="2"/>
  <c r="M2047" i="2"/>
  <c r="L2047" i="2"/>
  <c r="K2047" i="2"/>
  <c r="H2047" i="2"/>
  <c r="G2047" i="2"/>
  <c r="F2047" i="2"/>
  <c r="E2047" i="2"/>
  <c r="D2047" i="2"/>
  <c r="C2047" i="2"/>
  <c r="B2047" i="2"/>
  <c r="A2047" i="2"/>
  <c r="AG2046" i="2"/>
  <c r="AF2046" i="2"/>
  <c r="AE2046" i="2"/>
  <c r="AD2046" i="2"/>
  <c r="AC2046" i="2"/>
  <c r="AB2046" i="2"/>
  <c r="AA2046" i="2"/>
  <c r="Z2046" i="2"/>
  <c r="Y2046" i="2"/>
  <c r="X2046" i="2"/>
  <c r="W2046" i="2"/>
  <c r="V2046" i="2"/>
  <c r="U2046" i="2"/>
  <c r="S2046" i="2"/>
  <c r="R2046" i="2"/>
  <c r="Q2046" i="2"/>
  <c r="P2046" i="2"/>
  <c r="O2046" i="2"/>
  <c r="N2046" i="2"/>
  <c r="M2046" i="2"/>
  <c r="L2046" i="2"/>
  <c r="K2046" i="2"/>
  <c r="H2046" i="2"/>
  <c r="G2046" i="2"/>
  <c r="F2046" i="2"/>
  <c r="E2046" i="2"/>
  <c r="D2046" i="2"/>
  <c r="C2046" i="2"/>
  <c r="B2046" i="2"/>
  <c r="A2046" i="2"/>
  <c r="AG2045" i="2"/>
  <c r="AF2045" i="2"/>
  <c r="AE2045" i="2"/>
  <c r="AD2045" i="2"/>
  <c r="AC2045" i="2"/>
  <c r="AB2045" i="2"/>
  <c r="Z2045" i="2"/>
  <c r="Y2045" i="2"/>
  <c r="X2045" i="2"/>
  <c r="W2045" i="2"/>
  <c r="V2045" i="2"/>
  <c r="U2045" i="2"/>
  <c r="T2045" i="2"/>
  <c r="S2045" i="2"/>
  <c r="R2045" i="2"/>
  <c r="Q2045" i="2"/>
  <c r="P2045" i="2"/>
  <c r="O2045" i="2"/>
  <c r="N2045" i="2"/>
  <c r="M2045" i="2"/>
  <c r="L2045" i="2"/>
  <c r="K2045" i="2"/>
  <c r="H2045" i="2"/>
  <c r="G2045" i="2"/>
  <c r="F2045" i="2"/>
  <c r="E2045" i="2"/>
  <c r="D2045" i="2"/>
  <c r="C2045" i="2"/>
  <c r="B2045" i="2"/>
  <c r="A2045" i="2"/>
  <c r="AF2044" i="2"/>
  <c r="AE2044" i="2"/>
  <c r="AD2044" i="2"/>
  <c r="AC2044" i="2"/>
  <c r="AB2044" i="2"/>
  <c r="Z2044" i="2"/>
  <c r="X2044" i="2"/>
  <c r="W2044" i="2"/>
  <c r="V2044" i="2"/>
  <c r="U2044" i="2"/>
  <c r="T2044" i="2"/>
  <c r="S2044" i="2"/>
  <c r="R2044" i="2"/>
  <c r="Q2044" i="2"/>
  <c r="P2044" i="2"/>
  <c r="O2044" i="2"/>
  <c r="N2044" i="2"/>
  <c r="M2044" i="2"/>
  <c r="L2044" i="2"/>
  <c r="K2044" i="2"/>
  <c r="H2044" i="2"/>
  <c r="G2044" i="2"/>
  <c r="F2044" i="2"/>
  <c r="E2044" i="2"/>
  <c r="D2044" i="2"/>
  <c r="C2044" i="2"/>
  <c r="B2044" i="2"/>
  <c r="A2044" i="2"/>
  <c r="AG2043" i="2"/>
  <c r="AF2043" i="2"/>
  <c r="AE2043" i="2"/>
  <c r="AD2043" i="2"/>
  <c r="AC2043" i="2"/>
  <c r="AB2043" i="2"/>
  <c r="AA2043" i="2"/>
  <c r="Z2043" i="2"/>
  <c r="Y2043" i="2"/>
  <c r="X2043" i="2"/>
  <c r="W2043" i="2"/>
  <c r="V2043" i="2"/>
  <c r="U2043" i="2"/>
  <c r="T2043" i="2"/>
  <c r="S2043" i="2"/>
  <c r="R2043" i="2"/>
  <c r="Q2043" i="2"/>
  <c r="P2043" i="2"/>
  <c r="O2043" i="2"/>
  <c r="N2043" i="2"/>
  <c r="M2043" i="2"/>
  <c r="L2043" i="2"/>
  <c r="K2043" i="2"/>
  <c r="H2043" i="2"/>
  <c r="G2043" i="2"/>
  <c r="F2043" i="2"/>
  <c r="E2043" i="2"/>
  <c r="D2043" i="2"/>
  <c r="C2043" i="2"/>
  <c r="B2043" i="2"/>
  <c r="A2043" i="2"/>
  <c r="AG2042" i="2"/>
  <c r="AF2042" i="2"/>
  <c r="AE2042" i="2"/>
  <c r="AD2042" i="2"/>
  <c r="AC2042" i="2"/>
  <c r="AB2042" i="2"/>
  <c r="AA2042" i="2"/>
  <c r="Z2042" i="2"/>
  <c r="Y2042" i="2"/>
  <c r="X2042" i="2"/>
  <c r="W2042" i="2"/>
  <c r="V2042" i="2"/>
  <c r="R2042" i="2"/>
  <c r="Q2042" i="2"/>
  <c r="P2042" i="2"/>
  <c r="O2042" i="2"/>
  <c r="N2042" i="2"/>
  <c r="M2042" i="2"/>
  <c r="L2042" i="2"/>
  <c r="K2042" i="2"/>
  <c r="H2042" i="2"/>
  <c r="G2042" i="2"/>
  <c r="F2042" i="2"/>
  <c r="E2042" i="2"/>
  <c r="D2042" i="2"/>
  <c r="C2042" i="2"/>
  <c r="B2042" i="2"/>
  <c r="A2042" i="2"/>
  <c r="AG2041" i="2"/>
  <c r="AF2041" i="2"/>
  <c r="AE2041" i="2"/>
  <c r="AD2041" i="2"/>
  <c r="AC2041" i="2"/>
  <c r="AB2041" i="2"/>
  <c r="Z2041" i="2"/>
  <c r="Y2041" i="2"/>
  <c r="X2041" i="2"/>
  <c r="W2041" i="2"/>
  <c r="V2041" i="2"/>
  <c r="U2041" i="2"/>
  <c r="R2041" i="2"/>
  <c r="Q2041" i="2"/>
  <c r="P2041" i="2"/>
  <c r="O2041" i="2"/>
  <c r="N2041" i="2"/>
  <c r="M2041" i="2"/>
  <c r="L2041" i="2"/>
  <c r="K2041" i="2"/>
  <c r="H2041" i="2"/>
  <c r="G2041" i="2"/>
  <c r="F2041" i="2"/>
  <c r="E2041" i="2"/>
  <c r="D2041" i="2"/>
  <c r="C2041" i="2"/>
  <c r="B2041" i="2"/>
  <c r="A2041" i="2"/>
  <c r="AG2040" i="2"/>
  <c r="AF2040" i="2"/>
  <c r="AE2040" i="2"/>
  <c r="AD2040" i="2"/>
  <c r="AC2040" i="2"/>
  <c r="AB2040" i="2"/>
  <c r="Z2040" i="2"/>
  <c r="Y2040" i="2"/>
  <c r="X2040" i="2"/>
  <c r="W2040" i="2"/>
  <c r="V2040" i="2"/>
  <c r="U2040" i="2"/>
  <c r="T2040" i="2"/>
  <c r="S2040" i="2"/>
  <c r="R2040" i="2"/>
  <c r="Q2040" i="2"/>
  <c r="P2040" i="2"/>
  <c r="O2040" i="2"/>
  <c r="N2040" i="2"/>
  <c r="M2040" i="2"/>
  <c r="L2040" i="2"/>
  <c r="K2040" i="2"/>
  <c r="H2040" i="2"/>
  <c r="G2040" i="2"/>
  <c r="F2040" i="2"/>
  <c r="E2040" i="2"/>
  <c r="D2040" i="2"/>
  <c r="C2040" i="2"/>
  <c r="B2040" i="2"/>
  <c r="A2040" i="2"/>
  <c r="AH2039" i="2"/>
  <c r="AG2039" i="2"/>
  <c r="AF2039" i="2"/>
  <c r="AE2039" i="2"/>
  <c r="AD2039" i="2"/>
  <c r="AC2039" i="2"/>
  <c r="AB2039" i="2"/>
  <c r="Z2039" i="2"/>
  <c r="Y2039" i="2"/>
  <c r="X2039" i="2"/>
  <c r="W2039" i="2"/>
  <c r="V2039" i="2"/>
  <c r="U2039" i="2"/>
  <c r="S2039" i="2"/>
  <c r="R2039" i="2"/>
  <c r="Q2039" i="2"/>
  <c r="P2039" i="2"/>
  <c r="O2039" i="2"/>
  <c r="N2039" i="2"/>
  <c r="M2039" i="2"/>
  <c r="L2039" i="2"/>
  <c r="K2039" i="2"/>
  <c r="H2039" i="2"/>
  <c r="G2039" i="2"/>
  <c r="F2039" i="2"/>
  <c r="E2039" i="2"/>
  <c r="D2039" i="2"/>
  <c r="C2039" i="2"/>
  <c r="B2039" i="2"/>
  <c r="A2039" i="2"/>
  <c r="AG2038" i="2"/>
  <c r="AF2038" i="2"/>
  <c r="AE2038" i="2"/>
  <c r="AD2038" i="2"/>
  <c r="AC2038" i="2"/>
  <c r="AB2038" i="2"/>
  <c r="Z2038" i="2"/>
  <c r="X2038" i="2"/>
  <c r="W2038" i="2"/>
  <c r="V2038" i="2"/>
  <c r="S2038" i="2"/>
  <c r="R2038" i="2"/>
  <c r="Q2038" i="2"/>
  <c r="P2038" i="2"/>
  <c r="O2038" i="2"/>
  <c r="N2038" i="2"/>
  <c r="M2038" i="2"/>
  <c r="L2038" i="2"/>
  <c r="K2038" i="2"/>
  <c r="H2038" i="2"/>
  <c r="G2038" i="2"/>
  <c r="F2038" i="2"/>
  <c r="E2038" i="2"/>
  <c r="D2038" i="2"/>
  <c r="C2038" i="2"/>
  <c r="B2038" i="2"/>
  <c r="A2038" i="2"/>
  <c r="AG2037" i="2"/>
  <c r="AF2037" i="2"/>
  <c r="AE2037" i="2"/>
  <c r="AD2037" i="2"/>
  <c r="AC2037" i="2"/>
  <c r="AB2037" i="2"/>
  <c r="AA2037" i="2"/>
  <c r="Z2037" i="2"/>
  <c r="Y2037" i="2"/>
  <c r="X2037" i="2"/>
  <c r="W2037" i="2"/>
  <c r="V2037" i="2"/>
  <c r="U2037" i="2"/>
  <c r="T2037" i="2"/>
  <c r="S2037" i="2"/>
  <c r="R2037" i="2"/>
  <c r="Q2037" i="2"/>
  <c r="P2037" i="2"/>
  <c r="O2037" i="2"/>
  <c r="N2037" i="2"/>
  <c r="M2037" i="2"/>
  <c r="L2037" i="2"/>
  <c r="K2037" i="2"/>
  <c r="H2037" i="2"/>
  <c r="G2037" i="2"/>
  <c r="F2037" i="2"/>
  <c r="E2037" i="2"/>
  <c r="D2037" i="2"/>
  <c r="C2037" i="2"/>
  <c r="B2037" i="2"/>
  <c r="A2037" i="2"/>
  <c r="AH2036" i="2"/>
  <c r="AG2036" i="2"/>
  <c r="AF2036" i="2"/>
  <c r="AE2036" i="2"/>
  <c r="AD2036" i="2"/>
  <c r="AC2036" i="2"/>
  <c r="AB2036" i="2"/>
  <c r="Z2036" i="2"/>
  <c r="Y2036" i="2"/>
  <c r="X2036" i="2"/>
  <c r="W2036" i="2"/>
  <c r="V2036" i="2"/>
  <c r="U2036" i="2"/>
  <c r="T2036" i="2"/>
  <c r="S2036" i="2"/>
  <c r="R2036" i="2"/>
  <c r="Q2036" i="2"/>
  <c r="P2036" i="2"/>
  <c r="O2036" i="2"/>
  <c r="N2036" i="2"/>
  <c r="M2036" i="2"/>
  <c r="L2036" i="2"/>
  <c r="K2036" i="2"/>
  <c r="H2036" i="2"/>
  <c r="G2036" i="2"/>
  <c r="F2036" i="2"/>
  <c r="E2036" i="2"/>
  <c r="D2036" i="2"/>
  <c r="C2036" i="2"/>
  <c r="B2036" i="2"/>
  <c r="A2036" i="2"/>
  <c r="AG2035" i="2"/>
  <c r="AF2035" i="2"/>
  <c r="AE2035" i="2"/>
  <c r="AD2035" i="2"/>
  <c r="AC2035" i="2"/>
  <c r="AB2035" i="2"/>
  <c r="AA2035" i="2"/>
  <c r="Z2035" i="2"/>
  <c r="Y2035" i="2"/>
  <c r="X2035" i="2"/>
  <c r="W2035" i="2"/>
  <c r="V2035" i="2"/>
  <c r="U2035" i="2"/>
  <c r="R2035" i="2"/>
  <c r="Q2035" i="2"/>
  <c r="P2035" i="2"/>
  <c r="O2035" i="2"/>
  <c r="N2035" i="2"/>
  <c r="M2035" i="2"/>
  <c r="L2035" i="2"/>
  <c r="K2035" i="2"/>
  <c r="H2035" i="2"/>
  <c r="G2035" i="2"/>
  <c r="F2035" i="2"/>
  <c r="E2035" i="2"/>
  <c r="D2035" i="2"/>
  <c r="C2035" i="2"/>
  <c r="B2035" i="2"/>
  <c r="A2035" i="2"/>
  <c r="AF2034" i="2"/>
  <c r="AE2034" i="2"/>
  <c r="AD2034" i="2"/>
  <c r="AC2034" i="2"/>
  <c r="AB2034" i="2"/>
  <c r="Z2034" i="2"/>
  <c r="Y2034" i="2"/>
  <c r="X2034" i="2"/>
  <c r="W2034" i="2"/>
  <c r="V2034" i="2"/>
  <c r="U2034" i="2"/>
  <c r="R2034" i="2"/>
  <c r="Q2034" i="2"/>
  <c r="P2034" i="2"/>
  <c r="O2034" i="2"/>
  <c r="N2034" i="2"/>
  <c r="M2034" i="2"/>
  <c r="L2034" i="2"/>
  <c r="K2034" i="2"/>
  <c r="H2034" i="2"/>
  <c r="G2034" i="2"/>
  <c r="F2034" i="2"/>
  <c r="E2034" i="2"/>
  <c r="D2034" i="2"/>
  <c r="C2034" i="2"/>
  <c r="B2034" i="2"/>
  <c r="A2034" i="2"/>
  <c r="AG2033" i="2"/>
  <c r="AF2033" i="2"/>
  <c r="AE2033" i="2"/>
  <c r="AD2033" i="2"/>
  <c r="AC2033" i="2"/>
  <c r="AB2033" i="2"/>
  <c r="Z2033" i="2"/>
  <c r="Y2033" i="2"/>
  <c r="X2033" i="2"/>
  <c r="W2033" i="2"/>
  <c r="V2033" i="2"/>
  <c r="U2033" i="2"/>
  <c r="T2033" i="2"/>
  <c r="S2033" i="2"/>
  <c r="R2033" i="2"/>
  <c r="Q2033" i="2"/>
  <c r="P2033" i="2"/>
  <c r="O2033" i="2"/>
  <c r="N2033" i="2"/>
  <c r="M2033" i="2"/>
  <c r="L2033" i="2"/>
  <c r="K2033" i="2"/>
  <c r="H2033" i="2"/>
  <c r="G2033" i="2"/>
  <c r="F2033" i="2"/>
  <c r="E2033" i="2"/>
  <c r="D2033" i="2"/>
  <c r="C2033" i="2"/>
  <c r="B2033" i="2"/>
  <c r="A2033" i="2"/>
  <c r="AG2032" i="2"/>
  <c r="AE2032" i="2"/>
  <c r="AD2032" i="2"/>
  <c r="AC2032" i="2"/>
  <c r="AB2032" i="2"/>
  <c r="AA2032" i="2"/>
  <c r="Z2032" i="2"/>
  <c r="X2032" i="2"/>
  <c r="W2032" i="2"/>
  <c r="V2032" i="2"/>
  <c r="U2032" i="2"/>
  <c r="Q2032" i="2"/>
  <c r="P2032" i="2"/>
  <c r="O2032" i="2"/>
  <c r="N2032" i="2"/>
  <c r="M2032" i="2"/>
  <c r="L2032" i="2"/>
  <c r="K2032" i="2"/>
  <c r="H2032" i="2"/>
  <c r="G2032" i="2"/>
  <c r="F2032" i="2"/>
  <c r="E2032" i="2"/>
  <c r="D2032" i="2"/>
  <c r="C2032" i="2"/>
  <c r="B2032" i="2"/>
  <c r="A2032" i="2"/>
  <c r="AG2031" i="2"/>
  <c r="AF2031" i="2"/>
  <c r="AE2031" i="2"/>
  <c r="AD2031" i="2"/>
  <c r="AC2031" i="2"/>
  <c r="AB2031" i="2"/>
  <c r="AA2031" i="2"/>
  <c r="Z2031" i="2"/>
  <c r="Y2031" i="2"/>
  <c r="X2031" i="2"/>
  <c r="W2031" i="2"/>
  <c r="V2031" i="2"/>
  <c r="U2031" i="2"/>
  <c r="R2031" i="2"/>
  <c r="Q2031" i="2"/>
  <c r="P2031" i="2"/>
  <c r="O2031" i="2"/>
  <c r="N2031" i="2"/>
  <c r="M2031" i="2"/>
  <c r="L2031" i="2"/>
  <c r="K2031" i="2"/>
  <c r="H2031" i="2"/>
  <c r="G2031" i="2"/>
  <c r="F2031" i="2"/>
  <c r="E2031" i="2"/>
  <c r="D2031" i="2"/>
  <c r="C2031" i="2"/>
  <c r="B2031" i="2"/>
  <c r="A2031" i="2"/>
  <c r="AG2030" i="2"/>
  <c r="AF2030" i="2"/>
  <c r="AE2030" i="2"/>
  <c r="AD2030" i="2"/>
  <c r="AC2030" i="2"/>
  <c r="AB2030" i="2"/>
  <c r="AA2030" i="2"/>
  <c r="Z2030" i="2"/>
  <c r="Y2030" i="2"/>
  <c r="X2030" i="2"/>
  <c r="W2030" i="2"/>
  <c r="V2030" i="2"/>
  <c r="U2030" i="2"/>
  <c r="T2030" i="2"/>
  <c r="S2030" i="2"/>
  <c r="R2030" i="2"/>
  <c r="Q2030" i="2"/>
  <c r="P2030" i="2"/>
  <c r="O2030" i="2"/>
  <c r="N2030" i="2"/>
  <c r="M2030" i="2"/>
  <c r="L2030" i="2"/>
  <c r="K2030" i="2"/>
  <c r="H2030" i="2"/>
  <c r="G2030" i="2"/>
  <c r="F2030" i="2"/>
  <c r="E2030" i="2"/>
  <c r="D2030" i="2"/>
  <c r="C2030" i="2"/>
  <c r="B2030" i="2"/>
  <c r="A2030" i="2"/>
  <c r="AH2029" i="2"/>
  <c r="AG2029" i="2"/>
  <c r="AF2029" i="2"/>
  <c r="AD2029" i="2"/>
  <c r="AC2029" i="2"/>
  <c r="AB2029" i="2"/>
  <c r="Z2029" i="2"/>
  <c r="Y2029" i="2"/>
  <c r="X2029" i="2"/>
  <c r="W2029" i="2"/>
  <c r="V2029" i="2"/>
  <c r="R2029" i="2"/>
  <c r="Q2029" i="2"/>
  <c r="P2029" i="2"/>
  <c r="O2029" i="2"/>
  <c r="N2029" i="2"/>
  <c r="M2029" i="2"/>
  <c r="L2029" i="2"/>
  <c r="K2029" i="2"/>
  <c r="H2029" i="2"/>
  <c r="G2029" i="2"/>
  <c r="F2029" i="2"/>
  <c r="E2029" i="2"/>
  <c r="D2029" i="2"/>
  <c r="C2029" i="2"/>
  <c r="B2029" i="2"/>
  <c r="A2029" i="2"/>
  <c r="AG2028" i="2"/>
  <c r="AF2028" i="2"/>
  <c r="AE2028" i="2"/>
  <c r="AD2028" i="2"/>
  <c r="AC2028" i="2"/>
  <c r="AB2028" i="2"/>
  <c r="Z2028" i="2"/>
  <c r="Y2028" i="2"/>
  <c r="X2028" i="2"/>
  <c r="W2028" i="2"/>
  <c r="V2028" i="2"/>
  <c r="U2028" i="2"/>
  <c r="R2028" i="2"/>
  <c r="Q2028" i="2"/>
  <c r="P2028" i="2"/>
  <c r="O2028" i="2"/>
  <c r="N2028" i="2"/>
  <c r="M2028" i="2"/>
  <c r="L2028" i="2"/>
  <c r="K2028" i="2"/>
  <c r="H2028" i="2"/>
  <c r="G2028" i="2"/>
  <c r="F2028" i="2"/>
  <c r="E2028" i="2"/>
  <c r="D2028" i="2"/>
  <c r="C2028" i="2"/>
  <c r="B2028" i="2"/>
  <c r="A2028" i="2"/>
  <c r="AH2027" i="2"/>
  <c r="AG2027" i="2"/>
  <c r="AF2027" i="2"/>
  <c r="AE2027" i="2"/>
  <c r="AD2027" i="2"/>
  <c r="AC2027" i="2"/>
  <c r="AB2027" i="2"/>
  <c r="Z2027" i="2"/>
  <c r="Y2027" i="2"/>
  <c r="X2027" i="2"/>
  <c r="W2027" i="2"/>
  <c r="V2027" i="2"/>
  <c r="S2027" i="2"/>
  <c r="R2027" i="2"/>
  <c r="Q2027" i="2"/>
  <c r="P2027" i="2"/>
  <c r="O2027" i="2"/>
  <c r="N2027" i="2"/>
  <c r="M2027" i="2"/>
  <c r="L2027" i="2"/>
  <c r="K2027" i="2"/>
  <c r="H2027" i="2"/>
  <c r="G2027" i="2"/>
  <c r="F2027" i="2"/>
  <c r="E2027" i="2"/>
  <c r="D2027" i="2"/>
  <c r="C2027" i="2"/>
  <c r="B2027" i="2"/>
  <c r="A2027" i="2"/>
  <c r="AG2026" i="2"/>
  <c r="AF2026" i="2"/>
  <c r="AE2026" i="2"/>
  <c r="AD2026" i="2"/>
  <c r="AC2026" i="2"/>
  <c r="AB2026" i="2"/>
  <c r="Z2026" i="2"/>
  <c r="Y2026" i="2"/>
  <c r="X2026" i="2"/>
  <c r="W2026" i="2"/>
  <c r="V2026" i="2"/>
  <c r="U2026" i="2"/>
  <c r="T2026" i="2"/>
  <c r="S2026" i="2"/>
  <c r="R2026" i="2"/>
  <c r="Q2026" i="2"/>
  <c r="P2026" i="2"/>
  <c r="O2026" i="2"/>
  <c r="N2026" i="2"/>
  <c r="M2026" i="2"/>
  <c r="L2026" i="2"/>
  <c r="K2026" i="2"/>
  <c r="H2026" i="2"/>
  <c r="G2026" i="2"/>
  <c r="F2026" i="2"/>
  <c r="E2026" i="2"/>
  <c r="D2026" i="2"/>
  <c r="C2026" i="2"/>
  <c r="B2026" i="2"/>
  <c r="A2026" i="2"/>
  <c r="AG2025" i="2"/>
  <c r="AE2025" i="2"/>
  <c r="AD2025" i="2"/>
  <c r="AC2025" i="2"/>
  <c r="AB2025" i="2"/>
  <c r="Z2025" i="2"/>
  <c r="X2025" i="2"/>
  <c r="W2025" i="2"/>
  <c r="V2025" i="2"/>
  <c r="U2025" i="2"/>
  <c r="T2025" i="2"/>
  <c r="S2025" i="2"/>
  <c r="R2025" i="2"/>
  <c r="Q2025" i="2"/>
  <c r="P2025" i="2"/>
  <c r="O2025" i="2"/>
  <c r="N2025" i="2"/>
  <c r="M2025" i="2"/>
  <c r="L2025" i="2"/>
  <c r="K2025" i="2"/>
  <c r="H2025" i="2"/>
  <c r="G2025" i="2"/>
  <c r="F2025" i="2"/>
  <c r="E2025" i="2"/>
  <c r="D2025" i="2"/>
  <c r="C2025" i="2"/>
  <c r="B2025" i="2"/>
  <c r="A2025" i="2"/>
  <c r="AG2024" i="2"/>
  <c r="AF2024" i="2"/>
  <c r="AE2024" i="2"/>
  <c r="AD2024" i="2"/>
  <c r="AC2024" i="2"/>
  <c r="AB2024" i="2"/>
  <c r="Y2024" i="2"/>
  <c r="X2024" i="2"/>
  <c r="W2024" i="2"/>
  <c r="V2024" i="2"/>
  <c r="U2024" i="2"/>
  <c r="S2024" i="2"/>
  <c r="R2024" i="2"/>
  <c r="Q2024" i="2"/>
  <c r="P2024" i="2"/>
  <c r="O2024" i="2"/>
  <c r="N2024" i="2"/>
  <c r="M2024" i="2"/>
  <c r="L2024" i="2"/>
  <c r="K2024" i="2"/>
  <c r="H2024" i="2"/>
  <c r="G2024" i="2"/>
  <c r="F2024" i="2"/>
  <c r="E2024" i="2"/>
  <c r="D2024" i="2"/>
  <c r="C2024" i="2"/>
  <c r="B2024" i="2"/>
  <c r="A2024" i="2"/>
  <c r="AG2023" i="2"/>
  <c r="AF2023" i="2"/>
  <c r="AE2023" i="2"/>
  <c r="AD2023" i="2"/>
  <c r="AC2023" i="2"/>
  <c r="AB2023" i="2"/>
  <c r="Z2023" i="2"/>
  <c r="Y2023" i="2"/>
  <c r="X2023" i="2"/>
  <c r="W2023" i="2"/>
  <c r="V2023" i="2"/>
  <c r="U2023" i="2"/>
  <c r="S2023" i="2"/>
  <c r="R2023" i="2"/>
  <c r="Q2023" i="2"/>
  <c r="P2023" i="2"/>
  <c r="O2023" i="2"/>
  <c r="N2023" i="2"/>
  <c r="M2023" i="2"/>
  <c r="L2023" i="2"/>
  <c r="K2023" i="2"/>
  <c r="H2023" i="2"/>
  <c r="G2023" i="2"/>
  <c r="F2023" i="2"/>
  <c r="E2023" i="2"/>
  <c r="D2023" i="2"/>
  <c r="C2023" i="2"/>
  <c r="B2023" i="2"/>
  <c r="A2023" i="2"/>
  <c r="AG2022" i="2"/>
  <c r="AF2022" i="2"/>
  <c r="AD2022" i="2"/>
  <c r="AC2022" i="2"/>
  <c r="AB2022" i="2"/>
  <c r="Z2022" i="2"/>
  <c r="Y2022" i="2"/>
  <c r="X2022" i="2"/>
  <c r="W2022" i="2"/>
  <c r="V2022" i="2"/>
  <c r="R2022" i="2"/>
  <c r="Q2022" i="2"/>
  <c r="P2022" i="2"/>
  <c r="O2022" i="2"/>
  <c r="N2022" i="2"/>
  <c r="M2022" i="2"/>
  <c r="L2022" i="2"/>
  <c r="K2022" i="2"/>
  <c r="H2022" i="2"/>
  <c r="G2022" i="2"/>
  <c r="F2022" i="2"/>
  <c r="E2022" i="2"/>
  <c r="D2022" i="2"/>
  <c r="C2022" i="2"/>
  <c r="B2022" i="2"/>
  <c r="A2022" i="2"/>
  <c r="AG2021" i="2"/>
  <c r="AD2021" i="2"/>
  <c r="AC2021" i="2"/>
  <c r="AB2021" i="2"/>
  <c r="Z2021" i="2"/>
  <c r="X2021" i="2"/>
  <c r="W2021" i="2"/>
  <c r="V2021" i="2"/>
  <c r="U2021" i="2"/>
  <c r="R2021" i="2"/>
  <c r="Q2021" i="2"/>
  <c r="P2021" i="2"/>
  <c r="O2021" i="2"/>
  <c r="N2021" i="2"/>
  <c r="M2021" i="2"/>
  <c r="L2021" i="2"/>
  <c r="K2021" i="2"/>
  <c r="H2021" i="2"/>
  <c r="G2021" i="2"/>
  <c r="F2021" i="2"/>
  <c r="E2021" i="2"/>
  <c r="D2021" i="2"/>
  <c r="C2021" i="2"/>
  <c r="B2021" i="2"/>
  <c r="A2021" i="2"/>
  <c r="AG2020" i="2"/>
  <c r="AF2020" i="2"/>
  <c r="AE2020" i="2"/>
  <c r="AD2020" i="2"/>
  <c r="AC2020" i="2"/>
  <c r="AB2020" i="2"/>
  <c r="Z2020" i="2"/>
  <c r="Y2020" i="2"/>
  <c r="X2020" i="2"/>
  <c r="W2020" i="2"/>
  <c r="V2020" i="2"/>
  <c r="U2020" i="2"/>
  <c r="S2020" i="2"/>
  <c r="R2020" i="2"/>
  <c r="Q2020" i="2"/>
  <c r="P2020" i="2"/>
  <c r="O2020" i="2"/>
  <c r="N2020" i="2"/>
  <c r="M2020" i="2"/>
  <c r="L2020" i="2"/>
  <c r="K2020" i="2"/>
  <c r="H2020" i="2"/>
  <c r="G2020" i="2"/>
  <c r="F2020" i="2"/>
  <c r="E2020" i="2"/>
  <c r="D2020" i="2"/>
  <c r="C2020" i="2"/>
  <c r="B2020" i="2"/>
  <c r="A2020" i="2"/>
  <c r="AG2019" i="2"/>
  <c r="AF2019" i="2"/>
  <c r="AE2019" i="2"/>
  <c r="AD2019" i="2"/>
  <c r="AC2019" i="2"/>
  <c r="AB2019" i="2"/>
  <c r="AA2019" i="2"/>
  <c r="Z2019" i="2"/>
  <c r="Y2019" i="2"/>
  <c r="X2019" i="2"/>
  <c r="W2019" i="2"/>
  <c r="V2019" i="2"/>
  <c r="U2019" i="2"/>
  <c r="S2019" i="2"/>
  <c r="R2019" i="2"/>
  <c r="Q2019" i="2"/>
  <c r="P2019" i="2"/>
  <c r="O2019" i="2"/>
  <c r="N2019" i="2"/>
  <c r="M2019" i="2"/>
  <c r="L2019" i="2"/>
  <c r="K2019" i="2"/>
  <c r="H2019" i="2"/>
  <c r="G2019" i="2"/>
  <c r="F2019" i="2"/>
  <c r="E2019" i="2"/>
  <c r="D2019" i="2"/>
  <c r="C2019" i="2"/>
  <c r="B2019" i="2"/>
  <c r="A2019" i="2"/>
  <c r="AG2018" i="2"/>
  <c r="AF2018" i="2"/>
  <c r="AE2018" i="2"/>
  <c r="AD2018" i="2"/>
  <c r="AC2018" i="2"/>
  <c r="AB2018" i="2"/>
  <c r="Z2018" i="2"/>
  <c r="Y2018" i="2"/>
  <c r="X2018" i="2"/>
  <c r="W2018" i="2"/>
  <c r="V2018" i="2"/>
  <c r="U2018" i="2"/>
  <c r="T2018" i="2"/>
  <c r="S2018" i="2"/>
  <c r="R2018" i="2"/>
  <c r="Q2018" i="2"/>
  <c r="P2018" i="2"/>
  <c r="O2018" i="2"/>
  <c r="N2018" i="2"/>
  <c r="M2018" i="2"/>
  <c r="L2018" i="2"/>
  <c r="K2018" i="2"/>
  <c r="H2018" i="2"/>
  <c r="G2018" i="2"/>
  <c r="F2018" i="2"/>
  <c r="E2018" i="2"/>
  <c r="D2018" i="2"/>
  <c r="C2018" i="2"/>
  <c r="B2018" i="2"/>
  <c r="A2018" i="2"/>
  <c r="AG2017" i="2"/>
  <c r="AF2017" i="2"/>
  <c r="AE2017" i="2"/>
  <c r="AD2017" i="2"/>
  <c r="AC2017" i="2"/>
  <c r="AB2017" i="2"/>
  <c r="Z2017" i="2"/>
  <c r="Y2017" i="2"/>
  <c r="X2017" i="2"/>
  <c r="W2017" i="2"/>
  <c r="V2017" i="2"/>
  <c r="U2017" i="2"/>
  <c r="T2017" i="2"/>
  <c r="S2017" i="2"/>
  <c r="R2017" i="2"/>
  <c r="Q2017" i="2"/>
  <c r="P2017" i="2"/>
  <c r="O2017" i="2"/>
  <c r="N2017" i="2"/>
  <c r="M2017" i="2"/>
  <c r="L2017" i="2"/>
  <c r="K2017" i="2"/>
  <c r="H2017" i="2"/>
  <c r="G2017" i="2"/>
  <c r="F2017" i="2"/>
  <c r="E2017" i="2"/>
  <c r="D2017" i="2"/>
  <c r="C2017" i="2"/>
  <c r="B2017" i="2"/>
  <c r="A2017" i="2"/>
  <c r="AG2016" i="2"/>
  <c r="AF2016" i="2"/>
  <c r="AE2016" i="2"/>
  <c r="AD2016" i="2"/>
  <c r="AC2016" i="2"/>
  <c r="AB2016" i="2"/>
  <c r="AA2016" i="2"/>
  <c r="Z2016" i="2"/>
  <c r="Y2016" i="2"/>
  <c r="X2016" i="2"/>
  <c r="W2016" i="2"/>
  <c r="V2016" i="2"/>
  <c r="U2016" i="2"/>
  <c r="T2016" i="2"/>
  <c r="S2016" i="2"/>
  <c r="R2016" i="2"/>
  <c r="Q2016" i="2"/>
  <c r="P2016" i="2"/>
  <c r="O2016" i="2"/>
  <c r="N2016" i="2"/>
  <c r="M2016" i="2"/>
  <c r="L2016" i="2"/>
  <c r="K2016" i="2"/>
  <c r="H2016" i="2"/>
  <c r="G2016" i="2"/>
  <c r="F2016" i="2"/>
  <c r="E2016" i="2"/>
  <c r="D2016" i="2"/>
  <c r="C2016" i="2"/>
  <c r="B2016" i="2"/>
  <c r="A2016" i="2"/>
  <c r="AG2015" i="2"/>
  <c r="AF2015" i="2"/>
  <c r="AE2015" i="2"/>
  <c r="AD2015" i="2"/>
  <c r="AC2015" i="2"/>
  <c r="AB2015" i="2"/>
  <c r="Z2015" i="2"/>
  <c r="Y2015" i="2"/>
  <c r="X2015" i="2"/>
  <c r="W2015" i="2"/>
  <c r="V2015" i="2"/>
  <c r="U2015" i="2"/>
  <c r="T2015" i="2"/>
  <c r="S2015" i="2"/>
  <c r="R2015" i="2"/>
  <c r="Q2015" i="2"/>
  <c r="P2015" i="2"/>
  <c r="O2015" i="2"/>
  <c r="N2015" i="2"/>
  <c r="M2015" i="2"/>
  <c r="L2015" i="2"/>
  <c r="K2015" i="2"/>
  <c r="H2015" i="2"/>
  <c r="G2015" i="2"/>
  <c r="F2015" i="2"/>
  <c r="E2015" i="2"/>
  <c r="D2015" i="2"/>
  <c r="C2015" i="2"/>
  <c r="B2015" i="2"/>
  <c r="A2015" i="2"/>
  <c r="AH2014" i="2"/>
  <c r="AG2014" i="2"/>
  <c r="AF2014" i="2"/>
  <c r="AE2014" i="2"/>
  <c r="AD2014" i="2"/>
  <c r="AC2014" i="2"/>
  <c r="AB2014" i="2"/>
  <c r="Z2014" i="2"/>
  <c r="Y2014" i="2"/>
  <c r="X2014" i="2"/>
  <c r="W2014" i="2"/>
  <c r="V2014" i="2"/>
  <c r="U2014" i="2"/>
  <c r="T2014" i="2"/>
  <c r="S2014" i="2"/>
  <c r="R2014" i="2"/>
  <c r="Q2014" i="2"/>
  <c r="P2014" i="2"/>
  <c r="O2014" i="2"/>
  <c r="N2014" i="2"/>
  <c r="M2014" i="2"/>
  <c r="L2014" i="2"/>
  <c r="K2014" i="2"/>
  <c r="H2014" i="2"/>
  <c r="G2014" i="2"/>
  <c r="F2014" i="2"/>
  <c r="E2014" i="2"/>
  <c r="D2014" i="2"/>
  <c r="C2014" i="2"/>
  <c r="B2014" i="2"/>
  <c r="A2014" i="2"/>
  <c r="AG2013" i="2"/>
  <c r="AF2013" i="2"/>
  <c r="AE2013" i="2"/>
  <c r="AD2013" i="2"/>
  <c r="AC2013" i="2"/>
  <c r="AB2013" i="2"/>
  <c r="Z2013" i="2"/>
  <c r="Y2013" i="2"/>
  <c r="X2013" i="2"/>
  <c r="W2013" i="2"/>
  <c r="V2013" i="2"/>
  <c r="U2013" i="2"/>
  <c r="S2013" i="2"/>
  <c r="R2013" i="2"/>
  <c r="Q2013" i="2"/>
  <c r="P2013" i="2"/>
  <c r="O2013" i="2"/>
  <c r="N2013" i="2"/>
  <c r="M2013" i="2"/>
  <c r="L2013" i="2"/>
  <c r="K2013" i="2"/>
  <c r="H2013" i="2"/>
  <c r="G2013" i="2"/>
  <c r="F2013" i="2"/>
  <c r="E2013" i="2"/>
  <c r="D2013" i="2"/>
  <c r="C2013" i="2"/>
  <c r="B2013" i="2"/>
  <c r="A2013" i="2"/>
  <c r="AH2012" i="2"/>
  <c r="AG2012" i="2"/>
  <c r="AF2012" i="2"/>
  <c r="AD2012" i="2"/>
  <c r="AC2012" i="2"/>
  <c r="AB2012" i="2"/>
  <c r="Z2012" i="2"/>
  <c r="Y2012" i="2"/>
  <c r="X2012" i="2"/>
  <c r="W2012" i="2"/>
  <c r="V2012" i="2"/>
  <c r="U2012" i="2"/>
  <c r="S2012" i="2"/>
  <c r="R2012" i="2"/>
  <c r="Q2012" i="2"/>
  <c r="P2012" i="2"/>
  <c r="O2012" i="2"/>
  <c r="N2012" i="2"/>
  <c r="M2012" i="2"/>
  <c r="L2012" i="2"/>
  <c r="K2012" i="2"/>
  <c r="H2012" i="2"/>
  <c r="G2012" i="2"/>
  <c r="F2012" i="2"/>
  <c r="E2012" i="2"/>
  <c r="D2012" i="2"/>
  <c r="C2012" i="2"/>
  <c r="B2012" i="2"/>
  <c r="A2012" i="2"/>
  <c r="AG2011" i="2"/>
  <c r="AF2011" i="2"/>
  <c r="AE2011" i="2"/>
  <c r="AD2011" i="2"/>
  <c r="AC2011" i="2"/>
  <c r="AB2011" i="2"/>
  <c r="Z2011" i="2"/>
  <c r="X2011" i="2"/>
  <c r="W2011" i="2"/>
  <c r="V2011" i="2"/>
  <c r="U2011" i="2"/>
  <c r="S2011" i="2"/>
  <c r="R2011" i="2"/>
  <c r="Q2011" i="2"/>
  <c r="P2011" i="2"/>
  <c r="O2011" i="2"/>
  <c r="N2011" i="2"/>
  <c r="M2011" i="2"/>
  <c r="L2011" i="2"/>
  <c r="K2011" i="2"/>
  <c r="H2011" i="2"/>
  <c r="G2011" i="2"/>
  <c r="F2011" i="2"/>
  <c r="E2011" i="2"/>
  <c r="D2011" i="2"/>
  <c r="C2011" i="2"/>
  <c r="B2011" i="2"/>
  <c r="A2011" i="2"/>
  <c r="AG2010" i="2"/>
  <c r="AF2010" i="2"/>
  <c r="AE2010" i="2"/>
  <c r="AD2010" i="2"/>
  <c r="AC2010" i="2"/>
  <c r="AB2010" i="2"/>
  <c r="AA2010" i="2"/>
  <c r="Z2010" i="2"/>
  <c r="Y2010" i="2"/>
  <c r="X2010" i="2"/>
  <c r="W2010" i="2"/>
  <c r="V2010" i="2"/>
  <c r="U2010" i="2"/>
  <c r="S2010" i="2"/>
  <c r="R2010" i="2"/>
  <c r="Q2010" i="2"/>
  <c r="P2010" i="2"/>
  <c r="O2010" i="2"/>
  <c r="N2010" i="2"/>
  <c r="M2010" i="2"/>
  <c r="L2010" i="2"/>
  <c r="K2010" i="2"/>
  <c r="H2010" i="2"/>
  <c r="G2010" i="2"/>
  <c r="F2010" i="2"/>
  <c r="E2010" i="2"/>
  <c r="D2010" i="2"/>
  <c r="C2010" i="2"/>
  <c r="B2010" i="2"/>
  <c r="A2010" i="2"/>
  <c r="AH2009" i="2"/>
  <c r="AG2009" i="2"/>
  <c r="AF2009" i="2"/>
  <c r="AE2009" i="2"/>
  <c r="AD2009" i="2"/>
  <c r="AC2009" i="2"/>
  <c r="AB2009" i="2"/>
  <c r="Z2009" i="2"/>
  <c r="Y2009" i="2"/>
  <c r="X2009" i="2"/>
  <c r="W2009" i="2"/>
  <c r="V2009" i="2"/>
  <c r="U2009" i="2"/>
  <c r="S2009" i="2"/>
  <c r="R2009" i="2"/>
  <c r="Q2009" i="2"/>
  <c r="P2009" i="2"/>
  <c r="O2009" i="2"/>
  <c r="N2009" i="2"/>
  <c r="M2009" i="2"/>
  <c r="L2009" i="2"/>
  <c r="K2009" i="2"/>
  <c r="H2009" i="2"/>
  <c r="G2009" i="2"/>
  <c r="F2009" i="2"/>
  <c r="E2009" i="2"/>
  <c r="D2009" i="2"/>
  <c r="C2009" i="2"/>
  <c r="B2009" i="2"/>
  <c r="A2009" i="2"/>
  <c r="AG2008" i="2"/>
  <c r="AF2008" i="2"/>
  <c r="AE2008" i="2"/>
  <c r="AD2008" i="2"/>
  <c r="AC2008" i="2"/>
  <c r="AB2008" i="2"/>
  <c r="Z2008" i="2"/>
  <c r="Y2008" i="2"/>
  <c r="X2008" i="2"/>
  <c r="W2008" i="2"/>
  <c r="V2008" i="2"/>
  <c r="U2008" i="2"/>
  <c r="T2008" i="2"/>
  <c r="S2008" i="2"/>
  <c r="R2008" i="2"/>
  <c r="Q2008" i="2"/>
  <c r="P2008" i="2"/>
  <c r="O2008" i="2"/>
  <c r="N2008" i="2"/>
  <c r="M2008" i="2"/>
  <c r="L2008" i="2"/>
  <c r="K2008" i="2"/>
  <c r="H2008" i="2"/>
  <c r="G2008" i="2"/>
  <c r="F2008" i="2"/>
  <c r="E2008" i="2"/>
  <c r="D2008" i="2"/>
  <c r="C2008" i="2"/>
  <c r="B2008" i="2"/>
  <c r="A2008" i="2"/>
  <c r="AG2007" i="2"/>
  <c r="AF2007" i="2"/>
  <c r="AE2007" i="2"/>
  <c r="AD2007" i="2"/>
  <c r="AC2007" i="2"/>
  <c r="AB2007" i="2"/>
  <c r="Z2007" i="2"/>
  <c r="Y2007" i="2"/>
  <c r="X2007" i="2"/>
  <c r="W2007" i="2"/>
  <c r="V2007" i="2"/>
  <c r="U2007" i="2"/>
  <c r="T2007" i="2"/>
  <c r="S2007" i="2"/>
  <c r="R2007" i="2"/>
  <c r="Q2007" i="2"/>
  <c r="P2007" i="2"/>
  <c r="O2007" i="2"/>
  <c r="N2007" i="2"/>
  <c r="M2007" i="2"/>
  <c r="L2007" i="2"/>
  <c r="K2007" i="2"/>
  <c r="H2007" i="2"/>
  <c r="G2007" i="2"/>
  <c r="F2007" i="2"/>
  <c r="E2007" i="2"/>
  <c r="D2007" i="2"/>
  <c r="C2007" i="2"/>
  <c r="B2007" i="2"/>
  <c r="A2007" i="2"/>
  <c r="AG2006" i="2"/>
  <c r="AF2006" i="2"/>
  <c r="AE2006" i="2"/>
  <c r="AD2006" i="2"/>
  <c r="AC2006" i="2"/>
  <c r="AB2006" i="2"/>
  <c r="Z2006" i="2"/>
  <c r="Y2006" i="2"/>
  <c r="X2006" i="2"/>
  <c r="W2006" i="2"/>
  <c r="V2006" i="2"/>
  <c r="U2006" i="2"/>
  <c r="S2006" i="2"/>
  <c r="R2006" i="2"/>
  <c r="Q2006" i="2"/>
  <c r="P2006" i="2"/>
  <c r="O2006" i="2"/>
  <c r="N2006" i="2"/>
  <c r="M2006" i="2"/>
  <c r="L2006" i="2"/>
  <c r="K2006" i="2"/>
  <c r="H2006" i="2"/>
  <c r="G2006" i="2"/>
  <c r="F2006" i="2"/>
  <c r="E2006" i="2"/>
  <c r="D2006" i="2"/>
  <c r="C2006" i="2"/>
  <c r="B2006" i="2"/>
  <c r="A2006" i="2"/>
  <c r="AG2005" i="2"/>
  <c r="AF2005" i="2"/>
  <c r="AE2005" i="2"/>
  <c r="AD2005" i="2"/>
  <c r="AC2005" i="2"/>
  <c r="AB2005" i="2"/>
  <c r="Z2005" i="2"/>
  <c r="Y2005" i="2"/>
  <c r="X2005" i="2"/>
  <c r="W2005" i="2"/>
  <c r="V2005" i="2"/>
  <c r="U2005" i="2"/>
  <c r="T2005" i="2"/>
  <c r="S2005" i="2"/>
  <c r="R2005" i="2"/>
  <c r="Q2005" i="2"/>
  <c r="P2005" i="2"/>
  <c r="O2005" i="2"/>
  <c r="N2005" i="2"/>
  <c r="M2005" i="2"/>
  <c r="L2005" i="2"/>
  <c r="K2005" i="2"/>
  <c r="H2005" i="2"/>
  <c r="G2005" i="2"/>
  <c r="F2005" i="2"/>
  <c r="E2005" i="2"/>
  <c r="D2005" i="2"/>
  <c r="C2005" i="2"/>
  <c r="B2005" i="2"/>
  <c r="A2005" i="2"/>
  <c r="AG2004" i="2"/>
  <c r="AF2004" i="2"/>
  <c r="AE2004" i="2"/>
  <c r="AD2004" i="2"/>
  <c r="AC2004" i="2"/>
  <c r="AB2004" i="2"/>
  <c r="AA2004" i="2"/>
  <c r="Z2004" i="2"/>
  <c r="Y2004" i="2"/>
  <c r="X2004" i="2"/>
  <c r="W2004" i="2"/>
  <c r="V2004" i="2"/>
  <c r="U2004" i="2"/>
  <c r="T2004" i="2"/>
  <c r="S2004" i="2"/>
  <c r="R2004" i="2"/>
  <c r="Q2004" i="2"/>
  <c r="P2004" i="2"/>
  <c r="O2004" i="2"/>
  <c r="N2004" i="2"/>
  <c r="M2004" i="2"/>
  <c r="L2004" i="2"/>
  <c r="K2004" i="2"/>
  <c r="H2004" i="2"/>
  <c r="G2004" i="2"/>
  <c r="F2004" i="2"/>
  <c r="E2004" i="2"/>
  <c r="D2004" i="2"/>
  <c r="C2004" i="2"/>
  <c r="B2004" i="2"/>
  <c r="A2004" i="2"/>
  <c r="AG2003" i="2"/>
  <c r="AF2003" i="2"/>
  <c r="AE2003" i="2"/>
  <c r="AD2003" i="2"/>
  <c r="AC2003" i="2"/>
  <c r="AB2003" i="2"/>
  <c r="Z2003" i="2"/>
  <c r="Y2003" i="2"/>
  <c r="X2003" i="2"/>
  <c r="W2003" i="2"/>
  <c r="V2003" i="2"/>
  <c r="R2003" i="2"/>
  <c r="Q2003" i="2"/>
  <c r="P2003" i="2"/>
  <c r="O2003" i="2"/>
  <c r="N2003" i="2"/>
  <c r="M2003" i="2"/>
  <c r="L2003" i="2"/>
  <c r="K2003" i="2"/>
  <c r="H2003" i="2"/>
  <c r="G2003" i="2"/>
  <c r="F2003" i="2"/>
  <c r="E2003" i="2"/>
  <c r="D2003" i="2"/>
  <c r="C2003" i="2"/>
  <c r="B2003" i="2"/>
  <c r="A2003" i="2"/>
  <c r="AG2002" i="2"/>
  <c r="AF2002" i="2"/>
  <c r="AE2002" i="2"/>
  <c r="AD2002" i="2"/>
  <c r="AC2002" i="2"/>
  <c r="AB2002" i="2"/>
  <c r="Y2002" i="2"/>
  <c r="X2002" i="2"/>
  <c r="W2002" i="2"/>
  <c r="V2002" i="2"/>
  <c r="T2002" i="2"/>
  <c r="S2002" i="2"/>
  <c r="R2002" i="2"/>
  <c r="Q2002" i="2"/>
  <c r="P2002" i="2"/>
  <c r="O2002" i="2"/>
  <c r="N2002" i="2"/>
  <c r="M2002" i="2"/>
  <c r="L2002" i="2"/>
  <c r="K2002" i="2"/>
  <c r="H2002" i="2"/>
  <c r="G2002" i="2"/>
  <c r="F2002" i="2"/>
  <c r="E2002" i="2"/>
  <c r="D2002" i="2"/>
  <c r="C2002" i="2"/>
  <c r="B2002" i="2"/>
  <c r="A2002" i="2"/>
  <c r="AG2001" i="2"/>
  <c r="AF2001" i="2"/>
  <c r="AE2001" i="2"/>
  <c r="AD2001" i="2"/>
  <c r="AC2001" i="2"/>
  <c r="AB2001" i="2"/>
  <c r="Z2001" i="2"/>
  <c r="Y2001" i="2"/>
  <c r="X2001" i="2"/>
  <c r="W2001" i="2"/>
  <c r="V2001" i="2"/>
  <c r="U2001" i="2"/>
  <c r="S2001" i="2"/>
  <c r="R2001" i="2"/>
  <c r="Q2001" i="2"/>
  <c r="P2001" i="2"/>
  <c r="O2001" i="2"/>
  <c r="N2001" i="2"/>
  <c r="M2001" i="2"/>
  <c r="L2001" i="2"/>
  <c r="K2001" i="2"/>
  <c r="H2001" i="2"/>
  <c r="G2001" i="2"/>
  <c r="F2001" i="2"/>
  <c r="E2001" i="2"/>
  <c r="D2001" i="2"/>
  <c r="C2001" i="2"/>
  <c r="B2001" i="2"/>
  <c r="A2001" i="2"/>
  <c r="AG2000" i="2"/>
  <c r="AF2000" i="2"/>
  <c r="AE2000" i="2"/>
  <c r="AD2000" i="2"/>
  <c r="AC2000" i="2"/>
  <c r="AB2000" i="2"/>
  <c r="Z2000" i="2"/>
  <c r="Y2000" i="2"/>
  <c r="X2000" i="2"/>
  <c r="W2000" i="2"/>
  <c r="V2000" i="2"/>
  <c r="U2000" i="2"/>
  <c r="T2000" i="2"/>
  <c r="S2000" i="2"/>
  <c r="R2000" i="2"/>
  <c r="Q2000" i="2"/>
  <c r="P2000" i="2"/>
  <c r="O2000" i="2"/>
  <c r="N2000" i="2"/>
  <c r="M2000" i="2"/>
  <c r="L2000" i="2"/>
  <c r="K2000" i="2"/>
  <c r="H2000" i="2"/>
  <c r="G2000" i="2"/>
  <c r="F2000" i="2"/>
  <c r="E2000" i="2"/>
  <c r="D2000" i="2"/>
  <c r="C2000" i="2"/>
  <c r="B2000" i="2"/>
  <c r="A2000" i="2"/>
  <c r="AG1999" i="2"/>
  <c r="AF1999" i="2"/>
  <c r="AE1999" i="2"/>
  <c r="AD1999" i="2"/>
  <c r="AC1999" i="2"/>
  <c r="AB1999" i="2"/>
  <c r="Z1999" i="2"/>
  <c r="X1999" i="2"/>
  <c r="W1999" i="2"/>
  <c r="V1999" i="2"/>
  <c r="U1999" i="2"/>
  <c r="S1999" i="2"/>
  <c r="R1999" i="2"/>
  <c r="Q1999" i="2"/>
  <c r="P1999" i="2"/>
  <c r="O1999" i="2"/>
  <c r="N1999" i="2"/>
  <c r="M1999" i="2"/>
  <c r="L1999" i="2"/>
  <c r="K1999" i="2"/>
  <c r="H1999" i="2"/>
  <c r="G1999" i="2"/>
  <c r="F1999" i="2"/>
  <c r="E1999" i="2"/>
  <c r="D1999" i="2"/>
  <c r="C1999" i="2"/>
  <c r="B1999" i="2"/>
  <c r="A1999" i="2"/>
  <c r="AG1998" i="2"/>
  <c r="AD1998" i="2"/>
  <c r="AC1998" i="2"/>
  <c r="AB1998" i="2"/>
  <c r="Z1998" i="2"/>
  <c r="Y1998" i="2"/>
  <c r="X1998" i="2"/>
  <c r="W1998" i="2"/>
  <c r="V1998" i="2"/>
  <c r="T1998" i="2"/>
  <c r="S1998" i="2"/>
  <c r="R1998" i="2"/>
  <c r="Q1998" i="2"/>
  <c r="P1998" i="2"/>
  <c r="O1998" i="2"/>
  <c r="N1998" i="2"/>
  <c r="M1998" i="2"/>
  <c r="L1998" i="2"/>
  <c r="K1998" i="2"/>
  <c r="H1998" i="2"/>
  <c r="G1998" i="2"/>
  <c r="F1998" i="2"/>
  <c r="E1998" i="2"/>
  <c r="D1998" i="2"/>
  <c r="C1998" i="2"/>
  <c r="B1998" i="2"/>
  <c r="A1998" i="2"/>
  <c r="AG1997" i="2"/>
  <c r="AF1997" i="2"/>
  <c r="AE1997" i="2"/>
  <c r="AD1997" i="2"/>
  <c r="AC1997" i="2"/>
  <c r="AB1997" i="2"/>
  <c r="Z1997" i="2"/>
  <c r="Y1997" i="2"/>
  <c r="X1997" i="2"/>
  <c r="W1997" i="2"/>
  <c r="V1997" i="2"/>
  <c r="U1997" i="2"/>
  <c r="S1997" i="2"/>
  <c r="R1997" i="2"/>
  <c r="Q1997" i="2"/>
  <c r="P1997" i="2"/>
  <c r="O1997" i="2"/>
  <c r="N1997" i="2"/>
  <c r="M1997" i="2"/>
  <c r="L1997" i="2"/>
  <c r="K1997" i="2"/>
  <c r="H1997" i="2"/>
  <c r="G1997" i="2"/>
  <c r="F1997" i="2"/>
  <c r="E1997" i="2"/>
  <c r="D1997" i="2"/>
  <c r="C1997" i="2"/>
  <c r="B1997" i="2"/>
  <c r="A1997" i="2"/>
  <c r="AG1996" i="2"/>
  <c r="AF1996" i="2"/>
  <c r="AE1996" i="2"/>
  <c r="AD1996" i="2"/>
  <c r="AC1996" i="2"/>
  <c r="AB1996" i="2"/>
  <c r="AA1996" i="2"/>
  <c r="Z1996" i="2"/>
  <c r="Y1996" i="2"/>
  <c r="X1996" i="2"/>
  <c r="W1996" i="2"/>
  <c r="V1996" i="2"/>
  <c r="U1996" i="2"/>
  <c r="R1996" i="2"/>
  <c r="Q1996" i="2"/>
  <c r="P1996" i="2"/>
  <c r="O1996" i="2"/>
  <c r="N1996" i="2"/>
  <c r="M1996" i="2"/>
  <c r="L1996" i="2"/>
  <c r="K1996" i="2"/>
  <c r="H1996" i="2"/>
  <c r="G1996" i="2"/>
  <c r="F1996" i="2"/>
  <c r="E1996" i="2"/>
  <c r="D1996" i="2"/>
  <c r="C1996" i="2"/>
  <c r="B1996" i="2"/>
  <c r="A1996" i="2"/>
  <c r="AG1995" i="2"/>
  <c r="AF1995" i="2"/>
  <c r="AD1995" i="2"/>
  <c r="AC1995" i="2"/>
  <c r="AB1995" i="2"/>
  <c r="Z1995" i="2"/>
  <c r="Y1995" i="2"/>
  <c r="X1995" i="2"/>
  <c r="W1995" i="2"/>
  <c r="V1995" i="2"/>
  <c r="U1995" i="2"/>
  <c r="S1995" i="2"/>
  <c r="R1995" i="2"/>
  <c r="Q1995" i="2"/>
  <c r="P1995" i="2"/>
  <c r="O1995" i="2"/>
  <c r="N1995" i="2"/>
  <c r="M1995" i="2"/>
  <c r="L1995" i="2"/>
  <c r="K1995" i="2"/>
  <c r="H1995" i="2"/>
  <c r="G1995" i="2"/>
  <c r="F1995" i="2"/>
  <c r="E1995" i="2"/>
  <c r="D1995" i="2"/>
  <c r="C1995" i="2"/>
  <c r="B1995" i="2"/>
  <c r="A1995" i="2"/>
  <c r="AG1994" i="2"/>
  <c r="AF1994" i="2"/>
  <c r="AE1994" i="2"/>
  <c r="AD1994" i="2"/>
  <c r="AC1994" i="2"/>
  <c r="AB1994" i="2"/>
  <c r="Z1994" i="2"/>
  <c r="Y1994" i="2"/>
  <c r="X1994" i="2"/>
  <c r="W1994" i="2"/>
  <c r="V1994" i="2"/>
  <c r="U1994" i="2"/>
  <c r="S1994" i="2"/>
  <c r="R1994" i="2"/>
  <c r="Q1994" i="2"/>
  <c r="P1994" i="2"/>
  <c r="O1994" i="2"/>
  <c r="N1994" i="2"/>
  <c r="M1994" i="2"/>
  <c r="L1994" i="2"/>
  <c r="K1994" i="2"/>
  <c r="H1994" i="2"/>
  <c r="G1994" i="2"/>
  <c r="F1994" i="2"/>
  <c r="E1994" i="2"/>
  <c r="D1994" i="2"/>
  <c r="C1994" i="2"/>
  <c r="B1994" i="2"/>
  <c r="A1994" i="2"/>
  <c r="AG1993" i="2"/>
  <c r="AF1993" i="2"/>
  <c r="AE1993" i="2"/>
  <c r="AD1993" i="2"/>
  <c r="AC1993" i="2"/>
  <c r="AB1993" i="2"/>
  <c r="Z1993" i="2"/>
  <c r="Y1993" i="2"/>
  <c r="X1993" i="2"/>
  <c r="W1993" i="2"/>
  <c r="V1993" i="2"/>
  <c r="U1993" i="2"/>
  <c r="T1993" i="2"/>
  <c r="S1993" i="2"/>
  <c r="R1993" i="2"/>
  <c r="Q1993" i="2"/>
  <c r="P1993" i="2"/>
  <c r="O1993" i="2"/>
  <c r="N1993" i="2"/>
  <c r="M1993" i="2"/>
  <c r="L1993" i="2"/>
  <c r="K1993" i="2"/>
  <c r="H1993" i="2"/>
  <c r="G1993" i="2"/>
  <c r="F1993" i="2"/>
  <c r="E1993" i="2"/>
  <c r="D1993" i="2"/>
  <c r="C1993" i="2"/>
  <c r="B1993" i="2"/>
  <c r="A1993" i="2"/>
  <c r="AG1992" i="2"/>
  <c r="AF1992" i="2"/>
  <c r="AD1992" i="2"/>
  <c r="AC1992" i="2"/>
  <c r="AB1992" i="2"/>
  <c r="Z1992" i="2"/>
  <c r="X1992" i="2"/>
  <c r="W1992" i="2"/>
  <c r="V1992" i="2"/>
  <c r="T1992" i="2"/>
  <c r="S1992" i="2"/>
  <c r="R1992" i="2"/>
  <c r="Q1992" i="2"/>
  <c r="P1992" i="2"/>
  <c r="O1992" i="2"/>
  <c r="N1992" i="2"/>
  <c r="M1992" i="2"/>
  <c r="L1992" i="2"/>
  <c r="K1992" i="2"/>
  <c r="H1992" i="2"/>
  <c r="G1992" i="2"/>
  <c r="F1992" i="2"/>
  <c r="E1992" i="2"/>
  <c r="D1992" i="2"/>
  <c r="C1992" i="2"/>
  <c r="B1992" i="2"/>
  <c r="A1992" i="2"/>
  <c r="AG1991" i="2"/>
  <c r="AF1991" i="2"/>
  <c r="AE1991" i="2"/>
  <c r="AD1991" i="2"/>
  <c r="AC1991" i="2"/>
  <c r="AB1991" i="2"/>
  <c r="Z1991" i="2"/>
  <c r="Y1991" i="2"/>
  <c r="X1991" i="2"/>
  <c r="W1991" i="2"/>
  <c r="V1991" i="2"/>
  <c r="R1991" i="2"/>
  <c r="Q1991" i="2"/>
  <c r="P1991" i="2"/>
  <c r="N1991" i="2"/>
  <c r="M1991" i="2"/>
  <c r="L1991" i="2"/>
  <c r="K1991" i="2"/>
  <c r="H1991" i="2"/>
  <c r="G1991" i="2"/>
  <c r="F1991" i="2"/>
  <c r="E1991" i="2"/>
  <c r="D1991" i="2"/>
  <c r="C1991" i="2"/>
  <c r="B1991" i="2"/>
  <c r="A1991" i="2"/>
  <c r="AG1990" i="2"/>
  <c r="AF1990" i="2"/>
  <c r="AE1990" i="2"/>
  <c r="AD1990" i="2"/>
  <c r="AC1990" i="2"/>
  <c r="AB1990" i="2"/>
  <c r="Z1990" i="2"/>
  <c r="Y1990" i="2"/>
  <c r="X1990" i="2"/>
  <c r="W1990" i="2"/>
  <c r="V1990" i="2"/>
  <c r="U1990" i="2"/>
  <c r="S1990" i="2"/>
  <c r="R1990" i="2"/>
  <c r="Q1990" i="2"/>
  <c r="P1990" i="2"/>
  <c r="O1990" i="2"/>
  <c r="N1990" i="2"/>
  <c r="M1990" i="2"/>
  <c r="L1990" i="2"/>
  <c r="K1990" i="2"/>
  <c r="H1990" i="2"/>
  <c r="G1990" i="2"/>
  <c r="F1990" i="2"/>
  <c r="E1990" i="2"/>
  <c r="D1990" i="2"/>
  <c r="C1990" i="2"/>
  <c r="B1990" i="2"/>
  <c r="A1990" i="2"/>
  <c r="AH1989" i="2"/>
  <c r="AG1989" i="2"/>
  <c r="AF1989" i="2"/>
  <c r="AE1989" i="2"/>
  <c r="AD1989" i="2"/>
  <c r="AC1989" i="2"/>
  <c r="AB1989" i="2"/>
  <c r="Y1989" i="2"/>
  <c r="X1989" i="2"/>
  <c r="W1989" i="2"/>
  <c r="V1989" i="2"/>
  <c r="U1989" i="2"/>
  <c r="S1989" i="2"/>
  <c r="R1989" i="2"/>
  <c r="Q1989" i="2"/>
  <c r="P1989" i="2"/>
  <c r="O1989" i="2"/>
  <c r="N1989" i="2"/>
  <c r="M1989" i="2"/>
  <c r="L1989" i="2"/>
  <c r="K1989" i="2"/>
  <c r="H1989" i="2"/>
  <c r="G1989" i="2"/>
  <c r="F1989" i="2"/>
  <c r="E1989" i="2"/>
  <c r="D1989" i="2"/>
  <c r="C1989" i="2"/>
  <c r="B1989" i="2"/>
  <c r="A1989" i="2"/>
  <c r="AG1988" i="2"/>
  <c r="AF1988" i="2"/>
  <c r="AE1988" i="2"/>
  <c r="AD1988" i="2"/>
  <c r="AC1988" i="2"/>
  <c r="AB1988" i="2"/>
  <c r="Z1988" i="2"/>
  <c r="Y1988" i="2"/>
  <c r="X1988" i="2"/>
  <c r="W1988" i="2"/>
  <c r="V1988" i="2"/>
  <c r="U1988" i="2"/>
  <c r="T1988" i="2"/>
  <c r="S1988" i="2"/>
  <c r="R1988" i="2"/>
  <c r="Q1988" i="2"/>
  <c r="P1988" i="2"/>
  <c r="O1988" i="2"/>
  <c r="N1988" i="2"/>
  <c r="M1988" i="2"/>
  <c r="L1988" i="2"/>
  <c r="K1988" i="2"/>
  <c r="H1988" i="2"/>
  <c r="G1988" i="2"/>
  <c r="F1988" i="2"/>
  <c r="E1988" i="2"/>
  <c r="D1988" i="2"/>
  <c r="C1988" i="2"/>
  <c r="B1988" i="2"/>
  <c r="A1988" i="2"/>
  <c r="AG1987" i="2"/>
  <c r="AF1987" i="2"/>
  <c r="AE1987" i="2"/>
  <c r="AD1987" i="2"/>
  <c r="AC1987" i="2"/>
  <c r="AB1987" i="2"/>
  <c r="Z1987" i="2"/>
  <c r="Y1987" i="2"/>
  <c r="X1987" i="2"/>
  <c r="W1987" i="2"/>
  <c r="V1987" i="2"/>
  <c r="U1987" i="2"/>
  <c r="S1987" i="2"/>
  <c r="R1987" i="2"/>
  <c r="Q1987" i="2"/>
  <c r="P1987" i="2"/>
  <c r="O1987" i="2"/>
  <c r="N1987" i="2"/>
  <c r="M1987" i="2"/>
  <c r="L1987" i="2"/>
  <c r="K1987" i="2"/>
  <c r="H1987" i="2"/>
  <c r="G1987" i="2"/>
  <c r="F1987" i="2"/>
  <c r="E1987" i="2"/>
  <c r="D1987" i="2"/>
  <c r="C1987" i="2"/>
  <c r="B1987" i="2"/>
  <c r="A1987" i="2"/>
  <c r="AG1986" i="2"/>
  <c r="AF1986" i="2"/>
  <c r="AE1986" i="2"/>
  <c r="AD1986" i="2"/>
  <c r="AC1986" i="2"/>
  <c r="AB1986" i="2"/>
  <c r="Z1986" i="2"/>
  <c r="Y1986" i="2"/>
  <c r="X1986" i="2"/>
  <c r="W1986" i="2"/>
  <c r="V1986" i="2"/>
  <c r="S1986" i="2"/>
  <c r="R1986" i="2"/>
  <c r="Q1986" i="2"/>
  <c r="P1986" i="2"/>
  <c r="O1986" i="2"/>
  <c r="N1986" i="2"/>
  <c r="M1986" i="2"/>
  <c r="L1986" i="2"/>
  <c r="K1986" i="2"/>
  <c r="H1986" i="2"/>
  <c r="G1986" i="2"/>
  <c r="F1986" i="2"/>
  <c r="E1986" i="2"/>
  <c r="D1986" i="2"/>
  <c r="C1986" i="2"/>
  <c r="B1986" i="2"/>
  <c r="A1986" i="2"/>
  <c r="AG1985" i="2"/>
  <c r="AF1985" i="2"/>
  <c r="AE1985" i="2"/>
  <c r="AD1985" i="2"/>
  <c r="AC1985" i="2"/>
  <c r="AB1985" i="2"/>
  <c r="Z1985" i="2"/>
  <c r="Y1985" i="2"/>
  <c r="X1985" i="2"/>
  <c r="W1985" i="2"/>
  <c r="V1985" i="2"/>
  <c r="R1985" i="2"/>
  <c r="Q1985" i="2"/>
  <c r="P1985" i="2"/>
  <c r="O1985" i="2"/>
  <c r="N1985" i="2"/>
  <c r="M1985" i="2"/>
  <c r="L1985" i="2"/>
  <c r="K1985" i="2"/>
  <c r="H1985" i="2"/>
  <c r="G1985" i="2"/>
  <c r="F1985" i="2"/>
  <c r="E1985" i="2"/>
  <c r="D1985" i="2"/>
  <c r="C1985" i="2"/>
  <c r="B1985" i="2"/>
  <c r="A1985" i="2"/>
  <c r="AG1984" i="2"/>
  <c r="AF1984" i="2"/>
  <c r="AE1984" i="2"/>
  <c r="AD1984" i="2"/>
  <c r="AC1984" i="2"/>
  <c r="AB1984" i="2"/>
  <c r="Z1984" i="2"/>
  <c r="Y1984" i="2"/>
  <c r="X1984" i="2"/>
  <c r="W1984" i="2"/>
  <c r="V1984" i="2"/>
  <c r="U1984" i="2"/>
  <c r="T1984" i="2"/>
  <c r="S1984" i="2"/>
  <c r="R1984" i="2"/>
  <c r="Q1984" i="2"/>
  <c r="P1984" i="2"/>
  <c r="O1984" i="2"/>
  <c r="N1984" i="2"/>
  <c r="M1984" i="2"/>
  <c r="L1984" i="2"/>
  <c r="K1984" i="2"/>
  <c r="H1984" i="2"/>
  <c r="G1984" i="2"/>
  <c r="F1984" i="2"/>
  <c r="E1984" i="2"/>
  <c r="D1984" i="2"/>
  <c r="C1984" i="2"/>
  <c r="B1984" i="2"/>
  <c r="A1984" i="2"/>
  <c r="AG1983" i="2"/>
  <c r="AF1983" i="2"/>
  <c r="AE1983" i="2"/>
  <c r="AD1983" i="2"/>
  <c r="AC1983" i="2"/>
  <c r="AB1983" i="2"/>
  <c r="Z1983" i="2"/>
  <c r="Y1983" i="2"/>
  <c r="X1983" i="2"/>
  <c r="W1983" i="2"/>
  <c r="V1983" i="2"/>
  <c r="R1983" i="2"/>
  <c r="Q1983" i="2"/>
  <c r="P1983" i="2"/>
  <c r="O1983" i="2"/>
  <c r="N1983" i="2"/>
  <c r="M1983" i="2"/>
  <c r="L1983" i="2"/>
  <c r="K1983" i="2"/>
  <c r="H1983" i="2"/>
  <c r="G1983" i="2"/>
  <c r="F1983" i="2"/>
  <c r="E1983" i="2"/>
  <c r="D1983" i="2"/>
  <c r="C1983" i="2"/>
  <c r="B1983" i="2"/>
  <c r="A1983" i="2"/>
  <c r="AG1982" i="2"/>
  <c r="AF1982" i="2"/>
  <c r="AE1982" i="2"/>
  <c r="AD1982" i="2"/>
  <c r="AC1982" i="2"/>
  <c r="AB1982" i="2"/>
  <c r="Z1982" i="2"/>
  <c r="Y1982" i="2"/>
  <c r="X1982" i="2"/>
  <c r="W1982" i="2"/>
  <c r="V1982" i="2"/>
  <c r="U1982" i="2"/>
  <c r="T1982" i="2"/>
  <c r="S1982" i="2"/>
  <c r="R1982" i="2"/>
  <c r="Q1982" i="2"/>
  <c r="P1982" i="2"/>
  <c r="O1982" i="2"/>
  <c r="N1982" i="2"/>
  <c r="M1982" i="2"/>
  <c r="L1982" i="2"/>
  <c r="K1982" i="2"/>
  <c r="H1982" i="2"/>
  <c r="G1982" i="2"/>
  <c r="F1982" i="2"/>
  <c r="E1982" i="2"/>
  <c r="D1982" i="2"/>
  <c r="C1982" i="2"/>
  <c r="B1982" i="2"/>
  <c r="A1982" i="2"/>
  <c r="AG1981" i="2"/>
  <c r="AF1981" i="2"/>
  <c r="AE1981" i="2"/>
  <c r="AD1981" i="2"/>
  <c r="AC1981" i="2"/>
  <c r="AB1981" i="2"/>
  <c r="Z1981" i="2"/>
  <c r="Y1981" i="2"/>
  <c r="X1981" i="2"/>
  <c r="W1981" i="2"/>
  <c r="V1981" i="2"/>
  <c r="U1981" i="2"/>
  <c r="T1981" i="2"/>
  <c r="S1981" i="2"/>
  <c r="R1981" i="2"/>
  <c r="Q1981" i="2"/>
  <c r="P1981" i="2"/>
  <c r="O1981" i="2"/>
  <c r="N1981" i="2"/>
  <c r="M1981" i="2"/>
  <c r="L1981" i="2"/>
  <c r="K1981" i="2"/>
  <c r="H1981" i="2"/>
  <c r="G1981" i="2"/>
  <c r="F1981" i="2"/>
  <c r="E1981" i="2"/>
  <c r="D1981" i="2"/>
  <c r="C1981" i="2"/>
  <c r="B1981" i="2"/>
  <c r="A1981" i="2"/>
  <c r="AG1980" i="2"/>
  <c r="AD1980" i="2"/>
  <c r="AC1980" i="2"/>
  <c r="AB1980" i="2"/>
  <c r="Z1980" i="2"/>
  <c r="X1980" i="2"/>
  <c r="W1980" i="2"/>
  <c r="V1980" i="2"/>
  <c r="T1980" i="2"/>
  <c r="S1980" i="2"/>
  <c r="R1980" i="2"/>
  <c r="Q1980" i="2"/>
  <c r="P1980" i="2"/>
  <c r="O1980" i="2"/>
  <c r="N1980" i="2"/>
  <c r="M1980" i="2"/>
  <c r="L1980" i="2"/>
  <c r="K1980" i="2"/>
  <c r="H1980" i="2"/>
  <c r="G1980" i="2"/>
  <c r="F1980" i="2"/>
  <c r="E1980" i="2"/>
  <c r="D1980" i="2"/>
  <c r="C1980" i="2"/>
  <c r="B1980" i="2"/>
  <c r="A1980" i="2"/>
  <c r="AG1979" i="2"/>
  <c r="AF1979" i="2"/>
  <c r="AE1979" i="2"/>
  <c r="AD1979" i="2"/>
  <c r="AC1979" i="2"/>
  <c r="AB1979" i="2"/>
  <c r="Z1979" i="2"/>
  <c r="Y1979" i="2"/>
  <c r="X1979" i="2"/>
  <c r="W1979" i="2"/>
  <c r="V1979" i="2"/>
  <c r="R1979" i="2"/>
  <c r="Q1979" i="2"/>
  <c r="P1979" i="2"/>
  <c r="O1979" i="2"/>
  <c r="N1979" i="2"/>
  <c r="M1979" i="2"/>
  <c r="L1979" i="2"/>
  <c r="K1979" i="2"/>
  <c r="H1979" i="2"/>
  <c r="G1979" i="2"/>
  <c r="F1979" i="2"/>
  <c r="E1979" i="2"/>
  <c r="D1979" i="2"/>
  <c r="C1979" i="2"/>
  <c r="B1979" i="2"/>
  <c r="A1979" i="2"/>
  <c r="AG1978" i="2"/>
  <c r="AF1978" i="2"/>
  <c r="AE1978" i="2"/>
  <c r="AD1978" i="2"/>
  <c r="AC1978" i="2"/>
  <c r="AB1978" i="2"/>
  <c r="Z1978" i="2"/>
  <c r="X1978" i="2"/>
  <c r="W1978" i="2"/>
  <c r="V1978" i="2"/>
  <c r="S1978" i="2"/>
  <c r="R1978" i="2"/>
  <c r="Q1978" i="2"/>
  <c r="P1978" i="2"/>
  <c r="O1978" i="2"/>
  <c r="N1978" i="2"/>
  <c r="M1978" i="2"/>
  <c r="L1978" i="2"/>
  <c r="K1978" i="2"/>
  <c r="H1978" i="2"/>
  <c r="G1978" i="2"/>
  <c r="F1978" i="2"/>
  <c r="E1978" i="2"/>
  <c r="D1978" i="2"/>
  <c r="C1978" i="2"/>
  <c r="B1978" i="2"/>
  <c r="A1978" i="2"/>
  <c r="AH1977" i="2"/>
  <c r="AG1977" i="2"/>
  <c r="AD1977" i="2"/>
  <c r="AC1977" i="2"/>
  <c r="AB1977" i="2"/>
  <c r="Z1977" i="2"/>
  <c r="Y1977" i="2"/>
  <c r="X1977" i="2"/>
  <c r="W1977" i="2"/>
  <c r="V1977" i="2"/>
  <c r="U1977" i="2"/>
  <c r="T1977" i="2"/>
  <c r="S1977" i="2"/>
  <c r="R1977" i="2"/>
  <c r="Q1977" i="2"/>
  <c r="P1977" i="2"/>
  <c r="O1977" i="2"/>
  <c r="N1977" i="2"/>
  <c r="M1977" i="2"/>
  <c r="L1977" i="2"/>
  <c r="K1977" i="2"/>
  <c r="H1977" i="2"/>
  <c r="G1977" i="2"/>
  <c r="F1977" i="2"/>
  <c r="E1977" i="2"/>
  <c r="D1977" i="2"/>
  <c r="C1977" i="2"/>
  <c r="B1977" i="2"/>
  <c r="A1977" i="2"/>
  <c r="AG1976" i="2"/>
  <c r="AD1976" i="2"/>
  <c r="AC1976" i="2"/>
  <c r="AB1976" i="2"/>
  <c r="Z1976" i="2"/>
  <c r="Y1976" i="2"/>
  <c r="X1976" i="2"/>
  <c r="W1976" i="2"/>
  <c r="V1976" i="2"/>
  <c r="R1976" i="2"/>
  <c r="Q1976" i="2"/>
  <c r="P1976" i="2"/>
  <c r="O1976" i="2"/>
  <c r="N1976" i="2"/>
  <c r="M1976" i="2"/>
  <c r="L1976" i="2"/>
  <c r="K1976" i="2"/>
  <c r="H1976" i="2"/>
  <c r="G1976" i="2"/>
  <c r="F1976" i="2"/>
  <c r="E1976" i="2"/>
  <c r="D1976" i="2"/>
  <c r="C1976" i="2"/>
  <c r="B1976" i="2"/>
  <c r="A1976" i="2"/>
  <c r="AG1975" i="2"/>
  <c r="AF1975" i="2"/>
  <c r="AE1975" i="2"/>
  <c r="AD1975" i="2"/>
  <c r="AC1975" i="2"/>
  <c r="AB1975" i="2"/>
  <c r="Z1975" i="2"/>
  <c r="Y1975" i="2"/>
  <c r="X1975" i="2"/>
  <c r="W1975" i="2"/>
  <c r="V1975" i="2"/>
  <c r="U1975" i="2"/>
  <c r="R1975" i="2"/>
  <c r="Q1975" i="2"/>
  <c r="P1975" i="2"/>
  <c r="O1975" i="2"/>
  <c r="N1975" i="2"/>
  <c r="M1975" i="2"/>
  <c r="L1975" i="2"/>
  <c r="K1975" i="2"/>
  <c r="H1975" i="2"/>
  <c r="G1975" i="2"/>
  <c r="F1975" i="2"/>
  <c r="E1975" i="2"/>
  <c r="D1975" i="2"/>
  <c r="C1975" i="2"/>
  <c r="B1975" i="2"/>
  <c r="A1975" i="2"/>
  <c r="AG1974" i="2"/>
  <c r="AF1974" i="2"/>
  <c r="AE1974" i="2"/>
  <c r="AD1974" i="2"/>
  <c r="AC1974" i="2"/>
  <c r="AB1974" i="2"/>
  <c r="Z1974" i="2"/>
  <c r="Y1974" i="2"/>
  <c r="X1974" i="2"/>
  <c r="W1974" i="2"/>
  <c r="V1974" i="2"/>
  <c r="U1974" i="2"/>
  <c r="T1974" i="2"/>
  <c r="S1974" i="2"/>
  <c r="R1974" i="2"/>
  <c r="Q1974" i="2"/>
  <c r="P1974" i="2"/>
  <c r="O1974" i="2"/>
  <c r="N1974" i="2"/>
  <c r="M1974" i="2"/>
  <c r="L1974" i="2"/>
  <c r="K1974" i="2"/>
  <c r="H1974" i="2"/>
  <c r="G1974" i="2"/>
  <c r="F1974" i="2"/>
  <c r="E1974" i="2"/>
  <c r="D1974" i="2"/>
  <c r="C1974" i="2"/>
  <c r="B1974" i="2"/>
  <c r="A1974" i="2"/>
  <c r="AH1973" i="2"/>
  <c r="AG1973" i="2"/>
  <c r="AF1973" i="2"/>
  <c r="AD1973" i="2"/>
  <c r="AC1973" i="2"/>
  <c r="AB1973" i="2"/>
  <c r="Z1973" i="2"/>
  <c r="X1973" i="2"/>
  <c r="W1973" i="2"/>
  <c r="V1973" i="2"/>
  <c r="U1973" i="2"/>
  <c r="R1973" i="2"/>
  <c r="Q1973" i="2"/>
  <c r="P1973" i="2"/>
  <c r="O1973" i="2"/>
  <c r="N1973" i="2"/>
  <c r="M1973" i="2"/>
  <c r="L1973" i="2"/>
  <c r="K1973" i="2"/>
  <c r="H1973" i="2"/>
  <c r="G1973" i="2"/>
  <c r="F1973" i="2"/>
  <c r="E1973" i="2"/>
  <c r="D1973" i="2"/>
  <c r="C1973" i="2"/>
  <c r="B1973" i="2"/>
  <c r="A1973" i="2"/>
  <c r="AG1972" i="2"/>
  <c r="AF1972" i="2"/>
  <c r="AD1972" i="2"/>
  <c r="AC1972" i="2"/>
  <c r="AB1972" i="2"/>
  <c r="Z1972" i="2"/>
  <c r="Y1972" i="2"/>
  <c r="X1972" i="2"/>
  <c r="W1972" i="2"/>
  <c r="V1972" i="2"/>
  <c r="U1972" i="2"/>
  <c r="T1972" i="2"/>
  <c r="S1972" i="2"/>
  <c r="R1972" i="2"/>
  <c r="Q1972" i="2"/>
  <c r="P1972" i="2"/>
  <c r="O1972" i="2"/>
  <c r="N1972" i="2"/>
  <c r="M1972" i="2"/>
  <c r="L1972" i="2"/>
  <c r="K1972" i="2"/>
  <c r="H1972" i="2"/>
  <c r="G1972" i="2"/>
  <c r="F1972" i="2"/>
  <c r="E1972" i="2"/>
  <c r="D1972" i="2"/>
  <c r="C1972" i="2"/>
  <c r="B1972" i="2"/>
  <c r="A1972" i="2"/>
  <c r="AG1971" i="2"/>
  <c r="AF1971" i="2"/>
  <c r="AE1971" i="2"/>
  <c r="AD1971" i="2"/>
  <c r="AC1971" i="2"/>
  <c r="AB1971" i="2"/>
  <c r="Z1971" i="2"/>
  <c r="Y1971" i="2"/>
  <c r="X1971" i="2"/>
  <c r="W1971" i="2"/>
  <c r="V1971" i="2"/>
  <c r="U1971" i="2"/>
  <c r="T1971" i="2"/>
  <c r="S1971" i="2"/>
  <c r="R1971" i="2"/>
  <c r="Q1971" i="2"/>
  <c r="P1971" i="2"/>
  <c r="O1971" i="2"/>
  <c r="N1971" i="2"/>
  <c r="M1971" i="2"/>
  <c r="L1971" i="2"/>
  <c r="K1971" i="2"/>
  <c r="H1971" i="2"/>
  <c r="G1971" i="2"/>
  <c r="F1971" i="2"/>
  <c r="E1971" i="2"/>
  <c r="D1971" i="2"/>
  <c r="C1971" i="2"/>
  <c r="B1971" i="2"/>
  <c r="A1971" i="2"/>
  <c r="AH1970" i="2"/>
  <c r="AG1970" i="2"/>
  <c r="AF1970" i="2"/>
  <c r="AE1970" i="2"/>
  <c r="AD1970" i="2"/>
  <c r="AC1970" i="2"/>
  <c r="AB1970" i="2"/>
  <c r="Z1970" i="2"/>
  <c r="Y1970" i="2"/>
  <c r="X1970" i="2"/>
  <c r="W1970" i="2"/>
  <c r="V1970" i="2"/>
  <c r="U1970" i="2"/>
  <c r="T1970" i="2"/>
  <c r="S1970" i="2"/>
  <c r="R1970" i="2"/>
  <c r="Q1970" i="2"/>
  <c r="P1970" i="2"/>
  <c r="O1970" i="2"/>
  <c r="N1970" i="2"/>
  <c r="M1970" i="2"/>
  <c r="L1970" i="2"/>
  <c r="K1970" i="2"/>
  <c r="H1970" i="2"/>
  <c r="G1970" i="2"/>
  <c r="F1970" i="2"/>
  <c r="E1970" i="2"/>
  <c r="D1970" i="2"/>
  <c r="C1970" i="2"/>
  <c r="B1970" i="2"/>
  <c r="A1970" i="2"/>
  <c r="AG1969" i="2"/>
  <c r="AF1969" i="2"/>
  <c r="AE1969" i="2"/>
  <c r="AD1969" i="2"/>
  <c r="AC1969" i="2"/>
  <c r="AB1969" i="2"/>
  <c r="Y1969" i="2"/>
  <c r="X1969" i="2"/>
  <c r="W1969" i="2"/>
  <c r="V1969" i="2"/>
  <c r="U1969" i="2"/>
  <c r="S1969" i="2"/>
  <c r="R1969" i="2"/>
  <c r="Q1969" i="2"/>
  <c r="P1969" i="2"/>
  <c r="O1969" i="2"/>
  <c r="N1969" i="2"/>
  <c r="M1969" i="2"/>
  <c r="L1969" i="2"/>
  <c r="K1969" i="2"/>
  <c r="H1969" i="2"/>
  <c r="G1969" i="2"/>
  <c r="F1969" i="2"/>
  <c r="E1969" i="2"/>
  <c r="D1969" i="2"/>
  <c r="C1969" i="2"/>
  <c r="B1969" i="2"/>
  <c r="A1969" i="2"/>
  <c r="AG1968" i="2"/>
  <c r="AF1968" i="2"/>
  <c r="AE1968" i="2"/>
  <c r="AD1968" i="2"/>
  <c r="AC1968" i="2"/>
  <c r="AB1968" i="2"/>
  <c r="Y1968" i="2"/>
  <c r="X1968" i="2"/>
  <c r="W1968" i="2"/>
  <c r="V1968" i="2"/>
  <c r="U1968" i="2"/>
  <c r="S1968" i="2"/>
  <c r="R1968" i="2"/>
  <c r="Q1968" i="2"/>
  <c r="P1968" i="2"/>
  <c r="O1968" i="2"/>
  <c r="N1968" i="2"/>
  <c r="M1968" i="2"/>
  <c r="L1968" i="2"/>
  <c r="K1968" i="2"/>
  <c r="H1968" i="2"/>
  <c r="G1968" i="2"/>
  <c r="F1968" i="2"/>
  <c r="E1968" i="2"/>
  <c r="D1968" i="2"/>
  <c r="C1968" i="2"/>
  <c r="B1968" i="2"/>
  <c r="A1968" i="2"/>
  <c r="AD1967" i="2"/>
  <c r="AC1967" i="2"/>
  <c r="AB1967" i="2"/>
  <c r="Z1967" i="2"/>
  <c r="Y1967" i="2"/>
  <c r="X1967" i="2"/>
  <c r="W1967" i="2"/>
  <c r="V1967" i="2"/>
  <c r="U1967" i="2"/>
  <c r="T1967" i="2"/>
  <c r="S1967" i="2"/>
  <c r="R1967" i="2"/>
  <c r="Q1967" i="2"/>
  <c r="P1967" i="2"/>
  <c r="O1967" i="2"/>
  <c r="N1967" i="2"/>
  <c r="M1967" i="2"/>
  <c r="L1967" i="2"/>
  <c r="K1967" i="2"/>
  <c r="H1967" i="2"/>
  <c r="G1967" i="2"/>
  <c r="F1967" i="2"/>
  <c r="E1967" i="2"/>
  <c r="D1967" i="2"/>
  <c r="C1967" i="2"/>
  <c r="B1967" i="2"/>
  <c r="A1967" i="2"/>
  <c r="AG1966" i="2"/>
  <c r="AF1966" i="2"/>
  <c r="AE1966" i="2"/>
  <c r="AD1966" i="2"/>
  <c r="AC1966" i="2"/>
  <c r="AB1966" i="2"/>
  <c r="Z1966" i="2"/>
  <c r="Y1966" i="2"/>
  <c r="X1966" i="2"/>
  <c r="W1966" i="2"/>
  <c r="V1966" i="2"/>
  <c r="U1966" i="2"/>
  <c r="S1966" i="2"/>
  <c r="R1966" i="2"/>
  <c r="Q1966" i="2"/>
  <c r="P1966" i="2"/>
  <c r="O1966" i="2"/>
  <c r="N1966" i="2"/>
  <c r="M1966" i="2"/>
  <c r="L1966" i="2"/>
  <c r="K1966" i="2"/>
  <c r="H1966" i="2"/>
  <c r="G1966" i="2"/>
  <c r="F1966" i="2"/>
  <c r="E1966" i="2"/>
  <c r="D1966" i="2"/>
  <c r="C1966" i="2"/>
  <c r="B1966" i="2"/>
  <c r="A1966" i="2"/>
  <c r="AH1965" i="2"/>
  <c r="AG1965" i="2"/>
  <c r="AF1965" i="2"/>
  <c r="AD1965" i="2"/>
  <c r="AC1965" i="2"/>
  <c r="AB1965" i="2"/>
  <c r="Z1965" i="2"/>
  <c r="X1965" i="2"/>
  <c r="W1965" i="2"/>
  <c r="V1965" i="2"/>
  <c r="U1965" i="2"/>
  <c r="T1965" i="2"/>
  <c r="S1965" i="2"/>
  <c r="R1965" i="2"/>
  <c r="Q1965" i="2"/>
  <c r="P1965" i="2"/>
  <c r="O1965" i="2"/>
  <c r="N1965" i="2"/>
  <c r="M1965" i="2"/>
  <c r="L1965" i="2"/>
  <c r="K1965" i="2"/>
  <c r="H1965" i="2"/>
  <c r="G1965" i="2"/>
  <c r="F1965" i="2"/>
  <c r="E1965" i="2"/>
  <c r="D1965" i="2"/>
  <c r="C1965" i="2"/>
  <c r="B1965" i="2"/>
  <c r="A1965" i="2"/>
  <c r="AH1964" i="2"/>
  <c r="AG1964" i="2"/>
  <c r="AF1964" i="2"/>
  <c r="AE1964" i="2"/>
  <c r="AD1964" i="2"/>
  <c r="AC1964" i="2"/>
  <c r="AB1964" i="2"/>
  <c r="Z1964" i="2"/>
  <c r="Y1964" i="2"/>
  <c r="X1964" i="2"/>
  <c r="W1964" i="2"/>
  <c r="V1964" i="2"/>
  <c r="U1964" i="2"/>
  <c r="T1964" i="2"/>
  <c r="S1964" i="2"/>
  <c r="R1964" i="2"/>
  <c r="Q1964" i="2"/>
  <c r="P1964" i="2"/>
  <c r="O1964" i="2"/>
  <c r="N1964" i="2"/>
  <c r="M1964" i="2"/>
  <c r="L1964" i="2"/>
  <c r="K1964" i="2"/>
  <c r="J1964" i="2"/>
  <c r="H1964" i="2"/>
  <c r="G1964" i="2"/>
  <c r="F1964" i="2"/>
  <c r="E1964" i="2"/>
  <c r="D1964" i="2"/>
  <c r="C1964" i="2"/>
  <c r="B1964" i="2"/>
  <c r="A1964" i="2"/>
  <c r="AH1963" i="2"/>
  <c r="AD1963" i="2"/>
  <c r="AC1963" i="2"/>
  <c r="AB1963" i="2"/>
  <c r="Z1963" i="2"/>
  <c r="X1963" i="2"/>
  <c r="W1963" i="2"/>
  <c r="V1963" i="2"/>
  <c r="U1963" i="2"/>
  <c r="S1963" i="2"/>
  <c r="R1963" i="2"/>
  <c r="Q1963" i="2"/>
  <c r="P1963" i="2"/>
  <c r="O1963" i="2"/>
  <c r="N1963" i="2"/>
  <c r="M1963" i="2"/>
  <c r="L1963" i="2"/>
  <c r="K1963" i="2"/>
  <c r="H1963" i="2"/>
  <c r="G1963" i="2"/>
  <c r="F1963" i="2"/>
  <c r="E1963" i="2"/>
  <c r="D1963" i="2"/>
  <c r="C1963" i="2"/>
  <c r="B1963" i="2"/>
  <c r="A1963" i="2"/>
  <c r="AG1962" i="2"/>
  <c r="AF1962" i="2"/>
  <c r="AE1962" i="2"/>
  <c r="AD1962" i="2"/>
  <c r="AC1962" i="2"/>
  <c r="AB1962" i="2"/>
  <c r="Z1962" i="2"/>
  <c r="Y1962" i="2"/>
  <c r="X1962" i="2"/>
  <c r="W1962" i="2"/>
  <c r="V1962" i="2"/>
  <c r="U1962" i="2"/>
  <c r="S1962" i="2"/>
  <c r="R1962" i="2"/>
  <c r="Q1962" i="2"/>
  <c r="P1962" i="2"/>
  <c r="O1962" i="2"/>
  <c r="N1962" i="2"/>
  <c r="M1962" i="2"/>
  <c r="L1962" i="2"/>
  <c r="K1962" i="2"/>
  <c r="H1962" i="2"/>
  <c r="G1962" i="2"/>
  <c r="F1962" i="2"/>
  <c r="E1962" i="2"/>
  <c r="D1962" i="2"/>
  <c r="C1962" i="2"/>
  <c r="B1962" i="2"/>
  <c r="A1962" i="2"/>
  <c r="AG1961" i="2"/>
  <c r="AF1961" i="2"/>
  <c r="AE1961" i="2"/>
  <c r="AD1961" i="2"/>
  <c r="AC1961" i="2"/>
  <c r="AB1961" i="2"/>
  <c r="Z1961" i="2"/>
  <c r="Y1961" i="2"/>
  <c r="X1961" i="2"/>
  <c r="W1961" i="2"/>
  <c r="V1961" i="2"/>
  <c r="U1961" i="2"/>
  <c r="S1961" i="2"/>
  <c r="R1961" i="2"/>
  <c r="Q1961" i="2"/>
  <c r="P1961" i="2"/>
  <c r="O1961" i="2"/>
  <c r="N1961" i="2"/>
  <c r="M1961" i="2"/>
  <c r="L1961" i="2"/>
  <c r="K1961" i="2"/>
  <c r="H1961" i="2"/>
  <c r="G1961" i="2"/>
  <c r="F1961" i="2"/>
  <c r="E1961" i="2"/>
  <c r="D1961" i="2"/>
  <c r="C1961" i="2"/>
  <c r="B1961" i="2"/>
  <c r="A1961" i="2"/>
  <c r="AG1960" i="2"/>
  <c r="AF1960" i="2"/>
  <c r="AE1960" i="2"/>
  <c r="AD1960" i="2"/>
  <c r="AC1960" i="2"/>
  <c r="AB1960" i="2"/>
  <c r="Z1960" i="2"/>
  <c r="Y1960" i="2"/>
  <c r="X1960" i="2"/>
  <c r="W1960" i="2"/>
  <c r="V1960" i="2"/>
  <c r="U1960" i="2"/>
  <c r="S1960" i="2"/>
  <c r="R1960" i="2"/>
  <c r="Q1960" i="2"/>
  <c r="P1960" i="2"/>
  <c r="O1960" i="2"/>
  <c r="N1960" i="2"/>
  <c r="M1960" i="2"/>
  <c r="L1960" i="2"/>
  <c r="K1960" i="2"/>
  <c r="H1960" i="2"/>
  <c r="G1960" i="2"/>
  <c r="F1960" i="2"/>
  <c r="E1960" i="2"/>
  <c r="D1960" i="2"/>
  <c r="C1960" i="2"/>
  <c r="B1960" i="2"/>
  <c r="A1960" i="2"/>
  <c r="AG1959" i="2"/>
  <c r="AF1959" i="2"/>
  <c r="AE1959" i="2"/>
  <c r="AD1959" i="2"/>
  <c r="AC1959" i="2"/>
  <c r="AB1959" i="2"/>
  <c r="Z1959" i="2"/>
  <c r="Y1959" i="2"/>
  <c r="X1959" i="2"/>
  <c r="W1959" i="2"/>
  <c r="V1959" i="2"/>
  <c r="U1959" i="2"/>
  <c r="T1959" i="2"/>
  <c r="S1959" i="2"/>
  <c r="R1959" i="2"/>
  <c r="Q1959" i="2"/>
  <c r="P1959" i="2"/>
  <c r="O1959" i="2"/>
  <c r="N1959" i="2"/>
  <c r="M1959" i="2"/>
  <c r="L1959" i="2"/>
  <c r="K1959" i="2"/>
  <c r="H1959" i="2"/>
  <c r="G1959" i="2"/>
  <c r="F1959" i="2"/>
  <c r="E1959" i="2"/>
  <c r="D1959" i="2"/>
  <c r="C1959" i="2"/>
  <c r="B1959" i="2"/>
  <c r="A1959" i="2"/>
  <c r="AG1958" i="2"/>
  <c r="AF1958" i="2"/>
  <c r="AE1958" i="2"/>
  <c r="AD1958" i="2"/>
  <c r="AC1958" i="2"/>
  <c r="AB1958" i="2"/>
  <c r="Z1958" i="2"/>
  <c r="Y1958" i="2"/>
  <c r="X1958" i="2"/>
  <c r="W1958" i="2"/>
  <c r="V1958" i="2"/>
  <c r="U1958" i="2"/>
  <c r="T1958" i="2"/>
  <c r="S1958" i="2"/>
  <c r="R1958" i="2"/>
  <c r="Q1958" i="2"/>
  <c r="P1958" i="2"/>
  <c r="O1958" i="2"/>
  <c r="N1958" i="2"/>
  <c r="M1958" i="2"/>
  <c r="L1958" i="2"/>
  <c r="K1958" i="2"/>
  <c r="H1958" i="2"/>
  <c r="G1958" i="2"/>
  <c r="F1958" i="2"/>
  <c r="E1958" i="2"/>
  <c r="D1958" i="2"/>
  <c r="C1958" i="2"/>
  <c r="B1958" i="2"/>
  <c r="A1958" i="2"/>
  <c r="AG1957" i="2"/>
  <c r="AF1957" i="2"/>
  <c r="AE1957" i="2"/>
  <c r="AD1957" i="2"/>
  <c r="AC1957" i="2"/>
  <c r="AB1957" i="2"/>
  <c r="Z1957" i="2"/>
  <c r="Y1957" i="2"/>
  <c r="X1957" i="2"/>
  <c r="W1957" i="2"/>
  <c r="V1957" i="2"/>
  <c r="U1957" i="2"/>
  <c r="R1957" i="2"/>
  <c r="Q1957" i="2"/>
  <c r="P1957" i="2"/>
  <c r="O1957" i="2"/>
  <c r="N1957" i="2"/>
  <c r="M1957" i="2"/>
  <c r="L1957" i="2"/>
  <c r="K1957" i="2"/>
  <c r="H1957" i="2"/>
  <c r="G1957" i="2"/>
  <c r="F1957" i="2"/>
  <c r="E1957" i="2"/>
  <c r="D1957" i="2"/>
  <c r="C1957" i="2"/>
  <c r="B1957" i="2"/>
  <c r="A1957" i="2"/>
  <c r="AH1956" i="2"/>
  <c r="AG1956" i="2"/>
  <c r="AF1956" i="2"/>
  <c r="AE1956" i="2"/>
  <c r="AD1956" i="2"/>
  <c r="AC1956" i="2"/>
  <c r="AB1956" i="2"/>
  <c r="Z1956" i="2"/>
  <c r="Y1956" i="2"/>
  <c r="X1956" i="2"/>
  <c r="W1956" i="2"/>
  <c r="V1956" i="2"/>
  <c r="U1956" i="2"/>
  <c r="T1956" i="2"/>
  <c r="S1956" i="2"/>
  <c r="R1956" i="2"/>
  <c r="Q1956" i="2"/>
  <c r="P1956" i="2"/>
  <c r="O1956" i="2"/>
  <c r="N1956" i="2"/>
  <c r="M1956" i="2"/>
  <c r="L1956" i="2"/>
  <c r="K1956" i="2"/>
  <c r="H1956" i="2"/>
  <c r="G1956" i="2"/>
  <c r="F1956" i="2"/>
  <c r="E1956" i="2"/>
  <c r="D1956" i="2"/>
  <c r="C1956" i="2"/>
  <c r="B1956" i="2"/>
  <c r="A1956" i="2"/>
  <c r="AH1954" i="2"/>
  <c r="AG1954" i="2"/>
  <c r="AF1954" i="2"/>
  <c r="AE1954" i="2"/>
  <c r="AD1954" i="2"/>
  <c r="AC1954" i="2"/>
  <c r="AB1954" i="2"/>
  <c r="Z1954" i="2"/>
  <c r="Y1954" i="2"/>
  <c r="X1954" i="2"/>
  <c r="W1954" i="2"/>
  <c r="V1954" i="2"/>
  <c r="U1954" i="2"/>
  <c r="S1954" i="2"/>
  <c r="R1954" i="2"/>
  <c r="Q1954" i="2"/>
  <c r="P1954" i="2"/>
  <c r="O1954" i="2"/>
  <c r="N1954" i="2"/>
  <c r="M1954" i="2"/>
  <c r="L1954" i="2"/>
  <c r="K1954" i="2"/>
  <c r="J1954" i="2"/>
  <c r="I1954" i="2"/>
  <c r="H1954" i="2"/>
  <c r="G1954" i="2"/>
  <c r="F1954" i="2"/>
  <c r="E1954" i="2"/>
  <c r="D1954" i="2"/>
  <c r="C1954" i="2"/>
  <c r="B1954" i="2"/>
  <c r="A1954" i="2"/>
  <c r="AG1953" i="2"/>
  <c r="AF1953" i="2"/>
  <c r="AE1953" i="2"/>
  <c r="AD1953" i="2"/>
  <c r="AC1953" i="2"/>
  <c r="AB1953" i="2"/>
  <c r="Z1953" i="2"/>
  <c r="Y1953" i="2"/>
  <c r="X1953" i="2"/>
  <c r="W1953" i="2"/>
  <c r="V1953" i="2"/>
  <c r="U1953" i="2"/>
  <c r="T1953" i="2"/>
  <c r="S1953" i="2"/>
  <c r="R1953" i="2"/>
  <c r="Q1953" i="2"/>
  <c r="P1953" i="2"/>
  <c r="O1953" i="2"/>
  <c r="N1953" i="2"/>
  <c r="M1953" i="2"/>
  <c r="L1953" i="2"/>
  <c r="K1953" i="2"/>
  <c r="H1953" i="2"/>
  <c r="G1953" i="2"/>
  <c r="F1953" i="2"/>
  <c r="E1953" i="2"/>
  <c r="D1953" i="2"/>
  <c r="C1953" i="2"/>
  <c r="B1953" i="2"/>
  <c r="A1953" i="2"/>
  <c r="AG1952" i="2"/>
  <c r="AF1952" i="2"/>
  <c r="AE1952" i="2"/>
  <c r="AD1952" i="2"/>
  <c r="AC1952" i="2"/>
  <c r="AB1952" i="2"/>
  <c r="Z1952" i="2"/>
  <c r="Y1952" i="2"/>
  <c r="X1952" i="2"/>
  <c r="W1952" i="2"/>
  <c r="V1952" i="2"/>
  <c r="U1952" i="2"/>
  <c r="T1952" i="2"/>
  <c r="S1952" i="2"/>
  <c r="R1952" i="2"/>
  <c r="Q1952" i="2"/>
  <c r="P1952" i="2"/>
  <c r="O1952" i="2"/>
  <c r="N1952" i="2"/>
  <c r="M1952" i="2"/>
  <c r="L1952" i="2"/>
  <c r="K1952" i="2"/>
  <c r="H1952" i="2"/>
  <c r="G1952" i="2"/>
  <c r="F1952" i="2"/>
  <c r="E1952" i="2"/>
  <c r="D1952" i="2"/>
  <c r="C1952" i="2"/>
  <c r="B1952" i="2"/>
  <c r="A1952" i="2"/>
  <c r="AG1951" i="2"/>
  <c r="AF1951" i="2"/>
  <c r="AE1951" i="2"/>
  <c r="AD1951" i="2"/>
  <c r="AC1951" i="2"/>
  <c r="AB1951" i="2"/>
  <c r="Y1951" i="2"/>
  <c r="X1951" i="2"/>
  <c r="W1951" i="2"/>
  <c r="V1951" i="2"/>
  <c r="U1951" i="2"/>
  <c r="S1951" i="2"/>
  <c r="R1951" i="2"/>
  <c r="Q1951" i="2"/>
  <c r="P1951" i="2"/>
  <c r="O1951" i="2"/>
  <c r="N1951" i="2"/>
  <c r="M1951" i="2"/>
  <c r="L1951" i="2"/>
  <c r="K1951" i="2"/>
  <c r="H1951" i="2"/>
  <c r="G1951" i="2"/>
  <c r="F1951" i="2"/>
  <c r="E1951" i="2"/>
  <c r="D1951" i="2"/>
  <c r="C1951" i="2"/>
  <c r="B1951" i="2"/>
  <c r="A1951" i="2"/>
  <c r="AG1950" i="2"/>
  <c r="AF1950" i="2"/>
  <c r="AE1950" i="2"/>
  <c r="AD1950" i="2"/>
  <c r="AC1950" i="2"/>
  <c r="AB1950" i="2"/>
  <c r="Z1950" i="2"/>
  <c r="Y1950" i="2"/>
  <c r="X1950" i="2"/>
  <c r="W1950" i="2"/>
  <c r="V1950" i="2"/>
  <c r="U1950" i="2"/>
  <c r="S1950" i="2"/>
  <c r="R1950" i="2"/>
  <c r="Q1950" i="2"/>
  <c r="P1950" i="2"/>
  <c r="O1950" i="2"/>
  <c r="N1950" i="2"/>
  <c r="M1950" i="2"/>
  <c r="L1950" i="2"/>
  <c r="K1950" i="2"/>
  <c r="H1950" i="2"/>
  <c r="G1950" i="2"/>
  <c r="F1950" i="2"/>
  <c r="E1950" i="2"/>
  <c r="D1950" i="2"/>
  <c r="C1950" i="2"/>
  <c r="B1950" i="2"/>
  <c r="A1950" i="2"/>
  <c r="AG1949" i="2"/>
  <c r="AF1949" i="2"/>
  <c r="AE1949" i="2"/>
  <c r="AD1949" i="2"/>
  <c r="AC1949" i="2"/>
  <c r="AB1949" i="2"/>
  <c r="Z1949" i="2"/>
  <c r="Y1949" i="2"/>
  <c r="X1949" i="2"/>
  <c r="W1949" i="2"/>
  <c r="V1949" i="2"/>
  <c r="U1949" i="2"/>
  <c r="T1949" i="2"/>
  <c r="S1949" i="2"/>
  <c r="R1949" i="2"/>
  <c r="Q1949" i="2"/>
  <c r="P1949" i="2"/>
  <c r="O1949" i="2"/>
  <c r="N1949" i="2"/>
  <c r="M1949" i="2"/>
  <c r="L1949" i="2"/>
  <c r="K1949" i="2"/>
  <c r="H1949" i="2"/>
  <c r="G1949" i="2"/>
  <c r="F1949" i="2"/>
  <c r="E1949" i="2"/>
  <c r="D1949" i="2"/>
  <c r="C1949" i="2"/>
  <c r="B1949" i="2"/>
  <c r="A1949" i="2"/>
  <c r="AG1948" i="2"/>
  <c r="AF1948" i="2"/>
  <c r="AE1948" i="2"/>
  <c r="AD1948" i="2"/>
  <c r="AC1948" i="2"/>
  <c r="AB1948" i="2"/>
  <c r="Z1948" i="2"/>
  <c r="Y1948" i="2"/>
  <c r="X1948" i="2"/>
  <c r="W1948" i="2"/>
  <c r="V1948" i="2"/>
  <c r="U1948" i="2"/>
  <c r="S1948" i="2"/>
  <c r="R1948" i="2"/>
  <c r="Q1948" i="2"/>
  <c r="P1948" i="2"/>
  <c r="O1948" i="2"/>
  <c r="N1948" i="2"/>
  <c r="M1948" i="2"/>
  <c r="L1948" i="2"/>
  <c r="K1948" i="2"/>
  <c r="H1948" i="2"/>
  <c r="G1948" i="2"/>
  <c r="F1948" i="2"/>
  <c r="E1948" i="2"/>
  <c r="D1948" i="2"/>
  <c r="C1948" i="2"/>
  <c r="B1948" i="2"/>
  <c r="A1948" i="2"/>
  <c r="AG1947" i="2"/>
  <c r="AF1947" i="2"/>
  <c r="AE1947" i="2"/>
  <c r="AD1947" i="2"/>
  <c r="AC1947" i="2"/>
  <c r="AB1947" i="2"/>
  <c r="AA1947" i="2"/>
  <c r="Z1947" i="2"/>
  <c r="Y1947" i="2"/>
  <c r="X1947" i="2"/>
  <c r="W1947" i="2"/>
  <c r="V1947" i="2"/>
  <c r="U1947" i="2"/>
  <c r="T1947" i="2"/>
  <c r="S1947" i="2"/>
  <c r="R1947" i="2"/>
  <c r="Q1947" i="2"/>
  <c r="P1947" i="2"/>
  <c r="O1947" i="2"/>
  <c r="N1947" i="2"/>
  <c r="M1947" i="2"/>
  <c r="L1947" i="2"/>
  <c r="K1947" i="2"/>
  <c r="H1947" i="2"/>
  <c r="G1947" i="2"/>
  <c r="F1947" i="2"/>
  <c r="E1947" i="2"/>
  <c r="D1947" i="2"/>
  <c r="C1947" i="2"/>
  <c r="B1947" i="2"/>
  <c r="A1947" i="2"/>
  <c r="AG1946" i="2"/>
  <c r="AF1946" i="2"/>
  <c r="AE1946" i="2"/>
  <c r="AD1946" i="2"/>
  <c r="AC1946" i="2"/>
  <c r="AB1946" i="2"/>
  <c r="AA1946" i="2"/>
  <c r="Z1946" i="2"/>
  <c r="Y1946" i="2"/>
  <c r="X1946" i="2"/>
  <c r="W1946" i="2"/>
  <c r="V1946" i="2"/>
  <c r="U1946" i="2"/>
  <c r="S1946" i="2"/>
  <c r="R1946" i="2"/>
  <c r="Q1946" i="2"/>
  <c r="P1946" i="2"/>
  <c r="O1946" i="2"/>
  <c r="N1946" i="2"/>
  <c r="M1946" i="2"/>
  <c r="L1946" i="2"/>
  <c r="K1946" i="2"/>
  <c r="H1946" i="2"/>
  <c r="G1946" i="2"/>
  <c r="F1946" i="2"/>
  <c r="E1946" i="2"/>
  <c r="D1946" i="2"/>
  <c r="C1946" i="2"/>
  <c r="B1946" i="2"/>
  <c r="A1946" i="2"/>
  <c r="AG1945" i="2"/>
  <c r="AF1945" i="2"/>
  <c r="AE1945" i="2"/>
  <c r="AD1945" i="2"/>
  <c r="AC1945" i="2"/>
  <c r="AB1945" i="2"/>
  <c r="Z1945" i="2"/>
  <c r="Y1945" i="2"/>
  <c r="X1945" i="2"/>
  <c r="W1945" i="2"/>
  <c r="V1945" i="2"/>
  <c r="U1945" i="2"/>
  <c r="S1945" i="2"/>
  <c r="R1945" i="2"/>
  <c r="Q1945" i="2"/>
  <c r="P1945" i="2"/>
  <c r="O1945" i="2"/>
  <c r="N1945" i="2"/>
  <c r="M1945" i="2"/>
  <c r="L1945" i="2"/>
  <c r="K1945" i="2"/>
  <c r="H1945" i="2"/>
  <c r="G1945" i="2"/>
  <c r="F1945" i="2"/>
  <c r="E1945" i="2"/>
  <c r="D1945" i="2"/>
  <c r="C1945" i="2"/>
  <c r="B1945" i="2"/>
  <c r="A1945" i="2"/>
  <c r="AF1944" i="2"/>
  <c r="AD1944" i="2"/>
  <c r="AC1944" i="2"/>
  <c r="AB1944" i="2"/>
  <c r="Z1944" i="2"/>
  <c r="Y1944" i="2"/>
  <c r="X1944" i="2"/>
  <c r="W1944" i="2"/>
  <c r="V1944" i="2"/>
  <c r="U1944" i="2"/>
  <c r="S1944" i="2"/>
  <c r="R1944" i="2"/>
  <c r="Q1944" i="2"/>
  <c r="P1944" i="2"/>
  <c r="O1944" i="2"/>
  <c r="N1944" i="2"/>
  <c r="M1944" i="2"/>
  <c r="L1944" i="2"/>
  <c r="K1944" i="2"/>
  <c r="H1944" i="2"/>
  <c r="G1944" i="2"/>
  <c r="F1944" i="2"/>
  <c r="E1944" i="2"/>
  <c r="D1944" i="2"/>
  <c r="C1944" i="2"/>
  <c r="B1944" i="2"/>
  <c r="A1944" i="2"/>
  <c r="AD1943" i="2"/>
  <c r="AC1943" i="2"/>
  <c r="AB1943" i="2"/>
  <c r="Z1943" i="2"/>
  <c r="Y1943" i="2"/>
  <c r="X1943" i="2"/>
  <c r="W1943" i="2"/>
  <c r="V1943" i="2"/>
  <c r="U1943" i="2"/>
  <c r="R1943" i="2"/>
  <c r="Q1943" i="2"/>
  <c r="P1943" i="2"/>
  <c r="N1943" i="2"/>
  <c r="M1943" i="2"/>
  <c r="L1943" i="2"/>
  <c r="K1943" i="2"/>
  <c r="H1943" i="2"/>
  <c r="G1943" i="2"/>
  <c r="F1943" i="2"/>
  <c r="E1943" i="2"/>
  <c r="D1943" i="2"/>
  <c r="C1943" i="2"/>
  <c r="B1943" i="2"/>
  <c r="A1943" i="2"/>
  <c r="AG1942" i="2"/>
  <c r="AF1942" i="2"/>
  <c r="AE1942" i="2"/>
  <c r="AD1942" i="2"/>
  <c r="AC1942" i="2"/>
  <c r="AB1942" i="2"/>
  <c r="AA1942" i="2"/>
  <c r="Z1942" i="2"/>
  <c r="Y1942" i="2"/>
  <c r="X1942" i="2"/>
  <c r="W1942" i="2"/>
  <c r="V1942" i="2"/>
  <c r="U1942" i="2"/>
  <c r="S1942" i="2"/>
  <c r="R1942" i="2"/>
  <c r="Q1942" i="2"/>
  <c r="P1942" i="2"/>
  <c r="O1942" i="2"/>
  <c r="N1942" i="2"/>
  <c r="M1942" i="2"/>
  <c r="L1942" i="2"/>
  <c r="K1942" i="2"/>
  <c r="H1942" i="2"/>
  <c r="G1942" i="2"/>
  <c r="F1942" i="2"/>
  <c r="E1942" i="2"/>
  <c r="D1942" i="2"/>
  <c r="C1942" i="2"/>
  <c r="B1942" i="2"/>
  <c r="A1942" i="2"/>
  <c r="AG1941" i="2"/>
  <c r="AF1941" i="2"/>
  <c r="AE1941" i="2"/>
  <c r="AD1941" i="2"/>
  <c r="AC1941" i="2"/>
  <c r="AB1941" i="2"/>
  <c r="Z1941" i="2"/>
  <c r="Y1941" i="2"/>
  <c r="X1941" i="2"/>
  <c r="W1941" i="2"/>
  <c r="V1941" i="2"/>
  <c r="U1941" i="2"/>
  <c r="S1941" i="2"/>
  <c r="R1941" i="2"/>
  <c r="Q1941" i="2"/>
  <c r="P1941" i="2"/>
  <c r="O1941" i="2"/>
  <c r="N1941" i="2"/>
  <c r="M1941" i="2"/>
  <c r="L1941" i="2"/>
  <c r="K1941" i="2"/>
  <c r="H1941" i="2"/>
  <c r="G1941" i="2"/>
  <c r="F1941" i="2"/>
  <c r="E1941" i="2"/>
  <c r="D1941" i="2"/>
  <c r="C1941" i="2"/>
  <c r="B1941" i="2"/>
  <c r="A1941" i="2"/>
  <c r="AG1940" i="2"/>
  <c r="AF1940" i="2"/>
  <c r="AD1940" i="2"/>
  <c r="AC1940" i="2"/>
  <c r="AB1940" i="2"/>
  <c r="Z1940" i="2"/>
  <c r="Y1940" i="2"/>
  <c r="X1940" i="2"/>
  <c r="W1940" i="2"/>
  <c r="V1940" i="2"/>
  <c r="U1940" i="2"/>
  <c r="T1940" i="2"/>
  <c r="S1940" i="2"/>
  <c r="R1940" i="2"/>
  <c r="Q1940" i="2"/>
  <c r="P1940" i="2"/>
  <c r="O1940" i="2"/>
  <c r="N1940" i="2"/>
  <c r="M1940" i="2"/>
  <c r="L1940" i="2"/>
  <c r="K1940" i="2"/>
  <c r="H1940" i="2"/>
  <c r="G1940" i="2"/>
  <c r="F1940" i="2"/>
  <c r="E1940" i="2"/>
  <c r="D1940" i="2"/>
  <c r="C1940" i="2"/>
  <c r="B1940" i="2"/>
  <c r="A1940" i="2"/>
  <c r="AG1939" i="2"/>
  <c r="AF1939" i="2"/>
  <c r="AD1939" i="2"/>
  <c r="AC1939" i="2"/>
  <c r="AB1939" i="2"/>
  <c r="Z1939" i="2"/>
  <c r="Y1939" i="2"/>
  <c r="X1939" i="2"/>
  <c r="W1939" i="2"/>
  <c r="V1939" i="2"/>
  <c r="U1939" i="2"/>
  <c r="T1939" i="2"/>
  <c r="S1939" i="2"/>
  <c r="R1939" i="2"/>
  <c r="Q1939" i="2"/>
  <c r="P1939" i="2"/>
  <c r="O1939" i="2"/>
  <c r="N1939" i="2"/>
  <c r="M1939" i="2"/>
  <c r="L1939" i="2"/>
  <c r="K1939" i="2"/>
  <c r="H1939" i="2"/>
  <c r="G1939" i="2"/>
  <c r="F1939" i="2"/>
  <c r="E1939" i="2"/>
  <c r="D1939" i="2"/>
  <c r="C1939" i="2"/>
  <c r="B1939" i="2"/>
  <c r="A1939" i="2"/>
  <c r="AG1938" i="2"/>
  <c r="AF1938" i="2"/>
  <c r="AE1938" i="2"/>
  <c r="AD1938" i="2"/>
  <c r="AC1938" i="2"/>
  <c r="AB1938" i="2"/>
  <c r="Z1938" i="2"/>
  <c r="Y1938" i="2"/>
  <c r="X1938" i="2"/>
  <c r="W1938" i="2"/>
  <c r="V1938" i="2"/>
  <c r="U1938" i="2"/>
  <c r="T1938" i="2"/>
  <c r="S1938" i="2"/>
  <c r="R1938" i="2"/>
  <c r="Q1938" i="2"/>
  <c r="P1938" i="2"/>
  <c r="O1938" i="2"/>
  <c r="N1938" i="2"/>
  <c r="M1938" i="2"/>
  <c r="L1938" i="2"/>
  <c r="K1938" i="2"/>
  <c r="H1938" i="2"/>
  <c r="G1938" i="2"/>
  <c r="F1938" i="2"/>
  <c r="E1938" i="2"/>
  <c r="D1938" i="2"/>
  <c r="C1938" i="2"/>
  <c r="B1938" i="2"/>
  <c r="A1938" i="2"/>
  <c r="AG1937" i="2"/>
  <c r="AF1937" i="2"/>
  <c r="AE1937" i="2"/>
  <c r="AD1937" i="2"/>
  <c r="AC1937" i="2"/>
  <c r="AB1937" i="2"/>
  <c r="Y1937" i="2"/>
  <c r="X1937" i="2"/>
  <c r="W1937" i="2"/>
  <c r="V1937" i="2"/>
  <c r="U1937" i="2"/>
  <c r="T1937" i="2"/>
  <c r="S1937" i="2"/>
  <c r="R1937" i="2"/>
  <c r="Q1937" i="2"/>
  <c r="P1937" i="2"/>
  <c r="O1937" i="2"/>
  <c r="N1937" i="2"/>
  <c r="M1937" i="2"/>
  <c r="L1937" i="2"/>
  <c r="K1937" i="2"/>
  <c r="H1937" i="2"/>
  <c r="G1937" i="2"/>
  <c r="F1937" i="2"/>
  <c r="E1937" i="2"/>
  <c r="D1937" i="2"/>
  <c r="C1937" i="2"/>
  <c r="B1937" i="2"/>
  <c r="A1937" i="2"/>
  <c r="AG1936" i="2"/>
  <c r="AF1936" i="2"/>
  <c r="AE1936" i="2"/>
  <c r="AD1936" i="2"/>
  <c r="AC1936" i="2"/>
  <c r="AB1936" i="2"/>
  <c r="Z1936" i="2"/>
  <c r="Y1936" i="2"/>
  <c r="X1936" i="2"/>
  <c r="W1936" i="2"/>
  <c r="V1936" i="2"/>
  <c r="U1936" i="2"/>
  <c r="T1936" i="2"/>
  <c r="S1936" i="2"/>
  <c r="R1936" i="2"/>
  <c r="Q1936" i="2"/>
  <c r="P1936" i="2"/>
  <c r="O1936" i="2"/>
  <c r="N1936" i="2"/>
  <c r="M1936" i="2"/>
  <c r="L1936" i="2"/>
  <c r="K1936" i="2"/>
  <c r="H1936" i="2"/>
  <c r="G1936" i="2"/>
  <c r="F1936" i="2"/>
  <c r="E1936" i="2"/>
  <c r="D1936" i="2"/>
  <c r="C1936" i="2"/>
  <c r="B1936" i="2"/>
  <c r="A1936" i="2"/>
  <c r="AG1935" i="2"/>
  <c r="AF1935" i="2"/>
  <c r="AE1935" i="2"/>
  <c r="AD1935" i="2"/>
  <c r="AC1935" i="2"/>
  <c r="AB1935" i="2"/>
  <c r="Z1935" i="2"/>
  <c r="Y1935" i="2"/>
  <c r="X1935" i="2"/>
  <c r="W1935" i="2"/>
  <c r="V1935" i="2"/>
  <c r="U1935" i="2"/>
  <c r="T1935" i="2"/>
  <c r="S1935" i="2"/>
  <c r="R1935" i="2"/>
  <c r="Q1935" i="2"/>
  <c r="P1935" i="2"/>
  <c r="O1935" i="2"/>
  <c r="N1935" i="2"/>
  <c r="M1935" i="2"/>
  <c r="L1935" i="2"/>
  <c r="K1935" i="2"/>
  <c r="H1935" i="2"/>
  <c r="G1935" i="2"/>
  <c r="F1935" i="2"/>
  <c r="E1935" i="2"/>
  <c r="D1935" i="2"/>
  <c r="C1935" i="2"/>
  <c r="B1935" i="2"/>
  <c r="A1935" i="2"/>
  <c r="AG1934" i="2"/>
  <c r="AF1934" i="2"/>
  <c r="AD1934" i="2"/>
  <c r="AC1934" i="2"/>
  <c r="AB1934" i="2"/>
  <c r="Z1934" i="2"/>
  <c r="Y1934" i="2"/>
  <c r="X1934" i="2"/>
  <c r="W1934" i="2"/>
  <c r="V1934" i="2"/>
  <c r="U1934" i="2"/>
  <c r="T1934" i="2"/>
  <c r="S1934" i="2"/>
  <c r="R1934" i="2"/>
  <c r="Q1934" i="2"/>
  <c r="P1934" i="2"/>
  <c r="O1934" i="2"/>
  <c r="N1934" i="2"/>
  <c r="M1934" i="2"/>
  <c r="L1934" i="2"/>
  <c r="K1934" i="2"/>
  <c r="H1934" i="2"/>
  <c r="G1934" i="2"/>
  <c r="F1934" i="2"/>
  <c r="E1934" i="2"/>
  <c r="D1934" i="2"/>
  <c r="C1934" i="2"/>
  <c r="B1934" i="2"/>
  <c r="A1934" i="2"/>
  <c r="AG1933" i="2"/>
  <c r="AF1933" i="2"/>
  <c r="AE1933" i="2"/>
  <c r="AD1933" i="2"/>
  <c r="AC1933" i="2"/>
  <c r="AB1933" i="2"/>
  <c r="AA1933" i="2"/>
  <c r="Z1933" i="2"/>
  <c r="Y1933" i="2"/>
  <c r="X1933" i="2"/>
  <c r="W1933" i="2"/>
  <c r="V1933" i="2"/>
  <c r="U1933" i="2"/>
  <c r="T1933" i="2"/>
  <c r="S1933" i="2"/>
  <c r="R1933" i="2"/>
  <c r="Q1933" i="2"/>
  <c r="P1933" i="2"/>
  <c r="O1933" i="2"/>
  <c r="N1933" i="2"/>
  <c r="M1933" i="2"/>
  <c r="L1933" i="2"/>
  <c r="K1933" i="2"/>
  <c r="H1933" i="2"/>
  <c r="G1933" i="2"/>
  <c r="F1933" i="2"/>
  <c r="E1933" i="2"/>
  <c r="D1933" i="2"/>
  <c r="C1933" i="2"/>
  <c r="B1933" i="2"/>
  <c r="A1933" i="2"/>
  <c r="AG1932" i="2"/>
  <c r="AF1932" i="2"/>
  <c r="AE1932" i="2"/>
  <c r="AD1932" i="2"/>
  <c r="AC1932" i="2"/>
  <c r="AB1932" i="2"/>
  <c r="Z1932" i="2"/>
  <c r="Y1932" i="2"/>
  <c r="X1932" i="2"/>
  <c r="W1932" i="2"/>
  <c r="V1932" i="2"/>
  <c r="U1932" i="2"/>
  <c r="T1932" i="2"/>
  <c r="S1932" i="2"/>
  <c r="R1932" i="2"/>
  <c r="Q1932" i="2"/>
  <c r="P1932" i="2"/>
  <c r="O1932" i="2"/>
  <c r="N1932" i="2"/>
  <c r="M1932" i="2"/>
  <c r="L1932" i="2"/>
  <c r="K1932" i="2"/>
  <c r="H1932" i="2"/>
  <c r="G1932" i="2"/>
  <c r="F1932" i="2"/>
  <c r="E1932" i="2"/>
  <c r="D1932" i="2"/>
  <c r="C1932" i="2"/>
  <c r="B1932" i="2"/>
  <c r="A1932" i="2"/>
  <c r="AG1931" i="2"/>
  <c r="AF1931" i="2"/>
  <c r="AE1931" i="2"/>
  <c r="AD1931" i="2"/>
  <c r="AC1931" i="2"/>
  <c r="AB1931" i="2"/>
  <c r="Z1931" i="2"/>
  <c r="Y1931" i="2"/>
  <c r="X1931" i="2"/>
  <c r="W1931" i="2"/>
  <c r="V1931" i="2"/>
  <c r="U1931" i="2"/>
  <c r="T1931" i="2"/>
  <c r="S1931" i="2"/>
  <c r="R1931" i="2"/>
  <c r="Q1931" i="2"/>
  <c r="P1931" i="2"/>
  <c r="O1931" i="2"/>
  <c r="N1931" i="2"/>
  <c r="M1931" i="2"/>
  <c r="L1931" i="2"/>
  <c r="K1931" i="2"/>
  <c r="H1931" i="2"/>
  <c r="G1931" i="2"/>
  <c r="F1931" i="2"/>
  <c r="E1931" i="2"/>
  <c r="D1931" i="2"/>
  <c r="C1931" i="2"/>
  <c r="B1931" i="2"/>
  <c r="A1931" i="2"/>
  <c r="AH1930" i="2"/>
  <c r="AG1930" i="2"/>
  <c r="AF1930" i="2"/>
  <c r="AD1930" i="2"/>
  <c r="AC1930" i="2"/>
  <c r="AB1930" i="2"/>
  <c r="AA1930" i="2"/>
  <c r="Z1930" i="2"/>
  <c r="Y1930" i="2"/>
  <c r="X1930" i="2"/>
  <c r="W1930" i="2"/>
  <c r="V1930" i="2"/>
  <c r="U1930" i="2"/>
  <c r="S1930" i="2"/>
  <c r="R1930" i="2"/>
  <c r="Q1930" i="2"/>
  <c r="P1930" i="2"/>
  <c r="O1930" i="2"/>
  <c r="N1930" i="2"/>
  <c r="M1930" i="2"/>
  <c r="L1930" i="2"/>
  <c r="K1930" i="2"/>
  <c r="H1930" i="2"/>
  <c r="G1930" i="2"/>
  <c r="F1930" i="2"/>
  <c r="E1930" i="2"/>
  <c r="D1930" i="2"/>
  <c r="C1930" i="2"/>
  <c r="B1930" i="2"/>
  <c r="A1930" i="2"/>
  <c r="AG1929" i="2"/>
  <c r="AF1929" i="2"/>
  <c r="AE1929" i="2"/>
  <c r="AD1929" i="2"/>
  <c r="AC1929" i="2"/>
  <c r="AB1929" i="2"/>
  <c r="Z1929" i="2"/>
  <c r="Y1929" i="2"/>
  <c r="X1929" i="2"/>
  <c r="W1929" i="2"/>
  <c r="V1929" i="2"/>
  <c r="U1929" i="2"/>
  <c r="R1929" i="2"/>
  <c r="Q1929" i="2"/>
  <c r="P1929" i="2"/>
  <c r="O1929" i="2"/>
  <c r="N1929" i="2"/>
  <c r="M1929" i="2"/>
  <c r="L1929" i="2"/>
  <c r="K1929" i="2"/>
  <c r="H1929" i="2"/>
  <c r="G1929" i="2"/>
  <c r="F1929" i="2"/>
  <c r="E1929" i="2"/>
  <c r="D1929" i="2"/>
  <c r="C1929" i="2"/>
  <c r="B1929" i="2"/>
  <c r="A1929" i="2"/>
  <c r="AG1928" i="2"/>
  <c r="AF1928" i="2"/>
  <c r="AE1928" i="2"/>
  <c r="AD1928" i="2"/>
  <c r="AC1928" i="2"/>
  <c r="AB1928" i="2"/>
  <c r="AA1928" i="2"/>
  <c r="Z1928" i="2"/>
  <c r="Y1928" i="2"/>
  <c r="X1928" i="2"/>
  <c r="W1928" i="2"/>
  <c r="V1928" i="2"/>
  <c r="U1928" i="2"/>
  <c r="T1928" i="2"/>
  <c r="S1928" i="2"/>
  <c r="R1928" i="2"/>
  <c r="Q1928" i="2"/>
  <c r="P1928" i="2"/>
  <c r="O1928" i="2"/>
  <c r="N1928" i="2"/>
  <c r="M1928" i="2"/>
  <c r="L1928" i="2"/>
  <c r="K1928" i="2"/>
  <c r="H1928" i="2"/>
  <c r="G1928" i="2"/>
  <c r="F1928" i="2"/>
  <c r="E1928" i="2"/>
  <c r="D1928" i="2"/>
  <c r="C1928" i="2"/>
  <c r="B1928" i="2"/>
  <c r="A1928" i="2"/>
  <c r="AG1927" i="2"/>
  <c r="AF1927" i="2"/>
  <c r="AE1927" i="2"/>
  <c r="AD1927" i="2"/>
  <c r="AC1927" i="2"/>
  <c r="AB1927" i="2"/>
  <c r="Y1927" i="2"/>
  <c r="X1927" i="2"/>
  <c r="W1927" i="2"/>
  <c r="V1927" i="2"/>
  <c r="U1927" i="2"/>
  <c r="R1927" i="2"/>
  <c r="Q1927" i="2"/>
  <c r="P1927" i="2"/>
  <c r="O1927" i="2"/>
  <c r="N1927" i="2"/>
  <c r="M1927" i="2"/>
  <c r="L1927" i="2"/>
  <c r="K1927" i="2"/>
  <c r="H1927" i="2"/>
  <c r="G1927" i="2"/>
  <c r="F1927" i="2"/>
  <c r="E1927" i="2"/>
  <c r="D1927" i="2"/>
  <c r="C1927" i="2"/>
  <c r="B1927" i="2"/>
  <c r="A1927" i="2"/>
  <c r="AH1926" i="2"/>
  <c r="AG1926" i="2"/>
  <c r="AF1926" i="2"/>
  <c r="AE1926" i="2"/>
  <c r="AD1926" i="2"/>
  <c r="AC1926" i="2"/>
  <c r="AB1926" i="2"/>
  <c r="Z1926" i="2"/>
  <c r="Y1926" i="2"/>
  <c r="X1926" i="2"/>
  <c r="W1926" i="2"/>
  <c r="V1926" i="2"/>
  <c r="T1926" i="2"/>
  <c r="S1926" i="2"/>
  <c r="R1926" i="2"/>
  <c r="Q1926" i="2"/>
  <c r="P1926" i="2"/>
  <c r="O1926" i="2"/>
  <c r="N1926" i="2"/>
  <c r="M1926" i="2"/>
  <c r="L1926" i="2"/>
  <c r="K1926" i="2"/>
  <c r="H1926" i="2"/>
  <c r="G1926" i="2"/>
  <c r="F1926" i="2"/>
  <c r="E1926" i="2"/>
  <c r="D1926" i="2"/>
  <c r="C1926" i="2"/>
  <c r="B1926" i="2"/>
  <c r="A1926" i="2"/>
  <c r="AG1925" i="2"/>
  <c r="AF1925" i="2"/>
  <c r="AD1925" i="2"/>
  <c r="AC1925" i="2"/>
  <c r="AB1925" i="2"/>
  <c r="Z1925" i="2"/>
  <c r="Y1925" i="2"/>
  <c r="X1925" i="2"/>
  <c r="W1925" i="2"/>
  <c r="V1925" i="2"/>
  <c r="U1925" i="2"/>
  <c r="S1925" i="2"/>
  <c r="R1925" i="2"/>
  <c r="Q1925" i="2"/>
  <c r="P1925" i="2"/>
  <c r="O1925" i="2"/>
  <c r="N1925" i="2"/>
  <c r="M1925" i="2"/>
  <c r="L1925" i="2"/>
  <c r="K1925" i="2"/>
  <c r="H1925" i="2"/>
  <c r="G1925" i="2"/>
  <c r="F1925" i="2"/>
  <c r="E1925" i="2"/>
  <c r="D1925" i="2"/>
  <c r="C1925" i="2"/>
  <c r="B1925" i="2"/>
  <c r="A1925" i="2"/>
  <c r="AG1924" i="2"/>
  <c r="AF1924" i="2"/>
  <c r="AD1924" i="2"/>
  <c r="AC1924" i="2"/>
  <c r="AB1924" i="2"/>
  <c r="Z1924" i="2"/>
  <c r="Y1924" i="2"/>
  <c r="X1924" i="2"/>
  <c r="W1924" i="2"/>
  <c r="V1924" i="2"/>
  <c r="U1924" i="2"/>
  <c r="R1924" i="2"/>
  <c r="Q1924" i="2"/>
  <c r="P1924" i="2"/>
  <c r="O1924" i="2"/>
  <c r="N1924" i="2"/>
  <c r="M1924" i="2"/>
  <c r="L1924" i="2"/>
  <c r="K1924" i="2"/>
  <c r="H1924" i="2"/>
  <c r="G1924" i="2"/>
  <c r="F1924" i="2"/>
  <c r="E1924" i="2"/>
  <c r="D1924" i="2"/>
  <c r="C1924" i="2"/>
  <c r="B1924" i="2"/>
  <c r="A1924" i="2"/>
  <c r="AG1923" i="2"/>
  <c r="AF1923" i="2"/>
  <c r="AD1923" i="2"/>
  <c r="AC1923" i="2"/>
  <c r="AB1923" i="2"/>
  <c r="Z1923" i="2"/>
  <c r="Y1923" i="2"/>
  <c r="X1923" i="2"/>
  <c r="W1923" i="2"/>
  <c r="V1923" i="2"/>
  <c r="U1923" i="2"/>
  <c r="T1923" i="2"/>
  <c r="S1923" i="2"/>
  <c r="R1923" i="2"/>
  <c r="Q1923" i="2"/>
  <c r="P1923" i="2"/>
  <c r="O1923" i="2"/>
  <c r="N1923" i="2"/>
  <c r="M1923" i="2"/>
  <c r="L1923" i="2"/>
  <c r="K1923" i="2"/>
  <c r="H1923" i="2"/>
  <c r="G1923" i="2"/>
  <c r="F1923" i="2"/>
  <c r="E1923" i="2"/>
  <c r="D1923" i="2"/>
  <c r="C1923" i="2"/>
  <c r="B1923" i="2"/>
  <c r="A1923" i="2"/>
  <c r="AF1922" i="2"/>
  <c r="AE1922" i="2"/>
  <c r="AD1922" i="2"/>
  <c r="AC1922" i="2"/>
  <c r="AB1922" i="2"/>
  <c r="AA1922" i="2"/>
  <c r="Z1922" i="2"/>
  <c r="Y1922" i="2"/>
  <c r="X1922" i="2"/>
  <c r="W1922" i="2"/>
  <c r="V1922" i="2"/>
  <c r="U1922" i="2"/>
  <c r="T1922" i="2"/>
  <c r="S1922" i="2"/>
  <c r="R1922" i="2"/>
  <c r="Q1922" i="2"/>
  <c r="P1922" i="2"/>
  <c r="O1922" i="2"/>
  <c r="N1922" i="2"/>
  <c r="M1922" i="2"/>
  <c r="L1922" i="2"/>
  <c r="K1922" i="2"/>
  <c r="H1922" i="2"/>
  <c r="G1922" i="2"/>
  <c r="F1922" i="2"/>
  <c r="E1922" i="2"/>
  <c r="D1922" i="2"/>
  <c r="C1922" i="2"/>
  <c r="B1922" i="2"/>
  <c r="A1922" i="2"/>
  <c r="AH1921" i="2"/>
  <c r="AG1921" i="2"/>
  <c r="AF1921" i="2"/>
  <c r="AD1921" i="2"/>
  <c r="AC1921" i="2"/>
  <c r="AB1921" i="2"/>
  <c r="Z1921" i="2"/>
  <c r="Y1921" i="2"/>
  <c r="X1921" i="2"/>
  <c r="W1921" i="2"/>
  <c r="V1921" i="2"/>
  <c r="U1921" i="2"/>
  <c r="T1921" i="2"/>
  <c r="S1921" i="2"/>
  <c r="R1921" i="2"/>
  <c r="Q1921" i="2"/>
  <c r="P1921" i="2"/>
  <c r="O1921" i="2"/>
  <c r="N1921" i="2"/>
  <c r="M1921" i="2"/>
  <c r="L1921" i="2"/>
  <c r="K1921" i="2"/>
  <c r="H1921" i="2"/>
  <c r="G1921" i="2"/>
  <c r="F1921" i="2"/>
  <c r="E1921" i="2"/>
  <c r="D1921" i="2"/>
  <c r="C1921" i="2"/>
  <c r="B1921" i="2"/>
  <c r="A1921" i="2"/>
  <c r="AG1920" i="2"/>
  <c r="AF1920" i="2"/>
  <c r="AD1920" i="2"/>
  <c r="AC1920" i="2"/>
  <c r="AB1920" i="2"/>
  <c r="Z1920" i="2"/>
  <c r="Y1920" i="2"/>
  <c r="X1920" i="2"/>
  <c r="W1920" i="2"/>
  <c r="V1920" i="2"/>
  <c r="U1920" i="2"/>
  <c r="T1920" i="2"/>
  <c r="S1920" i="2"/>
  <c r="R1920" i="2"/>
  <c r="Q1920" i="2"/>
  <c r="P1920" i="2"/>
  <c r="O1920" i="2"/>
  <c r="N1920" i="2"/>
  <c r="M1920" i="2"/>
  <c r="L1920" i="2"/>
  <c r="K1920" i="2"/>
  <c r="H1920" i="2"/>
  <c r="G1920" i="2"/>
  <c r="F1920" i="2"/>
  <c r="E1920" i="2"/>
  <c r="D1920" i="2"/>
  <c r="C1920" i="2"/>
  <c r="B1920" i="2"/>
  <c r="A1920" i="2"/>
  <c r="AG1919" i="2"/>
  <c r="AF1919" i="2"/>
  <c r="AE1919" i="2"/>
  <c r="AD1919" i="2"/>
  <c r="AC1919" i="2"/>
  <c r="AB1919" i="2"/>
  <c r="Z1919" i="2"/>
  <c r="Y1919" i="2"/>
  <c r="X1919" i="2"/>
  <c r="W1919" i="2"/>
  <c r="V1919" i="2"/>
  <c r="U1919" i="2"/>
  <c r="T1919" i="2"/>
  <c r="S1919" i="2"/>
  <c r="R1919" i="2"/>
  <c r="Q1919" i="2"/>
  <c r="P1919" i="2"/>
  <c r="O1919" i="2"/>
  <c r="N1919" i="2"/>
  <c r="M1919" i="2"/>
  <c r="L1919" i="2"/>
  <c r="K1919" i="2"/>
  <c r="H1919" i="2"/>
  <c r="G1919" i="2"/>
  <c r="F1919" i="2"/>
  <c r="E1919" i="2"/>
  <c r="D1919" i="2"/>
  <c r="C1919" i="2"/>
  <c r="B1919" i="2"/>
  <c r="A1919" i="2"/>
  <c r="AG1918" i="2"/>
  <c r="AE1918" i="2"/>
  <c r="AD1918" i="2"/>
  <c r="AC1918" i="2"/>
  <c r="AB1918" i="2"/>
  <c r="Z1918" i="2"/>
  <c r="Y1918" i="2"/>
  <c r="X1918" i="2"/>
  <c r="W1918" i="2"/>
  <c r="V1918" i="2"/>
  <c r="U1918" i="2"/>
  <c r="S1918" i="2"/>
  <c r="R1918" i="2"/>
  <c r="Q1918" i="2"/>
  <c r="P1918" i="2"/>
  <c r="O1918" i="2"/>
  <c r="N1918" i="2"/>
  <c r="M1918" i="2"/>
  <c r="L1918" i="2"/>
  <c r="K1918" i="2"/>
  <c r="H1918" i="2"/>
  <c r="G1918" i="2"/>
  <c r="F1918" i="2"/>
  <c r="E1918" i="2"/>
  <c r="D1918" i="2"/>
  <c r="C1918" i="2"/>
  <c r="B1918" i="2"/>
  <c r="A1918" i="2"/>
  <c r="AG1917" i="2"/>
  <c r="AF1917" i="2"/>
  <c r="AE1917" i="2"/>
  <c r="AD1917" i="2"/>
  <c r="AC1917" i="2"/>
  <c r="AB1917" i="2"/>
  <c r="AA1917" i="2"/>
  <c r="Z1917" i="2"/>
  <c r="Y1917" i="2"/>
  <c r="X1917" i="2"/>
  <c r="W1917" i="2"/>
  <c r="V1917" i="2"/>
  <c r="U1917" i="2"/>
  <c r="T1917" i="2"/>
  <c r="S1917" i="2"/>
  <c r="R1917" i="2"/>
  <c r="Q1917" i="2"/>
  <c r="P1917" i="2"/>
  <c r="O1917" i="2"/>
  <c r="N1917" i="2"/>
  <c r="M1917" i="2"/>
  <c r="L1917" i="2"/>
  <c r="K1917" i="2"/>
  <c r="H1917" i="2"/>
  <c r="G1917" i="2"/>
  <c r="F1917" i="2"/>
  <c r="E1917" i="2"/>
  <c r="D1917" i="2"/>
  <c r="C1917" i="2"/>
  <c r="B1917" i="2"/>
  <c r="A1917" i="2"/>
  <c r="AG1916" i="2"/>
  <c r="AF1916" i="2"/>
  <c r="AD1916" i="2"/>
  <c r="AC1916" i="2"/>
  <c r="AB1916" i="2"/>
  <c r="Z1916" i="2"/>
  <c r="Y1916" i="2"/>
  <c r="X1916" i="2"/>
  <c r="W1916" i="2"/>
  <c r="V1916" i="2"/>
  <c r="U1916" i="2"/>
  <c r="T1916" i="2"/>
  <c r="S1916" i="2"/>
  <c r="R1916" i="2"/>
  <c r="Q1916" i="2"/>
  <c r="P1916" i="2"/>
  <c r="O1916" i="2"/>
  <c r="N1916" i="2"/>
  <c r="M1916" i="2"/>
  <c r="L1916" i="2"/>
  <c r="K1916" i="2"/>
  <c r="H1916" i="2"/>
  <c r="G1916" i="2"/>
  <c r="F1916" i="2"/>
  <c r="E1916" i="2"/>
  <c r="D1916" i="2"/>
  <c r="C1916" i="2"/>
  <c r="B1916" i="2"/>
  <c r="A1916" i="2"/>
  <c r="AG1915" i="2"/>
  <c r="AF1915" i="2"/>
  <c r="AE1915" i="2"/>
  <c r="AD1915" i="2"/>
  <c r="AC1915" i="2"/>
  <c r="AB1915" i="2"/>
  <c r="AA1915" i="2"/>
  <c r="Z1915" i="2"/>
  <c r="Y1915" i="2"/>
  <c r="X1915" i="2"/>
  <c r="W1915" i="2"/>
  <c r="V1915" i="2"/>
  <c r="U1915" i="2"/>
  <c r="T1915" i="2"/>
  <c r="S1915" i="2"/>
  <c r="R1915" i="2"/>
  <c r="Q1915" i="2"/>
  <c r="P1915" i="2"/>
  <c r="O1915" i="2"/>
  <c r="N1915" i="2"/>
  <c r="M1915" i="2"/>
  <c r="L1915" i="2"/>
  <c r="K1915" i="2"/>
  <c r="H1915" i="2"/>
  <c r="G1915" i="2"/>
  <c r="F1915" i="2"/>
  <c r="E1915" i="2"/>
  <c r="D1915" i="2"/>
  <c r="C1915" i="2"/>
  <c r="B1915" i="2"/>
  <c r="A1915" i="2"/>
  <c r="AG1914" i="2"/>
  <c r="AF1914" i="2"/>
  <c r="AE1914" i="2"/>
  <c r="AD1914" i="2"/>
  <c r="AC1914" i="2"/>
  <c r="AB1914" i="2"/>
  <c r="Z1914" i="2"/>
  <c r="Y1914" i="2"/>
  <c r="X1914" i="2"/>
  <c r="W1914" i="2"/>
  <c r="V1914" i="2"/>
  <c r="U1914" i="2"/>
  <c r="T1914" i="2"/>
  <c r="S1914" i="2"/>
  <c r="R1914" i="2"/>
  <c r="Q1914" i="2"/>
  <c r="P1914" i="2"/>
  <c r="O1914" i="2"/>
  <c r="N1914" i="2"/>
  <c r="M1914" i="2"/>
  <c r="L1914" i="2"/>
  <c r="K1914" i="2"/>
  <c r="H1914" i="2"/>
  <c r="G1914" i="2"/>
  <c r="F1914" i="2"/>
  <c r="E1914" i="2"/>
  <c r="D1914" i="2"/>
  <c r="C1914" i="2"/>
  <c r="B1914" i="2"/>
  <c r="A1914" i="2"/>
  <c r="AF1913" i="2"/>
  <c r="AE1913" i="2"/>
  <c r="AD1913" i="2"/>
  <c r="AC1913" i="2"/>
  <c r="AB1913" i="2"/>
  <c r="Z1913" i="2"/>
  <c r="X1913" i="2"/>
  <c r="W1913" i="2"/>
  <c r="V1913" i="2"/>
  <c r="U1913" i="2"/>
  <c r="S1913" i="2"/>
  <c r="R1913" i="2"/>
  <c r="Q1913" i="2"/>
  <c r="P1913" i="2"/>
  <c r="O1913" i="2"/>
  <c r="N1913" i="2"/>
  <c r="M1913" i="2"/>
  <c r="L1913" i="2"/>
  <c r="K1913" i="2"/>
  <c r="H1913" i="2"/>
  <c r="G1913" i="2"/>
  <c r="F1913" i="2"/>
  <c r="E1913" i="2"/>
  <c r="D1913" i="2"/>
  <c r="C1913" i="2"/>
  <c r="B1913" i="2"/>
  <c r="A1913" i="2"/>
  <c r="AG1912" i="2"/>
  <c r="AF1912" i="2"/>
  <c r="AE1912" i="2"/>
  <c r="AD1912" i="2"/>
  <c r="AC1912" i="2"/>
  <c r="AB1912" i="2"/>
  <c r="Z1912" i="2"/>
  <c r="Y1912" i="2"/>
  <c r="X1912" i="2"/>
  <c r="W1912" i="2"/>
  <c r="V1912" i="2"/>
  <c r="U1912" i="2"/>
  <c r="T1912" i="2"/>
  <c r="S1912" i="2"/>
  <c r="R1912" i="2"/>
  <c r="Q1912" i="2"/>
  <c r="P1912" i="2"/>
  <c r="O1912" i="2"/>
  <c r="N1912" i="2"/>
  <c r="M1912" i="2"/>
  <c r="L1912" i="2"/>
  <c r="K1912" i="2"/>
  <c r="H1912" i="2"/>
  <c r="G1912" i="2"/>
  <c r="F1912" i="2"/>
  <c r="E1912" i="2"/>
  <c r="D1912" i="2"/>
  <c r="C1912" i="2"/>
  <c r="B1912" i="2"/>
  <c r="A1912" i="2"/>
  <c r="AG1911" i="2"/>
  <c r="AF1911" i="2"/>
  <c r="AE1911" i="2"/>
  <c r="AD1911" i="2"/>
  <c r="AC1911" i="2"/>
  <c r="AB1911" i="2"/>
  <c r="AA1911" i="2"/>
  <c r="Z1911" i="2"/>
  <c r="Y1911" i="2"/>
  <c r="X1911" i="2"/>
  <c r="W1911" i="2"/>
  <c r="V1911" i="2"/>
  <c r="U1911" i="2"/>
  <c r="T1911" i="2"/>
  <c r="S1911" i="2"/>
  <c r="R1911" i="2"/>
  <c r="Q1911" i="2"/>
  <c r="P1911" i="2"/>
  <c r="O1911" i="2"/>
  <c r="N1911" i="2"/>
  <c r="M1911" i="2"/>
  <c r="L1911" i="2"/>
  <c r="K1911" i="2"/>
  <c r="H1911" i="2"/>
  <c r="G1911" i="2"/>
  <c r="F1911" i="2"/>
  <c r="E1911" i="2"/>
  <c r="D1911" i="2"/>
  <c r="C1911" i="2"/>
  <c r="B1911" i="2"/>
  <c r="A1911" i="2"/>
  <c r="AF1910" i="2"/>
  <c r="AD1910" i="2"/>
  <c r="AC1910" i="2"/>
  <c r="AB1910" i="2"/>
  <c r="Z1910" i="2"/>
  <c r="Y1910" i="2"/>
  <c r="X1910" i="2"/>
  <c r="W1910" i="2"/>
  <c r="V1910" i="2"/>
  <c r="U1910" i="2"/>
  <c r="T1910" i="2"/>
  <c r="S1910" i="2"/>
  <c r="R1910" i="2"/>
  <c r="Q1910" i="2"/>
  <c r="P1910" i="2"/>
  <c r="O1910" i="2"/>
  <c r="N1910" i="2"/>
  <c r="M1910" i="2"/>
  <c r="L1910" i="2"/>
  <c r="K1910" i="2"/>
  <c r="H1910" i="2"/>
  <c r="G1910" i="2"/>
  <c r="F1910" i="2"/>
  <c r="E1910" i="2"/>
  <c r="D1910" i="2"/>
  <c r="C1910" i="2"/>
  <c r="B1910" i="2"/>
  <c r="A1910" i="2"/>
  <c r="AG1909" i="2"/>
  <c r="AD1909" i="2"/>
  <c r="AC1909" i="2"/>
  <c r="AB1909" i="2"/>
  <c r="Z1909" i="2"/>
  <c r="Y1909" i="2"/>
  <c r="X1909" i="2"/>
  <c r="W1909" i="2"/>
  <c r="V1909" i="2"/>
  <c r="U1909" i="2"/>
  <c r="R1909" i="2"/>
  <c r="Q1909" i="2"/>
  <c r="P1909" i="2"/>
  <c r="O1909" i="2"/>
  <c r="N1909" i="2"/>
  <c r="M1909" i="2"/>
  <c r="L1909" i="2"/>
  <c r="K1909" i="2"/>
  <c r="H1909" i="2"/>
  <c r="G1909" i="2"/>
  <c r="F1909" i="2"/>
  <c r="E1909" i="2"/>
  <c r="D1909" i="2"/>
  <c r="C1909" i="2"/>
  <c r="B1909" i="2"/>
  <c r="A1909" i="2"/>
  <c r="AH1908" i="2"/>
  <c r="AG1908" i="2"/>
  <c r="AF1908" i="2"/>
  <c r="AE1908" i="2"/>
  <c r="AD1908" i="2"/>
  <c r="AC1908" i="2"/>
  <c r="AB1908" i="2"/>
  <c r="Z1908" i="2"/>
  <c r="Y1908" i="2"/>
  <c r="X1908" i="2"/>
  <c r="W1908" i="2"/>
  <c r="V1908" i="2"/>
  <c r="U1908" i="2"/>
  <c r="S1908" i="2"/>
  <c r="R1908" i="2"/>
  <c r="O1908" i="2"/>
  <c r="N1908" i="2"/>
  <c r="M1908" i="2"/>
  <c r="L1908" i="2"/>
  <c r="K1908" i="2"/>
  <c r="H1908" i="2"/>
  <c r="G1908" i="2"/>
  <c r="F1908" i="2"/>
  <c r="E1908" i="2"/>
  <c r="D1908" i="2"/>
  <c r="C1908" i="2"/>
  <c r="B1908" i="2"/>
  <c r="A1908" i="2"/>
  <c r="AG1907" i="2"/>
  <c r="AD1907" i="2"/>
  <c r="AC1907" i="2"/>
  <c r="AB1907" i="2"/>
  <c r="Z1907" i="2"/>
  <c r="Y1907" i="2"/>
  <c r="X1907" i="2"/>
  <c r="W1907" i="2"/>
  <c r="V1907" i="2"/>
  <c r="U1907" i="2"/>
  <c r="T1907" i="2"/>
  <c r="S1907" i="2"/>
  <c r="R1907" i="2"/>
  <c r="Q1907" i="2"/>
  <c r="P1907" i="2"/>
  <c r="O1907" i="2"/>
  <c r="N1907" i="2"/>
  <c r="M1907" i="2"/>
  <c r="L1907" i="2"/>
  <c r="K1907" i="2"/>
  <c r="H1907" i="2"/>
  <c r="G1907" i="2"/>
  <c r="F1907" i="2"/>
  <c r="E1907" i="2"/>
  <c r="D1907" i="2"/>
  <c r="C1907" i="2"/>
  <c r="B1907" i="2"/>
  <c r="A1907" i="2"/>
  <c r="AG1906" i="2"/>
  <c r="AF1906" i="2"/>
  <c r="AE1906" i="2"/>
  <c r="AD1906" i="2"/>
  <c r="AC1906" i="2"/>
  <c r="AB1906" i="2"/>
  <c r="Z1906" i="2"/>
  <c r="Y1906" i="2"/>
  <c r="X1906" i="2"/>
  <c r="W1906" i="2"/>
  <c r="V1906" i="2"/>
  <c r="U1906" i="2"/>
  <c r="Q1906" i="2"/>
  <c r="P1906" i="2"/>
  <c r="O1906" i="2"/>
  <c r="N1906" i="2"/>
  <c r="M1906" i="2"/>
  <c r="L1906" i="2"/>
  <c r="K1906" i="2"/>
  <c r="H1906" i="2"/>
  <c r="G1906" i="2"/>
  <c r="F1906" i="2"/>
  <c r="E1906" i="2"/>
  <c r="D1906" i="2"/>
  <c r="C1906" i="2"/>
  <c r="B1906" i="2"/>
  <c r="A1906" i="2"/>
  <c r="AG1905" i="2"/>
  <c r="AF1905" i="2"/>
  <c r="AE1905" i="2"/>
  <c r="AD1905" i="2"/>
  <c r="AC1905" i="2"/>
  <c r="AB1905" i="2"/>
  <c r="Z1905" i="2"/>
  <c r="Y1905" i="2"/>
  <c r="X1905" i="2"/>
  <c r="W1905" i="2"/>
  <c r="V1905" i="2"/>
  <c r="U1905" i="2"/>
  <c r="T1905" i="2"/>
  <c r="S1905" i="2"/>
  <c r="R1905" i="2"/>
  <c r="Q1905" i="2"/>
  <c r="P1905" i="2"/>
  <c r="O1905" i="2"/>
  <c r="N1905" i="2"/>
  <c r="M1905" i="2"/>
  <c r="L1905" i="2"/>
  <c r="K1905" i="2"/>
  <c r="H1905" i="2"/>
  <c r="G1905" i="2"/>
  <c r="F1905" i="2"/>
  <c r="E1905" i="2"/>
  <c r="D1905" i="2"/>
  <c r="C1905" i="2"/>
  <c r="B1905" i="2"/>
  <c r="A1905" i="2"/>
  <c r="AG1904" i="2"/>
  <c r="AF1904" i="2"/>
  <c r="AE1904" i="2"/>
  <c r="AD1904" i="2"/>
  <c r="AC1904" i="2"/>
  <c r="AB1904" i="2"/>
  <c r="Z1904" i="2"/>
  <c r="Y1904" i="2"/>
  <c r="X1904" i="2"/>
  <c r="W1904" i="2"/>
  <c r="V1904" i="2"/>
  <c r="U1904" i="2"/>
  <c r="T1904" i="2"/>
  <c r="S1904" i="2"/>
  <c r="R1904" i="2"/>
  <c r="Q1904" i="2"/>
  <c r="P1904" i="2"/>
  <c r="O1904" i="2"/>
  <c r="N1904" i="2"/>
  <c r="M1904" i="2"/>
  <c r="L1904" i="2"/>
  <c r="K1904" i="2"/>
  <c r="H1904" i="2"/>
  <c r="G1904" i="2"/>
  <c r="F1904" i="2"/>
  <c r="E1904" i="2"/>
  <c r="D1904" i="2"/>
  <c r="C1904" i="2"/>
  <c r="B1904" i="2"/>
  <c r="A1904" i="2"/>
  <c r="AG1903" i="2"/>
  <c r="AF1903" i="2"/>
  <c r="AE1903" i="2"/>
  <c r="AD1903" i="2"/>
  <c r="AC1903" i="2"/>
  <c r="AB1903" i="2"/>
  <c r="Z1903" i="2"/>
  <c r="Y1903" i="2"/>
  <c r="X1903" i="2"/>
  <c r="W1903" i="2"/>
  <c r="V1903" i="2"/>
  <c r="U1903" i="2"/>
  <c r="S1903" i="2"/>
  <c r="R1903" i="2"/>
  <c r="Q1903" i="2"/>
  <c r="P1903" i="2"/>
  <c r="O1903" i="2"/>
  <c r="N1903" i="2"/>
  <c r="M1903" i="2"/>
  <c r="L1903" i="2"/>
  <c r="K1903" i="2"/>
  <c r="H1903" i="2"/>
  <c r="G1903" i="2"/>
  <c r="F1903" i="2"/>
  <c r="E1903" i="2"/>
  <c r="D1903" i="2"/>
  <c r="C1903" i="2"/>
  <c r="B1903" i="2"/>
  <c r="A1903" i="2"/>
  <c r="AG1902" i="2"/>
  <c r="AF1902" i="2"/>
  <c r="AE1902" i="2"/>
  <c r="AD1902" i="2"/>
  <c r="AC1902" i="2"/>
  <c r="AB1902" i="2"/>
  <c r="Z1902" i="2"/>
  <c r="Y1902" i="2"/>
  <c r="X1902" i="2"/>
  <c r="W1902" i="2"/>
  <c r="V1902" i="2"/>
  <c r="U1902" i="2"/>
  <c r="T1902" i="2"/>
  <c r="S1902" i="2"/>
  <c r="R1902" i="2"/>
  <c r="Q1902" i="2"/>
  <c r="P1902" i="2"/>
  <c r="O1902" i="2"/>
  <c r="N1902" i="2"/>
  <c r="M1902" i="2"/>
  <c r="L1902" i="2"/>
  <c r="K1902" i="2"/>
  <c r="H1902" i="2"/>
  <c r="G1902" i="2"/>
  <c r="F1902" i="2"/>
  <c r="E1902" i="2"/>
  <c r="D1902" i="2"/>
  <c r="C1902" i="2"/>
  <c r="B1902" i="2"/>
  <c r="A1902" i="2"/>
  <c r="AG1901" i="2"/>
  <c r="AD1901" i="2"/>
  <c r="AC1901" i="2"/>
  <c r="AB1901" i="2"/>
  <c r="Z1901" i="2"/>
  <c r="Y1901" i="2"/>
  <c r="X1901" i="2"/>
  <c r="W1901" i="2"/>
  <c r="V1901" i="2"/>
  <c r="U1901" i="2"/>
  <c r="T1901" i="2"/>
  <c r="S1901" i="2"/>
  <c r="R1901" i="2"/>
  <c r="Q1901" i="2"/>
  <c r="P1901" i="2"/>
  <c r="O1901" i="2"/>
  <c r="N1901" i="2"/>
  <c r="M1901" i="2"/>
  <c r="L1901" i="2"/>
  <c r="K1901" i="2"/>
  <c r="H1901" i="2"/>
  <c r="G1901" i="2"/>
  <c r="F1901" i="2"/>
  <c r="E1901" i="2"/>
  <c r="D1901" i="2"/>
  <c r="C1901" i="2"/>
  <c r="B1901" i="2"/>
  <c r="A1901" i="2"/>
  <c r="AG1900" i="2"/>
  <c r="AD1900" i="2"/>
  <c r="AC1900" i="2"/>
  <c r="AB1900" i="2"/>
  <c r="Z1900" i="2"/>
  <c r="Y1900" i="2"/>
  <c r="X1900" i="2"/>
  <c r="W1900" i="2"/>
  <c r="V1900" i="2"/>
  <c r="U1900" i="2"/>
  <c r="T1900" i="2"/>
  <c r="S1900" i="2"/>
  <c r="R1900" i="2"/>
  <c r="Q1900" i="2"/>
  <c r="P1900" i="2"/>
  <c r="O1900" i="2"/>
  <c r="N1900" i="2"/>
  <c r="M1900" i="2"/>
  <c r="L1900" i="2"/>
  <c r="K1900" i="2"/>
  <c r="H1900" i="2"/>
  <c r="G1900" i="2"/>
  <c r="F1900" i="2"/>
  <c r="E1900" i="2"/>
  <c r="D1900" i="2"/>
  <c r="C1900" i="2"/>
  <c r="B1900" i="2"/>
  <c r="A1900" i="2"/>
  <c r="AG1899" i="2"/>
  <c r="AD1899" i="2"/>
  <c r="AC1899" i="2"/>
  <c r="AB1899" i="2"/>
  <c r="Z1899" i="2"/>
  <c r="Y1899" i="2"/>
  <c r="X1899" i="2"/>
  <c r="W1899" i="2"/>
  <c r="V1899" i="2"/>
  <c r="U1899" i="2"/>
  <c r="S1899" i="2"/>
  <c r="R1899" i="2"/>
  <c r="Q1899" i="2"/>
  <c r="P1899" i="2"/>
  <c r="O1899" i="2"/>
  <c r="N1899" i="2"/>
  <c r="M1899" i="2"/>
  <c r="L1899" i="2"/>
  <c r="K1899" i="2"/>
  <c r="H1899" i="2"/>
  <c r="G1899" i="2"/>
  <c r="F1899" i="2"/>
  <c r="E1899" i="2"/>
  <c r="D1899" i="2"/>
  <c r="C1899" i="2"/>
  <c r="B1899" i="2"/>
  <c r="A1899" i="2"/>
  <c r="AH1898" i="2"/>
  <c r="AG1898" i="2"/>
  <c r="AF1898" i="2"/>
  <c r="AE1898" i="2"/>
  <c r="AD1898" i="2"/>
  <c r="AC1898" i="2"/>
  <c r="AB1898" i="2"/>
  <c r="Z1898" i="2"/>
  <c r="Y1898" i="2"/>
  <c r="X1898" i="2"/>
  <c r="W1898" i="2"/>
  <c r="V1898" i="2"/>
  <c r="U1898" i="2"/>
  <c r="T1898" i="2"/>
  <c r="S1898" i="2"/>
  <c r="R1898" i="2"/>
  <c r="Q1898" i="2"/>
  <c r="P1898" i="2"/>
  <c r="O1898" i="2"/>
  <c r="N1898" i="2"/>
  <c r="M1898" i="2"/>
  <c r="L1898" i="2"/>
  <c r="K1898" i="2"/>
  <c r="H1898" i="2"/>
  <c r="G1898" i="2"/>
  <c r="F1898" i="2"/>
  <c r="E1898" i="2"/>
  <c r="D1898" i="2"/>
  <c r="C1898" i="2"/>
  <c r="B1898" i="2"/>
  <c r="A1898" i="2"/>
  <c r="AG1897" i="2"/>
  <c r="AF1897" i="2"/>
  <c r="AE1897" i="2"/>
  <c r="AD1897" i="2"/>
  <c r="AC1897" i="2"/>
  <c r="AB1897" i="2"/>
  <c r="Z1897" i="2"/>
  <c r="Y1897" i="2"/>
  <c r="X1897" i="2"/>
  <c r="W1897" i="2"/>
  <c r="V1897" i="2"/>
  <c r="S1897" i="2"/>
  <c r="R1897" i="2"/>
  <c r="Q1897" i="2"/>
  <c r="P1897" i="2"/>
  <c r="O1897" i="2"/>
  <c r="N1897" i="2"/>
  <c r="M1897" i="2"/>
  <c r="L1897" i="2"/>
  <c r="K1897" i="2"/>
  <c r="J1897" i="2"/>
  <c r="H1897" i="2"/>
  <c r="G1897" i="2"/>
  <c r="F1897" i="2"/>
  <c r="E1897" i="2"/>
  <c r="D1897" i="2"/>
  <c r="C1897" i="2"/>
  <c r="B1897" i="2"/>
  <c r="A1897" i="2"/>
  <c r="AG1896" i="2"/>
  <c r="AF1896" i="2"/>
  <c r="AE1896" i="2"/>
  <c r="AD1896" i="2"/>
  <c r="AC1896" i="2"/>
  <c r="AB1896" i="2"/>
  <c r="Z1896" i="2"/>
  <c r="Y1896" i="2"/>
  <c r="X1896" i="2"/>
  <c r="W1896" i="2"/>
  <c r="V1896" i="2"/>
  <c r="U1896" i="2"/>
  <c r="T1896" i="2"/>
  <c r="S1896" i="2"/>
  <c r="R1896" i="2"/>
  <c r="Q1896" i="2"/>
  <c r="P1896" i="2"/>
  <c r="O1896" i="2"/>
  <c r="N1896" i="2"/>
  <c r="M1896" i="2"/>
  <c r="L1896" i="2"/>
  <c r="K1896" i="2"/>
  <c r="H1896" i="2"/>
  <c r="G1896" i="2"/>
  <c r="F1896" i="2"/>
  <c r="E1896" i="2"/>
  <c r="D1896" i="2"/>
  <c r="C1896" i="2"/>
  <c r="B1896" i="2"/>
  <c r="A1896" i="2"/>
  <c r="AG1895" i="2"/>
  <c r="AF1895" i="2"/>
  <c r="AE1895" i="2"/>
  <c r="AD1895" i="2"/>
  <c r="AC1895" i="2"/>
  <c r="AB1895" i="2"/>
  <c r="Y1895" i="2"/>
  <c r="X1895" i="2"/>
  <c r="W1895" i="2"/>
  <c r="V1895" i="2"/>
  <c r="U1895" i="2"/>
  <c r="T1895" i="2"/>
  <c r="S1895" i="2"/>
  <c r="R1895" i="2"/>
  <c r="Q1895" i="2"/>
  <c r="P1895" i="2"/>
  <c r="O1895" i="2"/>
  <c r="N1895" i="2"/>
  <c r="M1895" i="2"/>
  <c r="L1895" i="2"/>
  <c r="K1895" i="2"/>
  <c r="H1895" i="2"/>
  <c r="G1895" i="2"/>
  <c r="F1895" i="2"/>
  <c r="E1895" i="2"/>
  <c r="D1895" i="2"/>
  <c r="C1895" i="2"/>
  <c r="B1895" i="2"/>
  <c r="A1895" i="2"/>
  <c r="AG1894" i="2"/>
  <c r="AF1894" i="2"/>
  <c r="AE1894" i="2"/>
  <c r="AD1894" i="2"/>
  <c r="AC1894" i="2"/>
  <c r="AB1894" i="2"/>
  <c r="Z1894" i="2"/>
  <c r="Y1894" i="2"/>
  <c r="X1894" i="2"/>
  <c r="W1894" i="2"/>
  <c r="V1894" i="2"/>
  <c r="U1894" i="2"/>
  <c r="T1894" i="2"/>
  <c r="S1894" i="2"/>
  <c r="R1894" i="2"/>
  <c r="Q1894" i="2"/>
  <c r="P1894" i="2"/>
  <c r="O1894" i="2"/>
  <c r="N1894" i="2"/>
  <c r="M1894" i="2"/>
  <c r="L1894" i="2"/>
  <c r="K1894" i="2"/>
  <c r="H1894" i="2"/>
  <c r="G1894" i="2"/>
  <c r="F1894" i="2"/>
  <c r="E1894" i="2"/>
  <c r="D1894" i="2"/>
  <c r="C1894" i="2"/>
  <c r="B1894" i="2"/>
  <c r="A1894" i="2"/>
  <c r="AG1893" i="2"/>
  <c r="AD1893" i="2"/>
  <c r="AC1893" i="2"/>
  <c r="AB1893" i="2"/>
  <c r="AA1893" i="2"/>
  <c r="Z1893" i="2"/>
  <c r="X1893" i="2"/>
  <c r="W1893" i="2"/>
  <c r="V1893" i="2"/>
  <c r="U1893" i="2"/>
  <c r="S1893" i="2"/>
  <c r="R1893" i="2"/>
  <c r="Q1893" i="2"/>
  <c r="P1893" i="2"/>
  <c r="O1893" i="2"/>
  <c r="N1893" i="2"/>
  <c r="M1893" i="2"/>
  <c r="L1893" i="2"/>
  <c r="K1893" i="2"/>
  <c r="H1893" i="2"/>
  <c r="G1893" i="2"/>
  <c r="F1893" i="2"/>
  <c r="E1893" i="2"/>
  <c r="D1893" i="2"/>
  <c r="C1893" i="2"/>
  <c r="B1893" i="2"/>
  <c r="A1893" i="2"/>
  <c r="AH1892" i="2"/>
  <c r="AG1892" i="2"/>
  <c r="AF1892" i="2"/>
  <c r="AE1892" i="2"/>
  <c r="AD1892" i="2"/>
  <c r="AC1892" i="2"/>
  <c r="AB1892" i="2"/>
  <c r="Z1892" i="2"/>
  <c r="Y1892" i="2"/>
  <c r="X1892" i="2"/>
  <c r="W1892" i="2"/>
  <c r="V1892" i="2"/>
  <c r="U1892" i="2"/>
  <c r="T1892" i="2"/>
  <c r="S1892" i="2"/>
  <c r="R1892" i="2"/>
  <c r="Q1892" i="2"/>
  <c r="P1892" i="2"/>
  <c r="O1892" i="2"/>
  <c r="N1892" i="2"/>
  <c r="M1892" i="2"/>
  <c r="L1892" i="2"/>
  <c r="K1892" i="2"/>
  <c r="H1892" i="2"/>
  <c r="G1892" i="2"/>
  <c r="F1892" i="2"/>
  <c r="E1892" i="2"/>
  <c r="D1892" i="2"/>
  <c r="C1892" i="2"/>
  <c r="B1892" i="2"/>
  <c r="A1892" i="2"/>
  <c r="AG1891" i="2"/>
  <c r="AD1891" i="2"/>
  <c r="AC1891" i="2"/>
  <c r="AB1891" i="2"/>
  <c r="Z1891" i="2"/>
  <c r="Y1891" i="2"/>
  <c r="X1891" i="2"/>
  <c r="W1891" i="2"/>
  <c r="V1891" i="2"/>
  <c r="U1891" i="2"/>
  <c r="S1891" i="2"/>
  <c r="R1891" i="2"/>
  <c r="Q1891" i="2"/>
  <c r="P1891" i="2"/>
  <c r="O1891" i="2"/>
  <c r="N1891" i="2"/>
  <c r="M1891" i="2"/>
  <c r="L1891" i="2"/>
  <c r="K1891" i="2"/>
  <c r="H1891" i="2"/>
  <c r="G1891" i="2"/>
  <c r="F1891" i="2"/>
  <c r="E1891" i="2"/>
  <c r="D1891" i="2"/>
  <c r="C1891" i="2"/>
  <c r="B1891" i="2"/>
  <c r="A1891" i="2"/>
  <c r="AG1890" i="2"/>
  <c r="AF1890" i="2"/>
  <c r="AE1890" i="2"/>
  <c r="AD1890" i="2"/>
  <c r="AC1890" i="2"/>
  <c r="AB1890" i="2"/>
  <c r="Z1890" i="2"/>
  <c r="Y1890" i="2"/>
  <c r="X1890" i="2"/>
  <c r="W1890" i="2"/>
  <c r="V1890" i="2"/>
  <c r="U1890" i="2"/>
  <c r="T1890" i="2"/>
  <c r="S1890" i="2"/>
  <c r="R1890" i="2"/>
  <c r="Q1890" i="2"/>
  <c r="P1890" i="2"/>
  <c r="O1890" i="2"/>
  <c r="N1890" i="2"/>
  <c r="M1890" i="2"/>
  <c r="L1890" i="2"/>
  <c r="K1890" i="2"/>
  <c r="H1890" i="2"/>
  <c r="G1890" i="2"/>
  <c r="F1890" i="2"/>
  <c r="E1890" i="2"/>
  <c r="D1890" i="2"/>
  <c r="C1890" i="2"/>
  <c r="B1890" i="2"/>
  <c r="A1890" i="2"/>
  <c r="AG1889" i="2"/>
  <c r="AF1889" i="2"/>
  <c r="AE1889" i="2"/>
  <c r="AD1889" i="2"/>
  <c r="AC1889" i="2"/>
  <c r="AB1889" i="2"/>
  <c r="Y1889" i="2"/>
  <c r="X1889" i="2"/>
  <c r="W1889" i="2"/>
  <c r="V1889" i="2"/>
  <c r="U1889" i="2"/>
  <c r="T1889" i="2"/>
  <c r="S1889" i="2"/>
  <c r="R1889" i="2"/>
  <c r="Q1889" i="2"/>
  <c r="P1889" i="2"/>
  <c r="O1889" i="2"/>
  <c r="N1889" i="2"/>
  <c r="M1889" i="2"/>
  <c r="L1889" i="2"/>
  <c r="K1889" i="2"/>
  <c r="H1889" i="2"/>
  <c r="G1889" i="2"/>
  <c r="F1889" i="2"/>
  <c r="E1889" i="2"/>
  <c r="D1889" i="2"/>
  <c r="C1889" i="2"/>
  <c r="B1889" i="2"/>
  <c r="A1889" i="2"/>
  <c r="AG1888" i="2"/>
  <c r="AF1888" i="2"/>
  <c r="AE1888" i="2"/>
  <c r="AD1888" i="2"/>
  <c r="AC1888" i="2"/>
  <c r="AB1888" i="2"/>
  <c r="Z1888" i="2"/>
  <c r="Y1888" i="2"/>
  <c r="X1888" i="2"/>
  <c r="W1888" i="2"/>
  <c r="V1888" i="2"/>
  <c r="U1888" i="2"/>
  <c r="S1888" i="2"/>
  <c r="R1888" i="2"/>
  <c r="Q1888" i="2"/>
  <c r="P1888" i="2"/>
  <c r="O1888" i="2"/>
  <c r="N1888" i="2"/>
  <c r="M1888" i="2"/>
  <c r="L1888" i="2"/>
  <c r="K1888" i="2"/>
  <c r="H1888" i="2"/>
  <c r="G1888" i="2"/>
  <c r="F1888" i="2"/>
  <c r="E1888" i="2"/>
  <c r="D1888" i="2"/>
  <c r="C1888" i="2"/>
  <c r="B1888" i="2"/>
  <c r="A1888" i="2"/>
  <c r="AG1887" i="2"/>
  <c r="AF1887" i="2"/>
  <c r="AE1887" i="2"/>
  <c r="AD1887" i="2"/>
  <c r="AC1887" i="2"/>
  <c r="AB1887" i="2"/>
  <c r="Z1887" i="2"/>
  <c r="Y1887" i="2"/>
  <c r="X1887" i="2"/>
  <c r="W1887" i="2"/>
  <c r="V1887" i="2"/>
  <c r="T1887" i="2"/>
  <c r="S1887" i="2"/>
  <c r="R1887" i="2"/>
  <c r="Q1887" i="2"/>
  <c r="P1887" i="2"/>
  <c r="O1887" i="2"/>
  <c r="N1887" i="2"/>
  <c r="M1887" i="2"/>
  <c r="L1887" i="2"/>
  <c r="K1887" i="2"/>
  <c r="H1887" i="2"/>
  <c r="G1887" i="2"/>
  <c r="F1887" i="2"/>
  <c r="E1887" i="2"/>
  <c r="D1887" i="2"/>
  <c r="C1887" i="2"/>
  <c r="B1887" i="2"/>
  <c r="A1887" i="2"/>
  <c r="AG1886" i="2"/>
  <c r="AF1886" i="2"/>
  <c r="AE1886" i="2"/>
  <c r="AD1886" i="2"/>
  <c r="AC1886" i="2"/>
  <c r="AB1886" i="2"/>
  <c r="AA1886" i="2"/>
  <c r="Z1886" i="2"/>
  <c r="Y1886" i="2"/>
  <c r="X1886" i="2"/>
  <c r="W1886" i="2"/>
  <c r="V1886" i="2"/>
  <c r="U1886" i="2"/>
  <c r="T1886" i="2"/>
  <c r="S1886" i="2"/>
  <c r="R1886" i="2"/>
  <c r="Q1886" i="2"/>
  <c r="P1886" i="2"/>
  <c r="O1886" i="2"/>
  <c r="N1886" i="2"/>
  <c r="M1886" i="2"/>
  <c r="L1886" i="2"/>
  <c r="K1886" i="2"/>
  <c r="H1886" i="2"/>
  <c r="G1886" i="2"/>
  <c r="F1886" i="2"/>
  <c r="E1886" i="2"/>
  <c r="D1886" i="2"/>
  <c r="C1886" i="2"/>
  <c r="B1886" i="2"/>
  <c r="A1886" i="2"/>
  <c r="AG1885" i="2"/>
  <c r="AF1885" i="2"/>
  <c r="AE1885" i="2"/>
  <c r="AD1885" i="2"/>
  <c r="AC1885" i="2"/>
  <c r="AB1885" i="2"/>
  <c r="Z1885" i="2"/>
  <c r="Y1885" i="2"/>
  <c r="X1885" i="2"/>
  <c r="W1885" i="2"/>
  <c r="V1885" i="2"/>
  <c r="U1885" i="2"/>
  <c r="T1885" i="2"/>
  <c r="S1885" i="2"/>
  <c r="R1885" i="2"/>
  <c r="Q1885" i="2"/>
  <c r="P1885" i="2"/>
  <c r="O1885" i="2"/>
  <c r="N1885" i="2"/>
  <c r="M1885" i="2"/>
  <c r="L1885" i="2"/>
  <c r="K1885" i="2"/>
  <c r="H1885" i="2"/>
  <c r="G1885" i="2"/>
  <c r="F1885" i="2"/>
  <c r="E1885" i="2"/>
  <c r="D1885" i="2"/>
  <c r="C1885" i="2"/>
  <c r="B1885" i="2"/>
  <c r="A1885" i="2"/>
  <c r="AH1884" i="2"/>
  <c r="AG1884" i="2"/>
  <c r="AF1884" i="2"/>
  <c r="AE1884" i="2"/>
  <c r="AD1884" i="2"/>
  <c r="AC1884" i="2"/>
  <c r="AB1884" i="2"/>
  <c r="Z1884" i="2"/>
  <c r="Y1884" i="2"/>
  <c r="X1884" i="2"/>
  <c r="W1884" i="2"/>
  <c r="V1884" i="2"/>
  <c r="T1884" i="2"/>
  <c r="S1884" i="2"/>
  <c r="R1884" i="2"/>
  <c r="Q1884" i="2"/>
  <c r="P1884" i="2"/>
  <c r="O1884" i="2"/>
  <c r="N1884" i="2"/>
  <c r="M1884" i="2"/>
  <c r="L1884" i="2"/>
  <c r="K1884" i="2"/>
  <c r="H1884" i="2"/>
  <c r="G1884" i="2"/>
  <c r="F1884" i="2"/>
  <c r="E1884" i="2"/>
  <c r="D1884" i="2"/>
  <c r="C1884" i="2"/>
  <c r="B1884" i="2"/>
  <c r="A1884" i="2"/>
  <c r="AG1883" i="2"/>
  <c r="AF1883" i="2"/>
  <c r="AE1883" i="2"/>
  <c r="AD1883" i="2"/>
  <c r="AC1883" i="2"/>
  <c r="AB1883" i="2"/>
  <c r="Y1883" i="2"/>
  <c r="X1883" i="2"/>
  <c r="W1883" i="2"/>
  <c r="V1883" i="2"/>
  <c r="U1883" i="2"/>
  <c r="S1883" i="2"/>
  <c r="R1883" i="2"/>
  <c r="Q1883" i="2"/>
  <c r="P1883" i="2"/>
  <c r="O1883" i="2"/>
  <c r="N1883" i="2"/>
  <c r="M1883" i="2"/>
  <c r="L1883" i="2"/>
  <c r="K1883" i="2"/>
  <c r="H1883" i="2"/>
  <c r="G1883" i="2"/>
  <c r="F1883" i="2"/>
  <c r="E1883" i="2"/>
  <c r="D1883" i="2"/>
  <c r="C1883" i="2"/>
  <c r="B1883" i="2"/>
  <c r="A1883" i="2"/>
  <c r="AG1882" i="2"/>
  <c r="AF1882" i="2"/>
  <c r="AE1882" i="2"/>
  <c r="AD1882" i="2"/>
  <c r="AC1882" i="2"/>
  <c r="AB1882" i="2"/>
  <c r="Z1882" i="2"/>
  <c r="Y1882" i="2"/>
  <c r="X1882" i="2"/>
  <c r="W1882" i="2"/>
  <c r="V1882" i="2"/>
  <c r="U1882" i="2"/>
  <c r="T1882" i="2"/>
  <c r="S1882" i="2"/>
  <c r="R1882" i="2"/>
  <c r="P1882" i="2"/>
  <c r="O1882" i="2"/>
  <c r="N1882" i="2"/>
  <c r="M1882" i="2"/>
  <c r="L1882" i="2"/>
  <c r="K1882" i="2"/>
  <c r="H1882" i="2"/>
  <c r="G1882" i="2"/>
  <c r="F1882" i="2"/>
  <c r="E1882" i="2"/>
  <c r="D1882" i="2"/>
  <c r="C1882" i="2"/>
  <c r="B1882" i="2"/>
  <c r="A1882" i="2"/>
  <c r="AG1881" i="2"/>
  <c r="AF1881" i="2"/>
  <c r="AE1881" i="2"/>
  <c r="AD1881" i="2"/>
  <c r="AC1881" i="2"/>
  <c r="AB1881" i="2"/>
  <c r="Z1881" i="2"/>
  <c r="Y1881" i="2"/>
  <c r="X1881" i="2"/>
  <c r="W1881" i="2"/>
  <c r="V1881" i="2"/>
  <c r="U1881" i="2"/>
  <c r="R1881" i="2"/>
  <c r="Q1881" i="2"/>
  <c r="P1881" i="2"/>
  <c r="O1881" i="2"/>
  <c r="N1881" i="2"/>
  <c r="M1881" i="2"/>
  <c r="L1881" i="2"/>
  <c r="K1881" i="2"/>
  <c r="H1881" i="2"/>
  <c r="G1881" i="2"/>
  <c r="F1881" i="2"/>
  <c r="E1881" i="2"/>
  <c r="D1881" i="2"/>
  <c r="C1881" i="2"/>
  <c r="B1881" i="2"/>
  <c r="A1881" i="2"/>
  <c r="AG1880" i="2"/>
  <c r="AF1880" i="2"/>
  <c r="AE1880" i="2"/>
  <c r="AD1880" i="2"/>
  <c r="AC1880" i="2"/>
  <c r="AB1880" i="2"/>
  <c r="Y1880" i="2"/>
  <c r="X1880" i="2"/>
  <c r="W1880" i="2"/>
  <c r="V1880" i="2"/>
  <c r="U1880" i="2"/>
  <c r="S1880" i="2"/>
  <c r="R1880" i="2"/>
  <c r="Q1880" i="2"/>
  <c r="P1880" i="2"/>
  <c r="O1880" i="2"/>
  <c r="N1880" i="2"/>
  <c r="M1880" i="2"/>
  <c r="L1880" i="2"/>
  <c r="K1880" i="2"/>
  <c r="H1880" i="2"/>
  <c r="G1880" i="2"/>
  <c r="F1880" i="2"/>
  <c r="E1880" i="2"/>
  <c r="D1880" i="2"/>
  <c r="C1880" i="2"/>
  <c r="B1880" i="2"/>
  <c r="A1880" i="2"/>
  <c r="AF1879" i="2"/>
  <c r="AE1879" i="2"/>
  <c r="AD1879" i="2"/>
  <c r="AC1879" i="2"/>
  <c r="AB1879" i="2"/>
  <c r="Z1879" i="2"/>
  <c r="X1879" i="2"/>
  <c r="W1879" i="2"/>
  <c r="V1879" i="2"/>
  <c r="U1879" i="2"/>
  <c r="S1879" i="2"/>
  <c r="R1879" i="2"/>
  <c r="Q1879" i="2"/>
  <c r="P1879" i="2"/>
  <c r="O1879" i="2"/>
  <c r="N1879" i="2"/>
  <c r="M1879" i="2"/>
  <c r="L1879" i="2"/>
  <c r="K1879" i="2"/>
  <c r="H1879" i="2"/>
  <c r="G1879" i="2"/>
  <c r="F1879" i="2"/>
  <c r="E1879" i="2"/>
  <c r="D1879" i="2"/>
  <c r="C1879" i="2"/>
  <c r="B1879" i="2"/>
  <c r="A1879" i="2"/>
  <c r="AG1878" i="2"/>
  <c r="AF1878" i="2"/>
  <c r="AE1878" i="2"/>
  <c r="AD1878" i="2"/>
  <c r="AC1878" i="2"/>
  <c r="AB1878" i="2"/>
  <c r="Y1878" i="2"/>
  <c r="X1878" i="2"/>
  <c r="W1878" i="2"/>
  <c r="V1878" i="2"/>
  <c r="U1878" i="2"/>
  <c r="S1878" i="2"/>
  <c r="R1878" i="2"/>
  <c r="Q1878" i="2"/>
  <c r="P1878" i="2"/>
  <c r="O1878" i="2"/>
  <c r="N1878" i="2"/>
  <c r="M1878" i="2"/>
  <c r="L1878" i="2"/>
  <c r="K1878" i="2"/>
  <c r="H1878" i="2"/>
  <c r="G1878" i="2"/>
  <c r="F1878" i="2"/>
  <c r="E1878" i="2"/>
  <c r="D1878" i="2"/>
  <c r="C1878" i="2"/>
  <c r="B1878" i="2"/>
  <c r="A1878" i="2"/>
  <c r="AG1877" i="2"/>
  <c r="AF1877" i="2"/>
  <c r="AE1877" i="2"/>
  <c r="AD1877" i="2"/>
  <c r="AC1877" i="2"/>
  <c r="AB1877" i="2"/>
  <c r="Z1877" i="2"/>
  <c r="Y1877" i="2"/>
  <c r="X1877" i="2"/>
  <c r="W1877" i="2"/>
  <c r="V1877" i="2"/>
  <c r="U1877" i="2"/>
  <c r="T1877" i="2"/>
  <c r="S1877" i="2"/>
  <c r="R1877" i="2"/>
  <c r="Q1877" i="2"/>
  <c r="P1877" i="2"/>
  <c r="O1877" i="2"/>
  <c r="N1877" i="2"/>
  <c r="M1877" i="2"/>
  <c r="L1877" i="2"/>
  <c r="K1877" i="2"/>
  <c r="H1877" i="2"/>
  <c r="G1877" i="2"/>
  <c r="F1877" i="2"/>
  <c r="E1877" i="2"/>
  <c r="D1877" i="2"/>
  <c r="C1877" i="2"/>
  <c r="B1877" i="2"/>
  <c r="A1877" i="2"/>
  <c r="AH1876" i="2"/>
  <c r="AG1876" i="2"/>
  <c r="AF1876" i="2"/>
  <c r="AE1876" i="2"/>
  <c r="AD1876" i="2"/>
  <c r="AC1876" i="2"/>
  <c r="AB1876" i="2"/>
  <c r="Z1876" i="2"/>
  <c r="Y1876" i="2"/>
  <c r="X1876" i="2"/>
  <c r="W1876" i="2"/>
  <c r="V1876" i="2"/>
  <c r="T1876" i="2"/>
  <c r="S1876" i="2"/>
  <c r="R1876" i="2"/>
  <c r="Q1876" i="2"/>
  <c r="P1876" i="2"/>
  <c r="O1876" i="2"/>
  <c r="N1876" i="2"/>
  <c r="M1876" i="2"/>
  <c r="L1876" i="2"/>
  <c r="K1876" i="2"/>
  <c r="H1876" i="2"/>
  <c r="G1876" i="2"/>
  <c r="F1876" i="2"/>
  <c r="E1876" i="2"/>
  <c r="D1876" i="2"/>
  <c r="C1876" i="2"/>
  <c r="B1876" i="2"/>
  <c r="A1876" i="2"/>
  <c r="AG1875" i="2"/>
  <c r="AF1875" i="2"/>
  <c r="AE1875" i="2"/>
  <c r="AD1875" i="2"/>
  <c r="AC1875" i="2"/>
  <c r="AB1875" i="2"/>
  <c r="Z1875" i="2"/>
  <c r="Y1875" i="2"/>
  <c r="X1875" i="2"/>
  <c r="W1875" i="2"/>
  <c r="V1875" i="2"/>
  <c r="U1875" i="2"/>
  <c r="S1875" i="2"/>
  <c r="R1875" i="2"/>
  <c r="Q1875" i="2"/>
  <c r="P1875" i="2"/>
  <c r="O1875" i="2"/>
  <c r="N1875" i="2"/>
  <c r="M1875" i="2"/>
  <c r="L1875" i="2"/>
  <c r="K1875" i="2"/>
  <c r="J1875" i="2"/>
  <c r="H1875" i="2"/>
  <c r="G1875" i="2"/>
  <c r="F1875" i="2"/>
  <c r="E1875" i="2"/>
  <c r="D1875" i="2"/>
  <c r="C1875" i="2"/>
  <c r="B1875" i="2"/>
  <c r="A1875" i="2"/>
  <c r="AG1874" i="2"/>
  <c r="AF1874" i="2"/>
  <c r="AE1874" i="2"/>
  <c r="AD1874" i="2"/>
  <c r="AC1874" i="2"/>
  <c r="AB1874" i="2"/>
  <c r="Z1874" i="2"/>
  <c r="Y1874" i="2"/>
  <c r="X1874" i="2"/>
  <c r="W1874" i="2"/>
  <c r="V1874" i="2"/>
  <c r="U1874" i="2"/>
  <c r="T1874" i="2"/>
  <c r="S1874" i="2"/>
  <c r="R1874" i="2"/>
  <c r="Q1874" i="2"/>
  <c r="P1874" i="2"/>
  <c r="O1874" i="2"/>
  <c r="N1874" i="2"/>
  <c r="M1874" i="2"/>
  <c r="L1874" i="2"/>
  <c r="K1874" i="2"/>
  <c r="H1874" i="2"/>
  <c r="G1874" i="2"/>
  <c r="F1874" i="2"/>
  <c r="E1874" i="2"/>
  <c r="D1874" i="2"/>
  <c r="C1874" i="2"/>
  <c r="B1874" i="2"/>
  <c r="A1874" i="2"/>
  <c r="AG1873" i="2"/>
  <c r="AF1873" i="2"/>
  <c r="AE1873" i="2"/>
  <c r="AD1873" i="2"/>
  <c r="AC1873" i="2"/>
  <c r="AB1873" i="2"/>
  <c r="Z1873" i="2"/>
  <c r="Y1873" i="2"/>
  <c r="X1873" i="2"/>
  <c r="W1873" i="2"/>
  <c r="V1873" i="2"/>
  <c r="U1873" i="2"/>
  <c r="T1873" i="2"/>
  <c r="S1873" i="2"/>
  <c r="R1873" i="2"/>
  <c r="Q1873" i="2"/>
  <c r="P1873" i="2"/>
  <c r="O1873" i="2"/>
  <c r="N1873" i="2"/>
  <c r="M1873" i="2"/>
  <c r="L1873" i="2"/>
  <c r="K1873" i="2"/>
  <c r="H1873" i="2"/>
  <c r="G1873" i="2"/>
  <c r="F1873" i="2"/>
  <c r="E1873" i="2"/>
  <c r="D1873" i="2"/>
  <c r="C1873" i="2"/>
  <c r="B1873" i="2"/>
  <c r="A1873" i="2"/>
  <c r="AG1872" i="2"/>
  <c r="AF1872" i="2"/>
  <c r="AE1872" i="2"/>
  <c r="AD1872" i="2"/>
  <c r="AC1872" i="2"/>
  <c r="AB1872" i="2"/>
  <c r="Z1872" i="2"/>
  <c r="Y1872" i="2"/>
  <c r="X1872" i="2"/>
  <c r="W1872" i="2"/>
  <c r="V1872" i="2"/>
  <c r="U1872" i="2"/>
  <c r="R1872" i="2"/>
  <c r="Q1872" i="2"/>
  <c r="P1872" i="2"/>
  <c r="O1872" i="2"/>
  <c r="N1872" i="2"/>
  <c r="M1872" i="2"/>
  <c r="L1872" i="2"/>
  <c r="K1872" i="2"/>
  <c r="H1872" i="2"/>
  <c r="G1872" i="2"/>
  <c r="F1872" i="2"/>
  <c r="E1872" i="2"/>
  <c r="D1872" i="2"/>
  <c r="C1872" i="2"/>
  <c r="B1872" i="2"/>
  <c r="A1872" i="2"/>
  <c r="AG1871" i="2"/>
  <c r="AF1871" i="2"/>
  <c r="AE1871" i="2"/>
  <c r="AD1871" i="2"/>
  <c r="AC1871" i="2"/>
  <c r="AB1871" i="2"/>
  <c r="AA1871" i="2"/>
  <c r="Z1871" i="2"/>
  <c r="Y1871" i="2"/>
  <c r="X1871" i="2"/>
  <c r="W1871" i="2"/>
  <c r="V1871" i="2"/>
  <c r="U1871" i="2"/>
  <c r="S1871" i="2"/>
  <c r="R1871" i="2"/>
  <c r="Q1871" i="2"/>
  <c r="P1871" i="2"/>
  <c r="O1871" i="2"/>
  <c r="N1871" i="2"/>
  <c r="M1871" i="2"/>
  <c r="L1871" i="2"/>
  <c r="K1871" i="2"/>
  <c r="H1871" i="2"/>
  <c r="G1871" i="2"/>
  <c r="F1871" i="2"/>
  <c r="E1871" i="2"/>
  <c r="D1871" i="2"/>
  <c r="C1871" i="2"/>
  <c r="B1871" i="2"/>
  <c r="A1871" i="2"/>
  <c r="AG1870" i="2"/>
  <c r="AF1870" i="2"/>
  <c r="AE1870" i="2"/>
  <c r="AD1870" i="2"/>
  <c r="AC1870" i="2"/>
  <c r="AB1870" i="2"/>
  <c r="Z1870" i="2"/>
  <c r="Y1870" i="2"/>
  <c r="X1870" i="2"/>
  <c r="W1870" i="2"/>
  <c r="V1870" i="2"/>
  <c r="U1870" i="2"/>
  <c r="T1870" i="2"/>
  <c r="S1870" i="2"/>
  <c r="R1870" i="2"/>
  <c r="Q1870" i="2"/>
  <c r="P1870" i="2"/>
  <c r="O1870" i="2"/>
  <c r="N1870" i="2"/>
  <c r="M1870" i="2"/>
  <c r="L1870" i="2"/>
  <c r="K1870" i="2"/>
  <c r="H1870" i="2"/>
  <c r="G1870" i="2"/>
  <c r="F1870" i="2"/>
  <c r="E1870" i="2"/>
  <c r="D1870" i="2"/>
  <c r="C1870" i="2"/>
  <c r="B1870" i="2"/>
  <c r="A1870" i="2"/>
  <c r="AG1869" i="2"/>
  <c r="AF1869" i="2"/>
  <c r="AE1869" i="2"/>
  <c r="AD1869" i="2"/>
  <c r="AC1869" i="2"/>
  <c r="AB1869" i="2"/>
  <c r="Y1869" i="2"/>
  <c r="X1869" i="2"/>
  <c r="W1869" i="2"/>
  <c r="V1869" i="2"/>
  <c r="U1869" i="2"/>
  <c r="T1869" i="2"/>
  <c r="S1869" i="2"/>
  <c r="R1869" i="2"/>
  <c r="Q1869" i="2"/>
  <c r="P1869" i="2"/>
  <c r="O1869" i="2"/>
  <c r="N1869" i="2"/>
  <c r="M1869" i="2"/>
  <c r="L1869" i="2"/>
  <c r="K1869" i="2"/>
  <c r="H1869" i="2"/>
  <c r="G1869" i="2"/>
  <c r="F1869" i="2"/>
  <c r="E1869" i="2"/>
  <c r="D1869" i="2"/>
  <c r="C1869" i="2"/>
  <c r="B1869" i="2"/>
  <c r="A1869" i="2"/>
  <c r="AG1868" i="2"/>
  <c r="AF1868" i="2"/>
  <c r="AE1868" i="2"/>
  <c r="AD1868" i="2"/>
  <c r="AC1868" i="2"/>
  <c r="AB1868" i="2"/>
  <c r="Z1868" i="2"/>
  <c r="Y1868" i="2"/>
  <c r="X1868" i="2"/>
  <c r="W1868" i="2"/>
  <c r="V1868" i="2"/>
  <c r="U1868" i="2"/>
  <c r="S1868" i="2"/>
  <c r="R1868" i="2"/>
  <c r="Q1868" i="2"/>
  <c r="P1868" i="2"/>
  <c r="O1868" i="2"/>
  <c r="N1868" i="2"/>
  <c r="M1868" i="2"/>
  <c r="L1868" i="2"/>
  <c r="K1868" i="2"/>
  <c r="H1868" i="2"/>
  <c r="G1868" i="2"/>
  <c r="F1868" i="2"/>
  <c r="E1868" i="2"/>
  <c r="D1868" i="2"/>
  <c r="C1868" i="2"/>
  <c r="B1868" i="2"/>
  <c r="A1868" i="2"/>
  <c r="AG1867" i="2"/>
  <c r="AF1867" i="2"/>
  <c r="AE1867" i="2"/>
  <c r="AD1867" i="2"/>
  <c r="AC1867" i="2"/>
  <c r="AB1867" i="2"/>
  <c r="Z1867" i="2"/>
  <c r="Y1867" i="2"/>
  <c r="X1867" i="2"/>
  <c r="W1867" i="2"/>
  <c r="V1867" i="2"/>
  <c r="U1867" i="2"/>
  <c r="R1867" i="2"/>
  <c r="Q1867" i="2"/>
  <c r="P1867" i="2"/>
  <c r="O1867" i="2"/>
  <c r="N1867" i="2"/>
  <c r="M1867" i="2"/>
  <c r="L1867" i="2"/>
  <c r="K1867" i="2"/>
  <c r="H1867" i="2"/>
  <c r="G1867" i="2"/>
  <c r="F1867" i="2"/>
  <c r="E1867" i="2"/>
  <c r="D1867" i="2"/>
  <c r="C1867" i="2"/>
  <c r="B1867" i="2"/>
  <c r="A1867" i="2"/>
  <c r="AG1866" i="2"/>
  <c r="AF1866" i="2"/>
  <c r="AE1866" i="2"/>
  <c r="AD1866" i="2"/>
  <c r="AC1866" i="2"/>
  <c r="AB1866" i="2"/>
  <c r="Z1866" i="2"/>
  <c r="Y1866" i="2"/>
  <c r="X1866" i="2"/>
  <c r="W1866" i="2"/>
  <c r="V1866" i="2"/>
  <c r="U1866" i="2"/>
  <c r="T1866" i="2"/>
  <c r="S1866" i="2"/>
  <c r="R1866" i="2"/>
  <c r="Q1866" i="2"/>
  <c r="P1866" i="2"/>
  <c r="O1866" i="2"/>
  <c r="N1866" i="2"/>
  <c r="M1866" i="2"/>
  <c r="L1866" i="2"/>
  <c r="K1866" i="2"/>
  <c r="H1866" i="2"/>
  <c r="G1866" i="2"/>
  <c r="F1866" i="2"/>
  <c r="E1866" i="2"/>
  <c r="D1866" i="2"/>
  <c r="C1866" i="2"/>
  <c r="B1866" i="2"/>
  <c r="A1866" i="2"/>
  <c r="AG1865" i="2"/>
  <c r="AF1865" i="2"/>
  <c r="AD1865" i="2"/>
  <c r="AC1865" i="2"/>
  <c r="AB1865" i="2"/>
  <c r="Y1865" i="2"/>
  <c r="X1865" i="2"/>
  <c r="W1865" i="2"/>
  <c r="V1865" i="2"/>
  <c r="U1865" i="2"/>
  <c r="T1865" i="2"/>
  <c r="S1865" i="2"/>
  <c r="R1865" i="2"/>
  <c r="Q1865" i="2"/>
  <c r="P1865" i="2"/>
  <c r="O1865" i="2"/>
  <c r="N1865" i="2"/>
  <c r="M1865" i="2"/>
  <c r="L1865" i="2"/>
  <c r="K1865" i="2"/>
  <c r="H1865" i="2"/>
  <c r="G1865" i="2"/>
  <c r="F1865" i="2"/>
  <c r="E1865" i="2"/>
  <c r="D1865" i="2"/>
  <c r="C1865" i="2"/>
  <c r="B1865" i="2"/>
  <c r="A1865" i="2"/>
  <c r="AG1864" i="2"/>
  <c r="AF1864" i="2"/>
  <c r="AE1864" i="2"/>
  <c r="AD1864" i="2"/>
  <c r="AC1864" i="2"/>
  <c r="AB1864" i="2"/>
  <c r="Z1864" i="2"/>
  <c r="Y1864" i="2"/>
  <c r="X1864" i="2"/>
  <c r="W1864" i="2"/>
  <c r="V1864" i="2"/>
  <c r="U1864" i="2"/>
  <c r="S1864" i="2"/>
  <c r="R1864" i="2"/>
  <c r="Q1864" i="2"/>
  <c r="P1864" i="2"/>
  <c r="O1864" i="2"/>
  <c r="N1864" i="2"/>
  <c r="M1864" i="2"/>
  <c r="L1864" i="2"/>
  <c r="K1864" i="2"/>
  <c r="H1864" i="2"/>
  <c r="G1864" i="2"/>
  <c r="F1864" i="2"/>
  <c r="E1864" i="2"/>
  <c r="D1864" i="2"/>
  <c r="C1864" i="2"/>
  <c r="B1864" i="2"/>
  <c r="A1864" i="2"/>
  <c r="AG1863" i="2"/>
  <c r="AF1863" i="2"/>
  <c r="AE1863" i="2"/>
  <c r="AD1863" i="2"/>
  <c r="AC1863" i="2"/>
  <c r="AB1863" i="2"/>
  <c r="Z1863" i="2"/>
  <c r="Y1863" i="2"/>
  <c r="X1863" i="2"/>
  <c r="W1863" i="2"/>
  <c r="V1863" i="2"/>
  <c r="U1863" i="2"/>
  <c r="T1863" i="2"/>
  <c r="S1863" i="2"/>
  <c r="R1863" i="2"/>
  <c r="Q1863" i="2"/>
  <c r="P1863" i="2"/>
  <c r="O1863" i="2"/>
  <c r="N1863" i="2"/>
  <c r="M1863" i="2"/>
  <c r="L1863" i="2"/>
  <c r="K1863" i="2"/>
  <c r="H1863" i="2"/>
  <c r="G1863" i="2"/>
  <c r="F1863" i="2"/>
  <c r="E1863" i="2"/>
  <c r="D1863" i="2"/>
  <c r="C1863" i="2"/>
  <c r="B1863" i="2"/>
  <c r="A1863" i="2"/>
  <c r="AG1862" i="2"/>
  <c r="AF1862" i="2"/>
  <c r="AE1862" i="2"/>
  <c r="AD1862" i="2"/>
  <c r="AC1862" i="2"/>
  <c r="AB1862" i="2"/>
  <c r="Z1862" i="2"/>
  <c r="Y1862" i="2"/>
  <c r="X1862" i="2"/>
  <c r="W1862" i="2"/>
  <c r="V1862" i="2"/>
  <c r="U1862" i="2"/>
  <c r="T1862" i="2"/>
  <c r="S1862" i="2"/>
  <c r="R1862" i="2"/>
  <c r="Q1862" i="2"/>
  <c r="P1862" i="2"/>
  <c r="O1862" i="2"/>
  <c r="N1862" i="2"/>
  <c r="M1862" i="2"/>
  <c r="L1862" i="2"/>
  <c r="K1862" i="2"/>
  <c r="H1862" i="2"/>
  <c r="G1862" i="2"/>
  <c r="F1862" i="2"/>
  <c r="E1862" i="2"/>
  <c r="D1862" i="2"/>
  <c r="C1862" i="2"/>
  <c r="B1862" i="2"/>
  <c r="A1862" i="2"/>
  <c r="AG1861" i="2"/>
  <c r="AF1861" i="2"/>
  <c r="AE1861" i="2"/>
  <c r="AD1861" i="2"/>
  <c r="AC1861" i="2"/>
  <c r="AB1861" i="2"/>
  <c r="Z1861" i="2"/>
  <c r="Y1861" i="2"/>
  <c r="X1861" i="2"/>
  <c r="W1861" i="2"/>
  <c r="V1861" i="2"/>
  <c r="U1861" i="2"/>
  <c r="S1861" i="2"/>
  <c r="R1861" i="2"/>
  <c r="Q1861" i="2"/>
  <c r="P1861" i="2"/>
  <c r="O1861" i="2"/>
  <c r="N1861" i="2"/>
  <c r="M1861" i="2"/>
  <c r="L1861" i="2"/>
  <c r="K1861" i="2"/>
  <c r="H1861" i="2"/>
  <c r="G1861" i="2"/>
  <c r="F1861" i="2"/>
  <c r="E1861" i="2"/>
  <c r="D1861" i="2"/>
  <c r="C1861" i="2"/>
  <c r="B1861" i="2"/>
  <c r="A1861" i="2"/>
  <c r="AG1860" i="2"/>
  <c r="AF1860" i="2"/>
  <c r="AE1860" i="2"/>
  <c r="AD1860" i="2"/>
  <c r="AC1860" i="2"/>
  <c r="AB1860" i="2"/>
  <c r="Z1860" i="2"/>
  <c r="Y1860" i="2"/>
  <c r="X1860" i="2"/>
  <c r="W1860" i="2"/>
  <c r="V1860" i="2"/>
  <c r="U1860" i="2"/>
  <c r="T1860" i="2"/>
  <c r="S1860" i="2"/>
  <c r="R1860" i="2"/>
  <c r="Q1860" i="2"/>
  <c r="P1860" i="2"/>
  <c r="O1860" i="2"/>
  <c r="N1860" i="2"/>
  <c r="M1860" i="2"/>
  <c r="L1860" i="2"/>
  <c r="K1860" i="2"/>
  <c r="H1860" i="2"/>
  <c r="G1860" i="2"/>
  <c r="F1860" i="2"/>
  <c r="E1860" i="2"/>
  <c r="D1860" i="2"/>
  <c r="C1860" i="2"/>
  <c r="B1860" i="2"/>
  <c r="A1860" i="2"/>
  <c r="AG1859" i="2"/>
  <c r="AF1859" i="2"/>
  <c r="AE1859" i="2"/>
  <c r="AD1859" i="2"/>
  <c r="AC1859" i="2"/>
  <c r="AB1859" i="2"/>
  <c r="AA1859" i="2"/>
  <c r="Z1859" i="2"/>
  <c r="Y1859" i="2"/>
  <c r="X1859" i="2"/>
  <c r="W1859" i="2"/>
  <c r="V1859" i="2"/>
  <c r="U1859" i="2"/>
  <c r="S1859" i="2"/>
  <c r="R1859" i="2"/>
  <c r="Q1859" i="2"/>
  <c r="P1859" i="2"/>
  <c r="O1859" i="2"/>
  <c r="N1859" i="2"/>
  <c r="M1859" i="2"/>
  <c r="L1859" i="2"/>
  <c r="K1859" i="2"/>
  <c r="H1859" i="2"/>
  <c r="G1859" i="2"/>
  <c r="F1859" i="2"/>
  <c r="E1859" i="2"/>
  <c r="D1859" i="2"/>
  <c r="C1859" i="2"/>
  <c r="B1859" i="2"/>
  <c r="A1859" i="2"/>
  <c r="AG1858" i="2"/>
  <c r="AF1858" i="2"/>
  <c r="AE1858" i="2"/>
  <c r="AD1858" i="2"/>
  <c r="AC1858" i="2"/>
  <c r="AB1858" i="2"/>
  <c r="Y1858" i="2"/>
  <c r="X1858" i="2"/>
  <c r="W1858" i="2"/>
  <c r="V1858" i="2"/>
  <c r="U1858" i="2"/>
  <c r="S1858" i="2"/>
  <c r="R1858" i="2"/>
  <c r="Q1858" i="2"/>
  <c r="P1858" i="2"/>
  <c r="O1858" i="2"/>
  <c r="N1858" i="2"/>
  <c r="M1858" i="2"/>
  <c r="L1858" i="2"/>
  <c r="K1858" i="2"/>
  <c r="H1858" i="2"/>
  <c r="G1858" i="2"/>
  <c r="F1858" i="2"/>
  <c r="E1858" i="2"/>
  <c r="D1858" i="2"/>
  <c r="C1858" i="2"/>
  <c r="B1858" i="2"/>
  <c r="A1858" i="2"/>
  <c r="AH1857" i="2"/>
  <c r="AG1857" i="2"/>
  <c r="AF1857" i="2"/>
  <c r="AE1857" i="2"/>
  <c r="AD1857" i="2"/>
  <c r="AC1857" i="2"/>
  <c r="AB1857" i="2"/>
  <c r="Z1857" i="2"/>
  <c r="Y1857" i="2"/>
  <c r="X1857" i="2"/>
  <c r="W1857" i="2"/>
  <c r="V1857" i="2"/>
  <c r="T1857" i="2"/>
  <c r="S1857" i="2"/>
  <c r="R1857" i="2"/>
  <c r="Q1857" i="2"/>
  <c r="P1857" i="2"/>
  <c r="O1857" i="2"/>
  <c r="N1857" i="2"/>
  <c r="M1857" i="2"/>
  <c r="L1857" i="2"/>
  <c r="K1857" i="2"/>
  <c r="H1857" i="2"/>
  <c r="G1857" i="2"/>
  <c r="F1857" i="2"/>
  <c r="E1857" i="2"/>
  <c r="D1857" i="2"/>
  <c r="C1857" i="2"/>
  <c r="B1857" i="2"/>
  <c r="A1857" i="2"/>
  <c r="AG1856" i="2"/>
  <c r="AF1856" i="2"/>
  <c r="AD1856" i="2"/>
  <c r="AC1856" i="2"/>
  <c r="AB1856" i="2"/>
  <c r="Z1856" i="2"/>
  <c r="Y1856" i="2"/>
  <c r="X1856" i="2"/>
  <c r="W1856" i="2"/>
  <c r="V1856" i="2"/>
  <c r="U1856" i="2"/>
  <c r="R1856" i="2"/>
  <c r="Q1856" i="2"/>
  <c r="P1856" i="2"/>
  <c r="O1856" i="2"/>
  <c r="N1856" i="2"/>
  <c r="M1856" i="2"/>
  <c r="L1856" i="2"/>
  <c r="K1856" i="2"/>
  <c r="H1856" i="2"/>
  <c r="G1856" i="2"/>
  <c r="F1856" i="2"/>
  <c r="E1856" i="2"/>
  <c r="D1856" i="2"/>
  <c r="C1856" i="2"/>
  <c r="B1856" i="2"/>
  <c r="A1856" i="2"/>
  <c r="AG1855" i="2"/>
  <c r="AF1855" i="2"/>
  <c r="AE1855" i="2"/>
  <c r="AD1855" i="2"/>
  <c r="AC1855" i="2"/>
  <c r="AB1855" i="2"/>
  <c r="Z1855" i="2"/>
  <c r="Y1855" i="2"/>
  <c r="X1855" i="2"/>
  <c r="W1855" i="2"/>
  <c r="V1855" i="2"/>
  <c r="U1855" i="2"/>
  <c r="R1855" i="2"/>
  <c r="Q1855" i="2"/>
  <c r="P1855" i="2"/>
  <c r="O1855" i="2"/>
  <c r="N1855" i="2"/>
  <c r="M1855" i="2"/>
  <c r="L1855" i="2"/>
  <c r="K1855" i="2"/>
  <c r="H1855" i="2"/>
  <c r="G1855" i="2"/>
  <c r="F1855" i="2"/>
  <c r="E1855" i="2"/>
  <c r="D1855" i="2"/>
  <c r="C1855" i="2"/>
  <c r="B1855" i="2"/>
  <c r="A1855" i="2"/>
  <c r="AG1854" i="2"/>
  <c r="AF1854" i="2"/>
  <c r="AE1854" i="2"/>
  <c r="AD1854" i="2"/>
  <c r="AC1854" i="2"/>
  <c r="AB1854" i="2"/>
  <c r="Z1854" i="2"/>
  <c r="Y1854" i="2"/>
  <c r="X1854" i="2"/>
  <c r="W1854" i="2"/>
  <c r="V1854" i="2"/>
  <c r="U1854" i="2"/>
  <c r="R1854" i="2"/>
  <c r="Q1854" i="2"/>
  <c r="P1854" i="2"/>
  <c r="O1854" i="2"/>
  <c r="N1854" i="2"/>
  <c r="M1854" i="2"/>
  <c r="L1854" i="2"/>
  <c r="K1854" i="2"/>
  <c r="H1854" i="2"/>
  <c r="G1854" i="2"/>
  <c r="F1854" i="2"/>
  <c r="E1854" i="2"/>
  <c r="D1854" i="2"/>
  <c r="C1854" i="2"/>
  <c r="B1854" i="2"/>
  <c r="A1854" i="2"/>
  <c r="AG1853" i="2"/>
  <c r="AF1853" i="2"/>
  <c r="AE1853" i="2"/>
  <c r="AD1853" i="2"/>
  <c r="AC1853" i="2"/>
  <c r="AB1853" i="2"/>
  <c r="Z1853" i="2"/>
  <c r="Y1853" i="2"/>
  <c r="X1853" i="2"/>
  <c r="W1853" i="2"/>
  <c r="V1853" i="2"/>
  <c r="U1853" i="2"/>
  <c r="T1853" i="2"/>
  <c r="S1853" i="2"/>
  <c r="R1853" i="2"/>
  <c r="Q1853" i="2"/>
  <c r="P1853" i="2"/>
  <c r="O1853" i="2"/>
  <c r="N1853" i="2"/>
  <c r="M1853" i="2"/>
  <c r="L1853" i="2"/>
  <c r="K1853" i="2"/>
  <c r="H1853" i="2"/>
  <c r="G1853" i="2"/>
  <c r="F1853" i="2"/>
  <c r="E1853" i="2"/>
  <c r="D1853" i="2"/>
  <c r="C1853" i="2"/>
  <c r="B1853" i="2"/>
  <c r="A1853" i="2"/>
  <c r="AG1852" i="2"/>
  <c r="AF1852" i="2"/>
  <c r="AE1852" i="2"/>
  <c r="AD1852" i="2"/>
  <c r="AC1852" i="2"/>
  <c r="AB1852" i="2"/>
  <c r="Z1852" i="2"/>
  <c r="Y1852" i="2"/>
  <c r="X1852" i="2"/>
  <c r="W1852" i="2"/>
  <c r="V1852" i="2"/>
  <c r="U1852" i="2"/>
  <c r="T1852" i="2"/>
  <c r="S1852" i="2"/>
  <c r="R1852" i="2"/>
  <c r="Q1852" i="2"/>
  <c r="P1852" i="2"/>
  <c r="O1852" i="2"/>
  <c r="N1852" i="2"/>
  <c r="M1852" i="2"/>
  <c r="L1852" i="2"/>
  <c r="K1852" i="2"/>
  <c r="H1852" i="2"/>
  <c r="G1852" i="2"/>
  <c r="F1852" i="2"/>
  <c r="E1852" i="2"/>
  <c r="D1852" i="2"/>
  <c r="C1852" i="2"/>
  <c r="B1852" i="2"/>
  <c r="A1852" i="2"/>
  <c r="AH1851" i="2"/>
  <c r="AG1851" i="2"/>
  <c r="AF1851" i="2"/>
  <c r="AE1851" i="2"/>
  <c r="AD1851" i="2"/>
  <c r="AC1851" i="2"/>
  <c r="AB1851" i="2"/>
  <c r="Z1851" i="2"/>
  <c r="Y1851" i="2"/>
  <c r="X1851" i="2"/>
  <c r="W1851" i="2"/>
  <c r="V1851" i="2"/>
  <c r="U1851" i="2"/>
  <c r="T1851" i="2"/>
  <c r="S1851" i="2"/>
  <c r="R1851" i="2"/>
  <c r="Q1851" i="2"/>
  <c r="P1851" i="2"/>
  <c r="O1851" i="2"/>
  <c r="N1851" i="2"/>
  <c r="M1851" i="2"/>
  <c r="L1851" i="2"/>
  <c r="K1851" i="2"/>
  <c r="H1851" i="2"/>
  <c r="G1851" i="2"/>
  <c r="F1851" i="2"/>
  <c r="E1851" i="2"/>
  <c r="D1851" i="2"/>
  <c r="C1851" i="2"/>
  <c r="B1851" i="2"/>
  <c r="A1851" i="2"/>
  <c r="AG1850" i="2"/>
  <c r="AF1850" i="2"/>
  <c r="AE1850" i="2"/>
  <c r="AD1850" i="2"/>
  <c r="AC1850" i="2"/>
  <c r="AB1850" i="2"/>
  <c r="Z1850" i="2"/>
  <c r="Y1850" i="2"/>
  <c r="X1850" i="2"/>
  <c r="W1850" i="2"/>
  <c r="V1850" i="2"/>
  <c r="U1850" i="2"/>
  <c r="T1850" i="2"/>
  <c r="S1850" i="2"/>
  <c r="R1850" i="2"/>
  <c r="Q1850" i="2"/>
  <c r="P1850" i="2"/>
  <c r="O1850" i="2"/>
  <c r="N1850" i="2"/>
  <c r="M1850" i="2"/>
  <c r="L1850" i="2"/>
  <c r="K1850" i="2"/>
  <c r="H1850" i="2"/>
  <c r="G1850" i="2"/>
  <c r="F1850" i="2"/>
  <c r="E1850" i="2"/>
  <c r="D1850" i="2"/>
  <c r="C1850" i="2"/>
  <c r="B1850" i="2"/>
  <c r="A1850" i="2"/>
  <c r="AG1849" i="2"/>
  <c r="AF1849" i="2"/>
  <c r="AE1849" i="2"/>
  <c r="AD1849" i="2"/>
  <c r="AC1849" i="2"/>
  <c r="AB1849" i="2"/>
  <c r="Y1849" i="2"/>
  <c r="X1849" i="2"/>
  <c r="W1849" i="2"/>
  <c r="V1849" i="2"/>
  <c r="U1849" i="2"/>
  <c r="R1849" i="2"/>
  <c r="Q1849" i="2"/>
  <c r="P1849" i="2"/>
  <c r="O1849" i="2"/>
  <c r="N1849" i="2"/>
  <c r="M1849" i="2"/>
  <c r="L1849" i="2"/>
  <c r="K1849" i="2"/>
  <c r="H1849" i="2"/>
  <c r="G1849" i="2"/>
  <c r="F1849" i="2"/>
  <c r="E1849" i="2"/>
  <c r="D1849" i="2"/>
  <c r="C1849" i="2"/>
  <c r="B1849" i="2"/>
  <c r="A1849" i="2"/>
  <c r="AG1848" i="2"/>
  <c r="AF1848" i="2"/>
  <c r="AE1848" i="2"/>
  <c r="AD1848" i="2"/>
  <c r="AC1848" i="2"/>
  <c r="AB1848" i="2"/>
  <c r="Z1848" i="2"/>
  <c r="Y1848" i="2"/>
  <c r="X1848" i="2"/>
  <c r="W1848" i="2"/>
  <c r="V1848" i="2"/>
  <c r="U1848" i="2"/>
  <c r="T1848" i="2"/>
  <c r="S1848" i="2"/>
  <c r="R1848" i="2"/>
  <c r="Q1848" i="2"/>
  <c r="P1848" i="2"/>
  <c r="O1848" i="2"/>
  <c r="N1848" i="2"/>
  <c r="M1848" i="2"/>
  <c r="L1848" i="2"/>
  <c r="K1848" i="2"/>
  <c r="H1848" i="2"/>
  <c r="G1848" i="2"/>
  <c r="F1848" i="2"/>
  <c r="E1848" i="2"/>
  <c r="D1848" i="2"/>
  <c r="C1848" i="2"/>
  <c r="B1848" i="2"/>
  <c r="A1848" i="2"/>
  <c r="AG1847" i="2"/>
  <c r="AF1847" i="2"/>
  <c r="AE1847" i="2"/>
  <c r="AD1847" i="2"/>
  <c r="AC1847" i="2"/>
  <c r="AB1847" i="2"/>
  <c r="Z1847" i="2"/>
  <c r="Y1847" i="2"/>
  <c r="X1847" i="2"/>
  <c r="W1847" i="2"/>
  <c r="V1847" i="2"/>
  <c r="U1847" i="2"/>
  <c r="S1847" i="2"/>
  <c r="R1847" i="2"/>
  <c r="Q1847" i="2"/>
  <c r="P1847" i="2"/>
  <c r="O1847" i="2"/>
  <c r="N1847" i="2"/>
  <c r="M1847" i="2"/>
  <c r="L1847" i="2"/>
  <c r="K1847" i="2"/>
  <c r="H1847" i="2"/>
  <c r="G1847" i="2"/>
  <c r="F1847" i="2"/>
  <c r="E1847" i="2"/>
  <c r="D1847" i="2"/>
  <c r="C1847" i="2"/>
  <c r="B1847" i="2"/>
  <c r="A1847" i="2"/>
  <c r="AH1846" i="2"/>
  <c r="AG1846" i="2"/>
  <c r="AF1846" i="2"/>
  <c r="AE1846" i="2"/>
  <c r="AD1846" i="2"/>
  <c r="AC1846" i="2"/>
  <c r="AB1846" i="2"/>
  <c r="Z1846" i="2"/>
  <c r="Y1846" i="2"/>
  <c r="X1846" i="2"/>
  <c r="W1846" i="2"/>
  <c r="V1846" i="2"/>
  <c r="U1846" i="2"/>
  <c r="T1846" i="2"/>
  <c r="S1846" i="2"/>
  <c r="R1846" i="2"/>
  <c r="Q1846" i="2"/>
  <c r="P1846" i="2"/>
  <c r="O1846" i="2"/>
  <c r="N1846" i="2"/>
  <c r="M1846" i="2"/>
  <c r="L1846" i="2"/>
  <c r="K1846" i="2"/>
  <c r="H1846" i="2"/>
  <c r="G1846" i="2"/>
  <c r="F1846" i="2"/>
  <c r="E1846" i="2"/>
  <c r="D1846" i="2"/>
  <c r="C1846" i="2"/>
  <c r="B1846" i="2"/>
  <c r="A1846" i="2"/>
  <c r="AH1845" i="2"/>
  <c r="AG1845" i="2"/>
  <c r="AF1845" i="2"/>
  <c r="AD1845" i="2"/>
  <c r="AC1845" i="2"/>
  <c r="AB1845" i="2"/>
  <c r="Y1845" i="2"/>
  <c r="X1845" i="2"/>
  <c r="W1845" i="2"/>
  <c r="V1845" i="2"/>
  <c r="R1845" i="2"/>
  <c r="Q1845" i="2"/>
  <c r="P1845" i="2"/>
  <c r="O1845" i="2"/>
  <c r="N1845" i="2"/>
  <c r="M1845" i="2"/>
  <c r="L1845" i="2"/>
  <c r="K1845" i="2"/>
  <c r="J1845" i="2"/>
  <c r="H1845" i="2"/>
  <c r="G1845" i="2"/>
  <c r="F1845" i="2"/>
  <c r="E1845" i="2"/>
  <c r="D1845" i="2"/>
  <c r="C1845" i="2"/>
  <c r="B1845" i="2"/>
  <c r="A1845" i="2"/>
  <c r="AG1844" i="2"/>
  <c r="AF1844" i="2"/>
  <c r="AE1844" i="2"/>
  <c r="AD1844" i="2"/>
  <c r="AC1844" i="2"/>
  <c r="AB1844" i="2"/>
  <c r="Z1844" i="2"/>
  <c r="X1844" i="2"/>
  <c r="W1844" i="2"/>
  <c r="V1844" i="2"/>
  <c r="U1844" i="2"/>
  <c r="S1844" i="2"/>
  <c r="R1844" i="2"/>
  <c r="Q1844" i="2"/>
  <c r="P1844" i="2"/>
  <c r="O1844" i="2"/>
  <c r="N1844" i="2"/>
  <c r="M1844" i="2"/>
  <c r="L1844" i="2"/>
  <c r="K1844" i="2"/>
  <c r="H1844" i="2"/>
  <c r="G1844" i="2"/>
  <c r="F1844" i="2"/>
  <c r="E1844" i="2"/>
  <c r="D1844" i="2"/>
  <c r="C1844" i="2"/>
  <c r="B1844" i="2"/>
  <c r="A1844" i="2"/>
  <c r="AG1843" i="2"/>
  <c r="AF1843" i="2"/>
  <c r="AE1843" i="2"/>
  <c r="AD1843" i="2"/>
  <c r="AC1843" i="2"/>
  <c r="AB1843" i="2"/>
  <c r="Z1843" i="2"/>
  <c r="Y1843" i="2"/>
  <c r="X1843" i="2"/>
  <c r="W1843" i="2"/>
  <c r="V1843" i="2"/>
  <c r="U1843" i="2"/>
  <c r="T1843" i="2"/>
  <c r="S1843" i="2"/>
  <c r="R1843" i="2"/>
  <c r="Q1843" i="2"/>
  <c r="P1843" i="2"/>
  <c r="O1843" i="2"/>
  <c r="N1843" i="2"/>
  <c r="M1843" i="2"/>
  <c r="L1843" i="2"/>
  <c r="K1843" i="2"/>
  <c r="H1843" i="2"/>
  <c r="G1843" i="2"/>
  <c r="F1843" i="2"/>
  <c r="E1843" i="2"/>
  <c r="D1843" i="2"/>
  <c r="C1843" i="2"/>
  <c r="B1843" i="2"/>
  <c r="A1843" i="2"/>
  <c r="AG1842" i="2"/>
  <c r="AF1842" i="2"/>
  <c r="AE1842" i="2"/>
  <c r="AD1842" i="2"/>
  <c r="AC1842" i="2"/>
  <c r="AB1842" i="2"/>
  <c r="Y1842" i="2"/>
  <c r="X1842" i="2"/>
  <c r="W1842" i="2"/>
  <c r="V1842" i="2"/>
  <c r="U1842" i="2"/>
  <c r="T1842" i="2"/>
  <c r="S1842" i="2"/>
  <c r="R1842" i="2"/>
  <c r="Q1842" i="2"/>
  <c r="P1842" i="2"/>
  <c r="O1842" i="2"/>
  <c r="N1842" i="2"/>
  <c r="M1842" i="2"/>
  <c r="L1842" i="2"/>
  <c r="K1842" i="2"/>
  <c r="H1842" i="2"/>
  <c r="G1842" i="2"/>
  <c r="F1842" i="2"/>
  <c r="E1842" i="2"/>
  <c r="D1842" i="2"/>
  <c r="C1842" i="2"/>
  <c r="B1842" i="2"/>
  <c r="A1842" i="2"/>
  <c r="AG1841" i="2"/>
  <c r="AF1841" i="2"/>
  <c r="AE1841" i="2"/>
  <c r="AD1841" i="2"/>
  <c r="AC1841" i="2"/>
  <c r="AB1841" i="2"/>
  <c r="Z1841" i="2"/>
  <c r="Y1841" i="2"/>
  <c r="X1841" i="2"/>
  <c r="W1841" i="2"/>
  <c r="V1841" i="2"/>
  <c r="S1841" i="2"/>
  <c r="R1841" i="2"/>
  <c r="Q1841" i="2"/>
  <c r="P1841" i="2"/>
  <c r="O1841" i="2"/>
  <c r="N1841" i="2"/>
  <c r="M1841" i="2"/>
  <c r="L1841" i="2"/>
  <c r="K1841" i="2"/>
  <c r="J1841" i="2"/>
  <c r="I1841" i="2"/>
  <c r="H1841" i="2"/>
  <c r="G1841" i="2"/>
  <c r="F1841" i="2"/>
  <c r="E1841" i="2"/>
  <c r="D1841" i="2"/>
  <c r="C1841" i="2"/>
  <c r="B1841" i="2"/>
  <c r="A1841" i="2"/>
  <c r="AG1840" i="2"/>
  <c r="AF1840" i="2"/>
  <c r="AE1840" i="2"/>
  <c r="AD1840" i="2"/>
  <c r="AC1840" i="2"/>
  <c r="AB1840" i="2"/>
  <c r="Z1840" i="2"/>
  <c r="Y1840" i="2"/>
  <c r="X1840" i="2"/>
  <c r="W1840" i="2"/>
  <c r="V1840" i="2"/>
  <c r="T1840" i="2"/>
  <c r="S1840" i="2"/>
  <c r="R1840" i="2"/>
  <c r="Q1840" i="2"/>
  <c r="P1840" i="2"/>
  <c r="O1840" i="2"/>
  <c r="N1840" i="2"/>
  <c r="M1840" i="2"/>
  <c r="L1840" i="2"/>
  <c r="K1840" i="2"/>
  <c r="H1840" i="2"/>
  <c r="G1840" i="2"/>
  <c r="F1840" i="2"/>
  <c r="E1840" i="2"/>
  <c r="D1840" i="2"/>
  <c r="C1840" i="2"/>
  <c r="B1840" i="2"/>
  <c r="A1840" i="2"/>
  <c r="AG1839" i="2"/>
  <c r="AF1839" i="2"/>
  <c r="AE1839" i="2"/>
  <c r="AD1839" i="2"/>
  <c r="AC1839" i="2"/>
  <c r="AB1839" i="2"/>
  <c r="Z1839" i="2"/>
  <c r="Y1839" i="2"/>
  <c r="X1839" i="2"/>
  <c r="W1839" i="2"/>
  <c r="V1839" i="2"/>
  <c r="U1839" i="2"/>
  <c r="T1839" i="2"/>
  <c r="S1839" i="2"/>
  <c r="R1839" i="2"/>
  <c r="Q1839" i="2"/>
  <c r="P1839" i="2"/>
  <c r="O1839" i="2"/>
  <c r="N1839" i="2"/>
  <c r="M1839" i="2"/>
  <c r="L1839" i="2"/>
  <c r="K1839" i="2"/>
  <c r="H1839" i="2"/>
  <c r="G1839" i="2"/>
  <c r="F1839" i="2"/>
  <c r="E1839" i="2"/>
  <c r="D1839" i="2"/>
  <c r="C1839" i="2"/>
  <c r="B1839" i="2"/>
  <c r="A1839" i="2"/>
  <c r="AG1838" i="2"/>
  <c r="AF1838" i="2"/>
  <c r="AE1838" i="2"/>
  <c r="AD1838" i="2"/>
  <c r="AC1838" i="2"/>
  <c r="AB1838" i="2"/>
  <c r="AA1838" i="2"/>
  <c r="Z1838" i="2"/>
  <c r="Y1838" i="2"/>
  <c r="X1838" i="2"/>
  <c r="W1838" i="2"/>
  <c r="V1838" i="2"/>
  <c r="U1838" i="2"/>
  <c r="T1838" i="2"/>
  <c r="S1838" i="2"/>
  <c r="R1838" i="2"/>
  <c r="Q1838" i="2"/>
  <c r="P1838" i="2"/>
  <c r="O1838" i="2"/>
  <c r="N1838" i="2"/>
  <c r="M1838" i="2"/>
  <c r="L1838" i="2"/>
  <c r="K1838" i="2"/>
  <c r="H1838" i="2"/>
  <c r="G1838" i="2"/>
  <c r="F1838" i="2"/>
  <c r="E1838" i="2"/>
  <c r="D1838" i="2"/>
  <c r="C1838" i="2"/>
  <c r="B1838" i="2"/>
  <c r="A1838" i="2"/>
  <c r="AG1837" i="2"/>
  <c r="AF1837" i="2"/>
  <c r="AE1837" i="2"/>
  <c r="AD1837" i="2"/>
  <c r="AC1837" i="2"/>
  <c r="AB1837" i="2"/>
  <c r="Z1837" i="2"/>
  <c r="Y1837" i="2"/>
  <c r="X1837" i="2"/>
  <c r="W1837" i="2"/>
  <c r="V1837" i="2"/>
  <c r="U1837" i="2"/>
  <c r="T1837" i="2"/>
  <c r="S1837" i="2"/>
  <c r="R1837" i="2"/>
  <c r="Q1837" i="2"/>
  <c r="P1837" i="2"/>
  <c r="O1837" i="2"/>
  <c r="N1837" i="2"/>
  <c r="M1837" i="2"/>
  <c r="L1837" i="2"/>
  <c r="K1837" i="2"/>
  <c r="H1837" i="2"/>
  <c r="G1837" i="2"/>
  <c r="F1837" i="2"/>
  <c r="E1837" i="2"/>
  <c r="D1837" i="2"/>
  <c r="C1837" i="2"/>
  <c r="B1837" i="2"/>
  <c r="A1837" i="2"/>
  <c r="AH1836" i="2"/>
  <c r="AG1836" i="2"/>
  <c r="AF1836" i="2"/>
  <c r="AE1836" i="2"/>
  <c r="AD1836" i="2"/>
  <c r="AC1836" i="2"/>
  <c r="AB1836" i="2"/>
  <c r="Z1836" i="2"/>
  <c r="Y1836" i="2"/>
  <c r="X1836" i="2"/>
  <c r="W1836" i="2"/>
  <c r="V1836" i="2"/>
  <c r="U1836" i="2"/>
  <c r="T1836" i="2"/>
  <c r="S1836" i="2"/>
  <c r="R1836" i="2"/>
  <c r="Q1836" i="2"/>
  <c r="P1836" i="2"/>
  <c r="O1836" i="2"/>
  <c r="N1836" i="2"/>
  <c r="M1836" i="2"/>
  <c r="L1836" i="2"/>
  <c r="K1836" i="2"/>
  <c r="H1836" i="2"/>
  <c r="G1836" i="2"/>
  <c r="F1836" i="2"/>
  <c r="E1836" i="2"/>
  <c r="D1836" i="2"/>
  <c r="C1836" i="2"/>
  <c r="B1836" i="2"/>
  <c r="A1836" i="2"/>
  <c r="AG1835" i="2"/>
  <c r="AF1835" i="2"/>
  <c r="AE1835" i="2"/>
  <c r="AD1835" i="2"/>
  <c r="AC1835" i="2"/>
  <c r="AB1835" i="2"/>
  <c r="Z1835" i="2"/>
  <c r="Y1835" i="2"/>
  <c r="X1835" i="2"/>
  <c r="W1835" i="2"/>
  <c r="V1835" i="2"/>
  <c r="U1835" i="2"/>
  <c r="R1835" i="2"/>
  <c r="Q1835" i="2"/>
  <c r="P1835" i="2"/>
  <c r="O1835" i="2"/>
  <c r="N1835" i="2"/>
  <c r="M1835" i="2"/>
  <c r="L1835" i="2"/>
  <c r="K1835" i="2"/>
  <c r="H1835" i="2"/>
  <c r="G1835" i="2"/>
  <c r="F1835" i="2"/>
  <c r="E1835" i="2"/>
  <c r="D1835" i="2"/>
  <c r="C1835" i="2"/>
  <c r="B1835" i="2"/>
  <c r="A1835" i="2"/>
  <c r="AH1834" i="2"/>
  <c r="AG1834" i="2"/>
  <c r="AF1834" i="2"/>
  <c r="AE1834" i="2"/>
  <c r="AD1834" i="2"/>
  <c r="AC1834" i="2"/>
  <c r="AB1834" i="2"/>
  <c r="Z1834" i="2"/>
  <c r="Y1834" i="2"/>
  <c r="X1834" i="2"/>
  <c r="W1834" i="2"/>
  <c r="V1834" i="2"/>
  <c r="U1834" i="2"/>
  <c r="T1834" i="2"/>
  <c r="S1834" i="2"/>
  <c r="R1834" i="2"/>
  <c r="Q1834" i="2"/>
  <c r="P1834" i="2"/>
  <c r="O1834" i="2"/>
  <c r="N1834" i="2"/>
  <c r="M1834" i="2"/>
  <c r="L1834" i="2"/>
  <c r="K1834" i="2"/>
  <c r="H1834" i="2"/>
  <c r="G1834" i="2"/>
  <c r="F1834" i="2"/>
  <c r="E1834" i="2"/>
  <c r="D1834" i="2"/>
  <c r="C1834" i="2"/>
  <c r="B1834" i="2"/>
  <c r="A1834" i="2"/>
  <c r="AG1833" i="2"/>
  <c r="AF1833" i="2"/>
  <c r="AE1833" i="2"/>
  <c r="AD1833" i="2"/>
  <c r="AC1833" i="2"/>
  <c r="AB1833" i="2"/>
  <c r="Z1833" i="2"/>
  <c r="Y1833" i="2"/>
  <c r="X1833" i="2"/>
  <c r="W1833" i="2"/>
  <c r="V1833" i="2"/>
  <c r="U1833" i="2"/>
  <c r="T1833" i="2"/>
  <c r="S1833" i="2"/>
  <c r="R1833" i="2"/>
  <c r="Q1833" i="2"/>
  <c r="P1833" i="2"/>
  <c r="O1833" i="2"/>
  <c r="N1833" i="2"/>
  <c r="M1833" i="2"/>
  <c r="L1833" i="2"/>
  <c r="K1833" i="2"/>
  <c r="H1833" i="2"/>
  <c r="G1833" i="2"/>
  <c r="F1833" i="2"/>
  <c r="E1833" i="2"/>
  <c r="D1833" i="2"/>
  <c r="C1833" i="2"/>
  <c r="B1833" i="2"/>
  <c r="A1833" i="2"/>
  <c r="AG1832" i="2"/>
  <c r="AF1832" i="2"/>
  <c r="AE1832" i="2"/>
  <c r="AD1832" i="2"/>
  <c r="AC1832" i="2"/>
  <c r="AB1832" i="2"/>
  <c r="Z1832" i="2"/>
  <c r="Y1832" i="2"/>
  <c r="X1832" i="2"/>
  <c r="W1832" i="2"/>
  <c r="V1832" i="2"/>
  <c r="U1832" i="2"/>
  <c r="T1832" i="2"/>
  <c r="S1832" i="2"/>
  <c r="R1832" i="2"/>
  <c r="Q1832" i="2"/>
  <c r="P1832" i="2"/>
  <c r="O1832" i="2"/>
  <c r="N1832" i="2"/>
  <c r="M1832" i="2"/>
  <c r="L1832" i="2"/>
  <c r="K1832" i="2"/>
  <c r="H1832" i="2"/>
  <c r="G1832" i="2"/>
  <c r="F1832" i="2"/>
  <c r="E1832" i="2"/>
  <c r="D1832" i="2"/>
  <c r="C1832" i="2"/>
  <c r="B1832" i="2"/>
  <c r="A1832" i="2"/>
  <c r="AG1831" i="2"/>
  <c r="AF1831" i="2"/>
  <c r="AE1831" i="2"/>
  <c r="AD1831" i="2"/>
  <c r="AC1831" i="2"/>
  <c r="AB1831" i="2"/>
  <c r="Z1831" i="2"/>
  <c r="Y1831" i="2"/>
  <c r="X1831" i="2"/>
  <c r="W1831" i="2"/>
  <c r="V1831" i="2"/>
  <c r="S1831" i="2"/>
  <c r="R1831" i="2"/>
  <c r="Q1831" i="2"/>
  <c r="P1831" i="2"/>
  <c r="O1831" i="2"/>
  <c r="N1831" i="2"/>
  <c r="M1831" i="2"/>
  <c r="L1831" i="2"/>
  <c r="K1831" i="2"/>
  <c r="H1831" i="2"/>
  <c r="G1831" i="2"/>
  <c r="F1831" i="2"/>
  <c r="E1831" i="2"/>
  <c r="D1831" i="2"/>
  <c r="C1831" i="2"/>
  <c r="B1831" i="2"/>
  <c r="A1831" i="2"/>
  <c r="AH1830" i="2"/>
  <c r="AG1830" i="2"/>
  <c r="AF1830" i="2"/>
  <c r="AE1830" i="2"/>
  <c r="AD1830" i="2"/>
  <c r="AC1830" i="2"/>
  <c r="AB1830" i="2"/>
  <c r="Z1830" i="2"/>
  <c r="Y1830" i="2"/>
  <c r="X1830" i="2"/>
  <c r="W1830" i="2"/>
  <c r="V1830" i="2"/>
  <c r="U1830" i="2"/>
  <c r="S1830" i="2"/>
  <c r="R1830" i="2"/>
  <c r="Q1830" i="2"/>
  <c r="P1830" i="2"/>
  <c r="O1830" i="2"/>
  <c r="N1830" i="2"/>
  <c r="M1830" i="2"/>
  <c r="L1830" i="2"/>
  <c r="K1830" i="2"/>
  <c r="J1830" i="2"/>
  <c r="I1830" i="2"/>
  <c r="H1830" i="2"/>
  <c r="G1830" i="2"/>
  <c r="F1830" i="2"/>
  <c r="E1830" i="2"/>
  <c r="D1830" i="2"/>
  <c r="C1830" i="2"/>
  <c r="B1830" i="2"/>
  <c r="A1830" i="2"/>
  <c r="AG1829" i="2"/>
  <c r="AF1829" i="2"/>
  <c r="AE1829" i="2"/>
  <c r="AD1829" i="2"/>
  <c r="AC1829" i="2"/>
  <c r="AB1829" i="2"/>
  <c r="Z1829" i="2"/>
  <c r="Y1829" i="2"/>
  <c r="X1829" i="2"/>
  <c r="W1829" i="2"/>
  <c r="V1829" i="2"/>
  <c r="U1829" i="2"/>
  <c r="T1829" i="2"/>
  <c r="S1829" i="2"/>
  <c r="R1829" i="2"/>
  <c r="Q1829" i="2"/>
  <c r="P1829" i="2"/>
  <c r="O1829" i="2"/>
  <c r="N1829" i="2"/>
  <c r="M1829" i="2"/>
  <c r="L1829" i="2"/>
  <c r="K1829" i="2"/>
  <c r="H1829" i="2"/>
  <c r="G1829" i="2"/>
  <c r="F1829" i="2"/>
  <c r="E1829" i="2"/>
  <c r="D1829" i="2"/>
  <c r="C1829" i="2"/>
  <c r="B1829" i="2"/>
  <c r="A1829" i="2"/>
  <c r="AG1828" i="2"/>
  <c r="AF1828" i="2"/>
  <c r="AE1828" i="2"/>
  <c r="AD1828" i="2"/>
  <c r="AC1828" i="2"/>
  <c r="AB1828" i="2"/>
  <c r="Y1828" i="2"/>
  <c r="X1828" i="2"/>
  <c r="W1828" i="2"/>
  <c r="V1828" i="2"/>
  <c r="U1828" i="2"/>
  <c r="T1828" i="2"/>
  <c r="S1828" i="2"/>
  <c r="R1828" i="2"/>
  <c r="Q1828" i="2"/>
  <c r="P1828" i="2"/>
  <c r="O1828" i="2"/>
  <c r="N1828" i="2"/>
  <c r="M1828" i="2"/>
  <c r="L1828" i="2"/>
  <c r="K1828" i="2"/>
  <c r="H1828" i="2"/>
  <c r="G1828" i="2"/>
  <c r="F1828" i="2"/>
  <c r="E1828" i="2"/>
  <c r="D1828" i="2"/>
  <c r="C1828" i="2"/>
  <c r="B1828" i="2"/>
  <c r="A1828" i="2"/>
  <c r="AG1827" i="2"/>
  <c r="AF1827" i="2"/>
  <c r="AD1827" i="2"/>
  <c r="AC1827" i="2"/>
  <c r="AB1827" i="2"/>
  <c r="Z1827" i="2"/>
  <c r="Y1827" i="2"/>
  <c r="X1827" i="2"/>
  <c r="W1827" i="2"/>
  <c r="V1827" i="2"/>
  <c r="U1827" i="2"/>
  <c r="S1827" i="2"/>
  <c r="R1827" i="2"/>
  <c r="Q1827" i="2"/>
  <c r="P1827" i="2"/>
  <c r="O1827" i="2"/>
  <c r="N1827" i="2"/>
  <c r="M1827" i="2"/>
  <c r="L1827" i="2"/>
  <c r="K1827" i="2"/>
  <c r="J1827" i="2"/>
  <c r="I1827" i="2"/>
  <c r="H1827" i="2"/>
  <c r="G1827" i="2"/>
  <c r="F1827" i="2"/>
  <c r="E1827" i="2"/>
  <c r="D1827" i="2"/>
  <c r="C1827" i="2"/>
  <c r="B1827" i="2"/>
  <c r="A1827" i="2"/>
  <c r="AG1826" i="2"/>
  <c r="AF1826" i="2"/>
  <c r="AE1826" i="2"/>
  <c r="AD1826" i="2"/>
  <c r="AC1826" i="2"/>
  <c r="AB1826" i="2"/>
  <c r="AA1826" i="2"/>
  <c r="Z1826" i="2"/>
  <c r="Y1826" i="2"/>
  <c r="X1826" i="2"/>
  <c r="W1826" i="2"/>
  <c r="V1826" i="2"/>
  <c r="U1826" i="2"/>
  <c r="S1826" i="2"/>
  <c r="R1826" i="2"/>
  <c r="Q1826" i="2"/>
  <c r="P1826" i="2"/>
  <c r="O1826" i="2"/>
  <c r="N1826" i="2"/>
  <c r="M1826" i="2"/>
  <c r="L1826" i="2"/>
  <c r="K1826" i="2"/>
  <c r="H1826" i="2"/>
  <c r="G1826" i="2"/>
  <c r="F1826" i="2"/>
  <c r="E1826" i="2"/>
  <c r="D1826" i="2"/>
  <c r="C1826" i="2"/>
  <c r="B1826" i="2"/>
  <c r="A1826" i="2"/>
  <c r="AG1825" i="2"/>
  <c r="AF1825" i="2"/>
  <c r="AE1825" i="2"/>
  <c r="AD1825" i="2"/>
  <c r="AC1825" i="2"/>
  <c r="AB1825" i="2"/>
  <c r="Z1825" i="2"/>
  <c r="Y1825" i="2"/>
  <c r="X1825" i="2"/>
  <c r="W1825" i="2"/>
  <c r="V1825" i="2"/>
  <c r="U1825" i="2"/>
  <c r="T1825" i="2"/>
  <c r="S1825" i="2"/>
  <c r="R1825" i="2"/>
  <c r="Q1825" i="2"/>
  <c r="P1825" i="2"/>
  <c r="O1825" i="2"/>
  <c r="N1825" i="2"/>
  <c r="M1825" i="2"/>
  <c r="L1825" i="2"/>
  <c r="K1825" i="2"/>
  <c r="H1825" i="2"/>
  <c r="G1825" i="2"/>
  <c r="F1825" i="2"/>
  <c r="E1825" i="2"/>
  <c r="D1825" i="2"/>
  <c r="C1825" i="2"/>
  <c r="B1825" i="2"/>
  <c r="A1825" i="2"/>
  <c r="AG1824" i="2"/>
  <c r="AF1824" i="2"/>
  <c r="AE1824" i="2"/>
  <c r="AD1824" i="2"/>
  <c r="AC1824" i="2"/>
  <c r="AB1824" i="2"/>
  <c r="Z1824" i="2"/>
  <c r="Y1824" i="2"/>
  <c r="X1824" i="2"/>
  <c r="W1824" i="2"/>
  <c r="V1824" i="2"/>
  <c r="U1824" i="2"/>
  <c r="T1824" i="2"/>
  <c r="S1824" i="2"/>
  <c r="R1824" i="2"/>
  <c r="Q1824" i="2"/>
  <c r="P1824" i="2"/>
  <c r="O1824" i="2"/>
  <c r="N1824" i="2"/>
  <c r="M1824" i="2"/>
  <c r="L1824" i="2"/>
  <c r="K1824" i="2"/>
  <c r="H1824" i="2"/>
  <c r="G1824" i="2"/>
  <c r="F1824" i="2"/>
  <c r="E1824" i="2"/>
  <c r="D1824" i="2"/>
  <c r="C1824" i="2"/>
  <c r="B1824" i="2"/>
  <c r="A1824" i="2"/>
  <c r="AG1823" i="2"/>
  <c r="AF1823" i="2"/>
  <c r="AE1823" i="2"/>
  <c r="AD1823" i="2"/>
  <c r="AC1823" i="2"/>
  <c r="AB1823" i="2"/>
  <c r="Z1823" i="2"/>
  <c r="Y1823" i="2"/>
  <c r="X1823" i="2"/>
  <c r="W1823" i="2"/>
  <c r="V1823" i="2"/>
  <c r="U1823" i="2"/>
  <c r="T1823" i="2"/>
  <c r="S1823" i="2"/>
  <c r="R1823" i="2"/>
  <c r="Q1823" i="2"/>
  <c r="P1823" i="2"/>
  <c r="O1823" i="2"/>
  <c r="N1823" i="2"/>
  <c r="M1823" i="2"/>
  <c r="L1823" i="2"/>
  <c r="K1823" i="2"/>
  <c r="H1823" i="2"/>
  <c r="G1823" i="2"/>
  <c r="F1823" i="2"/>
  <c r="E1823" i="2"/>
  <c r="D1823" i="2"/>
  <c r="C1823" i="2"/>
  <c r="B1823" i="2"/>
  <c r="A1823" i="2"/>
  <c r="AH1822" i="2"/>
  <c r="AG1822" i="2"/>
  <c r="AF1822" i="2"/>
  <c r="AE1822" i="2"/>
  <c r="AD1822" i="2"/>
  <c r="AC1822" i="2"/>
  <c r="AB1822" i="2"/>
  <c r="AA1822" i="2"/>
  <c r="Z1822" i="2"/>
  <c r="X1822" i="2"/>
  <c r="W1822" i="2"/>
  <c r="V1822" i="2"/>
  <c r="S1822" i="2"/>
  <c r="R1822" i="2"/>
  <c r="Q1822" i="2"/>
  <c r="P1822" i="2"/>
  <c r="O1822" i="2"/>
  <c r="N1822" i="2"/>
  <c r="M1822" i="2"/>
  <c r="L1822" i="2"/>
  <c r="K1822" i="2"/>
  <c r="H1822" i="2"/>
  <c r="G1822" i="2"/>
  <c r="F1822" i="2"/>
  <c r="E1822" i="2"/>
  <c r="D1822" i="2"/>
  <c r="C1822" i="2"/>
  <c r="B1822" i="2"/>
  <c r="A1822" i="2"/>
  <c r="AH1821" i="2"/>
  <c r="AG1821" i="2"/>
  <c r="AF1821" i="2"/>
  <c r="AE1821" i="2"/>
  <c r="AD1821" i="2"/>
  <c r="AC1821" i="2"/>
  <c r="AB1821" i="2"/>
  <c r="Z1821" i="2"/>
  <c r="Y1821" i="2"/>
  <c r="X1821" i="2"/>
  <c r="W1821" i="2"/>
  <c r="V1821" i="2"/>
  <c r="U1821" i="2"/>
  <c r="S1821" i="2"/>
  <c r="R1821" i="2"/>
  <c r="Q1821" i="2"/>
  <c r="P1821" i="2"/>
  <c r="O1821" i="2"/>
  <c r="N1821" i="2"/>
  <c r="M1821" i="2"/>
  <c r="L1821" i="2"/>
  <c r="K1821" i="2"/>
  <c r="H1821" i="2"/>
  <c r="G1821" i="2"/>
  <c r="F1821" i="2"/>
  <c r="E1821" i="2"/>
  <c r="D1821" i="2"/>
  <c r="C1821" i="2"/>
  <c r="B1821" i="2"/>
  <c r="A1821" i="2"/>
  <c r="AG1820" i="2"/>
  <c r="AF1820" i="2"/>
  <c r="AE1820" i="2"/>
  <c r="AD1820" i="2"/>
  <c r="AC1820" i="2"/>
  <c r="AB1820" i="2"/>
  <c r="Z1820" i="2"/>
  <c r="Y1820" i="2"/>
  <c r="X1820" i="2"/>
  <c r="W1820" i="2"/>
  <c r="V1820" i="2"/>
  <c r="U1820" i="2"/>
  <c r="T1820" i="2"/>
  <c r="S1820" i="2"/>
  <c r="R1820" i="2"/>
  <c r="Q1820" i="2"/>
  <c r="P1820" i="2"/>
  <c r="O1820" i="2"/>
  <c r="N1820" i="2"/>
  <c r="M1820" i="2"/>
  <c r="L1820" i="2"/>
  <c r="K1820" i="2"/>
  <c r="H1820" i="2"/>
  <c r="G1820" i="2"/>
  <c r="F1820" i="2"/>
  <c r="E1820" i="2"/>
  <c r="D1820" i="2"/>
  <c r="C1820" i="2"/>
  <c r="B1820" i="2"/>
  <c r="A1820" i="2"/>
  <c r="AG1819" i="2"/>
  <c r="AF1819" i="2"/>
  <c r="AD1819" i="2"/>
  <c r="AC1819" i="2"/>
  <c r="AB1819" i="2"/>
  <c r="Z1819" i="2"/>
  <c r="Y1819" i="2"/>
  <c r="X1819" i="2"/>
  <c r="W1819" i="2"/>
  <c r="V1819" i="2"/>
  <c r="U1819" i="2"/>
  <c r="T1819" i="2"/>
  <c r="S1819" i="2"/>
  <c r="R1819" i="2"/>
  <c r="Q1819" i="2"/>
  <c r="P1819" i="2"/>
  <c r="O1819" i="2"/>
  <c r="N1819" i="2"/>
  <c r="M1819" i="2"/>
  <c r="L1819" i="2"/>
  <c r="K1819" i="2"/>
  <c r="H1819" i="2"/>
  <c r="G1819" i="2"/>
  <c r="F1819" i="2"/>
  <c r="E1819" i="2"/>
  <c r="D1819" i="2"/>
  <c r="C1819" i="2"/>
  <c r="B1819" i="2"/>
  <c r="A1819" i="2"/>
  <c r="AH1818" i="2"/>
  <c r="AG1818" i="2"/>
  <c r="AF1818" i="2"/>
  <c r="AE1818" i="2"/>
  <c r="AD1818" i="2"/>
  <c r="AC1818" i="2"/>
  <c r="AB1818" i="2"/>
  <c r="Z1818" i="2"/>
  <c r="Y1818" i="2"/>
  <c r="X1818" i="2"/>
  <c r="W1818" i="2"/>
  <c r="V1818" i="2"/>
  <c r="T1818" i="2"/>
  <c r="S1818" i="2"/>
  <c r="R1818" i="2"/>
  <c r="Q1818" i="2"/>
  <c r="P1818" i="2"/>
  <c r="O1818" i="2"/>
  <c r="N1818" i="2"/>
  <c r="M1818" i="2"/>
  <c r="L1818" i="2"/>
  <c r="K1818" i="2"/>
  <c r="H1818" i="2"/>
  <c r="G1818" i="2"/>
  <c r="F1818" i="2"/>
  <c r="E1818" i="2"/>
  <c r="D1818" i="2"/>
  <c r="C1818" i="2"/>
  <c r="B1818" i="2"/>
  <c r="A1818" i="2"/>
  <c r="AH1817" i="2"/>
  <c r="AG1817" i="2"/>
  <c r="AF1817" i="2"/>
  <c r="AD1817" i="2"/>
  <c r="AC1817" i="2"/>
  <c r="AB1817" i="2"/>
  <c r="Z1817" i="2"/>
  <c r="Y1817" i="2"/>
  <c r="X1817" i="2"/>
  <c r="W1817" i="2"/>
  <c r="V1817" i="2"/>
  <c r="U1817" i="2"/>
  <c r="S1817" i="2"/>
  <c r="R1817" i="2"/>
  <c r="Q1817" i="2"/>
  <c r="P1817" i="2"/>
  <c r="O1817" i="2"/>
  <c r="N1817" i="2"/>
  <c r="M1817" i="2"/>
  <c r="L1817" i="2"/>
  <c r="K1817" i="2"/>
  <c r="H1817" i="2"/>
  <c r="G1817" i="2"/>
  <c r="F1817" i="2"/>
  <c r="E1817" i="2"/>
  <c r="D1817" i="2"/>
  <c r="C1817" i="2"/>
  <c r="B1817" i="2"/>
  <c r="A1817" i="2"/>
  <c r="AH1816" i="2"/>
  <c r="AG1816" i="2"/>
  <c r="AF1816" i="2"/>
  <c r="AE1816" i="2"/>
  <c r="AD1816" i="2"/>
  <c r="AC1816" i="2"/>
  <c r="AB1816" i="2"/>
  <c r="Y1816" i="2"/>
  <c r="X1816" i="2"/>
  <c r="W1816" i="2"/>
  <c r="V1816" i="2"/>
  <c r="U1816" i="2"/>
  <c r="T1816" i="2"/>
  <c r="S1816" i="2"/>
  <c r="R1816" i="2"/>
  <c r="Q1816" i="2"/>
  <c r="P1816" i="2"/>
  <c r="O1816" i="2"/>
  <c r="N1816" i="2"/>
  <c r="M1816" i="2"/>
  <c r="L1816" i="2"/>
  <c r="K1816" i="2"/>
  <c r="H1816" i="2"/>
  <c r="G1816" i="2"/>
  <c r="F1816" i="2"/>
  <c r="E1816" i="2"/>
  <c r="D1816" i="2"/>
  <c r="C1816" i="2"/>
  <c r="B1816" i="2"/>
  <c r="A1816" i="2"/>
  <c r="AG1815" i="2"/>
  <c r="AF1815" i="2"/>
  <c r="AE1815" i="2"/>
  <c r="AD1815" i="2"/>
  <c r="AC1815" i="2"/>
  <c r="AB1815" i="2"/>
  <c r="Z1815" i="2"/>
  <c r="Y1815" i="2"/>
  <c r="X1815" i="2"/>
  <c r="W1815" i="2"/>
  <c r="V1815" i="2"/>
  <c r="U1815" i="2"/>
  <c r="T1815" i="2"/>
  <c r="S1815" i="2"/>
  <c r="R1815" i="2"/>
  <c r="Q1815" i="2"/>
  <c r="P1815" i="2"/>
  <c r="O1815" i="2"/>
  <c r="N1815" i="2"/>
  <c r="M1815" i="2"/>
  <c r="L1815" i="2"/>
  <c r="K1815" i="2"/>
  <c r="H1815" i="2"/>
  <c r="G1815" i="2"/>
  <c r="F1815" i="2"/>
  <c r="E1815" i="2"/>
  <c r="D1815" i="2"/>
  <c r="C1815" i="2"/>
  <c r="B1815" i="2"/>
  <c r="A1815" i="2"/>
  <c r="AG1814" i="2"/>
  <c r="AF1814" i="2"/>
  <c r="AE1814" i="2"/>
  <c r="AD1814" i="2"/>
  <c r="AC1814" i="2"/>
  <c r="AB1814" i="2"/>
  <c r="Z1814" i="2"/>
  <c r="Y1814" i="2"/>
  <c r="X1814" i="2"/>
  <c r="W1814" i="2"/>
  <c r="V1814" i="2"/>
  <c r="U1814" i="2"/>
  <c r="S1814" i="2"/>
  <c r="R1814" i="2"/>
  <c r="Q1814" i="2"/>
  <c r="P1814" i="2"/>
  <c r="O1814" i="2"/>
  <c r="N1814" i="2"/>
  <c r="M1814" i="2"/>
  <c r="L1814" i="2"/>
  <c r="K1814" i="2"/>
  <c r="H1814" i="2"/>
  <c r="G1814" i="2"/>
  <c r="F1814" i="2"/>
  <c r="E1814" i="2"/>
  <c r="D1814" i="2"/>
  <c r="C1814" i="2"/>
  <c r="B1814" i="2"/>
  <c r="A1814" i="2"/>
  <c r="AG1813" i="2"/>
  <c r="AF1813" i="2"/>
  <c r="AE1813" i="2"/>
  <c r="AD1813" i="2"/>
  <c r="AC1813" i="2"/>
  <c r="AB1813" i="2"/>
  <c r="Z1813" i="2"/>
  <c r="Y1813" i="2"/>
  <c r="X1813" i="2"/>
  <c r="W1813" i="2"/>
  <c r="V1813" i="2"/>
  <c r="U1813" i="2"/>
  <c r="R1813" i="2"/>
  <c r="Q1813" i="2"/>
  <c r="P1813" i="2"/>
  <c r="O1813" i="2"/>
  <c r="N1813" i="2"/>
  <c r="M1813" i="2"/>
  <c r="L1813" i="2"/>
  <c r="K1813" i="2"/>
  <c r="H1813" i="2"/>
  <c r="G1813" i="2"/>
  <c r="F1813" i="2"/>
  <c r="E1813" i="2"/>
  <c r="D1813" i="2"/>
  <c r="C1813" i="2"/>
  <c r="B1813" i="2"/>
  <c r="A1813" i="2"/>
  <c r="AG1812" i="2"/>
  <c r="AF1812" i="2"/>
  <c r="AE1812" i="2"/>
  <c r="AD1812" i="2"/>
  <c r="AC1812" i="2"/>
  <c r="AB1812" i="2"/>
  <c r="Z1812" i="2"/>
  <c r="Y1812" i="2"/>
  <c r="X1812" i="2"/>
  <c r="W1812" i="2"/>
  <c r="V1812" i="2"/>
  <c r="U1812" i="2"/>
  <c r="R1812" i="2"/>
  <c r="Q1812" i="2"/>
  <c r="P1812" i="2"/>
  <c r="O1812" i="2"/>
  <c r="N1812" i="2"/>
  <c r="M1812" i="2"/>
  <c r="L1812" i="2"/>
  <c r="K1812" i="2"/>
  <c r="H1812" i="2"/>
  <c r="G1812" i="2"/>
  <c r="F1812" i="2"/>
  <c r="E1812" i="2"/>
  <c r="D1812" i="2"/>
  <c r="C1812" i="2"/>
  <c r="B1812" i="2"/>
  <c r="A1812" i="2"/>
  <c r="AG1811" i="2"/>
  <c r="AF1811" i="2"/>
  <c r="AD1811" i="2"/>
  <c r="AC1811" i="2"/>
  <c r="AB1811" i="2"/>
  <c r="Y1811" i="2"/>
  <c r="X1811" i="2"/>
  <c r="W1811" i="2"/>
  <c r="V1811" i="2"/>
  <c r="R1811" i="2"/>
  <c r="Q1811" i="2"/>
  <c r="P1811" i="2"/>
  <c r="O1811" i="2"/>
  <c r="N1811" i="2"/>
  <c r="M1811" i="2"/>
  <c r="L1811" i="2"/>
  <c r="K1811" i="2"/>
  <c r="H1811" i="2"/>
  <c r="G1811" i="2"/>
  <c r="F1811" i="2"/>
  <c r="E1811" i="2"/>
  <c r="D1811" i="2"/>
  <c r="C1811" i="2"/>
  <c r="B1811" i="2"/>
  <c r="A1811" i="2"/>
  <c r="AG1810" i="2"/>
  <c r="AF1810" i="2"/>
  <c r="AE1810" i="2"/>
  <c r="AD1810" i="2"/>
  <c r="AC1810" i="2"/>
  <c r="AB1810" i="2"/>
  <c r="Z1810" i="2"/>
  <c r="Y1810" i="2"/>
  <c r="X1810" i="2"/>
  <c r="W1810" i="2"/>
  <c r="V1810" i="2"/>
  <c r="U1810" i="2"/>
  <c r="T1810" i="2"/>
  <c r="S1810" i="2"/>
  <c r="R1810" i="2"/>
  <c r="Q1810" i="2"/>
  <c r="P1810" i="2"/>
  <c r="O1810" i="2"/>
  <c r="N1810" i="2"/>
  <c r="M1810" i="2"/>
  <c r="L1810" i="2"/>
  <c r="K1810" i="2"/>
  <c r="H1810" i="2"/>
  <c r="G1810" i="2"/>
  <c r="F1810" i="2"/>
  <c r="E1810" i="2"/>
  <c r="D1810" i="2"/>
  <c r="C1810" i="2"/>
  <c r="B1810" i="2"/>
  <c r="A1810" i="2"/>
  <c r="AG1809" i="2"/>
  <c r="AF1809" i="2"/>
  <c r="AD1809" i="2"/>
  <c r="AC1809" i="2"/>
  <c r="AB1809" i="2"/>
  <c r="Z1809" i="2"/>
  <c r="Y1809" i="2"/>
  <c r="X1809" i="2"/>
  <c r="W1809" i="2"/>
  <c r="V1809" i="2"/>
  <c r="U1809" i="2"/>
  <c r="S1809" i="2"/>
  <c r="R1809" i="2"/>
  <c r="Q1809" i="2"/>
  <c r="P1809" i="2"/>
  <c r="O1809" i="2"/>
  <c r="N1809" i="2"/>
  <c r="M1809" i="2"/>
  <c r="L1809" i="2"/>
  <c r="K1809" i="2"/>
  <c r="H1809" i="2"/>
  <c r="G1809" i="2"/>
  <c r="F1809" i="2"/>
  <c r="E1809" i="2"/>
  <c r="D1809" i="2"/>
  <c r="C1809" i="2"/>
  <c r="B1809" i="2"/>
  <c r="A1809" i="2"/>
  <c r="AG1808" i="2"/>
  <c r="AF1808" i="2"/>
  <c r="AE1808" i="2"/>
  <c r="AD1808" i="2"/>
  <c r="AC1808" i="2"/>
  <c r="AB1808" i="2"/>
  <c r="Z1808" i="2"/>
  <c r="Y1808" i="2"/>
  <c r="X1808" i="2"/>
  <c r="W1808" i="2"/>
  <c r="V1808" i="2"/>
  <c r="U1808" i="2"/>
  <c r="T1808" i="2"/>
  <c r="S1808" i="2"/>
  <c r="R1808" i="2"/>
  <c r="Q1808" i="2"/>
  <c r="P1808" i="2"/>
  <c r="O1808" i="2"/>
  <c r="N1808" i="2"/>
  <c r="M1808" i="2"/>
  <c r="L1808" i="2"/>
  <c r="K1808" i="2"/>
  <c r="H1808" i="2"/>
  <c r="G1808" i="2"/>
  <c r="F1808" i="2"/>
  <c r="E1808" i="2"/>
  <c r="D1808" i="2"/>
  <c r="C1808" i="2"/>
  <c r="B1808" i="2"/>
  <c r="A1808" i="2"/>
  <c r="AG1807" i="2"/>
  <c r="AF1807" i="2"/>
  <c r="AE1807" i="2"/>
  <c r="AD1807" i="2"/>
  <c r="AC1807" i="2"/>
  <c r="AB1807" i="2"/>
  <c r="Y1807" i="2"/>
  <c r="X1807" i="2"/>
  <c r="W1807" i="2"/>
  <c r="V1807" i="2"/>
  <c r="U1807" i="2"/>
  <c r="R1807" i="2"/>
  <c r="Q1807" i="2"/>
  <c r="P1807" i="2"/>
  <c r="O1807" i="2"/>
  <c r="N1807" i="2"/>
  <c r="M1807" i="2"/>
  <c r="L1807" i="2"/>
  <c r="K1807" i="2"/>
  <c r="H1807" i="2"/>
  <c r="G1807" i="2"/>
  <c r="F1807" i="2"/>
  <c r="E1807" i="2"/>
  <c r="D1807" i="2"/>
  <c r="C1807" i="2"/>
  <c r="B1807" i="2"/>
  <c r="A1807" i="2"/>
  <c r="AH1806" i="2"/>
  <c r="AG1806" i="2"/>
  <c r="AF1806" i="2"/>
  <c r="AE1806" i="2"/>
  <c r="AD1806" i="2"/>
  <c r="AC1806" i="2"/>
  <c r="AB1806" i="2"/>
  <c r="AA1806" i="2"/>
  <c r="Z1806" i="2"/>
  <c r="Y1806" i="2"/>
  <c r="X1806" i="2"/>
  <c r="W1806" i="2"/>
  <c r="V1806" i="2"/>
  <c r="U1806" i="2"/>
  <c r="T1806" i="2"/>
  <c r="S1806" i="2"/>
  <c r="R1806" i="2"/>
  <c r="Q1806" i="2"/>
  <c r="P1806" i="2"/>
  <c r="O1806" i="2"/>
  <c r="N1806" i="2"/>
  <c r="M1806" i="2"/>
  <c r="L1806" i="2"/>
  <c r="K1806" i="2"/>
  <c r="H1806" i="2"/>
  <c r="G1806" i="2"/>
  <c r="F1806" i="2"/>
  <c r="E1806" i="2"/>
  <c r="D1806" i="2"/>
  <c r="C1806" i="2"/>
  <c r="B1806" i="2"/>
  <c r="A1806" i="2"/>
  <c r="AG1805" i="2"/>
  <c r="AF1805" i="2"/>
  <c r="AE1805" i="2"/>
  <c r="AD1805" i="2"/>
  <c r="AC1805" i="2"/>
  <c r="AB1805" i="2"/>
  <c r="Z1805" i="2"/>
  <c r="Y1805" i="2"/>
  <c r="X1805" i="2"/>
  <c r="W1805" i="2"/>
  <c r="V1805" i="2"/>
  <c r="U1805" i="2"/>
  <c r="T1805" i="2"/>
  <c r="S1805" i="2"/>
  <c r="R1805" i="2"/>
  <c r="Q1805" i="2"/>
  <c r="P1805" i="2"/>
  <c r="O1805" i="2"/>
  <c r="N1805" i="2"/>
  <c r="M1805" i="2"/>
  <c r="L1805" i="2"/>
  <c r="K1805" i="2"/>
  <c r="H1805" i="2"/>
  <c r="G1805" i="2"/>
  <c r="F1805" i="2"/>
  <c r="E1805" i="2"/>
  <c r="D1805" i="2"/>
  <c r="C1805" i="2"/>
  <c r="B1805" i="2"/>
  <c r="A1805" i="2"/>
  <c r="AG1804" i="2"/>
  <c r="AF1804" i="2"/>
  <c r="AE1804" i="2"/>
  <c r="AD1804" i="2"/>
  <c r="AC1804" i="2"/>
  <c r="AB1804" i="2"/>
  <c r="AA1804" i="2"/>
  <c r="Z1804" i="2"/>
  <c r="Y1804" i="2"/>
  <c r="X1804" i="2"/>
  <c r="W1804" i="2"/>
  <c r="V1804" i="2"/>
  <c r="U1804" i="2"/>
  <c r="T1804" i="2"/>
  <c r="S1804" i="2"/>
  <c r="R1804" i="2"/>
  <c r="Q1804" i="2"/>
  <c r="P1804" i="2"/>
  <c r="O1804" i="2"/>
  <c r="N1804" i="2"/>
  <c r="M1804" i="2"/>
  <c r="L1804" i="2"/>
  <c r="K1804" i="2"/>
  <c r="H1804" i="2"/>
  <c r="G1804" i="2"/>
  <c r="F1804" i="2"/>
  <c r="E1804" i="2"/>
  <c r="D1804" i="2"/>
  <c r="C1804" i="2"/>
  <c r="B1804" i="2"/>
  <c r="A1804" i="2"/>
  <c r="AG1803" i="2"/>
  <c r="AF1803" i="2"/>
  <c r="AE1803" i="2"/>
  <c r="AD1803" i="2"/>
  <c r="AC1803" i="2"/>
  <c r="AB1803" i="2"/>
  <c r="Z1803" i="2"/>
  <c r="Y1803" i="2"/>
  <c r="X1803" i="2"/>
  <c r="W1803" i="2"/>
  <c r="V1803" i="2"/>
  <c r="U1803" i="2"/>
  <c r="S1803" i="2"/>
  <c r="R1803" i="2"/>
  <c r="Q1803" i="2"/>
  <c r="P1803" i="2"/>
  <c r="O1803" i="2"/>
  <c r="N1803" i="2"/>
  <c r="M1803" i="2"/>
  <c r="L1803" i="2"/>
  <c r="K1803" i="2"/>
  <c r="H1803" i="2"/>
  <c r="G1803" i="2"/>
  <c r="F1803" i="2"/>
  <c r="E1803" i="2"/>
  <c r="D1803" i="2"/>
  <c r="C1803" i="2"/>
  <c r="B1803" i="2"/>
  <c r="A1803" i="2"/>
  <c r="AG1802" i="2"/>
  <c r="AF1802" i="2"/>
  <c r="AE1802" i="2"/>
  <c r="AD1802" i="2"/>
  <c r="AC1802" i="2"/>
  <c r="AB1802" i="2"/>
  <c r="AA1802" i="2"/>
  <c r="Z1802" i="2"/>
  <c r="Y1802" i="2"/>
  <c r="X1802" i="2"/>
  <c r="W1802" i="2"/>
  <c r="V1802" i="2"/>
  <c r="U1802" i="2"/>
  <c r="S1802" i="2"/>
  <c r="R1802" i="2"/>
  <c r="Q1802" i="2"/>
  <c r="P1802" i="2"/>
  <c r="O1802" i="2"/>
  <c r="N1802" i="2"/>
  <c r="M1802" i="2"/>
  <c r="L1802" i="2"/>
  <c r="K1802" i="2"/>
  <c r="H1802" i="2"/>
  <c r="G1802" i="2"/>
  <c r="F1802" i="2"/>
  <c r="E1802" i="2"/>
  <c r="D1802" i="2"/>
  <c r="C1802" i="2"/>
  <c r="B1802" i="2"/>
  <c r="A1802" i="2"/>
  <c r="AG1801" i="2"/>
  <c r="AF1801" i="2"/>
  <c r="AE1801" i="2"/>
  <c r="AD1801" i="2"/>
  <c r="AC1801" i="2"/>
  <c r="AB1801" i="2"/>
  <c r="AA1801" i="2"/>
  <c r="Z1801" i="2"/>
  <c r="Y1801" i="2"/>
  <c r="X1801" i="2"/>
  <c r="W1801" i="2"/>
  <c r="V1801" i="2"/>
  <c r="U1801" i="2"/>
  <c r="T1801" i="2"/>
  <c r="S1801" i="2"/>
  <c r="R1801" i="2"/>
  <c r="Q1801" i="2"/>
  <c r="P1801" i="2"/>
  <c r="O1801" i="2"/>
  <c r="N1801" i="2"/>
  <c r="M1801" i="2"/>
  <c r="L1801" i="2"/>
  <c r="K1801" i="2"/>
  <c r="H1801" i="2"/>
  <c r="G1801" i="2"/>
  <c r="F1801" i="2"/>
  <c r="E1801" i="2"/>
  <c r="D1801" i="2"/>
  <c r="C1801" i="2"/>
  <c r="B1801" i="2"/>
  <c r="A1801" i="2"/>
  <c r="AG1800" i="2"/>
  <c r="AF1800" i="2"/>
  <c r="AD1800" i="2"/>
  <c r="AC1800" i="2"/>
  <c r="AB1800" i="2"/>
  <c r="Z1800" i="2"/>
  <c r="Y1800" i="2"/>
  <c r="X1800" i="2"/>
  <c r="W1800" i="2"/>
  <c r="V1800" i="2"/>
  <c r="U1800" i="2"/>
  <c r="R1800" i="2"/>
  <c r="Q1800" i="2"/>
  <c r="P1800" i="2"/>
  <c r="O1800" i="2"/>
  <c r="N1800" i="2"/>
  <c r="M1800" i="2"/>
  <c r="L1800" i="2"/>
  <c r="K1800" i="2"/>
  <c r="H1800" i="2"/>
  <c r="G1800" i="2"/>
  <c r="F1800" i="2"/>
  <c r="E1800" i="2"/>
  <c r="D1800" i="2"/>
  <c r="C1800" i="2"/>
  <c r="B1800" i="2"/>
  <c r="A1800" i="2"/>
  <c r="AG1799" i="2"/>
  <c r="AF1799" i="2"/>
  <c r="AE1799" i="2"/>
  <c r="AD1799" i="2"/>
  <c r="AC1799" i="2"/>
  <c r="AB1799" i="2"/>
  <c r="Z1799" i="2"/>
  <c r="Y1799" i="2"/>
  <c r="X1799" i="2"/>
  <c r="W1799" i="2"/>
  <c r="V1799" i="2"/>
  <c r="U1799" i="2"/>
  <c r="R1799" i="2"/>
  <c r="Q1799" i="2"/>
  <c r="P1799" i="2"/>
  <c r="O1799" i="2"/>
  <c r="N1799" i="2"/>
  <c r="M1799" i="2"/>
  <c r="L1799" i="2"/>
  <c r="K1799" i="2"/>
  <c r="H1799" i="2"/>
  <c r="G1799" i="2"/>
  <c r="F1799" i="2"/>
  <c r="E1799" i="2"/>
  <c r="D1799" i="2"/>
  <c r="C1799" i="2"/>
  <c r="B1799" i="2"/>
  <c r="A1799" i="2"/>
  <c r="AG1798" i="2"/>
  <c r="AF1798" i="2"/>
  <c r="AE1798" i="2"/>
  <c r="AD1798" i="2"/>
  <c r="AC1798" i="2"/>
  <c r="AB1798" i="2"/>
  <c r="Z1798" i="2"/>
  <c r="Y1798" i="2"/>
  <c r="X1798" i="2"/>
  <c r="W1798" i="2"/>
  <c r="V1798" i="2"/>
  <c r="U1798" i="2"/>
  <c r="T1798" i="2"/>
  <c r="S1798" i="2"/>
  <c r="R1798" i="2"/>
  <c r="Q1798" i="2"/>
  <c r="P1798" i="2"/>
  <c r="O1798" i="2"/>
  <c r="N1798" i="2"/>
  <c r="M1798" i="2"/>
  <c r="L1798" i="2"/>
  <c r="K1798" i="2"/>
  <c r="H1798" i="2"/>
  <c r="G1798" i="2"/>
  <c r="F1798" i="2"/>
  <c r="E1798" i="2"/>
  <c r="D1798" i="2"/>
  <c r="C1798" i="2"/>
  <c r="B1798" i="2"/>
  <c r="A1798" i="2"/>
  <c r="AG1797" i="2"/>
  <c r="AF1797" i="2"/>
  <c r="AE1797" i="2"/>
  <c r="AD1797" i="2"/>
  <c r="AC1797" i="2"/>
  <c r="AB1797" i="2"/>
  <c r="Z1797" i="2"/>
  <c r="Y1797" i="2"/>
  <c r="X1797" i="2"/>
  <c r="W1797" i="2"/>
  <c r="V1797" i="2"/>
  <c r="U1797" i="2"/>
  <c r="T1797" i="2"/>
  <c r="S1797" i="2"/>
  <c r="R1797" i="2"/>
  <c r="Q1797" i="2"/>
  <c r="P1797" i="2"/>
  <c r="O1797" i="2"/>
  <c r="N1797" i="2"/>
  <c r="M1797" i="2"/>
  <c r="L1797" i="2"/>
  <c r="K1797" i="2"/>
  <c r="H1797" i="2"/>
  <c r="G1797" i="2"/>
  <c r="F1797" i="2"/>
  <c r="E1797" i="2"/>
  <c r="D1797" i="2"/>
  <c r="C1797" i="2"/>
  <c r="B1797" i="2"/>
  <c r="A1797" i="2"/>
  <c r="AH1796" i="2"/>
  <c r="AG1796" i="2"/>
  <c r="AF1796" i="2"/>
  <c r="AE1796" i="2"/>
  <c r="AD1796" i="2"/>
  <c r="AC1796" i="2"/>
  <c r="AB1796" i="2"/>
  <c r="Z1796" i="2"/>
  <c r="Y1796" i="2"/>
  <c r="X1796" i="2"/>
  <c r="W1796" i="2"/>
  <c r="V1796" i="2"/>
  <c r="T1796" i="2"/>
  <c r="S1796" i="2"/>
  <c r="R1796" i="2"/>
  <c r="Q1796" i="2"/>
  <c r="P1796" i="2"/>
  <c r="O1796" i="2"/>
  <c r="N1796" i="2"/>
  <c r="M1796" i="2"/>
  <c r="L1796" i="2"/>
  <c r="K1796" i="2"/>
  <c r="H1796" i="2"/>
  <c r="G1796" i="2"/>
  <c r="F1796" i="2"/>
  <c r="E1796" i="2"/>
  <c r="D1796" i="2"/>
  <c r="C1796" i="2"/>
  <c r="B1796" i="2"/>
  <c r="A1796" i="2"/>
  <c r="AG1795" i="2"/>
  <c r="AF1795" i="2"/>
  <c r="AE1795" i="2"/>
  <c r="AD1795" i="2"/>
  <c r="AC1795" i="2"/>
  <c r="AB1795" i="2"/>
  <c r="Z1795" i="2"/>
  <c r="Y1795" i="2"/>
  <c r="X1795" i="2"/>
  <c r="W1795" i="2"/>
  <c r="V1795" i="2"/>
  <c r="U1795" i="2"/>
  <c r="T1795" i="2"/>
  <c r="S1795" i="2"/>
  <c r="R1795" i="2"/>
  <c r="Q1795" i="2"/>
  <c r="P1795" i="2"/>
  <c r="O1795" i="2"/>
  <c r="N1795" i="2"/>
  <c r="M1795" i="2"/>
  <c r="L1795" i="2"/>
  <c r="K1795" i="2"/>
  <c r="H1795" i="2"/>
  <c r="G1795" i="2"/>
  <c r="F1795" i="2"/>
  <c r="E1795" i="2"/>
  <c r="D1795" i="2"/>
  <c r="C1795" i="2"/>
  <c r="B1795" i="2"/>
  <c r="A1795" i="2"/>
  <c r="AG1794" i="2"/>
  <c r="AF1794" i="2"/>
  <c r="AE1794" i="2"/>
  <c r="AD1794" i="2"/>
  <c r="AC1794" i="2"/>
  <c r="AB1794" i="2"/>
  <c r="Z1794" i="2"/>
  <c r="Y1794" i="2"/>
  <c r="X1794" i="2"/>
  <c r="W1794" i="2"/>
  <c r="V1794" i="2"/>
  <c r="T1794" i="2"/>
  <c r="S1794" i="2"/>
  <c r="R1794" i="2"/>
  <c r="Q1794" i="2"/>
  <c r="P1794" i="2"/>
  <c r="O1794" i="2"/>
  <c r="N1794" i="2"/>
  <c r="M1794" i="2"/>
  <c r="L1794" i="2"/>
  <c r="K1794" i="2"/>
  <c r="H1794" i="2"/>
  <c r="G1794" i="2"/>
  <c r="F1794" i="2"/>
  <c r="E1794" i="2"/>
  <c r="D1794" i="2"/>
  <c r="C1794" i="2"/>
  <c r="B1794" i="2"/>
  <c r="A1794" i="2"/>
  <c r="AG1793" i="2"/>
  <c r="AF1793" i="2"/>
  <c r="AE1793" i="2"/>
  <c r="AD1793" i="2"/>
  <c r="AC1793" i="2"/>
  <c r="AB1793" i="2"/>
  <c r="Z1793" i="2"/>
  <c r="Y1793" i="2"/>
  <c r="X1793" i="2"/>
  <c r="W1793" i="2"/>
  <c r="V1793" i="2"/>
  <c r="U1793" i="2"/>
  <c r="S1793" i="2"/>
  <c r="R1793" i="2"/>
  <c r="Q1793" i="2"/>
  <c r="P1793" i="2"/>
  <c r="O1793" i="2"/>
  <c r="N1793" i="2"/>
  <c r="M1793" i="2"/>
  <c r="L1793" i="2"/>
  <c r="K1793" i="2"/>
  <c r="H1793" i="2"/>
  <c r="G1793" i="2"/>
  <c r="F1793" i="2"/>
  <c r="E1793" i="2"/>
  <c r="D1793" i="2"/>
  <c r="C1793" i="2"/>
  <c r="B1793" i="2"/>
  <c r="A1793" i="2"/>
  <c r="AG1792" i="2"/>
  <c r="AF1792" i="2"/>
  <c r="AE1792" i="2"/>
  <c r="AD1792" i="2"/>
  <c r="AC1792" i="2"/>
  <c r="AB1792" i="2"/>
  <c r="Z1792" i="2"/>
  <c r="Y1792" i="2"/>
  <c r="X1792" i="2"/>
  <c r="W1792" i="2"/>
  <c r="V1792" i="2"/>
  <c r="U1792" i="2"/>
  <c r="T1792" i="2"/>
  <c r="S1792" i="2"/>
  <c r="R1792" i="2"/>
  <c r="Q1792" i="2"/>
  <c r="P1792" i="2"/>
  <c r="O1792" i="2"/>
  <c r="N1792" i="2"/>
  <c r="M1792" i="2"/>
  <c r="L1792" i="2"/>
  <c r="K1792" i="2"/>
  <c r="H1792" i="2"/>
  <c r="G1792" i="2"/>
  <c r="F1792" i="2"/>
  <c r="E1792" i="2"/>
  <c r="D1792" i="2"/>
  <c r="C1792" i="2"/>
  <c r="B1792" i="2"/>
  <c r="A1792" i="2"/>
  <c r="AG1791" i="2"/>
  <c r="AF1791" i="2"/>
  <c r="AD1791" i="2"/>
  <c r="AC1791" i="2"/>
  <c r="AB1791" i="2"/>
  <c r="Z1791" i="2"/>
  <c r="Y1791" i="2"/>
  <c r="X1791" i="2"/>
  <c r="W1791" i="2"/>
  <c r="V1791" i="2"/>
  <c r="U1791" i="2"/>
  <c r="T1791" i="2"/>
  <c r="S1791" i="2"/>
  <c r="R1791" i="2"/>
  <c r="Q1791" i="2"/>
  <c r="P1791" i="2"/>
  <c r="O1791" i="2"/>
  <c r="N1791" i="2"/>
  <c r="M1791" i="2"/>
  <c r="L1791" i="2"/>
  <c r="K1791" i="2"/>
  <c r="H1791" i="2"/>
  <c r="G1791" i="2"/>
  <c r="F1791" i="2"/>
  <c r="E1791" i="2"/>
  <c r="D1791" i="2"/>
  <c r="C1791" i="2"/>
  <c r="B1791" i="2"/>
  <c r="A1791" i="2"/>
  <c r="AG1790" i="2"/>
  <c r="AF1790" i="2"/>
  <c r="AE1790" i="2"/>
  <c r="AD1790" i="2"/>
  <c r="AC1790" i="2"/>
  <c r="AB1790" i="2"/>
  <c r="Z1790" i="2"/>
  <c r="Y1790" i="2"/>
  <c r="X1790" i="2"/>
  <c r="W1790" i="2"/>
  <c r="V1790" i="2"/>
  <c r="U1790" i="2"/>
  <c r="T1790" i="2"/>
  <c r="S1790" i="2"/>
  <c r="R1790" i="2"/>
  <c r="Q1790" i="2"/>
  <c r="P1790" i="2"/>
  <c r="O1790" i="2"/>
  <c r="N1790" i="2"/>
  <c r="M1790" i="2"/>
  <c r="L1790" i="2"/>
  <c r="K1790" i="2"/>
  <c r="H1790" i="2"/>
  <c r="G1790" i="2"/>
  <c r="F1790" i="2"/>
  <c r="E1790" i="2"/>
  <c r="D1790" i="2"/>
  <c r="C1790" i="2"/>
  <c r="B1790" i="2"/>
  <c r="A1790" i="2"/>
  <c r="AG1789" i="2"/>
  <c r="AF1789" i="2"/>
  <c r="AE1789" i="2"/>
  <c r="AD1789" i="2"/>
  <c r="AC1789" i="2"/>
  <c r="AB1789" i="2"/>
  <c r="Z1789" i="2"/>
  <c r="Y1789" i="2"/>
  <c r="X1789" i="2"/>
  <c r="W1789" i="2"/>
  <c r="V1789" i="2"/>
  <c r="U1789" i="2"/>
  <c r="T1789" i="2"/>
  <c r="S1789" i="2"/>
  <c r="R1789" i="2"/>
  <c r="Q1789" i="2"/>
  <c r="P1789" i="2"/>
  <c r="O1789" i="2"/>
  <c r="N1789" i="2"/>
  <c r="M1789" i="2"/>
  <c r="L1789" i="2"/>
  <c r="K1789" i="2"/>
  <c r="H1789" i="2"/>
  <c r="G1789" i="2"/>
  <c r="F1789" i="2"/>
  <c r="E1789" i="2"/>
  <c r="D1789" i="2"/>
  <c r="C1789" i="2"/>
  <c r="B1789" i="2"/>
  <c r="A1789" i="2"/>
  <c r="AG1788" i="2"/>
  <c r="AF1788" i="2"/>
  <c r="AE1788" i="2"/>
  <c r="AD1788" i="2"/>
  <c r="AC1788" i="2"/>
  <c r="AB1788" i="2"/>
  <c r="Z1788" i="2"/>
  <c r="Y1788" i="2"/>
  <c r="X1788" i="2"/>
  <c r="W1788" i="2"/>
  <c r="V1788" i="2"/>
  <c r="U1788" i="2"/>
  <c r="S1788" i="2"/>
  <c r="R1788" i="2"/>
  <c r="Q1788" i="2"/>
  <c r="P1788" i="2"/>
  <c r="O1788" i="2"/>
  <c r="N1788" i="2"/>
  <c r="M1788" i="2"/>
  <c r="L1788" i="2"/>
  <c r="K1788" i="2"/>
  <c r="H1788" i="2"/>
  <c r="G1788" i="2"/>
  <c r="F1788" i="2"/>
  <c r="E1788" i="2"/>
  <c r="D1788" i="2"/>
  <c r="C1788" i="2"/>
  <c r="B1788" i="2"/>
  <c r="A1788" i="2"/>
  <c r="AG1787" i="2"/>
  <c r="AF1787" i="2"/>
  <c r="AE1787" i="2"/>
  <c r="AD1787" i="2"/>
  <c r="AC1787" i="2"/>
  <c r="AB1787" i="2"/>
  <c r="Z1787" i="2"/>
  <c r="Y1787" i="2"/>
  <c r="X1787" i="2"/>
  <c r="W1787" i="2"/>
  <c r="V1787" i="2"/>
  <c r="U1787" i="2"/>
  <c r="T1787" i="2"/>
  <c r="S1787" i="2"/>
  <c r="R1787" i="2"/>
  <c r="Q1787" i="2"/>
  <c r="P1787" i="2"/>
  <c r="O1787" i="2"/>
  <c r="N1787" i="2"/>
  <c r="M1787" i="2"/>
  <c r="L1787" i="2"/>
  <c r="K1787" i="2"/>
  <c r="H1787" i="2"/>
  <c r="G1787" i="2"/>
  <c r="F1787" i="2"/>
  <c r="E1787" i="2"/>
  <c r="D1787" i="2"/>
  <c r="C1787" i="2"/>
  <c r="B1787" i="2"/>
  <c r="A1787" i="2"/>
  <c r="AG1786" i="2"/>
  <c r="AF1786" i="2"/>
  <c r="AE1786" i="2"/>
  <c r="AD1786" i="2"/>
  <c r="AC1786" i="2"/>
  <c r="AB1786" i="2"/>
  <c r="Z1786" i="2"/>
  <c r="Y1786" i="2"/>
  <c r="X1786" i="2"/>
  <c r="W1786" i="2"/>
  <c r="V1786" i="2"/>
  <c r="U1786" i="2"/>
  <c r="S1786" i="2"/>
  <c r="R1786" i="2"/>
  <c r="Q1786" i="2"/>
  <c r="P1786" i="2"/>
  <c r="O1786" i="2"/>
  <c r="N1786" i="2"/>
  <c r="M1786" i="2"/>
  <c r="L1786" i="2"/>
  <c r="K1786" i="2"/>
  <c r="H1786" i="2"/>
  <c r="G1786" i="2"/>
  <c r="F1786" i="2"/>
  <c r="E1786" i="2"/>
  <c r="D1786" i="2"/>
  <c r="C1786" i="2"/>
  <c r="B1786" i="2"/>
  <c r="A1786" i="2"/>
  <c r="AG1785" i="2"/>
  <c r="AF1785" i="2"/>
  <c r="AD1785" i="2"/>
  <c r="AC1785" i="2"/>
  <c r="AB1785" i="2"/>
  <c r="Z1785" i="2"/>
  <c r="X1785" i="2"/>
  <c r="W1785" i="2"/>
  <c r="V1785" i="2"/>
  <c r="U1785" i="2"/>
  <c r="S1785" i="2"/>
  <c r="R1785" i="2"/>
  <c r="Q1785" i="2"/>
  <c r="P1785" i="2"/>
  <c r="O1785" i="2"/>
  <c r="N1785" i="2"/>
  <c r="M1785" i="2"/>
  <c r="L1785" i="2"/>
  <c r="K1785" i="2"/>
  <c r="H1785" i="2"/>
  <c r="G1785" i="2"/>
  <c r="F1785" i="2"/>
  <c r="E1785" i="2"/>
  <c r="D1785" i="2"/>
  <c r="C1785" i="2"/>
  <c r="B1785" i="2"/>
  <c r="A1785" i="2"/>
  <c r="AG1784" i="2"/>
  <c r="AD1784" i="2"/>
  <c r="AC1784" i="2"/>
  <c r="AB1784" i="2"/>
  <c r="Z1784" i="2"/>
  <c r="X1784" i="2"/>
  <c r="W1784" i="2"/>
  <c r="V1784" i="2"/>
  <c r="U1784" i="2"/>
  <c r="T1784" i="2"/>
  <c r="S1784" i="2"/>
  <c r="R1784" i="2"/>
  <c r="Q1784" i="2"/>
  <c r="P1784" i="2"/>
  <c r="O1784" i="2"/>
  <c r="N1784" i="2"/>
  <c r="M1784" i="2"/>
  <c r="L1784" i="2"/>
  <c r="K1784" i="2"/>
  <c r="H1784" i="2"/>
  <c r="G1784" i="2"/>
  <c r="F1784" i="2"/>
  <c r="E1784" i="2"/>
  <c r="D1784" i="2"/>
  <c r="C1784" i="2"/>
  <c r="B1784" i="2"/>
  <c r="A1784" i="2"/>
  <c r="AG1783" i="2"/>
  <c r="AF1783" i="2"/>
  <c r="AE1783" i="2"/>
  <c r="AD1783" i="2"/>
  <c r="AC1783" i="2"/>
  <c r="AB1783" i="2"/>
  <c r="AA1783" i="2"/>
  <c r="Z1783" i="2"/>
  <c r="X1783" i="2"/>
  <c r="W1783" i="2"/>
  <c r="V1783" i="2"/>
  <c r="U1783" i="2"/>
  <c r="T1783" i="2"/>
  <c r="S1783" i="2"/>
  <c r="R1783" i="2"/>
  <c r="Q1783" i="2"/>
  <c r="P1783" i="2"/>
  <c r="O1783" i="2"/>
  <c r="N1783" i="2"/>
  <c r="M1783" i="2"/>
  <c r="L1783" i="2"/>
  <c r="K1783" i="2"/>
  <c r="H1783" i="2"/>
  <c r="G1783" i="2"/>
  <c r="F1783" i="2"/>
  <c r="E1783" i="2"/>
  <c r="D1783" i="2"/>
  <c r="C1783" i="2"/>
  <c r="B1783" i="2"/>
  <c r="A1783" i="2"/>
  <c r="AH1782" i="2"/>
  <c r="AG1782" i="2"/>
  <c r="AF1782" i="2"/>
  <c r="AD1782" i="2"/>
  <c r="AC1782" i="2"/>
  <c r="AB1782" i="2"/>
  <c r="Z1782" i="2"/>
  <c r="Y1782" i="2"/>
  <c r="X1782" i="2"/>
  <c r="W1782" i="2"/>
  <c r="V1782" i="2"/>
  <c r="U1782" i="2"/>
  <c r="T1782" i="2"/>
  <c r="S1782" i="2"/>
  <c r="R1782" i="2"/>
  <c r="Q1782" i="2"/>
  <c r="P1782" i="2"/>
  <c r="O1782" i="2"/>
  <c r="N1782" i="2"/>
  <c r="M1782" i="2"/>
  <c r="L1782" i="2"/>
  <c r="K1782" i="2"/>
  <c r="J1782" i="2"/>
  <c r="I1782" i="2"/>
  <c r="H1782" i="2"/>
  <c r="G1782" i="2"/>
  <c r="F1782" i="2"/>
  <c r="E1782" i="2"/>
  <c r="D1782" i="2"/>
  <c r="C1782" i="2"/>
  <c r="B1782" i="2"/>
  <c r="A1782" i="2"/>
  <c r="AG1781" i="2"/>
  <c r="AF1781" i="2"/>
  <c r="AE1781" i="2"/>
  <c r="AD1781" i="2"/>
  <c r="AC1781" i="2"/>
  <c r="AB1781" i="2"/>
  <c r="Z1781" i="2"/>
  <c r="Y1781" i="2"/>
  <c r="X1781" i="2"/>
  <c r="W1781" i="2"/>
  <c r="V1781" i="2"/>
  <c r="U1781" i="2"/>
  <c r="T1781" i="2"/>
  <c r="S1781" i="2"/>
  <c r="R1781" i="2"/>
  <c r="Q1781" i="2"/>
  <c r="P1781" i="2"/>
  <c r="O1781" i="2"/>
  <c r="N1781" i="2"/>
  <c r="M1781" i="2"/>
  <c r="L1781" i="2"/>
  <c r="K1781" i="2"/>
  <c r="H1781" i="2"/>
  <c r="G1781" i="2"/>
  <c r="F1781" i="2"/>
  <c r="E1781" i="2"/>
  <c r="D1781" i="2"/>
  <c r="C1781" i="2"/>
  <c r="B1781" i="2"/>
  <c r="A1781" i="2"/>
  <c r="AG1780" i="2"/>
  <c r="AF1780" i="2"/>
  <c r="AE1780" i="2"/>
  <c r="AD1780" i="2"/>
  <c r="AC1780" i="2"/>
  <c r="AB1780" i="2"/>
  <c r="Z1780" i="2"/>
  <c r="Y1780" i="2"/>
  <c r="X1780" i="2"/>
  <c r="W1780" i="2"/>
  <c r="V1780" i="2"/>
  <c r="U1780" i="2"/>
  <c r="R1780" i="2"/>
  <c r="Q1780" i="2"/>
  <c r="P1780" i="2"/>
  <c r="O1780" i="2"/>
  <c r="N1780" i="2"/>
  <c r="M1780" i="2"/>
  <c r="L1780" i="2"/>
  <c r="K1780" i="2"/>
  <c r="H1780" i="2"/>
  <c r="G1780" i="2"/>
  <c r="F1780" i="2"/>
  <c r="E1780" i="2"/>
  <c r="D1780" i="2"/>
  <c r="C1780" i="2"/>
  <c r="B1780" i="2"/>
  <c r="A1780" i="2"/>
  <c r="AG1779" i="2"/>
  <c r="AF1779" i="2"/>
  <c r="AE1779" i="2"/>
  <c r="AD1779" i="2"/>
  <c r="AC1779" i="2"/>
  <c r="AB1779" i="2"/>
  <c r="Z1779" i="2"/>
  <c r="Y1779" i="2"/>
  <c r="X1779" i="2"/>
  <c r="W1779" i="2"/>
  <c r="V1779" i="2"/>
  <c r="U1779" i="2"/>
  <c r="T1779" i="2"/>
  <c r="S1779" i="2"/>
  <c r="R1779" i="2"/>
  <c r="Q1779" i="2"/>
  <c r="P1779" i="2"/>
  <c r="O1779" i="2"/>
  <c r="N1779" i="2"/>
  <c r="M1779" i="2"/>
  <c r="L1779" i="2"/>
  <c r="K1779" i="2"/>
  <c r="H1779" i="2"/>
  <c r="G1779" i="2"/>
  <c r="F1779" i="2"/>
  <c r="E1779" i="2"/>
  <c r="D1779" i="2"/>
  <c r="C1779" i="2"/>
  <c r="B1779" i="2"/>
  <c r="A1779" i="2"/>
  <c r="AG1778" i="2"/>
  <c r="AD1778" i="2"/>
  <c r="AC1778" i="2"/>
  <c r="AB1778" i="2"/>
  <c r="Z1778" i="2"/>
  <c r="Y1778" i="2"/>
  <c r="X1778" i="2"/>
  <c r="W1778" i="2"/>
  <c r="V1778" i="2"/>
  <c r="R1778" i="2"/>
  <c r="Q1778" i="2"/>
  <c r="P1778" i="2"/>
  <c r="O1778" i="2"/>
  <c r="N1778" i="2"/>
  <c r="M1778" i="2"/>
  <c r="L1778" i="2"/>
  <c r="K1778" i="2"/>
  <c r="H1778" i="2"/>
  <c r="G1778" i="2"/>
  <c r="F1778" i="2"/>
  <c r="E1778" i="2"/>
  <c r="D1778" i="2"/>
  <c r="C1778" i="2"/>
  <c r="B1778" i="2"/>
  <c r="A1778" i="2"/>
  <c r="AG1777" i="2"/>
  <c r="AF1777" i="2"/>
  <c r="AE1777" i="2"/>
  <c r="AD1777" i="2"/>
  <c r="AC1777" i="2"/>
  <c r="AB1777" i="2"/>
  <c r="Z1777" i="2"/>
  <c r="Y1777" i="2"/>
  <c r="X1777" i="2"/>
  <c r="W1777" i="2"/>
  <c r="V1777" i="2"/>
  <c r="U1777" i="2"/>
  <c r="T1777" i="2"/>
  <c r="S1777" i="2"/>
  <c r="R1777" i="2"/>
  <c r="Q1777" i="2"/>
  <c r="P1777" i="2"/>
  <c r="O1777" i="2"/>
  <c r="N1777" i="2"/>
  <c r="M1777" i="2"/>
  <c r="L1777" i="2"/>
  <c r="K1777" i="2"/>
  <c r="H1777" i="2"/>
  <c r="G1777" i="2"/>
  <c r="F1777" i="2"/>
  <c r="E1777" i="2"/>
  <c r="D1777" i="2"/>
  <c r="C1777" i="2"/>
  <c r="B1777" i="2"/>
  <c r="A1777" i="2"/>
  <c r="AG1776" i="2"/>
  <c r="AF1776" i="2"/>
  <c r="AE1776" i="2"/>
  <c r="AD1776" i="2"/>
  <c r="AC1776" i="2"/>
  <c r="AB1776" i="2"/>
  <c r="Z1776" i="2"/>
  <c r="Y1776" i="2"/>
  <c r="X1776" i="2"/>
  <c r="W1776" i="2"/>
  <c r="V1776" i="2"/>
  <c r="U1776" i="2"/>
  <c r="T1776" i="2"/>
  <c r="S1776" i="2"/>
  <c r="R1776" i="2"/>
  <c r="Q1776" i="2"/>
  <c r="P1776" i="2"/>
  <c r="O1776" i="2"/>
  <c r="N1776" i="2"/>
  <c r="M1776" i="2"/>
  <c r="L1776" i="2"/>
  <c r="K1776" i="2"/>
  <c r="H1776" i="2"/>
  <c r="G1776" i="2"/>
  <c r="F1776" i="2"/>
  <c r="E1776" i="2"/>
  <c r="D1776" i="2"/>
  <c r="C1776" i="2"/>
  <c r="B1776" i="2"/>
  <c r="A1776" i="2"/>
  <c r="AG1775" i="2"/>
  <c r="AF1775" i="2"/>
  <c r="AD1775" i="2"/>
  <c r="AC1775" i="2"/>
  <c r="AB1775" i="2"/>
  <c r="Z1775" i="2"/>
  <c r="X1775" i="2"/>
  <c r="W1775" i="2"/>
  <c r="V1775" i="2"/>
  <c r="U1775" i="2"/>
  <c r="T1775" i="2"/>
  <c r="S1775" i="2"/>
  <c r="R1775" i="2"/>
  <c r="Q1775" i="2"/>
  <c r="P1775" i="2"/>
  <c r="O1775" i="2"/>
  <c r="N1775" i="2"/>
  <c r="M1775" i="2"/>
  <c r="L1775" i="2"/>
  <c r="K1775" i="2"/>
  <c r="H1775" i="2"/>
  <c r="G1775" i="2"/>
  <c r="F1775" i="2"/>
  <c r="E1775" i="2"/>
  <c r="D1775" i="2"/>
  <c r="C1775" i="2"/>
  <c r="B1775" i="2"/>
  <c r="A1775" i="2"/>
  <c r="AG1774" i="2"/>
  <c r="AF1774" i="2"/>
  <c r="AE1774" i="2"/>
  <c r="AD1774" i="2"/>
  <c r="AC1774" i="2"/>
  <c r="AB1774" i="2"/>
  <c r="Z1774" i="2"/>
  <c r="Y1774" i="2"/>
  <c r="X1774" i="2"/>
  <c r="W1774" i="2"/>
  <c r="V1774" i="2"/>
  <c r="U1774" i="2"/>
  <c r="T1774" i="2"/>
  <c r="S1774" i="2"/>
  <c r="R1774" i="2"/>
  <c r="Q1774" i="2"/>
  <c r="P1774" i="2"/>
  <c r="O1774" i="2"/>
  <c r="N1774" i="2"/>
  <c r="M1774" i="2"/>
  <c r="L1774" i="2"/>
  <c r="K1774" i="2"/>
  <c r="H1774" i="2"/>
  <c r="G1774" i="2"/>
  <c r="F1774" i="2"/>
  <c r="E1774" i="2"/>
  <c r="D1774" i="2"/>
  <c r="C1774" i="2"/>
  <c r="B1774" i="2"/>
  <c r="A1774" i="2"/>
  <c r="AG1773" i="2"/>
  <c r="AF1773" i="2"/>
  <c r="AE1773" i="2"/>
  <c r="AD1773" i="2"/>
  <c r="AC1773" i="2"/>
  <c r="AB1773" i="2"/>
  <c r="Z1773" i="2"/>
  <c r="Y1773" i="2"/>
  <c r="X1773" i="2"/>
  <c r="W1773" i="2"/>
  <c r="V1773" i="2"/>
  <c r="U1773" i="2"/>
  <c r="T1773" i="2"/>
  <c r="S1773" i="2"/>
  <c r="R1773" i="2"/>
  <c r="Q1773" i="2"/>
  <c r="P1773" i="2"/>
  <c r="O1773" i="2"/>
  <c r="N1773" i="2"/>
  <c r="M1773" i="2"/>
  <c r="L1773" i="2"/>
  <c r="K1773" i="2"/>
  <c r="H1773" i="2"/>
  <c r="G1773" i="2"/>
  <c r="F1773" i="2"/>
  <c r="E1773" i="2"/>
  <c r="D1773" i="2"/>
  <c r="C1773" i="2"/>
  <c r="B1773" i="2"/>
  <c r="A1773" i="2"/>
  <c r="AG1772" i="2"/>
  <c r="AD1772" i="2"/>
  <c r="AC1772" i="2"/>
  <c r="AB1772" i="2"/>
  <c r="Z1772" i="2"/>
  <c r="X1772" i="2"/>
  <c r="W1772" i="2"/>
  <c r="V1772" i="2"/>
  <c r="U1772" i="2"/>
  <c r="T1772" i="2"/>
  <c r="S1772" i="2"/>
  <c r="R1772" i="2"/>
  <c r="Q1772" i="2"/>
  <c r="P1772" i="2"/>
  <c r="O1772" i="2"/>
  <c r="N1772" i="2"/>
  <c r="M1772" i="2"/>
  <c r="L1772" i="2"/>
  <c r="K1772" i="2"/>
  <c r="H1772" i="2"/>
  <c r="G1772" i="2"/>
  <c r="F1772" i="2"/>
  <c r="E1772" i="2"/>
  <c r="D1772" i="2"/>
  <c r="C1772" i="2"/>
  <c r="B1772" i="2"/>
  <c r="A1772" i="2"/>
  <c r="AG1771" i="2"/>
  <c r="AF1771" i="2"/>
  <c r="AE1771" i="2"/>
  <c r="AD1771" i="2"/>
  <c r="AC1771" i="2"/>
  <c r="AB1771" i="2"/>
  <c r="Z1771" i="2"/>
  <c r="Y1771" i="2"/>
  <c r="X1771" i="2"/>
  <c r="W1771" i="2"/>
  <c r="V1771" i="2"/>
  <c r="U1771" i="2"/>
  <c r="T1771" i="2"/>
  <c r="S1771" i="2"/>
  <c r="R1771" i="2"/>
  <c r="Q1771" i="2"/>
  <c r="P1771" i="2"/>
  <c r="O1771" i="2"/>
  <c r="N1771" i="2"/>
  <c r="M1771" i="2"/>
  <c r="L1771" i="2"/>
  <c r="K1771" i="2"/>
  <c r="H1771" i="2"/>
  <c r="G1771" i="2"/>
  <c r="F1771" i="2"/>
  <c r="E1771" i="2"/>
  <c r="D1771" i="2"/>
  <c r="C1771" i="2"/>
  <c r="B1771" i="2"/>
  <c r="A1771" i="2"/>
  <c r="AG1770" i="2"/>
  <c r="AF1770" i="2"/>
  <c r="AE1770" i="2"/>
  <c r="AD1770" i="2"/>
  <c r="AC1770" i="2"/>
  <c r="AB1770" i="2"/>
  <c r="Z1770" i="2"/>
  <c r="Y1770" i="2"/>
  <c r="X1770" i="2"/>
  <c r="W1770" i="2"/>
  <c r="V1770" i="2"/>
  <c r="U1770" i="2"/>
  <c r="T1770" i="2"/>
  <c r="S1770" i="2"/>
  <c r="R1770" i="2"/>
  <c r="Q1770" i="2"/>
  <c r="P1770" i="2"/>
  <c r="O1770" i="2"/>
  <c r="N1770" i="2"/>
  <c r="M1770" i="2"/>
  <c r="L1770" i="2"/>
  <c r="K1770" i="2"/>
  <c r="H1770" i="2"/>
  <c r="G1770" i="2"/>
  <c r="F1770" i="2"/>
  <c r="E1770" i="2"/>
  <c r="D1770" i="2"/>
  <c r="C1770" i="2"/>
  <c r="B1770" i="2"/>
  <c r="A1770" i="2"/>
  <c r="AH1769" i="2"/>
  <c r="AG1769" i="2"/>
  <c r="AF1769" i="2"/>
  <c r="AE1769" i="2"/>
  <c r="AD1769" i="2"/>
  <c r="AC1769" i="2"/>
  <c r="AB1769" i="2"/>
  <c r="AA1769" i="2"/>
  <c r="Z1769" i="2"/>
  <c r="Y1769" i="2"/>
  <c r="X1769" i="2"/>
  <c r="W1769" i="2"/>
  <c r="V1769" i="2"/>
  <c r="U1769" i="2"/>
  <c r="T1769" i="2"/>
  <c r="S1769" i="2"/>
  <c r="R1769" i="2"/>
  <c r="Q1769" i="2"/>
  <c r="P1769" i="2"/>
  <c r="O1769" i="2"/>
  <c r="N1769" i="2"/>
  <c r="M1769" i="2"/>
  <c r="L1769" i="2"/>
  <c r="K1769" i="2"/>
  <c r="H1769" i="2"/>
  <c r="G1769" i="2"/>
  <c r="F1769" i="2"/>
  <c r="E1769" i="2"/>
  <c r="D1769" i="2"/>
  <c r="C1769" i="2"/>
  <c r="B1769" i="2"/>
  <c r="A1769" i="2"/>
  <c r="AH1768" i="2"/>
  <c r="AG1768" i="2"/>
  <c r="AF1768" i="2"/>
  <c r="AE1768" i="2"/>
  <c r="AD1768" i="2"/>
  <c r="AC1768" i="2"/>
  <c r="AB1768" i="2"/>
  <c r="AA1768" i="2"/>
  <c r="Z1768" i="2"/>
  <c r="Y1768" i="2"/>
  <c r="X1768" i="2"/>
  <c r="W1768" i="2"/>
  <c r="V1768" i="2"/>
  <c r="U1768" i="2"/>
  <c r="S1768" i="2"/>
  <c r="R1768" i="2"/>
  <c r="Q1768" i="2"/>
  <c r="P1768" i="2"/>
  <c r="O1768" i="2"/>
  <c r="N1768" i="2"/>
  <c r="M1768" i="2"/>
  <c r="L1768" i="2"/>
  <c r="K1768" i="2"/>
  <c r="J1768" i="2"/>
  <c r="H1768" i="2"/>
  <c r="G1768" i="2"/>
  <c r="F1768" i="2"/>
  <c r="E1768" i="2"/>
  <c r="D1768" i="2"/>
  <c r="C1768" i="2"/>
  <c r="B1768" i="2"/>
  <c r="A1768" i="2"/>
  <c r="AG1767" i="2"/>
  <c r="AF1767" i="2"/>
  <c r="AE1767" i="2"/>
  <c r="AD1767" i="2"/>
  <c r="AC1767" i="2"/>
  <c r="AB1767" i="2"/>
  <c r="Z1767" i="2"/>
  <c r="Y1767" i="2"/>
  <c r="X1767" i="2"/>
  <c r="W1767" i="2"/>
  <c r="V1767" i="2"/>
  <c r="U1767" i="2"/>
  <c r="T1767" i="2"/>
  <c r="S1767" i="2"/>
  <c r="R1767" i="2"/>
  <c r="Q1767" i="2"/>
  <c r="P1767" i="2"/>
  <c r="O1767" i="2"/>
  <c r="N1767" i="2"/>
  <c r="M1767" i="2"/>
  <c r="L1767" i="2"/>
  <c r="K1767" i="2"/>
  <c r="H1767" i="2"/>
  <c r="G1767" i="2"/>
  <c r="F1767" i="2"/>
  <c r="E1767" i="2"/>
  <c r="D1767" i="2"/>
  <c r="C1767" i="2"/>
  <c r="B1767" i="2"/>
  <c r="A1767" i="2"/>
  <c r="AG1766" i="2"/>
  <c r="AF1766" i="2"/>
  <c r="AE1766" i="2"/>
  <c r="AD1766" i="2"/>
  <c r="AC1766" i="2"/>
  <c r="AB1766" i="2"/>
  <c r="Z1766" i="2"/>
  <c r="Y1766" i="2"/>
  <c r="X1766" i="2"/>
  <c r="W1766" i="2"/>
  <c r="V1766" i="2"/>
  <c r="U1766" i="2"/>
  <c r="R1766" i="2"/>
  <c r="Q1766" i="2"/>
  <c r="P1766" i="2"/>
  <c r="O1766" i="2"/>
  <c r="N1766" i="2"/>
  <c r="M1766" i="2"/>
  <c r="L1766" i="2"/>
  <c r="K1766" i="2"/>
  <c r="H1766" i="2"/>
  <c r="G1766" i="2"/>
  <c r="F1766" i="2"/>
  <c r="E1766" i="2"/>
  <c r="D1766" i="2"/>
  <c r="C1766" i="2"/>
  <c r="B1766" i="2"/>
  <c r="A1766" i="2"/>
  <c r="AG1765" i="2"/>
  <c r="AD1765" i="2"/>
  <c r="AC1765" i="2"/>
  <c r="AB1765" i="2"/>
  <c r="Z1765" i="2"/>
  <c r="X1765" i="2"/>
  <c r="W1765" i="2"/>
  <c r="V1765" i="2"/>
  <c r="U1765" i="2"/>
  <c r="S1765" i="2"/>
  <c r="R1765" i="2"/>
  <c r="Q1765" i="2"/>
  <c r="P1765" i="2"/>
  <c r="O1765" i="2"/>
  <c r="N1765" i="2"/>
  <c r="M1765" i="2"/>
  <c r="L1765" i="2"/>
  <c r="K1765" i="2"/>
  <c r="H1765" i="2"/>
  <c r="G1765" i="2"/>
  <c r="F1765" i="2"/>
  <c r="E1765" i="2"/>
  <c r="D1765" i="2"/>
  <c r="C1765" i="2"/>
  <c r="B1765" i="2"/>
  <c r="A1765" i="2"/>
  <c r="AG1764" i="2"/>
  <c r="AD1764" i="2"/>
  <c r="AC1764" i="2"/>
  <c r="AB1764" i="2"/>
  <c r="AA1764" i="2"/>
  <c r="Z1764" i="2"/>
  <c r="X1764" i="2"/>
  <c r="W1764" i="2"/>
  <c r="V1764" i="2"/>
  <c r="U1764" i="2"/>
  <c r="T1764" i="2"/>
  <c r="S1764" i="2"/>
  <c r="R1764" i="2"/>
  <c r="Q1764" i="2"/>
  <c r="P1764" i="2"/>
  <c r="O1764" i="2"/>
  <c r="N1764" i="2"/>
  <c r="M1764" i="2"/>
  <c r="L1764" i="2"/>
  <c r="K1764" i="2"/>
  <c r="H1764" i="2"/>
  <c r="G1764" i="2"/>
  <c r="F1764" i="2"/>
  <c r="E1764" i="2"/>
  <c r="D1764" i="2"/>
  <c r="C1764" i="2"/>
  <c r="B1764" i="2"/>
  <c r="A1764" i="2"/>
  <c r="AG1763" i="2"/>
  <c r="AF1763" i="2"/>
  <c r="AE1763" i="2"/>
  <c r="AD1763" i="2"/>
  <c r="AC1763" i="2"/>
  <c r="AB1763" i="2"/>
  <c r="Y1763" i="2"/>
  <c r="X1763" i="2"/>
  <c r="W1763" i="2"/>
  <c r="V1763" i="2"/>
  <c r="U1763" i="2"/>
  <c r="R1763" i="2"/>
  <c r="Q1763" i="2"/>
  <c r="P1763" i="2"/>
  <c r="O1763" i="2"/>
  <c r="N1763" i="2"/>
  <c r="M1763" i="2"/>
  <c r="L1763" i="2"/>
  <c r="K1763" i="2"/>
  <c r="H1763" i="2"/>
  <c r="G1763" i="2"/>
  <c r="F1763" i="2"/>
  <c r="E1763" i="2"/>
  <c r="D1763" i="2"/>
  <c r="C1763" i="2"/>
  <c r="B1763" i="2"/>
  <c r="A1763" i="2"/>
  <c r="AG1762" i="2"/>
  <c r="AF1762" i="2"/>
  <c r="AD1762" i="2"/>
  <c r="AC1762" i="2"/>
  <c r="AB1762" i="2"/>
  <c r="Z1762" i="2"/>
  <c r="Y1762" i="2"/>
  <c r="X1762" i="2"/>
  <c r="W1762" i="2"/>
  <c r="V1762" i="2"/>
  <c r="U1762" i="2"/>
  <c r="T1762" i="2"/>
  <c r="S1762" i="2"/>
  <c r="R1762" i="2"/>
  <c r="Q1762" i="2"/>
  <c r="P1762" i="2"/>
  <c r="O1762" i="2"/>
  <c r="N1762" i="2"/>
  <c r="M1762" i="2"/>
  <c r="L1762" i="2"/>
  <c r="K1762" i="2"/>
  <c r="H1762" i="2"/>
  <c r="G1762" i="2"/>
  <c r="F1762" i="2"/>
  <c r="E1762" i="2"/>
  <c r="D1762" i="2"/>
  <c r="C1762" i="2"/>
  <c r="B1762" i="2"/>
  <c r="A1762" i="2"/>
  <c r="AH1761" i="2"/>
  <c r="AG1761" i="2"/>
  <c r="AF1761" i="2"/>
  <c r="AE1761" i="2"/>
  <c r="AD1761" i="2"/>
  <c r="AC1761" i="2"/>
  <c r="AB1761" i="2"/>
  <c r="Z1761" i="2"/>
  <c r="Y1761" i="2"/>
  <c r="X1761" i="2"/>
  <c r="W1761" i="2"/>
  <c r="V1761" i="2"/>
  <c r="U1761" i="2"/>
  <c r="T1761" i="2"/>
  <c r="S1761" i="2"/>
  <c r="R1761" i="2"/>
  <c r="Q1761" i="2"/>
  <c r="P1761" i="2"/>
  <c r="O1761" i="2"/>
  <c r="N1761" i="2"/>
  <c r="M1761" i="2"/>
  <c r="L1761" i="2"/>
  <c r="K1761" i="2"/>
  <c r="H1761" i="2"/>
  <c r="G1761" i="2"/>
  <c r="F1761" i="2"/>
  <c r="E1761" i="2"/>
  <c r="D1761" i="2"/>
  <c r="C1761" i="2"/>
  <c r="B1761" i="2"/>
  <c r="A1761" i="2"/>
  <c r="AG1760" i="2"/>
  <c r="AF1760" i="2"/>
  <c r="AE1760" i="2"/>
  <c r="AD1760" i="2"/>
  <c r="AC1760" i="2"/>
  <c r="AB1760" i="2"/>
  <c r="Z1760" i="2"/>
  <c r="Y1760" i="2"/>
  <c r="X1760" i="2"/>
  <c r="W1760" i="2"/>
  <c r="V1760" i="2"/>
  <c r="U1760" i="2"/>
  <c r="S1760" i="2"/>
  <c r="R1760" i="2"/>
  <c r="Q1760" i="2"/>
  <c r="P1760" i="2"/>
  <c r="O1760" i="2"/>
  <c r="N1760" i="2"/>
  <c r="M1760" i="2"/>
  <c r="L1760" i="2"/>
  <c r="K1760" i="2"/>
  <c r="H1760" i="2"/>
  <c r="G1760" i="2"/>
  <c r="F1760" i="2"/>
  <c r="E1760" i="2"/>
  <c r="D1760" i="2"/>
  <c r="C1760" i="2"/>
  <c r="B1760" i="2"/>
  <c r="A1760" i="2"/>
  <c r="AG1759" i="2"/>
  <c r="AF1759" i="2"/>
  <c r="AE1759" i="2"/>
  <c r="AD1759" i="2"/>
  <c r="AC1759" i="2"/>
  <c r="AB1759" i="2"/>
  <c r="AA1759" i="2"/>
  <c r="Z1759" i="2"/>
  <c r="Y1759" i="2"/>
  <c r="X1759" i="2"/>
  <c r="W1759" i="2"/>
  <c r="V1759" i="2"/>
  <c r="U1759" i="2"/>
  <c r="T1759" i="2"/>
  <c r="S1759" i="2"/>
  <c r="R1759" i="2"/>
  <c r="Q1759" i="2"/>
  <c r="P1759" i="2"/>
  <c r="O1759" i="2"/>
  <c r="N1759" i="2"/>
  <c r="M1759" i="2"/>
  <c r="L1759" i="2"/>
  <c r="K1759" i="2"/>
  <c r="H1759" i="2"/>
  <c r="G1759" i="2"/>
  <c r="F1759" i="2"/>
  <c r="E1759" i="2"/>
  <c r="D1759" i="2"/>
  <c r="C1759" i="2"/>
  <c r="B1759" i="2"/>
  <c r="A1759" i="2"/>
  <c r="AG1758" i="2"/>
  <c r="AF1758" i="2"/>
  <c r="AE1758" i="2"/>
  <c r="AD1758" i="2"/>
  <c r="AC1758" i="2"/>
  <c r="AB1758" i="2"/>
  <c r="Z1758" i="2"/>
  <c r="Y1758" i="2"/>
  <c r="X1758" i="2"/>
  <c r="W1758" i="2"/>
  <c r="V1758" i="2"/>
  <c r="U1758" i="2"/>
  <c r="T1758" i="2"/>
  <c r="S1758" i="2"/>
  <c r="R1758" i="2"/>
  <c r="Q1758" i="2"/>
  <c r="P1758" i="2"/>
  <c r="O1758" i="2"/>
  <c r="N1758" i="2"/>
  <c r="M1758" i="2"/>
  <c r="L1758" i="2"/>
  <c r="K1758" i="2"/>
  <c r="H1758" i="2"/>
  <c r="G1758" i="2"/>
  <c r="F1758" i="2"/>
  <c r="E1758" i="2"/>
  <c r="D1758" i="2"/>
  <c r="C1758" i="2"/>
  <c r="B1758" i="2"/>
  <c r="A1758" i="2"/>
  <c r="AG1757" i="2"/>
  <c r="AF1757" i="2"/>
  <c r="AE1757" i="2"/>
  <c r="AD1757" i="2"/>
  <c r="AC1757" i="2"/>
  <c r="AB1757" i="2"/>
  <c r="Z1757" i="2"/>
  <c r="Y1757" i="2"/>
  <c r="X1757" i="2"/>
  <c r="W1757" i="2"/>
  <c r="V1757" i="2"/>
  <c r="U1757" i="2"/>
  <c r="T1757" i="2"/>
  <c r="S1757" i="2"/>
  <c r="R1757" i="2"/>
  <c r="Q1757" i="2"/>
  <c r="P1757" i="2"/>
  <c r="O1757" i="2"/>
  <c r="N1757" i="2"/>
  <c r="M1757" i="2"/>
  <c r="L1757" i="2"/>
  <c r="K1757" i="2"/>
  <c r="H1757" i="2"/>
  <c r="G1757" i="2"/>
  <c r="F1757" i="2"/>
  <c r="E1757" i="2"/>
  <c r="D1757" i="2"/>
  <c r="C1757" i="2"/>
  <c r="B1757" i="2"/>
  <c r="A1757" i="2"/>
  <c r="AG1756" i="2"/>
  <c r="AF1756" i="2"/>
  <c r="AD1756" i="2"/>
  <c r="AC1756" i="2"/>
  <c r="AB1756" i="2"/>
  <c r="Z1756" i="2"/>
  <c r="Y1756" i="2"/>
  <c r="X1756" i="2"/>
  <c r="W1756" i="2"/>
  <c r="V1756" i="2"/>
  <c r="U1756" i="2"/>
  <c r="T1756" i="2"/>
  <c r="S1756" i="2"/>
  <c r="R1756" i="2"/>
  <c r="Q1756" i="2"/>
  <c r="P1756" i="2"/>
  <c r="O1756" i="2"/>
  <c r="N1756" i="2"/>
  <c r="M1756" i="2"/>
  <c r="L1756" i="2"/>
  <c r="K1756" i="2"/>
  <c r="J1756" i="2"/>
  <c r="I1756" i="2"/>
  <c r="H1756" i="2"/>
  <c r="G1756" i="2"/>
  <c r="F1756" i="2"/>
  <c r="E1756" i="2"/>
  <c r="D1756" i="2"/>
  <c r="C1756" i="2"/>
  <c r="B1756" i="2"/>
  <c r="A1756" i="2"/>
  <c r="AG1755" i="2"/>
  <c r="AF1755" i="2"/>
  <c r="AD1755" i="2"/>
  <c r="AC1755" i="2"/>
  <c r="AB1755" i="2"/>
  <c r="Z1755" i="2"/>
  <c r="Y1755" i="2"/>
  <c r="X1755" i="2"/>
  <c r="W1755" i="2"/>
  <c r="V1755" i="2"/>
  <c r="U1755" i="2"/>
  <c r="T1755" i="2"/>
  <c r="S1755" i="2"/>
  <c r="R1755" i="2"/>
  <c r="Q1755" i="2"/>
  <c r="P1755" i="2"/>
  <c r="O1755" i="2"/>
  <c r="N1755" i="2"/>
  <c r="M1755" i="2"/>
  <c r="L1755" i="2"/>
  <c r="K1755" i="2"/>
  <c r="H1755" i="2"/>
  <c r="G1755" i="2"/>
  <c r="F1755" i="2"/>
  <c r="E1755" i="2"/>
  <c r="D1755" i="2"/>
  <c r="C1755" i="2"/>
  <c r="B1755" i="2"/>
  <c r="A1755" i="2"/>
  <c r="AG1754" i="2"/>
  <c r="AF1754" i="2"/>
  <c r="AE1754" i="2"/>
  <c r="AD1754" i="2"/>
  <c r="AC1754" i="2"/>
  <c r="AB1754" i="2"/>
  <c r="Z1754" i="2"/>
  <c r="Y1754" i="2"/>
  <c r="X1754" i="2"/>
  <c r="W1754" i="2"/>
  <c r="V1754" i="2"/>
  <c r="U1754" i="2"/>
  <c r="T1754" i="2"/>
  <c r="S1754" i="2"/>
  <c r="R1754" i="2"/>
  <c r="Q1754" i="2"/>
  <c r="P1754" i="2"/>
  <c r="O1754" i="2"/>
  <c r="N1754" i="2"/>
  <c r="M1754" i="2"/>
  <c r="L1754" i="2"/>
  <c r="K1754" i="2"/>
  <c r="H1754" i="2"/>
  <c r="G1754" i="2"/>
  <c r="F1754" i="2"/>
  <c r="E1754" i="2"/>
  <c r="D1754" i="2"/>
  <c r="C1754" i="2"/>
  <c r="B1754" i="2"/>
  <c r="A1754" i="2"/>
  <c r="AG1753" i="2"/>
  <c r="AF1753" i="2"/>
  <c r="AE1753" i="2"/>
  <c r="AD1753" i="2"/>
  <c r="AC1753" i="2"/>
  <c r="AB1753" i="2"/>
  <c r="AA1753" i="2"/>
  <c r="Z1753" i="2"/>
  <c r="Y1753" i="2"/>
  <c r="X1753" i="2"/>
  <c r="W1753" i="2"/>
  <c r="V1753" i="2"/>
  <c r="U1753" i="2"/>
  <c r="T1753" i="2"/>
  <c r="S1753" i="2"/>
  <c r="R1753" i="2"/>
  <c r="Q1753" i="2"/>
  <c r="P1753" i="2"/>
  <c r="O1753" i="2"/>
  <c r="N1753" i="2"/>
  <c r="M1753" i="2"/>
  <c r="L1753" i="2"/>
  <c r="K1753" i="2"/>
  <c r="H1753" i="2"/>
  <c r="G1753" i="2"/>
  <c r="F1753" i="2"/>
  <c r="E1753" i="2"/>
  <c r="D1753" i="2"/>
  <c r="C1753" i="2"/>
  <c r="B1753" i="2"/>
  <c r="A1753" i="2"/>
  <c r="AG1752" i="2"/>
  <c r="AF1752" i="2"/>
  <c r="AE1752" i="2"/>
  <c r="AD1752" i="2"/>
  <c r="AC1752" i="2"/>
  <c r="AB1752" i="2"/>
  <c r="Z1752" i="2"/>
  <c r="Y1752" i="2"/>
  <c r="X1752" i="2"/>
  <c r="W1752" i="2"/>
  <c r="V1752" i="2"/>
  <c r="U1752" i="2"/>
  <c r="T1752" i="2"/>
  <c r="S1752" i="2"/>
  <c r="R1752" i="2"/>
  <c r="Q1752" i="2"/>
  <c r="P1752" i="2"/>
  <c r="O1752" i="2"/>
  <c r="N1752" i="2"/>
  <c r="M1752" i="2"/>
  <c r="L1752" i="2"/>
  <c r="K1752" i="2"/>
  <c r="J1752" i="2"/>
  <c r="H1752" i="2"/>
  <c r="G1752" i="2"/>
  <c r="F1752" i="2"/>
  <c r="E1752" i="2"/>
  <c r="D1752" i="2"/>
  <c r="C1752" i="2"/>
  <c r="B1752" i="2"/>
  <c r="A1752" i="2"/>
  <c r="AG1751" i="2"/>
  <c r="AF1751" i="2"/>
  <c r="AE1751" i="2"/>
  <c r="AD1751" i="2"/>
  <c r="AC1751" i="2"/>
  <c r="AB1751" i="2"/>
  <c r="Z1751" i="2"/>
  <c r="Y1751" i="2"/>
  <c r="X1751" i="2"/>
  <c r="W1751" i="2"/>
  <c r="V1751" i="2"/>
  <c r="U1751" i="2"/>
  <c r="T1751" i="2"/>
  <c r="S1751" i="2"/>
  <c r="R1751" i="2"/>
  <c r="Q1751" i="2"/>
  <c r="P1751" i="2"/>
  <c r="O1751" i="2"/>
  <c r="N1751" i="2"/>
  <c r="M1751" i="2"/>
  <c r="L1751" i="2"/>
  <c r="K1751" i="2"/>
  <c r="J1751" i="2"/>
  <c r="H1751" i="2"/>
  <c r="G1751" i="2"/>
  <c r="F1751" i="2"/>
  <c r="E1751" i="2"/>
  <c r="D1751" i="2"/>
  <c r="C1751" i="2"/>
  <c r="B1751" i="2"/>
  <c r="A1751" i="2"/>
  <c r="AF1750" i="2"/>
  <c r="AE1750" i="2"/>
  <c r="AD1750" i="2"/>
  <c r="AC1750" i="2"/>
  <c r="AB1750" i="2"/>
  <c r="AA1750" i="2"/>
  <c r="Z1750" i="2"/>
  <c r="Y1750" i="2"/>
  <c r="X1750" i="2"/>
  <c r="W1750" i="2"/>
  <c r="V1750" i="2"/>
  <c r="U1750" i="2"/>
  <c r="S1750" i="2"/>
  <c r="R1750" i="2"/>
  <c r="Q1750" i="2"/>
  <c r="P1750" i="2"/>
  <c r="O1750" i="2"/>
  <c r="N1750" i="2"/>
  <c r="M1750" i="2"/>
  <c r="L1750" i="2"/>
  <c r="K1750" i="2"/>
  <c r="H1750" i="2"/>
  <c r="G1750" i="2"/>
  <c r="F1750" i="2"/>
  <c r="E1750" i="2"/>
  <c r="D1750" i="2"/>
  <c r="C1750" i="2"/>
  <c r="B1750" i="2"/>
  <c r="A1750" i="2"/>
  <c r="AH1749" i="2"/>
  <c r="AG1749" i="2"/>
  <c r="AF1749" i="2"/>
  <c r="AE1749" i="2"/>
  <c r="AD1749" i="2"/>
  <c r="AC1749" i="2"/>
  <c r="AB1749" i="2"/>
  <c r="Z1749" i="2"/>
  <c r="Y1749" i="2"/>
  <c r="X1749" i="2"/>
  <c r="W1749" i="2"/>
  <c r="V1749" i="2"/>
  <c r="U1749" i="2"/>
  <c r="T1749" i="2"/>
  <c r="S1749" i="2"/>
  <c r="R1749" i="2"/>
  <c r="Q1749" i="2"/>
  <c r="P1749" i="2"/>
  <c r="O1749" i="2"/>
  <c r="N1749" i="2"/>
  <c r="M1749" i="2"/>
  <c r="L1749" i="2"/>
  <c r="K1749" i="2"/>
  <c r="H1749" i="2"/>
  <c r="G1749" i="2"/>
  <c r="F1749" i="2"/>
  <c r="E1749" i="2"/>
  <c r="D1749" i="2"/>
  <c r="C1749" i="2"/>
  <c r="B1749" i="2"/>
  <c r="A1749" i="2"/>
  <c r="AH1748" i="2"/>
  <c r="AG1748" i="2"/>
  <c r="AF1748" i="2"/>
  <c r="AE1748" i="2"/>
  <c r="AD1748" i="2"/>
  <c r="AC1748" i="2"/>
  <c r="AB1748" i="2"/>
  <c r="Z1748" i="2"/>
  <c r="Y1748" i="2"/>
  <c r="X1748" i="2"/>
  <c r="W1748" i="2"/>
  <c r="V1748" i="2"/>
  <c r="T1748" i="2"/>
  <c r="S1748" i="2"/>
  <c r="R1748" i="2"/>
  <c r="Q1748" i="2"/>
  <c r="P1748" i="2"/>
  <c r="O1748" i="2"/>
  <c r="N1748" i="2"/>
  <c r="M1748" i="2"/>
  <c r="L1748" i="2"/>
  <c r="K1748" i="2"/>
  <c r="J1748" i="2"/>
  <c r="H1748" i="2"/>
  <c r="G1748" i="2"/>
  <c r="F1748" i="2"/>
  <c r="E1748" i="2"/>
  <c r="D1748" i="2"/>
  <c r="C1748" i="2"/>
  <c r="B1748" i="2"/>
  <c r="A1748" i="2"/>
  <c r="AH1747" i="2"/>
  <c r="AG1747" i="2"/>
  <c r="AF1747" i="2"/>
  <c r="AD1747" i="2"/>
  <c r="AC1747" i="2"/>
  <c r="AB1747" i="2"/>
  <c r="Z1747" i="2"/>
  <c r="X1747" i="2"/>
  <c r="W1747" i="2"/>
  <c r="V1747" i="2"/>
  <c r="U1747" i="2"/>
  <c r="T1747" i="2"/>
  <c r="S1747" i="2"/>
  <c r="R1747" i="2"/>
  <c r="Q1747" i="2"/>
  <c r="P1747" i="2"/>
  <c r="O1747" i="2"/>
  <c r="N1747" i="2"/>
  <c r="M1747" i="2"/>
  <c r="L1747" i="2"/>
  <c r="K1747" i="2"/>
  <c r="J1747" i="2"/>
  <c r="H1747" i="2"/>
  <c r="G1747" i="2"/>
  <c r="F1747" i="2"/>
  <c r="E1747" i="2"/>
  <c r="D1747" i="2"/>
  <c r="C1747" i="2"/>
  <c r="B1747" i="2"/>
  <c r="A1747" i="2"/>
  <c r="AF1746" i="2"/>
  <c r="AE1746" i="2"/>
  <c r="AD1746" i="2"/>
  <c r="AC1746" i="2"/>
  <c r="AB1746" i="2"/>
  <c r="Z1746" i="2"/>
  <c r="Y1746" i="2"/>
  <c r="X1746" i="2"/>
  <c r="W1746" i="2"/>
  <c r="V1746" i="2"/>
  <c r="U1746" i="2"/>
  <c r="S1746" i="2"/>
  <c r="R1746" i="2"/>
  <c r="Q1746" i="2"/>
  <c r="P1746" i="2"/>
  <c r="O1746" i="2"/>
  <c r="N1746" i="2"/>
  <c r="M1746" i="2"/>
  <c r="L1746" i="2"/>
  <c r="K1746" i="2"/>
  <c r="H1746" i="2"/>
  <c r="G1746" i="2"/>
  <c r="F1746" i="2"/>
  <c r="E1746" i="2"/>
  <c r="D1746" i="2"/>
  <c r="C1746" i="2"/>
  <c r="B1746" i="2"/>
  <c r="A1746" i="2"/>
  <c r="AG1745" i="2"/>
  <c r="AF1745" i="2"/>
  <c r="AE1745" i="2"/>
  <c r="AD1745" i="2"/>
  <c r="AC1745" i="2"/>
  <c r="AB1745" i="2"/>
  <c r="Z1745" i="2"/>
  <c r="Y1745" i="2"/>
  <c r="X1745" i="2"/>
  <c r="W1745" i="2"/>
  <c r="V1745" i="2"/>
  <c r="U1745" i="2"/>
  <c r="Q1745" i="2"/>
  <c r="P1745" i="2"/>
  <c r="O1745" i="2"/>
  <c r="N1745" i="2"/>
  <c r="M1745" i="2"/>
  <c r="L1745" i="2"/>
  <c r="K1745" i="2"/>
  <c r="H1745" i="2"/>
  <c r="G1745" i="2"/>
  <c r="F1745" i="2"/>
  <c r="E1745" i="2"/>
  <c r="D1745" i="2"/>
  <c r="C1745" i="2"/>
  <c r="B1745" i="2"/>
  <c r="A1745" i="2"/>
  <c r="AG1744" i="2"/>
  <c r="AF1744" i="2"/>
  <c r="AE1744" i="2"/>
  <c r="AD1744" i="2"/>
  <c r="AC1744" i="2"/>
  <c r="AB1744" i="2"/>
  <c r="Z1744" i="2"/>
  <c r="Y1744" i="2"/>
  <c r="X1744" i="2"/>
  <c r="W1744" i="2"/>
  <c r="V1744" i="2"/>
  <c r="U1744" i="2"/>
  <c r="T1744" i="2"/>
  <c r="S1744" i="2"/>
  <c r="R1744" i="2"/>
  <c r="Q1744" i="2"/>
  <c r="P1744" i="2"/>
  <c r="O1744" i="2"/>
  <c r="N1744" i="2"/>
  <c r="M1744" i="2"/>
  <c r="L1744" i="2"/>
  <c r="K1744" i="2"/>
  <c r="H1744" i="2"/>
  <c r="G1744" i="2"/>
  <c r="F1744" i="2"/>
  <c r="E1744" i="2"/>
  <c r="D1744" i="2"/>
  <c r="C1744" i="2"/>
  <c r="B1744" i="2"/>
  <c r="A1744" i="2"/>
  <c r="AG1743" i="2"/>
  <c r="AF1743" i="2"/>
  <c r="AE1743" i="2"/>
  <c r="AD1743" i="2"/>
  <c r="AC1743" i="2"/>
  <c r="AB1743" i="2"/>
  <c r="Z1743" i="2"/>
  <c r="Y1743" i="2"/>
  <c r="X1743" i="2"/>
  <c r="W1743" i="2"/>
  <c r="V1743" i="2"/>
  <c r="U1743" i="2"/>
  <c r="R1743" i="2"/>
  <c r="Q1743" i="2"/>
  <c r="P1743" i="2"/>
  <c r="O1743" i="2"/>
  <c r="N1743" i="2"/>
  <c r="M1743" i="2"/>
  <c r="L1743" i="2"/>
  <c r="K1743" i="2"/>
  <c r="H1743" i="2"/>
  <c r="G1743" i="2"/>
  <c r="F1743" i="2"/>
  <c r="E1743" i="2"/>
  <c r="D1743" i="2"/>
  <c r="C1743" i="2"/>
  <c r="B1743" i="2"/>
  <c r="A1743" i="2"/>
  <c r="AG1742" i="2"/>
  <c r="AF1742" i="2"/>
  <c r="AE1742" i="2"/>
  <c r="AD1742" i="2"/>
  <c r="AC1742" i="2"/>
  <c r="AB1742" i="2"/>
  <c r="AA1742" i="2"/>
  <c r="Z1742" i="2"/>
  <c r="Y1742" i="2"/>
  <c r="X1742" i="2"/>
  <c r="W1742" i="2"/>
  <c r="V1742" i="2"/>
  <c r="U1742" i="2"/>
  <c r="R1742" i="2"/>
  <c r="Q1742" i="2"/>
  <c r="P1742" i="2"/>
  <c r="O1742" i="2"/>
  <c r="N1742" i="2"/>
  <c r="M1742" i="2"/>
  <c r="L1742" i="2"/>
  <c r="K1742" i="2"/>
  <c r="H1742" i="2"/>
  <c r="G1742" i="2"/>
  <c r="F1742" i="2"/>
  <c r="E1742" i="2"/>
  <c r="D1742" i="2"/>
  <c r="C1742" i="2"/>
  <c r="B1742" i="2"/>
  <c r="A1742" i="2"/>
  <c r="AG1741" i="2"/>
  <c r="AF1741" i="2"/>
  <c r="AE1741" i="2"/>
  <c r="AD1741" i="2"/>
  <c r="AC1741" i="2"/>
  <c r="AB1741" i="2"/>
  <c r="Z1741" i="2"/>
  <c r="Y1741" i="2"/>
  <c r="X1741" i="2"/>
  <c r="W1741" i="2"/>
  <c r="V1741" i="2"/>
  <c r="U1741" i="2"/>
  <c r="T1741" i="2"/>
  <c r="S1741" i="2"/>
  <c r="R1741" i="2"/>
  <c r="Q1741" i="2"/>
  <c r="P1741" i="2"/>
  <c r="O1741" i="2"/>
  <c r="N1741" i="2"/>
  <c r="M1741" i="2"/>
  <c r="L1741" i="2"/>
  <c r="K1741" i="2"/>
  <c r="H1741" i="2"/>
  <c r="G1741" i="2"/>
  <c r="F1741" i="2"/>
  <c r="E1741" i="2"/>
  <c r="D1741" i="2"/>
  <c r="C1741" i="2"/>
  <c r="B1741" i="2"/>
  <c r="A1741" i="2"/>
  <c r="AG1740" i="2"/>
  <c r="AD1740" i="2"/>
  <c r="AC1740" i="2"/>
  <c r="AB1740" i="2"/>
  <c r="Z1740" i="2"/>
  <c r="Y1740" i="2"/>
  <c r="X1740" i="2"/>
  <c r="W1740" i="2"/>
  <c r="V1740" i="2"/>
  <c r="U1740" i="2"/>
  <c r="R1740" i="2"/>
  <c r="Q1740" i="2"/>
  <c r="P1740" i="2"/>
  <c r="O1740" i="2"/>
  <c r="N1740" i="2"/>
  <c r="M1740" i="2"/>
  <c r="L1740" i="2"/>
  <c r="K1740" i="2"/>
  <c r="H1740" i="2"/>
  <c r="G1740" i="2"/>
  <c r="F1740" i="2"/>
  <c r="E1740" i="2"/>
  <c r="D1740" i="2"/>
  <c r="C1740" i="2"/>
  <c r="B1740" i="2"/>
  <c r="A1740" i="2"/>
  <c r="AG1739" i="2"/>
  <c r="AF1739" i="2"/>
  <c r="AD1739" i="2"/>
  <c r="AC1739" i="2"/>
  <c r="AB1739" i="2"/>
  <c r="Z1739" i="2"/>
  <c r="X1739" i="2"/>
  <c r="W1739" i="2"/>
  <c r="V1739" i="2"/>
  <c r="U1739" i="2"/>
  <c r="R1739" i="2"/>
  <c r="Q1739" i="2"/>
  <c r="P1739" i="2"/>
  <c r="O1739" i="2"/>
  <c r="N1739" i="2"/>
  <c r="M1739" i="2"/>
  <c r="L1739" i="2"/>
  <c r="K1739" i="2"/>
  <c r="H1739" i="2"/>
  <c r="G1739" i="2"/>
  <c r="F1739" i="2"/>
  <c r="E1739" i="2"/>
  <c r="D1739" i="2"/>
  <c r="C1739" i="2"/>
  <c r="B1739" i="2"/>
  <c r="A1739" i="2"/>
  <c r="AG1738" i="2"/>
  <c r="AF1738" i="2"/>
  <c r="AD1738" i="2"/>
  <c r="AC1738" i="2"/>
  <c r="AB1738" i="2"/>
  <c r="Z1738" i="2"/>
  <c r="Y1738" i="2"/>
  <c r="X1738" i="2"/>
  <c r="W1738" i="2"/>
  <c r="V1738" i="2"/>
  <c r="S1738" i="2"/>
  <c r="R1738" i="2"/>
  <c r="Q1738" i="2"/>
  <c r="P1738" i="2"/>
  <c r="O1738" i="2"/>
  <c r="N1738" i="2"/>
  <c r="M1738" i="2"/>
  <c r="L1738" i="2"/>
  <c r="K1738" i="2"/>
  <c r="H1738" i="2"/>
  <c r="G1738" i="2"/>
  <c r="F1738" i="2"/>
  <c r="E1738" i="2"/>
  <c r="D1738" i="2"/>
  <c r="C1738" i="2"/>
  <c r="B1738" i="2"/>
  <c r="A1738" i="2"/>
  <c r="AH1737" i="2"/>
  <c r="AG1737" i="2"/>
  <c r="AF1737" i="2"/>
  <c r="AE1737" i="2"/>
  <c r="AD1737" i="2"/>
  <c r="AC1737" i="2"/>
  <c r="AB1737" i="2"/>
  <c r="Z1737" i="2"/>
  <c r="Y1737" i="2"/>
  <c r="X1737" i="2"/>
  <c r="W1737" i="2"/>
  <c r="V1737" i="2"/>
  <c r="U1737" i="2"/>
  <c r="T1737" i="2"/>
  <c r="S1737" i="2"/>
  <c r="R1737" i="2"/>
  <c r="Q1737" i="2"/>
  <c r="P1737" i="2"/>
  <c r="O1737" i="2"/>
  <c r="N1737" i="2"/>
  <c r="M1737" i="2"/>
  <c r="L1737" i="2"/>
  <c r="K1737" i="2"/>
  <c r="J1737" i="2"/>
  <c r="H1737" i="2"/>
  <c r="G1737" i="2"/>
  <c r="F1737" i="2"/>
  <c r="E1737" i="2"/>
  <c r="D1737" i="2"/>
  <c r="C1737" i="2"/>
  <c r="B1737" i="2"/>
  <c r="A1737" i="2"/>
  <c r="AH1736" i="2"/>
  <c r="AF1736" i="2"/>
  <c r="AE1736" i="2"/>
  <c r="AD1736" i="2"/>
  <c r="AB1736" i="2"/>
  <c r="Z1736" i="2"/>
  <c r="Y1736" i="2"/>
  <c r="X1736" i="2"/>
  <c r="W1736" i="2"/>
  <c r="V1736" i="2"/>
  <c r="U1736" i="2"/>
  <c r="T1736" i="2"/>
  <c r="S1736" i="2"/>
  <c r="R1736" i="2"/>
  <c r="Q1736" i="2"/>
  <c r="P1736" i="2"/>
  <c r="O1736" i="2"/>
  <c r="N1736" i="2"/>
  <c r="M1736" i="2"/>
  <c r="L1736" i="2"/>
  <c r="K1736" i="2"/>
  <c r="H1736" i="2"/>
  <c r="G1736" i="2"/>
  <c r="F1736" i="2"/>
  <c r="E1736" i="2"/>
  <c r="D1736" i="2"/>
  <c r="C1736" i="2"/>
  <c r="B1736" i="2"/>
  <c r="A1736" i="2"/>
  <c r="AH1735" i="2"/>
  <c r="AG1735" i="2"/>
  <c r="AF1735" i="2"/>
  <c r="AD1735" i="2"/>
  <c r="AC1735" i="2"/>
  <c r="AB1735" i="2"/>
  <c r="Z1735" i="2"/>
  <c r="Y1735" i="2"/>
  <c r="X1735" i="2"/>
  <c r="W1735" i="2"/>
  <c r="V1735" i="2"/>
  <c r="U1735" i="2"/>
  <c r="T1735" i="2"/>
  <c r="R1735" i="2"/>
  <c r="Q1735" i="2"/>
  <c r="P1735" i="2"/>
  <c r="O1735" i="2"/>
  <c r="N1735" i="2"/>
  <c r="M1735" i="2"/>
  <c r="L1735" i="2"/>
  <c r="K1735" i="2"/>
  <c r="J1735" i="2"/>
  <c r="H1735" i="2"/>
  <c r="G1735" i="2"/>
  <c r="F1735" i="2"/>
  <c r="E1735" i="2"/>
  <c r="D1735" i="2"/>
  <c r="C1735" i="2"/>
  <c r="B1735" i="2"/>
  <c r="A1735" i="2"/>
  <c r="AG1734" i="2"/>
  <c r="AF1734" i="2"/>
  <c r="AE1734" i="2"/>
  <c r="AD1734" i="2"/>
  <c r="AC1734" i="2"/>
  <c r="AB1734" i="2"/>
  <c r="Z1734" i="2"/>
  <c r="Y1734" i="2"/>
  <c r="X1734" i="2"/>
  <c r="W1734" i="2"/>
  <c r="V1734" i="2"/>
  <c r="U1734" i="2"/>
  <c r="T1734" i="2"/>
  <c r="S1734" i="2"/>
  <c r="R1734" i="2"/>
  <c r="Q1734" i="2"/>
  <c r="P1734" i="2"/>
  <c r="O1734" i="2"/>
  <c r="N1734" i="2"/>
  <c r="M1734" i="2"/>
  <c r="L1734" i="2"/>
  <c r="K1734" i="2"/>
  <c r="H1734" i="2"/>
  <c r="G1734" i="2"/>
  <c r="F1734" i="2"/>
  <c r="E1734" i="2"/>
  <c r="D1734" i="2"/>
  <c r="C1734" i="2"/>
  <c r="B1734" i="2"/>
  <c r="A1734" i="2"/>
  <c r="AH1733" i="2"/>
  <c r="AG1733" i="2"/>
  <c r="AD1733" i="2"/>
  <c r="AC1733" i="2"/>
  <c r="AB1733" i="2"/>
  <c r="Z1733" i="2"/>
  <c r="X1733" i="2"/>
  <c r="W1733" i="2"/>
  <c r="V1733" i="2"/>
  <c r="U1733" i="2"/>
  <c r="T1733" i="2"/>
  <c r="N1733" i="2"/>
  <c r="M1733" i="2"/>
  <c r="L1733" i="2"/>
  <c r="K1733" i="2"/>
  <c r="J1733" i="2"/>
  <c r="I1733" i="2"/>
  <c r="H1733" i="2"/>
  <c r="G1733" i="2"/>
  <c r="F1733" i="2"/>
  <c r="E1733" i="2"/>
  <c r="D1733" i="2"/>
  <c r="C1733" i="2"/>
  <c r="B1733" i="2"/>
  <c r="A1733" i="2"/>
  <c r="AG1732" i="2"/>
  <c r="AF1732" i="2"/>
  <c r="AD1732" i="2"/>
  <c r="AC1732" i="2"/>
  <c r="AB1732" i="2"/>
  <c r="Z1732" i="2"/>
  <c r="Y1732" i="2"/>
  <c r="X1732" i="2"/>
  <c r="W1732" i="2"/>
  <c r="V1732" i="2"/>
  <c r="U1732" i="2"/>
  <c r="R1732" i="2"/>
  <c r="Q1732" i="2"/>
  <c r="P1732" i="2"/>
  <c r="O1732" i="2"/>
  <c r="N1732" i="2"/>
  <c r="M1732" i="2"/>
  <c r="L1732" i="2"/>
  <c r="K1732" i="2"/>
  <c r="H1732" i="2"/>
  <c r="G1732" i="2"/>
  <c r="F1732" i="2"/>
  <c r="E1732" i="2"/>
  <c r="D1732" i="2"/>
  <c r="C1732" i="2"/>
  <c r="B1732" i="2"/>
  <c r="A1732" i="2"/>
  <c r="AG1731" i="2"/>
  <c r="AF1731" i="2"/>
  <c r="AE1731" i="2"/>
  <c r="AD1731" i="2"/>
  <c r="AC1731" i="2"/>
  <c r="AB1731" i="2"/>
  <c r="Z1731" i="2"/>
  <c r="Y1731" i="2"/>
  <c r="X1731" i="2"/>
  <c r="W1731" i="2"/>
  <c r="V1731" i="2"/>
  <c r="U1731" i="2"/>
  <c r="T1731" i="2"/>
  <c r="S1731" i="2"/>
  <c r="R1731" i="2"/>
  <c r="Q1731" i="2"/>
  <c r="P1731" i="2"/>
  <c r="O1731" i="2"/>
  <c r="N1731" i="2"/>
  <c r="M1731" i="2"/>
  <c r="L1731" i="2"/>
  <c r="K1731" i="2"/>
  <c r="H1731" i="2"/>
  <c r="G1731" i="2"/>
  <c r="F1731" i="2"/>
  <c r="E1731" i="2"/>
  <c r="D1731" i="2"/>
  <c r="C1731" i="2"/>
  <c r="B1731" i="2"/>
  <c r="A1731" i="2"/>
  <c r="AG1730" i="2"/>
  <c r="AF1730" i="2"/>
  <c r="AE1730" i="2"/>
  <c r="AD1730" i="2"/>
  <c r="AC1730" i="2"/>
  <c r="AB1730" i="2"/>
  <c r="AA1730" i="2"/>
  <c r="Z1730" i="2"/>
  <c r="Y1730" i="2"/>
  <c r="X1730" i="2"/>
  <c r="W1730" i="2"/>
  <c r="V1730" i="2"/>
  <c r="U1730" i="2"/>
  <c r="S1730" i="2"/>
  <c r="R1730" i="2"/>
  <c r="Q1730" i="2"/>
  <c r="P1730" i="2"/>
  <c r="O1730" i="2"/>
  <c r="N1730" i="2"/>
  <c r="M1730" i="2"/>
  <c r="L1730" i="2"/>
  <c r="K1730" i="2"/>
  <c r="H1730" i="2"/>
  <c r="G1730" i="2"/>
  <c r="F1730" i="2"/>
  <c r="E1730" i="2"/>
  <c r="D1730" i="2"/>
  <c r="C1730" i="2"/>
  <c r="B1730" i="2"/>
  <c r="A1730" i="2"/>
  <c r="AH1729" i="2"/>
  <c r="AG1729" i="2"/>
  <c r="AF1729" i="2"/>
  <c r="AE1729" i="2"/>
  <c r="AD1729" i="2"/>
  <c r="AC1729" i="2"/>
  <c r="AB1729" i="2"/>
  <c r="AA1729" i="2"/>
  <c r="Z1729" i="2"/>
  <c r="Y1729" i="2"/>
  <c r="X1729" i="2"/>
  <c r="W1729" i="2"/>
  <c r="V1729" i="2"/>
  <c r="U1729" i="2"/>
  <c r="T1729" i="2"/>
  <c r="S1729" i="2"/>
  <c r="R1729" i="2"/>
  <c r="Q1729" i="2"/>
  <c r="P1729" i="2"/>
  <c r="O1729" i="2"/>
  <c r="N1729" i="2"/>
  <c r="M1729" i="2"/>
  <c r="L1729" i="2"/>
  <c r="K1729" i="2"/>
  <c r="J1729" i="2"/>
  <c r="I1729" i="2"/>
  <c r="H1729" i="2"/>
  <c r="G1729" i="2"/>
  <c r="F1729" i="2"/>
  <c r="E1729" i="2"/>
  <c r="D1729" i="2"/>
  <c r="C1729" i="2"/>
  <c r="B1729" i="2"/>
  <c r="A1729" i="2"/>
  <c r="AG1728" i="2"/>
  <c r="AF1728" i="2"/>
  <c r="AE1728" i="2"/>
  <c r="AD1728" i="2"/>
  <c r="AC1728" i="2"/>
  <c r="AB1728" i="2"/>
  <c r="Z1728" i="2"/>
  <c r="Y1728" i="2"/>
  <c r="X1728" i="2"/>
  <c r="W1728" i="2"/>
  <c r="V1728" i="2"/>
  <c r="U1728" i="2"/>
  <c r="T1728" i="2"/>
  <c r="S1728" i="2"/>
  <c r="R1728" i="2"/>
  <c r="Q1728" i="2"/>
  <c r="P1728" i="2"/>
  <c r="O1728" i="2"/>
  <c r="N1728" i="2"/>
  <c r="M1728" i="2"/>
  <c r="L1728" i="2"/>
  <c r="K1728" i="2"/>
  <c r="H1728" i="2"/>
  <c r="G1728" i="2"/>
  <c r="F1728" i="2"/>
  <c r="E1728" i="2"/>
  <c r="D1728" i="2"/>
  <c r="C1728" i="2"/>
  <c r="B1728" i="2"/>
  <c r="A1728" i="2"/>
  <c r="AH1727" i="2"/>
  <c r="AG1727" i="2"/>
  <c r="AF1727" i="2"/>
  <c r="AE1727" i="2"/>
  <c r="AD1727" i="2"/>
  <c r="AC1727" i="2"/>
  <c r="AB1727" i="2"/>
  <c r="Y1727" i="2"/>
  <c r="X1727" i="2"/>
  <c r="W1727" i="2"/>
  <c r="V1727" i="2"/>
  <c r="R1727" i="2"/>
  <c r="Q1727" i="2"/>
  <c r="P1727" i="2"/>
  <c r="O1727" i="2"/>
  <c r="N1727" i="2"/>
  <c r="M1727" i="2"/>
  <c r="L1727" i="2"/>
  <c r="K1727" i="2"/>
  <c r="H1727" i="2"/>
  <c r="G1727" i="2"/>
  <c r="F1727" i="2"/>
  <c r="E1727" i="2"/>
  <c r="D1727" i="2"/>
  <c r="C1727" i="2"/>
  <c r="B1727" i="2"/>
  <c r="A1727" i="2"/>
  <c r="AH1726" i="2"/>
  <c r="AG1726" i="2"/>
  <c r="AF1726" i="2"/>
  <c r="AE1726" i="2"/>
  <c r="AD1726" i="2"/>
  <c r="AC1726" i="2"/>
  <c r="AB1726" i="2"/>
  <c r="Z1726" i="2"/>
  <c r="Y1726" i="2"/>
  <c r="X1726" i="2"/>
  <c r="W1726" i="2"/>
  <c r="V1726" i="2"/>
  <c r="U1726" i="2"/>
  <c r="T1726" i="2"/>
  <c r="S1726" i="2"/>
  <c r="R1726" i="2"/>
  <c r="Q1726" i="2"/>
  <c r="P1726" i="2"/>
  <c r="O1726" i="2"/>
  <c r="N1726" i="2"/>
  <c r="M1726" i="2"/>
  <c r="L1726" i="2"/>
  <c r="K1726" i="2"/>
  <c r="H1726" i="2"/>
  <c r="G1726" i="2"/>
  <c r="F1726" i="2"/>
  <c r="E1726" i="2"/>
  <c r="D1726" i="2"/>
  <c r="C1726" i="2"/>
  <c r="B1726" i="2"/>
  <c r="A1726" i="2"/>
  <c r="AG1725" i="2"/>
  <c r="AF1725" i="2"/>
  <c r="AE1725" i="2"/>
  <c r="AD1725" i="2"/>
  <c r="AC1725" i="2"/>
  <c r="AB1725" i="2"/>
  <c r="Y1725" i="2"/>
  <c r="X1725" i="2"/>
  <c r="W1725" i="2"/>
  <c r="V1725" i="2"/>
  <c r="U1725" i="2"/>
  <c r="S1725" i="2"/>
  <c r="R1725" i="2"/>
  <c r="Q1725" i="2"/>
  <c r="P1725" i="2"/>
  <c r="O1725" i="2"/>
  <c r="N1725" i="2"/>
  <c r="M1725" i="2"/>
  <c r="L1725" i="2"/>
  <c r="K1725" i="2"/>
  <c r="H1725" i="2"/>
  <c r="G1725" i="2"/>
  <c r="F1725" i="2"/>
  <c r="E1725" i="2"/>
  <c r="D1725" i="2"/>
  <c r="C1725" i="2"/>
  <c r="B1725" i="2"/>
  <c r="A1725" i="2"/>
  <c r="AG1724" i="2"/>
  <c r="AF1724" i="2"/>
  <c r="AE1724" i="2"/>
  <c r="AD1724" i="2"/>
  <c r="AC1724" i="2"/>
  <c r="AB1724" i="2"/>
  <c r="Z1724" i="2"/>
  <c r="Y1724" i="2"/>
  <c r="X1724" i="2"/>
  <c r="W1724" i="2"/>
  <c r="V1724" i="2"/>
  <c r="U1724" i="2"/>
  <c r="S1724" i="2"/>
  <c r="R1724" i="2"/>
  <c r="Q1724" i="2"/>
  <c r="P1724" i="2"/>
  <c r="O1724" i="2"/>
  <c r="N1724" i="2"/>
  <c r="M1724" i="2"/>
  <c r="L1724" i="2"/>
  <c r="K1724" i="2"/>
  <c r="H1724" i="2"/>
  <c r="G1724" i="2"/>
  <c r="F1724" i="2"/>
  <c r="E1724" i="2"/>
  <c r="D1724" i="2"/>
  <c r="C1724" i="2"/>
  <c r="B1724" i="2"/>
  <c r="A1724" i="2"/>
  <c r="AH1723" i="2"/>
  <c r="AG1723" i="2"/>
  <c r="AF1723" i="2"/>
  <c r="AE1723" i="2"/>
  <c r="AD1723" i="2"/>
  <c r="AC1723" i="2"/>
  <c r="AB1723" i="2"/>
  <c r="Z1723" i="2"/>
  <c r="Y1723" i="2"/>
  <c r="X1723" i="2"/>
  <c r="W1723" i="2"/>
  <c r="V1723" i="2"/>
  <c r="U1723" i="2"/>
  <c r="T1723" i="2"/>
  <c r="S1723" i="2"/>
  <c r="R1723" i="2"/>
  <c r="Q1723" i="2"/>
  <c r="P1723" i="2"/>
  <c r="O1723" i="2"/>
  <c r="N1723" i="2"/>
  <c r="M1723" i="2"/>
  <c r="L1723" i="2"/>
  <c r="K1723" i="2"/>
  <c r="H1723" i="2"/>
  <c r="G1723" i="2"/>
  <c r="F1723" i="2"/>
  <c r="E1723" i="2"/>
  <c r="D1723" i="2"/>
  <c r="C1723" i="2"/>
  <c r="B1723" i="2"/>
  <c r="A1723" i="2"/>
  <c r="AG1722" i="2"/>
  <c r="AF1722" i="2"/>
  <c r="AE1722" i="2"/>
  <c r="AD1722" i="2"/>
  <c r="AC1722" i="2"/>
  <c r="AB1722" i="2"/>
  <c r="Z1722" i="2"/>
  <c r="Y1722" i="2"/>
  <c r="X1722" i="2"/>
  <c r="W1722" i="2"/>
  <c r="V1722" i="2"/>
  <c r="U1722" i="2"/>
  <c r="T1722" i="2"/>
  <c r="S1722" i="2"/>
  <c r="R1722" i="2"/>
  <c r="Q1722" i="2"/>
  <c r="P1722" i="2"/>
  <c r="O1722" i="2"/>
  <c r="N1722" i="2"/>
  <c r="M1722" i="2"/>
  <c r="L1722" i="2"/>
  <c r="K1722" i="2"/>
  <c r="H1722" i="2"/>
  <c r="G1722" i="2"/>
  <c r="F1722" i="2"/>
  <c r="E1722" i="2"/>
  <c r="D1722" i="2"/>
  <c r="C1722" i="2"/>
  <c r="B1722" i="2"/>
  <c r="A1722" i="2"/>
  <c r="AG1721" i="2"/>
  <c r="AF1721" i="2"/>
  <c r="AE1721" i="2"/>
  <c r="AD1721" i="2"/>
  <c r="AC1721" i="2"/>
  <c r="AB1721" i="2"/>
  <c r="Z1721" i="2"/>
  <c r="Y1721" i="2"/>
  <c r="X1721" i="2"/>
  <c r="W1721" i="2"/>
  <c r="V1721" i="2"/>
  <c r="U1721" i="2"/>
  <c r="S1721" i="2"/>
  <c r="R1721" i="2"/>
  <c r="Q1721" i="2"/>
  <c r="P1721" i="2"/>
  <c r="O1721" i="2"/>
  <c r="N1721" i="2"/>
  <c r="M1721" i="2"/>
  <c r="L1721" i="2"/>
  <c r="K1721" i="2"/>
  <c r="H1721" i="2"/>
  <c r="G1721" i="2"/>
  <c r="F1721" i="2"/>
  <c r="E1721" i="2"/>
  <c r="D1721" i="2"/>
  <c r="C1721" i="2"/>
  <c r="B1721" i="2"/>
  <c r="A1721" i="2"/>
  <c r="AG1720" i="2"/>
  <c r="AF1720" i="2"/>
  <c r="AE1720" i="2"/>
  <c r="AD1720" i="2"/>
  <c r="AC1720" i="2"/>
  <c r="AB1720" i="2"/>
  <c r="Z1720" i="2"/>
  <c r="Y1720" i="2"/>
  <c r="X1720" i="2"/>
  <c r="W1720" i="2"/>
  <c r="V1720" i="2"/>
  <c r="S1720" i="2"/>
  <c r="R1720" i="2"/>
  <c r="Q1720" i="2"/>
  <c r="P1720" i="2"/>
  <c r="O1720" i="2"/>
  <c r="N1720" i="2"/>
  <c r="M1720" i="2"/>
  <c r="L1720" i="2"/>
  <c r="K1720" i="2"/>
  <c r="J1720" i="2"/>
  <c r="I1720" i="2"/>
  <c r="H1720" i="2"/>
  <c r="G1720" i="2"/>
  <c r="F1720" i="2"/>
  <c r="E1720" i="2"/>
  <c r="D1720" i="2"/>
  <c r="C1720" i="2"/>
  <c r="B1720" i="2"/>
  <c r="A1720" i="2"/>
  <c r="AG1719" i="2"/>
  <c r="AF1719" i="2"/>
  <c r="AE1719" i="2"/>
  <c r="AD1719" i="2"/>
  <c r="AC1719" i="2"/>
  <c r="AB1719" i="2"/>
  <c r="Z1719" i="2"/>
  <c r="Y1719" i="2"/>
  <c r="X1719" i="2"/>
  <c r="W1719" i="2"/>
  <c r="V1719" i="2"/>
  <c r="U1719" i="2"/>
  <c r="T1719" i="2"/>
  <c r="S1719" i="2"/>
  <c r="R1719" i="2"/>
  <c r="Q1719" i="2"/>
  <c r="P1719" i="2"/>
  <c r="O1719" i="2"/>
  <c r="N1719" i="2"/>
  <c r="M1719" i="2"/>
  <c r="L1719" i="2"/>
  <c r="K1719" i="2"/>
  <c r="H1719" i="2"/>
  <c r="G1719" i="2"/>
  <c r="F1719" i="2"/>
  <c r="E1719" i="2"/>
  <c r="D1719" i="2"/>
  <c r="C1719" i="2"/>
  <c r="B1719" i="2"/>
  <c r="A1719" i="2"/>
  <c r="AG1718" i="2"/>
  <c r="AF1718" i="2"/>
  <c r="AE1718" i="2"/>
  <c r="AD1718" i="2"/>
  <c r="AC1718" i="2"/>
  <c r="AB1718" i="2"/>
  <c r="Z1718" i="2"/>
  <c r="Y1718" i="2"/>
  <c r="X1718" i="2"/>
  <c r="W1718" i="2"/>
  <c r="V1718" i="2"/>
  <c r="U1718" i="2"/>
  <c r="S1718" i="2"/>
  <c r="R1718" i="2"/>
  <c r="Q1718" i="2"/>
  <c r="P1718" i="2"/>
  <c r="O1718" i="2"/>
  <c r="N1718" i="2"/>
  <c r="M1718" i="2"/>
  <c r="L1718" i="2"/>
  <c r="K1718" i="2"/>
  <c r="H1718" i="2"/>
  <c r="G1718" i="2"/>
  <c r="F1718" i="2"/>
  <c r="E1718" i="2"/>
  <c r="D1718" i="2"/>
  <c r="C1718" i="2"/>
  <c r="B1718" i="2"/>
  <c r="A1718" i="2"/>
  <c r="AG1717" i="2"/>
  <c r="AF1717" i="2"/>
  <c r="AE1717" i="2"/>
  <c r="AD1717" i="2"/>
  <c r="AC1717" i="2"/>
  <c r="AB1717" i="2"/>
  <c r="Z1717" i="2"/>
  <c r="Y1717" i="2"/>
  <c r="X1717" i="2"/>
  <c r="W1717" i="2"/>
  <c r="V1717" i="2"/>
  <c r="U1717" i="2"/>
  <c r="S1717" i="2"/>
  <c r="R1717" i="2"/>
  <c r="Q1717" i="2"/>
  <c r="P1717" i="2"/>
  <c r="O1717" i="2"/>
  <c r="N1717" i="2"/>
  <c r="M1717" i="2"/>
  <c r="L1717" i="2"/>
  <c r="K1717" i="2"/>
  <c r="H1717" i="2"/>
  <c r="G1717" i="2"/>
  <c r="F1717" i="2"/>
  <c r="E1717" i="2"/>
  <c r="D1717" i="2"/>
  <c r="C1717" i="2"/>
  <c r="B1717" i="2"/>
  <c r="A1717" i="2"/>
  <c r="AG1716" i="2"/>
  <c r="AF1716" i="2"/>
  <c r="AE1716" i="2"/>
  <c r="AD1716" i="2"/>
  <c r="AC1716" i="2"/>
  <c r="AB1716" i="2"/>
  <c r="Z1716" i="2"/>
  <c r="Y1716" i="2"/>
  <c r="X1716" i="2"/>
  <c r="W1716" i="2"/>
  <c r="V1716" i="2"/>
  <c r="U1716" i="2"/>
  <c r="T1716" i="2"/>
  <c r="S1716" i="2"/>
  <c r="R1716" i="2"/>
  <c r="Q1716" i="2"/>
  <c r="P1716" i="2"/>
  <c r="O1716" i="2"/>
  <c r="N1716" i="2"/>
  <c r="M1716" i="2"/>
  <c r="L1716" i="2"/>
  <c r="K1716" i="2"/>
  <c r="H1716" i="2"/>
  <c r="G1716" i="2"/>
  <c r="F1716" i="2"/>
  <c r="E1716" i="2"/>
  <c r="D1716" i="2"/>
  <c r="C1716" i="2"/>
  <c r="B1716" i="2"/>
  <c r="A1716" i="2"/>
  <c r="AG1715" i="2"/>
  <c r="AF1715" i="2"/>
  <c r="AE1715" i="2"/>
  <c r="AD1715" i="2"/>
  <c r="AC1715" i="2"/>
  <c r="AB1715" i="2"/>
  <c r="AA1715" i="2"/>
  <c r="Z1715" i="2"/>
  <c r="Y1715" i="2"/>
  <c r="X1715" i="2"/>
  <c r="W1715" i="2"/>
  <c r="V1715" i="2"/>
  <c r="U1715" i="2"/>
  <c r="T1715" i="2"/>
  <c r="S1715" i="2"/>
  <c r="R1715" i="2"/>
  <c r="Q1715" i="2"/>
  <c r="P1715" i="2"/>
  <c r="O1715" i="2"/>
  <c r="N1715" i="2"/>
  <c r="M1715" i="2"/>
  <c r="L1715" i="2"/>
  <c r="K1715" i="2"/>
  <c r="H1715" i="2"/>
  <c r="G1715" i="2"/>
  <c r="F1715" i="2"/>
  <c r="E1715" i="2"/>
  <c r="D1715" i="2"/>
  <c r="C1715" i="2"/>
  <c r="B1715" i="2"/>
  <c r="A1715" i="2"/>
  <c r="AG1714" i="2"/>
  <c r="AF1714" i="2"/>
  <c r="AE1714" i="2"/>
  <c r="AD1714" i="2"/>
  <c r="AC1714" i="2"/>
  <c r="AB1714" i="2"/>
  <c r="Z1714" i="2"/>
  <c r="Y1714" i="2"/>
  <c r="X1714" i="2"/>
  <c r="W1714" i="2"/>
  <c r="V1714" i="2"/>
  <c r="R1714" i="2"/>
  <c r="Q1714" i="2"/>
  <c r="P1714" i="2"/>
  <c r="O1714" i="2"/>
  <c r="N1714" i="2"/>
  <c r="M1714" i="2"/>
  <c r="L1714" i="2"/>
  <c r="K1714" i="2"/>
  <c r="H1714" i="2"/>
  <c r="G1714" i="2"/>
  <c r="F1714" i="2"/>
  <c r="E1714" i="2"/>
  <c r="D1714" i="2"/>
  <c r="C1714" i="2"/>
  <c r="B1714" i="2"/>
  <c r="A1714" i="2"/>
  <c r="AG1713" i="2"/>
  <c r="AF1713" i="2"/>
  <c r="AE1713" i="2"/>
  <c r="AD1713" i="2"/>
  <c r="AC1713" i="2"/>
  <c r="AB1713" i="2"/>
  <c r="AA1713" i="2"/>
  <c r="Z1713" i="2"/>
  <c r="Y1713" i="2"/>
  <c r="X1713" i="2"/>
  <c r="W1713" i="2"/>
  <c r="V1713" i="2"/>
  <c r="U1713" i="2"/>
  <c r="R1713" i="2"/>
  <c r="Q1713" i="2"/>
  <c r="P1713" i="2"/>
  <c r="O1713" i="2"/>
  <c r="N1713" i="2"/>
  <c r="M1713" i="2"/>
  <c r="L1713" i="2"/>
  <c r="K1713" i="2"/>
  <c r="H1713" i="2"/>
  <c r="G1713" i="2"/>
  <c r="F1713" i="2"/>
  <c r="E1713" i="2"/>
  <c r="D1713" i="2"/>
  <c r="C1713" i="2"/>
  <c r="B1713" i="2"/>
  <c r="A1713" i="2"/>
  <c r="AG1712" i="2"/>
  <c r="AF1712" i="2"/>
  <c r="AE1712" i="2"/>
  <c r="AD1712" i="2"/>
  <c r="AC1712" i="2"/>
  <c r="AB1712" i="2"/>
  <c r="Z1712" i="2"/>
  <c r="Y1712" i="2"/>
  <c r="X1712" i="2"/>
  <c r="W1712" i="2"/>
  <c r="V1712" i="2"/>
  <c r="T1712" i="2"/>
  <c r="S1712" i="2"/>
  <c r="R1712" i="2"/>
  <c r="Q1712" i="2"/>
  <c r="P1712" i="2"/>
  <c r="O1712" i="2"/>
  <c r="N1712" i="2"/>
  <c r="M1712" i="2"/>
  <c r="L1712" i="2"/>
  <c r="K1712" i="2"/>
  <c r="H1712" i="2"/>
  <c r="G1712" i="2"/>
  <c r="F1712" i="2"/>
  <c r="E1712" i="2"/>
  <c r="D1712" i="2"/>
  <c r="C1712" i="2"/>
  <c r="B1712" i="2"/>
  <c r="A1712" i="2"/>
  <c r="AG1711" i="2"/>
  <c r="AF1711" i="2"/>
  <c r="AE1711" i="2"/>
  <c r="AD1711" i="2"/>
  <c r="AC1711" i="2"/>
  <c r="AB1711" i="2"/>
  <c r="Z1711" i="2"/>
  <c r="Y1711" i="2"/>
  <c r="X1711" i="2"/>
  <c r="W1711" i="2"/>
  <c r="V1711" i="2"/>
  <c r="U1711" i="2"/>
  <c r="T1711" i="2"/>
  <c r="S1711" i="2"/>
  <c r="R1711" i="2"/>
  <c r="Q1711" i="2"/>
  <c r="P1711" i="2"/>
  <c r="O1711" i="2"/>
  <c r="N1711" i="2"/>
  <c r="M1711" i="2"/>
  <c r="L1711" i="2"/>
  <c r="K1711" i="2"/>
  <c r="H1711" i="2"/>
  <c r="G1711" i="2"/>
  <c r="F1711" i="2"/>
  <c r="E1711" i="2"/>
  <c r="D1711" i="2"/>
  <c r="C1711" i="2"/>
  <c r="B1711" i="2"/>
  <c r="A1711" i="2"/>
  <c r="AF1710" i="2"/>
  <c r="AE1710" i="2"/>
  <c r="AD1710" i="2"/>
  <c r="AC1710" i="2"/>
  <c r="AB1710" i="2"/>
  <c r="Z1710" i="2"/>
  <c r="X1710" i="2"/>
  <c r="W1710" i="2"/>
  <c r="V1710" i="2"/>
  <c r="U1710" i="2"/>
  <c r="S1710" i="2"/>
  <c r="R1710" i="2"/>
  <c r="Q1710" i="2"/>
  <c r="P1710" i="2"/>
  <c r="O1710" i="2"/>
  <c r="N1710" i="2"/>
  <c r="M1710" i="2"/>
  <c r="L1710" i="2"/>
  <c r="K1710" i="2"/>
  <c r="H1710" i="2"/>
  <c r="G1710" i="2"/>
  <c r="F1710" i="2"/>
  <c r="E1710" i="2"/>
  <c r="D1710" i="2"/>
  <c r="C1710" i="2"/>
  <c r="B1710" i="2"/>
  <c r="A1710" i="2"/>
  <c r="AG1709" i="2"/>
  <c r="AF1709" i="2"/>
  <c r="AE1709" i="2"/>
  <c r="AD1709" i="2"/>
  <c r="AC1709" i="2"/>
  <c r="AB1709" i="2"/>
  <c r="Z1709" i="2"/>
  <c r="Y1709" i="2"/>
  <c r="X1709" i="2"/>
  <c r="W1709" i="2"/>
  <c r="V1709" i="2"/>
  <c r="U1709" i="2"/>
  <c r="T1709" i="2"/>
  <c r="S1709" i="2"/>
  <c r="R1709" i="2"/>
  <c r="Q1709" i="2"/>
  <c r="P1709" i="2"/>
  <c r="O1709" i="2"/>
  <c r="N1709" i="2"/>
  <c r="M1709" i="2"/>
  <c r="L1709" i="2"/>
  <c r="K1709" i="2"/>
  <c r="H1709" i="2"/>
  <c r="G1709" i="2"/>
  <c r="F1709" i="2"/>
  <c r="E1709" i="2"/>
  <c r="D1709" i="2"/>
  <c r="C1709" i="2"/>
  <c r="B1709" i="2"/>
  <c r="A1709" i="2"/>
  <c r="AG1708" i="2"/>
  <c r="AF1708" i="2"/>
  <c r="AE1708" i="2"/>
  <c r="AD1708" i="2"/>
  <c r="AC1708" i="2"/>
  <c r="AB1708" i="2"/>
  <c r="AA1708" i="2"/>
  <c r="Z1708" i="2"/>
  <c r="Y1708" i="2"/>
  <c r="X1708" i="2"/>
  <c r="W1708" i="2"/>
  <c r="V1708" i="2"/>
  <c r="U1708" i="2"/>
  <c r="T1708" i="2"/>
  <c r="S1708" i="2"/>
  <c r="R1708" i="2"/>
  <c r="Q1708" i="2"/>
  <c r="P1708" i="2"/>
  <c r="O1708" i="2"/>
  <c r="N1708" i="2"/>
  <c r="M1708" i="2"/>
  <c r="L1708" i="2"/>
  <c r="K1708" i="2"/>
  <c r="H1708" i="2"/>
  <c r="G1708" i="2"/>
  <c r="F1708" i="2"/>
  <c r="E1708" i="2"/>
  <c r="D1708" i="2"/>
  <c r="C1708" i="2"/>
  <c r="B1708" i="2"/>
  <c r="A1708" i="2"/>
  <c r="AH1707" i="2"/>
  <c r="AG1707" i="2"/>
  <c r="AF1707" i="2"/>
  <c r="AD1707" i="2"/>
  <c r="AC1707" i="2"/>
  <c r="AB1707" i="2"/>
  <c r="Z1707" i="2"/>
  <c r="Y1707" i="2"/>
  <c r="X1707" i="2"/>
  <c r="W1707" i="2"/>
  <c r="V1707" i="2"/>
  <c r="U1707" i="2"/>
  <c r="T1707" i="2"/>
  <c r="S1707" i="2"/>
  <c r="R1707" i="2"/>
  <c r="Q1707" i="2"/>
  <c r="P1707" i="2"/>
  <c r="O1707" i="2"/>
  <c r="N1707" i="2"/>
  <c r="M1707" i="2"/>
  <c r="L1707" i="2"/>
  <c r="K1707" i="2"/>
  <c r="J1707" i="2"/>
  <c r="I1707" i="2"/>
  <c r="H1707" i="2"/>
  <c r="G1707" i="2"/>
  <c r="F1707" i="2"/>
  <c r="E1707" i="2"/>
  <c r="D1707" i="2"/>
  <c r="C1707" i="2"/>
  <c r="B1707" i="2"/>
  <c r="A1707" i="2"/>
  <c r="AG1706" i="2"/>
  <c r="AF1706" i="2"/>
  <c r="AE1706" i="2"/>
  <c r="AD1706" i="2"/>
  <c r="AC1706" i="2"/>
  <c r="AB1706" i="2"/>
  <c r="AA1706" i="2"/>
  <c r="Z1706" i="2"/>
  <c r="Y1706" i="2"/>
  <c r="X1706" i="2"/>
  <c r="W1706" i="2"/>
  <c r="V1706" i="2"/>
  <c r="U1706" i="2"/>
  <c r="T1706" i="2"/>
  <c r="S1706" i="2"/>
  <c r="R1706" i="2"/>
  <c r="Q1706" i="2"/>
  <c r="P1706" i="2"/>
  <c r="O1706" i="2"/>
  <c r="N1706" i="2"/>
  <c r="M1706" i="2"/>
  <c r="L1706" i="2"/>
  <c r="K1706" i="2"/>
  <c r="H1706" i="2"/>
  <c r="G1706" i="2"/>
  <c r="F1706" i="2"/>
  <c r="E1706" i="2"/>
  <c r="D1706" i="2"/>
  <c r="C1706" i="2"/>
  <c r="B1706" i="2"/>
  <c r="A1706" i="2"/>
  <c r="AH1705" i="2"/>
  <c r="AF1705" i="2"/>
  <c r="AE1705" i="2"/>
  <c r="AD1705" i="2"/>
  <c r="AC1705" i="2"/>
  <c r="AB1705" i="2"/>
  <c r="Z1705" i="2"/>
  <c r="X1705" i="2"/>
  <c r="W1705" i="2"/>
  <c r="V1705" i="2"/>
  <c r="U1705" i="2"/>
  <c r="S1705" i="2"/>
  <c r="R1705" i="2"/>
  <c r="Q1705" i="2"/>
  <c r="P1705" i="2"/>
  <c r="O1705" i="2"/>
  <c r="N1705" i="2"/>
  <c r="M1705" i="2"/>
  <c r="L1705" i="2"/>
  <c r="K1705" i="2"/>
  <c r="H1705" i="2"/>
  <c r="G1705" i="2"/>
  <c r="F1705" i="2"/>
  <c r="E1705" i="2"/>
  <c r="D1705" i="2"/>
  <c r="C1705" i="2"/>
  <c r="B1705" i="2"/>
  <c r="A1705" i="2"/>
  <c r="AF1704" i="2"/>
  <c r="AE1704" i="2"/>
  <c r="AD1704" i="2"/>
  <c r="AC1704" i="2"/>
  <c r="AB1704" i="2"/>
  <c r="AA1704" i="2"/>
  <c r="Z1704" i="2"/>
  <c r="Y1704" i="2"/>
  <c r="X1704" i="2"/>
  <c r="W1704" i="2"/>
  <c r="V1704" i="2"/>
  <c r="U1704" i="2"/>
  <c r="T1704" i="2"/>
  <c r="S1704" i="2"/>
  <c r="R1704" i="2"/>
  <c r="Q1704" i="2"/>
  <c r="P1704" i="2"/>
  <c r="O1704" i="2"/>
  <c r="N1704" i="2"/>
  <c r="M1704" i="2"/>
  <c r="L1704" i="2"/>
  <c r="K1704" i="2"/>
  <c r="H1704" i="2"/>
  <c r="G1704" i="2"/>
  <c r="F1704" i="2"/>
  <c r="E1704" i="2"/>
  <c r="D1704" i="2"/>
  <c r="C1704" i="2"/>
  <c r="B1704" i="2"/>
  <c r="A1704" i="2"/>
  <c r="AH1703" i="2"/>
  <c r="AG1703" i="2"/>
  <c r="AF1703" i="2"/>
  <c r="AE1703" i="2"/>
  <c r="AD1703" i="2"/>
  <c r="AC1703" i="2"/>
  <c r="AB1703" i="2"/>
  <c r="Z1703" i="2"/>
  <c r="Y1703" i="2"/>
  <c r="X1703" i="2"/>
  <c r="W1703" i="2"/>
  <c r="V1703" i="2"/>
  <c r="U1703" i="2"/>
  <c r="T1703" i="2"/>
  <c r="S1703" i="2"/>
  <c r="R1703" i="2"/>
  <c r="Q1703" i="2"/>
  <c r="P1703" i="2"/>
  <c r="O1703" i="2"/>
  <c r="N1703" i="2"/>
  <c r="M1703" i="2"/>
  <c r="L1703" i="2"/>
  <c r="K1703" i="2"/>
  <c r="J1703" i="2"/>
  <c r="H1703" i="2"/>
  <c r="G1703" i="2"/>
  <c r="F1703" i="2"/>
  <c r="E1703" i="2"/>
  <c r="D1703" i="2"/>
  <c r="C1703" i="2"/>
  <c r="B1703" i="2"/>
  <c r="A1703" i="2"/>
  <c r="AG1702" i="2"/>
  <c r="AF1702" i="2"/>
  <c r="AE1702" i="2"/>
  <c r="AD1702" i="2"/>
  <c r="AC1702" i="2"/>
  <c r="AB1702" i="2"/>
  <c r="Z1702" i="2"/>
  <c r="Y1702" i="2"/>
  <c r="X1702" i="2"/>
  <c r="W1702" i="2"/>
  <c r="V1702" i="2"/>
  <c r="U1702" i="2"/>
  <c r="S1702" i="2"/>
  <c r="R1702" i="2"/>
  <c r="Q1702" i="2"/>
  <c r="P1702" i="2"/>
  <c r="O1702" i="2"/>
  <c r="N1702" i="2"/>
  <c r="M1702" i="2"/>
  <c r="L1702" i="2"/>
  <c r="K1702" i="2"/>
  <c r="H1702" i="2"/>
  <c r="G1702" i="2"/>
  <c r="F1702" i="2"/>
  <c r="E1702" i="2"/>
  <c r="D1702" i="2"/>
  <c r="C1702" i="2"/>
  <c r="B1702" i="2"/>
  <c r="A1702" i="2"/>
  <c r="AH1701" i="2"/>
  <c r="AF1701" i="2"/>
  <c r="AE1701" i="2"/>
  <c r="AD1701" i="2"/>
  <c r="AC1701" i="2"/>
  <c r="AB1701" i="2"/>
  <c r="Z1701" i="2"/>
  <c r="Y1701" i="2"/>
  <c r="X1701" i="2"/>
  <c r="W1701" i="2"/>
  <c r="V1701" i="2"/>
  <c r="U1701" i="2"/>
  <c r="T1701" i="2"/>
  <c r="S1701" i="2"/>
  <c r="R1701" i="2"/>
  <c r="Q1701" i="2"/>
  <c r="P1701" i="2"/>
  <c r="O1701" i="2"/>
  <c r="N1701" i="2"/>
  <c r="M1701" i="2"/>
  <c r="L1701" i="2"/>
  <c r="K1701" i="2"/>
  <c r="J1701" i="2"/>
  <c r="I1701" i="2"/>
  <c r="H1701" i="2"/>
  <c r="G1701" i="2"/>
  <c r="F1701" i="2"/>
  <c r="E1701" i="2"/>
  <c r="D1701" i="2"/>
  <c r="C1701" i="2"/>
  <c r="B1701" i="2"/>
  <c r="A1701" i="2"/>
  <c r="AG1700" i="2"/>
  <c r="AF1700" i="2"/>
  <c r="AE1700" i="2"/>
  <c r="AD1700" i="2"/>
  <c r="AC1700" i="2"/>
  <c r="AB1700" i="2"/>
  <c r="Z1700" i="2"/>
  <c r="Y1700" i="2"/>
  <c r="X1700" i="2"/>
  <c r="W1700" i="2"/>
  <c r="V1700" i="2"/>
  <c r="U1700" i="2"/>
  <c r="T1700" i="2"/>
  <c r="S1700" i="2"/>
  <c r="R1700" i="2"/>
  <c r="Q1700" i="2"/>
  <c r="P1700" i="2"/>
  <c r="O1700" i="2"/>
  <c r="N1700" i="2"/>
  <c r="M1700" i="2"/>
  <c r="L1700" i="2"/>
  <c r="K1700" i="2"/>
  <c r="H1700" i="2"/>
  <c r="G1700" i="2"/>
  <c r="F1700" i="2"/>
  <c r="E1700" i="2"/>
  <c r="D1700" i="2"/>
  <c r="C1700" i="2"/>
  <c r="B1700" i="2"/>
  <c r="A1700" i="2"/>
  <c r="AG1699" i="2"/>
  <c r="AF1699" i="2"/>
  <c r="AE1699" i="2"/>
  <c r="AD1699" i="2"/>
  <c r="AC1699" i="2"/>
  <c r="AB1699" i="2"/>
  <c r="Z1699" i="2"/>
  <c r="Y1699" i="2"/>
  <c r="X1699" i="2"/>
  <c r="W1699" i="2"/>
  <c r="V1699" i="2"/>
  <c r="U1699" i="2"/>
  <c r="T1699" i="2"/>
  <c r="S1699" i="2"/>
  <c r="R1699" i="2"/>
  <c r="Q1699" i="2"/>
  <c r="P1699" i="2"/>
  <c r="O1699" i="2"/>
  <c r="N1699" i="2"/>
  <c r="M1699" i="2"/>
  <c r="L1699" i="2"/>
  <c r="K1699" i="2"/>
  <c r="H1699" i="2"/>
  <c r="G1699" i="2"/>
  <c r="F1699" i="2"/>
  <c r="E1699" i="2"/>
  <c r="D1699" i="2"/>
  <c r="C1699" i="2"/>
  <c r="B1699" i="2"/>
  <c r="A1699" i="2"/>
  <c r="AG1698" i="2"/>
  <c r="AF1698" i="2"/>
  <c r="AE1698" i="2"/>
  <c r="AD1698" i="2"/>
  <c r="AC1698" i="2"/>
  <c r="AB1698" i="2"/>
  <c r="AA1698" i="2"/>
  <c r="Z1698" i="2"/>
  <c r="Y1698" i="2"/>
  <c r="X1698" i="2"/>
  <c r="W1698" i="2"/>
  <c r="V1698" i="2"/>
  <c r="S1698" i="2"/>
  <c r="R1698" i="2"/>
  <c r="Q1698" i="2"/>
  <c r="P1698" i="2"/>
  <c r="O1698" i="2"/>
  <c r="N1698" i="2"/>
  <c r="M1698" i="2"/>
  <c r="L1698" i="2"/>
  <c r="K1698" i="2"/>
  <c r="H1698" i="2"/>
  <c r="G1698" i="2"/>
  <c r="F1698" i="2"/>
  <c r="E1698" i="2"/>
  <c r="D1698" i="2"/>
  <c r="C1698" i="2"/>
  <c r="B1698" i="2"/>
  <c r="A1698" i="2"/>
  <c r="AG1697" i="2"/>
  <c r="AF1697" i="2"/>
  <c r="AE1697" i="2"/>
  <c r="AD1697" i="2"/>
  <c r="AC1697" i="2"/>
  <c r="AB1697" i="2"/>
  <c r="Z1697" i="2"/>
  <c r="Y1697" i="2"/>
  <c r="X1697" i="2"/>
  <c r="W1697" i="2"/>
  <c r="V1697" i="2"/>
  <c r="U1697" i="2"/>
  <c r="T1697" i="2"/>
  <c r="S1697" i="2"/>
  <c r="R1697" i="2"/>
  <c r="Q1697" i="2"/>
  <c r="P1697" i="2"/>
  <c r="O1697" i="2"/>
  <c r="N1697" i="2"/>
  <c r="M1697" i="2"/>
  <c r="L1697" i="2"/>
  <c r="K1697" i="2"/>
  <c r="J1697" i="2"/>
  <c r="H1697" i="2"/>
  <c r="G1697" i="2"/>
  <c r="F1697" i="2"/>
  <c r="E1697" i="2"/>
  <c r="D1697" i="2"/>
  <c r="C1697" i="2"/>
  <c r="B1697" i="2"/>
  <c r="A1697" i="2"/>
  <c r="AG1696" i="2"/>
  <c r="AF1696" i="2"/>
  <c r="AE1696" i="2"/>
  <c r="AD1696" i="2"/>
  <c r="AC1696" i="2"/>
  <c r="AB1696" i="2"/>
  <c r="Z1696" i="2"/>
  <c r="Y1696" i="2"/>
  <c r="X1696" i="2"/>
  <c r="W1696" i="2"/>
  <c r="V1696" i="2"/>
  <c r="U1696" i="2"/>
  <c r="T1696" i="2"/>
  <c r="S1696" i="2"/>
  <c r="R1696" i="2"/>
  <c r="Q1696" i="2"/>
  <c r="P1696" i="2"/>
  <c r="O1696" i="2"/>
  <c r="N1696" i="2"/>
  <c r="M1696" i="2"/>
  <c r="L1696" i="2"/>
  <c r="K1696" i="2"/>
  <c r="H1696" i="2"/>
  <c r="G1696" i="2"/>
  <c r="F1696" i="2"/>
  <c r="E1696" i="2"/>
  <c r="D1696" i="2"/>
  <c r="C1696" i="2"/>
  <c r="B1696" i="2"/>
  <c r="A1696" i="2"/>
  <c r="AG1695" i="2"/>
  <c r="AF1695" i="2"/>
  <c r="AE1695" i="2"/>
  <c r="AD1695" i="2"/>
  <c r="AC1695" i="2"/>
  <c r="AB1695" i="2"/>
  <c r="AA1695" i="2"/>
  <c r="Z1695" i="2"/>
  <c r="Y1695" i="2"/>
  <c r="X1695" i="2"/>
  <c r="W1695" i="2"/>
  <c r="V1695" i="2"/>
  <c r="S1695" i="2"/>
  <c r="R1695" i="2"/>
  <c r="Q1695" i="2"/>
  <c r="P1695" i="2"/>
  <c r="O1695" i="2"/>
  <c r="N1695" i="2"/>
  <c r="M1695" i="2"/>
  <c r="L1695" i="2"/>
  <c r="K1695" i="2"/>
  <c r="H1695" i="2"/>
  <c r="G1695" i="2"/>
  <c r="F1695" i="2"/>
  <c r="E1695" i="2"/>
  <c r="D1695" i="2"/>
  <c r="C1695" i="2"/>
  <c r="B1695" i="2"/>
  <c r="A1695" i="2"/>
  <c r="AF1694" i="2"/>
  <c r="AE1694" i="2"/>
  <c r="AD1694" i="2"/>
  <c r="AC1694" i="2"/>
  <c r="AB1694" i="2"/>
  <c r="Z1694" i="2"/>
  <c r="Y1694" i="2"/>
  <c r="X1694" i="2"/>
  <c r="W1694" i="2"/>
  <c r="V1694" i="2"/>
  <c r="U1694" i="2"/>
  <c r="T1694" i="2"/>
  <c r="S1694" i="2"/>
  <c r="R1694" i="2"/>
  <c r="Q1694" i="2"/>
  <c r="P1694" i="2"/>
  <c r="O1694" i="2"/>
  <c r="N1694" i="2"/>
  <c r="M1694" i="2"/>
  <c r="L1694" i="2"/>
  <c r="K1694" i="2"/>
  <c r="H1694" i="2"/>
  <c r="G1694" i="2"/>
  <c r="F1694" i="2"/>
  <c r="E1694" i="2"/>
  <c r="D1694" i="2"/>
  <c r="C1694" i="2"/>
  <c r="B1694" i="2"/>
  <c r="A1694" i="2"/>
  <c r="AG1693" i="2"/>
  <c r="AF1693" i="2"/>
  <c r="AE1693" i="2"/>
  <c r="AD1693" i="2"/>
  <c r="AC1693" i="2"/>
  <c r="AB1693" i="2"/>
  <c r="Z1693" i="2"/>
  <c r="Y1693" i="2"/>
  <c r="X1693" i="2"/>
  <c r="W1693" i="2"/>
  <c r="V1693" i="2"/>
  <c r="U1693" i="2"/>
  <c r="T1693" i="2"/>
  <c r="S1693" i="2"/>
  <c r="R1693" i="2"/>
  <c r="Q1693" i="2"/>
  <c r="P1693" i="2"/>
  <c r="O1693" i="2"/>
  <c r="N1693" i="2"/>
  <c r="M1693" i="2"/>
  <c r="L1693" i="2"/>
  <c r="K1693" i="2"/>
  <c r="H1693" i="2"/>
  <c r="G1693" i="2"/>
  <c r="F1693" i="2"/>
  <c r="E1693" i="2"/>
  <c r="D1693" i="2"/>
  <c r="C1693" i="2"/>
  <c r="B1693" i="2"/>
  <c r="A1693" i="2"/>
  <c r="AG1692" i="2"/>
  <c r="AF1692" i="2"/>
  <c r="AE1692" i="2"/>
  <c r="AD1692" i="2"/>
  <c r="AC1692" i="2"/>
  <c r="AB1692" i="2"/>
  <c r="Z1692" i="2"/>
  <c r="Y1692" i="2"/>
  <c r="X1692" i="2"/>
  <c r="W1692" i="2"/>
  <c r="V1692" i="2"/>
  <c r="U1692" i="2"/>
  <c r="R1692" i="2"/>
  <c r="Q1692" i="2"/>
  <c r="P1692" i="2"/>
  <c r="O1692" i="2"/>
  <c r="N1692" i="2"/>
  <c r="M1692" i="2"/>
  <c r="L1692" i="2"/>
  <c r="K1692" i="2"/>
  <c r="H1692" i="2"/>
  <c r="G1692" i="2"/>
  <c r="F1692" i="2"/>
  <c r="E1692" i="2"/>
  <c r="D1692" i="2"/>
  <c r="C1692" i="2"/>
  <c r="B1692" i="2"/>
  <c r="A1692" i="2"/>
  <c r="AG1691" i="2"/>
  <c r="AF1691" i="2"/>
  <c r="AE1691" i="2"/>
  <c r="AD1691" i="2"/>
  <c r="AC1691" i="2"/>
  <c r="AB1691" i="2"/>
  <c r="Z1691" i="2"/>
  <c r="Y1691" i="2"/>
  <c r="X1691" i="2"/>
  <c r="W1691" i="2"/>
  <c r="V1691" i="2"/>
  <c r="U1691" i="2"/>
  <c r="S1691" i="2"/>
  <c r="R1691" i="2"/>
  <c r="Q1691" i="2"/>
  <c r="P1691" i="2"/>
  <c r="O1691" i="2"/>
  <c r="N1691" i="2"/>
  <c r="M1691" i="2"/>
  <c r="L1691" i="2"/>
  <c r="K1691" i="2"/>
  <c r="H1691" i="2"/>
  <c r="G1691" i="2"/>
  <c r="F1691" i="2"/>
  <c r="E1691" i="2"/>
  <c r="D1691" i="2"/>
  <c r="C1691" i="2"/>
  <c r="B1691" i="2"/>
  <c r="A1691" i="2"/>
  <c r="AF1690" i="2"/>
  <c r="AE1690" i="2"/>
  <c r="AD1690" i="2"/>
  <c r="AC1690" i="2"/>
  <c r="AB1690" i="2"/>
  <c r="Z1690" i="2"/>
  <c r="Y1690" i="2"/>
  <c r="X1690" i="2"/>
  <c r="W1690" i="2"/>
  <c r="V1690" i="2"/>
  <c r="U1690" i="2"/>
  <c r="T1690" i="2"/>
  <c r="S1690" i="2"/>
  <c r="R1690" i="2"/>
  <c r="Q1690" i="2"/>
  <c r="P1690" i="2"/>
  <c r="O1690" i="2"/>
  <c r="N1690" i="2"/>
  <c r="M1690" i="2"/>
  <c r="L1690" i="2"/>
  <c r="K1690" i="2"/>
  <c r="H1690" i="2"/>
  <c r="G1690" i="2"/>
  <c r="F1690" i="2"/>
  <c r="E1690" i="2"/>
  <c r="D1690" i="2"/>
  <c r="C1690" i="2"/>
  <c r="B1690" i="2"/>
  <c r="A1690" i="2"/>
  <c r="AG1689" i="2"/>
  <c r="AF1689" i="2"/>
  <c r="AE1689" i="2"/>
  <c r="AD1689" i="2"/>
  <c r="AC1689" i="2"/>
  <c r="AB1689" i="2"/>
  <c r="AA1689" i="2"/>
  <c r="Z1689" i="2"/>
  <c r="X1689" i="2"/>
  <c r="W1689" i="2"/>
  <c r="V1689" i="2"/>
  <c r="U1689" i="2"/>
  <c r="R1689" i="2"/>
  <c r="Q1689" i="2"/>
  <c r="P1689" i="2"/>
  <c r="O1689" i="2"/>
  <c r="N1689" i="2"/>
  <c r="M1689" i="2"/>
  <c r="L1689" i="2"/>
  <c r="K1689" i="2"/>
  <c r="H1689" i="2"/>
  <c r="G1689" i="2"/>
  <c r="F1689" i="2"/>
  <c r="E1689" i="2"/>
  <c r="D1689" i="2"/>
  <c r="C1689" i="2"/>
  <c r="B1689" i="2"/>
  <c r="A1689" i="2"/>
  <c r="AG1688" i="2"/>
  <c r="AF1688" i="2"/>
  <c r="AE1688" i="2"/>
  <c r="AD1688" i="2"/>
  <c r="AC1688" i="2"/>
  <c r="AB1688" i="2"/>
  <c r="Z1688" i="2"/>
  <c r="Y1688" i="2"/>
  <c r="X1688" i="2"/>
  <c r="W1688" i="2"/>
  <c r="V1688" i="2"/>
  <c r="U1688" i="2"/>
  <c r="S1688" i="2"/>
  <c r="R1688" i="2"/>
  <c r="Q1688" i="2"/>
  <c r="P1688" i="2"/>
  <c r="O1688" i="2"/>
  <c r="N1688" i="2"/>
  <c r="M1688" i="2"/>
  <c r="L1688" i="2"/>
  <c r="K1688" i="2"/>
  <c r="H1688" i="2"/>
  <c r="G1688" i="2"/>
  <c r="F1688" i="2"/>
  <c r="E1688" i="2"/>
  <c r="D1688" i="2"/>
  <c r="C1688" i="2"/>
  <c r="B1688" i="2"/>
  <c r="A1688" i="2"/>
  <c r="AH1687" i="2"/>
  <c r="AG1687" i="2"/>
  <c r="AF1687" i="2"/>
  <c r="AE1687" i="2"/>
  <c r="AD1687" i="2"/>
  <c r="AC1687" i="2"/>
  <c r="AB1687" i="2"/>
  <c r="Z1687" i="2"/>
  <c r="Y1687" i="2"/>
  <c r="X1687" i="2"/>
  <c r="W1687" i="2"/>
  <c r="V1687" i="2"/>
  <c r="U1687" i="2"/>
  <c r="T1687" i="2"/>
  <c r="S1687" i="2"/>
  <c r="R1687" i="2"/>
  <c r="Q1687" i="2"/>
  <c r="P1687" i="2"/>
  <c r="O1687" i="2"/>
  <c r="N1687" i="2"/>
  <c r="M1687" i="2"/>
  <c r="L1687" i="2"/>
  <c r="K1687" i="2"/>
  <c r="H1687" i="2"/>
  <c r="G1687" i="2"/>
  <c r="F1687" i="2"/>
  <c r="E1687" i="2"/>
  <c r="D1687" i="2"/>
  <c r="C1687" i="2"/>
  <c r="B1687" i="2"/>
  <c r="A1687" i="2"/>
  <c r="AG1686" i="2"/>
  <c r="AF1686" i="2"/>
  <c r="AE1686" i="2"/>
  <c r="AD1686" i="2"/>
  <c r="AC1686" i="2"/>
  <c r="AB1686" i="2"/>
  <c r="Z1686" i="2"/>
  <c r="Y1686" i="2"/>
  <c r="X1686" i="2"/>
  <c r="W1686" i="2"/>
  <c r="V1686" i="2"/>
  <c r="U1686" i="2"/>
  <c r="T1686" i="2"/>
  <c r="S1686" i="2"/>
  <c r="R1686" i="2"/>
  <c r="Q1686" i="2"/>
  <c r="P1686" i="2"/>
  <c r="O1686" i="2"/>
  <c r="N1686" i="2"/>
  <c r="M1686" i="2"/>
  <c r="L1686" i="2"/>
  <c r="K1686" i="2"/>
  <c r="H1686" i="2"/>
  <c r="G1686" i="2"/>
  <c r="F1686" i="2"/>
  <c r="E1686" i="2"/>
  <c r="D1686" i="2"/>
  <c r="C1686" i="2"/>
  <c r="B1686" i="2"/>
  <c r="A1686" i="2"/>
  <c r="AG1685" i="2"/>
  <c r="AF1685" i="2"/>
  <c r="AE1685" i="2"/>
  <c r="AD1685" i="2"/>
  <c r="AC1685" i="2"/>
  <c r="AB1685" i="2"/>
  <c r="Z1685" i="2"/>
  <c r="Y1685" i="2"/>
  <c r="X1685" i="2"/>
  <c r="W1685" i="2"/>
  <c r="V1685" i="2"/>
  <c r="U1685" i="2"/>
  <c r="S1685" i="2"/>
  <c r="R1685" i="2"/>
  <c r="Q1685" i="2"/>
  <c r="P1685" i="2"/>
  <c r="O1685" i="2"/>
  <c r="N1685" i="2"/>
  <c r="M1685" i="2"/>
  <c r="L1685" i="2"/>
  <c r="K1685" i="2"/>
  <c r="H1685" i="2"/>
  <c r="G1685" i="2"/>
  <c r="F1685" i="2"/>
  <c r="E1685" i="2"/>
  <c r="D1685" i="2"/>
  <c r="C1685" i="2"/>
  <c r="B1685" i="2"/>
  <c r="A1685" i="2"/>
  <c r="AG1684" i="2"/>
  <c r="AF1684" i="2"/>
  <c r="AE1684" i="2"/>
  <c r="AD1684" i="2"/>
  <c r="AC1684" i="2"/>
  <c r="AB1684" i="2"/>
  <c r="Z1684" i="2"/>
  <c r="Y1684" i="2"/>
  <c r="X1684" i="2"/>
  <c r="W1684" i="2"/>
  <c r="V1684" i="2"/>
  <c r="U1684" i="2"/>
  <c r="T1684" i="2"/>
  <c r="S1684" i="2"/>
  <c r="R1684" i="2"/>
  <c r="Q1684" i="2"/>
  <c r="P1684" i="2"/>
  <c r="O1684" i="2"/>
  <c r="N1684" i="2"/>
  <c r="M1684" i="2"/>
  <c r="L1684" i="2"/>
  <c r="K1684" i="2"/>
  <c r="H1684" i="2"/>
  <c r="G1684" i="2"/>
  <c r="F1684" i="2"/>
  <c r="E1684" i="2"/>
  <c r="D1684" i="2"/>
  <c r="C1684" i="2"/>
  <c r="B1684" i="2"/>
  <c r="A1684" i="2"/>
  <c r="AG1683" i="2"/>
  <c r="AF1683" i="2"/>
  <c r="AE1683" i="2"/>
  <c r="AD1683" i="2"/>
  <c r="AC1683" i="2"/>
  <c r="AB1683" i="2"/>
  <c r="Z1683" i="2"/>
  <c r="Y1683" i="2"/>
  <c r="X1683" i="2"/>
  <c r="W1683" i="2"/>
  <c r="V1683" i="2"/>
  <c r="U1683" i="2"/>
  <c r="T1683" i="2"/>
  <c r="S1683" i="2"/>
  <c r="R1683" i="2"/>
  <c r="Q1683" i="2"/>
  <c r="P1683" i="2"/>
  <c r="O1683" i="2"/>
  <c r="N1683" i="2"/>
  <c r="M1683" i="2"/>
  <c r="L1683" i="2"/>
  <c r="K1683" i="2"/>
  <c r="H1683" i="2"/>
  <c r="G1683" i="2"/>
  <c r="F1683" i="2"/>
  <c r="E1683" i="2"/>
  <c r="D1683" i="2"/>
  <c r="C1683" i="2"/>
  <c r="B1683" i="2"/>
  <c r="A1683" i="2"/>
  <c r="AG1682" i="2"/>
  <c r="AF1682" i="2"/>
  <c r="AE1682" i="2"/>
  <c r="AD1682" i="2"/>
  <c r="AC1682" i="2"/>
  <c r="AB1682" i="2"/>
  <c r="Z1682" i="2"/>
  <c r="Y1682" i="2"/>
  <c r="X1682" i="2"/>
  <c r="W1682" i="2"/>
  <c r="V1682" i="2"/>
  <c r="U1682" i="2"/>
  <c r="S1682" i="2"/>
  <c r="R1682" i="2"/>
  <c r="Q1682" i="2"/>
  <c r="P1682" i="2"/>
  <c r="O1682" i="2"/>
  <c r="N1682" i="2"/>
  <c r="M1682" i="2"/>
  <c r="L1682" i="2"/>
  <c r="K1682" i="2"/>
  <c r="H1682" i="2"/>
  <c r="G1682" i="2"/>
  <c r="F1682" i="2"/>
  <c r="E1682" i="2"/>
  <c r="D1682" i="2"/>
  <c r="C1682" i="2"/>
  <c r="B1682" i="2"/>
  <c r="A1682" i="2"/>
  <c r="AG1681" i="2"/>
  <c r="AF1681" i="2"/>
  <c r="AE1681" i="2"/>
  <c r="AD1681" i="2"/>
  <c r="AC1681" i="2"/>
  <c r="AB1681" i="2"/>
  <c r="Z1681" i="2"/>
  <c r="Y1681" i="2"/>
  <c r="X1681" i="2"/>
  <c r="W1681" i="2"/>
  <c r="V1681" i="2"/>
  <c r="U1681" i="2"/>
  <c r="T1681" i="2"/>
  <c r="S1681" i="2"/>
  <c r="R1681" i="2"/>
  <c r="Q1681" i="2"/>
  <c r="P1681" i="2"/>
  <c r="O1681" i="2"/>
  <c r="N1681" i="2"/>
  <c r="M1681" i="2"/>
  <c r="L1681" i="2"/>
  <c r="K1681" i="2"/>
  <c r="H1681" i="2"/>
  <c r="G1681" i="2"/>
  <c r="F1681" i="2"/>
  <c r="E1681" i="2"/>
  <c r="D1681" i="2"/>
  <c r="C1681" i="2"/>
  <c r="B1681" i="2"/>
  <c r="A1681" i="2"/>
  <c r="AG1680" i="2"/>
  <c r="AF1680" i="2"/>
  <c r="AE1680" i="2"/>
  <c r="AD1680" i="2"/>
  <c r="AC1680" i="2"/>
  <c r="AB1680" i="2"/>
  <c r="Z1680" i="2"/>
  <c r="Y1680" i="2"/>
  <c r="X1680" i="2"/>
  <c r="W1680" i="2"/>
  <c r="V1680" i="2"/>
  <c r="U1680" i="2"/>
  <c r="T1680" i="2"/>
  <c r="S1680" i="2"/>
  <c r="R1680" i="2"/>
  <c r="Q1680" i="2"/>
  <c r="P1680" i="2"/>
  <c r="O1680" i="2"/>
  <c r="N1680" i="2"/>
  <c r="M1680" i="2"/>
  <c r="L1680" i="2"/>
  <c r="K1680" i="2"/>
  <c r="H1680" i="2"/>
  <c r="G1680" i="2"/>
  <c r="F1680" i="2"/>
  <c r="E1680" i="2"/>
  <c r="D1680" i="2"/>
  <c r="C1680" i="2"/>
  <c r="B1680" i="2"/>
  <c r="A1680" i="2"/>
  <c r="AG1679" i="2"/>
  <c r="AF1679" i="2"/>
  <c r="AE1679" i="2"/>
  <c r="AD1679" i="2"/>
  <c r="AC1679" i="2"/>
  <c r="AB1679" i="2"/>
  <c r="Z1679" i="2"/>
  <c r="X1679" i="2"/>
  <c r="W1679" i="2"/>
  <c r="V1679" i="2"/>
  <c r="U1679" i="2"/>
  <c r="S1679" i="2"/>
  <c r="R1679" i="2"/>
  <c r="Q1679" i="2"/>
  <c r="P1679" i="2"/>
  <c r="O1679" i="2"/>
  <c r="N1679" i="2"/>
  <c r="M1679" i="2"/>
  <c r="L1679" i="2"/>
  <c r="K1679" i="2"/>
  <c r="H1679" i="2"/>
  <c r="G1679" i="2"/>
  <c r="F1679" i="2"/>
  <c r="E1679" i="2"/>
  <c r="D1679" i="2"/>
  <c r="C1679" i="2"/>
  <c r="B1679" i="2"/>
  <c r="A1679" i="2"/>
  <c r="AG1678" i="2"/>
  <c r="AF1678" i="2"/>
  <c r="AE1678" i="2"/>
  <c r="AD1678" i="2"/>
  <c r="AC1678" i="2"/>
  <c r="AB1678" i="2"/>
  <c r="Z1678" i="2"/>
  <c r="Y1678" i="2"/>
  <c r="X1678" i="2"/>
  <c r="W1678" i="2"/>
  <c r="V1678" i="2"/>
  <c r="U1678" i="2"/>
  <c r="T1678" i="2"/>
  <c r="S1678" i="2"/>
  <c r="R1678" i="2"/>
  <c r="Q1678" i="2"/>
  <c r="P1678" i="2"/>
  <c r="O1678" i="2"/>
  <c r="N1678" i="2"/>
  <c r="M1678" i="2"/>
  <c r="L1678" i="2"/>
  <c r="K1678" i="2"/>
  <c r="H1678" i="2"/>
  <c r="G1678" i="2"/>
  <c r="F1678" i="2"/>
  <c r="E1678" i="2"/>
  <c r="D1678" i="2"/>
  <c r="C1678" i="2"/>
  <c r="B1678" i="2"/>
  <c r="A1678" i="2"/>
  <c r="AH1677" i="2"/>
  <c r="AG1677" i="2"/>
  <c r="AF1677" i="2"/>
  <c r="AE1677" i="2"/>
  <c r="AD1677" i="2"/>
  <c r="AC1677" i="2"/>
  <c r="AB1677" i="2"/>
  <c r="AA1677" i="2"/>
  <c r="Z1677" i="2"/>
  <c r="Y1677" i="2"/>
  <c r="X1677" i="2"/>
  <c r="W1677" i="2"/>
  <c r="V1677" i="2"/>
  <c r="U1677" i="2"/>
  <c r="T1677" i="2"/>
  <c r="S1677" i="2"/>
  <c r="R1677" i="2"/>
  <c r="Q1677" i="2"/>
  <c r="P1677" i="2"/>
  <c r="O1677" i="2"/>
  <c r="N1677" i="2"/>
  <c r="M1677" i="2"/>
  <c r="L1677" i="2"/>
  <c r="K1677" i="2"/>
  <c r="J1677" i="2"/>
  <c r="I1677" i="2"/>
  <c r="H1677" i="2"/>
  <c r="G1677" i="2"/>
  <c r="F1677" i="2"/>
  <c r="E1677" i="2"/>
  <c r="D1677" i="2"/>
  <c r="C1677" i="2"/>
  <c r="B1677" i="2"/>
  <c r="A1677" i="2"/>
  <c r="AH1676" i="2"/>
  <c r="AG1676" i="2"/>
  <c r="AE1676" i="2"/>
  <c r="AD1676" i="2"/>
  <c r="AC1676" i="2"/>
  <c r="AB1676" i="2"/>
  <c r="Z1676" i="2"/>
  <c r="Y1676" i="2"/>
  <c r="X1676" i="2"/>
  <c r="W1676" i="2"/>
  <c r="V1676" i="2"/>
  <c r="U1676" i="2"/>
  <c r="S1676" i="2"/>
  <c r="R1676" i="2"/>
  <c r="Q1676" i="2"/>
  <c r="P1676" i="2"/>
  <c r="O1676" i="2"/>
  <c r="N1676" i="2"/>
  <c r="M1676" i="2"/>
  <c r="L1676" i="2"/>
  <c r="K1676" i="2"/>
  <c r="H1676" i="2"/>
  <c r="G1676" i="2"/>
  <c r="F1676" i="2"/>
  <c r="E1676" i="2"/>
  <c r="D1676" i="2"/>
  <c r="C1676" i="2"/>
  <c r="B1676" i="2"/>
  <c r="A1676" i="2"/>
  <c r="AG1675" i="2"/>
  <c r="AF1675" i="2"/>
  <c r="AE1675" i="2"/>
  <c r="AD1675" i="2"/>
  <c r="AC1675" i="2"/>
  <c r="AB1675" i="2"/>
  <c r="Z1675" i="2"/>
  <c r="Y1675" i="2"/>
  <c r="X1675" i="2"/>
  <c r="W1675" i="2"/>
  <c r="V1675" i="2"/>
  <c r="U1675" i="2"/>
  <c r="T1675" i="2"/>
  <c r="S1675" i="2"/>
  <c r="R1675" i="2"/>
  <c r="Q1675" i="2"/>
  <c r="P1675" i="2"/>
  <c r="O1675" i="2"/>
  <c r="N1675" i="2"/>
  <c r="M1675" i="2"/>
  <c r="L1675" i="2"/>
  <c r="K1675" i="2"/>
  <c r="H1675" i="2"/>
  <c r="G1675" i="2"/>
  <c r="F1675" i="2"/>
  <c r="E1675" i="2"/>
  <c r="D1675" i="2"/>
  <c r="C1675" i="2"/>
  <c r="B1675" i="2"/>
  <c r="A1675" i="2"/>
  <c r="AG1674" i="2"/>
  <c r="AF1674" i="2"/>
  <c r="AE1674" i="2"/>
  <c r="AD1674" i="2"/>
  <c r="AC1674" i="2"/>
  <c r="AB1674" i="2"/>
  <c r="Z1674" i="2"/>
  <c r="Y1674" i="2"/>
  <c r="X1674" i="2"/>
  <c r="W1674" i="2"/>
  <c r="V1674" i="2"/>
  <c r="U1674" i="2"/>
  <c r="T1674" i="2"/>
  <c r="S1674" i="2"/>
  <c r="R1674" i="2"/>
  <c r="Q1674" i="2"/>
  <c r="P1674" i="2"/>
  <c r="O1674" i="2"/>
  <c r="N1674" i="2"/>
  <c r="M1674" i="2"/>
  <c r="L1674" i="2"/>
  <c r="K1674" i="2"/>
  <c r="H1674" i="2"/>
  <c r="G1674" i="2"/>
  <c r="F1674" i="2"/>
  <c r="E1674" i="2"/>
  <c r="D1674" i="2"/>
  <c r="C1674" i="2"/>
  <c r="B1674" i="2"/>
  <c r="A1674" i="2"/>
  <c r="AG1673" i="2"/>
  <c r="AF1673" i="2"/>
  <c r="AE1673" i="2"/>
  <c r="AD1673" i="2"/>
  <c r="AC1673" i="2"/>
  <c r="AB1673" i="2"/>
  <c r="Z1673" i="2"/>
  <c r="Y1673" i="2"/>
  <c r="X1673" i="2"/>
  <c r="W1673" i="2"/>
  <c r="V1673" i="2"/>
  <c r="U1673" i="2"/>
  <c r="T1673" i="2"/>
  <c r="S1673" i="2"/>
  <c r="R1673" i="2"/>
  <c r="Q1673" i="2"/>
  <c r="P1673" i="2"/>
  <c r="O1673" i="2"/>
  <c r="N1673" i="2"/>
  <c r="M1673" i="2"/>
  <c r="L1673" i="2"/>
  <c r="K1673" i="2"/>
  <c r="H1673" i="2"/>
  <c r="G1673" i="2"/>
  <c r="F1673" i="2"/>
  <c r="E1673" i="2"/>
  <c r="D1673" i="2"/>
  <c r="C1673" i="2"/>
  <c r="B1673" i="2"/>
  <c r="A1673" i="2"/>
  <c r="AG1672" i="2"/>
  <c r="AF1672" i="2"/>
  <c r="AE1672" i="2"/>
  <c r="AD1672" i="2"/>
  <c r="AC1672" i="2"/>
  <c r="AB1672" i="2"/>
  <c r="Z1672" i="2"/>
  <c r="Y1672" i="2"/>
  <c r="X1672" i="2"/>
  <c r="W1672" i="2"/>
  <c r="V1672" i="2"/>
  <c r="U1672" i="2"/>
  <c r="T1672" i="2"/>
  <c r="S1672" i="2"/>
  <c r="R1672" i="2"/>
  <c r="Q1672" i="2"/>
  <c r="P1672" i="2"/>
  <c r="O1672" i="2"/>
  <c r="N1672" i="2"/>
  <c r="M1672" i="2"/>
  <c r="L1672" i="2"/>
  <c r="K1672" i="2"/>
  <c r="H1672" i="2"/>
  <c r="G1672" i="2"/>
  <c r="F1672" i="2"/>
  <c r="E1672" i="2"/>
  <c r="D1672" i="2"/>
  <c r="C1672" i="2"/>
  <c r="B1672" i="2"/>
  <c r="A1672" i="2"/>
  <c r="AG1671" i="2"/>
  <c r="AF1671" i="2"/>
  <c r="AE1671" i="2"/>
  <c r="AD1671" i="2"/>
  <c r="AC1671" i="2"/>
  <c r="AB1671" i="2"/>
  <c r="AA1671" i="2"/>
  <c r="Z1671" i="2"/>
  <c r="X1671" i="2"/>
  <c r="W1671" i="2"/>
  <c r="V1671" i="2"/>
  <c r="U1671" i="2"/>
  <c r="S1671" i="2"/>
  <c r="R1671" i="2"/>
  <c r="Q1671" i="2"/>
  <c r="P1671" i="2"/>
  <c r="O1671" i="2"/>
  <c r="N1671" i="2"/>
  <c r="M1671" i="2"/>
  <c r="L1671" i="2"/>
  <c r="K1671" i="2"/>
  <c r="H1671" i="2"/>
  <c r="G1671" i="2"/>
  <c r="F1671" i="2"/>
  <c r="E1671" i="2"/>
  <c r="D1671" i="2"/>
  <c r="C1671" i="2"/>
  <c r="B1671" i="2"/>
  <c r="A1671" i="2"/>
  <c r="AG1670" i="2"/>
  <c r="AF1670" i="2"/>
  <c r="AD1670" i="2"/>
  <c r="AC1670" i="2"/>
  <c r="AB1670" i="2"/>
  <c r="Z1670" i="2"/>
  <c r="X1670" i="2"/>
  <c r="W1670" i="2"/>
  <c r="V1670" i="2"/>
  <c r="U1670" i="2"/>
  <c r="T1670" i="2"/>
  <c r="S1670" i="2"/>
  <c r="R1670" i="2"/>
  <c r="Q1670" i="2"/>
  <c r="P1670" i="2"/>
  <c r="O1670" i="2"/>
  <c r="N1670" i="2"/>
  <c r="M1670" i="2"/>
  <c r="L1670" i="2"/>
  <c r="K1670" i="2"/>
  <c r="H1670" i="2"/>
  <c r="G1670" i="2"/>
  <c r="F1670" i="2"/>
  <c r="E1670" i="2"/>
  <c r="D1670" i="2"/>
  <c r="C1670" i="2"/>
  <c r="B1670" i="2"/>
  <c r="A1670" i="2"/>
  <c r="AG1669" i="2"/>
  <c r="AF1669" i="2"/>
  <c r="AE1669" i="2"/>
  <c r="AD1669" i="2"/>
  <c r="AC1669" i="2"/>
  <c r="AB1669" i="2"/>
  <c r="Z1669" i="2"/>
  <c r="Y1669" i="2"/>
  <c r="X1669" i="2"/>
  <c r="W1669" i="2"/>
  <c r="V1669" i="2"/>
  <c r="U1669" i="2"/>
  <c r="T1669" i="2"/>
  <c r="S1669" i="2"/>
  <c r="R1669" i="2"/>
  <c r="Q1669" i="2"/>
  <c r="P1669" i="2"/>
  <c r="O1669" i="2"/>
  <c r="N1669" i="2"/>
  <c r="M1669" i="2"/>
  <c r="L1669" i="2"/>
  <c r="K1669" i="2"/>
  <c r="H1669" i="2"/>
  <c r="G1669" i="2"/>
  <c r="F1669" i="2"/>
  <c r="E1669" i="2"/>
  <c r="D1669" i="2"/>
  <c r="C1669" i="2"/>
  <c r="B1669" i="2"/>
  <c r="A1669" i="2"/>
  <c r="AF1668" i="2"/>
  <c r="AE1668" i="2"/>
  <c r="AD1668" i="2"/>
  <c r="AC1668" i="2"/>
  <c r="AB1668" i="2"/>
  <c r="Z1668" i="2"/>
  <c r="Y1668" i="2"/>
  <c r="X1668" i="2"/>
  <c r="W1668" i="2"/>
  <c r="V1668" i="2"/>
  <c r="U1668" i="2"/>
  <c r="S1668" i="2"/>
  <c r="R1668" i="2"/>
  <c r="Q1668" i="2"/>
  <c r="P1668" i="2"/>
  <c r="O1668" i="2"/>
  <c r="N1668" i="2"/>
  <c r="M1668" i="2"/>
  <c r="L1668" i="2"/>
  <c r="K1668" i="2"/>
  <c r="H1668" i="2"/>
  <c r="G1668" i="2"/>
  <c r="F1668" i="2"/>
  <c r="E1668" i="2"/>
  <c r="D1668" i="2"/>
  <c r="C1668" i="2"/>
  <c r="B1668" i="2"/>
  <c r="A1668" i="2"/>
  <c r="AH1667" i="2"/>
  <c r="AG1667" i="2"/>
  <c r="AF1667" i="2"/>
  <c r="AE1667" i="2"/>
  <c r="AD1667" i="2"/>
  <c r="AC1667" i="2"/>
  <c r="AB1667" i="2"/>
  <c r="Z1667" i="2"/>
  <c r="Y1667" i="2"/>
  <c r="X1667" i="2"/>
  <c r="W1667" i="2"/>
  <c r="V1667" i="2"/>
  <c r="U1667" i="2"/>
  <c r="T1667" i="2"/>
  <c r="S1667" i="2"/>
  <c r="R1667" i="2"/>
  <c r="Q1667" i="2"/>
  <c r="P1667" i="2"/>
  <c r="O1667" i="2"/>
  <c r="N1667" i="2"/>
  <c r="M1667" i="2"/>
  <c r="L1667" i="2"/>
  <c r="K1667" i="2"/>
  <c r="J1667" i="2"/>
  <c r="I1667" i="2"/>
  <c r="H1667" i="2"/>
  <c r="G1667" i="2"/>
  <c r="F1667" i="2"/>
  <c r="E1667" i="2"/>
  <c r="D1667" i="2"/>
  <c r="C1667" i="2"/>
  <c r="B1667" i="2"/>
  <c r="A1667" i="2"/>
  <c r="AG1666" i="2"/>
  <c r="AF1666" i="2"/>
  <c r="AE1666" i="2"/>
  <c r="AD1666" i="2"/>
  <c r="AC1666" i="2"/>
  <c r="AB1666" i="2"/>
  <c r="Z1666" i="2"/>
  <c r="Y1666" i="2"/>
  <c r="X1666" i="2"/>
  <c r="W1666" i="2"/>
  <c r="V1666" i="2"/>
  <c r="U1666" i="2"/>
  <c r="Q1666" i="2"/>
  <c r="P1666" i="2"/>
  <c r="O1666" i="2"/>
  <c r="N1666" i="2"/>
  <c r="M1666" i="2"/>
  <c r="L1666" i="2"/>
  <c r="K1666" i="2"/>
  <c r="H1666" i="2"/>
  <c r="G1666" i="2"/>
  <c r="F1666" i="2"/>
  <c r="E1666" i="2"/>
  <c r="D1666" i="2"/>
  <c r="C1666" i="2"/>
  <c r="B1666" i="2"/>
  <c r="A1666" i="2"/>
  <c r="AG1665" i="2"/>
  <c r="AF1665" i="2"/>
  <c r="AE1665" i="2"/>
  <c r="AD1665" i="2"/>
  <c r="AC1665" i="2"/>
  <c r="AB1665" i="2"/>
  <c r="Z1665" i="2"/>
  <c r="Y1665" i="2"/>
  <c r="X1665" i="2"/>
  <c r="W1665" i="2"/>
  <c r="V1665" i="2"/>
  <c r="U1665" i="2"/>
  <c r="T1665" i="2"/>
  <c r="S1665" i="2"/>
  <c r="R1665" i="2"/>
  <c r="Q1665" i="2"/>
  <c r="P1665" i="2"/>
  <c r="O1665" i="2"/>
  <c r="N1665" i="2"/>
  <c r="M1665" i="2"/>
  <c r="L1665" i="2"/>
  <c r="K1665" i="2"/>
  <c r="H1665" i="2"/>
  <c r="G1665" i="2"/>
  <c r="F1665" i="2"/>
  <c r="E1665" i="2"/>
  <c r="D1665" i="2"/>
  <c r="C1665" i="2"/>
  <c r="B1665" i="2"/>
  <c r="A1665" i="2"/>
  <c r="AG1664" i="2"/>
  <c r="AF1664" i="2"/>
  <c r="AE1664" i="2"/>
  <c r="AD1664" i="2"/>
  <c r="AC1664" i="2"/>
  <c r="AB1664" i="2"/>
  <c r="Z1664" i="2"/>
  <c r="Y1664" i="2"/>
  <c r="X1664" i="2"/>
  <c r="W1664" i="2"/>
  <c r="V1664" i="2"/>
  <c r="U1664" i="2"/>
  <c r="T1664" i="2"/>
  <c r="S1664" i="2"/>
  <c r="R1664" i="2"/>
  <c r="Q1664" i="2"/>
  <c r="P1664" i="2"/>
  <c r="O1664" i="2"/>
  <c r="N1664" i="2"/>
  <c r="M1664" i="2"/>
  <c r="L1664" i="2"/>
  <c r="K1664" i="2"/>
  <c r="H1664" i="2"/>
  <c r="G1664" i="2"/>
  <c r="F1664" i="2"/>
  <c r="E1664" i="2"/>
  <c r="D1664" i="2"/>
  <c r="C1664" i="2"/>
  <c r="B1664" i="2"/>
  <c r="A1664" i="2"/>
  <c r="AG1663" i="2"/>
  <c r="AF1663" i="2"/>
  <c r="AE1663" i="2"/>
  <c r="AD1663" i="2"/>
  <c r="AC1663" i="2"/>
  <c r="AB1663" i="2"/>
  <c r="Z1663" i="2"/>
  <c r="Y1663" i="2"/>
  <c r="X1663" i="2"/>
  <c r="W1663" i="2"/>
  <c r="V1663" i="2"/>
  <c r="U1663" i="2"/>
  <c r="T1663" i="2"/>
  <c r="S1663" i="2"/>
  <c r="R1663" i="2"/>
  <c r="Q1663" i="2"/>
  <c r="P1663" i="2"/>
  <c r="O1663" i="2"/>
  <c r="N1663" i="2"/>
  <c r="M1663" i="2"/>
  <c r="L1663" i="2"/>
  <c r="K1663" i="2"/>
  <c r="H1663" i="2"/>
  <c r="G1663" i="2"/>
  <c r="F1663" i="2"/>
  <c r="E1663" i="2"/>
  <c r="D1663" i="2"/>
  <c r="C1663" i="2"/>
  <c r="B1663" i="2"/>
  <c r="A1663" i="2"/>
  <c r="AG1662" i="2"/>
  <c r="AF1662" i="2"/>
  <c r="AD1662" i="2"/>
  <c r="AC1662" i="2"/>
  <c r="AB1662" i="2"/>
  <c r="Z1662" i="2"/>
  <c r="Y1662" i="2"/>
  <c r="X1662" i="2"/>
  <c r="W1662" i="2"/>
  <c r="V1662" i="2"/>
  <c r="U1662" i="2"/>
  <c r="T1662" i="2"/>
  <c r="S1662" i="2"/>
  <c r="R1662" i="2"/>
  <c r="Q1662" i="2"/>
  <c r="P1662" i="2"/>
  <c r="O1662" i="2"/>
  <c r="N1662" i="2"/>
  <c r="M1662" i="2"/>
  <c r="L1662" i="2"/>
  <c r="K1662" i="2"/>
  <c r="H1662" i="2"/>
  <c r="G1662" i="2"/>
  <c r="F1662" i="2"/>
  <c r="E1662" i="2"/>
  <c r="D1662" i="2"/>
  <c r="C1662" i="2"/>
  <c r="B1662" i="2"/>
  <c r="A1662" i="2"/>
  <c r="AG1661" i="2"/>
  <c r="AF1661" i="2"/>
  <c r="AD1661" i="2"/>
  <c r="AC1661" i="2"/>
  <c r="AB1661" i="2"/>
  <c r="Z1661" i="2"/>
  <c r="Y1661" i="2"/>
  <c r="X1661" i="2"/>
  <c r="W1661" i="2"/>
  <c r="V1661" i="2"/>
  <c r="U1661" i="2"/>
  <c r="S1661" i="2"/>
  <c r="R1661" i="2"/>
  <c r="Q1661" i="2"/>
  <c r="P1661" i="2"/>
  <c r="O1661" i="2"/>
  <c r="N1661" i="2"/>
  <c r="M1661" i="2"/>
  <c r="L1661" i="2"/>
  <c r="K1661" i="2"/>
  <c r="H1661" i="2"/>
  <c r="G1661" i="2"/>
  <c r="F1661" i="2"/>
  <c r="E1661" i="2"/>
  <c r="D1661" i="2"/>
  <c r="C1661" i="2"/>
  <c r="B1661" i="2"/>
  <c r="A1661" i="2"/>
  <c r="AG1660" i="2"/>
  <c r="AF1660" i="2"/>
  <c r="AE1660" i="2"/>
  <c r="AD1660" i="2"/>
  <c r="AC1660" i="2"/>
  <c r="AB1660" i="2"/>
  <c r="Y1660" i="2"/>
  <c r="X1660" i="2"/>
  <c r="W1660" i="2"/>
  <c r="V1660" i="2"/>
  <c r="U1660" i="2"/>
  <c r="T1660" i="2"/>
  <c r="S1660" i="2"/>
  <c r="R1660" i="2"/>
  <c r="Q1660" i="2"/>
  <c r="P1660" i="2"/>
  <c r="O1660" i="2"/>
  <c r="N1660" i="2"/>
  <c r="M1660" i="2"/>
  <c r="L1660" i="2"/>
  <c r="K1660" i="2"/>
  <c r="H1660" i="2"/>
  <c r="G1660" i="2"/>
  <c r="F1660" i="2"/>
  <c r="E1660" i="2"/>
  <c r="D1660" i="2"/>
  <c r="C1660" i="2"/>
  <c r="B1660" i="2"/>
  <c r="A1660" i="2"/>
  <c r="AG1659" i="2"/>
  <c r="AF1659" i="2"/>
  <c r="AE1659" i="2"/>
  <c r="AD1659" i="2"/>
  <c r="AC1659" i="2"/>
  <c r="AB1659" i="2"/>
  <c r="Z1659" i="2"/>
  <c r="Y1659" i="2"/>
  <c r="X1659" i="2"/>
  <c r="W1659" i="2"/>
  <c r="V1659" i="2"/>
  <c r="U1659" i="2"/>
  <c r="T1659" i="2"/>
  <c r="S1659" i="2"/>
  <c r="R1659" i="2"/>
  <c r="Q1659" i="2"/>
  <c r="P1659" i="2"/>
  <c r="O1659" i="2"/>
  <c r="N1659" i="2"/>
  <c r="M1659" i="2"/>
  <c r="L1659" i="2"/>
  <c r="K1659" i="2"/>
  <c r="H1659" i="2"/>
  <c r="G1659" i="2"/>
  <c r="F1659" i="2"/>
  <c r="E1659" i="2"/>
  <c r="D1659" i="2"/>
  <c r="C1659" i="2"/>
  <c r="B1659" i="2"/>
  <c r="A1659" i="2"/>
  <c r="AG1658" i="2"/>
  <c r="AF1658" i="2"/>
  <c r="AE1658" i="2"/>
  <c r="AD1658" i="2"/>
  <c r="AC1658" i="2"/>
  <c r="AB1658" i="2"/>
  <c r="Y1658" i="2"/>
  <c r="X1658" i="2"/>
  <c r="W1658" i="2"/>
  <c r="V1658" i="2"/>
  <c r="S1658" i="2"/>
  <c r="R1658" i="2"/>
  <c r="Q1658" i="2"/>
  <c r="P1658" i="2"/>
  <c r="O1658" i="2"/>
  <c r="N1658" i="2"/>
  <c r="M1658" i="2"/>
  <c r="L1658" i="2"/>
  <c r="K1658" i="2"/>
  <c r="H1658" i="2"/>
  <c r="G1658" i="2"/>
  <c r="F1658" i="2"/>
  <c r="E1658" i="2"/>
  <c r="D1658" i="2"/>
  <c r="C1658" i="2"/>
  <c r="B1658" i="2"/>
  <c r="A1658" i="2"/>
  <c r="AH1657" i="2"/>
  <c r="AG1657" i="2"/>
  <c r="AF1657" i="2"/>
  <c r="AE1657" i="2"/>
  <c r="AD1657" i="2"/>
  <c r="AC1657" i="2"/>
  <c r="AB1657" i="2"/>
  <c r="Z1657" i="2"/>
  <c r="Y1657" i="2"/>
  <c r="X1657" i="2"/>
  <c r="W1657" i="2"/>
  <c r="V1657" i="2"/>
  <c r="U1657" i="2"/>
  <c r="S1657" i="2"/>
  <c r="R1657" i="2"/>
  <c r="Q1657" i="2"/>
  <c r="P1657" i="2"/>
  <c r="O1657" i="2"/>
  <c r="N1657" i="2"/>
  <c r="M1657" i="2"/>
  <c r="L1657" i="2"/>
  <c r="K1657" i="2"/>
  <c r="H1657" i="2"/>
  <c r="G1657" i="2"/>
  <c r="F1657" i="2"/>
  <c r="E1657" i="2"/>
  <c r="D1657" i="2"/>
  <c r="C1657" i="2"/>
  <c r="B1657" i="2"/>
  <c r="A1657" i="2"/>
  <c r="AH1656" i="2"/>
  <c r="AG1656" i="2"/>
  <c r="AF1656" i="2"/>
  <c r="AE1656" i="2"/>
  <c r="AD1656" i="2"/>
  <c r="AC1656" i="2"/>
  <c r="AB1656" i="2"/>
  <c r="X1656" i="2"/>
  <c r="W1656" i="2"/>
  <c r="V1656" i="2"/>
  <c r="T1656" i="2"/>
  <c r="S1656" i="2"/>
  <c r="R1656" i="2"/>
  <c r="Q1656" i="2"/>
  <c r="P1656" i="2"/>
  <c r="O1656" i="2"/>
  <c r="N1656" i="2"/>
  <c r="M1656" i="2"/>
  <c r="L1656" i="2"/>
  <c r="K1656" i="2"/>
  <c r="H1656" i="2"/>
  <c r="G1656" i="2"/>
  <c r="F1656" i="2"/>
  <c r="E1656" i="2"/>
  <c r="D1656" i="2"/>
  <c r="C1656" i="2"/>
  <c r="B1656" i="2"/>
  <c r="A1656" i="2"/>
  <c r="AG1655" i="2"/>
  <c r="AF1655" i="2"/>
  <c r="AE1655" i="2"/>
  <c r="AD1655" i="2"/>
  <c r="AC1655" i="2"/>
  <c r="AB1655" i="2"/>
  <c r="Y1655" i="2"/>
  <c r="X1655" i="2"/>
  <c r="W1655" i="2"/>
  <c r="V1655" i="2"/>
  <c r="U1655" i="2"/>
  <c r="T1655" i="2"/>
  <c r="S1655" i="2"/>
  <c r="R1655" i="2"/>
  <c r="Q1655" i="2"/>
  <c r="P1655" i="2"/>
  <c r="O1655" i="2"/>
  <c r="N1655" i="2"/>
  <c r="M1655" i="2"/>
  <c r="L1655" i="2"/>
  <c r="K1655" i="2"/>
  <c r="H1655" i="2"/>
  <c r="G1655" i="2"/>
  <c r="F1655" i="2"/>
  <c r="E1655" i="2"/>
  <c r="D1655" i="2"/>
  <c r="C1655" i="2"/>
  <c r="B1655" i="2"/>
  <c r="A1655" i="2"/>
  <c r="AG1654" i="2"/>
  <c r="AF1654" i="2"/>
  <c r="AE1654" i="2"/>
  <c r="AD1654" i="2"/>
  <c r="AC1654" i="2"/>
  <c r="AB1654" i="2"/>
  <c r="Z1654" i="2"/>
  <c r="Y1654" i="2"/>
  <c r="X1654" i="2"/>
  <c r="W1654" i="2"/>
  <c r="V1654" i="2"/>
  <c r="U1654" i="2"/>
  <c r="R1654" i="2"/>
  <c r="Q1654" i="2"/>
  <c r="P1654" i="2"/>
  <c r="O1654" i="2"/>
  <c r="N1654" i="2"/>
  <c r="M1654" i="2"/>
  <c r="L1654" i="2"/>
  <c r="K1654" i="2"/>
  <c r="H1654" i="2"/>
  <c r="G1654" i="2"/>
  <c r="F1654" i="2"/>
  <c r="E1654" i="2"/>
  <c r="D1654" i="2"/>
  <c r="C1654" i="2"/>
  <c r="B1654" i="2"/>
  <c r="A1654" i="2"/>
  <c r="AH1653" i="2"/>
  <c r="AF1653" i="2"/>
  <c r="AE1653" i="2"/>
  <c r="AD1653" i="2"/>
  <c r="AC1653" i="2"/>
  <c r="AB1653" i="2"/>
  <c r="Z1653" i="2"/>
  <c r="Y1653" i="2"/>
  <c r="X1653" i="2"/>
  <c r="W1653" i="2"/>
  <c r="V1653" i="2"/>
  <c r="U1653" i="2"/>
  <c r="T1653" i="2"/>
  <c r="S1653" i="2"/>
  <c r="R1653" i="2"/>
  <c r="Q1653" i="2"/>
  <c r="P1653" i="2"/>
  <c r="O1653" i="2"/>
  <c r="N1653" i="2"/>
  <c r="M1653" i="2"/>
  <c r="L1653" i="2"/>
  <c r="K1653" i="2"/>
  <c r="J1653" i="2"/>
  <c r="I1653" i="2"/>
  <c r="H1653" i="2"/>
  <c r="G1653" i="2"/>
  <c r="F1653" i="2"/>
  <c r="E1653" i="2"/>
  <c r="D1653" i="2"/>
  <c r="C1653" i="2"/>
  <c r="B1653" i="2"/>
  <c r="A1653" i="2"/>
  <c r="AG1652" i="2"/>
  <c r="AF1652" i="2"/>
  <c r="AE1652" i="2"/>
  <c r="AD1652" i="2"/>
  <c r="AC1652" i="2"/>
  <c r="AB1652" i="2"/>
  <c r="Z1652" i="2"/>
  <c r="Y1652" i="2"/>
  <c r="X1652" i="2"/>
  <c r="W1652" i="2"/>
  <c r="V1652" i="2"/>
  <c r="U1652" i="2"/>
  <c r="T1652" i="2"/>
  <c r="S1652" i="2"/>
  <c r="R1652" i="2"/>
  <c r="Q1652" i="2"/>
  <c r="P1652" i="2"/>
  <c r="O1652" i="2"/>
  <c r="N1652" i="2"/>
  <c r="M1652" i="2"/>
  <c r="L1652" i="2"/>
  <c r="K1652" i="2"/>
  <c r="H1652" i="2"/>
  <c r="G1652" i="2"/>
  <c r="F1652" i="2"/>
  <c r="E1652" i="2"/>
  <c r="D1652" i="2"/>
  <c r="C1652" i="2"/>
  <c r="B1652" i="2"/>
  <c r="A1652" i="2"/>
  <c r="AG1651" i="2"/>
  <c r="AF1651" i="2"/>
  <c r="AE1651" i="2"/>
  <c r="AD1651" i="2"/>
  <c r="AC1651" i="2"/>
  <c r="AB1651" i="2"/>
  <c r="Z1651" i="2"/>
  <c r="Y1651" i="2"/>
  <c r="X1651" i="2"/>
  <c r="W1651" i="2"/>
  <c r="V1651" i="2"/>
  <c r="U1651" i="2"/>
  <c r="T1651" i="2"/>
  <c r="S1651" i="2"/>
  <c r="R1651" i="2"/>
  <c r="Q1651" i="2"/>
  <c r="P1651" i="2"/>
  <c r="O1651" i="2"/>
  <c r="N1651" i="2"/>
  <c r="M1651" i="2"/>
  <c r="L1651" i="2"/>
  <c r="K1651" i="2"/>
  <c r="H1651" i="2"/>
  <c r="G1651" i="2"/>
  <c r="F1651" i="2"/>
  <c r="E1651" i="2"/>
  <c r="D1651" i="2"/>
  <c r="C1651" i="2"/>
  <c r="B1651" i="2"/>
  <c r="A1651" i="2"/>
  <c r="AG1650" i="2"/>
  <c r="AF1650" i="2"/>
  <c r="AE1650" i="2"/>
  <c r="AD1650" i="2"/>
  <c r="AC1650" i="2"/>
  <c r="AB1650" i="2"/>
  <c r="AA1650" i="2"/>
  <c r="Z1650" i="2"/>
  <c r="Y1650" i="2"/>
  <c r="X1650" i="2"/>
  <c r="W1650" i="2"/>
  <c r="V1650" i="2"/>
  <c r="U1650" i="2"/>
  <c r="T1650" i="2"/>
  <c r="S1650" i="2"/>
  <c r="R1650" i="2"/>
  <c r="Q1650" i="2"/>
  <c r="P1650" i="2"/>
  <c r="O1650" i="2"/>
  <c r="N1650" i="2"/>
  <c r="M1650" i="2"/>
  <c r="L1650" i="2"/>
  <c r="K1650" i="2"/>
  <c r="H1650" i="2"/>
  <c r="G1650" i="2"/>
  <c r="F1650" i="2"/>
  <c r="E1650" i="2"/>
  <c r="D1650" i="2"/>
  <c r="C1650" i="2"/>
  <c r="B1650" i="2"/>
  <c r="A1650" i="2"/>
  <c r="AH1649" i="2"/>
  <c r="AG1649" i="2"/>
  <c r="AF1649" i="2"/>
  <c r="AE1649" i="2"/>
  <c r="AD1649" i="2"/>
  <c r="AC1649" i="2"/>
  <c r="AB1649" i="2"/>
  <c r="Z1649" i="2"/>
  <c r="Y1649" i="2"/>
  <c r="X1649" i="2"/>
  <c r="W1649" i="2"/>
  <c r="V1649" i="2"/>
  <c r="U1649" i="2"/>
  <c r="T1649" i="2"/>
  <c r="S1649" i="2"/>
  <c r="R1649" i="2"/>
  <c r="Q1649" i="2"/>
  <c r="P1649" i="2"/>
  <c r="O1649" i="2"/>
  <c r="N1649" i="2"/>
  <c r="M1649" i="2"/>
  <c r="L1649" i="2"/>
  <c r="K1649" i="2"/>
  <c r="J1649" i="2"/>
  <c r="H1649" i="2"/>
  <c r="G1649" i="2"/>
  <c r="F1649" i="2"/>
  <c r="E1649" i="2"/>
  <c r="D1649" i="2"/>
  <c r="C1649" i="2"/>
  <c r="B1649" i="2"/>
  <c r="A1649" i="2"/>
  <c r="AG1648" i="2"/>
  <c r="AF1648" i="2"/>
  <c r="AE1648" i="2"/>
  <c r="AD1648" i="2"/>
  <c r="AC1648" i="2"/>
  <c r="AB1648" i="2"/>
  <c r="Z1648" i="2"/>
  <c r="Y1648" i="2"/>
  <c r="X1648" i="2"/>
  <c r="W1648" i="2"/>
  <c r="V1648" i="2"/>
  <c r="U1648" i="2"/>
  <c r="T1648" i="2"/>
  <c r="S1648" i="2"/>
  <c r="R1648" i="2"/>
  <c r="Q1648" i="2"/>
  <c r="P1648" i="2"/>
  <c r="O1648" i="2"/>
  <c r="N1648" i="2"/>
  <c r="M1648" i="2"/>
  <c r="L1648" i="2"/>
  <c r="K1648" i="2"/>
  <c r="H1648" i="2"/>
  <c r="G1648" i="2"/>
  <c r="F1648" i="2"/>
  <c r="E1648" i="2"/>
  <c r="D1648" i="2"/>
  <c r="C1648" i="2"/>
  <c r="B1648" i="2"/>
  <c r="A1648" i="2"/>
  <c r="AG1647" i="2"/>
  <c r="AF1647" i="2"/>
  <c r="AE1647" i="2"/>
  <c r="AD1647" i="2"/>
  <c r="AC1647" i="2"/>
  <c r="AB1647" i="2"/>
  <c r="Z1647" i="2"/>
  <c r="Y1647" i="2"/>
  <c r="X1647" i="2"/>
  <c r="W1647" i="2"/>
  <c r="V1647" i="2"/>
  <c r="U1647" i="2"/>
  <c r="S1647" i="2"/>
  <c r="R1647" i="2"/>
  <c r="Q1647" i="2"/>
  <c r="P1647" i="2"/>
  <c r="O1647" i="2"/>
  <c r="N1647" i="2"/>
  <c r="M1647" i="2"/>
  <c r="L1647" i="2"/>
  <c r="K1647" i="2"/>
  <c r="H1647" i="2"/>
  <c r="G1647" i="2"/>
  <c r="F1647" i="2"/>
  <c r="E1647" i="2"/>
  <c r="D1647" i="2"/>
  <c r="C1647" i="2"/>
  <c r="B1647" i="2"/>
  <c r="A1647" i="2"/>
  <c r="AG1646" i="2"/>
  <c r="AF1646" i="2"/>
  <c r="AE1646" i="2"/>
  <c r="AD1646" i="2"/>
  <c r="AC1646" i="2"/>
  <c r="AB1646" i="2"/>
  <c r="Z1646" i="2"/>
  <c r="Y1646" i="2"/>
  <c r="X1646" i="2"/>
  <c r="W1646" i="2"/>
  <c r="V1646" i="2"/>
  <c r="U1646" i="2"/>
  <c r="T1646" i="2"/>
  <c r="S1646" i="2"/>
  <c r="R1646" i="2"/>
  <c r="Q1646" i="2"/>
  <c r="P1646" i="2"/>
  <c r="O1646" i="2"/>
  <c r="N1646" i="2"/>
  <c r="M1646" i="2"/>
  <c r="L1646" i="2"/>
  <c r="K1646" i="2"/>
  <c r="H1646" i="2"/>
  <c r="G1646" i="2"/>
  <c r="F1646" i="2"/>
  <c r="E1646" i="2"/>
  <c r="D1646" i="2"/>
  <c r="C1646" i="2"/>
  <c r="B1646" i="2"/>
  <c r="A1646" i="2"/>
  <c r="AG1645" i="2"/>
  <c r="AF1645" i="2"/>
  <c r="AE1645" i="2"/>
  <c r="AD1645" i="2"/>
  <c r="AC1645" i="2"/>
  <c r="AB1645" i="2"/>
  <c r="AA1645" i="2"/>
  <c r="Z1645" i="2"/>
  <c r="Y1645" i="2"/>
  <c r="X1645" i="2"/>
  <c r="W1645" i="2"/>
  <c r="V1645" i="2"/>
  <c r="U1645" i="2"/>
  <c r="T1645" i="2"/>
  <c r="S1645" i="2"/>
  <c r="R1645" i="2"/>
  <c r="Q1645" i="2"/>
  <c r="P1645" i="2"/>
  <c r="O1645" i="2"/>
  <c r="N1645" i="2"/>
  <c r="M1645" i="2"/>
  <c r="L1645" i="2"/>
  <c r="K1645" i="2"/>
  <c r="H1645" i="2"/>
  <c r="G1645" i="2"/>
  <c r="F1645" i="2"/>
  <c r="E1645" i="2"/>
  <c r="D1645" i="2"/>
  <c r="C1645" i="2"/>
  <c r="B1645" i="2"/>
  <c r="A1645" i="2"/>
  <c r="AG1644" i="2"/>
  <c r="AF1644" i="2"/>
  <c r="AE1644" i="2"/>
  <c r="AD1644" i="2"/>
  <c r="AC1644" i="2"/>
  <c r="AB1644" i="2"/>
  <c r="Z1644" i="2"/>
  <c r="X1644" i="2"/>
  <c r="W1644" i="2"/>
  <c r="V1644" i="2"/>
  <c r="U1644" i="2"/>
  <c r="T1644" i="2"/>
  <c r="S1644" i="2"/>
  <c r="R1644" i="2"/>
  <c r="Q1644" i="2"/>
  <c r="P1644" i="2"/>
  <c r="O1644" i="2"/>
  <c r="N1644" i="2"/>
  <c r="M1644" i="2"/>
  <c r="L1644" i="2"/>
  <c r="K1644" i="2"/>
  <c r="H1644" i="2"/>
  <c r="G1644" i="2"/>
  <c r="F1644" i="2"/>
  <c r="E1644" i="2"/>
  <c r="D1644" i="2"/>
  <c r="C1644" i="2"/>
  <c r="B1644" i="2"/>
  <c r="A1644" i="2"/>
  <c r="AG1643" i="2"/>
  <c r="AF1643" i="2"/>
  <c r="AE1643" i="2"/>
  <c r="AD1643" i="2"/>
  <c r="AC1643" i="2"/>
  <c r="AB1643" i="2"/>
  <c r="AA1643" i="2"/>
  <c r="Z1643" i="2"/>
  <c r="X1643" i="2"/>
  <c r="W1643" i="2"/>
  <c r="V1643" i="2"/>
  <c r="U1643" i="2"/>
  <c r="T1643" i="2"/>
  <c r="S1643" i="2"/>
  <c r="R1643" i="2"/>
  <c r="Q1643" i="2"/>
  <c r="P1643" i="2"/>
  <c r="O1643" i="2"/>
  <c r="N1643" i="2"/>
  <c r="M1643" i="2"/>
  <c r="L1643" i="2"/>
  <c r="K1643" i="2"/>
  <c r="H1643" i="2"/>
  <c r="G1643" i="2"/>
  <c r="F1643" i="2"/>
  <c r="E1643" i="2"/>
  <c r="D1643" i="2"/>
  <c r="C1643" i="2"/>
  <c r="B1643" i="2"/>
  <c r="A1643" i="2"/>
  <c r="AG1642" i="2"/>
  <c r="AF1642" i="2"/>
  <c r="AE1642" i="2"/>
  <c r="AD1642" i="2"/>
  <c r="AC1642" i="2"/>
  <c r="AB1642" i="2"/>
  <c r="Z1642" i="2"/>
  <c r="Y1642" i="2"/>
  <c r="X1642" i="2"/>
  <c r="W1642" i="2"/>
  <c r="V1642" i="2"/>
  <c r="U1642" i="2"/>
  <c r="R1642" i="2"/>
  <c r="Q1642" i="2"/>
  <c r="P1642" i="2"/>
  <c r="O1642" i="2"/>
  <c r="N1642" i="2"/>
  <c r="M1642" i="2"/>
  <c r="L1642" i="2"/>
  <c r="K1642" i="2"/>
  <c r="H1642" i="2"/>
  <c r="G1642" i="2"/>
  <c r="F1642" i="2"/>
  <c r="E1642" i="2"/>
  <c r="D1642" i="2"/>
  <c r="C1642" i="2"/>
  <c r="B1642" i="2"/>
  <c r="A1642" i="2"/>
  <c r="AG1641" i="2"/>
  <c r="AF1641" i="2"/>
  <c r="AE1641" i="2"/>
  <c r="AD1641" i="2"/>
  <c r="AC1641" i="2"/>
  <c r="AB1641" i="2"/>
  <c r="Z1641" i="2"/>
  <c r="Y1641" i="2"/>
  <c r="X1641" i="2"/>
  <c r="W1641" i="2"/>
  <c r="V1641" i="2"/>
  <c r="U1641" i="2"/>
  <c r="T1641" i="2"/>
  <c r="S1641" i="2"/>
  <c r="R1641" i="2"/>
  <c r="Q1641" i="2"/>
  <c r="P1641" i="2"/>
  <c r="O1641" i="2"/>
  <c r="N1641" i="2"/>
  <c r="M1641" i="2"/>
  <c r="L1641" i="2"/>
  <c r="K1641" i="2"/>
  <c r="H1641" i="2"/>
  <c r="G1641" i="2"/>
  <c r="F1641" i="2"/>
  <c r="E1641" i="2"/>
  <c r="D1641" i="2"/>
  <c r="C1641" i="2"/>
  <c r="B1641" i="2"/>
  <c r="A1641" i="2"/>
  <c r="AG1640" i="2"/>
  <c r="AF1640" i="2"/>
  <c r="AE1640" i="2"/>
  <c r="AD1640" i="2"/>
  <c r="AC1640" i="2"/>
  <c r="AB1640" i="2"/>
  <c r="AA1640" i="2"/>
  <c r="Z1640" i="2"/>
  <c r="Y1640" i="2"/>
  <c r="X1640" i="2"/>
  <c r="W1640" i="2"/>
  <c r="V1640" i="2"/>
  <c r="U1640" i="2"/>
  <c r="R1640" i="2"/>
  <c r="Q1640" i="2"/>
  <c r="P1640" i="2"/>
  <c r="O1640" i="2"/>
  <c r="N1640" i="2"/>
  <c r="M1640" i="2"/>
  <c r="L1640" i="2"/>
  <c r="K1640" i="2"/>
  <c r="H1640" i="2"/>
  <c r="G1640" i="2"/>
  <c r="F1640" i="2"/>
  <c r="E1640" i="2"/>
  <c r="D1640" i="2"/>
  <c r="C1640" i="2"/>
  <c r="B1640" i="2"/>
  <c r="A1640" i="2"/>
  <c r="AG1639" i="2"/>
  <c r="AF1639" i="2"/>
  <c r="AE1639" i="2"/>
  <c r="AD1639" i="2"/>
  <c r="AC1639" i="2"/>
  <c r="AB1639" i="2"/>
  <c r="Z1639" i="2"/>
  <c r="Y1639" i="2"/>
  <c r="X1639" i="2"/>
  <c r="W1639" i="2"/>
  <c r="V1639" i="2"/>
  <c r="U1639" i="2"/>
  <c r="T1639" i="2"/>
  <c r="S1639" i="2"/>
  <c r="R1639" i="2"/>
  <c r="Q1639" i="2"/>
  <c r="P1639" i="2"/>
  <c r="O1639" i="2"/>
  <c r="N1639" i="2"/>
  <c r="M1639" i="2"/>
  <c r="L1639" i="2"/>
  <c r="K1639" i="2"/>
  <c r="H1639" i="2"/>
  <c r="G1639" i="2"/>
  <c r="F1639" i="2"/>
  <c r="E1639" i="2"/>
  <c r="D1639" i="2"/>
  <c r="C1639" i="2"/>
  <c r="B1639" i="2"/>
  <c r="A1639" i="2"/>
  <c r="AG1638" i="2"/>
  <c r="AF1638" i="2"/>
  <c r="AE1638" i="2"/>
  <c r="AD1638" i="2"/>
  <c r="AC1638" i="2"/>
  <c r="AB1638" i="2"/>
  <c r="Z1638" i="2"/>
  <c r="Y1638" i="2"/>
  <c r="X1638" i="2"/>
  <c r="W1638" i="2"/>
  <c r="V1638" i="2"/>
  <c r="U1638" i="2"/>
  <c r="R1638" i="2"/>
  <c r="Q1638" i="2"/>
  <c r="P1638" i="2"/>
  <c r="O1638" i="2"/>
  <c r="N1638" i="2"/>
  <c r="M1638" i="2"/>
  <c r="L1638" i="2"/>
  <c r="K1638" i="2"/>
  <c r="H1638" i="2"/>
  <c r="G1638" i="2"/>
  <c r="F1638" i="2"/>
  <c r="E1638" i="2"/>
  <c r="D1638" i="2"/>
  <c r="C1638" i="2"/>
  <c r="B1638" i="2"/>
  <c r="A1638" i="2"/>
  <c r="AG1637" i="2"/>
  <c r="AF1637" i="2"/>
  <c r="AE1637" i="2"/>
  <c r="AD1637" i="2"/>
  <c r="AC1637" i="2"/>
  <c r="AB1637" i="2"/>
  <c r="Z1637" i="2"/>
  <c r="Y1637" i="2"/>
  <c r="X1637" i="2"/>
  <c r="W1637" i="2"/>
  <c r="V1637" i="2"/>
  <c r="S1637" i="2"/>
  <c r="R1637" i="2"/>
  <c r="Q1637" i="2"/>
  <c r="P1637" i="2"/>
  <c r="O1637" i="2"/>
  <c r="N1637" i="2"/>
  <c r="M1637" i="2"/>
  <c r="L1637" i="2"/>
  <c r="K1637" i="2"/>
  <c r="H1637" i="2"/>
  <c r="G1637" i="2"/>
  <c r="F1637" i="2"/>
  <c r="E1637" i="2"/>
  <c r="D1637" i="2"/>
  <c r="C1637" i="2"/>
  <c r="B1637" i="2"/>
  <c r="A1637" i="2"/>
  <c r="AG1636" i="2"/>
  <c r="AF1636" i="2"/>
  <c r="AE1636" i="2"/>
  <c r="AD1636" i="2"/>
  <c r="AC1636" i="2"/>
  <c r="AB1636" i="2"/>
  <c r="AA1636" i="2"/>
  <c r="Z1636" i="2"/>
  <c r="Y1636" i="2"/>
  <c r="X1636" i="2"/>
  <c r="W1636" i="2"/>
  <c r="V1636" i="2"/>
  <c r="U1636" i="2"/>
  <c r="T1636" i="2"/>
  <c r="S1636" i="2"/>
  <c r="R1636" i="2"/>
  <c r="Q1636" i="2"/>
  <c r="P1636" i="2"/>
  <c r="O1636" i="2"/>
  <c r="N1636" i="2"/>
  <c r="M1636" i="2"/>
  <c r="L1636" i="2"/>
  <c r="K1636" i="2"/>
  <c r="H1636" i="2"/>
  <c r="G1636" i="2"/>
  <c r="F1636" i="2"/>
  <c r="E1636" i="2"/>
  <c r="D1636" i="2"/>
  <c r="C1636" i="2"/>
  <c r="B1636" i="2"/>
  <c r="A1636" i="2"/>
  <c r="AG1635" i="2"/>
  <c r="AF1635" i="2"/>
  <c r="AE1635" i="2"/>
  <c r="AD1635" i="2"/>
  <c r="AC1635" i="2"/>
  <c r="AB1635" i="2"/>
  <c r="Y1635" i="2"/>
  <c r="X1635" i="2"/>
  <c r="W1635" i="2"/>
  <c r="V1635" i="2"/>
  <c r="U1635" i="2"/>
  <c r="T1635" i="2"/>
  <c r="S1635" i="2"/>
  <c r="R1635" i="2"/>
  <c r="Q1635" i="2"/>
  <c r="P1635" i="2"/>
  <c r="O1635" i="2"/>
  <c r="N1635" i="2"/>
  <c r="M1635" i="2"/>
  <c r="L1635" i="2"/>
  <c r="K1635" i="2"/>
  <c r="H1635" i="2"/>
  <c r="G1635" i="2"/>
  <c r="F1635" i="2"/>
  <c r="E1635" i="2"/>
  <c r="D1635" i="2"/>
  <c r="C1635" i="2"/>
  <c r="B1635" i="2"/>
  <c r="A1635" i="2"/>
  <c r="AG1634" i="2"/>
  <c r="AF1634" i="2"/>
  <c r="AE1634" i="2"/>
  <c r="AD1634" i="2"/>
  <c r="AC1634" i="2"/>
  <c r="AB1634" i="2"/>
  <c r="Z1634" i="2"/>
  <c r="Y1634" i="2"/>
  <c r="X1634" i="2"/>
  <c r="W1634" i="2"/>
  <c r="V1634" i="2"/>
  <c r="U1634" i="2"/>
  <c r="T1634" i="2"/>
  <c r="S1634" i="2"/>
  <c r="R1634" i="2"/>
  <c r="Q1634" i="2"/>
  <c r="P1634" i="2"/>
  <c r="O1634" i="2"/>
  <c r="N1634" i="2"/>
  <c r="M1634" i="2"/>
  <c r="L1634" i="2"/>
  <c r="K1634" i="2"/>
  <c r="H1634" i="2"/>
  <c r="G1634" i="2"/>
  <c r="F1634" i="2"/>
  <c r="E1634" i="2"/>
  <c r="D1634" i="2"/>
  <c r="C1634" i="2"/>
  <c r="B1634" i="2"/>
  <c r="A1634" i="2"/>
  <c r="AH1633" i="2"/>
  <c r="AF1633" i="2"/>
  <c r="AE1633" i="2"/>
  <c r="AD1633" i="2"/>
  <c r="AC1633" i="2"/>
  <c r="AB1633" i="2"/>
  <c r="Z1633" i="2"/>
  <c r="Y1633" i="2"/>
  <c r="W1633" i="2"/>
  <c r="V1633" i="2"/>
  <c r="U1633" i="2"/>
  <c r="T1633" i="2"/>
  <c r="S1633" i="2"/>
  <c r="R1633" i="2"/>
  <c r="Q1633" i="2"/>
  <c r="P1633" i="2"/>
  <c r="O1633" i="2"/>
  <c r="N1633" i="2"/>
  <c r="M1633" i="2"/>
  <c r="L1633" i="2"/>
  <c r="K1633" i="2"/>
  <c r="J1633" i="2"/>
  <c r="I1633" i="2"/>
  <c r="H1633" i="2"/>
  <c r="G1633" i="2"/>
  <c r="F1633" i="2"/>
  <c r="E1633" i="2"/>
  <c r="D1633" i="2"/>
  <c r="C1633" i="2"/>
  <c r="B1633" i="2"/>
  <c r="A1633" i="2"/>
  <c r="AG1632" i="2"/>
  <c r="AF1632" i="2"/>
  <c r="AE1632" i="2"/>
  <c r="AD1632" i="2"/>
  <c r="AC1632" i="2"/>
  <c r="AB1632" i="2"/>
  <c r="Z1632" i="2"/>
  <c r="Y1632" i="2"/>
  <c r="X1632" i="2"/>
  <c r="W1632" i="2"/>
  <c r="V1632" i="2"/>
  <c r="U1632" i="2"/>
  <c r="T1632" i="2"/>
  <c r="S1632" i="2"/>
  <c r="R1632" i="2"/>
  <c r="Q1632" i="2"/>
  <c r="P1632" i="2"/>
  <c r="O1632" i="2"/>
  <c r="N1632" i="2"/>
  <c r="M1632" i="2"/>
  <c r="L1632" i="2"/>
  <c r="K1632" i="2"/>
  <c r="H1632" i="2"/>
  <c r="G1632" i="2"/>
  <c r="F1632" i="2"/>
  <c r="E1632" i="2"/>
  <c r="D1632" i="2"/>
  <c r="C1632" i="2"/>
  <c r="B1632" i="2"/>
  <c r="A1632" i="2"/>
  <c r="AH1631" i="2"/>
  <c r="AG1631" i="2"/>
  <c r="AF1631" i="2"/>
  <c r="AE1631" i="2"/>
  <c r="AD1631" i="2"/>
  <c r="AC1631" i="2"/>
  <c r="AB1631" i="2"/>
  <c r="Z1631" i="2"/>
  <c r="Y1631" i="2"/>
  <c r="X1631" i="2"/>
  <c r="W1631" i="2"/>
  <c r="V1631" i="2"/>
  <c r="U1631" i="2"/>
  <c r="T1631" i="2"/>
  <c r="S1631" i="2"/>
  <c r="R1631" i="2"/>
  <c r="Q1631" i="2"/>
  <c r="P1631" i="2"/>
  <c r="O1631" i="2"/>
  <c r="N1631" i="2"/>
  <c r="M1631" i="2"/>
  <c r="L1631" i="2"/>
  <c r="K1631" i="2"/>
  <c r="H1631" i="2"/>
  <c r="G1631" i="2"/>
  <c r="F1631" i="2"/>
  <c r="E1631" i="2"/>
  <c r="D1631" i="2"/>
  <c r="C1631" i="2"/>
  <c r="B1631" i="2"/>
  <c r="A1631" i="2"/>
  <c r="AG1630" i="2"/>
  <c r="AF1630" i="2"/>
  <c r="AE1630" i="2"/>
  <c r="AD1630" i="2"/>
  <c r="AC1630" i="2"/>
  <c r="AB1630" i="2"/>
  <c r="Y1630" i="2"/>
  <c r="X1630" i="2"/>
  <c r="W1630" i="2"/>
  <c r="V1630" i="2"/>
  <c r="U1630" i="2"/>
  <c r="R1630" i="2"/>
  <c r="Q1630" i="2"/>
  <c r="P1630" i="2"/>
  <c r="O1630" i="2"/>
  <c r="N1630" i="2"/>
  <c r="M1630" i="2"/>
  <c r="L1630" i="2"/>
  <c r="K1630" i="2"/>
  <c r="H1630" i="2"/>
  <c r="G1630" i="2"/>
  <c r="F1630" i="2"/>
  <c r="E1630" i="2"/>
  <c r="D1630" i="2"/>
  <c r="C1630" i="2"/>
  <c r="B1630" i="2"/>
  <c r="A1630" i="2"/>
  <c r="AG1629" i="2"/>
  <c r="AF1629" i="2"/>
  <c r="AD1629" i="2"/>
  <c r="AC1629" i="2"/>
  <c r="AB1629" i="2"/>
  <c r="Z1629" i="2"/>
  <c r="Y1629" i="2"/>
  <c r="X1629" i="2"/>
  <c r="W1629" i="2"/>
  <c r="V1629" i="2"/>
  <c r="U1629" i="2"/>
  <c r="T1629" i="2"/>
  <c r="S1629" i="2"/>
  <c r="R1629" i="2"/>
  <c r="Q1629" i="2"/>
  <c r="P1629" i="2"/>
  <c r="O1629" i="2"/>
  <c r="N1629" i="2"/>
  <c r="M1629" i="2"/>
  <c r="L1629" i="2"/>
  <c r="K1629" i="2"/>
  <c r="H1629" i="2"/>
  <c r="G1629" i="2"/>
  <c r="F1629" i="2"/>
  <c r="E1629" i="2"/>
  <c r="D1629" i="2"/>
  <c r="C1629" i="2"/>
  <c r="B1629" i="2"/>
  <c r="A1629" i="2"/>
  <c r="AG1628" i="2"/>
  <c r="AF1628" i="2"/>
  <c r="AD1628" i="2"/>
  <c r="AC1628" i="2"/>
  <c r="AB1628" i="2"/>
  <c r="Z1628" i="2"/>
  <c r="Y1628" i="2"/>
  <c r="X1628" i="2"/>
  <c r="W1628" i="2"/>
  <c r="V1628" i="2"/>
  <c r="U1628" i="2"/>
  <c r="T1628" i="2"/>
  <c r="S1628" i="2"/>
  <c r="R1628" i="2"/>
  <c r="Q1628" i="2"/>
  <c r="P1628" i="2"/>
  <c r="O1628" i="2"/>
  <c r="N1628" i="2"/>
  <c r="M1628" i="2"/>
  <c r="L1628" i="2"/>
  <c r="K1628" i="2"/>
  <c r="H1628" i="2"/>
  <c r="G1628" i="2"/>
  <c r="F1628" i="2"/>
  <c r="E1628" i="2"/>
  <c r="D1628" i="2"/>
  <c r="C1628" i="2"/>
  <c r="B1628" i="2"/>
  <c r="A1628" i="2"/>
  <c r="AH1627" i="2"/>
  <c r="AF1627" i="2"/>
  <c r="AE1627" i="2"/>
  <c r="AD1627" i="2"/>
  <c r="AC1627" i="2"/>
  <c r="AB1627" i="2"/>
  <c r="Z1627" i="2"/>
  <c r="Y1627" i="2"/>
  <c r="W1627" i="2"/>
  <c r="V1627" i="2"/>
  <c r="U1627" i="2"/>
  <c r="T1627" i="2"/>
  <c r="S1627" i="2"/>
  <c r="R1627" i="2"/>
  <c r="Q1627" i="2"/>
  <c r="P1627" i="2"/>
  <c r="O1627" i="2"/>
  <c r="N1627" i="2"/>
  <c r="M1627" i="2"/>
  <c r="L1627" i="2"/>
  <c r="K1627" i="2"/>
  <c r="J1627" i="2"/>
  <c r="I1627" i="2"/>
  <c r="H1627" i="2"/>
  <c r="G1627" i="2"/>
  <c r="F1627" i="2"/>
  <c r="E1627" i="2"/>
  <c r="D1627" i="2"/>
  <c r="C1627" i="2"/>
  <c r="B1627" i="2"/>
  <c r="A1627" i="2"/>
  <c r="AH1626" i="2"/>
  <c r="AF1626" i="2"/>
  <c r="AE1626" i="2"/>
  <c r="AD1626" i="2"/>
  <c r="AC1626" i="2"/>
  <c r="AB1626" i="2"/>
  <c r="Z1626" i="2"/>
  <c r="Y1626" i="2"/>
  <c r="X1626" i="2"/>
  <c r="W1626" i="2"/>
  <c r="V1626" i="2"/>
  <c r="U1626" i="2"/>
  <c r="R1626" i="2"/>
  <c r="Q1626" i="2"/>
  <c r="P1626" i="2"/>
  <c r="O1626" i="2"/>
  <c r="N1626" i="2"/>
  <c r="M1626" i="2"/>
  <c r="L1626" i="2"/>
  <c r="K1626" i="2"/>
  <c r="J1626" i="2"/>
  <c r="I1626" i="2"/>
  <c r="H1626" i="2"/>
  <c r="G1626" i="2"/>
  <c r="F1626" i="2"/>
  <c r="E1626" i="2"/>
  <c r="D1626" i="2"/>
  <c r="C1626" i="2"/>
  <c r="B1626" i="2"/>
  <c r="A1626" i="2"/>
  <c r="AG1625" i="2"/>
  <c r="AF1625" i="2"/>
  <c r="AE1625" i="2"/>
  <c r="AD1625" i="2"/>
  <c r="AC1625" i="2"/>
  <c r="AB1625" i="2"/>
  <c r="Y1625" i="2"/>
  <c r="X1625" i="2"/>
  <c r="W1625" i="2"/>
  <c r="V1625" i="2"/>
  <c r="U1625" i="2"/>
  <c r="T1625" i="2"/>
  <c r="S1625" i="2"/>
  <c r="R1625" i="2"/>
  <c r="Q1625" i="2"/>
  <c r="P1625" i="2"/>
  <c r="O1625" i="2"/>
  <c r="N1625" i="2"/>
  <c r="M1625" i="2"/>
  <c r="L1625" i="2"/>
  <c r="K1625" i="2"/>
  <c r="H1625" i="2"/>
  <c r="G1625" i="2"/>
  <c r="F1625" i="2"/>
  <c r="E1625" i="2"/>
  <c r="D1625" i="2"/>
  <c r="C1625" i="2"/>
  <c r="B1625" i="2"/>
  <c r="A1625" i="2"/>
  <c r="AG1624" i="2"/>
  <c r="AF1624" i="2"/>
  <c r="AE1624" i="2"/>
  <c r="AD1624" i="2"/>
  <c r="AC1624" i="2"/>
  <c r="AB1624" i="2"/>
  <c r="Z1624" i="2"/>
  <c r="Y1624" i="2"/>
  <c r="X1624" i="2"/>
  <c r="W1624" i="2"/>
  <c r="V1624" i="2"/>
  <c r="U1624" i="2"/>
  <c r="T1624" i="2"/>
  <c r="S1624" i="2"/>
  <c r="R1624" i="2"/>
  <c r="Q1624" i="2"/>
  <c r="P1624" i="2"/>
  <c r="O1624" i="2"/>
  <c r="N1624" i="2"/>
  <c r="M1624" i="2"/>
  <c r="L1624" i="2"/>
  <c r="K1624" i="2"/>
  <c r="H1624" i="2"/>
  <c r="G1624" i="2"/>
  <c r="F1624" i="2"/>
  <c r="E1624" i="2"/>
  <c r="D1624" i="2"/>
  <c r="C1624" i="2"/>
  <c r="B1624" i="2"/>
  <c r="A1624" i="2"/>
  <c r="AG1623" i="2"/>
  <c r="AF1623" i="2"/>
  <c r="AD1623" i="2"/>
  <c r="AC1623" i="2"/>
  <c r="AB1623" i="2"/>
  <c r="Z1623" i="2"/>
  <c r="Y1623" i="2"/>
  <c r="X1623" i="2"/>
  <c r="W1623" i="2"/>
  <c r="V1623" i="2"/>
  <c r="U1623" i="2"/>
  <c r="R1623" i="2"/>
  <c r="Q1623" i="2"/>
  <c r="P1623" i="2"/>
  <c r="O1623" i="2"/>
  <c r="N1623" i="2"/>
  <c r="M1623" i="2"/>
  <c r="L1623" i="2"/>
  <c r="K1623" i="2"/>
  <c r="H1623" i="2"/>
  <c r="G1623" i="2"/>
  <c r="F1623" i="2"/>
  <c r="E1623" i="2"/>
  <c r="D1623" i="2"/>
  <c r="C1623" i="2"/>
  <c r="B1623" i="2"/>
  <c r="A1623" i="2"/>
  <c r="AH1622" i="2"/>
  <c r="AG1622" i="2"/>
  <c r="AF1622" i="2"/>
  <c r="AE1622" i="2"/>
  <c r="AD1622" i="2"/>
  <c r="AC1622" i="2"/>
  <c r="AB1622" i="2"/>
  <c r="Z1622" i="2"/>
  <c r="Y1622" i="2"/>
  <c r="X1622" i="2"/>
  <c r="W1622" i="2"/>
  <c r="V1622" i="2"/>
  <c r="U1622" i="2"/>
  <c r="T1622" i="2"/>
  <c r="S1622" i="2"/>
  <c r="R1622" i="2"/>
  <c r="Q1622" i="2"/>
  <c r="P1622" i="2"/>
  <c r="O1622" i="2"/>
  <c r="N1622" i="2"/>
  <c r="M1622" i="2"/>
  <c r="L1622" i="2"/>
  <c r="K1622" i="2"/>
  <c r="J1622" i="2"/>
  <c r="H1622" i="2"/>
  <c r="G1622" i="2"/>
  <c r="F1622" i="2"/>
  <c r="E1622" i="2"/>
  <c r="D1622" i="2"/>
  <c r="C1622" i="2"/>
  <c r="B1622" i="2"/>
  <c r="A1622" i="2"/>
  <c r="AG1621" i="2"/>
  <c r="AF1621" i="2"/>
  <c r="AE1621" i="2"/>
  <c r="AD1621" i="2"/>
  <c r="AC1621" i="2"/>
  <c r="AB1621" i="2"/>
  <c r="Z1621" i="2"/>
  <c r="Y1621" i="2"/>
  <c r="X1621" i="2"/>
  <c r="W1621" i="2"/>
  <c r="V1621" i="2"/>
  <c r="U1621" i="2"/>
  <c r="S1621" i="2"/>
  <c r="R1621" i="2"/>
  <c r="Q1621" i="2"/>
  <c r="P1621" i="2"/>
  <c r="O1621" i="2"/>
  <c r="N1621" i="2"/>
  <c r="M1621" i="2"/>
  <c r="L1621" i="2"/>
  <c r="K1621" i="2"/>
  <c r="H1621" i="2"/>
  <c r="G1621" i="2"/>
  <c r="F1621" i="2"/>
  <c r="E1621" i="2"/>
  <c r="D1621" i="2"/>
  <c r="C1621" i="2"/>
  <c r="B1621" i="2"/>
  <c r="A1621" i="2"/>
  <c r="AH1620" i="2"/>
  <c r="AG1620" i="2"/>
  <c r="AF1620" i="2"/>
  <c r="AE1620" i="2"/>
  <c r="AD1620" i="2"/>
  <c r="AC1620" i="2"/>
  <c r="AB1620" i="2"/>
  <c r="Z1620" i="2"/>
  <c r="Y1620" i="2"/>
  <c r="X1620" i="2"/>
  <c r="W1620" i="2"/>
  <c r="V1620" i="2"/>
  <c r="S1620" i="2"/>
  <c r="R1620" i="2"/>
  <c r="Q1620" i="2"/>
  <c r="P1620" i="2"/>
  <c r="O1620" i="2"/>
  <c r="N1620" i="2"/>
  <c r="M1620" i="2"/>
  <c r="L1620" i="2"/>
  <c r="K1620" i="2"/>
  <c r="H1620" i="2"/>
  <c r="G1620" i="2"/>
  <c r="F1620" i="2"/>
  <c r="E1620" i="2"/>
  <c r="D1620" i="2"/>
  <c r="C1620" i="2"/>
  <c r="B1620" i="2"/>
  <c r="A1620" i="2"/>
  <c r="AG1619" i="2"/>
  <c r="AF1619" i="2"/>
  <c r="AE1619" i="2"/>
  <c r="AD1619" i="2"/>
  <c r="AC1619" i="2"/>
  <c r="AB1619" i="2"/>
  <c r="Z1619" i="2"/>
  <c r="Y1619" i="2"/>
  <c r="X1619" i="2"/>
  <c r="W1619" i="2"/>
  <c r="V1619" i="2"/>
  <c r="U1619" i="2"/>
  <c r="T1619" i="2"/>
  <c r="S1619" i="2"/>
  <c r="R1619" i="2"/>
  <c r="Q1619" i="2"/>
  <c r="P1619" i="2"/>
  <c r="O1619" i="2"/>
  <c r="N1619" i="2"/>
  <c r="M1619" i="2"/>
  <c r="L1619" i="2"/>
  <c r="K1619" i="2"/>
  <c r="H1619" i="2"/>
  <c r="G1619" i="2"/>
  <c r="F1619" i="2"/>
  <c r="E1619" i="2"/>
  <c r="D1619" i="2"/>
  <c r="C1619" i="2"/>
  <c r="B1619" i="2"/>
  <c r="A1619" i="2"/>
  <c r="AG1618" i="2"/>
  <c r="AF1618" i="2"/>
  <c r="AE1618" i="2"/>
  <c r="AD1618" i="2"/>
  <c r="AC1618" i="2"/>
  <c r="AB1618" i="2"/>
  <c r="Z1618" i="2"/>
  <c r="Y1618" i="2"/>
  <c r="X1618" i="2"/>
  <c r="W1618" i="2"/>
  <c r="V1618" i="2"/>
  <c r="U1618" i="2"/>
  <c r="T1618" i="2"/>
  <c r="S1618" i="2"/>
  <c r="R1618" i="2"/>
  <c r="Q1618" i="2"/>
  <c r="P1618" i="2"/>
  <c r="O1618" i="2"/>
  <c r="N1618" i="2"/>
  <c r="M1618" i="2"/>
  <c r="L1618" i="2"/>
  <c r="K1618" i="2"/>
  <c r="H1618" i="2"/>
  <c r="G1618" i="2"/>
  <c r="F1618" i="2"/>
  <c r="E1618" i="2"/>
  <c r="D1618" i="2"/>
  <c r="C1618" i="2"/>
  <c r="B1618" i="2"/>
  <c r="A1618" i="2"/>
  <c r="AF1617" i="2"/>
  <c r="AE1617" i="2"/>
  <c r="AD1617" i="2"/>
  <c r="AC1617" i="2"/>
  <c r="AB1617" i="2"/>
  <c r="Z1617" i="2"/>
  <c r="X1617" i="2"/>
  <c r="W1617" i="2"/>
  <c r="V1617" i="2"/>
  <c r="U1617" i="2"/>
  <c r="S1617" i="2"/>
  <c r="R1617" i="2"/>
  <c r="Q1617" i="2"/>
  <c r="P1617" i="2"/>
  <c r="O1617" i="2"/>
  <c r="N1617" i="2"/>
  <c r="M1617" i="2"/>
  <c r="L1617" i="2"/>
  <c r="K1617" i="2"/>
  <c r="H1617" i="2"/>
  <c r="G1617" i="2"/>
  <c r="F1617" i="2"/>
  <c r="E1617" i="2"/>
  <c r="D1617" i="2"/>
  <c r="C1617" i="2"/>
  <c r="B1617" i="2"/>
  <c r="A1617" i="2"/>
  <c r="AH1616" i="2"/>
  <c r="AG1616" i="2"/>
  <c r="AF1616" i="2"/>
  <c r="AE1616" i="2"/>
  <c r="AD1616" i="2"/>
  <c r="AC1616" i="2"/>
  <c r="AB1616" i="2"/>
  <c r="Z1616" i="2"/>
  <c r="Y1616" i="2"/>
  <c r="X1616" i="2"/>
  <c r="W1616" i="2"/>
  <c r="V1616" i="2"/>
  <c r="S1616" i="2"/>
  <c r="R1616" i="2"/>
  <c r="Q1616" i="2"/>
  <c r="P1616" i="2"/>
  <c r="O1616" i="2"/>
  <c r="N1616" i="2"/>
  <c r="M1616" i="2"/>
  <c r="L1616" i="2"/>
  <c r="K1616" i="2"/>
  <c r="H1616" i="2"/>
  <c r="G1616" i="2"/>
  <c r="F1616" i="2"/>
  <c r="E1616" i="2"/>
  <c r="D1616" i="2"/>
  <c r="C1616" i="2"/>
  <c r="B1616" i="2"/>
  <c r="A1616" i="2"/>
  <c r="AF1615" i="2"/>
  <c r="AE1615" i="2"/>
  <c r="AD1615" i="2"/>
  <c r="AC1615" i="2"/>
  <c r="AB1615" i="2"/>
  <c r="Z1615" i="2"/>
  <c r="X1615" i="2"/>
  <c r="W1615" i="2"/>
  <c r="V1615" i="2"/>
  <c r="U1615" i="2"/>
  <c r="T1615" i="2"/>
  <c r="S1615" i="2"/>
  <c r="R1615" i="2"/>
  <c r="Q1615" i="2"/>
  <c r="P1615" i="2"/>
  <c r="O1615" i="2"/>
  <c r="N1615" i="2"/>
  <c r="M1615" i="2"/>
  <c r="L1615" i="2"/>
  <c r="K1615" i="2"/>
  <c r="H1615" i="2"/>
  <c r="G1615" i="2"/>
  <c r="F1615" i="2"/>
  <c r="E1615" i="2"/>
  <c r="D1615" i="2"/>
  <c r="C1615" i="2"/>
  <c r="B1615" i="2"/>
  <c r="A1615" i="2"/>
  <c r="AG1614" i="2"/>
  <c r="AF1614" i="2"/>
  <c r="AE1614" i="2"/>
  <c r="AD1614" i="2"/>
  <c r="AC1614" i="2"/>
  <c r="AB1614" i="2"/>
  <c r="Z1614" i="2"/>
  <c r="Y1614" i="2"/>
  <c r="X1614" i="2"/>
  <c r="W1614" i="2"/>
  <c r="V1614" i="2"/>
  <c r="Q1614" i="2"/>
  <c r="P1614" i="2"/>
  <c r="O1614" i="2"/>
  <c r="N1614" i="2"/>
  <c r="M1614" i="2"/>
  <c r="L1614" i="2"/>
  <c r="K1614" i="2"/>
  <c r="H1614" i="2"/>
  <c r="G1614" i="2"/>
  <c r="F1614" i="2"/>
  <c r="E1614" i="2"/>
  <c r="D1614" i="2"/>
  <c r="C1614" i="2"/>
  <c r="B1614" i="2"/>
  <c r="A1614" i="2"/>
  <c r="AH1613" i="2"/>
  <c r="AG1613" i="2"/>
  <c r="AF1613" i="2"/>
  <c r="AE1613" i="2"/>
  <c r="AD1613" i="2"/>
  <c r="AC1613" i="2"/>
  <c r="AB1613" i="2"/>
  <c r="Z1613" i="2"/>
  <c r="Y1613" i="2"/>
  <c r="X1613" i="2"/>
  <c r="W1613" i="2"/>
  <c r="V1613" i="2"/>
  <c r="U1613" i="2"/>
  <c r="T1613" i="2"/>
  <c r="S1613" i="2"/>
  <c r="R1613" i="2"/>
  <c r="Q1613" i="2"/>
  <c r="P1613" i="2"/>
  <c r="O1613" i="2"/>
  <c r="N1613" i="2"/>
  <c r="M1613" i="2"/>
  <c r="L1613" i="2"/>
  <c r="K1613" i="2"/>
  <c r="J1613" i="2"/>
  <c r="H1613" i="2"/>
  <c r="G1613" i="2"/>
  <c r="F1613" i="2"/>
  <c r="E1613" i="2"/>
  <c r="D1613" i="2"/>
  <c r="C1613" i="2"/>
  <c r="B1613" i="2"/>
  <c r="A1613" i="2"/>
  <c r="AG1612" i="2"/>
  <c r="AF1612" i="2"/>
  <c r="AE1612" i="2"/>
  <c r="AD1612" i="2"/>
  <c r="AC1612" i="2"/>
  <c r="AB1612" i="2"/>
  <c r="Y1612" i="2"/>
  <c r="X1612" i="2"/>
  <c r="W1612" i="2"/>
  <c r="V1612" i="2"/>
  <c r="U1612" i="2"/>
  <c r="R1612" i="2"/>
  <c r="Q1612" i="2"/>
  <c r="P1612" i="2"/>
  <c r="O1612" i="2"/>
  <c r="N1612" i="2"/>
  <c r="M1612" i="2"/>
  <c r="L1612" i="2"/>
  <c r="K1612" i="2"/>
  <c r="H1612" i="2"/>
  <c r="G1612" i="2"/>
  <c r="F1612" i="2"/>
  <c r="E1612" i="2"/>
  <c r="D1612" i="2"/>
  <c r="C1612" i="2"/>
  <c r="B1612" i="2"/>
  <c r="A1612" i="2"/>
  <c r="AG1611" i="2"/>
  <c r="AF1611" i="2"/>
  <c r="AE1611" i="2"/>
  <c r="AD1611" i="2"/>
  <c r="AC1611" i="2"/>
  <c r="AB1611" i="2"/>
  <c r="Z1611" i="2"/>
  <c r="Y1611" i="2"/>
  <c r="X1611" i="2"/>
  <c r="W1611" i="2"/>
  <c r="V1611" i="2"/>
  <c r="U1611" i="2"/>
  <c r="S1611" i="2"/>
  <c r="R1611" i="2"/>
  <c r="Q1611" i="2"/>
  <c r="P1611" i="2"/>
  <c r="O1611" i="2"/>
  <c r="N1611" i="2"/>
  <c r="M1611" i="2"/>
  <c r="L1611" i="2"/>
  <c r="K1611" i="2"/>
  <c r="H1611" i="2"/>
  <c r="G1611" i="2"/>
  <c r="F1611" i="2"/>
  <c r="E1611" i="2"/>
  <c r="D1611" i="2"/>
  <c r="C1611" i="2"/>
  <c r="B1611" i="2"/>
  <c r="A1611" i="2"/>
  <c r="AG1610" i="2"/>
  <c r="AF1610" i="2"/>
  <c r="AE1610" i="2"/>
  <c r="AD1610" i="2"/>
  <c r="AC1610" i="2"/>
  <c r="AB1610" i="2"/>
  <c r="Z1610" i="2"/>
  <c r="Y1610" i="2"/>
  <c r="X1610" i="2"/>
  <c r="W1610" i="2"/>
  <c r="V1610" i="2"/>
  <c r="U1610" i="2"/>
  <c r="T1610" i="2"/>
  <c r="S1610" i="2"/>
  <c r="R1610" i="2"/>
  <c r="Q1610" i="2"/>
  <c r="P1610" i="2"/>
  <c r="O1610" i="2"/>
  <c r="N1610" i="2"/>
  <c r="M1610" i="2"/>
  <c r="L1610" i="2"/>
  <c r="K1610" i="2"/>
  <c r="H1610" i="2"/>
  <c r="G1610" i="2"/>
  <c r="F1610" i="2"/>
  <c r="E1610" i="2"/>
  <c r="D1610" i="2"/>
  <c r="C1610" i="2"/>
  <c r="B1610" i="2"/>
  <c r="A1610" i="2"/>
  <c r="AD1609" i="2"/>
  <c r="AC1609" i="2"/>
  <c r="AB1609" i="2"/>
  <c r="Z1609" i="2"/>
  <c r="Y1609" i="2"/>
  <c r="X1609" i="2"/>
  <c r="W1609" i="2"/>
  <c r="V1609" i="2"/>
  <c r="U1609" i="2"/>
  <c r="S1609" i="2"/>
  <c r="R1609" i="2"/>
  <c r="Q1609" i="2"/>
  <c r="P1609" i="2"/>
  <c r="O1609" i="2"/>
  <c r="N1609" i="2"/>
  <c r="M1609" i="2"/>
  <c r="L1609" i="2"/>
  <c r="K1609" i="2"/>
  <c r="H1609" i="2"/>
  <c r="G1609" i="2"/>
  <c r="F1609" i="2"/>
  <c r="E1609" i="2"/>
  <c r="D1609" i="2"/>
  <c r="C1609" i="2"/>
  <c r="B1609" i="2"/>
  <c r="A1609" i="2"/>
  <c r="AF1608" i="2"/>
  <c r="AD1608" i="2"/>
  <c r="AC1608" i="2"/>
  <c r="AB1608" i="2"/>
  <c r="Z1608" i="2"/>
  <c r="Y1608" i="2"/>
  <c r="X1608" i="2"/>
  <c r="W1608" i="2"/>
  <c r="V1608" i="2"/>
  <c r="U1608" i="2"/>
  <c r="R1608" i="2"/>
  <c r="Q1608" i="2"/>
  <c r="P1608" i="2"/>
  <c r="O1608" i="2"/>
  <c r="N1608" i="2"/>
  <c r="M1608" i="2"/>
  <c r="L1608" i="2"/>
  <c r="K1608" i="2"/>
  <c r="H1608" i="2"/>
  <c r="G1608" i="2"/>
  <c r="F1608" i="2"/>
  <c r="E1608" i="2"/>
  <c r="D1608" i="2"/>
  <c r="C1608" i="2"/>
  <c r="B1608" i="2"/>
  <c r="A1608" i="2"/>
  <c r="AG1607" i="2"/>
  <c r="AF1607" i="2"/>
  <c r="AE1607" i="2"/>
  <c r="AD1607" i="2"/>
  <c r="AC1607" i="2"/>
  <c r="AB1607" i="2"/>
  <c r="Z1607" i="2"/>
  <c r="Y1607" i="2"/>
  <c r="X1607" i="2"/>
  <c r="W1607" i="2"/>
  <c r="V1607" i="2"/>
  <c r="U1607" i="2"/>
  <c r="S1607" i="2"/>
  <c r="R1607" i="2"/>
  <c r="Q1607" i="2"/>
  <c r="P1607" i="2"/>
  <c r="O1607" i="2"/>
  <c r="N1607" i="2"/>
  <c r="M1607" i="2"/>
  <c r="L1607" i="2"/>
  <c r="K1607" i="2"/>
  <c r="H1607" i="2"/>
  <c r="G1607" i="2"/>
  <c r="F1607" i="2"/>
  <c r="E1607" i="2"/>
  <c r="D1607" i="2"/>
  <c r="C1607" i="2"/>
  <c r="B1607" i="2"/>
  <c r="A1607" i="2"/>
  <c r="AG1606" i="2"/>
  <c r="AF1606" i="2"/>
  <c r="AE1606" i="2"/>
  <c r="AD1606" i="2"/>
  <c r="AC1606" i="2"/>
  <c r="AB1606" i="2"/>
  <c r="Z1606" i="2"/>
  <c r="Y1606" i="2"/>
  <c r="X1606" i="2"/>
  <c r="W1606" i="2"/>
  <c r="V1606" i="2"/>
  <c r="U1606" i="2"/>
  <c r="T1606" i="2"/>
  <c r="S1606" i="2"/>
  <c r="R1606" i="2"/>
  <c r="Q1606" i="2"/>
  <c r="P1606" i="2"/>
  <c r="O1606" i="2"/>
  <c r="N1606" i="2"/>
  <c r="M1606" i="2"/>
  <c r="L1606" i="2"/>
  <c r="K1606" i="2"/>
  <c r="H1606" i="2"/>
  <c r="G1606" i="2"/>
  <c r="F1606" i="2"/>
  <c r="E1606" i="2"/>
  <c r="D1606" i="2"/>
  <c r="C1606" i="2"/>
  <c r="B1606" i="2"/>
  <c r="A1606" i="2"/>
  <c r="AH1605" i="2"/>
  <c r="AG1605" i="2"/>
  <c r="AF1605" i="2"/>
  <c r="AE1605" i="2"/>
  <c r="AD1605" i="2"/>
  <c r="AC1605" i="2"/>
  <c r="AB1605" i="2"/>
  <c r="Z1605" i="2"/>
  <c r="Y1605" i="2"/>
  <c r="X1605" i="2"/>
  <c r="V1605" i="2"/>
  <c r="U1605" i="2"/>
  <c r="T1605" i="2"/>
  <c r="S1605" i="2"/>
  <c r="R1605" i="2"/>
  <c r="Q1605" i="2"/>
  <c r="P1605" i="2"/>
  <c r="O1605" i="2"/>
  <c r="N1605" i="2"/>
  <c r="M1605" i="2"/>
  <c r="L1605" i="2"/>
  <c r="K1605" i="2"/>
  <c r="J1605" i="2"/>
  <c r="I1605" i="2"/>
  <c r="H1605" i="2"/>
  <c r="G1605" i="2"/>
  <c r="F1605" i="2"/>
  <c r="E1605" i="2"/>
  <c r="D1605" i="2"/>
  <c r="C1605" i="2"/>
  <c r="B1605" i="2"/>
  <c r="A1605" i="2"/>
  <c r="AG1604" i="2"/>
  <c r="AD1604" i="2"/>
  <c r="AC1604" i="2"/>
  <c r="AB1604" i="2"/>
  <c r="Z1604" i="2"/>
  <c r="X1604" i="2"/>
  <c r="W1604" i="2"/>
  <c r="V1604" i="2"/>
  <c r="U1604" i="2"/>
  <c r="T1604" i="2"/>
  <c r="S1604" i="2"/>
  <c r="R1604" i="2"/>
  <c r="Q1604" i="2"/>
  <c r="P1604" i="2"/>
  <c r="O1604" i="2"/>
  <c r="N1604" i="2"/>
  <c r="M1604" i="2"/>
  <c r="L1604" i="2"/>
  <c r="K1604" i="2"/>
  <c r="H1604" i="2"/>
  <c r="G1604" i="2"/>
  <c r="F1604" i="2"/>
  <c r="E1604" i="2"/>
  <c r="D1604" i="2"/>
  <c r="C1604" i="2"/>
  <c r="B1604" i="2"/>
  <c r="A1604" i="2"/>
  <c r="AG1603" i="2"/>
  <c r="AF1603" i="2"/>
  <c r="AE1603" i="2"/>
  <c r="AD1603" i="2"/>
  <c r="AC1603" i="2"/>
  <c r="AB1603" i="2"/>
  <c r="Z1603" i="2"/>
  <c r="Y1603" i="2"/>
  <c r="X1603" i="2"/>
  <c r="W1603" i="2"/>
  <c r="V1603" i="2"/>
  <c r="U1603" i="2"/>
  <c r="S1603" i="2"/>
  <c r="R1603" i="2"/>
  <c r="Q1603" i="2"/>
  <c r="P1603" i="2"/>
  <c r="O1603" i="2"/>
  <c r="N1603" i="2"/>
  <c r="M1603" i="2"/>
  <c r="L1603" i="2"/>
  <c r="K1603" i="2"/>
  <c r="H1603" i="2"/>
  <c r="G1603" i="2"/>
  <c r="F1603" i="2"/>
  <c r="E1603" i="2"/>
  <c r="D1603" i="2"/>
  <c r="C1603" i="2"/>
  <c r="B1603" i="2"/>
  <c r="A1603" i="2"/>
  <c r="AH1602" i="2"/>
  <c r="AG1602" i="2"/>
  <c r="AF1602" i="2"/>
  <c r="AE1602" i="2"/>
  <c r="AD1602" i="2"/>
  <c r="AC1602" i="2"/>
  <c r="AB1602" i="2"/>
  <c r="Z1602" i="2"/>
  <c r="Y1602" i="2"/>
  <c r="X1602" i="2"/>
  <c r="W1602" i="2"/>
  <c r="V1602" i="2"/>
  <c r="U1602" i="2"/>
  <c r="R1602" i="2"/>
  <c r="Q1602" i="2"/>
  <c r="P1602" i="2"/>
  <c r="O1602" i="2"/>
  <c r="N1602" i="2"/>
  <c r="M1602" i="2"/>
  <c r="L1602" i="2"/>
  <c r="K1602" i="2"/>
  <c r="H1602" i="2"/>
  <c r="G1602" i="2"/>
  <c r="F1602" i="2"/>
  <c r="E1602" i="2"/>
  <c r="D1602" i="2"/>
  <c r="C1602" i="2"/>
  <c r="B1602" i="2"/>
  <c r="A1602" i="2"/>
  <c r="AG1601" i="2"/>
  <c r="AF1601" i="2"/>
  <c r="AE1601" i="2"/>
  <c r="AD1601" i="2"/>
  <c r="AC1601" i="2"/>
  <c r="AB1601" i="2"/>
  <c r="Z1601" i="2"/>
  <c r="Y1601" i="2"/>
  <c r="X1601" i="2"/>
  <c r="W1601" i="2"/>
  <c r="V1601" i="2"/>
  <c r="U1601" i="2"/>
  <c r="S1601" i="2"/>
  <c r="R1601" i="2"/>
  <c r="Q1601" i="2"/>
  <c r="P1601" i="2"/>
  <c r="O1601" i="2"/>
  <c r="N1601" i="2"/>
  <c r="M1601" i="2"/>
  <c r="L1601" i="2"/>
  <c r="K1601" i="2"/>
  <c r="H1601" i="2"/>
  <c r="G1601" i="2"/>
  <c r="F1601" i="2"/>
  <c r="E1601" i="2"/>
  <c r="D1601" i="2"/>
  <c r="C1601" i="2"/>
  <c r="B1601" i="2"/>
  <c r="A1601" i="2"/>
  <c r="AG1600" i="2"/>
  <c r="AF1600" i="2"/>
  <c r="AE1600" i="2"/>
  <c r="AD1600" i="2"/>
  <c r="AC1600" i="2"/>
  <c r="AB1600" i="2"/>
  <c r="Z1600" i="2"/>
  <c r="Y1600" i="2"/>
  <c r="X1600" i="2"/>
  <c r="W1600" i="2"/>
  <c r="V1600" i="2"/>
  <c r="U1600" i="2"/>
  <c r="T1600" i="2"/>
  <c r="S1600" i="2"/>
  <c r="R1600" i="2"/>
  <c r="Q1600" i="2"/>
  <c r="P1600" i="2"/>
  <c r="O1600" i="2"/>
  <c r="N1600" i="2"/>
  <c r="M1600" i="2"/>
  <c r="L1600" i="2"/>
  <c r="K1600" i="2"/>
  <c r="H1600" i="2"/>
  <c r="G1600" i="2"/>
  <c r="F1600" i="2"/>
  <c r="E1600" i="2"/>
  <c r="D1600" i="2"/>
  <c r="C1600" i="2"/>
  <c r="B1600" i="2"/>
  <c r="A1600" i="2"/>
  <c r="AG1599" i="2"/>
  <c r="AF1599" i="2"/>
  <c r="AD1599" i="2"/>
  <c r="AC1599" i="2"/>
  <c r="AB1599" i="2"/>
  <c r="Z1599" i="2"/>
  <c r="Y1599" i="2"/>
  <c r="X1599" i="2"/>
  <c r="W1599" i="2"/>
  <c r="V1599" i="2"/>
  <c r="U1599" i="2"/>
  <c r="R1599" i="2"/>
  <c r="Q1599" i="2"/>
  <c r="P1599" i="2"/>
  <c r="O1599" i="2"/>
  <c r="N1599" i="2"/>
  <c r="M1599" i="2"/>
  <c r="L1599" i="2"/>
  <c r="K1599" i="2"/>
  <c r="H1599" i="2"/>
  <c r="G1599" i="2"/>
  <c r="F1599" i="2"/>
  <c r="E1599" i="2"/>
  <c r="D1599" i="2"/>
  <c r="C1599" i="2"/>
  <c r="B1599" i="2"/>
  <c r="A1599" i="2"/>
  <c r="AF1598" i="2"/>
  <c r="AD1598" i="2"/>
  <c r="AC1598" i="2"/>
  <c r="AB1598" i="2"/>
  <c r="Z1598" i="2"/>
  <c r="Y1598" i="2"/>
  <c r="X1598" i="2"/>
  <c r="W1598" i="2"/>
  <c r="V1598" i="2"/>
  <c r="U1598" i="2"/>
  <c r="T1598" i="2"/>
  <c r="R1598" i="2"/>
  <c r="Q1598" i="2"/>
  <c r="P1598" i="2"/>
  <c r="O1598" i="2"/>
  <c r="N1598" i="2"/>
  <c r="M1598" i="2"/>
  <c r="L1598" i="2"/>
  <c r="K1598" i="2"/>
  <c r="H1598" i="2"/>
  <c r="G1598" i="2"/>
  <c r="F1598" i="2"/>
  <c r="E1598" i="2"/>
  <c r="D1598" i="2"/>
  <c r="C1598" i="2"/>
  <c r="B1598" i="2"/>
  <c r="A1598" i="2"/>
  <c r="AG1597" i="2"/>
  <c r="AF1597" i="2"/>
  <c r="AE1597" i="2"/>
  <c r="AD1597" i="2"/>
  <c r="AC1597" i="2"/>
  <c r="AB1597" i="2"/>
  <c r="AA1597" i="2"/>
  <c r="Z1597" i="2"/>
  <c r="Y1597" i="2"/>
  <c r="X1597" i="2"/>
  <c r="W1597" i="2"/>
  <c r="V1597" i="2"/>
  <c r="U1597" i="2"/>
  <c r="R1597" i="2"/>
  <c r="Q1597" i="2"/>
  <c r="P1597" i="2"/>
  <c r="O1597" i="2"/>
  <c r="N1597" i="2"/>
  <c r="M1597" i="2"/>
  <c r="L1597" i="2"/>
  <c r="K1597" i="2"/>
  <c r="H1597" i="2"/>
  <c r="G1597" i="2"/>
  <c r="F1597" i="2"/>
  <c r="E1597" i="2"/>
  <c r="D1597" i="2"/>
  <c r="C1597" i="2"/>
  <c r="B1597" i="2"/>
  <c r="A1597" i="2"/>
  <c r="AG1596" i="2"/>
  <c r="AF1596" i="2"/>
  <c r="AE1596" i="2"/>
  <c r="AD1596" i="2"/>
  <c r="AC1596" i="2"/>
  <c r="AB1596" i="2"/>
  <c r="Z1596" i="2"/>
  <c r="Y1596" i="2"/>
  <c r="X1596" i="2"/>
  <c r="W1596" i="2"/>
  <c r="V1596" i="2"/>
  <c r="U1596" i="2"/>
  <c r="S1596" i="2"/>
  <c r="R1596" i="2"/>
  <c r="Q1596" i="2"/>
  <c r="P1596" i="2"/>
  <c r="O1596" i="2"/>
  <c r="N1596" i="2"/>
  <c r="M1596" i="2"/>
  <c r="L1596" i="2"/>
  <c r="K1596" i="2"/>
  <c r="H1596" i="2"/>
  <c r="G1596" i="2"/>
  <c r="F1596" i="2"/>
  <c r="E1596" i="2"/>
  <c r="D1596" i="2"/>
  <c r="C1596" i="2"/>
  <c r="B1596" i="2"/>
  <c r="A1596" i="2"/>
  <c r="AG1595" i="2"/>
  <c r="AF1595" i="2"/>
  <c r="AE1595" i="2"/>
  <c r="AD1595" i="2"/>
  <c r="AC1595" i="2"/>
  <c r="AB1595" i="2"/>
  <c r="AA1595" i="2"/>
  <c r="Z1595" i="2"/>
  <c r="Y1595" i="2"/>
  <c r="X1595" i="2"/>
  <c r="W1595" i="2"/>
  <c r="V1595" i="2"/>
  <c r="U1595" i="2"/>
  <c r="S1595" i="2"/>
  <c r="R1595" i="2"/>
  <c r="Q1595" i="2"/>
  <c r="P1595" i="2"/>
  <c r="O1595" i="2"/>
  <c r="N1595" i="2"/>
  <c r="M1595" i="2"/>
  <c r="L1595" i="2"/>
  <c r="K1595" i="2"/>
  <c r="H1595" i="2"/>
  <c r="G1595" i="2"/>
  <c r="F1595" i="2"/>
  <c r="E1595" i="2"/>
  <c r="D1595" i="2"/>
  <c r="C1595" i="2"/>
  <c r="B1595" i="2"/>
  <c r="A1595" i="2"/>
  <c r="AG1594" i="2"/>
  <c r="AD1594" i="2"/>
  <c r="AC1594" i="2"/>
  <c r="AB1594" i="2"/>
  <c r="Z1594" i="2"/>
  <c r="Y1594" i="2"/>
  <c r="X1594" i="2"/>
  <c r="W1594" i="2"/>
  <c r="V1594" i="2"/>
  <c r="U1594" i="2"/>
  <c r="R1594" i="2"/>
  <c r="Q1594" i="2"/>
  <c r="P1594" i="2"/>
  <c r="O1594" i="2"/>
  <c r="N1594" i="2"/>
  <c r="M1594" i="2"/>
  <c r="L1594" i="2"/>
  <c r="K1594" i="2"/>
  <c r="H1594" i="2"/>
  <c r="G1594" i="2"/>
  <c r="F1594" i="2"/>
  <c r="E1594" i="2"/>
  <c r="D1594" i="2"/>
  <c r="C1594" i="2"/>
  <c r="B1594" i="2"/>
  <c r="A1594" i="2"/>
  <c r="AG1593" i="2"/>
  <c r="AF1593" i="2"/>
  <c r="AE1593" i="2"/>
  <c r="AD1593" i="2"/>
  <c r="AC1593" i="2"/>
  <c r="AB1593" i="2"/>
  <c r="Z1593" i="2"/>
  <c r="Y1593" i="2"/>
  <c r="X1593" i="2"/>
  <c r="W1593" i="2"/>
  <c r="V1593" i="2"/>
  <c r="U1593" i="2"/>
  <c r="T1593" i="2"/>
  <c r="S1593" i="2"/>
  <c r="R1593" i="2"/>
  <c r="Q1593" i="2"/>
  <c r="P1593" i="2"/>
  <c r="O1593" i="2"/>
  <c r="N1593" i="2"/>
  <c r="M1593" i="2"/>
  <c r="L1593" i="2"/>
  <c r="K1593" i="2"/>
  <c r="H1593" i="2"/>
  <c r="G1593" i="2"/>
  <c r="F1593" i="2"/>
  <c r="E1593" i="2"/>
  <c r="D1593" i="2"/>
  <c r="C1593" i="2"/>
  <c r="B1593" i="2"/>
  <c r="A1593" i="2"/>
  <c r="AG1592" i="2"/>
  <c r="AF1592" i="2"/>
  <c r="AE1592" i="2"/>
  <c r="AD1592" i="2"/>
  <c r="AC1592" i="2"/>
  <c r="AB1592" i="2"/>
  <c r="Z1592" i="2"/>
  <c r="Y1592" i="2"/>
  <c r="X1592" i="2"/>
  <c r="W1592" i="2"/>
  <c r="V1592" i="2"/>
  <c r="S1592" i="2"/>
  <c r="R1592" i="2"/>
  <c r="Q1592" i="2"/>
  <c r="P1592" i="2"/>
  <c r="O1592" i="2"/>
  <c r="N1592" i="2"/>
  <c r="M1592" i="2"/>
  <c r="L1592" i="2"/>
  <c r="K1592" i="2"/>
  <c r="H1592" i="2"/>
  <c r="G1592" i="2"/>
  <c r="F1592" i="2"/>
  <c r="E1592" i="2"/>
  <c r="D1592" i="2"/>
  <c r="C1592" i="2"/>
  <c r="B1592" i="2"/>
  <c r="A1592" i="2"/>
  <c r="AG1591" i="2"/>
  <c r="AF1591" i="2"/>
  <c r="AE1591" i="2"/>
  <c r="AD1591" i="2"/>
  <c r="AC1591" i="2"/>
  <c r="AB1591" i="2"/>
  <c r="Z1591" i="2"/>
  <c r="Y1591" i="2"/>
  <c r="X1591" i="2"/>
  <c r="W1591" i="2"/>
  <c r="V1591" i="2"/>
  <c r="U1591" i="2"/>
  <c r="R1591" i="2"/>
  <c r="Q1591" i="2"/>
  <c r="P1591" i="2"/>
  <c r="O1591" i="2"/>
  <c r="N1591" i="2"/>
  <c r="M1591" i="2"/>
  <c r="L1591" i="2"/>
  <c r="K1591" i="2"/>
  <c r="H1591" i="2"/>
  <c r="G1591" i="2"/>
  <c r="F1591" i="2"/>
  <c r="E1591" i="2"/>
  <c r="D1591" i="2"/>
  <c r="C1591" i="2"/>
  <c r="B1591" i="2"/>
  <c r="A1591" i="2"/>
  <c r="AG1590" i="2"/>
  <c r="AF1590" i="2"/>
  <c r="AE1590" i="2"/>
  <c r="AD1590" i="2"/>
  <c r="AC1590" i="2"/>
  <c r="AB1590" i="2"/>
  <c r="Z1590" i="2"/>
  <c r="Y1590" i="2"/>
  <c r="X1590" i="2"/>
  <c r="W1590" i="2"/>
  <c r="V1590" i="2"/>
  <c r="U1590" i="2"/>
  <c r="T1590" i="2"/>
  <c r="S1590" i="2"/>
  <c r="R1590" i="2"/>
  <c r="Q1590" i="2"/>
  <c r="P1590" i="2"/>
  <c r="O1590" i="2"/>
  <c r="N1590" i="2"/>
  <c r="M1590" i="2"/>
  <c r="L1590" i="2"/>
  <c r="K1590" i="2"/>
  <c r="H1590" i="2"/>
  <c r="G1590" i="2"/>
  <c r="F1590" i="2"/>
  <c r="E1590" i="2"/>
  <c r="D1590" i="2"/>
  <c r="C1590" i="2"/>
  <c r="B1590" i="2"/>
  <c r="A1590" i="2"/>
  <c r="AG1589" i="2"/>
  <c r="AF1589" i="2"/>
  <c r="AE1589" i="2"/>
  <c r="AD1589" i="2"/>
  <c r="AC1589" i="2"/>
  <c r="AB1589" i="2"/>
  <c r="AA1589" i="2"/>
  <c r="Z1589" i="2"/>
  <c r="Y1589" i="2"/>
  <c r="X1589" i="2"/>
  <c r="W1589" i="2"/>
  <c r="V1589" i="2"/>
  <c r="U1589" i="2"/>
  <c r="T1589" i="2"/>
  <c r="S1589" i="2"/>
  <c r="R1589" i="2"/>
  <c r="Q1589" i="2"/>
  <c r="P1589" i="2"/>
  <c r="O1589" i="2"/>
  <c r="N1589" i="2"/>
  <c r="M1589" i="2"/>
  <c r="L1589" i="2"/>
  <c r="K1589" i="2"/>
  <c r="H1589" i="2"/>
  <c r="G1589" i="2"/>
  <c r="F1589" i="2"/>
  <c r="E1589" i="2"/>
  <c r="D1589" i="2"/>
  <c r="C1589" i="2"/>
  <c r="B1589" i="2"/>
  <c r="A1589" i="2"/>
  <c r="AH1588" i="2"/>
  <c r="AG1588" i="2"/>
  <c r="AF1588" i="2"/>
  <c r="AE1588" i="2"/>
  <c r="AD1588" i="2"/>
  <c r="AC1588" i="2"/>
  <c r="AB1588" i="2"/>
  <c r="Y1588" i="2"/>
  <c r="X1588" i="2"/>
  <c r="W1588" i="2"/>
  <c r="V1588" i="2"/>
  <c r="S1588" i="2"/>
  <c r="R1588" i="2"/>
  <c r="Q1588" i="2"/>
  <c r="P1588" i="2"/>
  <c r="O1588" i="2"/>
  <c r="N1588" i="2"/>
  <c r="M1588" i="2"/>
  <c r="L1588" i="2"/>
  <c r="K1588" i="2"/>
  <c r="H1588" i="2"/>
  <c r="G1588" i="2"/>
  <c r="F1588" i="2"/>
  <c r="E1588" i="2"/>
  <c r="D1588" i="2"/>
  <c r="C1588" i="2"/>
  <c r="B1588" i="2"/>
  <c r="A1588" i="2"/>
  <c r="AG1587" i="2"/>
  <c r="AF1587" i="2"/>
  <c r="AE1587" i="2"/>
  <c r="AD1587" i="2"/>
  <c r="AC1587" i="2"/>
  <c r="AB1587" i="2"/>
  <c r="AA1587" i="2"/>
  <c r="Z1587" i="2"/>
  <c r="Y1587" i="2"/>
  <c r="X1587" i="2"/>
  <c r="W1587" i="2"/>
  <c r="V1587" i="2"/>
  <c r="U1587" i="2"/>
  <c r="T1587" i="2"/>
  <c r="S1587" i="2"/>
  <c r="R1587" i="2"/>
  <c r="Q1587" i="2"/>
  <c r="P1587" i="2"/>
  <c r="O1587" i="2"/>
  <c r="N1587" i="2"/>
  <c r="M1587" i="2"/>
  <c r="L1587" i="2"/>
  <c r="K1587" i="2"/>
  <c r="H1587" i="2"/>
  <c r="G1587" i="2"/>
  <c r="F1587" i="2"/>
  <c r="E1587" i="2"/>
  <c r="D1587" i="2"/>
  <c r="C1587" i="2"/>
  <c r="B1587" i="2"/>
  <c r="A1587" i="2"/>
  <c r="AG1586" i="2"/>
  <c r="AF1586" i="2"/>
  <c r="AE1586" i="2"/>
  <c r="AD1586" i="2"/>
  <c r="AC1586" i="2"/>
  <c r="AB1586" i="2"/>
  <c r="Z1586" i="2"/>
  <c r="Y1586" i="2"/>
  <c r="X1586" i="2"/>
  <c r="W1586" i="2"/>
  <c r="V1586" i="2"/>
  <c r="U1586" i="2"/>
  <c r="T1586" i="2"/>
  <c r="S1586" i="2"/>
  <c r="R1586" i="2"/>
  <c r="Q1586" i="2"/>
  <c r="P1586" i="2"/>
  <c r="O1586" i="2"/>
  <c r="N1586" i="2"/>
  <c r="M1586" i="2"/>
  <c r="L1586" i="2"/>
  <c r="K1586" i="2"/>
  <c r="H1586" i="2"/>
  <c r="G1586" i="2"/>
  <c r="F1586" i="2"/>
  <c r="E1586" i="2"/>
  <c r="D1586" i="2"/>
  <c r="C1586" i="2"/>
  <c r="B1586" i="2"/>
  <c r="A1586" i="2"/>
  <c r="AG1585" i="2"/>
  <c r="AF1585" i="2"/>
  <c r="AE1585" i="2"/>
  <c r="AD1585" i="2"/>
  <c r="AC1585" i="2"/>
  <c r="AB1585" i="2"/>
  <c r="Z1585" i="2"/>
  <c r="Y1585" i="2"/>
  <c r="X1585" i="2"/>
  <c r="W1585" i="2"/>
  <c r="V1585" i="2"/>
  <c r="U1585" i="2"/>
  <c r="S1585" i="2"/>
  <c r="R1585" i="2"/>
  <c r="Q1585" i="2"/>
  <c r="P1585" i="2"/>
  <c r="O1585" i="2"/>
  <c r="N1585" i="2"/>
  <c r="M1585" i="2"/>
  <c r="L1585" i="2"/>
  <c r="K1585" i="2"/>
  <c r="H1585" i="2"/>
  <c r="G1585" i="2"/>
  <c r="F1585" i="2"/>
  <c r="E1585" i="2"/>
  <c r="D1585" i="2"/>
  <c r="C1585" i="2"/>
  <c r="B1585" i="2"/>
  <c r="A1585" i="2"/>
  <c r="AF1584" i="2"/>
  <c r="AE1584" i="2"/>
  <c r="AD1584" i="2"/>
  <c r="AC1584" i="2"/>
  <c r="AB1584" i="2"/>
  <c r="Z1584" i="2"/>
  <c r="X1584" i="2"/>
  <c r="W1584" i="2"/>
  <c r="V1584" i="2"/>
  <c r="U1584" i="2"/>
  <c r="T1584" i="2"/>
  <c r="S1584" i="2"/>
  <c r="R1584" i="2"/>
  <c r="Q1584" i="2"/>
  <c r="P1584" i="2"/>
  <c r="O1584" i="2"/>
  <c r="N1584" i="2"/>
  <c r="M1584" i="2"/>
  <c r="L1584" i="2"/>
  <c r="K1584" i="2"/>
  <c r="H1584" i="2"/>
  <c r="G1584" i="2"/>
  <c r="F1584" i="2"/>
  <c r="E1584" i="2"/>
  <c r="D1584" i="2"/>
  <c r="C1584" i="2"/>
  <c r="B1584" i="2"/>
  <c r="A1584" i="2"/>
  <c r="AH1583" i="2"/>
  <c r="AG1583" i="2"/>
  <c r="AF1583" i="2"/>
  <c r="AE1583" i="2"/>
  <c r="AD1583" i="2"/>
  <c r="AC1583" i="2"/>
  <c r="AB1583" i="2"/>
  <c r="AA1583" i="2"/>
  <c r="Z1583" i="2"/>
  <c r="X1583" i="2"/>
  <c r="W1583" i="2"/>
  <c r="V1583" i="2"/>
  <c r="T1583" i="2"/>
  <c r="S1583" i="2"/>
  <c r="R1583" i="2"/>
  <c r="Q1583" i="2"/>
  <c r="P1583" i="2"/>
  <c r="O1583" i="2"/>
  <c r="N1583" i="2"/>
  <c r="M1583" i="2"/>
  <c r="L1583" i="2"/>
  <c r="K1583" i="2"/>
  <c r="H1583" i="2"/>
  <c r="G1583" i="2"/>
  <c r="F1583" i="2"/>
  <c r="E1583" i="2"/>
  <c r="D1583" i="2"/>
  <c r="C1583" i="2"/>
  <c r="B1583" i="2"/>
  <c r="A1583" i="2"/>
  <c r="AG1582" i="2"/>
  <c r="AF1582" i="2"/>
  <c r="AE1582" i="2"/>
  <c r="AD1582" i="2"/>
  <c r="AC1582" i="2"/>
  <c r="AB1582" i="2"/>
  <c r="AA1582" i="2"/>
  <c r="Z1582" i="2"/>
  <c r="Y1582" i="2"/>
  <c r="X1582" i="2"/>
  <c r="W1582" i="2"/>
  <c r="V1582" i="2"/>
  <c r="U1582" i="2"/>
  <c r="T1582" i="2"/>
  <c r="R1582" i="2"/>
  <c r="Q1582" i="2"/>
  <c r="P1582" i="2"/>
  <c r="O1582" i="2"/>
  <c r="N1582" i="2"/>
  <c r="M1582" i="2"/>
  <c r="L1582" i="2"/>
  <c r="K1582" i="2"/>
  <c r="H1582" i="2"/>
  <c r="G1582" i="2"/>
  <c r="F1582" i="2"/>
  <c r="E1582" i="2"/>
  <c r="D1582" i="2"/>
  <c r="C1582" i="2"/>
  <c r="B1582" i="2"/>
  <c r="A1582" i="2"/>
  <c r="AG1581" i="2"/>
  <c r="AF1581" i="2"/>
  <c r="AE1581" i="2"/>
  <c r="AD1581" i="2"/>
  <c r="AC1581" i="2"/>
  <c r="AB1581" i="2"/>
  <c r="Z1581" i="2"/>
  <c r="Y1581" i="2"/>
  <c r="X1581" i="2"/>
  <c r="W1581" i="2"/>
  <c r="V1581" i="2"/>
  <c r="U1581" i="2"/>
  <c r="T1581" i="2"/>
  <c r="S1581" i="2"/>
  <c r="R1581" i="2"/>
  <c r="Q1581" i="2"/>
  <c r="P1581" i="2"/>
  <c r="O1581" i="2"/>
  <c r="N1581" i="2"/>
  <c r="M1581" i="2"/>
  <c r="L1581" i="2"/>
  <c r="K1581" i="2"/>
  <c r="H1581" i="2"/>
  <c r="G1581" i="2"/>
  <c r="F1581" i="2"/>
  <c r="E1581" i="2"/>
  <c r="D1581" i="2"/>
  <c r="C1581" i="2"/>
  <c r="B1581" i="2"/>
  <c r="A1581" i="2"/>
  <c r="AG1580" i="2"/>
  <c r="AF1580" i="2"/>
  <c r="AE1580" i="2"/>
  <c r="AD1580" i="2"/>
  <c r="AC1580" i="2"/>
  <c r="AB1580" i="2"/>
  <c r="Z1580" i="2"/>
  <c r="X1580" i="2"/>
  <c r="W1580" i="2"/>
  <c r="V1580" i="2"/>
  <c r="U1580" i="2"/>
  <c r="R1580" i="2"/>
  <c r="Q1580" i="2"/>
  <c r="P1580" i="2"/>
  <c r="O1580" i="2"/>
  <c r="N1580" i="2"/>
  <c r="M1580" i="2"/>
  <c r="L1580" i="2"/>
  <c r="K1580" i="2"/>
  <c r="H1580" i="2"/>
  <c r="G1580" i="2"/>
  <c r="F1580" i="2"/>
  <c r="E1580" i="2"/>
  <c r="D1580" i="2"/>
  <c r="C1580" i="2"/>
  <c r="B1580" i="2"/>
  <c r="A1580" i="2"/>
  <c r="AG1579" i="2"/>
  <c r="AF1579" i="2"/>
  <c r="AE1579" i="2"/>
  <c r="AD1579" i="2"/>
  <c r="AC1579" i="2"/>
  <c r="AB1579" i="2"/>
  <c r="Z1579" i="2"/>
  <c r="Y1579" i="2"/>
  <c r="X1579" i="2"/>
  <c r="W1579" i="2"/>
  <c r="V1579" i="2"/>
  <c r="U1579" i="2"/>
  <c r="T1579" i="2"/>
  <c r="S1579" i="2"/>
  <c r="R1579" i="2"/>
  <c r="Q1579" i="2"/>
  <c r="P1579" i="2"/>
  <c r="O1579" i="2"/>
  <c r="N1579" i="2"/>
  <c r="M1579" i="2"/>
  <c r="L1579" i="2"/>
  <c r="K1579" i="2"/>
  <c r="H1579" i="2"/>
  <c r="G1579" i="2"/>
  <c r="F1579" i="2"/>
  <c r="E1579" i="2"/>
  <c r="D1579" i="2"/>
  <c r="C1579" i="2"/>
  <c r="B1579" i="2"/>
  <c r="A1579" i="2"/>
  <c r="AH1578" i="2"/>
  <c r="AG1578" i="2"/>
  <c r="AF1578" i="2"/>
  <c r="AE1578" i="2"/>
  <c r="AD1578" i="2"/>
  <c r="AC1578" i="2"/>
  <c r="AB1578" i="2"/>
  <c r="Z1578" i="2"/>
  <c r="Y1578" i="2"/>
  <c r="X1578" i="2"/>
  <c r="W1578" i="2"/>
  <c r="V1578" i="2"/>
  <c r="T1578" i="2"/>
  <c r="S1578" i="2"/>
  <c r="R1578" i="2"/>
  <c r="Q1578" i="2"/>
  <c r="P1578" i="2"/>
  <c r="O1578" i="2"/>
  <c r="N1578" i="2"/>
  <c r="M1578" i="2"/>
  <c r="L1578" i="2"/>
  <c r="K1578" i="2"/>
  <c r="H1578" i="2"/>
  <c r="G1578" i="2"/>
  <c r="F1578" i="2"/>
  <c r="E1578" i="2"/>
  <c r="D1578" i="2"/>
  <c r="C1578" i="2"/>
  <c r="B1578" i="2"/>
  <c r="A1578" i="2"/>
  <c r="AG1577" i="2"/>
  <c r="AF1577" i="2"/>
  <c r="AE1577" i="2"/>
  <c r="AD1577" i="2"/>
  <c r="AC1577" i="2"/>
  <c r="AB1577" i="2"/>
  <c r="Z1577" i="2"/>
  <c r="Y1577" i="2"/>
  <c r="X1577" i="2"/>
  <c r="W1577" i="2"/>
  <c r="V1577" i="2"/>
  <c r="U1577" i="2"/>
  <c r="S1577" i="2"/>
  <c r="R1577" i="2"/>
  <c r="Q1577" i="2"/>
  <c r="P1577" i="2"/>
  <c r="O1577" i="2"/>
  <c r="N1577" i="2"/>
  <c r="M1577" i="2"/>
  <c r="L1577" i="2"/>
  <c r="K1577" i="2"/>
  <c r="H1577" i="2"/>
  <c r="G1577" i="2"/>
  <c r="F1577" i="2"/>
  <c r="E1577" i="2"/>
  <c r="D1577" i="2"/>
  <c r="C1577" i="2"/>
  <c r="B1577" i="2"/>
  <c r="A1577" i="2"/>
  <c r="AH1576" i="2"/>
  <c r="AG1576" i="2"/>
  <c r="AF1576" i="2"/>
  <c r="AE1576" i="2"/>
  <c r="AD1576" i="2"/>
  <c r="AC1576" i="2"/>
  <c r="AB1576" i="2"/>
  <c r="Z1576" i="2"/>
  <c r="Y1576" i="2"/>
  <c r="X1576" i="2"/>
  <c r="W1576" i="2"/>
  <c r="V1576" i="2"/>
  <c r="U1576" i="2"/>
  <c r="T1576" i="2"/>
  <c r="S1576" i="2"/>
  <c r="R1576" i="2"/>
  <c r="Q1576" i="2"/>
  <c r="P1576" i="2"/>
  <c r="O1576" i="2"/>
  <c r="N1576" i="2"/>
  <c r="M1576" i="2"/>
  <c r="L1576" i="2"/>
  <c r="K1576" i="2"/>
  <c r="H1576" i="2"/>
  <c r="G1576" i="2"/>
  <c r="F1576" i="2"/>
  <c r="E1576" i="2"/>
  <c r="D1576" i="2"/>
  <c r="C1576" i="2"/>
  <c r="B1576" i="2"/>
  <c r="A1576" i="2"/>
  <c r="AG1575" i="2"/>
  <c r="AF1575" i="2"/>
  <c r="AE1575" i="2"/>
  <c r="AD1575" i="2"/>
  <c r="AC1575" i="2"/>
  <c r="AB1575" i="2"/>
  <c r="Z1575" i="2"/>
  <c r="Y1575" i="2"/>
  <c r="X1575" i="2"/>
  <c r="W1575" i="2"/>
  <c r="V1575" i="2"/>
  <c r="U1575" i="2"/>
  <c r="S1575" i="2"/>
  <c r="R1575" i="2"/>
  <c r="Q1575" i="2"/>
  <c r="P1575" i="2"/>
  <c r="O1575" i="2"/>
  <c r="N1575" i="2"/>
  <c r="M1575" i="2"/>
  <c r="L1575" i="2"/>
  <c r="K1575" i="2"/>
  <c r="H1575" i="2"/>
  <c r="G1575" i="2"/>
  <c r="F1575" i="2"/>
  <c r="E1575" i="2"/>
  <c r="D1575" i="2"/>
  <c r="C1575" i="2"/>
  <c r="B1575" i="2"/>
  <c r="A1575" i="2"/>
  <c r="AG1574" i="2"/>
  <c r="AF1574" i="2"/>
  <c r="AE1574" i="2"/>
  <c r="AD1574" i="2"/>
  <c r="AC1574" i="2"/>
  <c r="AB1574" i="2"/>
  <c r="Z1574" i="2"/>
  <c r="Y1574" i="2"/>
  <c r="X1574" i="2"/>
  <c r="W1574" i="2"/>
  <c r="V1574" i="2"/>
  <c r="U1574" i="2"/>
  <c r="T1574" i="2"/>
  <c r="S1574" i="2"/>
  <c r="R1574" i="2"/>
  <c r="Q1574" i="2"/>
  <c r="P1574" i="2"/>
  <c r="O1574" i="2"/>
  <c r="N1574" i="2"/>
  <c r="M1574" i="2"/>
  <c r="L1574" i="2"/>
  <c r="K1574" i="2"/>
  <c r="H1574" i="2"/>
  <c r="G1574" i="2"/>
  <c r="F1574" i="2"/>
  <c r="E1574" i="2"/>
  <c r="D1574" i="2"/>
  <c r="C1574" i="2"/>
  <c r="B1574" i="2"/>
  <c r="A1574" i="2"/>
  <c r="AG1573" i="2"/>
  <c r="AF1573" i="2"/>
  <c r="AE1573" i="2"/>
  <c r="AD1573" i="2"/>
  <c r="AC1573" i="2"/>
  <c r="AB1573" i="2"/>
  <c r="Z1573" i="2"/>
  <c r="Y1573" i="2"/>
  <c r="X1573" i="2"/>
  <c r="W1573" i="2"/>
  <c r="V1573" i="2"/>
  <c r="R1573" i="2"/>
  <c r="Q1573" i="2"/>
  <c r="P1573" i="2"/>
  <c r="O1573" i="2"/>
  <c r="N1573" i="2"/>
  <c r="M1573" i="2"/>
  <c r="L1573" i="2"/>
  <c r="K1573" i="2"/>
  <c r="H1573" i="2"/>
  <c r="G1573" i="2"/>
  <c r="F1573" i="2"/>
  <c r="E1573" i="2"/>
  <c r="D1573" i="2"/>
  <c r="C1573" i="2"/>
  <c r="B1573" i="2"/>
  <c r="A1573" i="2"/>
  <c r="AG1572" i="2"/>
  <c r="AF1572" i="2"/>
  <c r="AE1572" i="2"/>
  <c r="AD1572" i="2"/>
  <c r="AC1572" i="2"/>
  <c r="AB1572" i="2"/>
  <c r="AA1572" i="2"/>
  <c r="Z1572" i="2"/>
  <c r="Y1572" i="2"/>
  <c r="X1572" i="2"/>
  <c r="W1572" i="2"/>
  <c r="V1572" i="2"/>
  <c r="U1572" i="2"/>
  <c r="R1572" i="2"/>
  <c r="Q1572" i="2"/>
  <c r="P1572" i="2"/>
  <c r="O1572" i="2"/>
  <c r="N1572" i="2"/>
  <c r="M1572" i="2"/>
  <c r="L1572" i="2"/>
  <c r="K1572" i="2"/>
  <c r="H1572" i="2"/>
  <c r="G1572" i="2"/>
  <c r="F1572" i="2"/>
  <c r="E1572" i="2"/>
  <c r="D1572" i="2"/>
  <c r="C1572" i="2"/>
  <c r="B1572" i="2"/>
  <c r="A1572" i="2"/>
  <c r="AG1571" i="2"/>
  <c r="AF1571" i="2"/>
  <c r="AE1571" i="2"/>
  <c r="AD1571" i="2"/>
  <c r="AC1571" i="2"/>
  <c r="AB1571" i="2"/>
  <c r="Z1571" i="2"/>
  <c r="Y1571" i="2"/>
  <c r="X1571" i="2"/>
  <c r="W1571" i="2"/>
  <c r="V1571" i="2"/>
  <c r="U1571" i="2"/>
  <c r="T1571" i="2"/>
  <c r="S1571" i="2"/>
  <c r="R1571" i="2"/>
  <c r="Q1571" i="2"/>
  <c r="P1571" i="2"/>
  <c r="O1571" i="2"/>
  <c r="N1571" i="2"/>
  <c r="M1571" i="2"/>
  <c r="L1571" i="2"/>
  <c r="K1571" i="2"/>
  <c r="H1571" i="2"/>
  <c r="G1571" i="2"/>
  <c r="F1571" i="2"/>
  <c r="E1571" i="2"/>
  <c r="D1571" i="2"/>
  <c r="C1571" i="2"/>
  <c r="B1571" i="2"/>
  <c r="A1571" i="2"/>
  <c r="AH1570" i="2"/>
  <c r="AG1570" i="2"/>
  <c r="AF1570" i="2"/>
  <c r="AE1570" i="2"/>
  <c r="AD1570" i="2"/>
  <c r="AC1570" i="2"/>
  <c r="AB1570" i="2"/>
  <c r="Z1570" i="2"/>
  <c r="Y1570" i="2"/>
  <c r="X1570" i="2"/>
  <c r="W1570" i="2"/>
  <c r="V1570" i="2"/>
  <c r="U1570" i="2"/>
  <c r="S1570" i="2"/>
  <c r="R1570" i="2"/>
  <c r="Q1570" i="2"/>
  <c r="P1570" i="2"/>
  <c r="O1570" i="2"/>
  <c r="N1570" i="2"/>
  <c r="M1570" i="2"/>
  <c r="L1570" i="2"/>
  <c r="K1570" i="2"/>
  <c r="H1570" i="2"/>
  <c r="G1570" i="2"/>
  <c r="F1570" i="2"/>
  <c r="E1570" i="2"/>
  <c r="D1570" i="2"/>
  <c r="C1570" i="2"/>
  <c r="B1570" i="2"/>
  <c r="A1570" i="2"/>
  <c r="AG1569" i="2"/>
  <c r="AF1569" i="2"/>
  <c r="AE1569" i="2"/>
  <c r="AD1569" i="2"/>
  <c r="AC1569" i="2"/>
  <c r="AB1569" i="2"/>
  <c r="Z1569" i="2"/>
  <c r="Y1569" i="2"/>
  <c r="X1569" i="2"/>
  <c r="W1569" i="2"/>
  <c r="V1569" i="2"/>
  <c r="U1569" i="2"/>
  <c r="S1569" i="2"/>
  <c r="R1569" i="2"/>
  <c r="Q1569" i="2"/>
  <c r="P1569" i="2"/>
  <c r="O1569" i="2"/>
  <c r="N1569" i="2"/>
  <c r="M1569" i="2"/>
  <c r="L1569" i="2"/>
  <c r="K1569" i="2"/>
  <c r="H1569" i="2"/>
  <c r="G1569" i="2"/>
  <c r="F1569" i="2"/>
  <c r="E1569" i="2"/>
  <c r="D1569" i="2"/>
  <c r="C1569" i="2"/>
  <c r="B1569" i="2"/>
  <c r="A1569" i="2"/>
  <c r="AF1568" i="2"/>
  <c r="AE1568" i="2"/>
  <c r="AD1568" i="2"/>
  <c r="AC1568" i="2"/>
  <c r="AB1568" i="2"/>
  <c r="Z1568" i="2"/>
  <c r="X1568" i="2"/>
  <c r="W1568" i="2"/>
  <c r="V1568" i="2"/>
  <c r="U1568" i="2"/>
  <c r="S1568" i="2"/>
  <c r="R1568" i="2"/>
  <c r="Q1568" i="2"/>
  <c r="P1568" i="2"/>
  <c r="O1568" i="2"/>
  <c r="N1568" i="2"/>
  <c r="M1568" i="2"/>
  <c r="L1568" i="2"/>
  <c r="K1568" i="2"/>
  <c r="H1568" i="2"/>
  <c r="G1568" i="2"/>
  <c r="F1568" i="2"/>
  <c r="E1568" i="2"/>
  <c r="D1568" i="2"/>
  <c r="C1568" i="2"/>
  <c r="B1568" i="2"/>
  <c r="A1568" i="2"/>
  <c r="AH1567" i="2"/>
  <c r="AF1567" i="2"/>
  <c r="AE1567" i="2"/>
  <c r="AD1567" i="2"/>
  <c r="AB1567" i="2"/>
  <c r="Z1567" i="2"/>
  <c r="Y1567" i="2"/>
  <c r="X1567" i="2"/>
  <c r="W1567" i="2"/>
  <c r="V1567" i="2"/>
  <c r="U1567" i="2"/>
  <c r="T1567" i="2"/>
  <c r="S1567" i="2"/>
  <c r="R1567" i="2"/>
  <c r="Q1567" i="2"/>
  <c r="P1567" i="2"/>
  <c r="O1567" i="2"/>
  <c r="N1567" i="2"/>
  <c r="M1567" i="2"/>
  <c r="L1567" i="2"/>
  <c r="K1567" i="2"/>
  <c r="H1567" i="2"/>
  <c r="G1567" i="2"/>
  <c r="F1567" i="2"/>
  <c r="E1567" i="2"/>
  <c r="D1567" i="2"/>
  <c r="C1567" i="2"/>
  <c r="B1567" i="2"/>
  <c r="A1567" i="2"/>
  <c r="AH1566" i="2"/>
  <c r="AG1566" i="2"/>
  <c r="AF1566" i="2"/>
  <c r="AE1566" i="2"/>
  <c r="AD1566" i="2"/>
  <c r="AC1566" i="2"/>
  <c r="AB1566" i="2"/>
  <c r="Z1566" i="2"/>
  <c r="Y1566" i="2"/>
  <c r="X1566" i="2"/>
  <c r="W1566" i="2"/>
  <c r="V1566" i="2"/>
  <c r="U1566" i="2"/>
  <c r="T1566" i="2"/>
  <c r="S1566" i="2"/>
  <c r="R1566" i="2"/>
  <c r="Q1566" i="2"/>
  <c r="P1566" i="2"/>
  <c r="O1566" i="2"/>
  <c r="N1566" i="2"/>
  <c r="M1566" i="2"/>
  <c r="L1566" i="2"/>
  <c r="K1566" i="2"/>
  <c r="J1566" i="2"/>
  <c r="H1566" i="2"/>
  <c r="G1566" i="2"/>
  <c r="F1566" i="2"/>
  <c r="E1566" i="2"/>
  <c r="D1566" i="2"/>
  <c r="C1566" i="2"/>
  <c r="B1566" i="2"/>
  <c r="A1566" i="2"/>
  <c r="AG1565" i="2"/>
  <c r="AF1565" i="2"/>
  <c r="AE1565" i="2"/>
  <c r="AD1565" i="2"/>
  <c r="AC1565" i="2"/>
  <c r="AB1565" i="2"/>
  <c r="Z1565" i="2"/>
  <c r="Y1565" i="2"/>
  <c r="X1565" i="2"/>
  <c r="W1565" i="2"/>
  <c r="V1565" i="2"/>
  <c r="U1565" i="2"/>
  <c r="T1565" i="2"/>
  <c r="S1565" i="2"/>
  <c r="R1565" i="2"/>
  <c r="Q1565" i="2"/>
  <c r="P1565" i="2"/>
  <c r="O1565" i="2"/>
  <c r="N1565" i="2"/>
  <c r="M1565" i="2"/>
  <c r="L1565" i="2"/>
  <c r="K1565" i="2"/>
  <c r="H1565" i="2"/>
  <c r="G1565" i="2"/>
  <c r="F1565" i="2"/>
  <c r="E1565" i="2"/>
  <c r="D1565" i="2"/>
  <c r="C1565" i="2"/>
  <c r="B1565" i="2"/>
  <c r="A1565" i="2"/>
  <c r="AH1564" i="2"/>
  <c r="AG1564" i="2"/>
  <c r="AF1564" i="2"/>
  <c r="AE1564" i="2"/>
  <c r="AD1564" i="2"/>
  <c r="AC1564" i="2"/>
  <c r="AB1564" i="2"/>
  <c r="AA1564" i="2"/>
  <c r="Z1564" i="2"/>
  <c r="Y1564" i="2"/>
  <c r="X1564" i="2"/>
  <c r="W1564" i="2"/>
  <c r="V1564" i="2"/>
  <c r="U1564" i="2"/>
  <c r="T1564" i="2"/>
  <c r="S1564" i="2"/>
  <c r="R1564" i="2"/>
  <c r="Q1564" i="2"/>
  <c r="P1564" i="2"/>
  <c r="O1564" i="2"/>
  <c r="N1564" i="2"/>
  <c r="M1564" i="2"/>
  <c r="L1564" i="2"/>
  <c r="K1564" i="2"/>
  <c r="H1564" i="2"/>
  <c r="G1564" i="2"/>
  <c r="F1564" i="2"/>
  <c r="E1564" i="2"/>
  <c r="D1564" i="2"/>
  <c r="C1564" i="2"/>
  <c r="B1564" i="2"/>
  <c r="A1564" i="2"/>
  <c r="AG1563" i="2"/>
  <c r="AF1563" i="2"/>
  <c r="AE1563" i="2"/>
  <c r="AD1563" i="2"/>
  <c r="AC1563" i="2"/>
  <c r="AB1563" i="2"/>
  <c r="Z1563" i="2"/>
  <c r="Y1563" i="2"/>
  <c r="X1563" i="2"/>
  <c r="W1563" i="2"/>
  <c r="V1563" i="2"/>
  <c r="U1563" i="2"/>
  <c r="T1563" i="2"/>
  <c r="S1563" i="2"/>
  <c r="R1563" i="2"/>
  <c r="Q1563" i="2"/>
  <c r="P1563" i="2"/>
  <c r="O1563" i="2"/>
  <c r="N1563" i="2"/>
  <c r="M1563" i="2"/>
  <c r="L1563" i="2"/>
  <c r="K1563" i="2"/>
  <c r="H1563" i="2"/>
  <c r="G1563" i="2"/>
  <c r="F1563" i="2"/>
  <c r="E1563" i="2"/>
  <c r="D1563" i="2"/>
  <c r="C1563" i="2"/>
  <c r="B1563" i="2"/>
  <c r="A1563" i="2"/>
  <c r="AH1562" i="2"/>
  <c r="AG1562" i="2"/>
  <c r="AF1562" i="2"/>
  <c r="AE1562" i="2"/>
  <c r="AD1562" i="2"/>
  <c r="AC1562" i="2"/>
  <c r="AB1562" i="2"/>
  <c r="Z1562" i="2"/>
  <c r="Y1562" i="2"/>
  <c r="X1562" i="2"/>
  <c r="W1562" i="2"/>
  <c r="V1562" i="2"/>
  <c r="U1562" i="2"/>
  <c r="T1562" i="2"/>
  <c r="S1562" i="2"/>
  <c r="R1562" i="2"/>
  <c r="Q1562" i="2"/>
  <c r="P1562" i="2"/>
  <c r="O1562" i="2"/>
  <c r="N1562" i="2"/>
  <c r="M1562" i="2"/>
  <c r="L1562" i="2"/>
  <c r="K1562" i="2"/>
  <c r="H1562" i="2"/>
  <c r="G1562" i="2"/>
  <c r="F1562" i="2"/>
  <c r="E1562" i="2"/>
  <c r="D1562" i="2"/>
  <c r="C1562" i="2"/>
  <c r="B1562" i="2"/>
  <c r="A1562" i="2"/>
  <c r="AG1561" i="2"/>
  <c r="AF1561" i="2"/>
  <c r="AE1561" i="2"/>
  <c r="AD1561" i="2"/>
  <c r="AC1561" i="2"/>
  <c r="AB1561" i="2"/>
  <c r="Z1561" i="2"/>
  <c r="Y1561" i="2"/>
  <c r="X1561" i="2"/>
  <c r="W1561" i="2"/>
  <c r="V1561" i="2"/>
  <c r="U1561" i="2"/>
  <c r="S1561" i="2"/>
  <c r="R1561" i="2"/>
  <c r="Q1561" i="2"/>
  <c r="P1561" i="2"/>
  <c r="O1561" i="2"/>
  <c r="N1561" i="2"/>
  <c r="M1561" i="2"/>
  <c r="L1561" i="2"/>
  <c r="K1561" i="2"/>
  <c r="H1561" i="2"/>
  <c r="G1561" i="2"/>
  <c r="F1561" i="2"/>
  <c r="E1561" i="2"/>
  <c r="D1561" i="2"/>
  <c r="C1561" i="2"/>
  <c r="B1561" i="2"/>
  <c r="A1561" i="2"/>
  <c r="AG1560" i="2"/>
  <c r="AF1560" i="2"/>
  <c r="AE1560" i="2"/>
  <c r="AD1560" i="2"/>
  <c r="AC1560" i="2"/>
  <c r="AB1560" i="2"/>
  <c r="Z1560" i="2"/>
  <c r="Y1560" i="2"/>
  <c r="X1560" i="2"/>
  <c r="W1560" i="2"/>
  <c r="V1560" i="2"/>
  <c r="U1560" i="2"/>
  <c r="T1560" i="2"/>
  <c r="S1560" i="2"/>
  <c r="R1560" i="2"/>
  <c r="Q1560" i="2"/>
  <c r="P1560" i="2"/>
  <c r="O1560" i="2"/>
  <c r="N1560" i="2"/>
  <c r="M1560" i="2"/>
  <c r="L1560" i="2"/>
  <c r="K1560" i="2"/>
  <c r="H1560" i="2"/>
  <c r="G1560" i="2"/>
  <c r="F1560" i="2"/>
  <c r="E1560" i="2"/>
  <c r="D1560" i="2"/>
  <c r="C1560" i="2"/>
  <c r="B1560" i="2"/>
  <c r="A1560" i="2"/>
  <c r="AG1559" i="2"/>
  <c r="AF1559" i="2"/>
  <c r="AE1559" i="2"/>
  <c r="AD1559" i="2"/>
  <c r="AC1559" i="2"/>
  <c r="AB1559" i="2"/>
  <c r="Z1559" i="2"/>
  <c r="Y1559" i="2"/>
  <c r="X1559" i="2"/>
  <c r="W1559" i="2"/>
  <c r="V1559" i="2"/>
  <c r="U1559" i="2"/>
  <c r="T1559" i="2"/>
  <c r="S1559" i="2"/>
  <c r="R1559" i="2"/>
  <c r="Q1559" i="2"/>
  <c r="P1559" i="2"/>
  <c r="O1559" i="2"/>
  <c r="N1559" i="2"/>
  <c r="M1559" i="2"/>
  <c r="L1559" i="2"/>
  <c r="K1559" i="2"/>
  <c r="H1559" i="2"/>
  <c r="G1559" i="2"/>
  <c r="F1559" i="2"/>
  <c r="E1559" i="2"/>
  <c r="D1559" i="2"/>
  <c r="C1559" i="2"/>
  <c r="B1559" i="2"/>
  <c r="A1559" i="2"/>
  <c r="AG1558" i="2"/>
  <c r="AF1558" i="2"/>
  <c r="AE1558" i="2"/>
  <c r="AD1558" i="2"/>
  <c r="AC1558" i="2"/>
  <c r="AB1558" i="2"/>
  <c r="AA1558" i="2"/>
  <c r="Z1558" i="2"/>
  <c r="Y1558" i="2"/>
  <c r="X1558" i="2"/>
  <c r="W1558" i="2"/>
  <c r="V1558" i="2"/>
  <c r="U1558" i="2"/>
  <c r="T1558" i="2"/>
  <c r="S1558" i="2"/>
  <c r="R1558" i="2"/>
  <c r="Q1558" i="2"/>
  <c r="P1558" i="2"/>
  <c r="O1558" i="2"/>
  <c r="N1558" i="2"/>
  <c r="M1558" i="2"/>
  <c r="L1558" i="2"/>
  <c r="K1558" i="2"/>
  <c r="H1558" i="2"/>
  <c r="G1558" i="2"/>
  <c r="F1558" i="2"/>
  <c r="E1558" i="2"/>
  <c r="D1558" i="2"/>
  <c r="C1558" i="2"/>
  <c r="B1558" i="2"/>
  <c r="A1558" i="2"/>
  <c r="AG1557" i="2"/>
  <c r="AF1557" i="2"/>
  <c r="AE1557" i="2"/>
  <c r="AD1557" i="2"/>
  <c r="AC1557" i="2"/>
  <c r="AB1557" i="2"/>
  <c r="AA1557" i="2"/>
  <c r="Z1557" i="2"/>
  <c r="Y1557" i="2"/>
  <c r="X1557" i="2"/>
  <c r="W1557" i="2"/>
  <c r="V1557" i="2"/>
  <c r="U1557" i="2"/>
  <c r="T1557" i="2"/>
  <c r="S1557" i="2"/>
  <c r="R1557" i="2"/>
  <c r="Q1557" i="2"/>
  <c r="P1557" i="2"/>
  <c r="O1557" i="2"/>
  <c r="N1557" i="2"/>
  <c r="M1557" i="2"/>
  <c r="L1557" i="2"/>
  <c r="K1557" i="2"/>
  <c r="H1557" i="2"/>
  <c r="G1557" i="2"/>
  <c r="F1557" i="2"/>
  <c r="E1557" i="2"/>
  <c r="D1557" i="2"/>
  <c r="C1557" i="2"/>
  <c r="B1557" i="2"/>
  <c r="A1557" i="2"/>
  <c r="AG1556" i="2"/>
  <c r="AF1556" i="2"/>
  <c r="AE1556" i="2"/>
  <c r="AD1556" i="2"/>
  <c r="AC1556" i="2"/>
  <c r="AB1556" i="2"/>
  <c r="Z1556" i="2"/>
  <c r="Y1556" i="2"/>
  <c r="X1556" i="2"/>
  <c r="W1556" i="2"/>
  <c r="V1556" i="2"/>
  <c r="U1556" i="2"/>
  <c r="S1556" i="2"/>
  <c r="R1556" i="2"/>
  <c r="Q1556" i="2"/>
  <c r="P1556" i="2"/>
  <c r="O1556" i="2"/>
  <c r="N1556" i="2"/>
  <c r="M1556" i="2"/>
  <c r="L1556" i="2"/>
  <c r="K1556" i="2"/>
  <c r="H1556" i="2"/>
  <c r="G1556" i="2"/>
  <c r="F1556" i="2"/>
  <c r="E1556" i="2"/>
  <c r="D1556" i="2"/>
  <c r="C1556" i="2"/>
  <c r="B1556" i="2"/>
  <c r="A1556" i="2"/>
  <c r="AG1555" i="2"/>
  <c r="AF1555" i="2"/>
  <c r="AE1555" i="2"/>
  <c r="AD1555" i="2"/>
  <c r="AC1555" i="2"/>
  <c r="AB1555" i="2"/>
  <c r="Z1555" i="2"/>
  <c r="Y1555" i="2"/>
  <c r="X1555" i="2"/>
  <c r="W1555" i="2"/>
  <c r="V1555" i="2"/>
  <c r="U1555" i="2"/>
  <c r="S1555" i="2"/>
  <c r="R1555" i="2"/>
  <c r="Q1555" i="2"/>
  <c r="P1555" i="2"/>
  <c r="O1555" i="2"/>
  <c r="N1555" i="2"/>
  <c r="M1555" i="2"/>
  <c r="L1555" i="2"/>
  <c r="K1555" i="2"/>
  <c r="H1555" i="2"/>
  <c r="G1555" i="2"/>
  <c r="F1555" i="2"/>
  <c r="E1555" i="2"/>
  <c r="D1555" i="2"/>
  <c r="C1555" i="2"/>
  <c r="B1555" i="2"/>
  <c r="A1555" i="2"/>
  <c r="AG1554" i="2"/>
  <c r="AF1554" i="2"/>
  <c r="AE1554" i="2"/>
  <c r="AD1554" i="2"/>
  <c r="AC1554" i="2"/>
  <c r="AB1554" i="2"/>
  <c r="Z1554" i="2"/>
  <c r="Y1554" i="2"/>
  <c r="X1554" i="2"/>
  <c r="W1554" i="2"/>
  <c r="V1554" i="2"/>
  <c r="U1554" i="2"/>
  <c r="T1554" i="2"/>
  <c r="S1554" i="2"/>
  <c r="R1554" i="2"/>
  <c r="Q1554" i="2"/>
  <c r="P1554" i="2"/>
  <c r="O1554" i="2"/>
  <c r="N1554" i="2"/>
  <c r="M1554" i="2"/>
  <c r="L1554" i="2"/>
  <c r="K1554" i="2"/>
  <c r="H1554" i="2"/>
  <c r="G1554" i="2"/>
  <c r="F1554" i="2"/>
  <c r="E1554" i="2"/>
  <c r="D1554" i="2"/>
  <c r="C1554" i="2"/>
  <c r="B1554" i="2"/>
  <c r="A1554" i="2"/>
  <c r="AG1553" i="2"/>
  <c r="AF1553" i="2"/>
  <c r="AE1553" i="2"/>
  <c r="AD1553" i="2"/>
  <c r="AC1553" i="2"/>
  <c r="AB1553" i="2"/>
  <c r="Z1553" i="2"/>
  <c r="Y1553" i="2"/>
  <c r="X1553" i="2"/>
  <c r="W1553" i="2"/>
  <c r="V1553" i="2"/>
  <c r="U1553" i="2"/>
  <c r="T1553" i="2"/>
  <c r="S1553" i="2"/>
  <c r="R1553" i="2"/>
  <c r="Q1553" i="2"/>
  <c r="P1553" i="2"/>
  <c r="O1553" i="2"/>
  <c r="N1553" i="2"/>
  <c r="M1553" i="2"/>
  <c r="L1553" i="2"/>
  <c r="K1553" i="2"/>
  <c r="H1553" i="2"/>
  <c r="G1553" i="2"/>
  <c r="F1553" i="2"/>
  <c r="E1553" i="2"/>
  <c r="D1553" i="2"/>
  <c r="C1553" i="2"/>
  <c r="B1553" i="2"/>
  <c r="A1553" i="2"/>
  <c r="AG1552" i="2"/>
  <c r="AE1552" i="2"/>
  <c r="AD1552" i="2"/>
  <c r="AC1552" i="2"/>
  <c r="AB1552" i="2"/>
  <c r="Z1552" i="2"/>
  <c r="Y1552" i="2"/>
  <c r="X1552" i="2"/>
  <c r="W1552" i="2"/>
  <c r="V1552" i="2"/>
  <c r="S1552" i="2"/>
  <c r="R1552" i="2"/>
  <c r="Q1552" i="2"/>
  <c r="P1552" i="2"/>
  <c r="O1552" i="2"/>
  <c r="N1552" i="2"/>
  <c r="M1552" i="2"/>
  <c r="L1552" i="2"/>
  <c r="K1552" i="2"/>
  <c r="H1552" i="2"/>
  <c r="G1552" i="2"/>
  <c r="F1552" i="2"/>
  <c r="E1552" i="2"/>
  <c r="D1552" i="2"/>
  <c r="C1552" i="2"/>
  <c r="B1552" i="2"/>
  <c r="A1552" i="2"/>
  <c r="AH1551" i="2"/>
  <c r="AG1551" i="2"/>
  <c r="AF1551" i="2"/>
  <c r="AE1551" i="2"/>
  <c r="AD1551" i="2"/>
  <c r="AC1551" i="2"/>
  <c r="AB1551" i="2"/>
  <c r="Z1551" i="2"/>
  <c r="Y1551" i="2"/>
  <c r="X1551" i="2"/>
  <c r="W1551" i="2"/>
  <c r="V1551" i="2"/>
  <c r="R1551" i="2"/>
  <c r="Q1551" i="2"/>
  <c r="P1551" i="2"/>
  <c r="O1551" i="2"/>
  <c r="N1551" i="2"/>
  <c r="M1551" i="2"/>
  <c r="L1551" i="2"/>
  <c r="K1551" i="2"/>
  <c r="H1551" i="2"/>
  <c r="G1551" i="2"/>
  <c r="F1551" i="2"/>
  <c r="E1551" i="2"/>
  <c r="D1551" i="2"/>
  <c r="C1551" i="2"/>
  <c r="B1551" i="2"/>
  <c r="A1551" i="2"/>
  <c r="AG1550" i="2"/>
  <c r="AF1550" i="2"/>
  <c r="AE1550" i="2"/>
  <c r="AD1550" i="2"/>
  <c r="AC1550" i="2"/>
  <c r="AB1550" i="2"/>
  <c r="Z1550" i="2"/>
  <c r="Y1550" i="2"/>
  <c r="X1550" i="2"/>
  <c r="W1550" i="2"/>
  <c r="V1550" i="2"/>
  <c r="U1550" i="2"/>
  <c r="T1550" i="2"/>
  <c r="S1550" i="2"/>
  <c r="R1550" i="2"/>
  <c r="Q1550" i="2"/>
  <c r="P1550" i="2"/>
  <c r="O1550" i="2"/>
  <c r="N1550" i="2"/>
  <c r="M1550" i="2"/>
  <c r="L1550" i="2"/>
  <c r="K1550" i="2"/>
  <c r="H1550" i="2"/>
  <c r="G1550" i="2"/>
  <c r="F1550" i="2"/>
  <c r="E1550" i="2"/>
  <c r="D1550" i="2"/>
  <c r="C1550" i="2"/>
  <c r="B1550" i="2"/>
  <c r="A1550" i="2"/>
  <c r="AG1549" i="2"/>
  <c r="AF1549" i="2"/>
  <c r="AE1549" i="2"/>
  <c r="AD1549" i="2"/>
  <c r="AC1549" i="2"/>
  <c r="AB1549" i="2"/>
  <c r="Z1549" i="2"/>
  <c r="Y1549" i="2"/>
  <c r="X1549" i="2"/>
  <c r="W1549" i="2"/>
  <c r="V1549" i="2"/>
  <c r="U1549" i="2"/>
  <c r="S1549" i="2"/>
  <c r="R1549" i="2"/>
  <c r="Q1549" i="2"/>
  <c r="P1549" i="2"/>
  <c r="O1549" i="2"/>
  <c r="N1549" i="2"/>
  <c r="M1549" i="2"/>
  <c r="L1549" i="2"/>
  <c r="K1549" i="2"/>
  <c r="H1549" i="2"/>
  <c r="G1549" i="2"/>
  <c r="F1549" i="2"/>
  <c r="E1549" i="2"/>
  <c r="D1549" i="2"/>
  <c r="C1549" i="2"/>
  <c r="B1549" i="2"/>
  <c r="A1549" i="2"/>
  <c r="AH1548" i="2"/>
  <c r="AG1548" i="2"/>
  <c r="AF1548" i="2"/>
  <c r="AE1548" i="2"/>
  <c r="AD1548" i="2"/>
  <c r="AC1548" i="2"/>
  <c r="AB1548" i="2"/>
  <c r="AA1548" i="2"/>
  <c r="Z1548" i="2"/>
  <c r="Y1548" i="2"/>
  <c r="X1548" i="2"/>
  <c r="W1548" i="2"/>
  <c r="V1548" i="2"/>
  <c r="U1548" i="2"/>
  <c r="T1548" i="2"/>
  <c r="S1548" i="2"/>
  <c r="R1548" i="2"/>
  <c r="Q1548" i="2"/>
  <c r="P1548" i="2"/>
  <c r="O1548" i="2"/>
  <c r="N1548" i="2"/>
  <c r="M1548" i="2"/>
  <c r="L1548" i="2"/>
  <c r="K1548" i="2"/>
  <c r="H1548" i="2"/>
  <c r="G1548" i="2"/>
  <c r="F1548" i="2"/>
  <c r="E1548" i="2"/>
  <c r="D1548" i="2"/>
  <c r="C1548" i="2"/>
  <c r="B1548" i="2"/>
  <c r="A1548" i="2"/>
  <c r="AG1547" i="2"/>
  <c r="AF1547" i="2"/>
  <c r="AE1547" i="2"/>
  <c r="AD1547" i="2"/>
  <c r="AC1547" i="2"/>
  <c r="AB1547" i="2"/>
  <c r="Z1547" i="2"/>
  <c r="Y1547" i="2"/>
  <c r="X1547" i="2"/>
  <c r="W1547" i="2"/>
  <c r="V1547" i="2"/>
  <c r="U1547" i="2"/>
  <c r="T1547" i="2"/>
  <c r="S1547" i="2"/>
  <c r="R1547" i="2"/>
  <c r="Q1547" i="2"/>
  <c r="P1547" i="2"/>
  <c r="O1547" i="2"/>
  <c r="N1547" i="2"/>
  <c r="M1547" i="2"/>
  <c r="L1547" i="2"/>
  <c r="K1547" i="2"/>
  <c r="H1547" i="2"/>
  <c r="G1547" i="2"/>
  <c r="F1547" i="2"/>
  <c r="E1547" i="2"/>
  <c r="D1547" i="2"/>
  <c r="C1547" i="2"/>
  <c r="B1547" i="2"/>
  <c r="A1547" i="2"/>
  <c r="AG1546" i="2"/>
  <c r="AF1546" i="2"/>
  <c r="AD1546" i="2"/>
  <c r="AC1546" i="2"/>
  <c r="AB1546" i="2"/>
  <c r="Z1546" i="2"/>
  <c r="Y1546" i="2"/>
  <c r="X1546" i="2"/>
  <c r="W1546" i="2"/>
  <c r="V1546" i="2"/>
  <c r="U1546" i="2"/>
  <c r="R1546" i="2"/>
  <c r="Q1546" i="2"/>
  <c r="P1546" i="2"/>
  <c r="O1546" i="2"/>
  <c r="N1546" i="2"/>
  <c r="M1546" i="2"/>
  <c r="L1546" i="2"/>
  <c r="K1546" i="2"/>
  <c r="H1546" i="2"/>
  <c r="G1546" i="2"/>
  <c r="F1546" i="2"/>
  <c r="E1546" i="2"/>
  <c r="D1546" i="2"/>
  <c r="C1546" i="2"/>
  <c r="B1546" i="2"/>
  <c r="A1546" i="2"/>
  <c r="AG1545" i="2"/>
  <c r="AF1545" i="2"/>
  <c r="AE1545" i="2"/>
  <c r="AD1545" i="2"/>
  <c r="AC1545" i="2"/>
  <c r="AB1545" i="2"/>
  <c r="Z1545" i="2"/>
  <c r="Y1545" i="2"/>
  <c r="X1545" i="2"/>
  <c r="W1545" i="2"/>
  <c r="V1545" i="2"/>
  <c r="R1545" i="2"/>
  <c r="Q1545" i="2"/>
  <c r="P1545" i="2"/>
  <c r="O1545" i="2"/>
  <c r="N1545" i="2"/>
  <c r="M1545" i="2"/>
  <c r="L1545" i="2"/>
  <c r="K1545" i="2"/>
  <c r="H1545" i="2"/>
  <c r="G1545" i="2"/>
  <c r="F1545" i="2"/>
  <c r="E1545" i="2"/>
  <c r="D1545" i="2"/>
  <c r="C1545" i="2"/>
  <c r="B1545" i="2"/>
  <c r="A1545" i="2"/>
  <c r="AH1544" i="2"/>
  <c r="AF1544" i="2"/>
  <c r="AE1544" i="2"/>
  <c r="AD1544" i="2"/>
  <c r="AC1544" i="2"/>
  <c r="AB1544" i="2"/>
  <c r="AA1544" i="2"/>
  <c r="Z1544" i="2"/>
  <c r="Y1544" i="2"/>
  <c r="X1544" i="2"/>
  <c r="W1544" i="2"/>
  <c r="V1544" i="2"/>
  <c r="U1544" i="2"/>
  <c r="T1544" i="2"/>
  <c r="S1544" i="2"/>
  <c r="R1544" i="2"/>
  <c r="Q1544" i="2"/>
  <c r="P1544" i="2"/>
  <c r="O1544" i="2"/>
  <c r="N1544" i="2"/>
  <c r="M1544" i="2"/>
  <c r="L1544" i="2"/>
  <c r="K1544" i="2"/>
  <c r="H1544" i="2"/>
  <c r="G1544" i="2"/>
  <c r="F1544" i="2"/>
  <c r="E1544" i="2"/>
  <c r="D1544" i="2"/>
  <c r="C1544" i="2"/>
  <c r="B1544" i="2"/>
  <c r="A1544" i="2"/>
  <c r="AG1543" i="2"/>
  <c r="AF1543" i="2"/>
  <c r="AE1543" i="2"/>
  <c r="AD1543" i="2"/>
  <c r="AC1543" i="2"/>
  <c r="AB1543" i="2"/>
  <c r="Z1543" i="2"/>
  <c r="Y1543" i="2"/>
  <c r="X1543" i="2"/>
  <c r="W1543" i="2"/>
  <c r="V1543" i="2"/>
  <c r="U1543" i="2"/>
  <c r="S1543" i="2"/>
  <c r="R1543" i="2"/>
  <c r="Q1543" i="2"/>
  <c r="P1543" i="2"/>
  <c r="O1543" i="2"/>
  <c r="N1543" i="2"/>
  <c r="M1543" i="2"/>
  <c r="L1543" i="2"/>
  <c r="K1543" i="2"/>
  <c r="H1543" i="2"/>
  <c r="G1543" i="2"/>
  <c r="F1543" i="2"/>
  <c r="E1543" i="2"/>
  <c r="D1543" i="2"/>
  <c r="C1543" i="2"/>
  <c r="B1543" i="2"/>
  <c r="A1543" i="2"/>
  <c r="AG1542" i="2"/>
  <c r="AF1542" i="2"/>
  <c r="AE1542" i="2"/>
  <c r="AD1542" i="2"/>
  <c r="AC1542" i="2"/>
  <c r="AB1542" i="2"/>
  <c r="Z1542" i="2"/>
  <c r="Y1542" i="2"/>
  <c r="X1542" i="2"/>
  <c r="W1542" i="2"/>
  <c r="V1542" i="2"/>
  <c r="U1542" i="2"/>
  <c r="S1542" i="2"/>
  <c r="R1542" i="2"/>
  <c r="Q1542" i="2"/>
  <c r="P1542" i="2"/>
  <c r="O1542" i="2"/>
  <c r="N1542" i="2"/>
  <c r="M1542" i="2"/>
  <c r="L1542" i="2"/>
  <c r="K1542" i="2"/>
  <c r="H1542" i="2"/>
  <c r="G1542" i="2"/>
  <c r="F1542" i="2"/>
  <c r="E1542" i="2"/>
  <c r="D1542" i="2"/>
  <c r="C1542" i="2"/>
  <c r="B1542" i="2"/>
  <c r="A1542" i="2"/>
  <c r="AH1541" i="2"/>
  <c r="AF1541" i="2"/>
  <c r="AE1541" i="2"/>
  <c r="AD1541" i="2"/>
  <c r="AC1541" i="2"/>
  <c r="AB1541" i="2"/>
  <c r="Z1541" i="2"/>
  <c r="Y1541" i="2"/>
  <c r="X1541" i="2"/>
  <c r="W1541" i="2"/>
  <c r="V1541" i="2"/>
  <c r="U1541" i="2"/>
  <c r="T1541" i="2"/>
  <c r="S1541" i="2"/>
  <c r="R1541" i="2"/>
  <c r="Q1541" i="2"/>
  <c r="P1541" i="2"/>
  <c r="O1541" i="2"/>
  <c r="N1541" i="2"/>
  <c r="M1541" i="2"/>
  <c r="L1541" i="2"/>
  <c r="K1541" i="2"/>
  <c r="H1541" i="2"/>
  <c r="G1541" i="2"/>
  <c r="F1541" i="2"/>
  <c r="E1541" i="2"/>
  <c r="D1541" i="2"/>
  <c r="C1541" i="2"/>
  <c r="B1541" i="2"/>
  <c r="A1541" i="2"/>
  <c r="AG1540" i="2"/>
  <c r="AF1540" i="2"/>
  <c r="AE1540" i="2"/>
  <c r="AD1540" i="2"/>
  <c r="AC1540" i="2"/>
  <c r="AB1540" i="2"/>
  <c r="Z1540" i="2"/>
  <c r="Y1540" i="2"/>
  <c r="X1540" i="2"/>
  <c r="W1540" i="2"/>
  <c r="V1540" i="2"/>
  <c r="U1540" i="2"/>
  <c r="T1540" i="2"/>
  <c r="S1540" i="2"/>
  <c r="R1540" i="2"/>
  <c r="Q1540" i="2"/>
  <c r="P1540" i="2"/>
  <c r="O1540" i="2"/>
  <c r="N1540" i="2"/>
  <c r="M1540" i="2"/>
  <c r="L1540" i="2"/>
  <c r="K1540" i="2"/>
  <c r="H1540" i="2"/>
  <c r="G1540" i="2"/>
  <c r="F1540" i="2"/>
  <c r="E1540" i="2"/>
  <c r="D1540" i="2"/>
  <c r="C1540" i="2"/>
  <c r="B1540" i="2"/>
  <c r="A1540" i="2"/>
  <c r="AG1539" i="2"/>
  <c r="AF1539" i="2"/>
  <c r="AE1539" i="2"/>
  <c r="AD1539" i="2"/>
  <c r="AC1539" i="2"/>
  <c r="AB1539" i="2"/>
  <c r="Z1539" i="2"/>
  <c r="Y1539" i="2"/>
  <c r="X1539" i="2"/>
  <c r="W1539" i="2"/>
  <c r="V1539" i="2"/>
  <c r="U1539" i="2"/>
  <c r="T1539" i="2"/>
  <c r="S1539" i="2"/>
  <c r="R1539" i="2"/>
  <c r="Q1539" i="2"/>
  <c r="P1539" i="2"/>
  <c r="O1539" i="2"/>
  <c r="N1539" i="2"/>
  <c r="M1539" i="2"/>
  <c r="L1539" i="2"/>
  <c r="K1539" i="2"/>
  <c r="H1539" i="2"/>
  <c r="G1539" i="2"/>
  <c r="F1539" i="2"/>
  <c r="E1539" i="2"/>
  <c r="D1539" i="2"/>
  <c r="C1539" i="2"/>
  <c r="B1539" i="2"/>
  <c r="A1539" i="2"/>
  <c r="AG1538" i="2"/>
  <c r="AF1538" i="2"/>
  <c r="AE1538" i="2"/>
  <c r="AD1538" i="2"/>
  <c r="AC1538" i="2"/>
  <c r="AB1538" i="2"/>
  <c r="Z1538" i="2"/>
  <c r="Y1538" i="2"/>
  <c r="X1538" i="2"/>
  <c r="W1538" i="2"/>
  <c r="V1538" i="2"/>
  <c r="U1538" i="2"/>
  <c r="T1538" i="2"/>
  <c r="S1538" i="2"/>
  <c r="R1538" i="2"/>
  <c r="Q1538" i="2"/>
  <c r="P1538" i="2"/>
  <c r="O1538" i="2"/>
  <c r="N1538" i="2"/>
  <c r="M1538" i="2"/>
  <c r="L1538" i="2"/>
  <c r="K1538" i="2"/>
  <c r="H1538" i="2"/>
  <c r="G1538" i="2"/>
  <c r="F1538" i="2"/>
  <c r="E1538" i="2"/>
  <c r="D1538" i="2"/>
  <c r="C1538" i="2"/>
  <c r="B1538" i="2"/>
  <c r="A1538" i="2"/>
  <c r="AG1537" i="2"/>
  <c r="AF1537" i="2"/>
  <c r="AE1537" i="2"/>
  <c r="AD1537" i="2"/>
  <c r="AC1537" i="2"/>
  <c r="AB1537" i="2"/>
  <c r="Z1537" i="2"/>
  <c r="Y1537" i="2"/>
  <c r="X1537" i="2"/>
  <c r="W1537" i="2"/>
  <c r="V1537" i="2"/>
  <c r="U1537" i="2"/>
  <c r="T1537" i="2"/>
  <c r="S1537" i="2"/>
  <c r="R1537" i="2"/>
  <c r="Q1537" i="2"/>
  <c r="P1537" i="2"/>
  <c r="O1537" i="2"/>
  <c r="N1537" i="2"/>
  <c r="M1537" i="2"/>
  <c r="L1537" i="2"/>
  <c r="K1537" i="2"/>
  <c r="H1537" i="2"/>
  <c r="G1537" i="2"/>
  <c r="F1537" i="2"/>
  <c r="E1537" i="2"/>
  <c r="D1537" i="2"/>
  <c r="C1537" i="2"/>
  <c r="B1537" i="2"/>
  <c r="A1537" i="2"/>
  <c r="AG1536" i="2"/>
  <c r="AF1536" i="2"/>
  <c r="AE1536" i="2"/>
  <c r="AD1536" i="2"/>
  <c r="AC1536" i="2"/>
  <c r="AB1536" i="2"/>
  <c r="Z1536" i="2"/>
  <c r="Y1536" i="2"/>
  <c r="X1536" i="2"/>
  <c r="W1536" i="2"/>
  <c r="V1536" i="2"/>
  <c r="U1536" i="2"/>
  <c r="S1536" i="2"/>
  <c r="R1536" i="2"/>
  <c r="Q1536" i="2"/>
  <c r="P1536" i="2"/>
  <c r="O1536" i="2"/>
  <c r="N1536" i="2"/>
  <c r="M1536" i="2"/>
  <c r="L1536" i="2"/>
  <c r="K1536" i="2"/>
  <c r="H1536" i="2"/>
  <c r="G1536" i="2"/>
  <c r="F1536" i="2"/>
  <c r="E1536" i="2"/>
  <c r="D1536" i="2"/>
  <c r="C1536" i="2"/>
  <c r="B1536" i="2"/>
  <c r="A1536" i="2"/>
  <c r="AH1535" i="2"/>
  <c r="AG1535" i="2"/>
  <c r="AF1535" i="2"/>
  <c r="AD1535" i="2"/>
  <c r="AC1535" i="2"/>
  <c r="AB1535" i="2"/>
  <c r="Z1535" i="2"/>
  <c r="Y1535" i="2"/>
  <c r="X1535" i="2"/>
  <c r="W1535" i="2"/>
  <c r="V1535" i="2"/>
  <c r="S1535" i="2"/>
  <c r="R1535" i="2"/>
  <c r="Q1535" i="2"/>
  <c r="P1535" i="2"/>
  <c r="O1535" i="2"/>
  <c r="N1535" i="2"/>
  <c r="M1535" i="2"/>
  <c r="L1535" i="2"/>
  <c r="K1535" i="2"/>
  <c r="H1535" i="2"/>
  <c r="G1535" i="2"/>
  <c r="F1535" i="2"/>
  <c r="E1535" i="2"/>
  <c r="D1535" i="2"/>
  <c r="C1535" i="2"/>
  <c r="B1535" i="2"/>
  <c r="A1535" i="2"/>
  <c r="AG1534" i="2"/>
  <c r="AF1534" i="2"/>
  <c r="AE1534" i="2"/>
  <c r="AD1534" i="2"/>
  <c r="AC1534" i="2"/>
  <c r="AB1534" i="2"/>
  <c r="Z1534" i="2"/>
  <c r="Y1534" i="2"/>
  <c r="X1534" i="2"/>
  <c r="W1534" i="2"/>
  <c r="V1534" i="2"/>
  <c r="U1534" i="2"/>
  <c r="T1534" i="2"/>
  <c r="S1534" i="2"/>
  <c r="R1534" i="2"/>
  <c r="Q1534" i="2"/>
  <c r="P1534" i="2"/>
  <c r="O1534" i="2"/>
  <c r="N1534" i="2"/>
  <c r="M1534" i="2"/>
  <c r="L1534" i="2"/>
  <c r="K1534" i="2"/>
  <c r="H1534" i="2"/>
  <c r="G1534" i="2"/>
  <c r="F1534" i="2"/>
  <c r="E1534" i="2"/>
  <c r="D1534" i="2"/>
  <c r="C1534" i="2"/>
  <c r="B1534" i="2"/>
  <c r="A1534" i="2"/>
  <c r="AG1533" i="2"/>
  <c r="AF1533" i="2"/>
  <c r="AE1533" i="2"/>
  <c r="AD1533" i="2"/>
  <c r="AC1533" i="2"/>
  <c r="AB1533" i="2"/>
  <c r="Z1533" i="2"/>
  <c r="Y1533" i="2"/>
  <c r="X1533" i="2"/>
  <c r="W1533" i="2"/>
  <c r="V1533" i="2"/>
  <c r="U1533" i="2"/>
  <c r="S1533" i="2"/>
  <c r="R1533" i="2"/>
  <c r="Q1533" i="2"/>
  <c r="P1533" i="2"/>
  <c r="O1533" i="2"/>
  <c r="N1533" i="2"/>
  <c r="M1533" i="2"/>
  <c r="L1533" i="2"/>
  <c r="K1533" i="2"/>
  <c r="H1533" i="2"/>
  <c r="G1533" i="2"/>
  <c r="F1533" i="2"/>
  <c r="E1533" i="2"/>
  <c r="D1533" i="2"/>
  <c r="C1533" i="2"/>
  <c r="B1533" i="2"/>
  <c r="A1533" i="2"/>
  <c r="AH1532" i="2"/>
  <c r="AG1532" i="2"/>
  <c r="AF1532" i="2"/>
  <c r="AE1532" i="2"/>
  <c r="AD1532" i="2"/>
  <c r="AC1532" i="2"/>
  <c r="AB1532" i="2"/>
  <c r="Z1532" i="2"/>
  <c r="Y1532" i="2"/>
  <c r="X1532" i="2"/>
  <c r="W1532" i="2"/>
  <c r="V1532" i="2"/>
  <c r="T1532" i="2"/>
  <c r="S1532" i="2"/>
  <c r="R1532" i="2"/>
  <c r="Q1532" i="2"/>
  <c r="P1532" i="2"/>
  <c r="O1532" i="2"/>
  <c r="N1532" i="2"/>
  <c r="M1532" i="2"/>
  <c r="L1532" i="2"/>
  <c r="K1532" i="2"/>
  <c r="H1532" i="2"/>
  <c r="G1532" i="2"/>
  <c r="F1532" i="2"/>
  <c r="E1532" i="2"/>
  <c r="D1532" i="2"/>
  <c r="C1532" i="2"/>
  <c r="B1532" i="2"/>
  <c r="A1532" i="2"/>
  <c r="AG1531" i="2"/>
  <c r="AF1531" i="2"/>
  <c r="AE1531" i="2"/>
  <c r="AD1531" i="2"/>
  <c r="AC1531" i="2"/>
  <c r="AB1531" i="2"/>
  <c r="Z1531" i="2"/>
  <c r="Y1531" i="2"/>
  <c r="X1531" i="2"/>
  <c r="W1531" i="2"/>
  <c r="V1531" i="2"/>
  <c r="U1531" i="2"/>
  <c r="T1531" i="2"/>
  <c r="S1531" i="2"/>
  <c r="R1531" i="2"/>
  <c r="Q1531" i="2"/>
  <c r="P1531" i="2"/>
  <c r="O1531" i="2"/>
  <c r="N1531" i="2"/>
  <c r="M1531" i="2"/>
  <c r="L1531" i="2"/>
  <c r="K1531" i="2"/>
  <c r="H1531" i="2"/>
  <c r="G1531" i="2"/>
  <c r="F1531" i="2"/>
  <c r="E1531" i="2"/>
  <c r="D1531" i="2"/>
  <c r="C1531" i="2"/>
  <c r="B1531" i="2"/>
  <c r="A1531" i="2"/>
  <c r="AG1530" i="2"/>
  <c r="AF1530" i="2"/>
  <c r="AE1530" i="2"/>
  <c r="AD1530" i="2"/>
  <c r="AC1530" i="2"/>
  <c r="AB1530" i="2"/>
  <c r="Z1530" i="2"/>
  <c r="Y1530" i="2"/>
  <c r="X1530" i="2"/>
  <c r="W1530" i="2"/>
  <c r="V1530" i="2"/>
  <c r="U1530" i="2"/>
  <c r="T1530" i="2"/>
  <c r="S1530" i="2"/>
  <c r="R1530" i="2"/>
  <c r="Q1530" i="2"/>
  <c r="P1530" i="2"/>
  <c r="O1530" i="2"/>
  <c r="N1530" i="2"/>
  <c r="M1530" i="2"/>
  <c r="L1530" i="2"/>
  <c r="K1530" i="2"/>
  <c r="H1530" i="2"/>
  <c r="G1530" i="2"/>
  <c r="F1530" i="2"/>
  <c r="E1530" i="2"/>
  <c r="D1530" i="2"/>
  <c r="C1530" i="2"/>
  <c r="B1530" i="2"/>
  <c r="A1530" i="2"/>
  <c r="AG1529" i="2"/>
  <c r="AF1529" i="2"/>
  <c r="AE1529" i="2"/>
  <c r="AD1529" i="2"/>
  <c r="AC1529" i="2"/>
  <c r="AB1529" i="2"/>
  <c r="Z1529" i="2"/>
  <c r="Y1529" i="2"/>
  <c r="X1529" i="2"/>
  <c r="W1529" i="2"/>
  <c r="V1529" i="2"/>
  <c r="T1529" i="2"/>
  <c r="S1529" i="2"/>
  <c r="R1529" i="2"/>
  <c r="Q1529" i="2"/>
  <c r="P1529" i="2"/>
  <c r="O1529" i="2"/>
  <c r="N1529" i="2"/>
  <c r="M1529" i="2"/>
  <c r="L1529" i="2"/>
  <c r="K1529" i="2"/>
  <c r="H1529" i="2"/>
  <c r="G1529" i="2"/>
  <c r="F1529" i="2"/>
  <c r="E1529" i="2"/>
  <c r="D1529" i="2"/>
  <c r="C1529" i="2"/>
  <c r="B1529" i="2"/>
  <c r="A1529" i="2"/>
  <c r="AH1528" i="2"/>
  <c r="AG1528" i="2"/>
  <c r="AF1528" i="2"/>
  <c r="AE1528" i="2"/>
  <c r="AD1528" i="2"/>
  <c r="AC1528" i="2"/>
  <c r="AB1528" i="2"/>
  <c r="Z1528" i="2"/>
  <c r="Y1528" i="2"/>
  <c r="X1528" i="2"/>
  <c r="W1528" i="2"/>
  <c r="V1528" i="2"/>
  <c r="S1528" i="2"/>
  <c r="R1528" i="2"/>
  <c r="Q1528" i="2"/>
  <c r="P1528" i="2"/>
  <c r="O1528" i="2"/>
  <c r="N1528" i="2"/>
  <c r="M1528" i="2"/>
  <c r="L1528" i="2"/>
  <c r="K1528" i="2"/>
  <c r="H1528" i="2"/>
  <c r="G1528" i="2"/>
  <c r="F1528" i="2"/>
  <c r="E1528" i="2"/>
  <c r="D1528" i="2"/>
  <c r="C1528" i="2"/>
  <c r="B1528" i="2"/>
  <c r="A1528" i="2"/>
  <c r="AG1527" i="2"/>
  <c r="AF1527" i="2"/>
  <c r="AE1527" i="2"/>
  <c r="AD1527" i="2"/>
  <c r="AC1527" i="2"/>
  <c r="AB1527" i="2"/>
  <c r="AA1527" i="2"/>
  <c r="Z1527" i="2"/>
  <c r="Y1527" i="2"/>
  <c r="X1527" i="2"/>
  <c r="W1527" i="2"/>
  <c r="V1527" i="2"/>
  <c r="U1527" i="2"/>
  <c r="T1527" i="2"/>
  <c r="S1527" i="2"/>
  <c r="R1527" i="2"/>
  <c r="Q1527" i="2"/>
  <c r="P1527" i="2"/>
  <c r="O1527" i="2"/>
  <c r="N1527" i="2"/>
  <c r="M1527" i="2"/>
  <c r="L1527" i="2"/>
  <c r="K1527" i="2"/>
  <c r="H1527" i="2"/>
  <c r="G1527" i="2"/>
  <c r="F1527" i="2"/>
  <c r="E1527" i="2"/>
  <c r="D1527" i="2"/>
  <c r="C1527" i="2"/>
  <c r="B1527" i="2"/>
  <c r="A1527" i="2"/>
  <c r="AH1526" i="2"/>
  <c r="AD1526" i="2"/>
  <c r="AC1526" i="2"/>
  <c r="AB1526" i="2"/>
  <c r="Z1526" i="2"/>
  <c r="Y1526" i="2"/>
  <c r="X1526" i="2"/>
  <c r="W1526" i="2"/>
  <c r="V1526" i="2"/>
  <c r="U1526" i="2"/>
  <c r="Q1526" i="2"/>
  <c r="P1526" i="2"/>
  <c r="O1526" i="2"/>
  <c r="N1526" i="2"/>
  <c r="M1526" i="2"/>
  <c r="L1526" i="2"/>
  <c r="K1526" i="2"/>
  <c r="H1526" i="2"/>
  <c r="G1526" i="2"/>
  <c r="F1526" i="2"/>
  <c r="E1526" i="2"/>
  <c r="D1526" i="2"/>
  <c r="C1526" i="2"/>
  <c r="B1526" i="2"/>
  <c r="A1526" i="2"/>
  <c r="AH1525" i="2"/>
  <c r="AG1525" i="2"/>
  <c r="AF1525" i="2"/>
  <c r="AE1525" i="2"/>
  <c r="AD1525" i="2"/>
  <c r="AC1525" i="2"/>
  <c r="AB1525" i="2"/>
  <c r="AA1525" i="2"/>
  <c r="Z1525" i="2"/>
  <c r="Y1525" i="2"/>
  <c r="X1525" i="2"/>
  <c r="W1525" i="2"/>
  <c r="V1525" i="2"/>
  <c r="U1525" i="2"/>
  <c r="S1525" i="2"/>
  <c r="R1525" i="2"/>
  <c r="Q1525" i="2"/>
  <c r="P1525" i="2"/>
  <c r="O1525" i="2"/>
  <c r="N1525" i="2"/>
  <c r="M1525" i="2"/>
  <c r="L1525" i="2"/>
  <c r="K1525" i="2"/>
  <c r="H1525" i="2"/>
  <c r="G1525" i="2"/>
  <c r="F1525" i="2"/>
  <c r="E1525" i="2"/>
  <c r="D1525" i="2"/>
  <c r="C1525" i="2"/>
  <c r="B1525" i="2"/>
  <c r="A1525" i="2"/>
  <c r="AG1524" i="2"/>
  <c r="AF1524" i="2"/>
  <c r="AE1524" i="2"/>
  <c r="AD1524" i="2"/>
  <c r="AC1524" i="2"/>
  <c r="AB1524" i="2"/>
  <c r="Z1524" i="2"/>
  <c r="Y1524" i="2"/>
  <c r="X1524" i="2"/>
  <c r="W1524" i="2"/>
  <c r="V1524" i="2"/>
  <c r="U1524" i="2"/>
  <c r="T1524" i="2"/>
  <c r="S1524" i="2"/>
  <c r="R1524" i="2"/>
  <c r="Q1524" i="2"/>
  <c r="P1524" i="2"/>
  <c r="O1524" i="2"/>
  <c r="N1524" i="2"/>
  <c r="M1524" i="2"/>
  <c r="L1524" i="2"/>
  <c r="K1524" i="2"/>
  <c r="H1524" i="2"/>
  <c r="G1524" i="2"/>
  <c r="F1524" i="2"/>
  <c r="E1524" i="2"/>
  <c r="D1524" i="2"/>
  <c r="C1524" i="2"/>
  <c r="B1524" i="2"/>
  <c r="A1524" i="2"/>
  <c r="AH1523" i="2"/>
  <c r="AG1523" i="2"/>
  <c r="AF1523" i="2"/>
  <c r="AE1523" i="2"/>
  <c r="AD1523" i="2"/>
  <c r="AC1523" i="2"/>
  <c r="AB1523" i="2"/>
  <c r="Z1523" i="2"/>
  <c r="Y1523" i="2"/>
  <c r="X1523" i="2"/>
  <c r="W1523" i="2"/>
  <c r="V1523" i="2"/>
  <c r="S1523" i="2"/>
  <c r="R1523" i="2"/>
  <c r="Q1523" i="2"/>
  <c r="P1523" i="2"/>
  <c r="O1523" i="2"/>
  <c r="N1523" i="2"/>
  <c r="M1523" i="2"/>
  <c r="L1523" i="2"/>
  <c r="K1523" i="2"/>
  <c r="H1523" i="2"/>
  <c r="G1523" i="2"/>
  <c r="F1523" i="2"/>
  <c r="E1523" i="2"/>
  <c r="D1523" i="2"/>
  <c r="C1523" i="2"/>
  <c r="B1523" i="2"/>
  <c r="A1523" i="2"/>
  <c r="AH1522" i="2"/>
  <c r="AG1522" i="2"/>
  <c r="AF1522" i="2"/>
  <c r="AE1522" i="2"/>
  <c r="AD1522" i="2"/>
  <c r="AC1522" i="2"/>
  <c r="AB1522" i="2"/>
  <c r="Z1522" i="2"/>
  <c r="Y1522" i="2"/>
  <c r="X1522" i="2"/>
  <c r="W1522" i="2"/>
  <c r="V1522" i="2"/>
  <c r="U1522" i="2"/>
  <c r="T1522" i="2"/>
  <c r="S1522" i="2"/>
  <c r="R1522" i="2"/>
  <c r="Q1522" i="2"/>
  <c r="P1522" i="2"/>
  <c r="O1522" i="2"/>
  <c r="N1522" i="2"/>
  <c r="M1522" i="2"/>
  <c r="L1522" i="2"/>
  <c r="K1522" i="2"/>
  <c r="H1522" i="2"/>
  <c r="G1522" i="2"/>
  <c r="F1522" i="2"/>
  <c r="E1522" i="2"/>
  <c r="D1522" i="2"/>
  <c r="C1522" i="2"/>
  <c r="B1522" i="2"/>
  <c r="A1522" i="2"/>
  <c r="AG1521" i="2"/>
  <c r="AF1521" i="2"/>
  <c r="AE1521" i="2"/>
  <c r="AD1521" i="2"/>
  <c r="AC1521" i="2"/>
  <c r="AB1521" i="2"/>
  <c r="Z1521" i="2"/>
  <c r="Y1521" i="2"/>
  <c r="X1521" i="2"/>
  <c r="W1521" i="2"/>
  <c r="V1521" i="2"/>
  <c r="U1521" i="2"/>
  <c r="S1521" i="2"/>
  <c r="R1521" i="2"/>
  <c r="Q1521" i="2"/>
  <c r="P1521" i="2"/>
  <c r="O1521" i="2"/>
  <c r="N1521" i="2"/>
  <c r="M1521" i="2"/>
  <c r="L1521" i="2"/>
  <c r="K1521" i="2"/>
  <c r="H1521" i="2"/>
  <c r="G1521" i="2"/>
  <c r="F1521" i="2"/>
  <c r="E1521" i="2"/>
  <c r="D1521" i="2"/>
  <c r="C1521" i="2"/>
  <c r="B1521" i="2"/>
  <c r="A1521" i="2"/>
  <c r="AG1520" i="2"/>
  <c r="AF1520" i="2"/>
  <c r="AE1520" i="2"/>
  <c r="AD1520" i="2"/>
  <c r="AC1520" i="2"/>
  <c r="AB1520" i="2"/>
  <c r="AA1520" i="2"/>
  <c r="Z1520" i="2"/>
  <c r="Y1520" i="2"/>
  <c r="X1520" i="2"/>
  <c r="W1520" i="2"/>
  <c r="V1520" i="2"/>
  <c r="U1520" i="2"/>
  <c r="T1520" i="2"/>
  <c r="S1520" i="2"/>
  <c r="R1520" i="2"/>
  <c r="Q1520" i="2"/>
  <c r="P1520" i="2"/>
  <c r="O1520" i="2"/>
  <c r="N1520" i="2"/>
  <c r="M1520" i="2"/>
  <c r="L1520" i="2"/>
  <c r="K1520" i="2"/>
  <c r="H1520" i="2"/>
  <c r="G1520" i="2"/>
  <c r="F1520" i="2"/>
  <c r="E1520" i="2"/>
  <c r="D1520" i="2"/>
  <c r="C1520" i="2"/>
  <c r="B1520" i="2"/>
  <c r="A1520" i="2"/>
  <c r="AG1519" i="2"/>
  <c r="AF1519" i="2"/>
  <c r="AE1519" i="2"/>
  <c r="AD1519" i="2"/>
  <c r="AC1519" i="2"/>
  <c r="AB1519" i="2"/>
  <c r="Z1519" i="2"/>
  <c r="Y1519" i="2"/>
  <c r="X1519" i="2"/>
  <c r="W1519" i="2"/>
  <c r="V1519" i="2"/>
  <c r="U1519" i="2"/>
  <c r="S1519" i="2"/>
  <c r="R1519" i="2"/>
  <c r="Q1519" i="2"/>
  <c r="P1519" i="2"/>
  <c r="O1519" i="2"/>
  <c r="N1519" i="2"/>
  <c r="M1519" i="2"/>
  <c r="L1519" i="2"/>
  <c r="K1519" i="2"/>
  <c r="H1519" i="2"/>
  <c r="G1519" i="2"/>
  <c r="F1519" i="2"/>
  <c r="E1519" i="2"/>
  <c r="D1519" i="2"/>
  <c r="C1519" i="2"/>
  <c r="B1519" i="2"/>
  <c r="A1519" i="2"/>
  <c r="AG1518" i="2"/>
  <c r="AF1518" i="2"/>
  <c r="AD1518" i="2"/>
  <c r="AC1518" i="2"/>
  <c r="AB1518" i="2"/>
  <c r="Z1518" i="2"/>
  <c r="X1518" i="2"/>
  <c r="W1518" i="2"/>
  <c r="V1518" i="2"/>
  <c r="U1518" i="2"/>
  <c r="T1518" i="2"/>
  <c r="S1518" i="2"/>
  <c r="R1518" i="2"/>
  <c r="Q1518" i="2"/>
  <c r="P1518" i="2"/>
  <c r="O1518" i="2"/>
  <c r="N1518" i="2"/>
  <c r="M1518" i="2"/>
  <c r="L1518" i="2"/>
  <c r="K1518" i="2"/>
  <c r="H1518" i="2"/>
  <c r="G1518" i="2"/>
  <c r="F1518" i="2"/>
  <c r="E1518" i="2"/>
  <c r="D1518" i="2"/>
  <c r="C1518" i="2"/>
  <c r="B1518" i="2"/>
  <c r="A1518" i="2"/>
  <c r="AF1517" i="2"/>
  <c r="AE1517" i="2"/>
  <c r="AD1517" i="2"/>
  <c r="AC1517" i="2"/>
  <c r="AB1517" i="2"/>
  <c r="Z1517" i="2"/>
  <c r="Y1517" i="2"/>
  <c r="X1517" i="2"/>
  <c r="W1517" i="2"/>
  <c r="V1517" i="2"/>
  <c r="U1517" i="2"/>
  <c r="Q1517" i="2"/>
  <c r="P1517" i="2"/>
  <c r="O1517" i="2"/>
  <c r="N1517" i="2"/>
  <c r="M1517" i="2"/>
  <c r="L1517" i="2"/>
  <c r="K1517" i="2"/>
  <c r="H1517" i="2"/>
  <c r="G1517" i="2"/>
  <c r="F1517" i="2"/>
  <c r="E1517" i="2"/>
  <c r="D1517" i="2"/>
  <c r="C1517" i="2"/>
  <c r="B1517" i="2"/>
  <c r="A1517" i="2"/>
  <c r="AF1516" i="2"/>
  <c r="AE1516" i="2"/>
  <c r="AD1516" i="2"/>
  <c r="AC1516" i="2"/>
  <c r="AB1516" i="2"/>
  <c r="Z1516" i="2"/>
  <c r="X1516" i="2"/>
  <c r="W1516" i="2"/>
  <c r="V1516" i="2"/>
  <c r="U1516" i="2"/>
  <c r="S1516" i="2"/>
  <c r="R1516" i="2"/>
  <c r="Q1516" i="2"/>
  <c r="P1516" i="2"/>
  <c r="O1516" i="2"/>
  <c r="N1516" i="2"/>
  <c r="M1516" i="2"/>
  <c r="L1516" i="2"/>
  <c r="K1516" i="2"/>
  <c r="H1516" i="2"/>
  <c r="G1516" i="2"/>
  <c r="F1516" i="2"/>
  <c r="E1516" i="2"/>
  <c r="D1516" i="2"/>
  <c r="C1516" i="2"/>
  <c r="B1516" i="2"/>
  <c r="A1516" i="2"/>
  <c r="AG1515" i="2"/>
  <c r="AF1515" i="2"/>
  <c r="AE1515" i="2"/>
  <c r="AD1515" i="2"/>
  <c r="AC1515" i="2"/>
  <c r="AB1515" i="2"/>
  <c r="Z1515" i="2"/>
  <c r="Y1515" i="2"/>
  <c r="X1515" i="2"/>
  <c r="W1515" i="2"/>
  <c r="V1515" i="2"/>
  <c r="Q1515" i="2"/>
  <c r="P1515" i="2"/>
  <c r="O1515" i="2"/>
  <c r="N1515" i="2"/>
  <c r="M1515" i="2"/>
  <c r="L1515" i="2"/>
  <c r="K1515" i="2"/>
  <c r="H1515" i="2"/>
  <c r="G1515" i="2"/>
  <c r="F1515" i="2"/>
  <c r="E1515" i="2"/>
  <c r="D1515" i="2"/>
  <c r="C1515" i="2"/>
  <c r="B1515" i="2"/>
  <c r="A1515" i="2"/>
  <c r="AG1514" i="2"/>
  <c r="AF1514" i="2"/>
  <c r="AD1514" i="2"/>
  <c r="AC1514" i="2"/>
  <c r="AB1514" i="2"/>
  <c r="Z1514" i="2"/>
  <c r="Y1514" i="2"/>
  <c r="X1514" i="2"/>
  <c r="W1514" i="2"/>
  <c r="V1514" i="2"/>
  <c r="U1514" i="2"/>
  <c r="T1514" i="2"/>
  <c r="S1514" i="2"/>
  <c r="R1514" i="2"/>
  <c r="Q1514" i="2"/>
  <c r="P1514" i="2"/>
  <c r="O1514" i="2"/>
  <c r="N1514" i="2"/>
  <c r="M1514" i="2"/>
  <c r="L1514" i="2"/>
  <c r="K1514" i="2"/>
  <c r="H1514" i="2"/>
  <c r="G1514" i="2"/>
  <c r="F1514" i="2"/>
  <c r="E1514" i="2"/>
  <c r="D1514" i="2"/>
  <c r="C1514" i="2"/>
  <c r="B1514" i="2"/>
  <c r="A1514" i="2"/>
  <c r="AG1513" i="2"/>
  <c r="AF1513" i="2"/>
  <c r="AE1513" i="2"/>
  <c r="AD1513" i="2"/>
  <c r="AC1513" i="2"/>
  <c r="AB1513" i="2"/>
  <c r="Z1513" i="2"/>
  <c r="Y1513" i="2"/>
  <c r="X1513" i="2"/>
  <c r="W1513" i="2"/>
  <c r="V1513" i="2"/>
  <c r="U1513" i="2"/>
  <c r="S1513" i="2"/>
  <c r="R1513" i="2"/>
  <c r="Q1513" i="2"/>
  <c r="P1513" i="2"/>
  <c r="O1513" i="2"/>
  <c r="N1513" i="2"/>
  <c r="M1513" i="2"/>
  <c r="L1513" i="2"/>
  <c r="K1513" i="2"/>
  <c r="H1513" i="2"/>
  <c r="G1513" i="2"/>
  <c r="F1513" i="2"/>
  <c r="E1513" i="2"/>
  <c r="D1513" i="2"/>
  <c r="C1513" i="2"/>
  <c r="B1513" i="2"/>
  <c r="A1513" i="2"/>
  <c r="AG1512" i="2"/>
  <c r="AF1512" i="2"/>
  <c r="AE1512" i="2"/>
  <c r="AD1512" i="2"/>
  <c r="AC1512" i="2"/>
  <c r="AB1512" i="2"/>
  <c r="Z1512" i="2"/>
  <c r="Y1512" i="2"/>
  <c r="X1512" i="2"/>
  <c r="W1512" i="2"/>
  <c r="V1512" i="2"/>
  <c r="U1512" i="2"/>
  <c r="T1512" i="2"/>
  <c r="S1512" i="2"/>
  <c r="R1512" i="2"/>
  <c r="Q1512" i="2"/>
  <c r="P1512" i="2"/>
  <c r="O1512" i="2"/>
  <c r="N1512" i="2"/>
  <c r="M1512" i="2"/>
  <c r="L1512" i="2"/>
  <c r="K1512" i="2"/>
  <c r="H1512" i="2"/>
  <c r="G1512" i="2"/>
  <c r="F1512" i="2"/>
  <c r="E1512" i="2"/>
  <c r="D1512" i="2"/>
  <c r="C1512" i="2"/>
  <c r="B1512" i="2"/>
  <c r="A1512" i="2"/>
  <c r="AG1511" i="2"/>
  <c r="AF1511" i="2"/>
  <c r="AE1511" i="2"/>
  <c r="AD1511" i="2"/>
  <c r="AC1511" i="2"/>
  <c r="AB1511" i="2"/>
  <c r="Z1511" i="2"/>
  <c r="Y1511" i="2"/>
  <c r="X1511" i="2"/>
  <c r="W1511" i="2"/>
  <c r="V1511" i="2"/>
  <c r="U1511" i="2"/>
  <c r="S1511" i="2"/>
  <c r="R1511" i="2"/>
  <c r="Q1511" i="2"/>
  <c r="P1511" i="2"/>
  <c r="O1511" i="2"/>
  <c r="N1511" i="2"/>
  <c r="M1511" i="2"/>
  <c r="L1511" i="2"/>
  <c r="K1511" i="2"/>
  <c r="H1511" i="2"/>
  <c r="G1511" i="2"/>
  <c r="F1511" i="2"/>
  <c r="E1511" i="2"/>
  <c r="D1511" i="2"/>
  <c r="C1511" i="2"/>
  <c r="B1511" i="2"/>
  <c r="A1511" i="2"/>
  <c r="AG1510" i="2"/>
  <c r="AF1510" i="2"/>
  <c r="AE1510" i="2"/>
  <c r="AD1510" i="2"/>
  <c r="AC1510" i="2"/>
  <c r="AB1510" i="2"/>
  <c r="Z1510" i="2"/>
  <c r="Y1510" i="2"/>
  <c r="X1510" i="2"/>
  <c r="W1510" i="2"/>
  <c r="V1510" i="2"/>
  <c r="U1510" i="2"/>
  <c r="S1510" i="2"/>
  <c r="R1510" i="2"/>
  <c r="Q1510" i="2"/>
  <c r="P1510" i="2"/>
  <c r="O1510" i="2"/>
  <c r="N1510" i="2"/>
  <c r="M1510" i="2"/>
  <c r="L1510" i="2"/>
  <c r="K1510" i="2"/>
  <c r="H1510" i="2"/>
  <c r="G1510" i="2"/>
  <c r="F1510" i="2"/>
  <c r="E1510" i="2"/>
  <c r="D1510" i="2"/>
  <c r="C1510" i="2"/>
  <c r="B1510" i="2"/>
  <c r="A1510" i="2"/>
  <c r="AF1509" i="2"/>
  <c r="AE1509" i="2"/>
  <c r="AD1509" i="2"/>
  <c r="AC1509" i="2"/>
  <c r="AB1509" i="2"/>
  <c r="Z1509" i="2"/>
  <c r="X1509" i="2"/>
  <c r="W1509" i="2"/>
  <c r="V1509" i="2"/>
  <c r="U1509" i="2"/>
  <c r="T1509" i="2"/>
  <c r="S1509" i="2"/>
  <c r="R1509" i="2"/>
  <c r="Q1509" i="2"/>
  <c r="P1509" i="2"/>
  <c r="O1509" i="2"/>
  <c r="N1509" i="2"/>
  <c r="M1509" i="2"/>
  <c r="L1509" i="2"/>
  <c r="K1509" i="2"/>
  <c r="H1509" i="2"/>
  <c r="G1509" i="2"/>
  <c r="F1509" i="2"/>
  <c r="E1509" i="2"/>
  <c r="D1509" i="2"/>
  <c r="C1509" i="2"/>
  <c r="B1509" i="2"/>
  <c r="A1509" i="2"/>
  <c r="AG1508" i="2"/>
  <c r="AF1508" i="2"/>
  <c r="AE1508" i="2"/>
  <c r="AD1508" i="2"/>
  <c r="AC1508" i="2"/>
  <c r="AB1508" i="2"/>
  <c r="Z1508" i="2"/>
  <c r="Y1508" i="2"/>
  <c r="X1508" i="2"/>
  <c r="W1508" i="2"/>
  <c r="V1508" i="2"/>
  <c r="U1508" i="2"/>
  <c r="R1508" i="2"/>
  <c r="Q1508" i="2"/>
  <c r="P1508" i="2"/>
  <c r="O1508" i="2"/>
  <c r="N1508" i="2"/>
  <c r="M1508" i="2"/>
  <c r="L1508" i="2"/>
  <c r="K1508" i="2"/>
  <c r="H1508" i="2"/>
  <c r="G1508" i="2"/>
  <c r="F1508" i="2"/>
  <c r="E1508" i="2"/>
  <c r="D1508" i="2"/>
  <c r="C1508" i="2"/>
  <c r="B1508" i="2"/>
  <c r="A1508" i="2"/>
  <c r="AF1507" i="2"/>
  <c r="AE1507" i="2"/>
  <c r="AD1507" i="2"/>
  <c r="AC1507" i="2"/>
  <c r="AB1507" i="2"/>
  <c r="AA1507" i="2"/>
  <c r="Z1507" i="2"/>
  <c r="Y1507" i="2"/>
  <c r="X1507" i="2"/>
  <c r="W1507" i="2"/>
  <c r="V1507" i="2"/>
  <c r="U1507" i="2"/>
  <c r="R1507" i="2"/>
  <c r="Q1507" i="2"/>
  <c r="P1507" i="2"/>
  <c r="O1507" i="2"/>
  <c r="N1507" i="2"/>
  <c r="M1507" i="2"/>
  <c r="L1507" i="2"/>
  <c r="K1507" i="2"/>
  <c r="H1507" i="2"/>
  <c r="G1507" i="2"/>
  <c r="F1507" i="2"/>
  <c r="E1507" i="2"/>
  <c r="D1507" i="2"/>
  <c r="C1507" i="2"/>
  <c r="B1507" i="2"/>
  <c r="A1507" i="2"/>
  <c r="AH1506" i="2"/>
  <c r="AG1506" i="2"/>
  <c r="AF1506" i="2"/>
  <c r="AE1506" i="2"/>
  <c r="AD1506" i="2"/>
  <c r="AC1506" i="2"/>
  <c r="AB1506" i="2"/>
  <c r="Z1506" i="2"/>
  <c r="Y1506" i="2"/>
  <c r="X1506" i="2"/>
  <c r="W1506" i="2"/>
  <c r="V1506" i="2"/>
  <c r="U1506" i="2"/>
  <c r="S1506" i="2"/>
  <c r="R1506" i="2"/>
  <c r="Q1506" i="2"/>
  <c r="P1506" i="2"/>
  <c r="O1506" i="2"/>
  <c r="N1506" i="2"/>
  <c r="M1506" i="2"/>
  <c r="L1506" i="2"/>
  <c r="K1506" i="2"/>
  <c r="H1506" i="2"/>
  <c r="G1506" i="2"/>
  <c r="F1506" i="2"/>
  <c r="E1506" i="2"/>
  <c r="D1506" i="2"/>
  <c r="C1506" i="2"/>
  <c r="B1506" i="2"/>
  <c r="A1506" i="2"/>
  <c r="AG1505" i="2"/>
  <c r="AF1505" i="2"/>
  <c r="AE1505" i="2"/>
  <c r="AD1505" i="2"/>
  <c r="AC1505" i="2"/>
  <c r="AB1505" i="2"/>
  <c r="AA1505" i="2"/>
  <c r="Z1505" i="2"/>
  <c r="Y1505" i="2"/>
  <c r="X1505" i="2"/>
  <c r="W1505" i="2"/>
  <c r="V1505" i="2"/>
  <c r="U1505" i="2"/>
  <c r="T1505" i="2"/>
  <c r="S1505" i="2"/>
  <c r="R1505" i="2"/>
  <c r="Q1505" i="2"/>
  <c r="P1505" i="2"/>
  <c r="O1505" i="2"/>
  <c r="N1505" i="2"/>
  <c r="M1505" i="2"/>
  <c r="L1505" i="2"/>
  <c r="K1505" i="2"/>
  <c r="H1505" i="2"/>
  <c r="G1505" i="2"/>
  <c r="F1505" i="2"/>
  <c r="E1505" i="2"/>
  <c r="D1505" i="2"/>
  <c r="C1505" i="2"/>
  <c r="B1505" i="2"/>
  <c r="A1505" i="2"/>
  <c r="AG1504" i="2"/>
  <c r="AF1504" i="2"/>
  <c r="AE1504" i="2"/>
  <c r="AD1504" i="2"/>
  <c r="AC1504" i="2"/>
  <c r="AB1504" i="2"/>
  <c r="Z1504" i="2"/>
  <c r="Y1504" i="2"/>
  <c r="X1504" i="2"/>
  <c r="W1504" i="2"/>
  <c r="V1504" i="2"/>
  <c r="U1504" i="2"/>
  <c r="T1504" i="2"/>
  <c r="S1504" i="2"/>
  <c r="R1504" i="2"/>
  <c r="Q1504" i="2"/>
  <c r="P1504" i="2"/>
  <c r="O1504" i="2"/>
  <c r="N1504" i="2"/>
  <c r="M1504" i="2"/>
  <c r="L1504" i="2"/>
  <c r="K1504" i="2"/>
  <c r="H1504" i="2"/>
  <c r="G1504" i="2"/>
  <c r="F1504" i="2"/>
  <c r="E1504" i="2"/>
  <c r="D1504" i="2"/>
  <c r="C1504" i="2"/>
  <c r="B1504" i="2"/>
  <c r="A1504" i="2"/>
  <c r="AH1503" i="2"/>
  <c r="AG1503" i="2"/>
  <c r="AF1503" i="2"/>
  <c r="AE1503" i="2"/>
  <c r="AD1503" i="2"/>
  <c r="AC1503" i="2"/>
  <c r="AB1503" i="2"/>
  <c r="Z1503" i="2"/>
  <c r="Y1503" i="2"/>
  <c r="X1503" i="2"/>
  <c r="W1503" i="2"/>
  <c r="V1503" i="2"/>
  <c r="U1503" i="2"/>
  <c r="T1503" i="2"/>
  <c r="S1503" i="2"/>
  <c r="R1503" i="2"/>
  <c r="Q1503" i="2"/>
  <c r="P1503" i="2"/>
  <c r="O1503" i="2"/>
  <c r="N1503" i="2"/>
  <c r="M1503" i="2"/>
  <c r="L1503" i="2"/>
  <c r="K1503" i="2"/>
  <c r="H1503" i="2"/>
  <c r="G1503" i="2"/>
  <c r="F1503" i="2"/>
  <c r="E1503" i="2"/>
  <c r="D1503" i="2"/>
  <c r="C1503" i="2"/>
  <c r="B1503" i="2"/>
  <c r="A1503" i="2"/>
  <c r="AH1502" i="2"/>
  <c r="AG1502" i="2"/>
  <c r="AF1502" i="2"/>
  <c r="AE1502" i="2"/>
  <c r="AD1502" i="2"/>
  <c r="AC1502" i="2"/>
  <c r="AB1502" i="2"/>
  <c r="AA1502" i="2"/>
  <c r="Z1502" i="2"/>
  <c r="Y1502" i="2"/>
  <c r="X1502" i="2"/>
  <c r="W1502" i="2"/>
  <c r="V1502" i="2"/>
  <c r="U1502" i="2"/>
  <c r="S1502" i="2"/>
  <c r="R1502" i="2"/>
  <c r="Q1502" i="2"/>
  <c r="P1502" i="2"/>
  <c r="O1502" i="2"/>
  <c r="N1502" i="2"/>
  <c r="M1502" i="2"/>
  <c r="L1502" i="2"/>
  <c r="K1502" i="2"/>
  <c r="H1502" i="2"/>
  <c r="G1502" i="2"/>
  <c r="F1502" i="2"/>
  <c r="E1502" i="2"/>
  <c r="D1502" i="2"/>
  <c r="C1502" i="2"/>
  <c r="B1502" i="2"/>
  <c r="A1502" i="2"/>
  <c r="AH1501" i="2"/>
  <c r="AG1501" i="2"/>
  <c r="AF1501" i="2"/>
  <c r="AE1501" i="2"/>
  <c r="AD1501" i="2"/>
  <c r="AC1501" i="2"/>
  <c r="AB1501" i="2"/>
  <c r="AA1501" i="2"/>
  <c r="Z1501" i="2"/>
  <c r="Y1501" i="2"/>
  <c r="X1501" i="2"/>
  <c r="W1501" i="2"/>
  <c r="V1501" i="2"/>
  <c r="U1501" i="2"/>
  <c r="S1501" i="2"/>
  <c r="R1501" i="2"/>
  <c r="Q1501" i="2"/>
  <c r="P1501" i="2"/>
  <c r="O1501" i="2"/>
  <c r="N1501" i="2"/>
  <c r="M1501" i="2"/>
  <c r="L1501" i="2"/>
  <c r="K1501" i="2"/>
  <c r="H1501" i="2"/>
  <c r="G1501" i="2"/>
  <c r="F1501" i="2"/>
  <c r="E1501" i="2"/>
  <c r="D1501" i="2"/>
  <c r="C1501" i="2"/>
  <c r="B1501" i="2"/>
  <c r="A1501" i="2"/>
  <c r="AH1500" i="2"/>
  <c r="AG1500" i="2"/>
  <c r="AF1500" i="2"/>
  <c r="AE1500" i="2"/>
  <c r="AD1500" i="2"/>
  <c r="AC1500" i="2"/>
  <c r="AB1500" i="2"/>
  <c r="Y1500" i="2"/>
  <c r="X1500" i="2"/>
  <c r="W1500" i="2"/>
  <c r="V1500" i="2"/>
  <c r="T1500" i="2"/>
  <c r="S1500" i="2"/>
  <c r="R1500" i="2"/>
  <c r="Q1500" i="2"/>
  <c r="P1500" i="2"/>
  <c r="O1500" i="2"/>
  <c r="N1500" i="2"/>
  <c r="M1500" i="2"/>
  <c r="L1500" i="2"/>
  <c r="K1500" i="2"/>
  <c r="H1500" i="2"/>
  <c r="G1500" i="2"/>
  <c r="F1500" i="2"/>
  <c r="E1500" i="2"/>
  <c r="D1500" i="2"/>
  <c r="C1500" i="2"/>
  <c r="B1500" i="2"/>
  <c r="A1500" i="2"/>
  <c r="AG1499" i="2"/>
  <c r="AF1499" i="2"/>
  <c r="AE1499" i="2"/>
  <c r="AD1499" i="2"/>
  <c r="AC1499" i="2"/>
  <c r="AB1499" i="2"/>
  <c r="Z1499" i="2"/>
  <c r="Y1499" i="2"/>
  <c r="X1499" i="2"/>
  <c r="W1499" i="2"/>
  <c r="V1499" i="2"/>
  <c r="U1499" i="2"/>
  <c r="S1499" i="2"/>
  <c r="R1499" i="2"/>
  <c r="Q1499" i="2"/>
  <c r="P1499" i="2"/>
  <c r="O1499" i="2"/>
  <c r="N1499" i="2"/>
  <c r="M1499" i="2"/>
  <c r="L1499" i="2"/>
  <c r="K1499" i="2"/>
  <c r="H1499" i="2"/>
  <c r="G1499" i="2"/>
  <c r="F1499" i="2"/>
  <c r="E1499" i="2"/>
  <c r="D1499" i="2"/>
  <c r="C1499" i="2"/>
  <c r="B1499" i="2"/>
  <c r="A1499" i="2"/>
  <c r="AH1498" i="2"/>
  <c r="AG1498" i="2"/>
  <c r="AF1498" i="2"/>
  <c r="AE1498" i="2"/>
  <c r="AD1498" i="2"/>
  <c r="AC1498" i="2"/>
  <c r="AB1498" i="2"/>
  <c r="AA1498" i="2"/>
  <c r="Z1498" i="2"/>
  <c r="Y1498" i="2"/>
  <c r="X1498" i="2"/>
  <c r="W1498" i="2"/>
  <c r="V1498" i="2"/>
  <c r="U1498" i="2"/>
  <c r="T1498" i="2"/>
  <c r="S1498" i="2"/>
  <c r="R1498" i="2"/>
  <c r="Q1498" i="2"/>
  <c r="P1498" i="2"/>
  <c r="O1498" i="2"/>
  <c r="N1498" i="2"/>
  <c r="M1498" i="2"/>
  <c r="L1498" i="2"/>
  <c r="K1498" i="2"/>
  <c r="H1498" i="2"/>
  <c r="G1498" i="2"/>
  <c r="F1498" i="2"/>
  <c r="E1498" i="2"/>
  <c r="D1498" i="2"/>
  <c r="C1498" i="2"/>
  <c r="B1498" i="2"/>
  <c r="A1498" i="2"/>
  <c r="AG1497" i="2"/>
  <c r="AF1497" i="2"/>
  <c r="AE1497" i="2"/>
  <c r="AD1497" i="2"/>
  <c r="AC1497" i="2"/>
  <c r="AB1497" i="2"/>
  <c r="AA1497" i="2"/>
  <c r="Z1497" i="2"/>
  <c r="Y1497" i="2"/>
  <c r="X1497" i="2"/>
  <c r="W1497" i="2"/>
  <c r="V1497" i="2"/>
  <c r="U1497" i="2"/>
  <c r="T1497" i="2"/>
  <c r="S1497" i="2"/>
  <c r="R1497" i="2"/>
  <c r="Q1497" i="2"/>
  <c r="P1497" i="2"/>
  <c r="O1497" i="2"/>
  <c r="N1497" i="2"/>
  <c r="M1497" i="2"/>
  <c r="L1497" i="2"/>
  <c r="K1497" i="2"/>
  <c r="H1497" i="2"/>
  <c r="G1497" i="2"/>
  <c r="F1497" i="2"/>
  <c r="E1497" i="2"/>
  <c r="D1497" i="2"/>
  <c r="C1497" i="2"/>
  <c r="B1497" i="2"/>
  <c r="A1497" i="2"/>
  <c r="AG1496" i="2"/>
  <c r="AF1496" i="2"/>
  <c r="AE1496" i="2"/>
  <c r="AD1496" i="2"/>
  <c r="AC1496" i="2"/>
  <c r="AB1496" i="2"/>
  <c r="Z1496" i="2"/>
  <c r="X1496" i="2"/>
  <c r="W1496" i="2"/>
  <c r="V1496" i="2"/>
  <c r="Q1496" i="2"/>
  <c r="P1496" i="2"/>
  <c r="O1496" i="2"/>
  <c r="N1496" i="2"/>
  <c r="M1496" i="2"/>
  <c r="L1496" i="2"/>
  <c r="K1496" i="2"/>
  <c r="H1496" i="2"/>
  <c r="G1496" i="2"/>
  <c r="F1496" i="2"/>
  <c r="E1496" i="2"/>
  <c r="D1496" i="2"/>
  <c r="C1496" i="2"/>
  <c r="B1496" i="2"/>
  <c r="A1496" i="2"/>
  <c r="AG1495" i="2"/>
  <c r="AF1495" i="2"/>
  <c r="AE1495" i="2"/>
  <c r="AD1495" i="2"/>
  <c r="AC1495" i="2"/>
  <c r="AB1495" i="2"/>
  <c r="AA1495" i="2"/>
  <c r="Z1495" i="2"/>
  <c r="Y1495" i="2"/>
  <c r="X1495" i="2"/>
  <c r="W1495" i="2"/>
  <c r="V1495" i="2"/>
  <c r="Q1495" i="2"/>
  <c r="P1495" i="2"/>
  <c r="O1495" i="2"/>
  <c r="N1495" i="2"/>
  <c r="M1495" i="2"/>
  <c r="L1495" i="2"/>
  <c r="K1495" i="2"/>
  <c r="H1495" i="2"/>
  <c r="G1495" i="2"/>
  <c r="F1495" i="2"/>
  <c r="E1495" i="2"/>
  <c r="D1495" i="2"/>
  <c r="C1495" i="2"/>
  <c r="B1495" i="2"/>
  <c r="A1495" i="2"/>
  <c r="AF1494" i="2"/>
  <c r="AD1494" i="2"/>
  <c r="AC1494" i="2"/>
  <c r="AB1494" i="2"/>
  <c r="Z1494" i="2"/>
  <c r="X1494" i="2"/>
  <c r="W1494" i="2"/>
  <c r="V1494" i="2"/>
  <c r="U1494" i="2"/>
  <c r="T1494" i="2"/>
  <c r="S1494" i="2"/>
  <c r="R1494" i="2"/>
  <c r="Q1494" i="2"/>
  <c r="P1494" i="2"/>
  <c r="O1494" i="2"/>
  <c r="N1494" i="2"/>
  <c r="M1494" i="2"/>
  <c r="L1494" i="2"/>
  <c r="K1494" i="2"/>
  <c r="H1494" i="2"/>
  <c r="G1494" i="2"/>
  <c r="F1494" i="2"/>
  <c r="E1494" i="2"/>
  <c r="D1494" i="2"/>
  <c r="C1494" i="2"/>
  <c r="B1494" i="2"/>
  <c r="A1494" i="2"/>
  <c r="AG1493" i="2"/>
  <c r="AF1493" i="2"/>
  <c r="AE1493" i="2"/>
  <c r="AD1493" i="2"/>
  <c r="AC1493" i="2"/>
  <c r="AB1493" i="2"/>
  <c r="Z1493" i="2"/>
  <c r="Y1493" i="2"/>
  <c r="X1493" i="2"/>
  <c r="W1493" i="2"/>
  <c r="V1493" i="2"/>
  <c r="U1493" i="2"/>
  <c r="T1493" i="2"/>
  <c r="S1493" i="2"/>
  <c r="R1493" i="2"/>
  <c r="Q1493" i="2"/>
  <c r="P1493" i="2"/>
  <c r="O1493" i="2"/>
  <c r="N1493" i="2"/>
  <c r="M1493" i="2"/>
  <c r="L1493" i="2"/>
  <c r="K1493" i="2"/>
  <c r="H1493" i="2"/>
  <c r="G1493" i="2"/>
  <c r="F1493" i="2"/>
  <c r="E1493" i="2"/>
  <c r="D1493" i="2"/>
  <c r="C1493" i="2"/>
  <c r="B1493" i="2"/>
  <c r="A1493" i="2"/>
  <c r="AG1492" i="2"/>
  <c r="AF1492" i="2"/>
  <c r="AE1492" i="2"/>
  <c r="AD1492" i="2"/>
  <c r="AC1492" i="2"/>
  <c r="AB1492" i="2"/>
  <c r="Z1492" i="2"/>
  <c r="Y1492" i="2"/>
  <c r="X1492" i="2"/>
  <c r="W1492" i="2"/>
  <c r="V1492" i="2"/>
  <c r="U1492" i="2"/>
  <c r="S1492" i="2"/>
  <c r="R1492" i="2"/>
  <c r="Q1492" i="2"/>
  <c r="P1492" i="2"/>
  <c r="O1492" i="2"/>
  <c r="N1492" i="2"/>
  <c r="M1492" i="2"/>
  <c r="L1492" i="2"/>
  <c r="K1492" i="2"/>
  <c r="H1492" i="2"/>
  <c r="G1492" i="2"/>
  <c r="F1492" i="2"/>
  <c r="E1492" i="2"/>
  <c r="D1492" i="2"/>
  <c r="C1492" i="2"/>
  <c r="B1492" i="2"/>
  <c r="A1492" i="2"/>
  <c r="AH1491" i="2"/>
  <c r="AG1491" i="2"/>
  <c r="AF1491" i="2"/>
  <c r="AD1491" i="2"/>
  <c r="AC1491" i="2"/>
  <c r="AB1491" i="2"/>
  <c r="Z1491" i="2"/>
  <c r="Y1491" i="2"/>
  <c r="X1491" i="2"/>
  <c r="W1491" i="2"/>
  <c r="V1491" i="2"/>
  <c r="U1491" i="2"/>
  <c r="T1491" i="2"/>
  <c r="S1491" i="2"/>
  <c r="R1491" i="2"/>
  <c r="Q1491" i="2"/>
  <c r="P1491" i="2"/>
  <c r="O1491" i="2"/>
  <c r="N1491" i="2"/>
  <c r="M1491" i="2"/>
  <c r="L1491" i="2"/>
  <c r="K1491" i="2"/>
  <c r="H1491" i="2"/>
  <c r="G1491" i="2"/>
  <c r="F1491" i="2"/>
  <c r="E1491" i="2"/>
  <c r="D1491" i="2"/>
  <c r="C1491" i="2"/>
  <c r="B1491" i="2"/>
  <c r="A1491" i="2"/>
  <c r="AH1490" i="2"/>
  <c r="AG1490" i="2"/>
  <c r="AF1490" i="2"/>
  <c r="AE1490" i="2"/>
  <c r="AD1490" i="2"/>
  <c r="AC1490" i="2"/>
  <c r="AB1490" i="2"/>
  <c r="Z1490" i="2"/>
  <c r="Y1490" i="2"/>
  <c r="X1490" i="2"/>
  <c r="W1490" i="2"/>
  <c r="V1490" i="2"/>
  <c r="S1490" i="2"/>
  <c r="R1490" i="2"/>
  <c r="Q1490" i="2"/>
  <c r="P1490" i="2"/>
  <c r="O1490" i="2"/>
  <c r="N1490" i="2"/>
  <c r="M1490" i="2"/>
  <c r="L1490" i="2"/>
  <c r="K1490" i="2"/>
  <c r="H1490" i="2"/>
  <c r="G1490" i="2"/>
  <c r="F1490" i="2"/>
  <c r="E1490" i="2"/>
  <c r="D1490" i="2"/>
  <c r="C1490" i="2"/>
  <c r="B1490" i="2"/>
  <c r="A1490" i="2"/>
  <c r="AH1489" i="2"/>
  <c r="AG1489" i="2"/>
  <c r="AF1489" i="2"/>
  <c r="AE1489" i="2"/>
  <c r="AD1489" i="2"/>
  <c r="AC1489" i="2"/>
  <c r="AB1489" i="2"/>
  <c r="Z1489" i="2"/>
  <c r="Y1489" i="2"/>
  <c r="X1489" i="2"/>
  <c r="W1489" i="2"/>
  <c r="V1489" i="2"/>
  <c r="U1489" i="2"/>
  <c r="T1489" i="2"/>
  <c r="S1489" i="2"/>
  <c r="R1489" i="2"/>
  <c r="Q1489" i="2"/>
  <c r="P1489" i="2"/>
  <c r="O1489" i="2"/>
  <c r="N1489" i="2"/>
  <c r="M1489" i="2"/>
  <c r="L1489" i="2"/>
  <c r="K1489" i="2"/>
  <c r="H1489" i="2"/>
  <c r="G1489" i="2"/>
  <c r="F1489" i="2"/>
  <c r="E1489" i="2"/>
  <c r="D1489" i="2"/>
  <c r="C1489" i="2"/>
  <c r="B1489" i="2"/>
  <c r="A1489" i="2"/>
  <c r="AG1488" i="2"/>
  <c r="AF1488" i="2"/>
  <c r="AE1488" i="2"/>
  <c r="AD1488" i="2"/>
  <c r="AC1488" i="2"/>
  <c r="AB1488" i="2"/>
  <c r="Z1488" i="2"/>
  <c r="Y1488" i="2"/>
  <c r="X1488" i="2"/>
  <c r="W1488" i="2"/>
  <c r="V1488" i="2"/>
  <c r="U1488" i="2"/>
  <c r="S1488" i="2"/>
  <c r="R1488" i="2"/>
  <c r="Q1488" i="2"/>
  <c r="P1488" i="2"/>
  <c r="O1488" i="2"/>
  <c r="N1488" i="2"/>
  <c r="M1488" i="2"/>
  <c r="L1488" i="2"/>
  <c r="K1488" i="2"/>
  <c r="H1488" i="2"/>
  <c r="G1488" i="2"/>
  <c r="F1488" i="2"/>
  <c r="E1488" i="2"/>
  <c r="D1488" i="2"/>
  <c r="C1488" i="2"/>
  <c r="B1488" i="2"/>
  <c r="A1488" i="2"/>
  <c r="AG1487" i="2"/>
  <c r="AF1487" i="2"/>
  <c r="AE1487" i="2"/>
  <c r="AD1487" i="2"/>
  <c r="AC1487" i="2"/>
  <c r="AB1487" i="2"/>
  <c r="Z1487" i="2"/>
  <c r="Y1487" i="2"/>
  <c r="X1487" i="2"/>
  <c r="W1487" i="2"/>
  <c r="V1487" i="2"/>
  <c r="U1487" i="2"/>
  <c r="R1487" i="2"/>
  <c r="Q1487" i="2"/>
  <c r="P1487" i="2"/>
  <c r="O1487" i="2"/>
  <c r="N1487" i="2"/>
  <c r="M1487" i="2"/>
  <c r="L1487" i="2"/>
  <c r="K1487" i="2"/>
  <c r="H1487" i="2"/>
  <c r="G1487" i="2"/>
  <c r="F1487" i="2"/>
  <c r="E1487" i="2"/>
  <c r="D1487" i="2"/>
  <c r="C1487" i="2"/>
  <c r="B1487" i="2"/>
  <c r="A1487" i="2"/>
  <c r="AG1486" i="2"/>
  <c r="AF1486" i="2"/>
  <c r="AD1486" i="2"/>
  <c r="AC1486" i="2"/>
  <c r="AB1486" i="2"/>
  <c r="Z1486" i="2"/>
  <c r="X1486" i="2"/>
  <c r="W1486" i="2"/>
  <c r="V1486" i="2"/>
  <c r="U1486" i="2"/>
  <c r="S1486" i="2"/>
  <c r="R1486" i="2"/>
  <c r="Q1486" i="2"/>
  <c r="P1486" i="2"/>
  <c r="O1486" i="2"/>
  <c r="N1486" i="2"/>
  <c r="M1486" i="2"/>
  <c r="L1486" i="2"/>
  <c r="K1486" i="2"/>
  <c r="H1486" i="2"/>
  <c r="G1486" i="2"/>
  <c r="F1486" i="2"/>
  <c r="E1486" i="2"/>
  <c r="D1486" i="2"/>
  <c r="C1486" i="2"/>
  <c r="B1486" i="2"/>
  <c r="A1486" i="2"/>
  <c r="AG1485" i="2"/>
  <c r="AE1485" i="2"/>
  <c r="AD1485" i="2"/>
  <c r="AC1485" i="2"/>
  <c r="AB1485" i="2"/>
  <c r="Z1485" i="2"/>
  <c r="Y1485" i="2"/>
  <c r="X1485" i="2"/>
  <c r="W1485" i="2"/>
  <c r="V1485" i="2"/>
  <c r="U1485" i="2"/>
  <c r="T1485" i="2"/>
  <c r="S1485" i="2"/>
  <c r="R1485" i="2"/>
  <c r="Q1485" i="2"/>
  <c r="P1485" i="2"/>
  <c r="O1485" i="2"/>
  <c r="N1485" i="2"/>
  <c r="M1485" i="2"/>
  <c r="L1485" i="2"/>
  <c r="K1485" i="2"/>
  <c r="H1485" i="2"/>
  <c r="G1485" i="2"/>
  <c r="F1485" i="2"/>
  <c r="E1485" i="2"/>
  <c r="D1485" i="2"/>
  <c r="C1485" i="2"/>
  <c r="B1485" i="2"/>
  <c r="A1485" i="2"/>
  <c r="AG1484" i="2"/>
  <c r="AF1484" i="2"/>
  <c r="AE1484" i="2"/>
  <c r="AD1484" i="2"/>
  <c r="AC1484" i="2"/>
  <c r="AB1484" i="2"/>
  <c r="Z1484" i="2"/>
  <c r="Y1484" i="2"/>
  <c r="X1484" i="2"/>
  <c r="W1484" i="2"/>
  <c r="V1484" i="2"/>
  <c r="U1484" i="2"/>
  <c r="T1484" i="2"/>
  <c r="S1484" i="2"/>
  <c r="R1484" i="2"/>
  <c r="Q1484" i="2"/>
  <c r="P1484" i="2"/>
  <c r="O1484" i="2"/>
  <c r="N1484" i="2"/>
  <c r="M1484" i="2"/>
  <c r="L1484" i="2"/>
  <c r="K1484" i="2"/>
  <c r="H1484" i="2"/>
  <c r="G1484" i="2"/>
  <c r="F1484" i="2"/>
  <c r="E1484" i="2"/>
  <c r="D1484" i="2"/>
  <c r="C1484" i="2"/>
  <c r="B1484" i="2"/>
  <c r="A1484" i="2"/>
  <c r="AG1483" i="2"/>
  <c r="AF1483" i="2"/>
  <c r="AE1483" i="2"/>
  <c r="AD1483" i="2"/>
  <c r="AC1483" i="2"/>
  <c r="AB1483" i="2"/>
  <c r="Z1483" i="2"/>
  <c r="Y1483" i="2"/>
  <c r="X1483" i="2"/>
  <c r="W1483" i="2"/>
  <c r="V1483" i="2"/>
  <c r="U1483" i="2"/>
  <c r="T1483" i="2"/>
  <c r="S1483" i="2"/>
  <c r="R1483" i="2"/>
  <c r="Q1483" i="2"/>
  <c r="P1483" i="2"/>
  <c r="O1483" i="2"/>
  <c r="N1483" i="2"/>
  <c r="M1483" i="2"/>
  <c r="L1483" i="2"/>
  <c r="K1483" i="2"/>
  <c r="H1483" i="2"/>
  <c r="G1483" i="2"/>
  <c r="F1483" i="2"/>
  <c r="E1483" i="2"/>
  <c r="D1483" i="2"/>
  <c r="C1483" i="2"/>
  <c r="B1483" i="2"/>
  <c r="A1483" i="2"/>
  <c r="AG1482" i="2"/>
  <c r="AF1482" i="2"/>
  <c r="AE1482" i="2"/>
  <c r="AD1482" i="2"/>
  <c r="AC1482" i="2"/>
  <c r="AB1482" i="2"/>
  <c r="Z1482" i="2"/>
  <c r="Y1482" i="2"/>
  <c r="X1482" i="2"/>
  <c r="W1482" i="2"/>
  <c r="V1482" i="2"/>
  <c r="U1482" i="2"/>
  <c r="S1482" i="2"/>
  <c r="R1482" i="2"/>
  <c r="Q1482" i="2"/>
  <c r="P1482" i="2"/>
  <c r="O1482" i="2"/>
  <c r="N1482" i="2"/>
  <c r="M1482" i="2"/>
  <c r="L1482" i="2"/>
  <c r="K1482" i="2"/>
  <c r="H1482" i="2"/>
  <c r="G1482" i="2"/>
  <c r="F1482" i="2"/>
  <c r="E1482" i="2"/>
  <c r="D1482" i="2"/>
  <c r="C1482" i="2"/>
  <c r="B1482" i="2"/>
  <c r="A1482" i="2"/>
  <c r="AH1481" i="2"/>
  <c r="AG1481" i="2"/>
  <c r="AF1481" i="2"/>
  <c r="AE1481" i="2"/>
  <c r="AD1481" i="2"/>
  <c r="AC1481" i="2"/>
  <c r="AB1481" i="2"/>
  <c r="Z1481" i="2"/>
  <c r="Y1481" i="2"/>
  <c r="X1481" i="2"/>
  <c r="W1481" i="2"/>
  <c r="V1481" i="2"/>
  <c r="T1481" i="2"/>
  <c r="S1481" i="2"/>
  <c r="R1481" i="2"/>
  <c r="Q1481" i="2"/>
  <c r="P1481" i="2"/>
  <c r="O1481" i="2"/>
  <c r="N1481" i="2"/>
  <c r="M1481" i="2"/>
  <c r="L1481" i="2"/>
  <c r="K1481" i="2"/>
  <c r="J1481" i="2"/>
  <c r="H1481" i="2"/>
  <c r="G1481" i="2"/>
  <c r="F1481" i="2"/>
  <c r="E1481" i="2"/>
  <c r="D1481" i="2"/>
  <c r="C1481" i="2"/>
  <c r="B1481" i="2"/>
  <c r="A1481" i="2"/>
  <c r="AH1480" i="2"/>
  <c r="AG1480" i="2"/>
  <c r="AF1480" i="2"/>
  <c r="AD1480" i="2"/>
  <c r="AC1480" i="2"/>
  <c r="AB1480" i="2"/>
  <c r="Z1480" i="2"/>
  <c r="Y1480" i="2"/>
  <c r="X1480" i="2"/>
  <c r="W1480" i="2"/>
  <c r="V1480" i="2"/>
  <c r="R1480" i="2"/>
  <c r="Q1480" i="2"/>
  <c r="P1480" i="2"/>
  <c r="O1480" i="2"/>
  <c r="N1480" i="2"/>
  <c r="M1480" i="2"/>
  <c r="L1480" i="2"/>
  <c r="K1480" i="2"/>
  <c r="H1480" i="2"/>
  <c r="G1480" i="2"/>
  <c r="F1480" i="2"/>
  <c r="E1480" i="2"/>
  <c r="D1480" i="2"/>
  <c r="C1480" i="2"/>
  <c r="B1480" i="2"/>
  <c r="A1480" i="2"/>
  <c r="AG1479" i="2"/>
  <c r="AF1479" i="2"/>
  <c r="AE1479" i="2"/>
  <c r="AD1479" i="2"/>
  <c r="AC1479" i="2"/>
  <c r="AB1479" i="2"/>
  <c r="Z1479" i="2"/>
  <c r="Y1479" i="2"/>
  <c r="X1479" i="2"/>
  <c r="W1479" i="2"/>
  <c r="V1479" i="2"/>
  <c r="U1479" i="2"/>
  <c r="T1479" i="2"/>
  <c r="S1479" i="2"/>
  <c r="R1479" i="2"/>
  <c r="Q1479" i="2"/>
  <c r="P1479" i="2"/>
  <c r="O1479" i="2"/>
  <c r="N1479" i="2"/>
  <c r="M1479" i="2"/>
  <c r="L1479" i="2"/>
  <c r="K1479" i="2"/>
  <c r="H1479" i="2"/>
  <c r="G1479" i="2"/>
  <c r="F1479" i="2"/>
  <c r="E1479" i="2"/>
  <c r="D1479" i="2"/>
  <c r="C1479" i="2"/>
  <c r="B1479" i="2"/>
  <c r="A1479" i="2"/>
  <c r="AG1478" i="2"/>
  <c r="AF1478" i="2"/>
  <c r="AD1478" i="2"/>
  <c r="AC1478" i="2"/>
  <c r="AB1478" i="2"/>
  <c r="Z1478" i="2"/>
  <c r="Y1478" i="2"/>
  <c r="X1478" i="2"/>
  <c r="W1478" i="2"/>
  <c r="V1478" i="2"/>
  <c r="U1478" i="2"/>
  <c r="T1478" i="2"/>
  <c r="S1478" i="2"/>
  <c r="R1478" i="2"/>
  <c r="Q1478" i="2"/>
  <c r="P1478" i="2"/>
  <c r="O1478" i="2"/>
  <c r="N1478" i="2"/>
  <c r="M1478" i="2"/>
  <c r="L1478" i="2"/>
  <c r="K1478" i="2"/>
  <c r="H1478" i="2"/>
  <c r="G1478" i="2"/>
  <c r="F1478" i="2"/>
  <c r="E1478" i="2"/>
  <c r="D1478" i="2"/>
  <c r="C1478" i="2"/>
  <c r="B1478" i="2"/>
  <c r="A1478" i="2"/>
  <c r="AG1477" i="2"/>
  <c r="AF1477" i="2"/>
  <c r="AE1477" i="2"/>
  <c r="AD1477" i="2"/>
  <c r="AC1477" i="2"/>
  <c r="AB1477" i="2"/>
  <c r="AA1477" i="2"/>
  <c r="Z1477" i="2"/>
  <c r="Y1477" i="2"/>
  <c r="X1477" i="2"/>
  <c r="W1477" i="2"/>
  <c r="V1477" i="2"/>
  <c r="U1477" i="2"/>
  <c r="T1477" i="2"/>
  <c r="S1477" i="2"/>
  <c r="R1477" i="2"/>
  <c r="Q1477" i="2"/>
  <c r="P1477" i="2"/>
  <c r="O1477" i="2"/>
  <c r="N1477" i="2"/>
  <c r="M1477" i="2"/>
  <c r="L1477" i="2"/>
  <c r="K1477" i="2"/>
  <c r="H1477" i="2"/>
  <c r="G1477" i="2"/>
  <c r="F1477" i="2"/>
  <c r="E1477" i="2"/>
  <c r="D1477" i="2"/>
  <c r="C1477" i="2"/>
  <c r="B1477" i="2"/>
  <c r="A1477" i="2"/>
  <c r="AH1476" i="2"/>
  <c r="AG1476" i="2"/>
  <c r="AF1476" i="2"/>
  <c r="AE1476" i="2"/>
  <c r="AD1476" i="2"/>
  <c r="AC1476" i="2"/>
  <c r="AB1476" i="2"/>
  <c r="AA1476" i="2"/>
  <c r="Z1476" i="2"/>
  <c r="Y1476" i="2"/>
  <c r="X1476" i="2"/>
  <c r="W1476" i="2"/>
  <c r="V1476" i="2"/>
  <c r="T1476" i="2"/>
  <c r="S1476" i="2"/>
  <c r="R1476" i="2"/>
  <c r="Q1476" i="2"/>
  <c r="P1476" i="2"/>
  <c r="O1476" i="2"/>
  <c r="N1476" i="2"/>
  <c r="M1476" i="2"/>
  <c r="L1476" i="2"/>
  <c r="K1476" i="2"/>
  <c r="H1476" i="2"/>
  <c r="G1476" i="2"/>
  <c r="F1476" i="2"/>
  <c r="E1476" i="2"/>
  <c r="D1476" i="2"/>
  <c r="C1476" i="2"/>
  <c r="B1476" i="2"/>
  <c r="A1476" i="2"/>
  <c r="AG1475" i="2"/>
  <c r="AF1475" i="2"/>
  <c r="AE1475" i="2"/>
  <c r="AD1475" i="2"/>
  <c r="AC1475" i="2"/>
  <c r="AB1475" i="2"/>
  <c r="Z1475" i="2"/>
  <c r="Y1475" i="2"/>
  <c r="X1475" i="2"/>
  <c r="W1475" i="2"/>
  <c r="V1475" i="2"/>
  <c r="U1475" i="2"/>
  <c r="T1475" i="2"/>
  <c r="S1475" i="2"/>
  <c r="R1475" i="2"/>
  <c r="Q1475" i="2"/>
  <c r="P1475" i="2"/>
  <c r="O1475" i="2"/>
  <c r="N1475" i="2"/>
  <c r="M1475" i="2"/>
  <c r="L1475" i="2"/>
  <c r="K1475" i="2"/>
  <c r="H1475" i="2"/>
  <c r="G1475" i="2"/>
  <c r="F1475" i="2"/>
  <c r="E1475" i="2"/>
  <c r="D1475" i="2"/>
  <c r="C1475" i="2"/>
  <c r="B1475" i="2"/>
  <c r="A1475" i="2"/>
  <c r="AG1474" i="2"/>
  <c r="AF1474" i="2"/>
  <c r="AE1474" i="2"/>
  <c r="AD1474" i="2"/>
  <c r="AC1474" i="2"/>
  <c r="AB1474" i="2"/>
  <c r="Z1474" i="2"/>
  <c r="Y1474" i="2"/>
  <c r="X1474" i="2"/>
  <c r="W1474" i="2"/>
  <c r="V1474" i="2"/>
  <c r="U1474" i="2"/>
  <c r="T1474" i="2"/>
  <c r="S1474" i="2"/>
  <c r="R1474" i="2"/>
  <c r="Q1474" i="2"/>
  <c r="P1474" i="2"/>
  <c r="O1474" i="2"/>
  <c r="N1474" i="2"/>
  <c r="M1474" i="2"/>
  <c r="L1474" i="2"/>
  <c r="K1474" i="2"/>
  <c r="H1474" i="2"/>
  <c r="G1474" i="2"/>
  <c r="F1474" i="2"/>
  <c r="E1474" i="2"/>
  <c r="D1474" i="2"/>
  <c r="C1474" i="2"/>
  <c r="B1474" i="2"/>
  <c r="A1474" i="2"/>
  <c r="AG1473" i="2"/>
  <c r="AF1473" i="2"/>
  <c r="AE1473" i="2"/>
  <c r="AD1473" i="2"/>
  <c r="AC1473" i="2"/>
  <c r="AB1473" i="2"/>
  <c r="Z1473" i="2"/>
  <c r="Y1473" i="2"/>
  <c r="X1473" i="2"/>
  <c r="W1473" i="2"/>
  <c r="V1473" i="2"/>
  <c r="U1473" i="2"/>
  <c r="T1473" i="2"/>
  <c r="R1473" i="2"/>
  <c r="Q1473" i="2"/>
  <c r="P1473" i="2"/>
  <c r="O1473" i="2"/>
  <c r="N1473" i="2"/>
  <c r="M1473" i="2"/>
  <c r="L1473" i="2"/>
  <c r="K1473" i="2"/>
  <c r="H1473" i="2"/>
  <c r="G1473" i="2"/>
  <c r="F1473" i="2"/>
  <c r="E1473" i="2"/>
  <c r="D1473" i="2"/>
  <c r="C1473" i="2"/>
  <c r="B1473" i="2"/>
  <c r="A1473" i="2"/>
  <c r="AH1472" i="2"/>
  <c r="AG1472" i="2"/>
  <c r="AF1472" i="2"/>
  <c r="AE1472" i="2"/>
  <c r="AD1472" i="2"/>
  <c r="AC1472" i="2"/>
  <c r="AB1472" i="2"/>
  <c r="Z1472" i="2"/>
  <c r="Y1472" i="2"/>
  <c r="X1472" i="2"/>
  <c r="W1472" i="2"/>
  <c r="V1472" i="2"/>
  <c r="U1472" i="2"/>
  <c r="R1472" i="2"/>
  <c r="Q1472" i="2"/>
  <c r="P1472" i="2"/>
  <c r="O1472" i="2"/>
  <c r="N1472" i="2"/>
  <c r="M1472" i="2"/>
  <c r="L1472" i="2"/>
  <c r="K1472" i="2"/>
  <c r="H1472" i="2"/>
  <c r="G1472" i="2"/>
  <c r="F1472" i="2"/>
  <c r="E1472" i="2"/>
  <c r="D1472" i="2"/>
  <c r="C1472" i="2"/>
  <c r="B1472" i="2"/>
  <c r="A1472" i="2"/>
  <c r="AG1471" i="2"/>
  <c r="AF1471" i="2"/>
  <c r="AE1471" i="2"/>
  <c r="AD1471" i="2"/>
  <c r="AC1471" i="2"/>
  <c r="AB1471" i="2"/>
  <c r="Z1471" i="2"/>
  <c r="X1471" i="2"/>
  <c r="W1471" i="2"/>
  <c r="V1471" i="2"/>
  <c r="U1471" i="2"/>
  <c r="T1471" i="2"/>
  <c r="S1471" i="2"/>
  <c r="R1471" i="2"/>
  <c r="Q1471" i="2"/>
  <c r="P1471" i="2"/>
  <c r="O1471" i="2"/>
  <c r="N1471" i="2"/>
  <c r="M1471" i="2"/>
  <c r="L1471" i="2"/>
  <c r="K1471" i="2"/>
  <c r="H1471" i="2"/>
  <c r="G1471" i="2"/>
  <c r="F1471" i="2"/>
  <c r="E1471" i="2"/>
  <c r="D1471" i="2"/>
  <c r="C1471" i="2"/>
  <c r="B1471" i="2"/>
  <c r="A1471" i="2"/>
  <c r="AH1470" i="2"/>
  <c r="AG1470" i="2"/>
  <c r="AF1470" i="2"/>
  <c r="AE1470" i="2"/>
  <c r="AD1470" i="2"/>
  <c r="AC1470" i="2"/>
  <c r="AB1470" i="2"/>
  <c r="Z1470" i="2"/>
  <c r="Y1470" i="2"/>
  <c r="X1470" i="2"/>
  <c r="W1470" i="2"/>
  <c r="V1470" i="2"/>
  <c r="U1470" i="2"/>
  <c r="T1470" i="2"/>
  <c r="S1470" i="2"/>
  <c r="R1470" i="2"/>
  <c r="Q1470" i="2"/>
  <c r="P1470" i="2"/>
  <c r="O1470" i="2"/>
  <c r="N1470" i="2"/>
  <c r="M1470" i="2"/>
  <c r="L1470" i="2"/>
  <c r="K1470" i="2"/>
  <c r="H1470" i="2"/>
  <c r="G1470" i="2"/>
  <c r="F1470" i="2"/>
  <c r="E1470" i="2"/>
  <c r="D1470" i="2"/>
  <c r="C1470" i="2"/>
  <c r="B1470" i="2"/>
  <c r="A1470" i="2"/>
  <c r="AG1469" i="2"/>
  <c r="AF1469" i="2"/>
  <c r="AE1469" i="2"/>
  <c r="AD1469" i="2"/>
  <c r="AC1469" i="2"/>
  <c r="AB1469" i="2"/>
  <c r="Z1469" i="2"/>
  <c r="Y1469" i="2"/>
  <c r="X1469" i="2"/>
  <c r="W1469" i="2"/>
  <c r="V1469" i="2"/>
  <c r="U1469" i="2"/>
  <c r="S1469" i="2"/>
  <c r="R1469" i="2"/>
  <c r="Q1469" i="2"/>
  <c r="P1469" i="2"/>
  <c r="O1469" i="2"/>
  <c r="N1469" i="2"/>
  <c r="M1469" i="2"/>
  <c r="L1469" i="2"/>
  <c r="K1469" i="2"/>
  <c r="H1469" i="2"/>
  <c r="G1469" i="2"/>
  <c r="F1469" i="2"/>
  <c r="E1469" i="2"/>
  <c r="D1469" i="2"/>
  <c r="C1469" i="2"/>
  <c r="B1469" i="2"/>
  <c r="A1469" i="2"/>
  <c r="AG1468" i="2"/>
  <c r="AF1468" i="2"/>
  <c r="AE1468" i="2"/>
  <c r="AD1468" i="2"/>
  <c r="AC1468" i="2"/>
  <c r="AB1468" i="2"/>
  <c r="AA1468" i="2"/>
  <c r="Z1468" i="2"/>
  <c r="Y1468" i="2"/>
  <c r="X1468" i="2"/>
  <c r="W1468" i="2"/>
  <c r="V1468" i="2"/>
  <c r="U1468" i="2"/>
  <c r="T1468" i="2"/>
  <c r="S1468" i="2"/>
  <c r="R1468" i="2"/>
  <c r="Q1468" i="2"/>
  <c r="P1468" i="2"/>
  <c r="O1468" i="2"/>
  <c r="N1468" i="2"/>
  <c r="M1468" i="2"/>
  <c r="L1468" i="2"/>
  <c r="K1468" i="2"/>
  <c r="H1468" i="2"/>
  <c r="G1468" i="2"/>
  <c r="F1468" i="2"/>
  <c r="E1468" i="2"/>
  <c r="D1468" i="2"/>
  <c r="C1468" i="2"/>
  <c r="B1468" i="2"/>
  <c r="A1468" i="2"/>
  <c r="AG1467" i="2"/>
  <c r="AF1467" i="2"/>
  <c r="AE1467" i="2"/>
  <c r="AD1467" i="2"/>
  <c r="AC1467" i="2"/>
  <c r="AB1467" i="2"/>
  <c r="Z1467" i="2"/>
  <c r="Y1467" i="2"/>
  <c r="X1467" i="2"/>
  <c r="W1467" i="2"/>
  <c r="V1467" i="2"/>
  <c r="U1467" i="2"/>
  <c r="S1467" i="2"/>
  <c r="R1467" i="2"/>
  <c r="Q1467" i="2"/>
  <c r="P1467" i="2"/>
  <c r="O1467" i="2"/>
  <c r="N1467" i="2"/>
  <c r="M1467" i="2"/>
  <c r="L1467" i="2"/>
  <c r="K1467" i="2"/>
  <c r="H1467" i="2"/>
  <c r="G1467" i="2"/>
  <c r="F1467" i="2"/>
  <c r="E1467" i="2"/>
  <c r="D1467" i="2"/>
  <c r="C1467" i="2"/>
  <c r="B1467" i="2"/>
  <c r="A1467" i="2"/>
  <c r="AG1466" i="2"/>
  <c r="AF1466" i="2"/>
  <c r="AE1466" i="2"/>
  <c r="AD1466" i="2"/>
  <c r="AC1466" i="2"/>
  <c r="AB1466" i="2"/>
  <c r="Z1466" i="2"/>
  <c r="Y1466" i="2"/>
  <c r="X1466" i="2"/>
  <c r="W1466" i="2"/>
  <c r="V1466" i="2"/>
  <c r="U1466" i="2"/>
  <c r="T1466" i="2"/>
  <c r="S1466" i="2"/>
  <c r="R1466" i="2"/>
  <c r="Q1466" i="2"/>
  <c r="P1466" i="2"/>
  <c r="O1466" i="2"/>
  <c r="N1466" i="2"/>
  <c r="M1466" i="2"/>
  <c r="L1466" i="2"/>
  <c r="K1466" i="2"/>
  <c r="H1466" i="2"/>
  <c r="G1466" i="2"/>
  <c r="F1466" i="2"/>
  <c r="E1466" i="2"/>
  <c r="D1466" i="2"/>
  <c r="C1466" i="2"/>
  <c r="B1466" i="2"/>
  <c r="A1466" i="2"/>
  <c r="AG1465" i="2"/>
  <c r="AF1465" i="2"/>
  <c r="AE1465" i="2"/>
  <c r="AD1465" i="2"/>
  <c r="AC1465" i="2"/>
  <c r="AB1465" i="2"/>
  <c r="Z1465" i="2"/>
  <c r="Y1465" i="2"/>
  <c r="X1465" i="2"/>
  <c r="W1465" i="2"/>
  <c r="V1465" i="2"/>
  <c r="U1465" i="2"/>
  <c r="T1465" i="2"/>
  <c r="S1465" i="2"/>
  <c r="R1465" i="2"/>
  <c r="Q1465" i="2"/>
  <c r="P1465" i="2"/>
  <c r="O1465" i="2"/>
  <c r="N1465" i="2"/>
  <c r="M1465" i="2"/>
  <c r="L1465" i="2"/>
  <c r="K1465" i="2"/>
  <c r="H1465" i="2"/>
  <c r="G1465" i="2"/>
  <c r="F1465" i="2"/>
  <c r="E1465" i="2"/>
  <c r="D1465" i="2"/>
  <c r="C1465" i="2"/>
  <c r="B1465" i="2"/>
  <c r="A1465" i="2"/>
  <c r="AG1464" i="2"/>
  <c r="AF1464" i="2"/>
  <c r="AE1464" i="2"/>
  <c r="AD1464" i="2"/>
  <c r="AC1464" i="2"/>
  <c r="AB1464" i="2"/>
  <c r="Z1464" i="2"/>
  <c r="Y1464" i="2"/>
  <c r="X1464" i="2"/>
  <c r="W1464" i="2"/>
  <c r="V1464" i="2"/>
  <c r="U1464" i="2"/>
  <c r="S1464" i="2"/>
  <c r="R1464" i="2"/>
  <c r="Q1464" i="2"/>
  <c r="P1464" i="2"/>
  <c r="O1464" i="2"/>
  <c r="N1464" i="2"/>
  <c r="M1464" i="2"/>
  <c r="L1464" i="2"/>
  <c r="K1464" i="2"/>
  <c r="H1464" i="2"/>
  <c r="G1464" i="2"/>
  <c r="F1464" i="2"/>
  <c r="E1464" i="2"/>
  <c r="D1464" i="2"/>
  <c r="C1464" i="2"/>
  <c r="B1464" i="2"/>
  <c r="A1464" i="2"/>
  <c r="AH1463" i="2"/>
  <c r="AG1463" i="2"/>
  <c r="AF1463" i="2"/>
  <c r="AE1463" i="2"/>
  <c r="AD1463" i="2"/>
  <c r="AC1463" i="2"/>
  <c r="AB1463" i="2"/>
  <c r="Z1463" i="2"/>
  <c r="Y1463" i="2"/>
  <c r="X1463" i="2"/>
  <c r="W1463" i="2"/>
  <c r="V1463" i="2"/>
  <c r="U1463" i="2"/>
  <c r="T1463" i="2"/>
  <c r="S1463" i="2"/>
  <c r="R1463" i="2"/>
  <c r="Q1463" i="2"/>
  <c r="P1463" i="2"/>
  <c r="O1463" i="2"/>
  <c r="N1463" i="2"/>
  <c r="M1463" i="2"/>
  <c r="L1463" i="2"/>
  <c r="K1463" i="2"/>
  <c r="H1463" i="2"/>
  <c r="G1463" i="2"/>
  <c r="F1463" i="2"/>
  <c r="E1463" i="2"/>
  <c r="D1463" i="2"/>
  <c r="C1463" i="2"/>
  <c r="B1463" i="2"/>
  <c r="A1463" i="2"/>
  <c r="AG1462" i="2"/>
  <c r="AF1462" i="2"/>
  <c r="AE1462" i="2"/>
  <c r="AD1462" i="2"/>
  <c r="AC1462" i="2"/>
  <c r="AB1462" i="2"/>
  <c r="Z1462" i="2"/>
  <c r="Y1462" i="2"/>
  <c r="X1462" i="2"/>
  <c r="W1462" i="2"/>
  <c r="V1462" i="2"/>
  <c r="S1462" i="2"/>
  <c r="R1462" i="2"/>
  <c r="Q1462" i="2"/>
  <c r="P1462" i="2"/>
  <c r="O1462" i="2"/>
  <c r="N1462" i="2"/>
  <c r="M1462" i="2"/>
  <c r="L1462" i="2"/>
  <c r="K1462" i="2"/>
  <c r="H1462" i="2"/>
  <c r="G1462" i="2"/>
  <c r="F1462" i="2"/>
  <c r="E1462" i="2"/>
  <c r="D1462" i="2"/>
  <c r="C1462" i="2"/>
  <c r="B1462" i="2"/>
  <c r="A1462" i="2"/>
  <c r="AG1461" i="2"/>
  <c r="AF1461" i="2"/>
  <c r="AE1461" i="2"/>
  <c r="AD1461" i="2"/>
  <c r="AC1461" i="2"/>
  <c r="AB1461" i="2"/>
  <c r="Z1461" i="2"/>
  <c r="Y1461" i="2"/>
  <c r="X1461" i="2"/>
  <c r="W1461" i="2"/>
  <c r="V1461" i="2"/>
  <c r="U1461" i="2"/>
  <c r="T1461" i="2"/>
  <c r="S1461" i="2"/>
  <c r="R1461" i="2"/>
  <c r="Q1461" i="2"/>
  <c r="P1461" i="2"/>
  <c r="O1461" i="2"/>
  <c r="N1461" i="2"/>
  <c r="M1461" i="2"/>
  <c r="L1461" i="2"/>
  <c r="K1461" i="2"/>
  <c r="H1461" i="2"/>
  <c r="G1461" i="2"/>
  <c r="F1461" i="2"/>
  <c r="E1461" i="2"/>
  <c r="D1461" i="2"/>
  <c r="C1461" i="2"/>
  <c r="B1461" i="2"/>
  <c r="A1461" i="2"/>
  <c r="AH1460" i="2"/>
  <c r="AG1460" i="2"/>
  <c r="AF1460" i="2"/>
  <c r="AE1460" i="2"/>
  <c r="AD1460" i="2"/>
  <c r="AC1460" i="2"/>
  <c r="AB1460" i="2"/>
  <c r="Z1460" i="2"/>
  <c r="Y1460" i="2"/>
  <c r="X1460" i="2"/>
  <c r="W1460" i="2"/>
  <c r="V1460" i="2"/>
  <c r="U1460" i="2"/>
  <c r="T1460" i="2"/>
  <c r="S1460" i="2"/>
  <c r="R1460" i="2"/>
  <c r="Q1460" i="2"/>
  <c r="P1460" i="2"/>
  <c r="O1460" i="2"/>
  <c r="N1460" i="2"/>
  <c r="M1460" i="2"/>
  <c r="L1460" i="2"/>
  <c r="K1460" i="2"/>
  <c r="H1460" i="2"/>
  <c r="G1460" i="2"/>
  <c r="F1460" i="2"/>
  <c r="E1460" i="2"/>
  <c r="D1460" i="2"/>
  <c r="C1460" i="2"/>
  <c r="B1460" i="2"/>
  <c r="A1460" i="2"/>
  <c r="AG1459" i="2"/>
  <c r="AF1459" i="2"/>
  <c r="AD1459" i="2"/>
  <c r="AC1459" i="2"/>
  <c r="AB1459" i="2"/>
  <c r="Z1459" i="2"/>
  <c r="Y1459" i="2"/>
  <c r="X1459" i="2"/>
  <c r="W1459" i="2"/>
  <c r="V1459" i="2"/>
  <c r="U1459" i="2"/>
  <c r="T1459" i="2"/>
  <c r="S1459" i="2"/>
  <c r="R1459" i="2"/>
  <c r="Q1459" i="2"/>
  <c r="P1459" i="2"/>
  <c r="O1459" i="2"/>
  <c r="N1459" i="2"/>
  <c r="M1459" i="2"/>
  <c r="L1459" i="2"/>
  <c r="K1459" i="2"/>
  <c r="H1459" i="2"/>
  <c r="G1459" i="2"/>
  <c r="F1459" i="2"/>
  <c r="E1459" i="2"/>
  <c r="D1459" i="2"/>
  <c r="C1459" i="2"/>
  <c r="B1459" i="2"/>
  <c r="A1459" i="2"/>
  <c r="AG1458" i="2"/>
  <c r="AF1458" i="2"/>
  <c r="AE1458" i="2"/>
  <c r="AD1458" i="2"/>
  <c r="AC1458" i="2"/>
  <c r="AB1458" i="2"/>
  <c r="Z1458" i="2"/>
  <c r="Y1458" i="2"/>
  <c r="X1458" i="2"/>
  <c r="W1458" i="2"/>
  <c r="V1458" i="2"/>
  <c r="U1458" i="2"/>
  <c r="S1458" i="2"/>
  <c r="R1458" i="2"/>
  <c r="Q1458" i="2"/>
  <c r="P1458" i="2"/>
  <c r="O1458" i="2"/>
  <c r="N1458" i="2"/>
  <c r="M1458" i="2"/>
  <c r="L1458" i="2"/>
  <c r="K1458" i="2"/>
  <c r="H1458" i="2"/>
  <c r="G1458" i="2"/>
  <c r="F1458" i="2"/>
  <c r="E1458" i="2"/>
  <c r="D1458" i="2"/>
  <c r="C1458" i="2"/>
  <c r="B1458" i="2"/>
  <c r="A1458" i="2"/>
  <c r="AG1457" i="2"/>
  <c r="AF1457" i="2"/>
  <c r="AE1457" i="2"/>
  <c r="AD1457" i="2"/>
  <c r="AC1457" i="2"/>
  <c r="AB1457" i="2"/>
  <c r="Z1457" i="2"/>
  <c r="Y1457" i="2"/>
  <c r="X1457" i="2"/>
  <c r="W1457" i="2"/>
  <c r="V1457" i="2"/>
  <c r="U1457" i="2"/>
  <c r="R1457" i="2"/>
  <c r="Q1457" i="2"/>
  <c r="P1457" i="2"/>
  <c r="O1457" i="2"/>
  <c r="N1457" i="2"/>
  <c r="M1457" i="2"/>
  <c r="L1457" i="2"/>
  <c r="K1457" i="2"/>
  <c r="H1457" i="2"/>
  <c r="G1457" i="2"/>
  <c r="F1457" i="2"/>
  <c r="E1457" i="2"/>
  <c r="D1457" i="2"/>
  <c r="C1457" i="2"/>
  <c r="B1457" i="2"/>
  <c r="A1457" i="2"/>
  <c r="AG1456" i="2"/>
  <c r="AF1456" i="2"/>
  <c r="AE1456" i="2"/>
  <c r="AD1456" i="2"/>
  <c r="AC1456" i="2"/>
  <c r="AB1456" i="2"/>
  <c r="AA1456" i="2"/>
  <c r="Z1456" i="2"/>
  <c r="Y1456" i="2"/>
  <c r="X1456" i="2"/>
  <c r="W1456" i="2"/>
  <c r="V1456" i="2"/>
  <c r="U1456" i="2"/>
  <c r="T1456" i="2"/>
  <c r="S1456" i="2"/>
  <c r="R1456" i="2"/>
  <c r="Q1456" i="2"/>
  <c r="P1456" i="2"/>
  <c r="O1456" i="2"/>
  <c r="N1456" i="2"/>
  <c r="M1456" i="2"/>
  <c r="L1456" i="2"/>
  <c r="K1456" i="2"/>
  <c r="H1456" i="2"/>
  <c r="G1456" i="2"/>
  <c r="F1456" i="2"/>
  <c r="E1456" i="2"/>
  <c r="D1456" i="2"/>
  <c r="C1456" i="2"/>
  <c r="B1456" i="2"/>
  <c r="A1456" i="2"/>
  <c r="AG1455" i="2"/>
  <c r="AF1455" i="2"/>
  <c r="AE1455" i="2"/>
  <c r="AD1455" i="2"/>
  <c r="AC1455" i="2"/>
  <c r="AB1455" i="2"/>
  <c r="AA1455" i="2"/>
  <c r="Z1455" i="2"/>
  <c r="Y1455" i="2"/>
  <c r="X1455" i="2"/>
  <c r="W1455" i="2"/>
  <c r="V1455" i="2"/>
  <c r="U1455" i="2"/>
  <c r="T1455" i="2"/>
  <c r="S1455" i="2"/>
  <c r="R1455" i="2"/>
  <c r="Q1455" i="2"/>
  <c r="P1455" i="2"/>
  <c r="O1455" i="2"/>
  <c r="N1455" i="2"/>
  <c r="M1455" i="2"/>
  <c r="L1455" i="2"/>
  <c r="K1455" i="2"/>
  <c r="H1455" i="2"/>
  <c r="G1455" i="2"/>
  <c r="F1455" i="2"/>
  <c r="E1455" i="2"/>
  <c r="D1455" i="2"/>
  <c r="C1455" i="2"/>
  <c r="B1455" i="2"/>
  <c r="A1455" i="2"/>
  <c r="AG1454" i="2"/>
  <c r="AD1454" i="2"/>
  <c r="AC1454" i="2"/>
  <c r="AB1454" i="2"/>
  <c r="Z1454" i="2"/>
  <c r="Y1454" i="2"/>
  <c r="X1454" i="2"/>
  <c r="W1454" i="2"/>
  <c r="V1454" i="2"/>
  <c r="U1454" i="2"/>
  <c r="T1454" i="2"/>
  <c r="S1454" i="2"/>
  <c r="R1454" i="2"/>
  <c r="Q1454" i="2"/>
  <c r="P1454" i="2"/>
  <c r="O1454" i="2"/>
  <c r="N1454" i="2"/>
  <c r="M1454" i="2"/>
  <c r="L1454" i="2"/>
  <c r="K1454" i="2"/>
  <c r="H1454" i="2"/>
  <c r="G1454" i="2"/>
  <c r="F1454" i="2"/>
  <c r="E1454" i="2"/>
  <c r="D1454" i="2"/>
  <c r="C1454" i="2"/>
  <c r="B1454" i="2"/>
  <c r="A1454" i="2"/>
  <c r="AG1453" i="2"/>
  <c r="AF1453" i="2"/>
  <c r="AE1453" i="2"/>
  <c r="AD1453" i="2"/>
  <c r="AC1453" i="2"/>
  <c r="AB1453" i="2"/>
  <c r="Z1453" i="2"/>
  <c r="Y1453" i="2"/>
  <c r="X1453" i="2"/>
  <c r="W1453" i="2"/>
  <c r="V1453" i="2"/>
  <c r="U1453" i="2"/>
  <c r="S1453" i="2"/>
  <c r="R1453" i="2"/>
  <c r="Q1453" i="2"/>
  <c r="P1453" i="2"/>
  <c r="O1453" i="2"/>
  <c r="N1453" i="2"/>
  <c r="M1453" i="2"/>
  <c r="L1453" i="2"/>
  <c r="K1453" i="2"/>
  <c r="H1453" i="2"/>
  <c r="G1453" i="2"/>
  <c r="F1453" i="2"/>
  <c r="E1453" i="2"/>
  <c r="D1453" i="2"/>
  <c r="C1453" i="2"/>
  <c r="B1453" i="2"/>
  <c r="A1453" i="2"/>
  <c r="AG1452" i="2"/>
  <c r="AF1452" i="2"/>
  <c r="AE1452" i="2"/>
  <c r="AD1452" i="2"/>
  <c r="AC1452" i="2"/>
  <c r="AB1452" i="2"/>
  <c r="Z1452" i="2"/>
  <c r="Y1452" i="2"/>
  <c r="X1452" i="2"/>
  <c r="W1452" i="2"/>
  <c r="V1452" i="2"/>
  <c r="U1452" i="2"/>
  <c r="S1452" i="2"/>
  <c r="R1452" i="2"/>
  <c r="Q1452" i="2"/>
  <c r="P1452" i="2"/>
  <c r="O1452" i="2"/>
  <c r="N1452" i="2"/>
  <c r="M1452" i="2"/>
  <c r="L1452" i="2"/>
  <c r="K1452" i="2"/>
  <c r="H1452" i="2"/>
  <c r="G1452" i="2"/>
  <c r="F1452" i="2"/>
  <c r="E1452" i="2"/>
  <c r="D1452" i="2"/>
  <c r="C1452" i="2"/>
  <c r="B1452" i="2"/>
  <c r="A1452" i="2"/>
  <c r="AG1451" i="2"/>
  <c r="AF1451" i="2"/>
  <c r="AE1451" i="2"/>
  <c r="AD1451" i="2"/>
  <c r="AC1451" i="2"/>
  <c r="AB1451" i="2"/>
  <c r="AA1451" i="2"/>
  <c r="Z1451" i="2"/>
  <c r="Y1451" i="2"/>
  <c r="X1451" i="2"/>
  <c r="W1451" i="2"/>
  <c r="V1451" i="2"/>
  <c r="U1451" i="2"/>
  <c r="S1451" i="2"/>
  <c r="R1451" i="2"/>
  <c r="Q1451" i="2"/>
  <c r="P1451" i="2"/>
  <c r="O1451" i="2"/>
  <c r="N1451" i="2"/>
  <c r="M1451" i="2"/>
  <c r="L1451" i="2"/>
  <c r="K1451" i="2"/>
  <c r="H1451" i="2"/>
  <c r="G1451" i="2"/>
  <c r="F1451" i="2"/>
  <c r="E1451" i="2"/>
  <c r="D1451" i="2"/>
  <c r="C1451" i="2"/>
  <c r="B1451" i="2"/>
  <c r="A1451" i="2"/>
  <c r="AG1450" i="2"/>
  <c r="AF1450" i="2"/>
  <c r="AE1450" i="2"/>
  <c r="AD1450" i="2"/>
  <c r="AC1450" i="2"/>
  <c r="AB1450" i="2"/>
  <c r="Z1450" i="2"/>
  <c r="Y1450" i="2"/>
  <c r="X1450" i="2"/>
  <c r="W1450" i="2"/>
  <c r="V1450" i="2"/>
  <c r="U1450" i="2"/>
  <c r="T1450" i="2"/>
  <c r="S1450" i="2"/>
  <c r="R1450" i="2"/>
  <c r="Q1450" i="2"/>
  <c r="P1450" i="2"/>
  <c r="O1450" i="2"/>
  <c r="N1450" i="2"/>
  <c r="M1450" i="2"/>
  <c r="L1450" i="2"/>
  <c r="K1450" i="2"/>
  <c r="H1450" i="2"/>
  <c r="G1450" i="2"/>
  <c r="F1450" i="2"/>
  <c r="E1450" i="2"/>
  <c r="D1450" i="2"/>
  <c r="C1450" i="2"/>
  <c r="B1450" i="2"/>
  <c r="A1450" i="2"/>
  <c r="AG1449" i="2"/>
  <c r="AF1449" i="2"/>
  <c r="AD1449" i="2"/>
  <c r="AC1449" i="2"/>
  <c r="AB1449" i="2"/>
  <c r="Z1449" i="2"/>
  <c r="Y1449" i="2"/>
  <c r="X1449" i="2"/>
  <c r="W1449" i="2"/>
  <c r="V1449" i="2"/>
  <c r="U1449" i="2"/>
  <c r="S1449" i="2"/>
  <c r="R1449" i="2"/>
  <c r="Q1449" i="2"/>
  <c r="P1449" i="2"/>
  <c r="O1449" i="2"/>
  <c r="N1449" i="2"/>
  <c r="M1449" i="2"/>
  <c r="L1449" i="2"/>
  <c r="K1449" i="2"/>
  <c r="H1449" i="2"/>
  <c r="G1449" i="2"/>
  <c r="F1449" i="2"/>
  <c r="E1449" i="2"/>
  <c r="D1449" i="2"/>
  <c r="C1449" i="2"/>
  <c r="B1449" i="2"/>
  <c r="A1449" i="2"/>
  <c r="AG1448" i="2"/>
  <c r="AF1448" i="2"/>
  <c r="AE1448" i="2"/>
  <c r="AD1448" i="2"/>
  <c r="AC1448" i="2"/>
  <c r="AB1448" i="2"/>
  <c r="AA1448" i="2"/>
  <c r="Z1448" i="2"/>
  <c r="Y1448" i="2"/>
  <c r="X1448" i="2"/>
  <c r="W1448" i="2"/>
  <c r="V1448" i="2"/>
  <c r="U1448" i="2"/>
  <c r="T1448" i="2"/>
  <c r="S1448" i="2"/>
  <c r="R1448" i="2"/>
  <c r="Q1448" i="2"/>
  <c r="P1448" i="2"/>
  <c r="O1448" i="2"/>
  <c r="N1448" i="2"/>
  <c r="M1448" i="2"/>
  <c r="L1448" i="2"/>
  <c r="K1448" i="2"/>
  <c r="H1448" i="2"/>
  <c r="G1448" i="2"/>
  <c r="F1448" i="2"/>
  <c r="E1448" i="2"/>
  <c r="D1448" i="2"/>
  <c r="C1448" i="2"/>
  <c r="B1448" i="2"/>
  <c r="A1448" i="2"/>
  <c r="AH1447" i="2"/>
  <c r="AG1447" i="2"/>
  <c r="AF1447" i="2"/>
  <c r="AE1447" i="2"/>
  <c r="AD1447" i="2"/>
  <c r="AC1447" i="2"/>
  <c r="AB1447" i="2"/>
  <c r="Z1447" i="2"/>
  <c r="Y1447" i="2"/>
  <c r="X1447" i="2"/>
  <c r="W1447" i="2"/>
  <c r="V1447" i="2"/>
  <c r="U1447" i="2"/>
  <c r="R1447" i="2"/>
  <c r="Q1447" i="2"/>
  <c r="P1447" i="2"/>
  <c r="O1447" i="2"/>
  <c r="N1447" i="2"/>
  <c r="M1447" i="2"/>
  <c r="L1447" i="2"/>
  <c r="K1447" i="2"/>
  <c r="H1447" i="2"/>
  <c r="G1447" i="2"/>
  <c r="F1447" i="2"/>
  <c r="E1447" i="2"/>
  <c r="D1447" i="2"/>
  <c r="C1447" i="2"/>
  <c r="B1447" i="2"/>
  <c r="A1447" i="2"/>
  <c r="AG1446" i="2"/>
  <c r="AF1446" i="2"/>
  <c r="AE1446" i="2"/>
  <c r="AD1446" i="2"/>
  <c r="AC1446" i="2"/>
  <c r="AB1446" i="2"/>
  <c r="Z1446" i="2"/>
  <c r="Y1446" i="2"/>
  <c r="X1446" i="2"/>
  <c r="W1446" i="2"/>
  <c r="V1446" i="2"/>
  <c r="U1446" i="2"/>
  <c r="T1446" i="2"/>
  <c r="S1446" i="2"/>
  <c r="R1446" i="2"/>
  <c r="Q1446" i="2"/>
  <c r="P1446" i="2"/>
  <c r="O1446" i="2"/>
  <c r="N1446" i="2"/>
  <c r="M1446" i="2"/>
  <c r="L1446" i="2"/>
  <c r="K1446" i="2"/>
  <c r="H1446" i="2"/>
  <c r="G1446" i="2"/>
  <c r="F1446" i="2"/>
  <c r="E1446" i="2"/>
  <c r="D1446" i="2"/>
  <c r="C1446" i="2"/>
  <c r="B1446" i="2"/>
  <c r="A1446" i="2"/>
  <c r="AH1445" i="2"/>
  <c r="AG1445" i="2"/>
  <c r="AF1445" i="2"/>
  <c r="AE1445" i="2"/>
  <c r="AD1445" i="2"/>
  <c r="AC1445" i="2"/>
  <c r="AB1445" i="2"/>
  <c r="Y1445" i="2"/>
  <c r="X1445" i="2"/>
  <c r="W1445" i="2"/>
  <c r="V1445" i="2"/>
  <c r="S1445" i="2"/>
  <c r="R1445" i="2"/>
  <c r="Q1445" i="2"/>
  <c r="P1445" i="2"/>
  <c r="O1445" i="2"/>
  <c r="N1445" i="2"/>
  <c r="M1445" i="2"/>
  <c r="L1445" i="2"/>
  <c r="K1445" i="2"/>
  <c r="H1445" i="2"/>
  <c r="G1445" i="2"/>
  <c r="F1445" i="2"/>
  <c r="E1445" i="2"/>
  <c r="D1445" i="2"/>
  <c r="C1445" i="2"/>
  <c r="B1445" i="2"/>
  <c r="A1445" i="2"/>
  <c r="AH1444" i="2"/>
  <c r="AG1444" i="2"/>
  <c r="AF1444" i="2"/>
  <c r="AE1444" i="2"/>
  <c r="AD1444" i="2"/>
  <c r="AC1444" i="2"/>
  <c r="AB1444" i="2"/>
  <c r="AA1444" i="2"/>
  <c r="Z1444" i="2"/>
  <c r="Y1444" i="2"/>
  <c r="X1444" i="2"/>
  <c r="W1444" i="2"/>
  <c r="V1444" i="2"/>
  <c r="U1444" i="2"/>
  <c r="T1444" i="2"/>
  <c r="S1444" i="2"/>
  <c r="R1444" i="2"/>
  <c r="Q1444" i="2"/>
  <c r="P1444" i="2"/>
  <c r="O1444" i="2"/>
  <c r="N1444" i="2"/>
  <c r="M1444" i="2"/>
  <c r="L1444" i="2"/>
  <c r="K1444" i="2"/>
  <c r="H1444" i="2"/>
  <c r="G1444" i="2"/>
  <c r="F1444" i="2"/>
  <c r="E1444" i="2"/>
  <c r="D1444" i="2"/>
  <c r="C1444" i="2"/>
  <c r="B1444" i="2"/>
  <c r="A1444" i="2"/>
  <c r="AG1443" i="2"/>
  <c r="AF1443" i="2"/>
  <c r="AE1443" i="2"/>
  <c r="AD1443" i="2"/>
  <c r="AC1443" i="2"/>
  <c r="AB1443" i="2"/>
  <c r="AA1443" i="2"/>
  <c r="Z1443" i="2"/>
  <c r="Y1443" i="2"/>
  <c r="X1443" i="2"/>
  <c r="W1443" i="2"/>
  <c r="V1443" i="2"/>
  <c r="U1443" i="2"/>
  <c r="T1443" i="2"/>
  <c r="S1443" i="2"/>
  <c r="R1443" i="2"/>
  <c r="Q1443" i="2"/>
  <c r="P1443" i="2"/>
  <c r="O1443" i="2"/>
  <c r="N1443" i="2"/>
  <c r="M1443" i="2"/>
  <c r="L1443" i="2"/>
  <c r="K1443" i="2"/>
  <c r="H1443" i="2"/>
  <c r="G1443" i="2"/>
  <c r="F1443" i="2"/>
  <c r="E1443" i="2"/>
  <c r="D1443" i="2"/>
  <c r="C1443" i="2"/>
  <c r="B1443" i="2"/>
  <c r="A1443" i="2"/>
  <c r="AG1442" i="2"/>
  <c r="AF1442" i="2"/>
  <c r="AE1442" i="2"/>
  <c r="AD1442" i="2"/>
  <c r="AC1442" i="2"/>
  <c r="AB1442" i="2"/>
  <c r="Z1442" i="2"/>
  <c r="Y1442" i="2"/>
  <c r="X1442" i="2"/>
  <c r="W1442" i="2"/>
  <c r="V1442" i="2"/>
  <c r="U1442" i="2"/>
  <c r="T1442" i="2"/>
  <c r="S1442" i="2"/>
  <c r="R1442" i="2"/>
  <c r="Q1442" i="2"/>
  <c r="P1442" i="2"/>
  <c r="O1442" i="2"/>
  <c r="N1442" i="2"/>
  <c r="M1442" i="2"/>
  <c r="L1442" i="2"/>
  <c r="K1442" i="2"/>
  <c r="H1442" i="2"/>
  <c r="G1442" i="2"/>
  <c r="F1442" i="2"/>
  <c r="E1442" i="2"/>
  <c r="D1442" i="2"/>
  <c r="C1442" i="2"/>
  <c r="B1442" i="2"/>
  <c r="A1442" i="2"/>
  <c r="AH1441" i="2"/>
  <c r="AG1441" i="2"/>
  <c r="AF1441" i="2"/>
  <c r="AE1441" i="2"/>
  <c r="AD1441" i="2"/>
  <c r="AC1441" i="2"/>
  <c r="AB1441" i="2"/>
  <c r="Z1441" i="2"/>
  <c r="Y1441" i="2"/>
  <c r="X1441" i="2"/>
  <c r="W1441" i="2"/>
  <c r="V1441" i="2"/>
  <c r="U1441" i="2"/>
  <c r="T1441" i="2"/>
  <c r="S1441" i="2"/>
  <c r="R1441" i="2"/>
  <c r="Q1441" i="2"/>
  <c r="P1441" i="2"/>
  <c r="O1441" i="2"/>
  <c r="N1441" i="2"/>
  <c r="M1441" i="2"/>
  <c r="L1441" i="2"/>
  <c r="K1441" i="2"/>
  <c r="H1441" i="2"/>
  <c r="G1441" i="2"/>
  <c r="F1441" i="2"/>
  <c r="E1441" i="2"/>
  <c r="D1441" i="2"/>
  <c r="C1441" i="2"/>
  <c r="B1441" i="2"/>
  <c r="A1441" i="2"/>
  <c r="AG1440" i="2"/>
  <c r="AF1440" i="2"/>
  <c r="AE1440" i="2"/>
  <c r="AD1440" i="2"/>
  <c r="AC1440" i="2"/>
  <c r="AB1440" i="2"/>
  <c r="Z1440" i="2"/>
  <c r="Y1440" i="2"/>
  <c r="X1440" i="2"/>
  <c r="W1440" i="2"/>
  <c r="V1440" i="2"/>
  <c r="U1440" i="2"/>
  <c r="S1440" i="2"/>
  <c r="R1440" i="2"/>
  <c r="Q1440" i="2"/>
  <c r="P1440" i="2"/>
  <c r="O1440" i="2"/>
  <c r="N1440" i="2"/>
  <c r="M1440" i="2"/>
  <c r="L1440" i="2"/>
  <c r="K1440" i="2"/>
  <c r="H1440" i="2"/>
  <c r="G1440" i="2"/>
  <c r="F1440" i="2"/>
  <c r="E1440" i="2"/>
  <c r="D1440" i="2"/>
  <c r="C1440" i="2"/>
  <c r="B1440" i="2"/>
  <c r="A1440" i="2"/>
  <c r="AG1439" i="2"/>
  <c r="AF1439" i="2"/>
  <c r="AE1439" i="2"/>
  <c r="AD1439" i="2"/>
  <c r="AC1439" i="2"/>
  <c r="AB1439" i="2"/>
  <c r="Z1439" i="2"/>
  <c r="Y1439" i="2"/>
  <c r="X1439" i="2"/>
  <c r="W1439" i="2"/>
  <c r="V1439" i="2"/>
  <c r="U1439" i="2"/>
  <c r="T1439" i="2"/>
  <c r="S1439" i="2"/>
  <c r="R1439" i="2"/>
  <c r="Q1439" i="2"/>
  <c r="P1439" i="2"/>
  <c r="O1439" i="2"/>
  <c r="N1439" i="2"/>
  <c r="M1439" i="2"/>
  <c r="L1439" i="2"/>
  <c r="K1439" i="2"/>
  <c r="H1439" i="2"/>
  <c r="G1439" i="2"/>
  <c r="F1439" i="2"/>
  <c r="E1439" i="2"/>
  <c r="D1439" i="2"/>
  <c r="C1439" i="2"/>
  <c r="B1439" i="2"/>
  <c r="A1439" i="2"/>
  <c r="AG1438" i="2"/>
  <c r="AF1438" i="2"/>
  <c r="AE1438" i="2"/>
  <c r="AD1438" i="2"/>
  <c r="AC1438" i="2"/>
  <c r="AB1438" i="2"/>
  <c r="Z1438" i="2"/>
  <c r="Y1438" i="2"/>
  <c r="X1438" i="2"/>
  <c r="W1438" i="2"/>
  <c r="V1438" i="2"/>
  <c r="U1438" i="2"/>
  <c r="T1438" i="2"/>
  <c r="S1438" i="2"/>
  <c r="R1438" i="2"/>
  <c r="Q1438" i="2"/>
  <c r="P1438" i="2"/>
  <c r="O1438" i="2"/>
  <c r="N1438" i="2"/>
  <c r="M1438" i="2"/>
  <c r="L1438" i="2"/>
  <c r="K1438" i="2"/>
  <c r="H1438" i="2"/>
  <c r="G1438" i="2"/>
  <c r="F1438" i="2"/>
  <c r="E1438" i="2"/>
  <c r="D1438" i="2"/>
  <c r="C1438" i="2"/>
  <c r="B1438" i="2"/>
  <c r="A1438" i="2"/>
  <c r="AG1437" i="2"/>
  <c r="AF1437" i="2"/>
  <c r="AE1437" i="2"/>
  <c r="AD1437" i="2"/>
  <c r="AC1437" i="2"/>
  <c r="AB1437" i="2"/>
  <c r="Z1437" i="2"/>
  <c r="Y1437" i="2"/>
  <c r="X1437" i="2"/>
  <c r="W1437" i="2"/>
  <c r="V1437" i="2"/>
  <c r="U1437" i="2"/>
  <c r="T1437" i="2"/>
  <c r="S1437" i="2"/>
  <c r="R1437" i="2"/>
  <c r="Q1437" i="2"/>
  <c r="P1437" i="2"/>
  <c r="O1437" i="2"/>
  <c r="N1437" i="2"/>
  <c r="M1437" i="2"/>
  <c r="L1437" i="2"/>
  <c r="K1437" i="2"/>
  <c r="H1437" i="2"/>
  <c r="G1437" i="2"/>
  <c r="F1437" i="2"/>
  <c r="E1437" i="2"/>
  <c r="D1437" i="2"/>
  <c r="C1437" i="2"/>
  <c r="B1437" i="2"/>
  <c r="A1437" i="2"/>
  <c r="AG1436" i="2"/>
  <c r="AF1436" i="2"/>
  <c r="AE1436" i="2"/>
  <c r="AD1436" i="2"/>
  <c r="AC1436" i="2"/>
  <c r="AB1436" i="2"/>
  <c r="AA1436" i="2"/>
  <c r="Z1436" i="2"/>
  <c r="Y1436" i="2"/>
  <c r="X1436" i="2"/>
  <c r="W1436" i="2"/>
  <c r="V1436" i="2"/>
  <c r="U1436" i="2"/>
  <c r="T1436" i="2"/>
  <c r="S1436" i="2"/>
  <c r="R1436" i="2"/>
  <c r="Q1436" i="2"/>
  <c r="P1436" i="2"/>
  <c r="O1436" i="2"/>
  <c r="N1436" i="2"/>
  <c r="M1436" i="2"/>
  <c r="L1436" i="2"/>
  <c r="K1436" i="2"/>
  <c r="H1436" i="2"/>
  <c r="G1436" i="2"/>
  <c r="F1436" i="2"/>
  <c r="E1436" i="2"/>
  <c r="D1436" i="2"/>
  <c r="C1436" i="2"/>
  <c r="B1436" i="2"/>
  <c r="A1436" i="2"/>
  <c r="AF1435" i="2"/>
  <c r="AE1435" i="2"/>
  <c r="AD1435" i="2"/>
  <c r="AC1435" i="2"/>
  <c r="AB1435" i="2"/>
  <c r="AA1435" i="2"/>
  <c r="Z1435" i="2"/>
  <c r="Y1435" i="2"/>
  <c r="X1435" i="2"/>
  <c r="W1435" i="2"/>
  <c r="V1435" i="2"/>
  <c r="U1435" i="2"/>
  <c r="T1435" i="2"/>
  <c r="S1435" i="2"/>
  <c r="R1435" i="2"/>
  <c r="Q1435" i="2"/>
  <c r="P1435" i="2"/>
  <c r="O1435" i="2"/>
  <c r="N1435" i="2"/>
  <c r="M1435" i="2"/>
  <c r="L1435" i="2"/>
  <c r="K1435" i="2"/>
  <c r="H1435" i="2"/>
  <c r="G1435" i="2"/>
  <c r="F1435" i="2"/>
  <c r="E1435" i="2"/>
  <c r="D1435" i="2"/>
  <c r="C1435" i="2"/>
  <c r="B1435" i="2"/>
  <c r="A1435" i="2"/>
  <c r="AG1434" i="2"/>
  <c r="AF1434" i="2"/>
  <c r="AE1434" i="2"/>
  <c r="AD1434" i="2"/>
  <c r="AC1434" i="2"/>
  <c r="AB1434" i="2"/>
  <c r="AA1434" i="2"/>
  <c r="Z1434" i="2"/>
  <c r="Y1434" i="2"/>
  <c r="X1434" i="2"/>
  <c r="W1434" i="2"/>
  <c r="V1434" i="2"/>
  <c r="U1434" i="2"/>
  <c r="T1434" i="2"/>
  <c r="S1434" i="2"/>
  <c r="R1434" i="2"/>
  <c r="Q1434" i="2"/>
  <c r="P1434" i="2"/>
  <c r="O1434" i="2"/>
  <c r="N1434" i="2"/>
  <c r="M1434" i="2"/>
  <c r="L1434" i="2"/>
  <c r="K1434" i="2"/>
  <c r="H1434" i="2"/>
  <c r="G1434" i="2"/>
  <c r="F1434" i="2"/>
  <c r="E1434" i="2"/>
  <c r="D1434" i="2"/>
  <c r="C1434" i="2"/>
  <c r="B1434" i="2"/>
  <c r="A1434" i="2"/>
  <c r="AG1433" i="2"/>
  <c r="AF1433" i="2"/>
  <c r="AE1433" i="2"/>
  <c r="AD1433" i="2"/>
  <c r="AC1433" i="2"/>
  <c r="AB1433" i="2"/>
  <c r="Z1433" i="2"/>
  <c r="Y1433" i="2"/>
  <c r="X1433" i="2"/>
  <c r="W1433" i="2"/>
  <c r="V1433" i="2"/>
  <c r="T1433" i="2"/>
  <c r="S1433" i="2"/>
  <c r="R1433" i="2"/>
  <c r="Q1433" i="2"/>
  <c r="P1433" i="2"/>
  <c r="O1433" i="2"/>
  <c r="N1433" i="2"/>
  <c r="M1433" i="2"/>
  <c r="L1433" i="2"/>
  <c r="K1433" i="2"/>
  <c r="H1433" i="2"/>
  <c r="G1433" i="2"/>
  <c r="F1433" i="2"/>
  <c r="E1433" i="2"/>
  <c r="D1433" i="2"/>
  <c r="C1433" i="2"/>
  <c r="B1433" i="2"/>
  <c r="A1433" i="2"/>
  <c r="AG1432" i="2"/>
  <c r="AF1432" i="2"/>
  <c r="AE1432" i="2"/>
  <c r="AD1432" i="2"/>
  <c r="AC1432" i="2"/>
  <c r="AB1432" i="2"/>
  <c r="AA1432" i="2"/>
  <c r="Z1432" i="2"/>
  <c r="Y1432" i="2"/>
  <c r="X1432" i="2"/>
  <c r="W1432" i="2"/>
  <c r="V1432" i="2"/>
  <c r="U1432" i="2"/>
  <c r="T1432" i="2"/>
  <c r="S1432" i="2"/>
  <c r="R1432" i="2"/>
  <c r="Q1432" i="2"/>
  <c r="P1432" i="2"/>
  <c r="O1432" i="2"/>
  <c r="N1432" i="2"/>
  <c r="M1432" i="2"/>
  <c r="L1432" i="2"/>
  <c r="K1432" i="2"/>
  <c r="H1432" i="2"/>
  <c r="G1432" i="2"/>
  <c r="F1432" i="2"/>
  <c r="E1432" i="2"/>
  <c r="D1432" i="2"/>
  <c r="C1432" i="2"/>
  <c r="B1432" i="2"/>
  <c r="A1432" i="2"/>
  <c r="AH1431" i="2"/>
  <c r="AG1431" i="2"/>
  <c r="AF1431" i="2"/>
  <c r="AE1431" i="2"/>
  <c r="AD1431" i="2"/>
  <c r="AC1431" i="2"/>
  <c r="AB1431" i="2"/>
  <c r="Y1431" i="2"/>
  <c r="X1431" i="2"/>
  <c r="W1431" i="2"/>
  <c r="V1431" i="2"/>
  <c r="U1431" i="2"/>
  <c r="T1431" i="2"/>
  <c r="S1431" i="2"/>
  <c r="R1431" i="2"/>
  <c r="Q1431" i="2"/>
  <c r="P1431" i="2"/>
  <c r="O1431" i="2"/>
  <c r="N1431" i="2"/>
  <c r="M1431" i="2"/>
  <c r="L1431" i="2"/>
  <c r="K1431" i="2"/>
  <c r="H1431" i="2"/>
  <c r="G1431" i="2"/>
  <c r="F1431" i="2"/>
  <c r="E1431" i="2"/>
  <c r="D1431" i="2"/>
  <c r="C1431" i="2"/>
  <c r="B1431" i="2"/>
  <c r="A1431" i="2"/>
  <c r="AH1430" i="2"/>
  <c r="AG1430" i="2"/>
  <c r="AF1430" i="2"/>
  <c r="AE1430" i="2"/>
  <c r="AD1430" i="2"/>
  <c r="AC1430" i="2"/>
  <c r="AB1430" i="2"/>
  <c r="Z1430" i="2"/>
  <c r="Y1430" i="2"/>
  <c r="X1430" i="2"/>
  <c r="W1430" i="2"/>
  <c r="V1430" i="2"/>
  <c r="U1430" i="2"/>
  <c r="T1430" i="2"/>
  <c r="S1430" i="2"/>
  <c r="R1430" i="2"/>
  <c r="Q1430" i="2"/>
  <c r="P1430" i="2"/>
  <c r="O1430" i="2"/>
  <c r="N1430" i="2"/>
  <c r="M1430" i="2"/>
  <c r="L1430" i="2"/>
  <c r="K1430" i="2"/>
  <c r="H1430" i="2"/>
  <c r="G1430" i="2"/>
  <c r="F1430" i="2"/>
  <c r="E1430" i="2"/>
  <c r="D1430" i="2"/>
  <c r="C1430" i="2"/>
  <c r="B1430" i="2"/>
  <c r="A1430" i="2"/>
  <c r="AG1429" i="2"/>
  <c r="AF1429" i="2"/>
  <c r="AE1429" i="2"/>
  <c r="AD1429" i="2"/>
  <c r="AC1429" i="2"/>
  <c r="AB1429" i="2"/>
  <c r="Z1429" i="2"/>
  <c r="Y1429" i="2"/>
  <c r="X1429" i="2"/>
  <c r="W1429" i="2"/>
  <c r="V1429" i="2"/>
  <c r="U1429" i="2"/>
  <c r="S1429" i="2"/>
  <c r="R1429" i="2"/>
  <c r="Q1429" i="2"/>
  <c r="P1429" i="2"/>
  <c r="O1429" i="2"/>
  <c r="N1429" i="2"/>
  <c r="M1429" i="2"/>
  <c r="L1429" i="2"/>
  <c r="K1429" i="2"/>
  <c r="H1429" i="2"/>
  <c r="G1429" i="2"/>
  <c r="F1429" i="2"/>
  <c r="E1429" i="2"/>
  <c r="D1429" i="2"/>
  <c r="C1429" i="2"/>
  <c r="B1429" i="2"/>
  <c r="A1429" i="2"/>
  <c r="AG1428" i="2"/>
  <c r="AF1428" i="2"/>
  <c r="AE1428" i="2"/>
  <c r="AD1428" i="2"/>
  <c r="AC1428" i="2"/>
  <c r="AB1428" i="2"/>
  <c r="AA1428" i="2"/>
  <c r="Z1428" i="2"/>
  <c r="Y1428" i="2"/>
  <c r="X1428" i="2"/>
  <c r="W1428" i="2"/>
  <c r="V1428" i="2"/>
  <c r="U1428" i="2"/>
  <c r="T1428" i="2"/>
  <c r="S1428" i="2"/>
  <c r="R1428" i="2"/>
  <c r="Q1428" i="2"/>
  <c r="P1428" i="2"/>
  <c r="O1428" i="2"/>
  <c r="N1428" i="2"/>
  <c r="M1428" i="2"/>
  <c r="L1428" i="2"/>
  <c r="K1428" i="2"/>
  <c r="H1428" i="2"/>
  <c r="G1428" i="2"/>
  <c r="F1428" i="2"/>
  <c r="E1428" i="2"/>
  <c r="D1428" i="2"/>
  <c r="C1428" i="2"/>
  <c r="B1428" i="2"/>
  <c r="A1428" i="2"/>
  <c r="AG1427" i="2"/>
  <c r="AF1427" i="2"/>
  <c r="AE1427" i="2"/>
  <c r="AD1427" i="2"/>
  <c r="AC1427" i="2"/>
  <c r="AB1427" i="2"/>
  <c r="Z1427" i="2"/>
  <c r="Y1427" i="2"/>
  <c r="X1427" i="2"/>
  <c r="W1427" i="2"/>
  <c r="V1427" i="2"/>
  <c r="U1427" i="2"/>
  <c r="T1427" i="2"/>
  <c r="S1427" i="2"/>
  <c r="R1427" i="2"/>
  <c r="Q1427" i="2"/>
  <c r="P1427" i="2"/>
  <c r="O1427" i="2"/>
  <c r="N1427" i="2"/>
  <c r="M1427" i="2"/>
  <c r="L1427" i="2"/>
  <c r="K1427" i="2"/>
  <c r="H1427" i="2"/>
  <c r="G1427" i="2"/>
  <c r="F1427" i="2"/>
  <c r="E1427" i="2"/>
  <c r="D1427" i="2"/>
  <c r="C1427" i="2"/>
  <c r="B1427" i="2"/>
  <c r="A1427" i="2"/>
  <c r="AH1426" i="2"/>
  <c r="AG1426" i="2"/>
  <c r="AF1426" i="2"/>
  <c r="AE1426" i="2"/>
  <c r="AD1426" i="2"/>
  <c r="AC1426" i="2"/>
  <c r="AB1426" i="2"/>
  <c r="AA1426" i="2"/>
  <c r="Z1426" i="2"/>
  <c r="Y1426" i="2"/>
  <c r="X1426" i="2"/>
  <c r="W1426" i="2"/>
  <c r="V1426" i="2"/>
  <c r="S1426" i="2"/>
  <c r="R1426" i="2"/>
  <c r="Q1426" i="2"/>
  <c r="P1426" i="2"/>
  <c r="O1426" i="2"/>
  <c r="N1426" i="2"/>
  <c r="M1426" i="2"/>
  <c r="L1426" i="2"/>
  <c r="K1426" i="2"/>
  <c r="H1426" i="2"/>
  <c r="G1426" i="2"/>
  <c r="F1426" i="2"/>
  <c r="E1426" i="2"/>
  <c r="D1426" i="2"/>
  <c r="C1426" i="2"/>
  <c r="B1426" i="2"/>
  <c r="A1426" i="2"/>
  <c r="AG1425" i="2"/>
  <c r="AF1425" i="2"/>
  <c r="AE1425" i="2"/>
  <c r="AD1425" i="2"/>
  <c r="AC1425" i="2"/>
  <c r="AB1425" i="2"/>
  <c r="Z1425" i="2"/>
  <c r="Y1425" i="2"/>
  <c r="X1425" i="2"/>
  <c r="W1425" i="2"/>
  <c r="V1425" i="2"/>
  <c r="U1425" i="2"/>
  <c r="T1425" i="2"/>
  <c r="S1425" i="2"/>
  <c r="R1425" i="2"/>
  <c r="Q1425" i="2"/>
  <c r="P1425" i="2"/>
  <c r="O1425" i="2"/>
  <c r="N1425" i="2"/>
  <c r="M1425" i="2"/>
  <c r="L1425" i="2"/>
  <c r="K1425" i="2"/>
  <c r="J1425" i="2"/>
  <c r="H1425" i="2"/>
  <c r="G1425" i="2"/>
  <c r="F1425" i="2"/>
  <c r="E1425" i="2"/>
  <c r="D1425" i="2"/>
  <c r="C1425" i="2"/>
  <c r="B1425" i="2"/>
  <c r="A1425" i="2"/>
  <c r="AG1424" i="2"/>
  <c r="AF1424" i="2"/>
  <c r="AE1424" i="2"/>
  <c r="AD1424" i="2"/>
  <c r="AC1424" i="2"/>
  <c r="AB1424" i="2"/>
  <c r="Z1424" i="2"/>
  <c r="Y1424" i="2"/>
  <c r="X1424" i="2"/>
  <c r="W1424" i="2"/>
  <c r="V1424" i="2"/>
  <c r="U1424" i="2"/>
  <c r="S1424" i="2"/>
  <c r="R1424" i="2"/>
  <c r="Q1424" i="2"/>
  <c r="P1424" i="2"/>
  <c r="O1424" i="2"/>
  <c r="N1424" i="2"/>
  <c r="M1424" i="2"/>
  <c r="L1424" i="2"/>
  <c r="K1424" i="2"/>
  <c r="H1424" i="2"/>
  <c r="G1424" i="2"/>
  <c r="F1424" i="2"/>
  <c r="E1424" i="2"/>
  <c r="D1424" i="2"/>
  <c r="C1424" i="2"/>
  <c r="B1424" i="2"/>
  <c r="A1424" i="2"/>
  <c r="AG1423" i="2"/>
  <c r="AF1423" i="2"/>
  <c r="AE1423" i="2"/>
  <c r="AD1423" i="2"/>
  <c r="AC1423" i="2"/>
  <c r="AB1423" i="2"/>
  <c r="AA1423" i="2"/>
  <c r="Z1423" i="2"/>
  <c r="Y1423" i="2"/>
  <c r="X1423" i="2"/>
  <c r="W1423" i="2"/>
  <c r="V1423" i="2"/>
  <c r="U1423" i="2"/>
  <c r="T1423" i="2"/>
  <c r="S1423" i="2"/>
  <c r="R1423" i="2"/>
  <c r="Q1423" i="2"/>
  <c r="P1423" i="2"/>
  <c r="O1423" i="2"/>
  <c r="N1423" i="2"/>
  <c r="M1423" i="2"/>
  <c r="L1423" i="2"/>
  <c r="K1423" i="2"/>
  <c r="H1423" i="2"/>
  <c r="G1423" i="2"/>
  <c r="F1423" i="2"/>
  <c r="E1423" i="2"/>
  <c r="D1423" i="2"/>
  <c r="C1423" i="2"/>
  <c r="B1423" i="2"/>
  <c r="A1423" i="2"/>
  <c r="AG1422" i="2"/>
  <c r="AF1422" i="2"/>
  <c r="AE1422" i="2"/>
  <c r="AD1422" i="2"/>
  <c r="AC1422" i="2"/>
  <c r="AB1422" i="2"/>
  <c r="Z1422" i="2"/>
  <c r="Y1422" i="2"/>
  <c r="X1422" i="2"/>
  <c r="W1422" i="2"/>
  <c r="V1422" i="2"/>
  <c r="U1422" i="2"/>
  <c r="T1422" i="2"/>
  <c r="S1422" i="2"/>
  <c r="R1422" i="2"/>
  <c r="Q1422" i="2"/>
  <c r="P1422" i="2"/>
  <c r="O1422" i="2"/>
  <c r="N1422" i="2"/>
  <c r="M1422" i="2"/>
  <c r="L1422" i="2"/>
  <c r="K1422" i="2"/>
  <c r="J1422" i="2"/>
  <c r="I1422" i="2"/>
  <c r="H1422" i="2"/>
  <c r="G1422" i="2"/>
  <c r="F1422" i="2"/>
  <c r="E1422" i="2"/>
  <c r="D1422" i="2"/>
  <c r="C1422" i="2"/>
  <c r="B1422" i="2"/>
  <c r="A1422" i="2"/>
  <c r="AH1421" i="2"/>
  <c r="AG1421" i="2"/>
  <c r="AF1421" i="2"/>
  <c r="AE1421" i="2"/>
  <c r="AD1421" i="2"/>
  <c r="AC1421" i="2"/>
  <c r="AB1421" i="2"/>
  <c r="Z1421" i="2"/>
  <c r="Y1421" i="2"/>
  <c r="X1421" i="2"/>
  <c r="W1421" i="2"/>
  <c r="V1421" i="2"/>
  <c r="U1421" i="2"/>
  <c r="T1421" i="2"/>
  <c r="S1421" i="2"/>
  <c r="R1421" i="2"/>
  <c r="Q1421" i="2"/>
  <c r="P1421" i="2"/>
  <c r="O1421" i="2"/>
  <c r="N1421" i="2"/>
  <c r="M1421" i="2"/>
  <c r="L1421" i="2"/>
  <c r="K1421" i="2"/>
  <c r="J1421" i="2"/>
  <c r="I1421" i="2"/>
  <c r="H1421" i="2"/>
  <c r="G1421" i="2"/>
  <c r="F1421" i="2"/>
  <c r="E1421" i="2"/>
  <c r="D1421" i="2"/>
  <c r="C1421" i="2"/>
  <c r="B1421" i="2"/>
  <c r="A1421" i="2"/>
  <c r="AG1420" i="2"/>
  <c r="AF1420" i="2"/>
  <c r="AD1420" i="2"/>
  <c r="AC1420" i="2"/>
  <c r="AB1420" i="2"/>
  <c r="Z1420" i="2"/>
  <c r="X1420" i="2"/>
  <c r="W1420" i="2"/>
  <c r="V1420" i="2"/>
  <c r="U1420" i="2"/>
  <c r="T1420" i="2"/>
  <c r="S1420" i="2"/>
  <c r="R1420" i="2"/>
  <c r="Q1420" i="2"/>
  <c r="P1420" i="2"/>
  <c r="O1420" i="2"/>
  <c r="N1420" i="2"/>
  <c r="M1420" i="2"/>
  <c r="L1420" i="2"/>
  <c r="K1420" i="2"/>
  <c r="H1420" i="2"/>
  <c r="G1420" i="2"/>
  <c r="F1420" i="2"/>
  <c r="E1420" i="2"/>
  <c r="D1420" i="2"/>
  <c r="C1420" i="2"/>
  <c r="B1420" i="2"/>
  <c r="A1420" i="2"/>
  <c r="AH1419" i="2"/>
  <c r="AG1419" i="2"/>
  <c r="AF1419" i="2"/>
  <c r="AD1419" i="2"/>
  <c r="AC1419" i="2"/>
  <c r="AB1419" i="2"/>
  <c r="Z1419" i="2"/>
  <c r="X1419" i="2"/>
  <c r="W1419" i="2"/>
  <c r="V1419" i="2"/>
  <c r="U1419" i="2"/>
  <c r="T1419" i="2"/>
  <c r="S1419" i="2"/>
  <c r="R1419" i="2"/>
  <c r="Q1419" i="2"/>
  <c r="P1419" i="2"/>
  <c r="O1419" i="2"/>
  <c r="N1419" i="2"/>
  <c r="M1419" i="2"/>
  <c r="L1419" i="2"/>
  <c r="K1419" i="2"/>
  <c r="H1419" i="2"/>
  <c r="G1419" i="2"/>
  <c r="F1419" i="2"/>
  <c r="E1419" i="2"/>
  <c r="D1419" i="2"/>
  <c r="C1419" i="2"/>
  <c r="B1419" i="2"/>
  <c r="A1419" i="2"/>
  <c r="AG1418" i="2"/>
  <c r="AF1418" i="2"/>
  <c r="AE1418" i="2"/>
  <c r="AD1418" i="2"/>
  <c r="AC1418" i="2"/>
  <c r="AB1418" i="2"/>
  <c r="Z1418" i="2"/>
  <c r="Y1418" i="2"/>
  <c r="X1418" i="2"/>
  <c r="W1418" i="2"/>
  <c r="V1418" i="2"/>
  <c r="U1418" i="2"/>
  <c r="T1418" i="2"/>
  <c r="S1418" i="2"/>
  <c r="R1418" i="2"/>
  <c r="Q1418" i="2"/>
  <c r="P1418" i="2"/>
  <c r="O1418" i="2"/>
  <c r="N1418" i="2"/>
  <c r="M1418" i="2"/>
  <c r="L1418" i="2"/>
  <c r="K1418" i="2"/>
  <c r="H1418" i="2"/>
  <c r="G1418" i="2"/>
  <c r="F1418" i="2"/>
  <c r="E1418" i="2"/>
  <c r="D1418" i="2"/>
  <c r="C1418" i="2"/>
  <c r="B1418" i="2"/>
  <c r="A1418" i="2"/>
  <c r="AG1417" i="2"/>
  <c r="AF1417" i="2"/>
  <c r="AE1417" i="2"/>
  <c r="AD1417" i="2"/>
  <c r="AC1417" i="2"/>
  <c r="AB1417" i="2"/>
  <c r="Y1417" i="2"/>
  <c r="X1417" i="2"/>
  <c r="W1417" i="2"/>
  <c r="V1417" i="2"/>
  <c r="U1417" i="2"/>
  <c r="S1417" i="2"/>
  <c r="R1417" i="2"/>
  <c r="Q1417" i="2"/>
  <c r="P1417" i="2"/>
  <c r="O1417" i="2"/>
  <c r="N1417" i="2"/>
  <c r="M1417" i="2"/>
  <c r="L1417" i="2"/>
  <c r="K1417" i="2"/>
  <c r="H1417" i="2"/>
  <c r="G1417" i="2"/>
  <c r="F1417" i="2"/>
  <c r="E1417" i="2"/>
  <c r="D1417" i="2"/>
  <c r="C1417" i="2"/>
  <c r="B1417" i="2"/>
  <c r="A1417" i="2"/>
  <c r="AG1416" i="2"/>
  <c r="AF1416" i="2"/>
  <c r="AE1416" i="2"/>
  <c r="AD1416" i="2"/>
  <c r="AC1416" i="2"/>
  <c r="AB1416" i="2"/>
  <c r="Z1416" i="2"/>
  <c r="Y1416" i="2"/>
  <c r="X1416" i="2"/>
  <c r="W1416" i="2"/>
  <c r="V1416" i="2"/>
  <c r="U1416" i="2"/>
  <c r="R1416" i="2"/>
  <c r="Q1416" i="2"/>
  <c r="P1416" i="2"/>
  <c r="O1416" i="2"/>
  <c r="N1416" i="2"/>
  <c r="M1416" i="2"/>
  <c r="L1416" i="2"/>
  <c r="K1416" i="2"/>
  <c r="H1416" i="2"/>
  <c r="G1416" i="2"/>
  <c r="F1416" i="2"/>
  <c r="E1416" i="2"/>
  <c r="D1416" i="2"/>
  <c r="C1416" i="2"/>
  <c r="B1416" i="2"/>
  <c r="A1416" i="2"/>
  <c r="AG1415" i="2"/>
  <c r="AF1415" i="2"/>
  <c r="AE1415" i="2"/>
  <c r="AD1415" i="2"/>
  <c r="AC1415" i="2"/>
  <c r="AB1415" i="2"/>
  <c r="Z1415" i="2"/>
  <c r="Y1415" i="2"/>
  <c r="X1415" i="2"/>
  <c r="W1415" i="2"/>
  <c r="V1415" i="2"/>
  <c r="U1415" i="2"/>
  <c r="T1415" i="2"/>
  <c r="S1415" i="2"/>
  <c r="R1415" i="2"/>
  <c r="Q1415" i="2"/>
  <c r="P1415" i="2"/>
  <c r="O1415" i="2"/>
  <c r="N1415" i="2"/>
  <c r="M1415" i="2"/>
  <c r="L1415" i="2"/>
  <c r="K1415" i="2"/>
  <c r="H1415" i="2"/>
  <c r="G1415" i="2"/>
  <c r="F1415" i="2"/>
  <c r="E1415" i="2"/>
  <c r="D1415" i="2"/>
  <c r="C1415" i="2"/>
  <c r="B1415" i="2"/>
  <c r="A1415" i="2"/>
  <c r="AG1414" i="2"/>
  <c r="AF1414" i="2"/>
  <c r="AE1414" i="2"/>
  <c r="AD1414" i="2"/>
  <c r="AC1414" i="2"/>
  <c r="AB1414" i="2"/>
  <c r="Z1414" i="2"/>
  <c r="Y1414" i="2"/>
  <c r="X1414" i="2"/>
  <c r="W1414" i="2"/>
  <c r="V1414" i="2"/>
  <c r="U1414" i="2"/>
  <c r="T1414" i="2"/>
  <c r="S1414" i="2"/>
  <c r="R1414" i="2"/>
  <c r="Q1414" i="2"/>
  <c r="P1414" i="2"/>
  <c r="O1414" i="2"/>
  <c r="N1414" i="2"/>
  <c r="M1414" i="2"/>
  <c r="L1414" i="2"/>
  <c r="K1414" i="2"/>
  <c r="H1414" i="2"/>
  <c r="G1414" i="2"/>
  <c r="F1414" i="2"/>
  <c r="E1414" i="2"/>
  <c r="D1414" i="2"/>
  <c r="C1414" i="2"/>
  <c r="B1414" i="2"/>
  <c r="A1414" i="2"/>
  <c r="AH1413" i="2"/>
  <c r="AG1413" i="2"/>
  <c r="AF1413" i="2"/>
  <c r="AD1413" i="2"/>
  <c r="AC1413" i="2"/>
  <c r="AB1413" i="2"/>
  <c r="AA1413" i="2"/>
  <c r="Z1413" i="2"/>
  <c r="Y1413" i="2"/>
  <c r="X1413" i="2"/>
  <c r="W1413" i="2"/>
  <c r="V1413" i="2"/>
  <c r="U1413" i="2"/>
  <c r="T1413" i="2"/>
  <c r="S1413" i="2"/>
  <c r="R1413" i="2"/>
  <c r="Q1413" i="2"/>
  <c r="P1413" i="2"/>
  <c r="O1413" i="2"/>
  <c r="N1413" i="2"/>
  <c r="M1413" i="2"/>
  <c r="L1413" i="2"/>
  <c r="K1413" i="2"/>
  <c r="H1413" i="2"/>
  <c r="G1413" i="2"/>
  <c r="F1413" i="2"/>
  <c r="E1413" i="2"/>
  <c r="D1413" i="2"/>
  <c r="C1413" i="2"/>
  <c r="B1413" i="2"/>
  <c r="A1413" i="2"/>
  <c r="AG1412" i="2"/>
  <c r="AF1412" i="2"/>
  <c r="AE1412" i="2"/>
  <c r="AD1412" i="2"/>
  <c r="AC1412" i="2"/>
  <c r="AB1412" i="2"/>
  <c r="AA1412" i="2"/>
  <c r="Z1412" i="2"/>
  <c r="Y1412" i="2"/>
  <c r="X1412" i="2"/>
  <c r="W1412" i="2"/>
  <c r="V1412" i="2"/>
  <c r="U1412" i="2"/>
  <c r="S1412" i="2"/>
  <c r="R1412" i="2"/>
  <c r="Q1412" i="2"/>
  <c r="P1412" i="2"/>
  <c r="O1412" i="2"/>
  <c r="N1412" i="2"/>
  <c r="M1412" i="2"/>
  <c r="L1412" i="2"/>
  <c r="K1412" i="2"/>
  <c r="H1412" i="2"/>
  <c r="G1412" i="2"/>
  <c r="F1412" i="2"/>
  <c r="E1412" i="2"/>
  <c r="D1412" i="2"/>
  <c r="C1412" i="2"/>
  <c r="B1412" i="2"/>
  <c r="A1412" i="2"/>
  <c r="AG1411" i="2"/>
  <c r="AF1411" i="2"/>
  <c r="AE1411" i="2"/>
  <c r="AD1411" i="2"/>
  <c r="AC1411" i="2"/>
  <c r="AB1411" i="2"/>
  <c r="Z1411" i="2"/>
  <c r="Y1411" i="2"/>
  <c r="X1411" i="2"/>
  <c r="W1411" i="2"/>
  <c r="V1411" i="2"/>
  <c r="U1411" i="2"/>
  <c r="T1411" i="2"/>
  <c r="S1411" i="2"/>
  <c r="R1411" i="2"/>
  <c r="Q1411" i="2"/>
  <c r="P1411" i="2"/>
  <c r="O1411" i="2"/>
  <c r="N1411" i="2"/>
  <c r="M1411" i="2"/>
  <c r="L1411" i="2"/>
  <c r="K1411" i="2"/>
  <c r="H1411" i="2"/>
  <c r="G1411" i="2"/>
  <c r="F1411" i="2"/>
  <c r="E1411" i="2"/>
  <c r="D1411" i="2"/>
  <c r="C1411" i="2"/>
  <c r="B1411" i="2"/>
  <c r="A1411" i="2"/>
  <c r="AH1410" i="2"/>
  <c r="AG1410" i="2"/>
  <c r="AF1410" i="2"/>
  <c r="AE1410" i="2"/>
  <c r="AD1410" i="2"/>
  <c r="AC1410" i="2"/>
  <c r="AB1410" i="2"/>
  <c r="Z1410" i="2"/>
  <c r="Y1410" i="2"/>
  <c r="X1410" i="2"/>
  <c r="W1410" i="2"/>
  <c r="V1410" i="2"/>
  <c r="U1410" i="2"/>
  <c r="T1410" i="2"/>
  <c r="S1410" i="2"/>
  <c r="R1410" i="2"/>
  <c r="Q1410" i="2"/>
  <c r="P1410" i="2"/>
  <c r="O1410" i="2"/>
  <c r="N1410" i="2"/>
  <c r="M1410" i="2"/>
  <c r="L1410" i="2"/>
  <c r="K1410" i="2"/>
  <c r="H1410" i="2"/>
  <c r="G1410" i="2"/>
  <c r="F1410" i="2"/>
  <c r="E1410" i="2"/>
  <c r="D1410" i="2"/>
  <c r="C1410" i="2"/>
  <c r="B1410" i="2"/>
  <c r="A1410" i="2"/>
  <c r="AH1409" i="2"/>
  <c r="AG1409" i="2"/>
  <c r="AF1409" i="2"/>
  <c r="AE1409" i="2"/>
  <c r="AD1409" i="2"/>
  <c r="AC1409" i="2"/>
  <c r="AB1409" i="2"/>
  <c r="Y1409" i="2"/>
  <c r="X1409" i="2"/>
  <c r="W1409" i="2"/>
  <c r="V1409" i="2"/>
  <c r="U1409" i="2"/>
  <c r="R1409" i="2"/>
  <c r="Q1409" i="2"/>
  <c r="P1409" i="2"/>
  <c r="O1409" i="2"/>
  <c r="N1409" i="2"/>
  <c r="M1409" i="2"/>
  <c r="L1409" i="2"/>
  <c r="K1409" i="2"/>
  <c r="H1409" i="2"/>
  <c r="G1409" i="2"/>
  <c r="F1409" i="2"/>
  <c r="E1409" i="2"/>
  <c r="D1409" i="2"/>
  <c r="C1409" i="2"/>
  <c r="B1409" i="2"/>
  <c r="A1409" i="2"/>
  <c r="AG1408" i="2"/>
  <c r="AF1408" i="2"/>
  <c r="AE1408" i="2"/>
  <c r="AD1408" i="2"/>
  <c r="AC1408" i="2"/>
  <c r="AB1408" i="2"/>
  <c r="AA1408" i="2"/>
  <c r="Z1408" i="2"/>
  <c r="Y1408" i="2"/>
  <c r="X1408" i="2"/>
  <c r="W1408" i="2"/>
  <c r="V1408" i="2"/>
  <c r="U1408" i="2"/>
  <c r="T1408" i="2"/>
  <c r="S1408" i="2"/>
  <c r="R1408" i="2"/>
  <c r="Q1408" i="2"/>
  <c r="P1408" i="2"/>
  <c r="O1408" i="2"/>
  <c r="N1408" i="2"/>
  <c r="M1408" i="2"/>
  <c r="L1408" i="2"/>
  <c r="K1408" i="2"/>
  <c r="H1408" i="2"/>
  <c r="G1408" i="2"/>
  <c r="F1408" i="2"/>
  <c r="E1408" i="2"/>
  <c r="D1408" i="2"/>
  <c r="C1408" i="2"/>
  <c r="B1408" i="2"/>
  <c r="A1408" i="2"/>
  <c r="AG1407" i="2"/>
  <c r="AF1407" i="2"/>
  <c r="AE1407" i="2"/>
  <c r="AD1407" i="2"/>
  <c r="AC1407" i="2"/>
  <c r="AB1407" i="2"/>
  <c r="Z1407" i="2"/>
  <c r="X1407" i="2"/>
  <c r="W1407" i="2"/>
  <c r="V1407" i="2"/>
  <c r="U1407" i="2"/>
  <c r="T1407" i="2"/>
  <c r="S1407" i="2"/>
  <c r="R1407" i="2"/>
  <c r="Q1407" i="2"/>
  <c r="P1407" i="2"/>
  <c r="O1407" i="2"/>
  <c r="N1407" i="2"/>
  <c r="M1407" i="2"/>
  <c r="L1407" i="2"/>
  <c r="K1407" i="2"/>
  <c r="H1407" i="2"/>
  <c r="G1407" i="2"/>
  <c r="F1407" i="2"/>
  <c r="E1407" i="2"/>
  <c r="D1407" i="2"/>
  <c r="C1407" i="2"/>
  <c r="B1407" i="2"/>
  <c r="A1407" i="2"/>
  <c r="AH1406" i="2"/>
  <c r="AG1406" i="2"/>
  <c r="AF1406" i="2"/>
  <c r="AE1406" i="2"/>
  <c r="AD1406" i="2"/>
  <c r="AC1406" i="2"/>
  <c r="AB1406" i="2"/>
  <c r="Z1406" i="2"/>
  <c r="Y1406" i="2"/>
  <c r="X1406" i="2"/>
  <c r="W1406" i="2"/>
  <c r="V1406" i="2"/>
  <c r="T1406" i="2"/>
  <c r="S1406" i="2"/>
  <c r="R1406" i="2"/>
  <c r="Q1406" i="2"/>
  <c r="P1406" i="2"/>
  <c r="O1406" i="2"/>
  <c r="N1406" i="2"/>
  <c r="M1406" i="2"/>
  <c r="L1406" i="2"/>
  <c r="K1406" i="2"/>
  <c r="H1406" i="2"/>
  <c r="G1406" i="2"/>
  <c r="F1406" i="2"/>
  <c r="E1406" i="2"/>
  <c r="D1406" i="2"/>
  <c r="C1406" i="2"/>
  <c r="B1406" i="2"/>
  <c r="A1406" i="2"/>
  <c r="AH1405" i="2"/>
  <c r="AG1405" i="2"/>
  <c r="AF1405" i="2"/>
  <c r="AE1405" i="2"/>
  <c r="AD1405" i="2"/>
  <c r="AC1405" i="2"/>
  <c r="AB1405" i="2"/>
  <c r="Z1405" i="2"/>
  <c r="X1405" i="2"/>
  <c r="W1405" i="2"/>
  <c r="V1405" i="2"/>
  <c r="U1405" i="2"/>
  <c r="T1405" i="2"/>
  <c r="S1405" i="2"/>
  <c r="R1405" i="2"/>
  <c r="Q1405" i="2"/>
  <c r="P1405" i="2"/>
  <c r="O1405" i="2"/>
  <c r="N1405" i="2"/>
  <c r="M1405" i="2"/>
  <c r="L1405" i="2"/>
  <c r="K1405" i="2"/>
  <c r="H1405" i="2"/>
  <c r="G1405" i="2"/>
  <c r="F1405" i="2"/>
  <c r="E1405" i="2"/>
  <c r="D1405" i="2"/>
  <c r="C1405" i="2"/>
  <c r="B1405" i="2"/>
  <c r="A1405" i="2"/>
  <c r="AG1404" i="2"/>
  <c r="AF1404" i="2"/>
  <c r="AE1404" i="2"/>
  <c r="AD1404" i="2"/>
  <c r="AC1404" i="2"/>
  <c r="AB1404" i="2"/>
  <c r="Z1404" i="2"/>
  <c r="Y1404" i="2"/>
  <c r="X1404" i="2"/>
  <c r="W1404" i="2"/>
  <c r="V1404" i="2"/>
  <c r="U1404" i="2"/>
  <c r="T1404" i="2"/>
  <c r="S1404" i="2"/>
  <c r="R1404" i="2"/>
  <c r="Q1404" i="2"/>
  <c r="P1404" i="2"/>
  <c r="O1404" i="2"/>
  <c r="N1404" i="2"/>
  <c r="M1404" i="2"/>
  <c r="L1404" i="2"/>
  <c r="K1404" i="2"/>
  <c r="H1404" i="2"/>
  <c r="G1404" i="2"/>
  <c r="F1404" i="2"/>
  <c r="E1404" i="2"/>
  <c r="D1404" i="2"/>
  <c r="C1404" i="2"/>
  <c r="B1404" i="2"/>
  <c r="A1404" i="2"/>
  <c r="AG1403" i="2"/>
  <c r="AF1403" i="2"/>
  <c r="AE1403" i="2"/>
  <c r="AD1403" i="2"/>
  <c r="AC1403" i="2"/>
  <c r="AB1403" i="2"/>
  <c r="Y1403" i="2"/>
  <c r="X1403" i="2"/>
  <c r="W1403" i="2"/>
  <c r="V1403" i="2"/>
  <c r="S1403" i="2"/>
  <c r="R1403" i="2"/>
  <c r="Q1403" i="2"/>
  <c r="P1403" i="2"/>
  <c r="O1403" i="2"/>
  <c r="N1403" i="2"/>
  <c r="M1403" i="2"/>
  <c r="L1403" i="2"/>
  <c r="K1403" i="2"/>
  <c r="H1403" i="2"/>
  <c r="G1403" i="2"/>
  <c r="F1403" i="2"/>
  <c r="E1403" i="2"/>
  <c r="D1403" i="2"/>
  <c r="C1403" i="2"/>
  <c r="B1403" i="2"/>
  <c r="A1403" i="2"/>
  <c r="AG1402" i="2"/>
  <c r="AF1402" i="2"/>
  <c r="AE1402" i="2"/>
  <c r="AD1402" i="2"/>
  <c r="AC1402" i="2"/>
  <c r="AB1402" i="2"/>
  <c r="Z1402" i="2"/>
  <c r="X1402" i="2"/>
  <c r="W1402" i="2"/>
  <c r="V1402" i="2"/>
  <c r="U1402" i="2"/>
  <c r="T1402" i="2"/>
  <c r="S1402" i="2"/>
  <c r="R1402" i="2"/>
  <c r="Q1402" i="2"/>
  <c r="P1402" i="2"/>
  <c r="O1402" i="2"/>
  <c r="N1402" i="2"/>
  <c r="M1402" i="2"/>
  <c r="L1402" i="2"/>
  <c r="K1402" i="2"/>
  <c r="H1402" i="2"/>
  <c r="G1402" i="2"/>
  <c r="F1402" i="2"/>
  <c r="E1402" i="2"/>
  <c r="D1402" i="2"/>
  <c r="C1402" i="2"/>
  <c r="B1402" i="2"/>
  <c r="A1402" i="2"/>
  <c r="AG1401" i="2"/>
  <c r="AF1401" i="2"/>
  <c r="AE1401" i="2"/>
  <c r="AD1401" i="2"/>
  <c r="AC1401" i="2"/>
  <c r="AB1401" i="2"/>
  <c r="AA1401" i="2"/>
  <c r="Z1401" i="2"/>
  <c r="Y1401" i="2"/>
  <c r="X1401" i="2"/>
  <c r="W1401" i="2"/>
  <c r="V1401" i="2"/>
  <c r="U1401" i="2"/>
  <c r="T1401" i="2"/>
  <c r="S1401" i="2"/>
  <c r="R1401" i="2"/>
  <c r="Q1401" i="2"/>
  <c r="P1401" i="2"/>
  <c r="O1401" i="2"/>
  <c r="N1401" i="2"/>
  <c r="M1401" i="2"/>
  <c r="L1401" i="2"/>
  <c r="K1401" i="2"/>
  <c r="H1401" i="2"/>
  <c r="G1401" i="2"/>
  <c r="F1401" i="2"/>
  <c r="E1401" i="2"/>
  <c r="D1401" i="2"/>
  <c r="C1401" i="2"/>
  <c r="B1401" i="2"/>
  <c r="A1401" i="2"/>
  <c r="AG1400" i="2"/>
  <c r="AF1400" i="2"/>
  <c r="AE1400" i="2"/>
  <c r="AD1400" i="2"/>
  <c r="AC1400" i="2"/>
  <c r="AB1400" i="2"/>
  <c r="Z1400" i="2"/>
  <c r="Y1400" i="2"/>
  <c r="X1400" i="2"/>
  <c r="W1400" i="2"/>
  <c r="V1400" i="2"/>
  <c r="U1400" i="2"/>
  <c r="T1400" i="2"/>
  <c r="S1400" i="2"/>
  <c r="R1400" i="2"/>
  <c r="Q1400" i="2"/>
  <c r="P1400" i="2"/>
  <c r="O1400" i="2"/>
  <c r="N1400" i="2"/>
  <c r="M1400" i="2"/>
  <c r="L1400" i="2"/>
  <c r="K1400" i="2"/>
  <c r="H1400" i="2"/>
  <c r="G1400" i="2"/>
  <c r="F1400" i="2"/>
  <c r="E1400" i="2"/>
  <c r="D1400" i="2"/>
  <c r="C1400" i="2"/>
  <c r="B1400" i="2"/>
  <c r="A1400" i="2"/>
  <c r="AH1399" i="2"/>
  <c r="AG1399" i="2"/>
  <c r="AF1399" i="2"/>
  <c r="AE1399" i="2"/>
  <c r="AD1399" i="2"/>
  <c r="AC1399" i="2"/>
  <c r="AB1399" i="2"/>
  <c r="Z1399" i="2"/>
  <c r="Y1399" i="2"/>
  <c r="X1399" i="2"/>
  <c r="W1399" i="2"/>
  <c r="V1399" i="2"/>
  <c r="T1399" i="2"/>
  <c r="S1399" i="2"/>
  <c r="R1399" i="2"/>
  <c r="Q1399" i="2"/>
  <c r="P1399" i="2"/>
  <c r="O1399" i="2"/>
  <c r="N1399" i="2"/>
  <c r="M1399" i="2"/>
  <c r="L1399" i="2"/>
  <c r="K1399" i="2"/>
  <c r="H1399" i="2"/>
  <c r="G1399" i="2"/>
  <c r="F1399" i="2"/>
  <c r="E1399" i="2"/>
  <c r="D1399" i="2"/>
  <c r="C1399" i="2"/>
  <c r="B1399" i="2"/>
  <c r="A1399" i="2"/>
  <c r="AG1398" i="2"/>
  <c r="AF1398" i="2"/>
  <c r="AE1398" i="2"/>
  <c r="AD1398" i="2"/>
  <c r="AC1398" i="2"/>
  <c r="AB1398" i="2"/>
  <c r="Z1398" i="2"/>
  <c r="Y1398" i="2"/>
  <c r="X1398" i="2"/>
  <c r="W1398" i="2"/>
  <c r="V1398" i="2"/>
  <c r="U1398" i="2"/>
  <c r="T1398" i="2"/>
  <c r="S1398" i="2"/>
  <c r="R1398" i="2"/>
  <c r="Q1398" i="2"/>
  <c r="P1398" i="2"/>
  <c r="O1398" i="2"/>
  <c r="N1398" i="2"/>
  <c r="M1398" i="2"/>
  <c r="L1398" i="2"/>
  <c r="K1398" i="2"/>
  <c r="H1398" i="2"/>
  <c r="G1398" i="2"/>
  <c r="F1398" i="2"/>
  <c r="E1398" i="2"/>
  <c r="D1398" i="2"/>
  <c r="C1398" i="2"/>
  <c r="B1398" i="2"/>
  <c r="A1398" i="2"/>
  <c r="AH1397" i="2"/>
  <c r="AG1397" i="2"/>
  <c r="AF1397" i="2"/>
  <c r="AE1397" i="2"/>
  <c r="AD1397" i="2"/>
  <c r="AC1397" i="2"/>
  <c r="AB1397" i="2"/>
  <c r="Z1397" i="2"/>
  <c r="X1397" i="2"/>
  <c r="W1397" i="2"/>
  <c r="V1397" i="2"/>
  <c r="R1397" i="2"/>
  <c r="Q1397" i="2"/>
  <c r="P1397" i="2"/>
  <c r="O1397" i="2"/>
  <c r="N1397" i="2"/>
  <c r="M1397" i="2"/>
  <c r="L1397" i="2"/>
  <c r="K1397" i="2"/>
  <c r="H1397" i="2"/>
  <c r="G1397" i="2"/>
  <c r="F1397" i="2"/>
  <c r="E1397" i="2"/>
  <c r="D1397" i="2"/>
  <c r="C1397" i="2"/>
  <c r="B1397" i="2"/>
  <c r="A1397" i="2"/>
  <c r="AG1396" i="2"/>
  <c r="AF1396" i="2"/>
  <c r="AE1396" i="2"/>
  <c r="AD1396" i="2"/>
  <c r="AC1396" i="2"/>
  <c r="AB1396" i="2"/>
  <c r="Z1396" i="2"/>
  <c r="Y1396" i="2"/>
  <c r="X1396" i="2"/>
  <c r="W1396" i="2"/>
  <c r="V1396" i="2"/>
  <c r="S1396" i="2"/>
  <c r="R1396" i="2"/>
  <c r="Q1396" i="2"/>
  <c r="P1396" i="2"/>
  <c r="O1396" i="2"/>
  <c r="N1396" i="2"/>
  <c r="M1396" i="2"/>
  <c r="L1396" i="2"/>
  <c r="K1396" i="2"/>
  <c r="H1396" i="2"/>
  <c r="G1396" i="2"/>
  <c r="F1396" i="2"/>
  <c r="E1396" i="2"/>
  <c r="D1396" i="2"/>
  <c r="C1396" i="2"/>
  <c r="B1396" i="2"/>
  <c r="A1396" i="2"/>
  <c r="AH1395" i="2"/>
  <c r="AG1395" i="2"/>
  <c r="AF1395" i="2"/>
  <c r="AE1395" i="2"/>
  <c r="AD1395" i="2"/>
  <c r="AC1395" i="2"/>
  <c r="AB1395" i="2"/>
  <c r="Z1395" i="2"/>
  <c r="Y1395" i="2"/>
  <c r="X1395" i="2"/>
  <c r="W1395" i="2"/>
  <c r="V1395" i="2"/>
  <c r="T1395" i="2"/>
  <c r="S1395" i="2"/>
  <c r="R1395" i="2"/>
  <c r="Q1395" i="2"/>
  <c r="P1395" i="2"/>
  <c r="O1395" i="2"/>
  <c r="N1395" i="2"/>
  <c r="M1395" i="2"/>
  <c r="L1395" i="2"/>
  <c r="K1395" i="2"/>
  <c r="H1395" i="2"/>
  <c r="G1395" i="2"/>
  <c r="F1395" i="2"/>
  <c r="E1395" i="2"/>
  <c r="D1395" i="2"/>
  <c r="C1395" i="2"/>
  <c r="B1395" i="2"/>
  <c r="A1395" i="2"/>
  <c r="AG1394" i="2"/>
  <c r="AF1394" i="2"/>
  <c r="AE1394" i="2"/>
  <c r="AD1394" i="2"/>
  <c r="AC1394" i="2"/>
  <c r="AB1394" i="2"/>
  <c r="AA1394" i="2"/>
  <c r="Z1394" i="2"/>
  <c r="Y1394" i="2"/>
  <c r="X1394" i="2"/>
  <c r="W1394" i="2"/>
  <c r="V1394" i="2"/>
  <c r="U1394" i="2"/>
  <c r="T1394" i="2"/>
  <c r="S1394" i="2"/>
  <c r="R1394" i="2"/>
  <c r="Q1394" i="2"/>
  <c r="P1394" i="2"/>
  <c r="O1394" i="2"/>
  <c r="N1394" i="2"/>
  <c r="M1394" i="2"/>
  <c r="L1394" i="2"/>
  <c r="K1394" i="2"/>
  <c r="H1394" i="2"/>
  <c r="G1394" i="2"/>
  <c r="F1394" i="2"/>
  <c r="E1394" i="2"/>
  <c r="D1394" i="2"/>
  <c r="C1394" i="2"/>
  <c r="B1394" i="2"/>
  <c r="A1394" i="2"/>
  <c r="AG1393" i="2"/>
  <c r="AF1393" i="2"/>
  <c r="AE1393" i="2"/>
  <c r="AD1393" i="2"/>
  <c r="AC1393" i="2"/>
  <c r="AB1393" i="2"/>
  <c r="Z1393" i="2"/>
  <c r="Y1393" i="2"/>
  <c r="X1393" i="2"/>
  <c r="W1393" i="2"/>
  <c r="V1393" i="2"/>
  <c r="U1393" i="2"/>
  <c r="T1393" i="2"/>
  <c r="S1393" i="2"/>
  <c r="R1393" i="2"/>
  <c r="Q1393" i="2"/>
  <c r="P1393" i="2"/>
  <c r="O1393" i="2"/>
  <c r="N1393" i="2"/>
  <c r="M1393" i="2"/>
  <c r="L1393" i="2"/>
  <c r="K1393" i="2"/>
  <c r="H1393" i="2"/>
  <c r="G1393" i="2"/>
  <c r="F1393" i="2"/>
  <c r="E1393" i="2"/>
  <c r="D1393" i="2"/>
  <c r="C1393" i="2"/>
  <c r="B1393" i="2"/>
  <c r="A1393" i="2"/>
  <c r="AH1392" i="2"/>
  <c r="AG1392" i="2"/>
  <c r="AF1392" i="2"/>
  <c r="AE1392" i="2"/>
  <c r="AD1392" i="2"/>
  <c r="AC1392" i="2"/>
  <c r="AB1392" i="2"/>
  <c r="Z1392" i="2"/>
  <c r="Y1392" i="2"/>
  <c r="X1392" i="2"/>
  <c r="W1392" i="2"/>
  <c r="V1392" i="2"/>
  <c r="R1392" i="2"/>
  <c r="Q1392" i="2"/>
  <c r="P1392" i="2"/>
  <c r="O1392" i="2"/>
  <c r="N1392" i="2"/>
  <c r="M1392" i="2"/>
  <c r="L1392" i="2"/>
  <c r="K1392" i="2"/>
  <c r="H1392" i="2"/>
  <c r="G1392" i="2"/>
  <c r="F1392" i="2"/>
  <c r="E1392" i="2"/>
  <c r="D1392" i="2"/>
  <c r="C1392" i="2"/>
  <c r="B1392" i="2"/>
  <c r="A1392" i="2"/>
  <c r="AH1391" i="2"/>
  <c r="AG1391" i="2"/>
  <c r="AF1391" i="2"/>
  <c r="AE1391" i="2"/>
  <c r="AD1391" i="2"/>
  <c r="AC1391" i="2"/>
  <c r="AB1391" i="2"/>
  <c r="Z1391" i="2"/>
  <c r="Y1391" i="2"/>
  <c r="X1391" i="2"/>
  <c r="W1391" i="2"/>
  <c r="V1391" i="2"/>
  <c r="T1391" i="2"/>
  <c r="S1391" i="2"/>
  <c r="R1391" i="2"/>
  <c r="Q1391" i="2"/>
  <c r="P1391" i="2"/>
  <c r="O1391" i="2"/>
  <c r="N1391" i="2"/>
  <c r="M1391" i="2"/>
  <c r="L1391" i="2"/>
  <c r="K1391" i="2"/>
  <c r="H1391" i="2"/>
  <c r="G1391" i="2"/>
  <c r="F1391" i="2"/>
  <c r="E1391" i="2"/>
  <c r="D1391" i="2"/>
  <c r="C1391" i="2"/>
  <c r="B1391" i="2"/>
  <c r="A1391" i="2"/>
  <c r="AG1390" i="2"/>
  <c r="AF1390" i="2"/>
  <c r="AE1390" i="2"/>
  <c r="AD1390" i="2"/>
  <c r="AC1390" i="2"/>
  <c r="AB1390" i="2"/>
  <c r="Z1390" i="2"/>
  <c r="Y1390" i="2"/>
  <c r="X1390" i="2"/>
  <c r="W1390" i="2"/>
  <c r="V1390" i="2"/>
  <c r="U1390" i="2"/>
  <c r="T1390" i="2"/>
  <c r="S1390" i="2"/>
  <c r="R1390" i="2"/>
  <c r="Q1390" i="2"/>
  <c r="P1390" i="2"/>
  <c r="O1390" i="2"/>
  <c r="N1390" i="2"/>
  <c r="M1390" i="2"/>
  <c r="L1390" i="2"/>
  <c r="K1390" i="2"/>
  <c r="H1390" i="2"/>
  <c r="G1390" i="2"/>
  <c r="F1390" i="2"/>
  <c r="E1390" i="2"/>
  <c r="D1390" i="2"/>
  <c r="C1390" i="2"/>
  <c r="B1390" i="2"/>
  <c r="A1390" i="2"/>
  <c r="AG1389" i="2"/>
  <c r="AF1389" i="2"/>
  <c r="AE1389" i="2"/>
  <c r="AD1389" i="2"/>
  <c r="AC1389" i="2"/>
  <c r="AB1389" i="2"/>
  <c r="Z1389" i="2"/>
  <c r="Y1389" i="2"/>
  <c r="X1389" i="2"/>
  <c r="W1389" i="2"/>
  <c r="V1389" i="2"/>
  <c r="U1389" i="2"/>
  <c r="T1389" i="2"/>
  <c r="S1389" i="2"/>
  <c r="R1389" i="2"/>
  <c r="Q1389" i="2"/>
  <c r="P1389" i="2"/>
  <c r="O1389" i="2"/>
  <c r="N1389" i="2"/>
  <c r="M1389" i="2"/>
  <c r="L1389" i="2"/>
  <c r="K1389" i="2"/>
  <c r="H1389" i="2"/>
  <c r="G1389" i="2"/>
  <c r="F1389" i="2"/>
  <c r="E1389" i="2"/>
  <c r="D1389" i="2"/>
  <c r="C1389" i="2"/>
  <c r="B1389" i="2"/>
  <c r="A1389" i="2"/>
  <c r="AH1388" i="2"/>
  <c r="AG1388" i="2"/>
  <c r="AF1388" i="2"/>
  <c r="AE1388" i="2"/>
  <c r="AD1388" i="2"/>
  <c r="AC1388" i="2"/>
  <c r="AB1388" i="2"/>
  <c r="Z1388" i="2"/>
  <c r="Y1388" i="2"/>
  <c r="X1388" i="2"/>
  <c r="W1388" i="2"/>
  <c r="V1388" i="2"/>
  <c r="U1388" i="2"/>
  <c r="R1388" i="2"/>
  <c r="Q1388" i="2"/>
  <c r="P1388" i="2"/>
  <c r="O1388" i="2"/>
  <c r="N1388" i="2"/>
  <c r="M1388" i="2"/>
  <c r="L1388" i="2"/>
  <c r="K1388" i="2"/>
  <c r="H1388" i="2"/>
  <c r="G1388" i="2"/>
  <c r="F1388" i="2"/>
  <c r="E1388" i="2"/>
  <c r="D1388" i="2"/>
  <c r="C1388" i="2"/>
  <c r="B1388" i="2"/>
  <c r="A1388" i="2"/>
  <c r="AH1387" i="2"/>
  <c r="AG1387" i="2"/>
  <c r="AF1387" i="2"/>
  <c r="AE1387" i="2"/>
  <c r="AD1387" i="2"/>
  <c r="AC1387" i="2"/>
  <c r="AB1387" i="2"/>
  <c r="Z1387" i="2"/>
  <c r="X1387" i="2"/>
  <c r="W1387" i="2"/>
  <c r="V1387" i="2"/>
  <c r="T1387" i="2"/>
  <c r="S1387" i="2"/>
  <c r="R1387" i="2"/>
  <c r="Q1387" i="2"/>
  <c r="P1387" i="2"/>
  <c r="O1387" i="2"/>
  <c r="N1387" i="2"/>
  <c r="M1387" i="2"/>
  <c r="L1387" i="2"/>
  <c r="K1387" i="2"/>
  <c r="H1387" i="2"/>
  <c r="G1387" i="2"/>
  <c r="F1387" i="2"/>
  <c r="E1387" i="2"/>
  <c r="D1387" i="2"/>
  <c r="C1387" i="2"/>
  <c r="B1387" i="2"/>
  <c r="A1387" i="2"/>
  <c r="AF1386" i="2"/>
  <c r="AE1386" i="2"/>
  <c r="AD1386" i="2"/>
  <c r="AC1386" i="2"/>
  <c r="AB1386" i="2"/>
  <c r="Z1386" i="2"/>
  <c r="X1386" i="2"/>
  <c r="W1386" i="2"/>
  <c r="V1386" i="2"/>
  <c r="U1386" i="2"/>
  <c r="T1386" i="2"/>
  <c r="S1386" i="2"/>
  <c r="R1386" i="2"/>
  <c r="Q1386" i="2"/>
  <c r="P1386" i="2"/>
  <c r="O1386" i="2"/>
  <c r="N1386" i="2"/>
  <c r="M1386" i="2"/>
  <c r="L1386" i="2"/>
  <c r="K1386" i="2"/>
  <c r="H1386" i="2"/>
  <c r="G1386" i="2"/>
  <c r="F1386" i="2"/>
  <c r="E1386" i="2"/>
  <c r="D1386" i="2"/>
  <c r="C1386" i="2"/>
  <c r="B1386" i="2"/>
  <c r="A1386" i="2"/>
  <c r="AH1385" i="2"/>
  <c r="AG1385" i="2"/>
  <c r="AF1385" i="2"/>
  <c r="AE1385" i="2"/>
  <c r="AD1385" i="2"/>
  <c r="AC1385" i="2"/>
  <c r="AB1385" i="2"/>
  <c r="Z1385" i="2"/>
  <c r="Y1385" i="2"/>
  <c r="X1385" i="2"/>
  <c r="W1385" i="2"/>
  <c r="V1385" i="2"/>
  <c r="T1385" i="2"/>
  <c r="S1385" i="2"/>
  <c r="R1385" i="2"/>
  <c r="Q1385" i="2"/>
  <c r="P1385" i="2"/>
  <c r="O1385" i="2"/>
  <c r="N1385" i="2"/>
  <c r="M1385" i="2"/>
  <c r="L1385" i="2"/>
  <c r="K1385" i="2"/>
  <c r="H1385" i="2"/>
  <c r="G1385" i="2"/>
  <c r="F1385" i="2"/>
  <c r="E1385" i="2"/>
  <c r="D1385" i="2"/>
  <c r="C1385" i="2"/>
  <c r="B1385" i="2"/>
  <c r="A1385" i="2"/>
  <c r="AH1384" i="2"/>
  <c r="AG1384" i="2"/>
  <c r="AF1384" i="2"/>
  <c r="AE1384" i="2"/>
  <c r="AD1384" i="2"/>
  <c r="AC1384" i="2"/>
  <c r="AB1384" i="2"/>
  <c r="Z1384" i="2"/>
  <c r="Y1384" i="2"/>
  <c r="X1384" i="2"/>
  <c r="W1384" i="2"/>
  <c r="V1384" i="2"/>
  <c r="U1384" i="2"/>
  <c r="T1384" i="2"/>
  <c r="S1384" i="2"/>
  <c r="R1384" i="2"/>
  <c r="Q1384" i="2"/>
  <c r="P1384" i="2"/>
  <c r="O1384" i="2"/>
  <c r="N1384" i="2"/>
  <c r="M1384" i="2"/>
  <c r="L1384" i="2"/>
  <c r="K1384" i="2"/>
  <c r="H1384" i="2"/>
  <c r="G1384" i="2"/>
  <c r="F1384" i="2"/>
  <c r="E1384" i="2"/>
  <c r="D1384" i="2"/>
  <c r="C1384" i="2"/>
  <c r="B1384" i="2"/>
  <c r="A1384" i="2"/>
  <c r="AF1383" i="2"/>
  <c r="AE1383" i="2"/>
  <c r="AD1383" i="2"/>
  <c r="AC1383" i="2"/>
  <c r="AB1383" i="2"/>
  <c r="AA1383" i="2"/>
  <c r="Z1383" i="2"/>
  <c r="X1383" i="2"/>
  <c r="W1383" i="2"/>
  <c r="V1383" i="2"/>
  <c r="U1383" i="2"/>
  <c r="T1383" i="2"/>
  <c r="S1383" i="2"/>
  <c r="R1383" i="2"/>
  <c r="Q1383" i="2"/>
  <c r="P1383" i="2"/>
  <c r="O1383" i="2"/>
  <c r="N1383" i="2"/>
  <c r="M1383" i="2"/>
  <c r="L1383" i="2"/>
  <c r="K1383" i="2"/>
  <c r="H1383" i="2"/>
  <c r="G1383" i="2"/>
  <c r="F1383" i="2"/>
  <c r="E1383" i="2"/>
  <c r="D1383" i="2"/>
  <c r="C1383" i="2"/>
  <c r="B1383" i="2"/>
  <c r="A1383" i="2"/>
  <c r="AG1382" i="2"/>
  <c r="AF1382" i="2"/>
  <c r="AE1382" i="2"/>
  <c r="AD1382" i="2"/>
  <c r="AC1382" i="2"/>
  <c r="AB1382" i="2"/>
  <c r="Y1382" i="2"/>
  <c r="X1382" i="2"/>
  <c r="W1382" i="2"/>
  <c r="V1382" i="2"/>
  <c r="U1382" i="2"/>
  <c r="T1382" i="2"/>
  <c r="S1382" i="2"/>
  <c r="R1382" i="2"/>
  <c r="Q1382" i="2"/>
  <c r="P1382" i="2"/>
  <c r="O1382" i="2"/>
  <c r="N1382" i="2"/>
  <c r="M1382" i="2"/>
  <c r="L1382" i="2"/>
  <c r="K1382" i="2"/>
  <c r="H1382" i="2"/>
  <c r="G1382" i="2"/>
  <c r="F1382" i="2"/>
  <c r="E1382" i="2"/>
  <c r="D1382" i="2"/>
  <c r="C1382" i="2"/>
  <c r="B1382" i="2"/>
  <c r="A1382" i="2"/>
  <c r="AG1381" i="2"/>
  <c r="AF1381" i="2"/>
  <c r="AE1381" i="2"/>
  <c r="AD1381" i="2"/>
  <c r="AC1381" i="2"/>
  <c r="AB1381" i="2"/>
  <c r="Z1381" i="2"/>
  <c r="Y1381" i="2"/>
  <c r="X1381" i="2"/>
  <c r="W1381" i="2"/>
  <c r="V1381" i="2"/>
  <c r="U1381" i="2"/>
  <c r="T1381" i="2"/>
  <c r="S1381" i="2"/>
  <c r="R1381" i="2"/>
  <c r="Q1381" i="2"/>
  <c r="P1381" i="2"/>
  <c r="O1381" i="2"/>
  <c r="N1381" i="2"/>
  <c r="M1381" i="2"/>
  <c r="L1381" i="2"/>
  <c r="K1381" i="2"/>
  <c r="H1381" i="2"/>
  <c r="G1381" i="2"/>
  <c r="F1381" i="2"/>
  <c r="E1381" i="2"/>
  <c r="D1381" i="2"/>
  <c r="C1381" i="2"/>
  <c r="B1381" i="2"/>
  <c r="A1381" i="2"/>
  <c r="AG1380" i="2"/>
  <c r="AF1380" i="2"/>
  <c r="AE1380" i="2"/>
  <c r="AD1380" i="2"/>
  <c r="AC1380" i="2"/>
  <c r="AB1380" i="2"/>
  <c r="Z1380" i="2"/>
  <c r="Y1380" i="2"/>
  <c r="X1380" i="2"/>
  <c r="W1380" i="2"/>
  <c r="V1380" i="2"/>
  <c r="U1380" i="2"/>
  <c r="S1380" i="2"/>
  <c r="R1380" i="2"/>
  <c r="Q1380" i="2"/>
  <c r="P1380" i="2"/>
  <c r="O1380" i="2"/>
  <c r="N1380" i="2"/>
  <c r="M1380" i="2"/>
  <c r="L1380" i="2"/>
  <c r="K1380" i="2"/>
  <c r="H1380" i="2"/>
  <c r="G1380" i="2"/>
  <c r="F1380" i="2"/>
  <c r="E1380" i="2"/>
  <c r="D1380" i="2"/>
  <c r="C1380" i="2"/>
  <c r="B1380" i="2"/>
  <c r="A1380" i="2"/>
  <c r="AG1379" i="2"/>
  <c r="AF1379" i="2"/>
  <c r="AE1379" i="2"/>
  <c r="AD1379" i="2"/>
  <c r="AC1379" i="2"/>
  <c r="AB1379" i="2"/>
  <c r="Z1379" i="2"/>
  <c r="Y1379" i="2"/>
  <c r="X1379" i="2"/>
  <c r="W1379" i="2"/>
  <c r="V1379" i="2"/>
  <c r="U1379" i="2"/>
  <c r="T1379" i="2"/>
  <c r="S1379" i="2"/>
  <c r="R1379" i="2"/>
  <c r="Q1379" i="2"/>
  <c r="P1379" i="2"/>
  <c r="O1379" i="2"/>
  <c r="N1379" i="2"/>
  <c r="M1379" i="2"/>
  <c r="L1379" i="2"/>
  <c r="K1379" i="2"/>
  <c r="H1379" i="2"/>
  <c r="G1379" i="2"/>
  <c r="F1379" i="2"/>
  <c r="E1379" i="2"/>
  <c r="D1379" i="2"/>
  <c r="C1379" i="2"/>
  <c r="B1379" i="2"/>
  <c r="A1379" i="2"/>
  <c r="AG1378" i="2"/>
  <c r="AF1378" i="2"/>
  <c r="AE1378" i="2"/>
  <c r="AD1378" i="2"/>
  <c r="AC1378" i="2"/>
  <c r="AB1378" i="2"/>
  <c r="Z1378" i="2"/>
  <c r="Y1378" i="2"/>
  <c r="X1378" i="2"/>
  <c r="W1378" i="2"/>
  <c r="V1378" i="2"/>
  <c r="U1378" i="2"/>
  <c r="T1378" i="2"/>
  <c r="S1378" i="2"/>
  <c r="R1378" i="2"/>
  <c r="Q1378" i="2"/>
  <c r="P1378" i="2"/>
  <c r="O1378" i="2"/>
  <c r="N1378" i="2"/>
  <c r="M1378" i="2"/>
  <c r="L1378" i="2"/>
  <c r="K1378" i="2"/>
  <c r="H1378" i="2"/>
  <c r="G1378" i="2"/>
  <c r="F1378" i="2"/>
  <c r="E1378" i="2"/>
  <c r="D1378" i="2"/>
  <c r="C1378" i="2"/>
  <c r="B1378" i="2"/>
  <c r="A1378" i="2"/>
  <c r="AH1377" i="2"/>
  <c r="AG1377" i="2"/>
  <c r="AF1377" i="2"/>
  <c r="AE1377" i="2"/>
  <c r="AD1377" i="2"/>
  <c r="AC1377" i="2"/>
  <c r="AB1377" i="2"/>
  <c r="Z1377" i="2"/>
  <c r="Y1377" i="2"/>
  <c r="X1377" i="2"/>
  <c r="W1377" i="2"/>
  <c r="V1377" i="2"/>
  <c r="U1377" i="2"/>
  <c r="T1377" i="2"/>
  <c r="S1377" i="2"/>
  <c r="R1377" i="2"/>
  <c r="Q1377" i="2"/>
  <c r="P1377" i="2"/>
  <c r="O1377" i="2"/>
  <c r="N1377" i="2"/>
  <c r="M1377" i="2"/>
  <c r="L1377" i="2"/>
  <c r="K1377" i="2"/>
  <c r="H1377" i="2"/>
  <c r="G1377" i="2"/>
  <c r="F1377" i="2"/>
  <c r="E1377" i="2"/>
  <c r="D1377" i="2"/>
  <c r="C1377" i="2"/>
  <c r="B1377" i="2"/>
  <c r="A1377" i="2"/>
  <c r="AG1376" i="2"/>
  <c r="AF1376" i="2"/>
  <c r="AE1376" i="2"/>
  <c r="AD1376" i="2"/>
  <c r="AC1376" i="2"/>
  <c r="AB1376" i="2"/>
  <c r="Z1376" i="2"/>
  <c r="X1376" i="2"/>
  <c r="W1376" i="2"/>
  <c r="V1376" i="2"/>
  <c r="U1376" i="2"/>
  <c r="T1376" i="2"/>
  <c r="S1376" i="2"/>
  <c r="R1376" i="2"/>
  <c r="Q1376" i="2"/>
  <c r="P1376" i="2"/>
  <c r="O1376" i="2"/>
  <c r="N1376" i="2"/>
  <c r="M1376" i="2"/>
  <c r="L1376" i="2"/>
  <c r="K1376" i="2"/>
  <c r="H1376" i="2"/>
  <c r="G1376" i="2"/>
  <c r="F1376" i="2"/>
  <c r="E1376" i="2"/>
  <c r="D1376" i="2"/>
  <c r="C1376" i="2"/>
  <c r="B1376" i="2"/>
  <c r="A1376" i="2"/>
  <c r="AH1375" i="2"/>
  <c r="AG1375" i="2"/>
  <c r="AF1375" i="2"/>
  <c r="AE1375" i="2"/>
  <c r="AD1375" i="2"/>
  <c r="AC1375" i="2"/>
  <c r="AB1375" i="2"/>
  <c r="Z1375" i="2"/>
  <c r="Y1375" i="2"/>
  <c r="X1375" i="2"/>
  <c r="W1375" i="2"/>
  <c r="V1375" i="2"/>
  <c r="U1375" i="2"/>
  <c r="T1375" i="2"/>
  <c r="S1375" i="2"/>
  <c r="R1375" i="2"/>
  <c r="Q1375" i="2"/>
  <c r="P1375" i="2"/>
  <c r="O1375" i="2"/>
  <c r="N1375" i="2"/>
  <c r="M1375" i="2"/>
  <c r="L1375" i="2"/>
  <c r="K1375" i="2"/>
  <c r="J1375" i="2"/>
  <c r="I1375" i="2"/>
  <c r="H1375" i="2"/>
  <c r="G1375" i="2"/>
  <c r="F1375" i="2"/>
  <c r="E1375" i="2"/>
  <c r="D1375" i="2"/>
  <c r="C1375" i="2"/>
  <c r="B1375" i="2"/>
  <c r="A1375" i="2"/>
  <c r="AG1374" i="2"/>
  <c r="AF1374" i="2"/>
  <c r="AE1374" i="2"/>
  <c r="AD1374" i="2"/>
  <c r="AC1374" i="2"/>
  <c r="AB1374" i="2"/>
  <c r="Z1374" i="2"/>
  <c r="Y1374" i="2"/>
  <c r="X1374" i="2"/>
  <c r="W1374" i="2"/>
  <c r="V1374" i="2"/>
  <c r="U1374" i="2"/>
  <c r="T1374" i="2"/>
  <c r="S1374" i="2"/>
  <c r="R1374" i="2"/>
  <c r="Q1374" i="2"/>
  <c r="P1374" i="2"/>
  <c r="O1374" i="2"/>
  <c r="N1374" i="2"/>
  <c r="M1374" i="2"/>
  <c r="L1374" i="2"/>
  <c r="K1374" i="2"/>
  <c r="H1374" i="2"/>
  <c r="G1374" i="2"/>
  <c r="F1374" i="2"/>
  <c r="E1374" i="2"/>
  <c r="D1374" i="2"/>
  <c r="C1374" i="2"/>
  <c r="B1374" i="2"/>
  <c r="A1374" i="2"/>
  <c r="AG1373" i="2"/>
  <c r="AF1373" i="2"/>
  <c r="AE1373" i="2"/>
  <c r="AD1373" i="2"/>
  <c r="AC1373" i="2"/>
  <c r="AB1373" i="2"/>
  <c r="Z1373" i="2"/>
  <c r="Y1373" i="2"/>
  <c r="X1373" i="2"/>
  <c r="W1373" i="2"/>
  <c r="V1373" i="2"/>
  <c r="U1373" i="2"/>
  <c r="S1373" i="2"/>
  <c r="R1373" i="2"/>
  <c r="Q1373" i="2"/>
  <c r="P1373" i="2"/>
  <c r="O1373" i="2"/>
  <c r="N1373" i="2"/>
  <c r="M1373" i="2"/>
  <c r="L1373" i="2"/>
  <c r="K1373" i="2"/>
  <c r="H1373" i="2"/>
  <c r="G1373" i="2"/>
  <c r="F1373" i="2"/>
  <c r="E1373" i="2"/>
  <c r="D1373" i="2"/>
  <c r="C1373" i="2"/>
  <c r="B1373" i="2"/>
  <c r="A1373" i="2"/>
  <c r="AG1372" i="2"/>
  <c r="AF1372" i="2"/>
  <c r="AE1372" i="2"/>
  <c r="AD1372" i="2"/>
  <c r="AC1372" i="2"/>
  <c r="AB1372" i="2"/>
  <c r="Z1372" i="2"/>
  <c r="Y1372" i="2"/>
  <c r="X1372" i="2"/>
  <c r="W1372" i="2"/>
  <c r="V1372" i="2"/>
  <c r="S1372" i="2"/>
  <c r="R1372" i="2"/>
  <c r="Q1372" i="2"/>
  <c r="P1372" i="2"/>
  <c r="O1372" i="2"/>
  <c r="N1372" i="2"/>
  <c r="M1372" i="2"/>
  <c r="L1372" i="2"/>
  <c r="K1372" i="2"/>
  <c r="H1372" i="2"/>
  <c r="G1372" i="2"/>
  <c r="F1372" i="2"/>
  <c r="E1372" i="2"/>
  <c r="D1372" i="2"/>
  <c r="C1372" i="2"/>
  <c r="B1372" i="2"/>
  <c r="A1372" i="2"/>
  <c r="AG1371" i="2"/>
  <c r="AF1371" i="2"/>
  <c r="AE1371" i="2"/>
  <c r="AD1371" i="2"/>
  <c r="AC1371" i="2"/>
  <c r="AB1371" i="2"/>
  <c r="AA1371" i="2"/>
  <c r="Z1371" i="2"/>
  <c r="Y1371" i="2"/>
  <c r="X1371" i="2"/>
  <c r="W1371" i="2"/>
  <c r="V1371" i="2"/>
  <c r="U1371" i="2"/>
  <c r="T1371" i="2"/>
  <c r="S1371" i="2"/>
  <c r="R1371" i="2"/>
  <c r="Q1371" i="2"/>
  <c r="P1371" i="2"/>
  <c r="O1371" i="2"/>
  <c r="N1371" i="2"/>
  <c r="M1371" i="2"/>
  <c r="L1371" i="2"/>
  <c r="K1371" i="2"/>
  <c r="H1371" i="2"/>
  <c r="G1371" i="2"/>
  <c r="F1371" i="2"/>
  <c r="E1371" i="2"/>
  <c r="D1371" i="2"/>
  <c r="C1371" i="2"/>
  <c r="B1371" i="2"/>
  <c r="A1371" i="2"/>
  <c r="AG1370" i="2"/>
  <c r="AF1370" i="2"/>
  <c r="AE1370" i="2"/>
  <c r="AD1370" i="2"/>
  <c r="AC1370" i="2"/>
  <c r="AB1370" i="2"/>
  <c r="AA1370" i="2"/>
  <c r="Z1370" i="2"/>
  <c r="Y1370" i="2"/>
  <c r="X1370" i="2"/>
  <c r="W1370" i="2"/>
  <c r="V1370" i="2"/>
  <c r="U1370" i="2"/>
  <c r="T1370" i="2"/>
  <c r="S1370" i="2"/>
  <c r="R1370" i="2"/>
  <c r="Q1370" i="2"/>
  <c r="P1370" i="2"/>
  <c r="O1370" i="2"/>
  <c r="N1370" i="2"/>
  <c r="M1370" i="2"/>
  <c r="L1370" i="2"/>
  <c r="K1370" i="2"/>
  <c r="H1370" i="2"/>
  <c r="G1370" i="2"/>
  <c r="F1370" i="2"/>
  <c r="E1370" i="2"/>
  <c r="D1370" i="2"/>
  <c r="C1370" i="2"/>
  <c r="B1370" i="2"/>
  <c r="A1370" i="2"/>
  <c r="AH1369" i="2"/>
  <c r="AG1369" i="2"/>
  <c r="AF1369" i="2"/>
  <c r="AE1369" i="2"/>
  <c r="AD1369" i="2"/>
  <c r="AC1369" i="2"/>
  <c r="AB1369" i="2"/>
  <c r="Z1369" i="2"/>
  <c r="Y1369" i="2"/>
  <c r="X1369" i="2"/>
  <c r="W1369" i="2"/>
  <c r="V1369" i="2"/>
  <c r="S1369" i="2"/>
  <c r="R1369" i="2"/>
  <c r="Q1369" i="2"/>
  <c r="P1369" i="2"/>
  <c r="O1369" i="2"/>
  <c r="N1369" i="2"/>
  <c r="M1369" i="2"/>
  <c r="L1369" i="2"/>
  <c r="K1369" i="2"/>
  <c r="H1369" i="2"/>
  <c r="G1369" i="2"/>
  <c r="F1369" i="2"/>
  <c r="E1369" i="2"/>
  <c r="D1369" i="2"/>
  <c r="C1369" i="2"/>
  <c r="B1369" i="2"/>
  <c r="A1369" i="2"/>
  <c r="AH1368" i="2"/>
  <c r="AG1368" i="2"/>
  <c r="AF1368" i="2"/>
  <c r="AE1368" i="2"/>
  <c r="AD1368" i="2"/>
  <c r="AC1368" i="2"/>
  <c r="AB1368" i="2"/>
  <c r="Z1368" i="2"/>
  <c r="X1368" i="2"/>
  <c r="W1368" i="2"/>
  <c r="V1368" i="2"/>
  <c r="U1368" i="2"/>
  <c r="T1368" i="2"/>
  <c r="S1368" i="2"/>
  <c r="R1368" i="2"/>
  <c r="Q1368" i="2"/>
  <c r="P1368" i="2"/>
  <c r="O1368" i="2"/>
  <c r="N1368" i="2"/>
  <c r="M1368" i="2"/>
  <c r="L1368" i="2"/>
  <c r="K1368" i="2"/>
  <c r="H1368" i="2"/>
  <c r="G1368" i="2"/>
  <c r="F1368" i="2"/>
  <c r="E1368" i="2"/>
  <c r="D1368" i="2"/>
  <c r="C1368" i="2"/>
  <c r="B1368" i="2"/>
  <c r="A1368" i="2"/>
  <c r="AG1367" i="2"/>
  <c r="AF1367" i="2"/>
  <c r="AE1367" i="2"/>
  <c r="AD1367" i="2"/>
  <c r="AC1367" i="2"/>
  <c r="AB1367" i="2"/>
  <c r="Z1367" i="2"/>
  <c r="Y1367" i="2"/>
  <c r="X1367" i="2"/>
  <c r="W1367" i="2"/>
  <c r="V1367" i="2"/>
  <c r="U1367" i="2"/>
  <c r="T1367" i="2"/>
  <c r="S1367" i="2"/>
  <c r="R1367" i="2"/>
  <c r="Q1367" i="2"/>
  <c r="P1367" i="2"/>
  <c r="O1367" i="2"/>
  <c r="N1367" i="2"/>
  <c r="M1367" i="2"/>
  <c r="L1367" i="2"/>
  <c r="K1367" i="2"/>
  <c r="H1367" i="2"/>
  <c r="G1367" i="2"/>
  <c r="F1367" i="2"/>
  <c r="E1367" i="2"/>
  <c r="D1367" i="2"/>
  <c r="C1367" i="2"/>
  <c r="B1367" i="2"/>
  <c r="A1367" i="2"/>
  <c r="AG1366" i="2"/>
  <c r="AF1366" i="2"/>
  <c r="AE1366" i="2"/>
  <c r="AD1366" i="2"/>
  <c r="AC1366" i="2"/>
  <c r="AB1366" i="2"/>
  <c r="Z1366" i="2"/>
  <c r="Y1366" i="2"/>
  <c r="X1366" i="2"/>
  <c r="W1366" i="2"/>
  <c r="V1366" i="2"/>
  <c r="U1366" i="2"/>
  <c r="T1366" i="2"/>
  <c r="S1366" i="2"/>
  <c r="R1366" i="2"/>
  <c r="Q1366" i="2"/>
  <c r="P1366" i="2"/>
  <c r="O1366" i="2"/>
  <c r="N1366" i="2"/>
  <c r="M1366" i="2"/>
  <c r="L1366" i="2"/>
  <c r="K1366" i="2"/>
  <c r="H1366" i="2"/>
  <c r="G1366" i="2"/>
  <c r="F1366" i="2"/>
  <c r="E1366" i="2"/>
  <c r="D1366" i="2"/>
  <c r="C1366" i="2"/>
  <c r="B1366" i="2"/>
  <c r="A1366" i="2"/>
  <c r="AG1365" i="2"/>
  <c r="AF1365" i="2"/>
  <c r="AE1365" i="2"/>
  <c r="AD1365" i="2"/>
  <c r="AC1365" i="2"/>
  <c r="AB1365" i="2"/>
  <c r="Z1365" i="2"/>
  <c r="Y1365" i="2"/>
  <c r="X1365" i="2"/>
  <c r="W1365" i="2"/>
  <c r="V1365" i="2"/>
  <c r="U1365" i="2"/>
  <c r="T1365" i="2"/>
  <c r="S1365" i="2"/>
  <c r="R1365" i="2"/>
  <c r="Q1365" i="2"/>
  <c r="P1365" i="2"/>
  <c r="O1365" i="2"/>
  <c r="N1365" i="2"/>
  <c r="M1365" i="2"/>
  <c r="L1365" i="2"/>
  <c r="K1365" i="2"/>
  <c r="H1365" i="2"/>
  <c r="G1365" i="2"/>
  <c r="F1365" i="2"/>
  <c r="E1365" i="2"/>
  <c r="D1365" i="2"/>
  <c r="C1365" i="2"/>
  <c r="B1365" i="2"/>
  <c r="A1365" i="2"/>
  <c r="AG1364" i="2"/>
  <c r="AF1364" i="2"/>
  <c r="AE1364" i="2"/>
  <c r="AD1364" i="2"/>
  <c r="AC1364" i="2"/>
  <c r="AB1364" i="2"/>
  <c r="AA1364" i="2"/>
  <c r="Z1364" i="2"/>
  <c r="Y1364" i="2"/>
  <c r="X1364" i="2"/>
  <c r="W1364" i="2"/>
  <c r="V1364" i="2"/>
  <c r="U1364" i="2"/>
  <c r="T1364" i="2"/>
  <c r="S1364" i="2"/>
  <c r="R1364" i="2"/>
  <c r="Q1364" i="2"/>
  <c r="P1364" i="2"/>
  <c r="O1364" i="2"/>
  <c r="N1364" i="2"/>
  <c r="M1364" i="2"/>
  <c r="L1364" i="2"/>
  <c r="K1364" i="2"/>
  <c r="H1364" i="2"/>
  <c r="G1364" i="2"/>
  <c r="F1364" i="2"/>
  <c r="E1364" i="2"/>
  <c r="D1364" i="2"/>
  <c r="C1364" i="2"/>
  <c r="B1364" i="2"/>
  <c r="A1364" i="2"/>
  <c r="AG1363" i="2"/>
  <c r="AF1363" i="2"/>
  <c r="AE1363" i="2"/>
  <c r="AD1363" i="2"/>
  <c r="AC1363" i="2"/>
  <c r="AB1363" i="2"/>
  <c r="Z1363" i="2"/>
  <c r="Y1363" i="2"/>
  <c r="X1363" i="2"/>
  <c r="W1363" i="2"/>
  <c r="V1363" i="2"/>
  <c r="U1363" i="2"/>
  <c r="T1363" i="2"/>
  <c r="S1363" i="2"/>
  <c r="R1363" i="2"/>
  <c r="Q1363" i="2"/>
  <c r="P1363" i="2"/>
  <c r="O1363" i="2"/>
  <c r="N1363" i="2"/>
  <c r="M1363" i="2"/>
  <c r="L1363" i="2"/>
  <c r="K1363" i="2"/>
  <c r="H1363" i="2"/>
  <c r="G1363" i="2"/>
  <c r="F1363" i="2"/>
  <c r="E1363" i="2"/>
  <c r="D1363" i="2"/>
  <c r="C1363" i="2"/>
  <c r="B1363" i="2"/>
  <c r="A1363" i="2"/>
  <c r="AG1362" i="2"/>
  <c r="AF1362" i="2"/>
  <c r="AE1362" i="2"/>
  <c r="AD1362" i="2"/>
  <c r="AC1362" i="2"/>
  <c r="AB1362" i="2"/>
  <c r="Z1362" i="2"/>
  <c r="Y1362" i="2"/>
  <c r="X1362" i="2"/>
  <c r="W1362" i="2"/>
  <c r="V1362" i="2"/>
  <c r="U1362" i="2"/>
  <c r="T1362" i="2"/>
  <c r="S1362" i="2"/>
  <c r="R1362" i="2"/>
  <c r="Q1362" i="2"/>
  <c r="P1362" i="2"/>
  <c r="O1362" i="2"/>
  <c r="N1362" i="2"/>
  <c r="M1362" i="2"/>
  <c r="L1362" i="2"/>
  <c r="K1362" i="2"/>
  <c r="H1362" i="2"/>
  <c r="G1362" i="2"/>
  <c r="F1362" i="2"/>
  <c r="E1362" i="2"/>
  <c r="D1362" i="2"/>
  <c r="C1362" i="2"/>
  <c r="B1362" i="2"/>
  <c r="A1362" i="2"/>
  <c r="AH1361" i="2"/>
  <c r="AF1361" i="2"/>
  <c r="AE1361" i="2"/>
  <c r="AD1361" i="2"/>
  <c r="AC1361" i="2"/>
  <c r="AB1361" i="2"/>
  <c r="Z1361" i="2"/>
  <c r="X1361" i="2"/>
  <c r="W1361" i="2"/>
  <c r="V1361" i="2"/>
  <c r="U1361" i="2"/>
  <c r="T1361" i="2"/>
  <c r="S1361" i="2"/>
  <c r="R1361" i="2"/>
  <c r="Q1361" i="2"/>
  <c r="P1361" i="2"/>
  <c r="O1361" i="2"/>
  <c r="N1361" i="2"/>
  <c r="M1361" i="2"/>
  <c r="L1361" i="2"/>
  <c r="K1361" i="2"/>
  <c r="H1361" i="2"/>
  <c r="G1361" i="2"/>
  <c r="F1361" i="2"/>
  <c r="E1361" i="2"/>
  <c r="D1361" i="2"/>
  <c r="C1361" i="2"/>
  <c r="B1361" i="2"/>
  <c r="A1361" i="2"/>
  <c r="AH1360" i="2"/>
  <c r="AG1360" i="2"/>
  <c r="AF1360" i="2"/>
  <c r="AE1360" i="2"/>
  <c r="AD1360" i="2"/>
  <c r="AC1360" i="2"/>
  <c r="AB1360" i="2"/>
  <c r="Z1360" i="2"/>
  <c r="Y1360" i="2"/>
  <c r="X1360" i="2"/>
  <c r="W1360" i="2"/>
  <c r="V1360" i="2"/>
  <c r="T1360" i="2"/>
  <c r="S1360" i="2"/>
  <c r="R1360" i="2"/>
  <c r="Q1360" i="2"/>
  <c r="P1360" i="2"/>
  <c r="O1360" i="2"/>
  <c r="N1360" i="2"/>
  <c r="M1360" i="2"/>
  <c r="L1360" i="2"/>
  <c r="K1360" i="2"/>
  <c r="H1360" i="2"/>
  <c r="G1360" i="2"/>
  <c r="F1360" i="2"/>
  <c r="E1360" i="2"/>
  <c r="D1360" i="2"/>
  <c r="C1360" i="2"/>
  <c r="B1360" i="2"/>
  <c r="A1360" i="2"/>
  <c r="AG1359" i="2"/>
  <c r="AF1359" i="2"/>
  <c r="AE1359" i="2"/>
  <c r="AD1359" i="2"/>
  <c r="AC1359" i="2"/>
  <c r="AB1359" i="2"/>
  <c r="AA1359" i="2"/>
  <c r="Z1359" i="2"/>
  <c r="Y1359" i="2"/>
  <c r="X1359" i="2"/>
  <c r="W1359" i="2"/>
  <c r="V1359" i="2"/>
  <c r="U1359" i="2"/>
  <c r="T1359" i="2"/>
  <c r="S1359" i="2"/>
  <c r="R1359" i="2"/>
  <c r="Q1359" i="2"/>
  <c r="P1359" i="2"/>
  <c r="O1359" i="2"/>
  <c r="N1359" i="2"/>
  <c r="M1359" i="2"/>
  <c r="L1359" i="2"/>
  <c r="K1359" i="2"/>
  <c r="H1359" i="2"/>
  <c r="G1359" i="2"/>
  <c r="F1359" i="2"/>
  <c r="E1359" i="2"/>
  <c r="D1359" i="2"/>
  <c r="C1359" i="2"/>
  <c r="B1359" i="2"/>
  <c r="A1359" i="2"/>
  <c r="AG1358" i="2"/>
  <c r="AF1358" i="2"/>
  <c r="AD1358" i="2"/>
  <c r="AC1358" i="2"/>
  <c r="AB1358" i="2"/>
  <c r="Z1358" i="2"/>
  <c r="X1358" i="2"/>
  <c r="W1358" i="2"/>
  <c r="V1358" i="2"/>
  <c r="U1358" i="2"/>
  <c r="T1358" i="2"/>
  <c r="S1358" i="2"/>
  <c r="R1358" i="2"/>
  <c r="Q1358" i="2"/>
  <c r="P1358" i="2"/>
  <c r="O1358" i="2"/>
  <c r="N1358" i="2"/>
  <c r="M1358" i="2"/>
  <c r="L1358" i="2"/>
  <c r="K1358" i="2"/>
  <c r="H1358" i="2"/>
  <c r="G1358" i="2"/>
  <c r="F1358" i="2"/>
  <c r="E1358" i="2"/>
  <c r="D1358" i="2"/>
  <c r="C1358" i="2"/>
  <c r="B1358" i="2"/>
  <c r="A1358" i="2"/>
  <c r="AG1357" i="2"/>
  <c r="AF1357" i="2"/>
  <c r="AE1357" i="2"/>
  <c r="AD1357" i="2"/>
  <c r="AC1357" i="2"/>
  <c r="AB1357" i="2"/>
  <c r="Z1357" i="2"/>
  <c r="Y1357" i="2"/>
  <c r="X1357" i="2"/>
  <c r="W1357" i="2"/>
  <c r="V1357" i="2"/>
  <c r="U1357" i="2"/>
  <c r="T1357" i="2"/>
  <c r="S1357" i="2"/>
  <c r="R1357" i="2"/>
  <c r="Q1357" i="2"/>
  <c r="P1357" i="2"/>
  <c r="O1357" i="2"/>
  <c r="N1357" i="2"/>
  <c r="M1357" i="2"/>
  <c r="L1357" i="2"/>
  <c r="K1357" i="2"/>
  <c r="H1357" i="2"/>
  <c r="G1357" i="2"/>
  <c r="F1357" i="2"/>
  <c r="E1357" i="2"/>
  <c r="D1357" i="2"/>
  <c r="C1357" i="2"/>
  <c r="B1357" i="2"/>
  <c r="A1357" i="2"/>
  <c r="AH1356" i="2"/>
  <c r="AG1356" i="2"/>
  <c r="AF1356" i="2"/>
  <c r="AE1356" i="2"/>
  <c r="AD1356" i="2"/>
  <c r="AC1356" i="2"/>
  <c r="AB1356" i="2"/>
  <c r="Z1356" i="2"/>
  <c r="Y1356" i="2"/>
  <c r="X1356" i="2"/>
  <c r="W1356" i="2"/>
  <c r="V1356" i="2"/>
  <c r="T1356" i="2"/>
  <c r="S1356" i="2"/>
  <c r="R1356" i="2"/>
  <c r="Q1356" i="2"/>
  <c r="P1356" i="2"/>
  <c r="O1356" i="2"/>
  <c r="N1356" i="2"/>
  <c r="M1356" i="2"/>
  <c r="L1356" i="2"/>
  <c r="K1356" i="2"/>
  <c r="H1356" i="2"/>
  <c r="G1356" i="2"/>
  <c r="F1356" i="2"/>
  <c r="E1356" i="2"/>
  <c r="D1356" i="2"/>
  <c r="C1356" i="2"/>
  <c r="B1356" i="2"/>
  <c r="A1356" i="2"/>
  <c r="AG1355" i="2"/>
  <c r="AF1355" i="2"/>
  <c r="AD1355" i="2"/>
  <c r="AC1355" i="2"/>
  <c r="AB1355" i="2"/>
  <c r="Z1355" i="2"/>
  <c r="Y1355" i="2"/>
  <c r="X1355" i="2"/>
  <c r="W1355" i="2"/>
  <c r="V1355" i="2"/>
  <c r="U1355" i="2"/>
  <c r="T1355" i="2"/>
  <c r="S1355" i="2"/>
  <c r="R1355" i="2"/>
  <c r="Q1355" i="2"/>
  <c r="P1355" i="2"/>
  <c r="O1355" i="2"/>
  <c r="N1355" i="2"/>
  <c r="M1355" i="2"/>
  <c r="L1355" i="2"/>
  <c r="K1355" i="2"/>
  <c r="H1355" i="2"/>
  <c r="G1355" i="2"/>
  <c r="F1355" i="2"/>
  <c r="E1355" i="2"/>
  <c r="D1355" i="2"/>
  <c r="C1355" i="2"/>
  <c r="B1355" i="2"/>
  <c r="A1355" i="2"/>
  <c r="AG1354" i="2"/>
  <c r="AF1354" i="2"/>
  <c r="AE1354" i="2"/>
  <c r="AD1354" i="2"/>
  <c r="AC1354" i="2"/>
  <c r="AB1354" i="2"/>
  <c r="Z1354" i="2"/>
  <c r="Y1354" i="2"/>
  <c r="X1354" i="2"/>
  <c r="W1354" i="2"/>
  <c r="V1354" i="2"/>
  <c r="U1354" i="2"/>
  <c r="T1354" i="2"/>
  <c r="S1354" i="2"/>
  <c r="R1354" i="2"/>
  <c r="Q1354" i="2"/>
  <c r="P1354" i="2"/>
  <c r="O1354" i="2"/>
  <c r="N1354" i="2"/>
  <c r="M1354" i="2"/>
  <c r="L1354" i="2"/>
  <c r="K1354" i="2"/>
  <c r="H1354" i="2"/>
  <c r="G1354" i="2"/>
  <c r="F1354" i="2"/>
  <c r="E1354" i="2"/>
  <c r="D1354" i="2"/>
  <c r="C1354" i="2"/>
  <c r="B1354" i="2"/>
  <c r="A1354" i="2"/>
  <c r="AG1353" i="2"/>
  <c r="AF1353" i="2"/>
  <c r="AE1353" i="2"/>
  <c r="AD1353" i="2"/>
  <c r="AC1353" i="2"/>
  <c r="AB1353" i="2"/>
  <c r="Z1353" i="2"/>
  <c r="Y1353" i="2"/>
  <c r="X1353" i="2"/>
  <c r="W1353" i="2"/>
  <c r="V1353" i="2"/>
  <c r="U1353" i="2"/>
  <c r="S1353" i="2"/>
  <c r="R1353" i="2"/>
  <c r="Q1353" i="2"/>
  <c r="P1353" i="2"/>
  <c r="O1353" i="2"/>
  <c r="N1353" i="2"/>
  <c r="M1353" i="2"/>
  <c r="L1353" i="2"/>
  <c r="K1353" i="2"/>
  <c r="H1353" i="2"/>
  <c r="G1353" i="2"/>
  <c r="F1353" i="2"/>
  <c r="E1353" i="2"/>
  <c r="D1353" i="2"/>
  <c r="C1353" i="2"/>
  <c r="B1353" i="2"/>
  <c r="A1353" i="2"/>
  <c r="AG1352" i="2"/>
  <c r="AF1352" i="2"/>
  <c r="AD1352" i="2"/>
  <c r="AC1352" i="2"/>
  <c r="AB1352" i="2"/>
  <c r="Z1352" i="2"/>
  <c r="Y1352" i="2"/>
  <c r="X1352" i="2"/>
  <c r="W1352" i="2"/>
  <c r="V1352" i="2"/>
  <c r="U1352" i="2"/>
  <c r="T1352" i="2"/>
  <c r="S1352" i="2"/>
  <c r="R1352" i="2"/>
  <c r="Q1352" i="2"/>
  <c r="P1352" i="2"/>
  <c r="O1352" i="2"/>
  <c r="N1352" i="2"/>
  <c r="M1352" i="2"/>
  <c r="L1352" i="2"/>
  <c r="K1352" i="2"/>
  <c r="H1352" i="2"/>
  <c r="G1352" i="2"/>
  <c r="F1352" i="2"/>
  <c r="E1352" i="2"/>
  <c r="D1352" i="2"/>
  <c r="C1352" i="2"/>
  <c r="B1352" i="2"/>
  <c r="A1352" i="2"/>
  <c r="AG1351" i="2"/>
  <c r="AF1351" i="2"/>
  <c r="AE1351" i="2"/>
  <c r="AD1351" i="2"/>
  <c r="AC1351" i="2"/>
  <c r="AB1351" i="2"/>
  <c r="Z1351" i="2"/>
  <c r="Y1351" i="2"/>
  <c r="X1351" i="2"/>
  <c r="W1351" i="2"/>
  <c r="V1351" i="2"/>
  <c r="U1351" i="2"/>
  <c r="T1351" i="2"/>
  <c r="S1351" i="2"/>
  <c r="R1351" i="2"/>
  <c r="Q1351" i="2"/>
  <c r="P1351" i="2"/>
  <c r="O1351" i="2"/>
  <c r="N1351" i="2"/>
  <c r="M1351" i="2"/>
  <c r="L1351" i="2"/>
  <c r="K1351" i="2"/>
  <c r="H1351" i="2"/>
  <c r="G1351" i="2"/>
  <c r="F1351" i="2"/>
  <c r="E1351" i="2"/>
  <c r="D1351" i="2"/>
  <c r="C1351" i="2"/>
  <c r="B1351" i="2"/>
  <c r="A1351" i="2"/>
  <c r="AG1350" i="2"/>
  <c r="AF1350" i="2"/>
  <c r="AE1350" i="2"/>
  <c r="AD1350" i="2"/>
  <c r="AC1350" i="2"/>
  <c r="AB1350" i="2"/>
  <c r="Z1350" i="2"/>
  <c r="Y1350" i="2"/>
  <c r="X1350" i="2"/>
  <c r="W1350" i="2"/>
  <c r="V1350" i="2"/>
  <c r="U1350" i="2"/>
  <c r="T1350" i="2"/>
  <c r="S1350" i="2"/>
  <c r="R1350" i="2"/>
  <c r="Q1350" i="2"/>
  <c r="P1350" i="2"/>
  <c r="O1350" i="2"/>
  <c r="N1350" i="2"/>
  <c r="M1350" i="2"/>
  <c r="L1350" i="2"/>
  <c r="K1350" i="2"/>
  <c r="H1350" i="2"/>
  <c r="G1350" i="2"/>
  <c r="F1350" i="2"/>
  <c r="E1350" i="2"/>
  <c r="D1350" i="2"/>
  <c r="C1350" i="2"/>
  <c r="B1350" i="2"/>
  <c r="A1350" i="2"/>
  <c r="AH1349" i="2"/>
  <c r="AG1349" i="2"/>
  <c r="AF1349" i="2"/>
  <c r="AE1349" i="2"/>
  <c r="AD1349" i="2"/>
  <c r="AC1349" i="2"/>
  <c r="AB1349" i="2"/>
  <c r="Z1349" i="2"/>
  <c r="Y1349" i="2"/>
  <c r="X1349" i="2"/>
  <c r="W1349" i="2"/>
  <c r="V1349" i="2"/>
  <c r="U1349" i="2"/>
  <c r="T1349" i="2"/>
  <c r="S1349" i="2"/>
  <c r="R1349" i="2"/>
  <c r="Q1349" i="2"/>
  <c r="P1349" i="2"/>
  <c r="O1349" i="2"/>
  <c r="N1349" i="2"/>
  <c r="M1349" i="2"/>
  <c r="L1349" i="2"/>
  <c r="K1349" i="2"/>
  <c r="J1349" i="2"/>
  <c r="I1349" i="2"/>
  <c r="H1349" i="2"/>
  <c r="G1349" i="2"/>
  <c r="F1349" i="2"/>
  <c r="E1349" i="2"/>
  <c r="D1349" i="2"/>
  <c r="C1349" i="2"/>
  <c r="B1349" i="2"/>
  <c r="A1349" i="2"/>
  <c r="AG1348" i="2"/>
  <c r="AF1348" i="2"/>
  <c r="AE1348" i="2"/>
  <c r="AD1348" i="2"/>
  <c r="AC1348" i="2"/>
  <c r="AB1348" i="2"/>
  <c r="Z1348" i="2"/>
  <c r="Y1348" i="2"/>
  <c r="X1348" i="2"/>
  <c r="W1348" i="2"/>
  <c r="V1348" i="2"/>
  <c r="U1348" i="2"/>
  <c r="T1348" i="2"/>
  <c r="S1348" i="2"/>
  <c r="R1348" i="2"/>
  <c r="Q1348" i="2"/>
  <c r="P1348" i="2"/>
  <c r="O1348" i="2"/>
  <c r="N1348" i="2"/>
  <c r="M1348" i="2"/>
  <c r="L1348" i="2"/>
  <c r="K1348" i="2"/>
  <c r="H1348" i="2"/>
  <c r="G1348" i="2"/>
  <c r="F1348" i="2"/>
  <c r="E1348" i="2"/>
  <c r="D1348" i="2"/>
  <c r="C1348" i="2"/>
  <c r="B1348" i="2"/>
  <c r="A1348" i="2"/>
  <c r="AH1347" i="2"/>
  <c r="AG1347" i="2"/>
  <c r="AF1347" i="2"/>
  <c r="AE1347" i="2"/>
  <c r="AD1347" i="2"/>
  <c r="AC1347" i="2"/>
  <c r="AB1347" i="2"/>
  <c r="AA1347" i="2"/>
  <c r="Z1347" i="2"/>
  <c r="Y1347" i="2"/>
  <c r="X1347" i="2"/>
  <c r="W1347" i="2"/>
  <c r="V1347" i="2"/>
  <c r="U1347" i="2"/>
  <c r="T1347" i="2"/>
  <c r="S1347" i="2"/>
  <c r="R1347" i="2"/>
  <c r="Q1347" i="2"/>
  <c r="P1347" i="2"/>
  <c r="O1347" i="2"/>
  <c r="N1347" i="2"/>
  <c r="M1347" i="2"/>
  <c r="L1347" i="2"/>
  <c r="K1347" i="2"/>
  <c r="H1347" i="2"/>
  <c r="G1347" i="2"/>
  <c r="F1347" i="2"/>
  <c r="E1347" i="2"/>
  <c r="D1347" i="2"/>
  <c r="C1347" i="2"/>
  <c r="B1347" i="2"/>
  <c r="A1347" i="2"/>
  <c r="AG1346" i="2"/>
  <c r="AF1346" i="2"/>
  <c r="AD1346" i="2"/>
  <c r="AC1346" i="2"/>
  <c r="AB1346" i="2"/>
  <c r="Z1346" i="2"/>
  <c r="Y1346" i="2"/>
  <c r="X1346" i="2"/>
  <c r="W1346" i="2"/>
  <c r="V1346" i="2"/>
  <c r="U1346" i="2"/>
  <c r="T1346" i="2"/>
  <c r="S1346" i="2"/>
  <c r="R1346" i="2"/>
  <c r="Q1346" i="2"/>
  <c r="P1346" i="2"/>
  <c r="O1346" i="2"/>
  <c r="N1346" i="2"/>
  <c r="M1346" i="2"/>
  <c r="L1346" i="2"/>
  <c r="K1346" i="2"/>
  <c r="H1346" i="2"/>
  <c r="G1346" i="2"/>
  <c r="F1346" i="2"/>
  <c r="E1346" i="2"/>
  <c r="D1346" i="2"/>
  <c r="C1346" i="2"/>
  <c r="B1346" i="2"/>
  <c r="A1346" i="2"/>
  <c r="AH1345" i="2"/>
  <c r="AG1345" i="2"/>
  <c r="AF1345" i="2"/>
  <c r="AE1345" i="2"/>
  <c r="AD1345" i="2"/>
  <c r="AC1345" i="2"/>
  <c r="AB1345" i="2"/>
  <c r="Z1345" i="2"/>
  <c r="Y1345" i="2"/>
  <c r="X1345" i="2"/>
  <c r="W1345" i="2"/>
  <c r="V1345" i="2"/>
  <c r="U1345" i="2"/>
  <c r="T1345" i="2"/>
  <c r="S1345" i="2"/>
  <c r="R1345" i="2"/>
  <c r="Q1345" i="2"/>
  <c r="P1345" i="2"/>
  <c r="O1345" i="2"/>
  <c r="N1345" i="2"/>
  <c r="M1345" i="2"/>
  <c r="L1345" i="2"/>
  <c r="K1345" i="2"/>
  <c r="H1345" i="2"/>
  <c r="G1345" i="2"/>
  <c r="F1345" i="2"/>
  <c r="E1345" i="2"/>
  <c r="D1345" i="2"/>
  <c r="C1345" i="2"/>
  <c r="B1345" i="2"/>
  <c r="A1345" i="2"/>
  <c r="AG1344" i="2"/>
  <c r="AF1344" i="2"/>
  <c r="AE1344" i="2"/>
  <c r="AD1344" i="2"/>
  <c r="AC1344" i="2"/>
  <c r="AB1344" i="2"/>
  <c r="Z1344" i="2"/>
  <c r="Y1344" i="2"/>
  <c r="X1344" i="2"/>
  <c r="W1344" i="2"/>
  <c r="V1344" i="2"/>
  <c r="U1344" i="2"/>
  <c r="S1344" i="2"/>
  <c r="R1344" i="2"/>
  <c r="Q1344" i="2"/>
  <c r="P1344" i="2"/>
  <c r="O1344" i="2"/>
  <c r="N1344" i="2"/>
  <c r="M1344" i="2"/>
  <c r="L1344" i="2"/>
  <c r="K1344" i="2"/>
  <c r="H1344" i="2"/>
  <c r="G1344" i="2"/>
  <c r="F1344" i="2"/>
  <c r="E1344" i="2"/>
  <c r="D1344" i="2"/>
  <c r="C1344" i="2"/>
  <c r="B1344" i="2"/>
  <c r="A1344" i="2"/>
  <c r="AH1343" i="2"/>
  <c r="AG1343" i="2"/>
  <c r="AF1343" i="2"/>
  <c r="AE1343" i="2"/>
  <c r="AD1343" i="2"/>
  <c r="AC1343" i="2"/>
  <c r="AB1343" i="2"/>
  <c r="AA1343" i="2"/>
  <c r="Z1343" i="2"/>
  <c r="X1343" i="2"/>
  <c r="W1343" i="2"/>
  <c r="V1343" i="2"/>
  <c r="U1343" i="2"/>
  <c r="T1343" i="2"/>
  <c r="S1343" i="2"/>
  <c r="R1343" i="2"/>
  <c r="Q1343" i="2"/>
  <c r="P1343" i="2"/>
  <c r="O1343" i="2"/>
  <c r="N1343" i="2"/>
  <c r="M1343" i="2"/>
  <c r="L1343" i="2"/>
  <c r="K1343" i="2"/>
  <c r="H1343" i="2"/>
  <c r="G1343" i="2"/>
  <c r="F1343" i="2"/>
  <c r="E1343" i="2"/>
  <c r="D1343" i="2"/>
  <c r="C1343" i="2"/>
  <c r="B1343" i="2"/>
  <c r="A1343" i="2"/>
  <c r="AG1342" i="2"/>
  <c r="AF1342" i="2"/>
  <c r="AE1342" i="2"/>
  <c r="AD1342" i="2"/>
  <c r="AC1342" i="2"/>
  <c r="AB1342" i="2"/>
  <c r="Z1342" i="2"/>
  <c r="Y1342" i="2"/>
  <c r="X1342" i="2"/>
  <c r="W1342" i="2"/>
  <c r="V1342" i="2"/>
  <c r="U1342" i="2"/>
  <c r="T1342" i="2"/>
  <c r="S1342" i="2"/>
  <c r="R1342" i="2"/>
  <c r="Q1342" i="2"/>
  <c r="P1342" i="2"/>
  <c r="O1342" i="2"/>
  <c r="N1342" i="2"/>
  <c r="M1342" i="2"/>
  <c r="L1342" i="2"/>
  <c r="K1342" i="2"/>
  <c r="H1342" i="2"/>
  <c r="G1342" i="2"/>
  <c r="F1342" i="2"/>
  <c r="E1342" i="2"/>
  <c r="D1342" i="2"/>
  <c r="C1342" i="2"/>
  <c r="B1342" i="2"/>
  <c r="A1342" i="2"/>
  <c r="AG1341" i="2"/>
  <c r="AF1341" i="2"/>
  <c r="AE1341" i="2"/>
  <c r="AD1341" i="2"/>
  <c r="AC1341" i="2"/>
  <c r="AB1341" i="2"/>
  <c r="Z1341" i="2"/>
  <c r="Y1341" i="2"/>
  <c r="X1341" i="2"/>
  <c r="W1341" i="2"/>
  <c r="V1341" i="2"/>
  <c r="U1341" i="2"/>
  <c r="T1341" i="2"/>
  <c r="S1341" i="2"/>
  <c r="R1341" i="2"/>
  <c r="Q1341" i="2"/>
  <c r="P1341" i="2"/>
  <c r="O1341" i="2"/>
  <c r="N1341" i="2"/>
  <c r="M1341" i="2"/>
  <c r="L1341" i="2"/>
  <c r="K1341" i="2"/>
  <c r="H1341" i="2"/>
  <c r="G1341" i="2"/>
  <c r="F1341" i="2"/>
  <c r="E1341" i="2"/>
  <c r="D1341" i="2"/>
  <c r="C1341" i="2"/>
  <c r="B1341" i="2"/>
  <c r="A1341" i="2"/>
  <c r="AG1340" i="2"/>
  <c r="AF1340" i="2"/>
  <c r="AE1340" i="2"/>
  <c r="AD1340" i="2"/>
  <c r="AC1340" i="2"/>
  <c r="AB1340" i="2"/>
  <c r="Z1340" i="2"/>
  <c r="X1340" i="2"/>
  <c r="W1340" i="2"/>
  <c r="V1340" i="2"/>
  <c r="U1340" i="2"/>
  <c r="T1340" i="2"/>
  <c r="S1340" i="2"/>
  <c r="R1340" i="2"/>
  <c r="Q1340" i="2"/>
  <c r="P1340" i="2"/>
  <c r="O1340" i="2"/>
  <c r="N1340" i="2"/>
  <c r="M1340" i="2"/>
  <c r="L1340" i="2"/>
  <c r="K1340" i="2"/>
  <c r="H1340" i="2"/>
  <c r="G1340" i="2"/>
  <c r="F1340" i="2"/>
  <c r="E1340" i="2"/>
  <c r="D1340" i="2"/>
  <c r="C1340" i="2"/>
  <c r="B1340" i="2"/>
  <c r="A1340" i="2"/>
  <c r="AH1339" i="2"/>
  <c r="AG1339" i="2"/>
  <c r="AF1339" i="2"/>
  <c r="AD1339" i="2"/>
  <c r="AC1339" i="2"/>
  <c r="AB1339" i="2"/>
  <c r="Z1339" i="2"/>
  <c r="X1339" i="2"/>
  <c r="W1339" i="2"/>
  <c r="V1339" i="2"/>
  <c r="U1339" i="2"/>
  <c r="T1339" i="2"/>
  <c r="S1339" i="2"/>
  <c r="R1339" i="2"/>
  <c r="Q1339" i="2"/>
  <c r="P1339" i="2"/>
  <c r="O1339" i="2"/>
  <c r="N1339" i="2"/>
  <c r="M1339" i="2"/>
  <c r="L1339" i="2"/>
  <c r="K1339" i="2"/>
  <c r="H1339" i="2"/>
  <c r="G1339" i="2"/>
  <c r="F1339" i="2"/>
  <c r="E1339" i="2"/>
  <c r="D1339" i="2"/>
  <c r="C1339" i="2"/>
  <c r="B1339" i="2"/>
  <c r="A1339" i="2"/>
  <c r="AH1338" i="2"/>
  <c r="AG1338" i="2"/>
  <c r="AF1338" i="2"/>
  <c r="AE1338" i="2"/>
  <c r="AD1338" i="2"/>
  <c r="AC1338" i="2"/>
  <c r="AB1338" i="2"/>
  <c r="Z1338" i="2"/>
  <c r="Y1338" i="2"/>
  <c r="X1338" i="2"/>
  <c r="W1338" i="2"/>
  <c r="V1338" i="2"/>
  <c r="U1338" i="2"/>
  <c r="T1338" i="2"/>
  <c r="S1338" i="2"/>
  <c r="R1338" i="2"/>
  <c r="Q1338" i="2"/>
  <c r="P1338" i="2"/>
  <c r="O1338" i="2"/>
  <c r="N1338" i="2"/>
  <c r="M1338" i="2"/>
  <c r="L1338" i="2"/>
  <c r="K1338" i="2"/>
  <c r="H1338" i="2"/>
  <c r="G1338" i="2"/>
  <c r="F1338" i="2"/>
  <c r="E1338" i="2"/>
  <c r="D1338" i="2"/>
  <c r="C1338" i="2"/>
  <c r="B1338" i="2"/>
  <c r="A1338" i="2"/>
  <c r="AH1337" i="2"/>
  <c r="AG1337" i="2"/>
  <c r="AE1337" i="2"/>
  <c r="AD1337" i="2"/>
  <c r="AC1337" i="2"/>
  <c r="AB1337" i="2"/>
  <c r="Z1337" i="2"/>
  <c r="Y1337" i="2"/>
  <c r="X1337" i="2"/>
  <c r="W1337" i="2"/>
  <c r="V1337" i="2"/>
  <c r="U1337" i="2"/>
  <c r="T1337" i="2"/>
  <c r="S1337" i="2"/>
  <c r="R1337" i="2"/>
  <c r="Q1337" i="2"/>
  <c r="P1337" i="2"/>
  <c r="O1337" i="2"/>
  <c r="N1337" i="2"/>
  <c r="M1337" i="2"/>
  <c r="L1337" i="2"/>
  <c r="K1337" i="2"/>
  <c r="H1337" i="2"/>
  <c r="G1337" i="2"/>
  <c r="F1337" i="2"/>
  <c r="E1337" i="2"/>
  <c r="D1337" i="2"/>
  <c r="C1337" i="2"/>
  <c r="B1337" i="2"/>
  <c r="A1337" i="2"/>
  <c r="AG1336" i="2"/>
  <c r="AF1336" i="2"/>
  <c r="AE1336" i="2"/>
  <c r="AD1336" i="2"/>
  <c r="AC1336" i="2"/>
  <c r="AB1336" i="2"/>
  <c r="Z1336" i="2"/>
  <c r="Y1336" i="2"/>
  <c r="X1336" i="2"/>
  <c r="W1336" i="2"/>
  <c r="V1336" i="2"/>
  <c r="T1336" i="2"/>
  <c r="S1336" i="2"/>
  <c r="R1336" i="2"/>
  <c r="Q1336" i="2"/>
  <c r="P1336" i="2"/>
  <c r="O1336" i="2"/>
  <c r="N1336" i="2"/>
  <c r="M1336" i="2"/>
  <c r="L1336" i="2"/>
  <c r="K1336" i="2"/>
  <c r="H1336" i="2"/>
  <c r="G1336" i="2"/>
  <c r="F1336" i="2"/>
  <c r="E1336" i="2"/>
  <c r="D1336" i="2"/>
  <c r="C1336" i="2"/>
  <c r="B1336" i="2"/>
  <c r="A1336" i="2"/>
  <c r="AG1335" i="2"/>
  <c r="AF1335" i="2"/>
  <c r="AE1335" i="2"/>
  <c r="AD1335" i="2"/>
  <c r="AC1335" i="2"/>
  <c r="AB1335" i="2"/>
  <c r="Z1335" i="2"/>
  <c r="Y1335" i="2"/>
  <c r="X1335" i="2"/>
  <c r="W1335" i="2"/>
  <c r="V1335" i="2"/>
  <c r="U1335" i="2"/>
  <c r="S1335" i="2"/>
  <c r="R1335" i="2"/>
  <c r="Q1335" i="2"/>
  <c r="P1335" i="2"/>
  <c r="O1335" i="2"/>
  <c r="N1335" i="2"/>
  <c r="M1335" i="2"/>
  <c r="L1335" i="2"/>
  <c r="K1335" i="2"/>
  <c r="H1335" i="2"/>
  <c r="G1335" i="2"/>
  <c r="F1335" i="2"/>
  <c r="E1335" i="2"/>
  <c r="D1335" i="2"/>
  <c r="C1335" i="2"/>
  <c r="B1335" i="2"/>
  <c r="A1335" i="2"/>
  <c r="AH1334" i="2"/>
  <c r="AG1334" i="2"/>
  <c r="AF1334" i="2"/>
  <c r="AE1334" i="2"/>
  <c r="AD1334" i="2"/>
  <c r="AC1334" i="2"/>
  <c r="AB1334" i="2"/>
  <c r="Z1334" i="2"/>
  <c r="X1334" i="2"/>
  <c r="W1334" i="2"/>
  <c r="V1334" i="2"/>
  <c r="T1334" i="2"/>
  <c r="S1334" i="2"/>
  <c r="R1334" i="2"/>
  <c r="Q1334" i="2"/>
  <c r="P1334" i="2"/>
  <c r="O1334" i="2"/>
  <c r="N1334" i="2"/>
  <c r="M1334" i="2"/>
  <c r="L1334" i="2"/>
  <c r="K1334" i="2"/>
  <c r="H1334" i="2"/>
  <c r="G1334" i="2"/>
  <c r="F1334" i="2"/>
  <c r="E1334" i="2"/>
  <c r="D1334" i="2"/>
  <c r="C1334" i="2"/>
  <c r="B1334" i="2"/>
  <c r="A1334" i="2"/>
  <c r="AG1333" i="2"/>
  <c r="AF1333" i="2"/>
  <c r="AE1333" i="2"/>
  <c r="AD1333" i="2"/>
  <c r="AC1333" i="2"/>
  <c r="AB1333" i="2"/>
  <c r="Z1333" i="2"/>
  <c r="Y1333" i="2"/>
  <c r="X1333" i="2"/>
  <c r="W1333" i="2"/>
  <c r="V1333" i="2"/>
  <c r="U1333" i="2"/>
  <c r="T1333" i="2"/>
  <c r="S1333" i="2"/>
  <c r="R1333" i="2"/>
  <c r="Q1333" i="2"/>
  <c r="P1333" i="2"/>
  <c r="O1333" i="2"/>
  <c r="N1333" i="2"/>
  <c r="M1333" i="2"/>
  <c r="L1333" i="2"/>
  <c r="K1333" i="2"/>
  <c r="H1333" i="2"/>
  <c r="G1333" i="2"/>
  <c r="F1333" i="2"/>
  <c r="E1333" i="2"/>
  <c r="D1333" i="2"/>
  <c r="C1333" i="2"/>
  <c r="B1333" i="2"/>
  <c r="A1333" i="2"/>
  <c r="AG1332" i="2"/>
  <c r="AF1332" i="2"/>
  <c r="AE1332" i="2"/>
  <c r="AD1332" i="2"/>
  <c r="AC1332" i="2"/>
  <c r="AB1332" i="2"/>
  <c r="Z1332" i="2"/>
  <c r="Y1332" i="2"/>
  <c r="X1332" i="2"/>
  <c r="W1332" i="2"/>
  <c r="V1332" i="2"/>
  <c r="U1332" i="2"/>
  <c r="T1332" i="2"/>
  <c r="S1332" i="2"/>
  <c r="R1332" i="2"/>
  <c r="Q1332" i="2"/>
  <c r="P1332" i="2"/>
  <c r="O1332" i="2"/>
  <c r="N1332" i="2"/>
  <c r="M1332" i="2"/>
  <c r="L1332" i="2"/>
  <c r="K1332" i="2"/>
  <c r="H1332" i="2"/>
  <c r="G1332" i="2"/>
  <c r="F1332" i="2"/>
  <c r="E1332" i="2"/>
  <c r="D1332" i="2"/>
  <c r="C1332" i="2"/>
  <c r="B1332" i="2"/>
  <c r="A1332" i="2"/>
  <c r="AG1331" i="2"/>
  <c r="AF1331" i="2"/>
  <c r="AE1331" i="2"/>
  <c r="AD1331" i="2"/>
  <c r="AC1331" i="2"/>
  <c r="AB1331" i="2"/>
  <c r="Z1331" i="2"/>
  <c r="Y1331" i="2"/>
  <c r="X1331" i="2"/>
  <c r="W1331" i="2"/>
  <c r="V1331" i="2"/>
  <c r="U1331" i="2"/>
  <c r="T1331" i="2"/>
  <c r="S1331" i="2"/>
  <c r="R1331" i="2"/>
  <c r="Q1331" i="2"/>
  <c r="P1331" i="2"/>
  <c r="O1331" i="2"/>
  <c r="N1331" i="2"/>
  <c r="M1331" i="2"/>
  <c r="L1331" i="2"/>
  <c r="K1331" i="2"/>
  <c r="H1331" i="2"/>
  <c r="G1331" i="2"/>
  <c r="F1331" i="2"/>
  <c r="E1331" i="2"/>
  <c r="D1331" i="2"/>
  <c r="C1331" i="2"/>
  <c r="B1331" i="2"/>
  <c r="A1331" i="2"/>
  <c r="AF1330" i="2"/>
  <c r="AE1330" i="2"/>
  <c r="AD1330" i="2"/>
  <c r="AC1330" i="2"/>
  <c r="AB1330" i="2"/>
  <c r="Z1330" i="2"/>
  <c r="Y1330" i="2"/>
  <c r="X1330" i="2"/>
  <c r="W1330" i="2"/>
  <c r="V1330" i="2"/>
  <c r="U1330" i="2"/>
  <c r="T1330" i="2"/>
  <c r="S1330" i="2"/>
  <c r="R1330" i="2"/>
  <c r="Q1330" i="2"/>
  <c r="P1330" i="2"/>
  <c r="O1330" i="2"/>
  <c r="N1330" i="2"/>
  <c r="M1330" i="2"/>
  <c r="L1330" i="2"/>
  <c r="K1330" i="2"/>
  <c r="H1330" i="2"/>
  <c r="G1330" i="2"/>
  <c r="F1330" i="2"/>
  <c r="E1330" i="2"/>
  <c r="D1330" i="2"/>
  <c r="C1330" i="2"/>
  <c r="B1330" i="2"/>
  <c r="A1330" i="2"/>
  <c r="AG1329" i="2"/>
  <c r="AF1329" i="2"/>
  <c r="AE1329" i="2"/>
  <c r="AD1329" i="2"/>
  <c r="AC1329" i="2"/>
  <c r="AB1329" i="2"/>
  <c r="Z1329" i="2"/>
  <c r="Y1329" i="2"/>
  <c r="X1329" i="2"/>
  <c r="W1329" i="2"/>
  <c r="V1329" i="2"/>
  <c r="U1329" i="2"/>
  <c r="T1329" i="2"/>
  <c r="S1329" i="2"/>
  <c r="R1329" i="2"/>
  <c r="Q1329" i="2"/>
  <c r="P1329" i="2"/>
  <c r="O1329" i="2"/>
  <c r="N1329" i="2"/>
  <c r="M1329" i="2"/>
  <c r="L1329" i="2"/>
  <c r="K1329" i="2"/>
  <c r="H1329" i="2"/>
  <c r="G1329" i="2"/>
  <c r="F1329" i="2"/>
  <c r="E1329" i="2"/>
  <c r="D1329" i="2"/>
  <c r="C1329" i="2"/>
  <c r="B1329" i="2"/>
  <c r="A1329" i="2"/>
  <c r="AG1328" i="2"/>
  <c r="AF1328" i="2"/>
  <c r="AE1328" i="2"/>
  <c r="AD1328" i="2"/>
  <c r="AC1328" i="2"/>
  <c r="AB1328" i="2"/>
  <c r="Z1328" i="2"/>
  <c r="Y1328" i="2"/>
  <c r="X1328" i="2"/>
  <c r="W1328" i="2"/>
  <c r="V1328" i="2"/>
  <c r="U1328" i="2"/>
  <c r="S1328" i="2"/>
  <c r="R1328" i="2"/>
  <c r="Q1328" i="2"/>
  <c r="P1328" i="2"/>
  <c r="O1328" i="2"/>
  <c r="N1328" i="2"/>
  <c r="M1328" i="2"/>
  <c r="L1328" i="2"/>
  <c r="K1328" i="2"/>
  <c r="H1328" i="2"/>
  <c r="G1328" i="2"/>
  <c r="F1328" i="2"/>
  <c r="E1328" i="2"/>
  <c r="D1328" i="2"/>
  <c r="C1328" i="2"/>
  <c r="B1328" i="2"/>
  <c r="A1328" i="2"/>
  <c r="AG1327" i="2"/>
  <c r="AD1327" i="2"/>
  <c r="AC1327" i="2"/>
  <c r="AB1327" i="2"/>
  <c r="Z1327" i="2"/>
  <c r="X1327" i="2"/>
  <c r="W1327" i="2"/>
  <c r="V1327" i="2"/>
  <c r="U1327" i="2"/>
  <c r="S1327" i="2"/>
  <c r="R1327" i="2"/>
  <c r="Q1327" i="2"/>
  <c r="P1327" i="2"/>
  <c r="O1327" i="2"/>
  <c r="N1327" i="2"/>
  <c r="M1327" i="2"/>
  <c r="L1327" i="2"/>
  <c r="K1327" i="2"/>
  <c r="H1327" i="2"/>
  <c r="G1327" i="2"/>
  <c r="F1327" i="2"/>
  <c r="E1327" i="2"/>
  <c r="D1327" i="2"/>
  <c r="C1327" i="2"/>
  <c r="B1327" i="2"/>
  <c r="A1327" i="2"/>
  <c r="AG1326" i="2"/>
  <c r="AF1326" i="2"/>
  <c r="AE1326" i="2"/>
  <c r="AD1326" i="2"/>
  <c r="AC1326" i="2"/>
  <c r="AB1326" i="2"/>
  <c r="AA1326" i="2"/>
  <c r="Z1326" i="2"/>
  <c r="Y1326" i="2"/>
  <c r="X1326" i="2"/>
  <c r="W1326" i="2"/>
  <c r="V1326" i="2"/>
  <c r="U1326" i="2"/>
  <c r="T1326" i="2"/>
  <c r="S1326" i="2"/>
  <c r="R1326" i="2"/>
  <c r="Q1326" i="2"/>
  <c r="P1326" i="2"/>
  <c r="O1326" i="2"/>
  <c r="N1326" i="2"/>
  <c r="M1326" i="2"/>
  <c r="L1326" i="2"/>
  <c r="K1326" i="2"/>
  <c r="H1326" i="2"/>
  <c r="G1326" i="2"/>
  <c r="F1326" i="2"/>
  <c r="E1326" i="2"/>
  <c r="D1326" i="2"/>
  <c r="C1326" i="2"/>
  <c r="B1326" i="2"/>
  <c r="A1326" i="2"/>
  <c r="AG1325" i="2"/>
  <c r="AF1325" i="2"/>
  <c r="AE1325" i="2"/>
  <c r="AD1325" i="2"/>
  <c r="AC1325" i="2"/>
  <c r="AB1325" i="2"/>
  <c r="AA1325" i="2"/>
  <c r="Z1325" i="2"/>
  <c r="Y1325" i="2"/>
  <c r="X1325" i="2"/>
  <c r="W1325" i="2"/>
  <c r="V1325" i="2"/>
  <c r="U1325" i="2"/>
  <c r="T1325" i="2"/>
  <c r="S1325" i="2"/>
  <c r="R1325" i="2"/>
  <c r="Q1325" i="2"/>
  <c r="P1325" i="2"/>
  <c r="O1325" i="2"/>
  <c r="N1325" i="2"/>
  <c r="M1325" i="2"/>
  <c r="L1325" i="2"/>
  <c r="K1325" i="2"/>
  <c r="H1325" i="2"/>
  <c r="G1325" i="2"/>
  <c r="F1325" i="2"/>
  <c r="E1325" i="2"/>
  <c r="D1325" i="2"/>
  <c r="C1325" i="2"/>
  <c r="B1325" i="2"/>
  <c r="A1325" i="2"/>
  <c r="AG1324" i="2"/>
  <c r="AF1324" i="2"/>
  <c r="AE1324" i="2"/>
  <c r="AD1324" i="2"/>
  <c r="AC1324" i="2"/>
  <c r="AB1324" i="2"/>
  <c r="AA1324" i="2"/>
  <c r="Z1324" i="2"/>
  <c r="Y1324" i="2"/>
  <c r="X1324" i="2"/>
  <c r="W1324" i="2"/>
  <c r="V1324" i="2"/>
  <c r="U1324" i="2"/>
  <c r="S1324" i="2"/>
  <c r="R1324" i="2"/>
  <c r="Q1324" i="2"/>
  <c r="P1324" i="2"/>
  <c r="O1324" i="2"/>
  <c r="N1324" i="2"/>
  <c r="M1324" i="2"/>
  <c r="L1324" i="2"/>
  <c r="K1324" i="2"/>
  <c r="H1324" i="2"/>
  <c r="G1324" i="2"/>
  <c r="F1324" i="2"/>
  <c r="E1324" i="2"/>
  <c r="D1324" i="2"/>
  <c r="C1324" i="2"/>
  <c r="B1324" i="2"/>
  <c r="A1324" i="2"/>
  <c r="AH1323" i="2"/>
  <c r="AG1323" i="2"/>
  <c r="AF1323" i="2"/>
  <c r="AE1323" i="2"/>
  <c r="AD1323" i="2"/>
  <c r="AC1323" i="2"/>
  <c r="AB1323" i="2"/>
  <c r="Z1323" i="2"/>
  <c r="Y1323" i="2"/>
  <c r="X1323" i="2"/>
  <c r="W1323" i="2"/>
  <c r="V1323" i="2"/>
  <c r="U1323" i="2"/>
  <c r="T1323" i="2"/>
  <c r="S1323" i="2"/>
  <c r="R1323" i="2"/>
  <c r="Q1323" i="2"/>
  <c r="P1323" i="2"/>
  <c r="O1323" i="2"/>
  <c r="N1323" i="2"/>
  <c r="M1323" i="2"/>
  <c r="L1323" i="2"/>
  <c r="K1323" i="2"/>
  <c r="J1323" i="2"/>
  <c r="I1323" i="2"/>
  <c r="H1323" i="2"/>
  <c r="G1323" i="2"/>
  <c r="F1323" i="2"/>
  <c r="E1323" i="2"/>
  <c r="D1323" i="2"/>
  <c r="C1323" i="2"/>
  <c r="B1323" i="2"/>
  <c r="A1323" i="2"/>
  <c r="AG1322" i="2"/>
  <c r="AF1322" i="2"/>
  <c r="AE1322" i="2"/>
  <c r="AD1322" i="2"/>
  <c r="AC1322" i="2"/>
  <c r="AB1322" i="2"/>
  <c r="Z1322" i="2"/>
  <c r="Y1322" i="2"/>
  <c r="X1322" i="2"/>
  <c r="W1322" i="2"/>
  <c r="V1322" i="2"/>
  <c r="U1322" i="2"/>
  <c r="T1322" i="2"/>
  <c r="S1322" i="2"/>
  <c r="R1322" i="2"/>
  <c r="Q1322" i="2"/>
  <c r="P1322" i="2"/>
  <c r="O1322" i="2"/>
  <c r="N1322" i="2"/>
  <c r="M1322" i="2"/>
  <c r="L1322" i="2"/>
  <c r="K1322" i="2"/>
  <c r="H1322" i="2"/>
  <c r="G1322" i="2"/>
  <c r="F1322" i="2"/>
  <c r="E1322" i="2"/>
  <c r="D1322" i="2"/>
  <c r="C1322" i="2"/>
  <c r="B1322" i="2"/>
  <c r="A1322" i="2"/>
  <c r="AG1321" i="2"/>
  <c r="AF1321" i="2"/>
  <c r="AE1321" i="2"/>
  <c r="AD1321" i="2"/>
  <c r="AC1321" i="2"/>
  <c r="AB1321" i="2"/>
  <c r="Z1321" i="2"/>
  <c r="Y1321" i="2"/>
  <c r="X1321" i="2"/>
  <c r="W1321" i="2"/>
  <c r="V1321" i="2"/>
  <c r="U1321" i="2"/>
  <c r="T1321" i="2"/>
  <c r="S1321" i="2"/>
  <c r="R1321" i="2"/>
  <c r="Q1321" i="2"/>
  <c r="P1321" i="2"/>
  <c r="O1321" i="2"/>
  <c r="N1321" i="2"/>
  <c r="M1321" i="2"/>
  <c r="L1321" i="2"/>
  <c r="K1321" i="2"/>
  <c r="H1321" i="2"/>
  <c r="G1321" i="2"/>
  <c r="F1321" i="2"/>
  <c r="E1321" i="2"/>
  <c r="D1321" i="2"/>
  <c r="C1321" i="2"/>
  <c r="B1321" i="2"/>
  <c r="A1321" i="2"/>
  <c r="AH1320" i="2"/>
  <c r="AG1320" i="2"/>
  <c r="AF1320" i="2"/>
  <c r="AE1320" i="2"/>
  <c r="AD1320" i="2"/>
  <c r="AC1320" i="2"/>
  <c r="AB1320" i="2"/>
  <c r="Z1320" i="2"/>
  <c r="Y1320" i="2"/>
  <c r="X1320" i="2"/>
  <c r="W1320" i="2"/>
  <c r="V1320" i="2"/>
  <c r="U1320" i="2"/>
  <c r="R1320" i="2"/>
  <c r="Q1320" i="2"/>
  <c r="P1320" i="2"/>
  <c r="O1320" i="2"/>
  <c r="N1320" i="2"/>
  <c r="M1320" i="2"/>
  <c r="L1320" i="2"/>
  <c r="K1320" i="2"/>
  <c r="H1320" i="2"/>
  <c r="G1320" i="2"/>
  <c r="F1320" i="2"/>
  <c r="E1320" i="2"/>
  <c r="D1320" i="2"/>
  <c r="C1320" i="2"/>
  <c r="B1320" i="2"/>
  <c r="A1320" i="2"/>
  <c r="AH1319" i="2"/>
  <c r="AG1319" i="2"/>
  <c r="AF1319" i="2"/>
  <c r="AE1319" i="2"/>
  <c r="AD1319" i="2"/>
  <c r="AC1319" i="2"/>
  <c r="AB1319" i="2"/>
  <c r="Z1319" i="2"/>
  <c r="X1319" i="2"/>
  <c r="W1319" i="2"/>
  <c r="V1319" i="2"/>
  <c r="U1319" i="2"/>
  <c r="T1319" i="2"/>
  <c r="S1319" i="2"/>
  <c r="R1319" i="2"/>
  <c r="Q1319" i="2"/>
  <c r="P1319" i="2"/>
  <c r="O1319" i="2"/>
  <c r="N1319" i="2"/>
  <c r="M1319" i="2"/>
  <c r="L1319" i="2"/>
  <c r="K1319" i="2"/>
  <c r="H1319" i="2"/>
  <c r="G1319" i="2"/>
  <c r="F1319" i="2"/>
  <c r="E1319" i="2"/>
  <c r="D1319" i="2"/>
  <c r="C1319" i="2"/>
  <c r="B1319" i="2"/>
  <c r="A1319" i="2"/>
  <c r="AG1318" i="2"/>
  <c r="AF1318" i="2"/>
  <c r="AE1318" i="2"/>
  <c r="AD1318" i="2"/>
  <c r="AC1318" i="2"/>
  <c r="AB1318" i="2"/>
  <c r="AA1318" i="2"/>
  <c r="Z1318" i="2"/>
  <c r="Y1318" i="2"/>
  <c r="X1318" i="2"/>
  <c r="W1318" i="2"/>
  <c r="V1318" i="2"/>
  <c r="U1318" i="2"/>
  <c r="T1318" i="2"/>
  <c r="S1318" i="2"/>
  <c r="R1318" i="2"/>
  <c r="Q1318" i="2"/>
  <c r="P1318" i="2"/>
  <c r="O1318" i="2"/>
  <c r="N1318" i="2"/>
  <c r="M1318" i="2"/>
  <c r="L1318" i="2"/>
  <c r="K1318" i="2"/>
  <c r="H1318" i="2"/>
  <c r="G1318" i="2"/>
  <c r="F1318" i="2"/>
  <c r="E1318" i="2"/>
  <c r="D1318" i="2"/>
  <c r="C1318" i="2"/>
  <c r="B1318" i="2"/>
  <c r="A1318" i="2"/>
  <c r="AG1317" i="2"/>
  <c r="AF1317" i="2"/>
  <c r="AE1317" i="2"/>
  <c r="AD1317" i="2"/>
  <c r="AC1317" i="2"/>
  <c r="AB1317" i="2"/>
  <c r="AA1317" i="2"/>
  <c r="Z1317" i="2"/>
  <c r="Y1317" i="2"/>
  <c r="X1317" i="2"/>
  <c r="W1317" i="2"/>
  <c r="V1317" i="2"/>
  <c r="U1317" i="2"/>
  <c r="T1317" i="2"/>
  <c r="S1317" i="2"/>
  <c r="R1317" i="2"/>
  <c r="Q1317" i="2"/>
  <c r="P1317" i="2"/>
  <c r="O1317" i="2"/>
  <c r="N1317" i="2"/>
  <c r="M1317" i="2"/>
  <c r="L1317" i="2"/>
  <c r="K1317" i="2"/>
  <c r="H1317" i="2"/>
  <c r="G1317" i="2"/>
  <c r="F1317" i="2"/>
  <c r="E1317" i="2"/>
  <c r="D1317" i="2"/>
  <c r="C1317" i="2"/>
  <c r="B1317" i="2"/>
  <c r="A1317" i="2"/>
  <c r="AG1316" i="2"/>
  <c r="AF1316" i="2"/>
  <c r="AE1316" i="2"/>
  <c r="AD1316" i="2"/>
  <c r="AC1316" i="2"/>
  <c r="AB1316" i="2"/>
  <c r="Z1316" i="2"/>
  <c r="Y1316" i="2"/>
  <c r="X1316" i="2"/>
  <c r="W1316" i="2"/>
  <c r="V1316" i="2"/>
  <c r="U1316" i="2"/>
  <c r="T1316" i="2"/>
  <c r="S1316" i="2"/>
  <c r="R1316" i="2"/>
  <c r="Q1316" i="2"/>
  <c r="P1316" i="2"/>
  <c r="O1316" i="2"/>
  <c r="N1316" i="2"/>
  <c r="M1316" i="2"/>
  <c r="L1316" i="2"/>
  <c r="K1316" i="2"/>
  <c r="H1316" i="2"/>
  <c r="G1316" i="2"/>
  <c r="F1316" i="2"/>
  <c r="E1316" i="2"/>
  <c r="D1316" i="2"/>
  <c r="C1316" i="2"/>
  <c r="B1316" i="2"/>
  <c r="A1316" i="2"/>
  <c r="AG1315" i="2"/>
  <c r="AF1315" i="2"/>
  <c r="AE1315" i="2"/>
  <c r="AD1315" i="2"/>
  <c r="AC1315" i="2"/>
  <c r="AB1315" i="2"/>
  <c r="Z1315" i="2"/>
  <c r="Y1315" i="2"/>
  <c r="X1315" i="2"/>
  <c r="W1315" i="2"/>
  <c r="V1315" i="2"/>
  <c r="U1315" i="2"/>
  <c r="T1315" i="2"/>
  <c r="S1315" i="2"/>
  <c r="R1315" i="2"/>
  <c r="Q1315" i="2"/>
  <c r="P1315" i="2"/>
  <c r="O1315" i="2"/>
  <c r="N1315" i="2"/>
  <c r="M1315" i="2"/>
  <c r="L1315" i="2"/>
  <c r="K1315" i="2"/>
  <c r="H1315" i="2"/>
  <c r="G1315" i="2"/>
  <c r="F1315" i="2"/>
  <c r="E1315" i="2"/>
  <c r="D1315" i="2"/>
  <c r="C1315" i="2"/>
  <c r="B1315" i="2"/>
  <c r="A1315" i="2"/>
  <c r="AG1314" i="2"/>
  <c r="AF1314" i="2"/>
  <c r="AE1314" i="2"/>
  <c r="AD1314" i="2"/>
  <c r="AC1314" i="2"/>
  <c r="AB1314" i="2"/>
  <c r="Z1314" i="2"/>
  <c r="Y1314" i="2"/>
  <c r="X1314" i="2"/>
  <c r="W1314" i="2"/>
  <c r="V1314" i="2"/>
  <c r="U1314" i="2"/>
  <c r="T1314" i="2"/>
  <c r="S1314" i="2"/>
  <c r="R1314" i="2"/>
  <c r="Q1314" i="2"/>
  <c r="P1314" i="2"/>
  <c r="O1314" i="2"/>
  <c r="N1314" i="2"/>
  <c r="M1314" i="2"/>
  <c r="L1314" i="2"/>
  <c r="K1314" i="2"/>
  <c r="H1314" i="2"/>
  <c r="G1314" i="2"/>
  <c r="F1314" i="2"/>
  <c r="E1314" i="2"/>
  <c r="D1314" i="2"/>
  <c r="C1314" i="2"/>
  <c r="B1314" i="2"/>
  <c r="A1314" i="2"/>
  <c r="AD1313" i="2"/>
  <c r="AC1313" i="2"/>
  <c r="AB1313" i="2"/>
  <c r="Z1313" i="2"/>
  <c r="X1313" i="2"/>
  <c r="W1313" i="2"/>
  <c r="V1313" i="2"/>
  <c r="U1313" i="2"/>
  <c r="T1313" i="2"/>
  <c r="S1313" i="2"/>
  <c r="R1313" i="2"/>
  <c r="Q1313" i="2"/>
  <c r="P1313" i="2"/>
  <c r="O1313" i="2"/>
  <c r="N1313" i="2"/>
  <c r="M1313" i="2"/>
  <c r="L1313" i="2"/>
  <c r="K1313" i="2"/>
  <c r="H1313" i="2"/>
  <c r="G1313" i="2"/>
  <c r="F1313" i="2"/>
  <c r="E1313" i="2"/>
  <c r="D1313" i="2"/>
  <c r="C1313" i="2"/>
  <c r="B1313" i="2"/>
  <c r="A1313" i="2"/>
  <c r="AG1312" i="2"/>
  <c r="AF1312" i="2"/>
  <c r="AE1312" i="2"/>
  <c r="AD1312" i="2"/>
  <c r="AC1312" i="2"/>
  <c r="AB1312" i="2"/>
  <c r="AA1312" i="2"/>
  <c r="Z1312" i="2"/>
  <c r="Y1312" i="2"/>
  <c r="X1312" i="2"/>
  <c r="W1312" i="2"/>
  <c r="V1312" i="2"/>
  <c r="U1312" i="2"/>
  <c r="T1312" i="2"/>
  <c r="S1312" i="2"/>
  <c r="R1312" i="2"/>
  <c r="Q1312" i="2"/>
  <c r="P1312" i="2"/>
  <c r="O1312" i="2"/>
  <c r="N1312" i="2"/>
  <c r="M1312" i="2"/>
  <c r="L1312" i="2"/>
  <c r="K1312" i="2"/>
  <c r="H1312" i="2"/>
  <c r="G1312" i="2"/>
  <c r="F1312" i="2"/>
  <c r="E1312" i="2"/>
  <c r="D1312" i="2"/>
  <c r="C1312" i="2"/>
  <c r="B1312" i="2"/>
  <c r="A1312" i="2"/>
  <c r="AG1311" i="2"/>
  <c r="AF1311" i="2"/>
  <c r="AE1311" i="2"/>
  <c r="AD1311" i="2"/>
  <c r="AC1311" i="2"/>
  <c r="AB1311" i="2"/>
  <c r="AA1311" i="2"/>
  <c r="Z1311" i="2"/>
  <c r="Y1311" i="2"/>
  <c r="X1311" i="2"/>
  <c r="W1311" i="2"/>
  <c r="V1311" i="2"/>
  <c r="U1311" i="2"/>
  <c r="T1311" i="2"/>
  <c r="S1311" i="2"/>
  <c r="R1311" i="2"/>
  <c r="Q1311" i="2"/>
  <c r="P1311" i="2"/>
  <c r="O1311" i="2"/>
  <c r="N1311" i="2"/>
  <c r="M1311" i="2"/>
  <c r="L1311" i="2"/>
  <c r="K1311" i="2"/>
  <c r="H1311" i="2"/>
  <c r="G1311" i="2"/>
  <c r="F1311" i="2"/>
  <c r="E1311" i="2"/>
  <c r="D1311" i="2"/>
  <c r="C1311" i="2"/>
  <c r="B1311" i="2"/>
  <c r="A1311" i="2"/>
  <c r="AG1310" i="2"/>
  <c r="AF1310" i="2"/>
  <c r="AE1310" i="2"/>
  <c r="AD1310" i="2"/>
  <c r="AC1310" i="2"/>
  <c r="AB1310" i="2"/>
  <c r="Z1310" i="2"/>
  <c r="Y1310" i="2"/>
  <c r="X1310" i="2"/>
  <c r="W1310" i="2"/>
  <c r="V1310" i="2"/>
  <c r="U1310" i="2"/>
  <c r="T1310" i="2"/>
  <c r="S1310" i="2"/>
  <c r="R1310" i="2"/>
  <c r="Q1310" i="2"/>
  <c r="P1310" i="2"/>
  <c r="O1310" i="2"/>
  <c r="N1310" i="2"/>
  <c r="M1310" i="2"/>
  <c r="L1310" i="2"/>
  <c r="K1310" i="2"/>
  <c r="H1310" i="2"/>
  <c r="G1310" i="2"/>
  <c r="F1310" i="2"/>
  <c r="E1310" i="2"/>
  <c r="D1310" i="2"/>
  <c r="C1310" i="2"/>
  <c r="B1310" i="2"/>
  <c r="A1310" i="2"/>
  <c r="AG1309" i="2"/>
  <c r="AF1309" i="2"/>
  <c r="AE1309" i="2"/>
  <c r="AD1309" i="2"/>
  <c r="AC1309" i="2"/>
  <c r="AB1309" i="2"/>
  <c r="AA1309" i="2"/>
  <c r="Z1309" i="2"/>
  <c r="Y1309" i="2"/>
  <c r="X1309" i="2"/>
  <c r="W1309" i="2"/>
  <c r="V1309" i="2"/>
  <c r="U1309" i="2"/>
  <c r="T1309" i="2"/>
  <c r="S1309" i="2"/>
  <c r="R1309" i="2"/>
  <c r="Q1309" i="2"/>
  <c r="P1309" i="2"/>
  <c r="O1309" i="2"/>
  <c r="N1309" i="2"/>
  <c r="M1309" i="2"/>
  <c r="L1309" i="2"/>
  <c r="K1309" i="2"/>
  <c r="H1309" i="2"/>
  <c r="G1309" i="2"/>
  <c r="F1309" i="2"/>
  <c r="E1309" i="2"/>
  <c r="D1309" i="2"/>
  <c r="C1309" i="2"/>
  <c r="B1309" i="2"/>
  <c r="A1309" i="2"/>
  <c r="AG1308" i="2"/>
  <c r="AF1308" i="2"/>
  <c r="AE1308" i="2"/>
  <c r="AD1308" i="2"/>
  <c r="AC1308" i="2"/>
  <c r="AB1308" i="2"/>
  <c r="Z1308" i="2"/>
  <c r="Y1308" i="2"/>
  <c r="X1308" i="2"/>
  <c r="W1308" i="2"/>
  <c r="V1308" i="2"/>
  <c r="U1308" i="2"/>
  <c r="T1308" i="2"/>
  <c r="S1308" i="2"/>
  <c r="R1308" i="2"/>
  <c r="Q1308" i="2"/>
  <c r="P1308" i="2"/>
  <c r="O1308" i="2"/>
  <c r="N1308" i="2"/>
  <c r="M1308" i="2"/>
  <c r="L1308" i="2"/>
  <c r="K1308" i="2"/>
  <c r="H1308" i="2"/>
  <c r="G1308" i="2"/>
  <c r="F1308" i="2"/>
  <c r="E1308" i="2"/>
  <c r="D1308" i="2"/>
  <c r="C1308" i="2"/>
  <c r="B1308" i="2"/>
  <c r="A1308" i="2"/>
  <c r="AG1307" i="2"/>
  <c r="AF1307" i="2"/>
  <c r="AE1307" i="2"/>
  <c r="AD1307" i="2"/>
  <c r="AC1307" i="2"/>
  <c r="AB1307" i="2"/>
  <c r="Z1307" i="2"/>
  <c r="Y1307" i="2"/>
  <c r="X1307" i="2"/>
  <c r="W1307" i="2"/>
  <c r="V1307" i="2"/>
  <c r="U1307" i="2"/>
  <c r="R1307" i="2"/>
  <c r="Q1307" i="2"/>
  <c r="P1307" i="2"/>
  <c r="O1307" i="2"/>
  <c r="N1307" i="2"/>
  <c r="M1307" i="2"/>
  <c r="L1307" i="2"/>
  <c r="K1307" i="2"/>
  <c r="H1307" i="2"/>
  <c r="G1307" i="2"/>
  <c r="F1307" i="2"/>
  <c r="E1307" i="2"/>
  <c r="D1307" i="2"/>
  <c r="C1307" i="2"/>
  <c r="B1307" i="2"/>
  <c r="A1307" i="2"/>
  <c r="AG1306" i="2"/>
  <c r="AF1306" i="2"/>
  <c r="AE1306" i="2"/>
  <c r="AD1306" i="2"/>
  <c r="AC1306" i="2"/>
  <c r="AB1306" i="2"/>
  <c r="Z1306" i="2"/>
  <c r="Y1306" i="2"/>
  <c r="X1306" i="2"/>
  <c r="W1306" i="2"/>
  <c r="V1306" i="2"/>
  <c r="U1306" i="2"/>
  <c r="T1306" i="2"/>
  <c r="S1306" i="2"/>
  <c r="R1306" i="2"/>
  <c r="Q1306" i="2"/>
  <c r="P1306" i="2"/>
  <c r="O1306" i="2"/>
  <c r="N1306" i="2"/>
  <c r="M1306" i="2"/>
  <c r="L1306" i="2"/>
  <c r="K1306" i="2"/>
  <c r="H1306" i="2"/>
  <c r="G1306" i="2"/>
  <c r="F1306" i="2"/>
  <c r="E1306" i="2"/>
  <c r="D1306" i="2"/>
  <c r="C1306" i="2"/>
  <c r="B1306" i="2"/>
  <c r="A1306" i="2"/>
  <c r="AG1305" i="2"/>
  <c r="AF1305" i="2"/>
  <c r="AE1305" i="2"/>
  <c r="AD1305" i="2"/>
  <c r="AC1305" i="2"/>
  <c r="AB1305" i="2"/>
  <c r="Z1305" i="2"/>
  <c r="Y1305" i="2"/>
  <c r="X1305" i="2"/>
  <c r="W1305" i="2"/>
  <c r="V1305" i="2"/>
  <c r="U1305" i="2"/>
  <c r="T1305" i="2"/>
  <c r="S1305" i="2"/>
  <c r="R1305" i="2"/>
  <c r="Q1305" i="2"/>
  <c r="P1305" i="2"/>
  <c r="O1305" i="2"/>
  <c r="N1305" i="2"/>
  <c r="M1305" i="2"/>
  <c r="L1305" i="2"/>
  <c r="K1305" i="2"/>
  <c r="H1305" i="2"/>
  <c r="G1305" i="2"/>
  <c r="F1305" i="2"/>
  <c r="E1305" i="2"/>
  <c r="D1305" i="2"/>
  <c r="C1305" i="2"/>
  <c r="B1305" i="2"/>
  <c r="A1305" i="2"/>
  <c r="AG1304" i="2"/>
  <c r="AF1304" i="2"/>
  <c r="AE1304" i="2"/>
  <c r="AD1304" i="2"/>
  <c r="AC1304" i="2"/>
  <c r="AB1304" i="2"/>
  <c r="AA1304" i="2"/>
  <c r="Z1304" i="2"/>
  <c r="Y1304" i="2"/>
  <c r="X1304" i="2"/>
  <c r="W1304" i="2"/>
  <c r="V1304" i="2"/>
  <c r="U1304" i="2"/>
  <c r="S1304" i="2"/>
  <c r="R1304" i="2"/>
  <c r="Q1304" i="2"/>
  <c r="P1304" i="2"/>
  <c r="O1304" i="2"/>
  <c r="N1304" i="2"/>
  <c r="M1304" i="2"/>
  <c r="L1304" i="2"/>
  <c r="K1304" i="2"/>
  <c r="H1304" i="2"/>
  <c r="G1304" i="2"/>
  <c r="F1304" i="2"/>
  <c r="E1304" i="2"/>
  <c r="D1304" i="2"/>
  <c r="C1304" i="2"/>
  <c r="B1304" i="2"/>
  <c r="A1304" i="2"/>
  <c r="AG1303" i="2"/>
  <c r="AF1303" i="2"/>
  <c r="AE1303" i="2"/>
  <c r="AD1303" i="2"/>
  <c r="AC1303" i="2"/>
  <c r="AB1303" i="2"/>
  <c r="Z1303" i="2"/>
  <c r="Y1303" i="2"/>
  <c r="X1303" i="2"/>
  <c r="W1303" i="2"/>
  <c r="V1303" i="2"/>
  <c r="U1303" i="2"/>
  <c r="T1303" i="2"/>
  <c r="S1303" i="2"/>
  <c r="R1303" i="2"/>
  <c r="Q1303" i="2"/>
  <c r="P1303" i="2"/>
  <c r="O1303" i="2"/>
  <c r="N1303" i="2"/>
  <c r="M1303" i="2"/>
  <c r="L1303" i="2"/>
  <c r="K1303" i="2"/>
  <c r="H1303" i="2"/>
  <c r="G1303" i="2"/>
  <c r="F1303" i="2"/>
  <c r="E1303" i="2"/>
  <c r="D1303" i="2"/>
  <c r="C1303" i="2"/>
  <c r="B1303" i="2"/>
  <c r="A1303" i="2"/>
  <c r="AG1302" i="2"/>
  <c r="AF1302" i="2"/>
  <c r="AE1302" i="2"/>
  <c r="AD1302" i="2"/>
  <c r="AC1302" i="2"/>
  <c r="AB1302" i="2"/>
  <c r="Z1302" i="2"/>
  <c r="Y1302" i="2"/>
  <c r="X1302" i="2"/>
  <c r="W1302" i="2"/>
  <c r="V1302" i="2"/>
  <c r="U1302" i="2"/>
  <c r="T1302" i="2"/>
  <c r="S1302" i="2"/>
  <c r="R1302" i="2"/>
  <c r="Q1302" i="2"/>
  <c r="P1302" i="2"/>
  <c r="O1302" i="2"/>
  <c r="N1302" i="2"/>
  <c r="M1302" i="2"/>
  <c r="L1302" i="2"/>
  <c r="K1302" i="2"/>
  <c r="H1302" i="2"/>
  <c r="G1302" i="2"/>
  <c r="F1302" i="2"/>
  <c r="E1302" i="2"/>
  <c r="D1302" i="2"/>
  <c r="C1302" i="2"/>
  <c r="B1302" i="2"/>
  <c r="A1302" i="2"/>
  <c r="AG1301" i="2"/>
  <c r="AF1301" i="2"/>
  <c r="AE1301" i="2"/>
  <c r="AD1301" i="2"/>
  <c r="AC1301" i="2"/>
  <c r="AB1301" i="2"/>
  <c r="Z1301" i="2"/>
  <c r="Y1301" i="2"/>
  <c r="X1301" i="2"/>
  <c r="W1301" i="2"/>
  <c r="V1301" i="2"/>
  <c r="U1301" i="2"/>
  <c r="Q1301" i="2"/>
  <c r="P1301" i="2"/>
  <c r="O1301" i="2"/>
  <c r="N1301" i="2"/>
  <c r="M1301" i="2"/>
  <c r="L1301" i="2"/>
  <c r="K1301" i="2"/>
  <c r="H1301" i="2"/>
  <c r="G1301" i="2"/>
  <c r="F1301" i="2"/>
  <c r="E1301" i="2"/>
  <c r="D1301" i="2"/>
  <c r="C1301" i="2"/>
  <c r="B1301" i="2"/>
  <c r="A1301" i="2"/>
  <c r="AG1300" i="2"/>
  <c r="AF1300" i="2"/>
  <c r="AE1300" i="2"/>
  <c r="AD1300" i="2"/>
  <c r="AC1300" i="2"/>
  <c r="AB1300" i="2"/>
  <c r="Z1300" i="2"/>
  <c r="Y1300" i="2"/>
  <c r="X1300" i="2"/>
  <c r="W1300" i="2"/>
  <c r="V1300" i="2"/>
  <c r="U1300" i="2"/>
  <c r="T1300" i="2"/>
  <c r="S1300" i="2"/>
  <c r="R1300" i="2"/>
  <c r="Q1300" i="2"/>
  <c r="P1300" i="2"/>
  <c r="O1300" i="2"/>
  <c r="N1300" i="2"/>
  <c r="M1300" i="2"/>
  <c r="L1300" i="2"/>
  <c r="K1300" i="2"/>
  <c r="H1300" i="2"/>
  <c r="G1300" i="2"/>
  <c r="F1300" i="2"/>
  <c r="E1300" i="2"/>
  <c r="D1300" i="2"/>
  <c r="C1300" i="2"/>
  <c r="B1300" i="2"/>
  <c r="A1300" i="2"/>
  <c r="AG1299" i="2"/>
  <c r="AF1299" i="2"/>
  <c r="AE1299" i="2"/>
  <c r="AD1299" i="2"/>
  <c r="AC1299" i="2"/>
  <c r="AB1299" i="2"/>
  <c r="Z1299" i="2"/>
  <c r="Y1299" i="2"/>
  <c r="X1299" i="2"/>
  <c r="W1299" i="2"/>
  <c r="V1299" i="2"/>
  <c r="U1299" i="2"/>
  <c r="T1299" i="2"/>
  <c r="S1299" i="2"/>
  <c r="R1299" i="2"/>
  <c r="Q1299" i="2"/>
  <c r="P1299" i="2"/>
  <c r="O1299" i="2"/>
  <c r="N1299" i="2"/>
  <c r="M1299" i="2"/>
  <c r="L1299" i="2"/>
  <c r="K1299" i="2"/>
  <c r="H1299" i="2"/>
  <c r="G1299" i="2"/>
  <c r="F1299" i="2"/>
  <c r="E1299" i="2"/>
  <c r="D1299" i="2"/>
  <c r="C1299" i="2"/>
  <c r="B1299" i="2"/>
  <c r="A1299" i="2"/>
  <c r="AG1298" i="2"/>
  <c r="AF1298" i="2"/>
  <c r="AE1298" i="2"/>
  <c r="AD1298" i="2"/>
  <c r="AC1298" i="2"/>
  <c r="AB1298" i="2"/>
  <c r="Z1298" i="2"/>
  <c r="Y1298" i="2"/>
  <c r="X1298" i="2"/>
  <c r="W1298" i="2"/>
  <c r="V1298" i="2"/>
  <c r="U1298" i="2"/>
  <c r="T1298" i="2"/>
  <c r="S1298" i="2"/>
  <c r="R1298" i="2"/>
  <c r="Q1298" i="2"/>
  <c r="P1298" i="2"/>
  <c r="O1298" i="2"/>
  <c r="N1298" i="2"/>
  <c r="M1298" i="2"/>
  <c r="L1298" i="2"/>
  <c r="K1298" i="2"/>
  <c r="H1298" i="2"/>
  <c r="G1298" i="2"/>
  <c r="F1298" i="2"/>
  <c r="E1298" i="2"/>
  <c r="D1298" i="2"/>
  <c r="C1298" i="2"/>
  <c r="B1298" i="2"/>
  <c r="A1298" i="2"/>
  <c r="AG1297" i="2"/>
  <c r="AF1297" i="2"/>
  <c r="AE1297" i="2"/>
  <c r="AD1297" i="2"/>
  <c r="AC1297" i="2"/>
  <c r="AB1297" i="2"/>
  <c r="AA1297" i="2"/>
  <c r="Z1297" i="2"/>
  <c r="Y1297" i="2"/>
  <c r="X1297" i="2"/>
  <c r="W1297" i="2"/>
  <c r="V1297" i="2"/>
  <c r="U1297" i="2"/>
  <c r="T1297" i="2"/>
  <c r="S1297" i="2"/>
  <c r="R1297" i="2"/>
  <c r="Q1297" i="2"/>
  <c r="P1297" i="2"/>
  <c r="O1297" i="2"/>
  <c r="N1297" i="2"/>
  <c r="M1297" i="2"/>
  <c r="L1297" i="2"/>
  <c r="K1297" i="2"/>
  <c r="H1297" i="2"/>
  <c r="G1297" i="2"/>
  <c r="F1297" i="2"/>
  <c r="E1297" i="2"/>
  <c r="D1297" i="2"/>
  <c r="C1297" i="2"/>
  <c r="B1297" i="2"/>
  <c r="A1297" i="2"/>
  <c r="AG1296" i="2"/>
  <c r="AF1296" i="2"/>
  <c r="AE1296" i="2"/>
  <c r="AD1296" i="2"/>
  <c r="AC1296" i="2"/>
  <c r="AB1296" i="2"/>
  <c r="AA1296" i="2"/>
  <c r="Z1296" i="2"/>
  <c r="Y1296" i="2"/>
  <c r="X1296" i="2"/>
  <c r="W1296" i="2"/>
  <c r="V1296" i="2"/>
  <c r="U1296" i="2"/>
  <c r="S1296" i="2"/>
  <c r="R1296" i="2"/>
  <c r="Q1296" i="2"/>
  <c r="P1296" i="2"/>
  <c r="O1296" i="2"/>
  <c r="N1296" i="2"/>
  <c r="M1296" i="2"/>
  <c r="L1296" i="2"/>
  <c r="K1296" i="2"/>
  <c r="H1296" i="2"/>
  <c r="G1296" i="2"/>
  <c r="F1296" i="2"/>
  <c r="E1296" i="2"/>
  <c r="D1296" i="2"/>
  <c r="C1296" i="2"/>
  <c r="B1296" i="2"/>
  <c r="A1296" i="2"/>
  <c r="AG1295" i="2"/>
  <c r="AF1295" i="2"/>
  <c r="AE1295" i="2"/>
  <c r="AD1295" i="2"/>
  <c r="AC1295" i="2"/>
  <c r="AB1295" i="2"/>
  <c r="Z1295" i="2"/>
  <c r="Y1295" i="2"/>
  <c r="X1295" i="2"/>
  <c r="W1295" i="2"/>
  <c r="V1295" i="2"/>
  <c r="U1295" i="2"/>
  <c r="T1295" i="2"/>
  <c r="S1295" i="2"/>
  <c r="R1295" i="2"/>
  <c r="Q1295" i="2"/>
  <c r="P1295" i="2"/>
  <c r="O1295" i="2"/>
  <c r="N1295" i="2"/>
  <c r="M1295" i="2"/>
  <c r="L1295" i="2"/>
  <c r="K1295" i="2"/>
  <c r="H1295" i="2"/>
  <c r="G1295" i="2"/>
  <c r="F1295" i="2"/>
  <c r="E1295" i="2"/>
  <c r="D1295" i="2"/>
  <c r="C1295" i="2"/>
  <c r="B1295" i="2"/>
  <c r="A1295" i="2"/>
  <c r="AG1294" i="2"/>
  <c r="AF1294" i="2"/>
  <c r="AE1294" i="2"/>
  <c r="AD1294" i="2"/>
  <c r="AC1294" i="2"/>
  <c r="AB1294" i="2"/>
  <c r="Z1294" i="2"/>
  <c r="Y1294" i="2"/>
  <c r="X1294" i="2"/>
  <c r="W1294" i="2"/>
  <c r="V1294" i="2"/>
  <c r="U1294" i="2"/>
  <c r="R1294" i="2"/>
  <c r="Q1294" i="2"/>
  <c r="P1294" i="2"/>
  <c r="O1294" i="2"/>
  <c r="N1294" i="2"/>
  <c r="M1294" i="2"/>
  <c r="L1294" i="2"/>
  <c r="K1294" i="2"/>
  <c r="H1294" i="2"/>
  <c r="G1294" i="2"/>
  <c r="F1294" i="2"/>
  <c r="E1294" i="2"/>
  <c r="D1294" i="2"/>
  <c r="C1294" i="2"/>
  <c r="B1294" i="2"/>
  <c r="A1294" i="2"/>
  <c r="AG1293" i="2"/>
  <c r="AF1293" i="2"/>
  <c r="AE1293" i="2"/>
  <c r="AD1293" i="2"/>
  <c r="AC1293" i="2"/>
  <c r="AB1293" i="2"/>
  <c r="AA1293" i="2"/>
  <c r="Z1293" i="2"/>
  <c r="Y1293" i="2"/>
  <c r="X1293" i="2"/>
  <c r="W1293" i="2"/>
  <c r="V1293" i="2"/>
  <c r="U1293" i="2"/>
  <c r="T1293" i="2"/>
  <c r="S1293" i="2"/>
  <c r="R1293" i="2"/>
  <c r="Q1293" i="2"/>
  <c r="P1293" i="2"/>
  <c r="O1293" i="2"/>
  <c r="N1293" i="2"/>
  <c r="M1293" i="2"/>
  <c r="L1293" i="2"/>
  <c r="K1293" i="2"/>
  <c r="H1293" i="2"/>
  <c r="G1293" i="2"/>
  <c r="F1293" i="2"/>
  <c r="E1293" i="2"/>
  <c r="D1293" i="2"/>
  <c r="C1293" i="2"/>
  <c r="B1293" i="2"/>
  <c r="A1293" i="2"/>
  <c r="AG1292" i="2"/>
  <c r="AF1292" i="2"/>
  <c r="AE1292" i="2"/>
  <c r="AD1292" i="2"/>
  <c r="AC1292" i="2"/>
  <c r="AB1292" i="2"/>
  <c r="Z1292" i="2"/>
  <c r="Y1292" i="2"/>
  <c r="X1292" i="2"/>
  <c r="W1292" i="2"/>
  <c r="V1292" i="2"/>
  <c r="U1292" i="2"/>
  <c r="T1292" i="2"/>
  <c r="S1292" i="2"/>
  <c r="R1292" i="2"/>
  <c r="Q1292" i="2"/>
  <c r="P1292" i="2"/>
  <c r="O1292" i="2"/>
  <c r="N1292" i="2"/>
  <c r="M1292" i="2"/>
  <c r="L1292" i="2"/>
  <c r="K1292" i="2"/>
  <c r="H1292" i="2"/>
  <c r="G1292" i="2"/>
  <c r="F1292" i="2"/>
  <c r="E1292" i="2"/>
  <c r="D1292" i="2"/>
  <c r="C1292" i="2"/>
  <c r="B1292" i="2"/>
  <c r="A1292" i="2"/>
  <c r="AF1291" i="2"/>
  <c r="AE1291" i="2"/>
  <c r="AD1291" i="2"/>
  <c r="AC1291" i="2"/>
  <c r="AB1291" i="2"/>
  <c r="Z1291" i="2"/>
  <c r="Y1291" i="2"/>
  <c r="X1291" i="2"/>
  <c r="W1291" i="2"/>
  <c r="V1291" i="2"/>
  <c r="U1291" i="2"/>
  <c r="T1291" i="2"/>
  <c r="S1291" i="2"/>
  <c r="R1291" i="2"/>
  <c r="Q1291" i="2"/>
  <c r="P1291" i="2"/>
  <c r="O1291" i="2"/>
  <c r="N1291" i="2"/>
  <c r="M1291" i="2"/>
  <c r="L1291" i="2"/>
  <c r="K1291" i="2"/>
  <c r="H1291" i="2"/>
  <c r="G1291" i="2"/>
  <c r="F1291" i="2"/>
  <c r="E1291" i="2"/>
  <c r="D1291" i="2"/>
  <c r="C1291" i="2"/>
  <c r="B1291" i="2"/>
  <c r="A1291" i="2"/>
  <c r="AG1290" i="2"/>
  <c r="AE1290" i="2"/>
  <c r="AD1290" i="2"/>
  <c r="AC1290" i="2"/>
  <c r="AB1290" i="2"/>
  <c r="Z1290" i="2"/>
  <c r="Y1290" i="2"/>
  <c r="X1290" i="2"/>
  <c r="W1290" i="2"/>
  <c r="V1290" i="2"/>
  <c r="U1290" i="2"/>
  <c r="T1290" i="2"/>
  <c r="S1290" i="2"/>
  <c r="R1290" i="2"/>
  <c r="Q1290" i="2"/>
  <c r="P1290" i="2"/>
  <c r="O1290" i="2"/>
  <c r="N1290" i="2"/>
  <c r="M1290" i="2"/>
  <c r="L1290" i="2"/>
  <c r="K1290" i="2"/>
  <c r="H1290" i="2"/>
  <c r="G1290" i="2"/>
  <c r="F1290" i="2"/>
  <c r="E1290" i="2"/>
  <c r="D1290" i="2"/>
  <c r="C1290" i="2"/>
  <c r="B1290" i="2"/>
  <c r="A1290" i="2"/>
  <c r="AG1289" i="2"/>
  <c r="AF1289" i="2"/>
  <c r="AE1289" i="2"/>
  <c r="AD1289" i="2"/>
  <c r="AC1289" i="2"/>
  <c r="AB1289" i="2"/>
  <c r="AA1289" i="2"/>
  <c r="Z1289" i="2"/>
  <c r="Y1289" i="2"/>
  <c r="X1289" i="2"/>
  <c r="W1289" i="2"/>
  <c r="V1289" i="2"/>
  <c r="U1289" i="2"/>
  <c r="T1289" i="2"/>
  <c r="S1289" i="2"/>
  <c r="R1289" i="2"/>
  <c r="Q1289" i="2"/>
  <c r="P1289" i="2"/>
  <c r="O1289" i="2"/>
  <c r="N1289" i="2"/>
  <c r="M1289" i="2"/>
  <c r="L1289" i="2"/>
  <c r="K1289" i="2"/>
  <c r="H1289" i="2"/>
  <c r="G1289" i="2"/>
  <c r="F1289" i="2"/>
  <c r="E1289" i="2"/>
  <c r="D1289" i="2"/>
  <c r="C1289" i="2"/>
  <c r="B1289" i="2"/>
  <c r="A1289" i="2"/>
  <c r="AG1288" i="2"/>
  <c r="AF1288" i="2"/>
  <c r="AE1288" i="2"/>
  <c r="AD1288" i="2"/>
  <c r="AC1288" i="2"/>
  <c r="AB1288" i="2"/>
  <c r="Z1288" i="2"/>
  <c r="Y1288" i="2"/>
  <c r="X1288" i="2"/>
  <c r="W1288" i="2"/>
  <c r="V1288" i="2"/>
  <c r="U1288" i="2"/>
  <c r="S1288" i="2"/>
  <c r="R1288" i="2"/>
  <c r="Q1288" i="2"/>
  <c r="P1288" i="2"/>
  <c r="O1288" i="2"/>
  <c r="N1288" i="2"/>
  <c r="M1288" i="2"/>
  <c r="L1288" i="2"/>
  <c r="K1288" i="2"/>
  <c r="H1288" i="2"/>
  <c r="G1288" i="2"/>
  <c r="F1288" i="2"/>
  <c r="E1288" i="2"/>
  <c r="D1288" i="2"/>
  <c r="C1288" i="2"/>
  <c r="B1288" i="2"/>
  <c r="A1288" i="2"/>
  <c r="AG1287" i="2"/>
  <c r="AF1287" i="2"/>
  <c r="AE1287" i="2"/>
  <c r="AD1287" i="2"/>
  <c r="AC1287" i="2"/>
  <c r="AB1287" i="2"/>
  <c r="Z1287" i="2"/>
  <c r="Y1287" i="2"/>
  <c r="X1287" i="2"/>
  <c r="W1287" i="2"/>
  <c r="V1287" i="2"/>
  <c r="U1287" i="2"/>
  <c r="Q1287" i="2"/>
  <c r="P1287" i="2"/>
  <c r="O1287" i="2"/>
  <c r="N1287" i="2"/>
  <c r="M1287" i="2"/>
  <c r="L1287" i="2"/>
  <c r="K1287" i="2"/>
  <c r="H1287" i="2"/>
  <c r="G1287" i="2"/>
  <c r="F1287" i="2"/>
  <c r="E1287" i="2"/>
  <c r="D1287" i="2"/>
  <c r="C1287" i="2"/>
  <c r="B1287" i="2"/>
  <c r="A1287" i="2"/>
  <c r="AG1286" i="2"/>
  <c r="AF1286" i="2"/>
  <c r="AD1286" i="2"/>
  <c r="AC1286" i="2"/>
  <c r="AB1286" i="2"/>
  <c r="Z1286" i="2"/>
  <c r="X1286" i="2"/>
  <c r="W1286" i="2"/>
  <c r="V1286" i="2"/>
  <c r="U1286" i="2"/>
  <c r="T1286" i="2"/>
  <c r="S1286" i="2"/>
  <c r="R1286" i="2"/>
  <c r="Q1286" i="2"/>
  <c r="P1286" i="2"/>
  <c r="O1286" i="2"/>
  <c r="N1286" i="2"/>
  <c r="M1286" i="2"/>
  <c r="L1286" i="2"/>
  <c r="K1286" i="2"/>
  <c r="H1286" i="2"/>
  <c r="G1286" i="2"/>
  <c r="F1286" i="2"/>
  <c r="E1286" i="2"/>
  <c r="D1286" i="2"/>
  <c r="C1286" i="2"/>
  <c r="B1286" i="2"/>
  <c r="A1286" i="2"/>
  <c r="AG1285" i="2"/>
  <c r="AF1285" i="2"/>
  <c r="AE1285" i="2"/>
  <c r="AD1285" i="2"/>
  <c r="AC1285" i="2"/>
  <c r="AB1285" i="2"/>
  <c r="Z1285" i="2"/>
  <c r="Y1285" i="2"/>
  <c r="X1285" i="2"/>
  <c r="W1285" i="2"/>
  <c r="V1285" i="2"/>
  <c r="U1285" i="2"/>
  <c r="T1285" i="2"/>
  <c r="S1285" i="2"/>
  <c r="R1285" i="2"/>
  <c r="Q1285" i="2"/>
  <c r="P1285" i="2"/>
  <c r="O1285" i="2"/>
  <c r="N1285" i="2"/>
  <c r="M1285" i="2"/>
  <c r="L1285" i="2"/>
  <c r="K1285" i="2"/>
  <c r="H1285" i="2"/>
  <c r="G1285" i="2"/>
  <c r="F1285" i="2"/>
  <c r="E1285" i="2"/>
  <c r="D1285" i="2"/>
  <c r="C1285" i="2"/>
  <c r="B1285" i="2"/>
  <c r="A1285" i="2"/>
  <c r="AG1284" i="2"/>
  <c r="AF1284" i="2"/>
  <c r="AE1284" i="2"/>
  <c r="AD1284" i="2"/>
  <c r="AC1284" i="2"/>
  <c r="AB1284" i="2"/>
  <c r="Z1284" i="2"/>
  <c r="Y1284" i="2"/>
  <c r="X1284" i="2"/>
  <c r="W1284" i="2"/>
  <c r="V1284" i="2"/>
  <c r="U1284" i="2"/>
  <c r="T1284" i="2"/>
  <c r="S1284" i="2"/>
  <c r="R1284" i="2"/>
  <c r="Q1284" i="2"/>
  <c r="P1284" i="2"/>
  <c r="O1284" i="2"/>
  <c r="N1284" i="2"/>
  <c r="M1284" i="2"/>
  <c r="L1284" i="2"/>
  <c r="K1284" i="2"/>
  <c r="H1284" i="2"/>
  <c r="G1284" i="2"/>
  <c r="F1284" i="2"/>
  <c r="E1284" i="2"/>
  <c r="D1284" i="2"/>
  <c r="C1284" i="2"/>
  <c r="B1284" i="2"/>
  <c r="A1284" i="2"/>
  <c r="AF1283" i="2"/>
  <c r="AE1283" i="2"/>
  <c r="AD1283" i="2"/>
  <c r="AC1283" i="2"/>
  <c r="AB1283" i="2"/>
  <c r="Z1283" i="2"/>
  <c r="X1283" i="2"/>
  <c r="W1283" i="2"/>
  <c r="V1283" i="2"/>
  <c r="U1283" i="2"/>
  <c r="T1283" i="2"/>
  <c r="S1283" i="2"/>
  <c r="R1283" i="2"/>
  <c r="Q1283" i="2"/>
  <c r="P1283" i="2"/>
  <c r="O1283" i="2"/>
  <c r="N1283" i="2"/>
  <c r="M1283" i="2"/>
  <c r="L1283" i="2"/>
  <c r="K1283" i="2"/>
  <c r="H1283" i="2"/>
  <c r="G1283" i="2"/>
  <c r="F1283" i="2"/>
  <c r="E1283" i="2"/>
  <c r="D1283" i="2"/>
  <c r="C1283" i="2"/>
  <c r="B1283" i="2"/>
  <c r="A1283" i="2"/>
  <c r="AG1282" i="2"/>
  <c r="AF1282" i="2"/>
  <c r="AE1282" i="2"/>
  <c r="AD1282" i="2"/>
  <c r="AC1282" i="2"/>
  <c r="AB1282" i="2"/>
  <c r="Z1282" i="2"/>
  <c r="Y1282" i="2"/>
  <c r="X1282" i="2"/>
  <c r="W1282" i="2"/>
  <c r="V1282" i="2"/>
  <c r="U1282" i="2"/>
  <c r="T1282" i="2"/>
  <c r="S1282" i="2"/>
  <c r="R1282" i="2"/>
  <c r="Q1282" i="2"/>
  <c r="P1282" i="2"/>
  <c r="O1282" i="2"/>
  <c r="N1282" i="2"/>
  <c r="M1282" i="2"/>
  <c r="L1282" i="2"/>
  <c r="K1282" i="2"/>
  <c r="H1282" i="2"/>
  <c r="G1282" i="2"/>
  <c r="F1282" i="2"/>
  <c r="E1282" i="2"/>
  <c r="D1282" i="2"/>
  <c r="C1282" i="2"/>
  <c r="B1282" i="2"/>
  <c r="A1282" i="2"/>
  <c r="AG1281" i="2"/>
  <c r="AF1281" i="2"/>
  <c r="AE1281" i="2"/>
  <c r="AD1281" i="2"/>
  <c r="AC1281" i="2"/>
  <c r="AB1281" i="2"/>
  <c r="AA1281" i="2"/>
  <c r="Z1281" i="2"/>
  <c r="Y1281" i="2"/>
  <c r="X1281" i="2"/>
  <c r="W1281" i="2"/>
  <c r="V1281" i="2"/>
  <c r="U1281" i="2"/>
  <c r="T1281" i="2"/>
  <c r="S1281" i="2"/>
  <c r="R1281" i="2"/>
  <c r="Q1281" i="2"/>
  <c r="P1281" i="2"/>
  <c r="O1281" i="2"/>
  <c r="N1281" i="2"/>
  <c r="M1281" i="2"/>
  <c r="L1281" i="2"/>
  <c r="K1281" i="2"/>
  <c r="H1281" i="2"/>
  <c r="G1281" i="2"/>
  <c r="F1281" i="2"/>
  <c r="E1281" i="2"/>
  <c r="D1281" i="2"/>
  <c r="C1281" i="2"/>
  <c r="B1281" i="2"/>
  <c r="A1281" i="2"/>
  <c r="AG1280" i="2"/>
  <c r="AF1280" i="2"/>
  <c r="AE1280" i="2"/>
  <c r="AD1280" i="2"/>
  <c r="AC1280" i="2"/>
  <c r="AB1280" i="2"/>
  <c r="Z1280" i="2"/>
  <c r="X1280" i="2"/>
  <c r="W1280" i="2"/>
  <c r="V1280" i="2"/>
  <c r="U1280" i="2"/>
  <c r="T1280" i="2"/>
  <c r="S1280" i="2"/>
  <c r="R1280" i="2"/>
  <c r="Q1280" i="2"/>
  <c r="P1280" i="2"/>
  <c r="O1280" i="2"/>
  <c r="N1280" i="2"/>
  <c r="M1280" i="2"/>
  <c r="L1280" i="2"/>
  <c r="K1280" i="2"/>
  <c r="H1280" i="2"/>
  <c r="G1280" i="2"/>
  <c r="F1280" i="2"/>
  <c r="E1280" i="2"/>
  <c r="D1280" i="2"/>
  <c r="C1280" i="2"/>
  <c r="B1280" i="2"/>
  <c r="A1280" i="2"/>
  <c r="AG1279" i="2"/>
  <c r="AF1279" i="2"/>
  <c r="AE1279" i="2"/>
  <c r="AD1279" i="2"/>
  <c r="AC1279" i="2"/>
  <c r="AB1279" i="2"/>
  <c r="AA1279" i="2"/>
  <c r="Z1279" i="2"/>
  <c r="Y1279" i="2"/>
  <c r="X1279" i="2"/>
  <c r="W1279" i="2"/>
  <c r="V1279" i="2"/>
  <c r="U1279" i="2"/>
  <c r="S1279" i="2"/>
  <c r="R1279" i="2"/>
  <c r="Q1279" i="2"/>
  <c r="P1279" i="2"/>
  <c r="O1279" i="2"/>
  <c r="N1279" i="2"/>
  <c r="M1279" i="2"/>
  <c r="L1279" i="2"/>
  <c r="K1279" i="2"/>
  <c r="H1279" i="2"/>
  <c r="G1279" i="2"/>
  <c r="F1279" i="2"/>
  <c r="E1279" i="2"/>
  <c r="D1279" i="2"/>
  <c r="C1279" i="2"/>
  <c r="B1279" i="2"/>
  <c r="A1279" i="2"/>
  <c r="AH1278" i="2"/>
  <c r="AG1278" i="2"/>
  <c r="AF1278" i="2"/>
  <c r="AE1278" i="2"/>
  <c r="AD1278" i="2"/>
  <c r="AC1278" i="2"/>
  <c r="AB1278" i="2"/>
  <c r="Z1278" i="2"/>
  <c r="Y1278" i="2"/>
  <c r="X1278" i="2"/>
  <c r="W1278" i="2"/>
  <c r="V1278" i="2"/>
  <c r="T1278" i="2"/>
  <c r="S1278" i="2"/>
  <c r="R1278" i="2"/>
  <c r="Q1278" i="2"/>
  <c r="P1278" i="2"/>
  <c r="O1278" i="2"/>
  <c r="N1278" i="2"/>
  <c r="M1278" i="2"/>
  <c r="L1278" i="2"/>
  <c r="K1278" i="2"/>
  <c r="H1278" i="2"/>
  <c r="G1278" i="2"/>
  <c r="F1278" i="2"/>
  <c r="E1278" i="2"/>
  <c r="D1278" i="2"/>
  <c r="C1278" i="2"/>
  <c r="B1278" i="2"/>
  <c r="A1278" i="2"/>
  <c r="AG1277" i="2"/>
  <c r="AF1277" i="2"/>
  <c r="AE1277" i="2"/>
  <c r="AD1277" i="2"/>
  <c r="AC1277" i="2"/>
  <c r="AB1277" i="2"/>
  <c r="Z1277" i="2"/>
  <c r="Y1277" i="2"/>
  <c r="X1277" i="2"/>
  <c r="W1277" i="2"/>
  <c r="V1277" i="2"/>
  <c r="U1277" i="2"/>
  <c r="T1277" i="2"/>
  <c r="S1277" i="2"/>
  <c r="R1277" i="2"/>
  <c r="Q1277" i="2"/>
  <c r="P1277" i="2"/>
  <c r="O1277" i="2"/>
  <c r="N1277" i="2"/>
  <c r="M1277" i="2"/>
  <c r="L1277" i="2"/>
  <c r="K1277" i="2"/>
  <c r="J1277" i="2"/>
  <c r="I1277" i="2"/>
  <c r="H1277" i="2"/>
  <c r="G1277" i="2"/>
  <c r="F1277" i="2"/>
  <c r="E1277" i="2"/>
  <c r="D1277" i="2"/>
  <c r="C1277" i="2"/>
  <c r="B1277" i="2"/>
  <c r="A1277" i="2"/>
  <c r="AG1276" i="2"/>
  <c r="AF1276" i="2"/>
  <c r="AE1276" i="2"/>
  <c r="AD1276" i="2"/>
  <c r="AC1276" i="2"/>
  <c r="AB1276" i="2"/>
  <c r="Z1276" i="2"/>
  <c r="Y1276" i="2"/>
  <c r="X1276" i="2"/>
  <c r="W1276" i="2"/>
  <c r="V1276" i="2"/>
  <c r="U1276" i="2"/>
  <c r="R1276" i="2"/>
  <c r="Q1276" i="2"/>
  <c r="P1276" i="2"/>
  <c r="O1276" i="2"/>
  <c r="N1276" i="2"/>
  <c r="M1276" i="2"/>
  <c r="L1276" i="2"/>
  <c r="K1276" i="2"/>
  <c r="H1276" i="2"/>
  <c r="G1276" i="2"/>
  <c r="F1276" i="2"/>
  <c r="E1276" i="2"/>
  <c r="D1276" i="2"/>
  <c r="C1276" i="2"/>
  <c r="B1276" i="2"/>
  <c r="A1276" i="2"/>
  <c r="AG1275" i="2"/>
  <c r="AF1275" i="2"/>
  <c r="AE1275" i="2"/>
  <c r="AD1275" i="2"/>
  <c r="AC1275" i="2"/>
  <c r="AB1275" i="2"/>
  <c r="Z1275" i="2"/>
  <c r="Y1275" i="2"/>
  <c r="X1275" i="2"/>
  <c r="W1275" i="2"/>
  <c r="V1275" i="2"/>
  <c r="U1275" i="2"/>
  <c r="T1275" i="2"/>
  <c r="S1275" i="2"/>
  <c r="R1275" i="2"/>
  <c r="Q1275" i="2"/>
  <c r="P1275" i="2"/>
  <c r="O1275" i="2"/>
  <c r="N1275" i="2"/>
  <c r="M1275" i="2"/>
  <c r="L1275" i="2"/>
  <c r="K1275" i="2"/>
  <c r="H1275" i="2"/>
  <c r="G1275" i="2"/>
  <c r="F1275" i="2"/>
  <c r="E1275" i="2"/>
  <c r="D1275" i="2"/>
  <c r="C1275" i="2"/>
  <c r="B1275" i="2"/>
  <c r="A1275" i="2"/>
  <c r="AG1274" i="2"/>
  <c r="AF1274" i="2"/>
  <c r="AE1274" i="2"/>
  <c r="AD1274" i="2"/>
  <c r="AC1274" i="2"/>
  <c r="AB1274" i="2"/>
  <c r="Z1274" i="2"/>
  <c r="Y1274" i="2"/>
  <c r="X1274" i="2"/>
  <c r="W1274" i="2"/>
  <c r="V1274" i="2"/>
  <c r="U1274" i="2"/>
  <c r="T1274" i="2"/>
  <c r="S1274" i="2"/>
  <c r="R1274" i="2"/>
  <c r="Q1274" i="2"/>
  <c r="P1274" i="2"/>
  <c r="O1274" i="2"/>
  <c r="N1274" i="2"/>
  <c r="M1274" i="2"/>
  <c r="L1274" i="2"/>
  <c r="K1274" i="2"/>
  <c r="H1274" i="2"/>
  <c r="G1274" i="2"/>
  <c r="F1274" i="2"/>
  <c r="E1274" i="2"/>
  <c r="D1274" i="2"/>
  <c r="C1274" i="2"/>
  <c r="B1274" i="2"/>
  <c r="A1274" i="2"/>
  <c r="AG1273" i="2"/>
  <c r="AF1273" i="2"/>
  <c r="AE1273" i="2"/>
  <c r="AD1273" i="2"/>
  <c r="AC1273" i="2"/>
  <c r="AB1273" i="2"/>
  <c r="AA1273" i="2"/>
  <c r="Z1273" i="2"/>
  <c r="Y1273" i="2"/>
  <c r="X1273" i="2"/>
  <c r="W1273" i="2"/>
  <c r="V1273" i="2"/>
  <c r="U1273" i="2"/>
  <c r="T1273" i="2"/>
  <c r="S1273" i="2"/>
  <c r="R1273" i="2"/>
  <c r="Q1273" i="2"/>
  <c r="P1273" i="2"/>
  <c r="O1273" i="2"/>
  <c r="N1273" i="2"/>
  <c r="M1273" i="2"/>
  <c r="L1273" i="2"/>
  <c r="K1273" i="2"/>
  <c r="H1273" i="2"/>
  <c r="G1273" i="2"/>
  <c r="F1273" i="2"/>
  <c r="E1273" i="2"/>
  <c r="D1273" i="2"/>
  <c r="C1273" i="2"/>
  <c r="B1273" i="2"/>
  <c r="A1273" i="2"/>
  <c r="AG1272" i="2"/>
  <c r="AF1272" i="2"/>
  <c r="AE1272" i="2"/>
  <c r="AD1272" i="2"/>
  <c r="AC1272" i="2"/>
  <c r="AB1272" i="2"/>
  <c r="Z1272" i="2"/>
  <c r="X1272" i="2"/>
  <c r="W1272" i="2"/>
  <c r="V1272" i="2"/>
  <c r="U1272" i="2"/>
  <c r="Q1272" i="2"/>
  <c r="P1272" i="2"/>
  <c r="O1272" i="2"/>
  <c r="N1272" i="2"/>
  <c r="M1272" i="2"/>
  <c r="L1272" i="2"/>
  <c r="K1272" i="2"/>
  <c r="H1272" i="2"/>
  <c r="G1272" i="2"/>
  <c r="F1272" i="2"/>
  <c r="E1272" i="2"/>
  <c r="D1272" i="2"/>
  <c r="C1272" i="2"/>
  <c r="B1272" i="2"/>
  <c r="A1272" i="2"/>
  <c r="AG1271" i="2"/>
  <c r="AF1271" i="2"/>
  <c r="AE1271" i="2"/>
  <c r="AD1271" i="2"/>
  <c r="AC1271" i="2"/>
  <c r="AB1271" i="2"/>
  <c r="AA1271" i="2"/>
  <c r="Z1271" i="2"/>
  <c r="Y1271" i="2"/>
  <c r="X1271" i="2"/>
  <c r="W1271" i="2"/>
  <c r="V1271" i="2"/>
  <c r="U1271" i="2"/>
  <c r="T1271" i="2"/>
  <c r="S1271" i="2"/>
  <c r="R1271" i="2"/>
  <c r="Q1271" i="2"/>
  <c r="P1271" i="2"/>
  <c r="O1271" i="2"/>
  <c r="N1271" i="2"/>
  <c r="M1271" i="2"/>
  <c r="L1271" i="2"/>
  <c r="K1271" i="2"/>
  <c r="H1271" i="2"/>
  <c r="G1271" i="2"/>
  <c r="F1271" i="2"/>
  <c r="E1271" i="2"/>
  <c r="D1271" i="2"/>
  <c r="C1271" i="2"/>
  <c r="B1271" i="2"/>
  <c r="A1271" i="2"/>
  <c r="AG1270" i="2"/>
  <c r="AF1270" i="2"/>
  <c r="AE1270" i="2"/>
  <c r="AD1270" i="2"/>
  <c r="AC1270" i="2"/>
  <c r="AB1270" i="2"/>
  <c r="Z1270" i="2"/>
  <c r="Y1270" i="2"/>
  <c r="X1270" i="2"/>
  <c r="W1270" i="2"/>
  <c r="V1270" i="2"/>
  <c r="U1270" i="2"/>
  <c r="T1270" i="2"/>
  <c r="S1270" i="2"/>
  <c r="R1270" i="2"/>
  <c r="Q1270" i="2"/>
  <c r="P1270" i="2"/>
  <c r="O1270" i="2"/>
  <c r="N1270" i="2"/>
  <c r="M1270" i="2"/>
  <c r="L1270" i="2"/>
  <c r="K1270" i="2"/>
  <c r="H1270" i="2"/>
  <c r="G1270" i="2"/>
  <c r="F1270" i="2"/>
  <c r="E1270" i="2"/>
  <c r="D1270" i="2"/>
  <c r="C1270" i="2"/>
  <c r="B1270" i="2"/>
  <c r="A1270" i="2"/>
  <c r="AG1269" i="2"/>
  <c r="AF1269" i="2"/>
  <c r="AE1269" i="2"/>
  <c r="AD1269" i="2"/>
  <c r="AC1269" i="2"/>
  <c r="AB1269" i="2"/>
  <c r="Z1269" i="2"/>
  <c r="Y1269" i="2"/>
  <c r="X1269" i="2"/>
  <c r="W1269" i="2"/>
  <c r="V1269" i="2"/>
  <c r="U1269" i="2"/>
  <c r="T1269" i="2"/>
  <c r="S1269" i="2"/>
  <c r="R1269" i="2"/>
  <c r="Q1269" i="2"/>
  <c r="P1269" i="2"/>
  <c r="O1269" i="2"/>
  <c r="N1269" i="2"/>
  <c r="M1269" i="2"/>
  <c r="L1269" i="2"/>
  <c r="K1269" i="2"/>
  <c r="H1269" i="2"/>
  <c r="G1269" i="2"/>
  <c r="F1269" i="2"/>
  <c r="E1269" i="2"/>
  <c r="D1269" i="2"/>
  <c r="C1269" i="2"/>
  <c r="B1269" i="2"/>
  <c r="A1269" i="2"/>
  <c r="AG1268" i="2"/>
  <c r="AF1268" i="2"/>
  <c r="AE1268" i="2"/>
  <c r="AD1268" i="2"/>
  <c r="AC1268" i="2"/>
  <c r="AB1268" i="2"/>
  <c r="Z1268" i="2"/>
  <c r="Y1268" i="2"/>
  <c r="X1268" i="2"/>
  <c r="W1268" i="2"/>
  <c r="V1268" i="2"/>
  <c r="U1268" i="2"/>
  <c r="T1268" i="2"/>
  <c r="S1268" i="2"/>
  <c r="R1268" i="2"/>
  <c r="Q1268" i="2"/>
  <c r="P1268" i="2"/>
  <c r="O1268" i="2"/>
  <c r="N1268" i="2"/>
  <c r="M1268" i="2"/>
  <c r="L1268" i="2"/>
  <c r="K1268" i="2"/>
  <c r="H1268" i="2"/>
  <c r="G1268" i="2"/>
  <c r="F1268" i="2"/>
  <c r="E1268" i="2"/>
  <c r="D1268" i="2"/>
  <c r="C1268" i="2"/>
  <c r="B1268" i="2"/>
  <c r="A1268" i="2"/>
  <c r="AG1267" i="2"/>
  <c r="AF1267" i="2"/>
  <c r="AE1267" i="2"/>
  <c r="AD1267" i="2"/>
  <c r="AC1267" i="2"/>
  <c r="AB1267" i="2"/>
  <c r="Z1267" i="2"/>
  <c r="Y1267" i="2"/>
  <c r="X1267" i="2"/>
  <c r="W1267" i="2"/>
  <c r="V1267" i="2"/>
  <c r="U1267" i="2"/>
  <c r="T1267" i="2"/>
  <c r="S1267" i="2"/>
  <c r="R1267" i="2"/>
  <c r="Q1267" i="2"/>
  <c r="P1267" i="2"/>
  <c r="O1267" i="2"/>
  <c r="N1267" i="2"/>
  <c r="M1267" i="2"/>
  <c r="L1267" i="2"/>
  <c r="K1267" i="2"/>
  <c r="H1267" i="2"/>
  <c r="G1267" i="2"/>
  <c r="F1267" i="2"/>
  <c r="E1267" i="2"/>
  <c r="D1267" i="2"/>
  <c r="C1267" i="2"/>
  <c r="B1267" i="2"/>
  <c r="A1267" i="2"/>
  <c r="AG1266" i="2"/>
  <c r="AF1266" i="2"/>
  <c r="AE1266" i="2"/>
  <c r="AD1266" i="2"/>
  <c r="AC1266" i="2"/>
  <c r="AB1266" i="2"/>
  <c r="AA1266" i="2"/>
  <c r="Z1266" i="2"/>
  <c r="X1266" i="2"/>
  <c r="W1266" i="2"/>
  <c r="V1266" i="2"/>
  <c r="U1266" i="2"/>
  <c r="T1266" i="2"/>
  <c r="S1266" i="2"/>
  <c r="R1266" i="2"/>
  <c r="Q1266" i="2"/>
  <c r="P1266" i="2"/>
  <c r="O1266" i="2"/>
  <c r="N1266" i="2"/>
  <c r="M1266" i="2"/>
  <c r="L1266" i="2"/>
  <c r="K1266" i="2"/>
  <c r="H1266" i="2"/>
  <c r="G1266" i="2"/>
  <c r="F1266" i="2"/>
  <c r="E1266" i="2"/>
  <c r="D1266" i="2"/>
  <c r="C1266" i="2"/>
  <c r="B1266" i="2"/>
  <c r="A1266" i="2"/>
  <c r="AG1265" i="2"/>
  <c r="AF1265" i="2"/>
  <c r="AE1265" i="2"/>
  <c r="AD1265" i="2"/>
  <c r="AC1265" i="2"/>
  <c r="AB1265" i="2"/>
  <c r="AA1265" i="2"/>
  <c r="Z1265" i="2"/>
  <c r="X1265" i="2"/>
  <c r="W1265" i="2"/>
  <c r="V1265" i="2"/>
  <c r="U1265" i="2"/>
  <c r="T1265" i="2"/>
  <c r="S1265" i="2"/>
  <c r="R1265" i="2"/>
  <c r="Q1265" i="2"/>
  <c r="P1265" i="2"/>
  <c r="O1265" i="2"/>
  <c r="N1265" i="2"/>
  <c r="M1265" i="2"/>
  <c r="L1265" i="2"/>
  <c r="K1265" i="2"/>
  <c r="H1265" i="2"/>
  <c r="G1265" i="2"/>
  <c r="F1265" i="2"/>
  <c r="E1265" i="2"/>
  <c r="D1265" i="2"/>
  <c r="C1265" i="2"/>
  <c r="B1265" i="2"/>
  <c r="A1265" i="2"/>
  <c r="AG1264" i="2"/>
  <c r="AF1264" i="2"/>
  <c r="AE1264" i="2"/>
  <c r="AD1264" i="2"/>
  <c r="AC1264" i="2"/>
  <c r="AB1264" i="2"/>
  <c r="AA1264" i="2"/>
  <c r="Z1264" i="2"/>
  <c r="Y1264" i="2"/>
  <c r="X1264" i="2"/>
  <c r="W1264" i="2"/>
  <c r="V1264" i="2"/>
  <c r="U1264" i="2"/>
  <c r="T1264" i="2"/>
  <c r="S1264" i="2"/>
  <c r="R1264" i="2"/>
  <c r="Q1264" i="2"/>
  <c r="P1264" i="2"/>
  <c r="O1264" i="2"/>
  <c r="N1264" i="2"/>
  <c r="M1264" i="2"/>
  <c r="L1264" i="2"/>
  <c r="K1264" i="2"/>
  <c r="H1264" i="2"/>
  <c r="G1264" i="2"/>
  <c r="F1264" i="2"/>
  <c r="E1264" i="2"/>
  <c r="D1264" i="2"/>
  <c r="C1264" i="2"/>
  <c r="B1264" i="2"/>
  <c r="A1264" i="2"/>
  <c r="AG1263" i="2"/>
  <c r="AF1263" i="2"/>
  <c r="AE1263" i="2"/>
  <c r="AD1263" i="2"/>
  <c r="AC1263" i="2"/>
  <c r="AB1263" i="2"/>
  <c r="Z1263" i="2"/>
  <c r="Y1263" i="2"/>
  <c r="X1263" i="2"/>
  <c r="W1263" i="2"/>
  <c r="V1263" i="2"/>
  <c r="U1263" i="2"/>
  <c r="T1263" i="2"/>
  <c r="S1263" i="2"/>
  <c r="R1263" i="2"/>
  <c r="Q1263" i="2"/>
  <c r="P1263" i="2"/>
  <c r="O1263" i="2"/>
  <c r="N1263" i="2"/>
  <c r="M1263" i="2"/>
  <c r="L1263" i="2"/>
  <c r="K1263" i="2"/>
  <c r="H1263" i="2"/>
  <c r="G1263" i="2"/>
  <c r="F1263" i="2"/>
  <c r="E1263" i="2"/>
  <c r="D1263" i="2"/>
  <c r="C1263" i="2"/>
  <c r="B1263" i="2"/>
  <c r="A1263" i="2"/>
  <c r="AG1262" i="2"/>
  <c r="AF1262" i="2"/>
  <c r="AE1262" i="2"/>
  <c r="AD1262" i="2"/>
  <c r="AC1262" i="2"/>
  <c r="AB1262" i="2"/>
  <c r="AA1262" i="2"/>
  <c r="Z1262" i="2"/>
  <c r="Y1262" i="2"/>
  <c r="X1262" i="2"/>
  <c r="W1262" i="2"/>
  <c r="V1262" i="2"/>
  <c r="U1262" i="2"/>
  <c r="T1262" i="2"/>
  <c r="S1262" i="2"/>
  <c r="R1262" i="2"/>
  <c r="Q1262" i="2"/>
  <c r="P1262" i="2"/>
  <c r="O1262" i="2"/>
  <c r="N1262" i="2"/>
  <c r="M1262" i="2"/>
  <c r="L1262" i="2"/>
  <c r="K1262" i="2"/>
  <c r="H1262" i="2"/>
  <c r="G1262" i="2"/>
  <c r="F1262" i="2"/>
  <c r="E1262" i="2"/>
  <c r="D1262" i="2"/>
  <c r="C1262" i="2"/>
  <c r="B1262" i="2"/>
  <c r="A1262" i="2"/>
  <c r="AF1261" i="2"/>
  <c r="AE1261" i="2"/>
  <c r="AD1261" i="2"/>
  <c r="AC1261" i="2"/>
  <c r="AB1261" i="2"/>
  <c r="Z1261" i="2"/>
  <c r="Y1261" i="2"/>
  <c r="X1261" i="2"/>
  <c r="W1261" i="2"/>
  <c r="V1261" i="2"/>
  <c r="U1261" i="2"/>
  <c r="T1261" i="2"/>
  <c r="S1261" i="2"/>
  <c r="R1261" i="2"/>
  <c r="Q1261" i="2"/>
  <c r="P1261" i="2"/>
  <c r="O1261" i="2"/>
  <c r="N1261" i="2"/>
  <c r="M1261" i="2"/>
  <c r="L1261" i="2"/>
  <c r="K1261" i="2"/>
  <c r="H1261" i="2"/>
  <c r="G1261" i="2"/>
  <c r="F1261" i="2"/>
  <c r="E1261" i="2"/>
  <c r="D1261" i="2"/>
  <c r="C1261" i="2"/>
  <c r="B1261" i="2"/>
  <c r="A1261" i="2"/>
  <c r="AG1260" i="2"/>
  <c r="AF1260" i="2"/>
  <c r="AE1260" i="2"/>
  <c r="AD1260" i="2"/>
  <c r="AC1260" i="2"/>
  <c r="AB1260" i="2"/>
  <c r="Z1260" i="2"/>
  <c r="Y1260" i="2"/>
  <c r="X1260" i="2"/>
  <c r="W1260" i="2"/>
  <c r="V1260" i="2"/>
  <c r="U1260" i="2"/>
  <c r="T1260" i="2"/>
  <c r="S1260" i="2"/>
  <c r="R1260" i="2"/>
  <c r="Q1260" i="2"/>
  <c r="P1260" i="2"/>
  <c r="O1260" i="2"/>
  <c r="N1260" i="2"/>
  <c r="M1260" i="2"/>
  <c r="L1260" i="2"/>
  <c r="K1260" i="2"/>
  <c r="H1260" i="2"/>
  <c r="G1260" i="2"/>
  <c r="F1260" i="2"/>
  <c r="E1260" i="2"/>
  <c r="D1260" i="2"/>
  <c r="C1260" i="2"/>
  <c r="B1260" i="2"/>
  <c r="A1260" i="2"/>
  <c r="AG1259" i="2"/>
  <c r="AF1259" i="2"/>
  <c r="AE1259" i="2"/>
  <c r="AD1259" i="2"/>
  <c r="AC1259" i="2"/>
  <c r="AB1259" i="2"/>
  <c r="Z1259" i="2"/>
  <c r="Y1259" i="2"/>
  <c r="X1259" i="2"/>
  <c r="W1259" i="2"/>
  <c r="V1259" i="2"/>
  <c r="U1259" i="2"/>
  <c r="T1259" i="2"/>
  <c r="S1259" i="2"/>
  <c r="R1259" i="2"/>
  <c r="Q1259" i="2"/>
  <c r="P1259" i="2"/>
  <c r="O1259" i="2"/>
  <c r="N1259" i="2"/>
  <c r="M1259" i="2"/>
  <c r="L1259" i="2"/>
  <c r="K1259" i="2"/>
  <c r="H1259" i="2"/>
  <c r="G1259" i="2"/>
  <c r="F1259" i="2"/>
  <c r="E1259" i="2"/>
  <c r="D1259" i="2"/>
  <c r="C1259" i="2"/>
  <c r="B1259" i="2"/>
  <c r="A1259" i="2"/>
  <c r="AG1258" i="2"/>
  <c r="AF1258" i="2"/>
  <c r="AD1258" i="2"/>
  <c r="AC1258" i="2"/>
  <c r="AB1258" i="2"/>
  <c r="AA1258" i="2"/>
  <c r="Z1258" i="2"/>
  <c r="Y1258" i="2"/>
  <c r="X1258" i="2"/>
  <c r="W1258" i="2"/>
  <c r="V1258" i="2"/>
  <c r="U1258" i="2"/>
  <c r="T1258" i="2"/>
  <c r="S1258" i="2"/>
  <c r="R1258" i="2"/>
  <c r="Q1258" i="2"/>
  <c r="P1258" i="2"/>
  <c r="O1258" i="2"/>
  <c r="N1258" i="2"/>
  <c r="M1258" i="2"/>
  <c r="L1258" i="2"/>
  <c r="K1258" i="2"/>
  <c r="H1258" i="2"/>
  <c r="G1258" i="2"/>
  <c r="F1258" i="2"/>
  <c r="E1258" i="2"/>
  <c r="D1258" i="2"/>
  <c r="C1258" i="2"/>
  <c r="B1258" i="2"/>
  <c r="A1258" i="2"/>
  <c r="AG1257" i="2"/>
  <c r="AF1257" i="2"/>
  <c r="AD1257" i="2"/>
  <c r="AC1257" i="2"/>
  <c r="AB1257" i="2"/>
  <c r="Z1257" i="2"/>
  <c r="Y1257" i="2"/>
  <c r="X1257" i="2"/>
  <c r="W1257" i="2"/>
  <c r="V1257" i="2"/>
  <c r="U1257" i="2"/>
  <c r="T1257" i="2"/>
  <c r="S1257" i="2"/>
  <c r="R1257" i="2"/>
  <c r="Q1257" i="2"/>
  <c r="P1257" i="2"/>
  <c r="O1257" i="2"/>
  <c r="N1257" i="2"/>
  <c r="M1257" i="2"/>
  <c r="L1257" i="2"/>
  <c r="K1257" i="2"/>
  <c r="H1257" i="2"/>
  <c r="G1257" i="2"/>
  <c r="F1257" i="2"/>
  <c r="E1257" i="2"/>
  <c r="D1257" i="2"/>
  <c r="C1257" i="2"/>
  <c r="B1257" i="2"/>
  <c r="A1257" i="2"/>
  <c r="AG1256" i="2"/>
  <c r="AF1256" i="2"/>
  <c r="AE1256" i="2"/>
  <c r="AD1256" i="2"/>
  <c r="AC1256" i="2"/>
  <c r="AB1256" i="2"/>
  <c r="Z1256" i="2"/>
  <c r="X1256" i="2"/>
  <c r="W1256" i="2"/>
  <c r="V1256" i="2"/>
  <c r="U1256" i="2"/>
  <c r="T1256" i="2"/>
  <c r="S1256" i="2"/>
  <c r="R1256" i="2"/>
  <c r="Q1256" i="2"/>
  <c r="P1256" i="2"/>
  <c r="O1256" i="2"/>
  <c r="N1256" i="2"/>
  <c r="M1256" i="2"/>
  <c r="L1256" i="2"/>
  <c r="K1256" i="2"/>
  <c r="H1256" i="2"/>
  <c r="G1256" i="2"/>
  <c r="F1256" i="2"/>
  <c r="E1256" i="2"/>
  <c r="D1256" i="2"/>
  <c r="C1256" i="2"/>
  <c r="B1256" i="2"/>
  <c r="A1256" i="2"/>
  <c r="AH1255" i="2"/>
  <c r="AG1255" i="2"/>
  <c r="AD1255" i="2"/>
  <c r="AC1255" i="2"/>
  <c r="AB1255" i="2"/>
  <c r="Z1255" i="2"/>
  <c r="Y1255" i="2"/>
  <c r="X1255" i="2"/>
  <c r="W1255" i="2"/>
  <c r="V1255" i="2"/>
  <c r="U1255" i="2"/>
  <c r="T1255" i="2"/>
  <c r="S1255" i="2"/>
  <c r="R1255" i="2"/>
  <c r="Q1255" i="2"/>
  <c r="P1255" i="2"/>
  <c r="O1255" i="2"/>
  <c r="N1255" i="2"/>
  <c r="M1255" i="2"/>
  <c r="L1255" i="2"/>
  <c r="K1255" i="2"/>
  <c r="H1255" i="2"/>
  <c r="G1255" i="2"/>
  <c r="F1255" i="2"/>
  <c r="E1255" i="2"/>
  <c r="D1255" i="2"/>
  <c r="C1255" i="2"/>
  <c r="B1255" i="2"/>
  <c r="A1255"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H1254" i="2"/>
  <c r="G1254" i="2"/>
  <c r="F1254" i="2"/>
  <c r="E1254" i="2"/>
  <c r="D1254" i="2"/>
  <c r="C1254" i="2"/>
  <c r="B1254" i="2"/>
  <c r="A1254" i="2"/>
  <c r="AG1253" i="2"/>
  <c r="AF1253" i="2"/>
  <c r="AE1253" i="2"/>
  <c r="AD1253" i="2"/>
  <c r="AC1253" i="2"/>
  <c r="AB1253" i="2"/>
  <c r="AA1253" i="2"/>
  <c r="Z1253" i="2"/>
  <c r="Y1253" i="2"/>
  <c r="X1253" i="2"/>
  <c r="W1253" i="2"/>
  <c r="V1253" i="2"/>
  <c r="U1253" i="2"/>
  <c r="T1253" i="2"/>
  <c r="S1253" i="2"/>
  <c r="R1253" i="2"/>
  <c r="Q1253" i="2"/>
  <c r="P1253" i="2"/>
  <c r="O1253" i="2"/>
  <c r="N1253" i="2"/>
  <c r="M1253" i="2"/>
  <c r="L1253" i="2"/>
  <c r="K1253" i="2"/>
  <c r="H1253" i="2"/>
  <c r="G1253" i="2"/>
  <c r="F1253" i="2"/>
  <c r="E1253" i="2"/>
  <c r="D1253" i="2"/>
  <c r="C1253" i="2"/>
  <c r="B1253" i="2"/>
  <c r="A1253" i="2"/>
  <c r="AG1252" i="2"/>
  <c r="AF1252" i="2"/>
  <c r="AD1252" i="2"/>
  <c r="AC1252" i="2"/>
  <c r="AB1252" i="2"/>
  <c r="Z1252" i="2"/>
  <c r="Y1252" i="2"/>
  <c r="X1252" i="2"/>
  <c r="W1252" i="2"/>
  <c r="V1252" i="2"/>
  <c r="U1252" i="2"/>
  <c r="T1252" i="2"/>
  <c r="S1252" i="2"/>
  <c r="R1252" i="2"/>
  <c r="Q1252" i="2"/>
  <c r="P1252" i="2"/>
  <c r="O1252" i="2"/>
  <c r="N1252" i="2"/>
  <c r="M1252" i="2"/>
  <c r="L1252" i="2"/>
  <c r="K1252" i="2"/>
  <c r="H1252" i="2"/>
  <c r="G1252" i="2"/>
  <c r="F1252" i="2"/>
  <c r="E1252" i="2"/>
  <c r="D1252" i="2"/>
  <c r="C1252" i="2"/>
  <c r="B1252" i="2"/>
  <c r="A1252" i="2"/>
  <c r="AG1251" i="2"/>
  <c r="AF1251" i="2"/>
  <c r="AE1251" i="2"/>
  <c r="AD1251" i="2"/>
  <c r="AC1251" i="2"/>
  <c r="AB1251" i="2"/>
  <c r="Z1251" i="2"/>
  <c r="Y1251" i="2"/>
  <c r="X1251" i="2"/>
  <c r="W1251" i="2"/>
  <c r="V1251" i="2"/>
  <c r="U1251" i="2"/>
  <c r="R1251" i="2"/>
  <c r="Q1251" i="2"/>
  <c r="P1251" i="2"/>
  <c r="O1251" i="2"/>
  <c r="N1251" i="2"/>
  <c r="M1251" i="2"/>
  <c r="L1251" i="2"/>
  <c r="K1251" i="2"/>
  <c r="H1251" i="2"/>
  <c r="G1251" i="2"/>
  <c r="F1251" i="2"/>
  <c r="E1251" i="2"/>
  <c r="D1251" i="2"/>
  <c r="C1251" i="2"/>
  <c r="B1251" i="2"/>
  <c r="A1251" i="2"/>
  <c r="AG1250" i="2"/>
  <c r="AF1250" i="2"/>
  <c r="AE1250" i="2"/>
  <c r="AD1250" i="2"/>
  <c r="AC1250" i="2"/>
  <c r="AB1250" i="2"/>
  <c r="Z1250" i="2"/>
  <c r="Y1250" i="2"/>
  <c r="X1250" i="2"/>
  <c r="W1250" i="2"/>
  <c r="V1250" i="2"/>
  <c r="U1250" i="2"/>
  <c r="T1250" i="2"/>
  <c r="S1250" i="2"/>
  <c r="R1250" i="2"/>
  <c r="Q1250" i="2"/>
  <c r="P1250" i="2"/>
  <c r="O1250" i="2"/>
  <c r="N1250" i="2"/>
  <c r="M1250" i="2"/>
  <c r="L1250" i="2"/>
  <c r="K1250" i="2"/>
  <c r="H1250" i="2"/>
  <c r="G1250" i="2"/>
  <c r="F1250" i="2"/>
  <c r="E1250" i="2"/>
  <c r="D1250" i="2"/>
  <c r="C1250" i="2"/>
  <c r="B1250" i="2"/>
  <c r="A1250" i="2"/>
  <c r="AG1249" i="2"/>
  <c r="AF1249" i="2"/>
  <c r="AE1249" i="2"/>
  <c r="AD1249" i="2"/>
  <c r="AC1249" i="2"/>
  <c r="AB1249" i="2"/>
  <c r="AA1249" i="2"/>
  <c r="Z1249" i="2"/>
  <c r="Y1249" i="2"/>
  <c r="X1249" i="2"/>
  <c r="W1249" i="2"/>
  <c r="V1249" i="2"/>
  <c r="U1249" i="2"/>
  <c r="T1249" i="2"/>
  <c r="S1249" i="2"/>
  <c r="R1249" i="2"/>
  <c r="Q1249" i="2"/>
  <c r="P1249" i="2"/>
  <c r="O1249" i="2"/>
  <c r="N1249" i="2"/>
  <c r="M1249" i="2"/>
  <c r="L1249" i="2"/>
  <c r="K1249" i="2"/>
  <c r="H1249" i="2"/>
  <c r="G1249" i="2"/>
  <c r="F1249" i="2"/>
  <c r="E1249" i="2"/>
  <c r="D1249" i="2"/>
  <c r="C1249" i="2"/>
  <c r="B1249" i="2"/>
  <c r="A1249" i="2"/>
  <c r="AH1248" i="2"/>
  <c r="AG1248" i="2"/>
  <c r="AF1248" i="2"/>
  <c r="AE1248" i="2"/>
  <c r="AD1248" i="2"/>
  <c r="AC1248" i="2"/>
  <c r="AB1248" i="2"/>
  <c r="Z1248" i="2"/>
  <c r="Y1248" i="2"/>
  <c r="X1248" i="2"/>
  <c r="W1248" i="2"/>
  <c r="V1248" i="2"/>
  <c r="U1248" i="2"/>
  <c r="T1248" i="2"/>
  <c r="S1248" i="2"/>
  <c r="R1248" i="2"/>
  <c r="Q1248" i="2"/>
  <c r="P1248" i="2"/>
  <c r="O1248" i="2"/>
  <c r="N1248" i="2"/>
  <c r="M1248" i="2"/>
  <c r="L1248" i="2"/>
  <c r="K1248" i="2"/>
  <c r="J1248" i="2"/>
  <c r="H1248" i="2"/>
  <c r="G1248" i="2"/>
  <c r="F1248" i="2"/>
  <c r="E1248" i="2"/>
  <c r="D1248" i="2"/>
  <c r="C1248" i="2"/>
  <c r="B1248" i="2"/>
  <c r="A1248" i="2"/>
  <c r="AG1247" i="2"/>
  <c r="AF1247" i="2"/>
  <c r="AE1247" i="2"/>
  <c r="AD1247" i="2"/>
  <c r="AC1247" i="2"/>
  <c r="AB1247" i="2"/>
  <c r="Z1247" i="2"/>
  <c r="Y1247" i="2"/>
  <c r="X1247" i="2"/>
  <c r="W1247" i="2"/>
  <c r="V1247" i="2"/>
  <c r="U1247" i="2"/>
  <c r="T1247" i="2"/>
  <c r="S1247" i="2"/>
  <c r="R1247" i="2"/>
  <c r="Q1247" i="2"/>
  <c r="P1247" i="2"/>
  <c r="O1247" i="2"/>
  <c r="N1247" i="2"/>
  <c r="M1247" i="2"/>
  <c r="L1247" i="2"/>
  <c r="K1247" i="2"/>
  <c r="H1247" i="2"/>
  <c r="G1247" i="2"/>
  <c r="F1247" i="2"/>
  <c r="E1247" i="2"/>
  <c r="D1247" i="2"/>
  <c r="C1247" i="2"/>
  <c r="B1247" i="2"/>
  <c r="A1247" i="2"/>
  <c r="AD1246" i="2"/>
  <c r="AC1246" i="2"/>
  <c r="AB1246" i="2"/>
  <c r="Z1246" i="2"/>
  <c r="Y1246" i="2"/>
  <c r="X1246" i="2"/>
  <c r="W1246" i="2"/>
  <c r="V1246" i="2"/>
  <c r="U1246" i="2"/>
  <c r="R1246" i="2"/>
  <c r="Q1246" i="2"/>
  <c r="P1246" i="2"/>
  <c r="O1246" i="2"/>
  <c r="N1246" i="2"/>
  <c r="M1246" i="2"/>
  <c r="L1246" i="2"/>
  <c r="K1246" i="2"/>
  <c r="H1246" i="2"/>
  <c r="G1246" i="2"/>
  <c r="F1246" i="2"/>
  <c r="E1246" i="2"/>
  <c r="D1246" i="2"/>
  <c r="C1246" i="2"/>
  <c r="B1246" i="2"/>
  <c r="A1246" i="2"/>
  <c r="AG1245" i="2"/>
  <c r="AF1245" i="2"/>
  <c r="AE1245" i="2"/>
  <c r="AD1245" i="2"/>
  <c r="AC1245" i="2"/>
  <c r="AB1245" i="2"/>
  <c r="Z1245" i="2"/>
  <c r="Y1245" i="2"/>
  <c r="X1245" i="2"/>
  <c r="W1245" i="2"/>
  <c r="V1245" i="2"/>
  <c r="U1245" i="2"/>
  <c r="T1245" i="2"/>
  <c r="S1245" i="2"/>
  <c r="R1245" i="2"/>
  <c r="Q1245" i="2"/>
  <c r="P1245" i="2"/>
  <c r="O1245" i="2"/>
  <c r="N1245" i="2"/>
  <c r="M1245" i="2"/>
  <c r="L1245" i="2"/>
  <c r="K1245" i="2"/>
  <c r="H1245" i="2"/>
  <c r="G1245" i="2"/>
  <c r="F1245" i="2"/>
  <c r="E1245" i="2"/>
  <c r="D1245" i="2"/>
  <c r="C1245" i="2"/>
  <c r="B1245" i="2"/>
  <c r="A1245" i="2"/>
  <c r="AG1244" i="2"/>
  <c r="AF1244" i="2"/>
  <c r="AE1244" i="2"/>
  <c r="AD1244" i="2"/>
  <c r="AC1244" i="2"/>
  <c r="AB1244" i="2"/>
  <c r="AA1244" i="2"/>
  <c r="Z1244" i="2"/>
  <c r="Y1244" i="2"/>
  <c r="X1244" i="2"/>
  <c r="W1244" i="2"/>
  <c r="V1244" i="2"/>
  <c r="U1244" i="2"/>
  <c r="T1244" i="2"/>
  <c r="S1244" i="2"/>
  <c r="R1244" i="2"/>
  <c r="Q1244" i="2"/>
  <c r="P1244" i="2"/>
  <c r="O1244" i="2"/>
  <c r="N1244" i="2"/>
  <c r="M1244" i="2"/>
  <c r="L1244" i="2"/>
  <c r="K1244" i="2"/>
  <c r="H1244" i="2"/>
  <c r="G1244" i="2"/>
  <c r="F1244" i="2"/>
  <c r="E1244" i="2"/>
  <c r="D1244" i="2"/>
  <c r="C1244" i="2"/>
  <c r="B1244" i="2"/>
  <c r="A1244" i="2"/>
  <c r="AF1243" i="2"/>
  <c r="AE1243" i="2"/>
  <c r="AD1243" i="2"/>
  <c r="AC1243" i="2"/>
  <c r="AB1243" i="2"/>
  <c r="Z1243" i="2"/>
  <c r="Y1243" i="2"/>
  <c r="X1243" i="2"/>
  <c r="W1243" i="2"/>
  <c r="V1243" i="2"/>
  <c r="U1243" i="2"/>
  <c r="T1243" i="2"/>
  <c r="S1243" i="2"/>
  <c r="R1243" i="2"/>
  <c r="Q1243" i="2"/>
  <c r="P1243" i="2"/>
  <c r="O1243" i="2"/>
  <c r="N1243" i="2"/>
  <c r="M1243" i="2"/>
  <c r="L1243" i="2"/>
  <c r="K1243" i="2"/>
  <c r="H1243" i="2"/>
  <c r="G1243" i="2"/>
  <c r="F1243" i="2"/>
  <c r="E1243" i="2"/>
  <c r="D1243" i="2"/>
  <c r="C1243" i="2"/>
  <c r="B1243" i="2"/>
  <c r="A1243" i="2"/>
  <c r="AG1242" i="2"/>
  <c r="AF1242" i="2"/>
  <c r="AE1242" i="2"/>
  <c r="AD1242" i="2"/>
  <c r="AC1242" i="2"/>
  <c r="AB1242" i="2"/>
  <c r="Z1242" i="2"/>
  <c r="X1242" i="2"/>
  <c r="W1242" i="2"/>
  <c r="V1242" i="2"/>
  <c r="U1242" i="2"/>
  <c r="T1242" i="2"/>
  <c r="S1242" i="2"/>
  <c r="R1242" i="2"/>
  <c r="Q1242" i="2"/>
  <c r="P1242" i="2"/>
  <c r="O1242" i="2"/>
  <c r="N1242" i="2"/>
  <c r="M1242" i="2"/>
  <c r="L1242" i="2"/>
  <c r="K1242" i="2"/>
  <c r="H1242" i="2"/>
  <c r="G1242" i="2"/>
  <c r="F1242" i="2"/>
  <c r="E1242" i="2"/>
  <c r="D1242" i="2"/>
  <c r="C1242" i="2"/>
  <c r="B1242" i="2"/>
  <c r="A1242" i="2"/>
  <c r="AG1241" i="2"/>
  <c r="AF1241" i="2"/>
  <c r="AE1241" i="2"/>
  <c r="AD1241" i="2"/>
  <c r="AC1241" i="2"/>
  <c r="AB1241" i="2"/>
  <c r="Z1241" i="2"/>
  <c r="Y1241" i="2"/>
  <c r="X1241" i="2"/>
  <c r="W1241" i="2"/>
  <c r="V1241" i="2"/>
  <c r="U1241" i="2"/>
  <c r="S1241" i="2"/>
  <c r="R1241" i="2"/>
  <c r="Q1241" i="2"/>
  <c r="P1241" i="2"/>
  <c r="O1241" i="2"/>
  <c r="N1241" i="2"/>
  <c r="M1241" i="2"/>
  <c r="L1241" i="2"/>
  <c r="K1241" i="2"/>
  <c r="H1241" i="2"/>
  <c r="G1241" i="2"/>
  <c r="F1241" i="2"/>
  <c r="E1241" i="2"/>
  <c r="D1241" i="2"/>
  <c r="C1241" i="2"/>
  <c r="B1241" i="2"/>
  <c r="A1241" i="2"/>
  <c r="AG1240" i="2"/>
  <c r="AF1240" i="2"/>
  <c r="AE1240" i="2"/>
  <c r="AD1240" i="2"/>
  <c r="AC1240" i="2"/>
  <c r="AB1240" i="2"/>
  <c r="Z1240" i="2"/>
  <c r="Y1240" i="2"/>
  <c r="X1240" i="2"/>
  <c r="W1240" i="2"/>
  <c r="V1240" i="2"/>
  <c r="U1240" i="2"/>
  <c r="T1240" i="2"/>
  <c r="S1240" i="2"/>
  <c r="R1240" i="2"/>
  <c r="Q1240" i="2"/>
  <c r="P1240" i="2"/>
  <c r="O1240" i="2"/>
  <c r="N1240" i="2"/>
  <c r="M1240" i="2"/>
  <c r="L1240" i="2"/>
  <c r="K1240" i="2"/>
  <c r="H1240" i="2"/>
  <c r="G1240" i="2"/>
  <c r="F1240" i="2"/>
  <c r="E1240" i="2"/>
  <c r="D1240" i="2"/>
  <c r="C1240" i="2"/>
  <c r="B1240" i="2"/>
  <c r="A1240" i="2"/>
  <c r="AF1239" i="2"/>
  <c r="AE1239" i="2"/>
  <c r="AD1239" i="2"/>
  <c r="AC1239" i="2"/>
  <c r="AB1239" i="2"/>
  <c r="Z1239" i="2"/>
  <c r="Y1239" i="2"/>
  <c r="X1239" i="2"/>
  <c r="W1239" i="2"/>
  <c r="V1239" i="2"/>
  <c r="U1239" i="2"/>
  <c r="T1239" i="2"/>
  <c r="S1239" i="2"/>
  <c r="R1239" i="2"/>
  <c r="Q1239" i="2"/>
  <c r="P1239" i="2"/>
  <c r="O1239" i="2"/>
  <c r="N1239" i="2"/>
  <c r="M1239" i="2"/>
  <c r="L1239" i="2"/>
  <c r="K1239" i="2"/>
  <c r="H1239" i="2"/>
  <c r="G1239" i="2"/>
  <c r="F1239" i="2"/>
  <c r="E1239" i="2"/>
  <c r="D1239" i="2"/>
  <c r="C1239" i="2"/>
  <c r="B1239" i="2"/>
  <c r="A1239" i="2"/>
  <c r="AG1238" i="2"/>
  <c r="AF1238" i="2"/>
  <c r="AE1238" i="2"/>
  <c r="AD1238" i="2"/>
  <c r="AC1238" i="2"/>
  <c r="AB1238" i="2"/>
  <c r="Z1238" i="2"/>
  <c r="Y1238" i="2"/>
  <c r="X1238" i="2"/>
  <c r="W1238" i="2"/>
  <c r="V1238" i="2"/>
  <c r="U1238" i="2"/>
  <c r="T1238" i="2"/>
  <c r="S1238" i="2"/>
  <c r="R1238" i="2"/>
  <c r="Q1238" i="2"/>
  <c r="P1238" i="2"/>
  <c r="O1238" i="2"/>
  <c r="N1238" i="2"/>
  <c r="M1238" i="2"/>
  <c r="L1238" i="2"/>
  <c r="K1238" i="2"/>
  <c r="H1238" i="2"/>
  <c r="G1238" i="2"/>
  <c r="F1238" i="2"/>
  <c r="E1238" i="2"/>
  <c r="D1238" i="2"/>
  <c r="C1238" i="2"/>
  <c r="B1238" i="2"/>
  <c r="A1238" i="2"/>
  <c r="AG1237" i="2"/>
  <c r="AF1237" i="2"/>
  <c r="AE1237" i="2"/>
  <c r="AD1237" i="2"/>
  <c r="AC1237" i="2"/>
  <c r="AB1237" i="2"/>
  <c r="Z1237" i="2"/>
  <c r="Y1237" i="2"/>
  <c r="X1237" i="2"/>
  <c r="W1237" i="2"/>
  <c r="V1237" i="2"/>
  <c r="U1237" i="2"/>
  <c r="T1237" i="2"/>
  <c r="S1237" i="2"/>
  <c r="R1237" i="2"/>
  <c r="Q1237" i="2"/>
  <c r="P1237" i="2"/>
  <c r="O1237" i="2"/>
  <c r="N1237" i="2"/>
  <c r="M1237" i="2"/>
  <c r="L1237" i="2"/>
  <c r="K1237" i="2"/>
  <c r="H1237" i="2"/>
  <c r="G1237" i="2"/>
  <c r="F1237" i="2"/>
  <c r="E1237" i="2"/>
  <c r="D1237" i="2"/>
  <c r="C1237" i="2"/>
  <c r="B1237" i="2"/>
  <c r="A1237" i="2"/>
  <c r="AG1236" i="2"/>
  <c r="AE1236" i="2"/>
  <c r="AD1236" i="2"/>
  <c r="AC1236" i="2"/>
  <c r="AB1236" i="2"/>
  <c r="Z1236" i="2"/>
  <c r="Y1236" i="2"/>
  <c r="X1236" i="2"/>
  <c r="W1236" i="2"/>
  <c r="V1236" i="2"/>
  <c r="U1236" i="2"/>
  <c r="S1236" i="2"/>
  <c r="R1236" i="2"/>
  <c r="Q1236" i="2"/>
  <c r="P1236" i="2"/>
  <c r="O1236" i="2"/>
  <c r="N1236" i="2"/>
  <c r="M1236" i="2"/>
  <c r="L1236" i="2"/>
  <c r="K1236" i="2"/>
  <c r="H1236" i="2"/>
  <c r="G1236" i="2"/>
  <c r="F1236" i="2"/>
  <c r="E1236" i="2"/>
  <c r="D1236" i="2"/>
  <c r="C1236" i="2"/>
  <c r="B1236" i="2"/>
  <c r="A1236" i="2"/>
  <c r="AG1235" i="2"/>
  <c r="AF1235" i="2"/>
  <c r="AE1235" i="2"/>
  <c r="AD1235" i="2"/>
  <c r="AC1235" i="2"/>
  <c r="AB1235" i="2"/>
  <c r="Z1235" i="2"/>
  <c r="Y1235" i="2"/>
  <c r="X1235" i="2"/>
  <c r="W1235" i="2"/>
  <c r="V1235" i="2"/>
  <c r="U1235" i="2"/>
  <c r="T1235" i="2"/>
  <c r="S1235" i="2"/>
  <c r="R1235" i="2"/>
  <c r="Q1235" i="2"/>
  <c r="P1235" i="2"/>
  <c r="O1235" i="2"/>
  <c r="N1235" i="2"/>
  <c r="M1235" i="2"/>
  <c r="L1235" i="2"/>
  <c r="K1235" i="2"/>
  <c r="H1235" i="2"/>
  <c r="G1235" i="2"/>
  <c r="F1235" i="2"/>
  <c r="E1235" i="2"/>
  <c r="D1235" i="2"/>
  <c r="C1235" i="2"/>
  <c r="B1235" i="2"/>
  <c r="A1235" i="2"/>
  <c r="AG1234" i="2"/>
  <c r="AF1234" i="2"/>
  <c r="AE1234" i="2"/>
  <c r="AD1234" i="2"/>
  <c r="AC1234" i="2"/>
  <c r="AB1234" i="2"/>
  <c r="Z1234" i="2"/>
  <c r="Y1234" i="2"/>
  <c r="X1234" i="2"/>
  <c r="W1234" i="2"/>
  <c r="V1234" i="2"/>
  <c r="U1234" i="2"/>
  <c r="T1234" i="2"/>
  <c r="S1234" i="2"/>
  <c r="R1234" i="2"/>
  <c r="Q1234" i="2"/>
  <c r="P1234" i="2"/>
  <c r="O1234" i="2"/>
  <c r="N1234" i="2"/>
  <c r="M1234" i="2"/>
  <c r="L1234" i="2"/>
  <c r="K1234" i="2"/>
  <c r="H1234" i="2"/>
  <c r="G1234" i="2"/>
  <c r="F1234" i="2"/>
  <c r="E1234" i="2"/>
  <c r="D1234" i="2"/>
  <c r="C1234" i="2"/>
  <c r="B1234" i="2"/>
  <c r="A1234" i="2"/>
  <c r="AG1233" i="2"/>
  <c r="AF1233" i="2"/>
  <c r="AE1233" i="2"/>
  <c r="AD1233" i="2"/>
  <c r="AC1233" i="2"/>
  <c r="AB1233" i="2"/>
  <c r="Z1233" i="2"/>
  <c r="Y1233" i="2"/>
  <c r="X1233" i="2"/>
  <c r="W1233" i="2"/>
  <c r="V1233" i="2"/>
  <c r="U1233" i="2"/>
  <c r="T1233" i="2"/>
  <c r="S1233" i="2"/>
  <c r="R1233" i="2"/>
  <c r="Q1233" i="2"/>
  <c r="P1233" i="2"/>
  <c r="O1233" i="2"/>
  <c r="N1233" i="2"/>
  <c r="M1233" i="2"/>
  <c r="L1233" i="2"/>
  <c r="K1233" i="2"/>
  <c r="H1233" i="2"/>
  <c r="G1233" i="2"/>
  <c r="F1233" i="2"/>
  <c r="E1233" i="2"/>
  <c r="D1233" i="2"/>
  <c r="C1233" i="2"/>
  <c r="B1233" i="2"/>
  <c r="A1233" i="2"/>
  <c r="AG1232" i="2"/>
  <c r="AF1232" i="2"/>
  <c r="AE1232" i="2"/>
  <c r="AD1232" i="2"/>
  <c r="AC1232" i="2"/>
  <c r="AB1232" i="2"/>
  <c r="Z1232" i="2"/>
  <c r="Y1232" i="2"/>
  <c r="X1232" i="2"/>
  <c r="W1232" i="2"/>
  <c r="V1232" i="2"/>
  <c r="U1232" i="2"/>
  <c r="T1232" i="2"/>
  <c r="S1232" i="2"/>
  <c r="R1232" i="2"/>
  <c r="Q1232" i="2"/>
  <c r="P1232" i="2"/>
  <c r="O1232" i="2"/>
  <c r="N1232" i="2"/>
  <c r="M1232" i="2"/>
  <c r="L1232" i="2"/>
  <c r="K1232" i="2"/>
  <c r="H1232" i="2"/>
  <c r="G1232" i="2"/>
  <c r="F1232" i="2"/>
  <c r="E1232" i="2"/>
  <c r="D1232" i="2"/>
  <c r="C1232" i="2"/>
  <c r="B1232" i="2"/>
  <c r="A1232" i="2"/>
  <c r="AG1231" i="2"/>
  <c r="AF1231" i="2"/>
  <c r="AE1231" i="2"/>
  <c r="AD1231" i="2"/>
  <c r="AC1231" i="2"/>
  <c r="AB1231" i="2"/>
  <c r="Z1231" i="2"/>
  <c r="Y1231" i="2"/>
  <c r="X1231" i="2"/>
  <c r="W1231" i="2"/>
  <c r="V1231" i="2"/>
  <c r="U1231" i="2"/>
  <c r="R1231" i="2"/>
  <c r="Q1231" i="2"/>
  <c r="P1231" i="2"/>
  <c r="O1231" i="2"/>
  <c r="N1231" i="2"/>
  <c r="M1231" i="2"/>
  <c r="L1231" i="2"/>
  <c r="K1231" i="2"/>
  <c r="H1231" i="2"/>
  <c r="G1231" i="2"/>
  <c r="F1231" i="2"/>
  <c r="E1231" i="2"/>
  <c r="D1231" i="2"/>
  <c r="C1231" i="2"/>
  <c r="B1231" i="2"/>
  <c r="A1231" i="2"/>
  <c r="AG1230" i="2"/>
  <c r="AF1230" i="2"/>
  <c r="AD1230" i="2"/>
  <c r="AC1230" i="2"/>
  <c r="AB1230" i="2"/>
  <c r="Z1230" i="2"/>
  <c r="Y1230" i="2"/>
  <c r="X1230" i="2"/>
  <c r="W1230" i="2"/>
  <c r="V1230" i="2"/>
  <c r="U1230" i="2"/>
  <c r="T1230" i="2"/>
  <c r="S1230" i="2"/>
  <c r="R1230" i="2"/>
  <c r="Q1230" i="2"/>
  <c r="P1230" i="2"/>
  <c r="O1230" i="2"/>
  <c r="N1230" i="2"/>
  <c r="M1230" i="2"/>
  <c r="L1230" i="2"/>
  <c r="K1230" i="2"/>
  <c r="H1230" i="2"/>
  <c r="G1230" i="2"/>
  <c r="F1230" i="2"/>
  <c r="E1230" i="2"/>
  <c r="D1230" i="2"/>
  <c r="C1230" i="2"/>
  <c r="B1230" i="2"/>
  <c r="A1230" i="2"/>
  <c r="AG1229" i="2"/>
  <c r="AF1229" i="2"/>
  <c r="AE1229" i="2"/>
  <c r="AD1229" i="2"/>
  <c r="AC1229" i="2"/>
  <c r="AB1229" i="2"/>
  <c r="Z1229" i="2"/>
  <c r="Y1229" i="2"/>
  <c r="X1229" i="2"/>
  <c r="W1229" i="2"/>
  <c r="V1229" i="2"/>
  <c r="U1229" i="2"/>
  <c r="T1229" i="2"/>
  <c r="S1229" i="2"/>
  <c r="R1229" i="2"/>
  <c r="Q1229" i="2"/>
  <c r="P1229" i="2"/>
  <c r="O1229" i="2"/>
  <c r="N1229" i="2"/>
  <c r="M1229" i="2"/>
  <c r="L1229" i="2"/>
  <c r="K1229" i="2"/>
  <c r="H1229" i="2"/>
  <c r="G1229" i="2"/>
  <c r="F1229" i="2"/>
  <c r="E1229" i="2"/>
  <c r="D1229" i="2"/>
  <c r="C1229" i="2"/>
  <c r="B1229" i="2"/>
  <c r="A1229" i="2"/>
  <c r="AG1228" i="2"/>
  <c r="AF1228" i="2"/>
  <c r="AE1228" i="2"/>
  <c r="AD1228" i="2"/>
  <c r="AC1228" i="2"/>
  <c r="AB1228" i="2"/>
  <c r="AA1228" i="2"/>
  <c r="Z1228" i="2"/>
  <c r="Y1228" i="2"/>
  <c r="X1228" i="2"/>
  <c r="W1228" i="2"/>
  <c r="V1228" i="2"/>
  <c r="U1228" i="2"/>
  <c r="T1228" i="2"/>
  <c r="S1228" i="2"/>
  <c r="R1228" i="2"/>
  <c r="Q1228" i="2"/>
  <c r="P1228" i="2"/>
  <c r="O1228" i="2"/>
  <c r="N1228" i="2"/>
  <c r="M1228" i="2"/>
  <c r="L1228" i="2"/>
  <c r="K1228" i="2"/>
  <c r="H1228" i="2"/>
  <c r="G1228" i="2"/>
  <c r="F1228" i="2"/>
  <c r="E1228" i="2"/>
  <c r="D1228" i="2"/>
  <c r="C1228" i="2"/>
  <c r="B1228" i="2"/>
  <c r="A1228" i="2"/>
  <c r="AG1227" i="2"/>
  <c r="AF1227" i="2"/>
  <c r="AE1227" i="2"/>
  <c r="AD1227" i="2"/>
  <c r="AC1227" i="2"/>
  <c r="AB1227" i="2"/>
  <c r="Z1227" i="2"/>
  <c r="Y1227" i="2"/>
  <c r="X1227" i="2"/>
  <c r="W1227" i="2"/>
  <c r="V1227" i="2"/>
  <c r="U1227" i="2"/>
  <c r="S1227" i="2"/>
  <c r="R1227" i="2"/>
  <c r="Q1227" i="2"/>
  <c r="P1227" i="2"/>
  <c r="O1227" i="2"/>
  <c r="N1227" i="2"/>
  <c r="M1227" i="2"/>
  <c r="L1227" i="2"/>
  <c r="K1227" i="2"/>
  <c r="H1227" i="2"/>
  <c r="G1227" i="2"/>
  <c r="F1227" i="2"/>
  <c r="E1227" i="2"/>
  <c r="D1227" i="2"/>
  <c r="C1227" i="2"/>
  <c r="B1227" i="2"/>
  <c r="A1227" i="2"/>
  <c r="AF1226" i="2"/>
  <c r="AE1226" i="2"/>
  <c r="AD1226" i="2"/>
  <c r="AC1226" i="2"/>
  <c r="AB1226" i="2"/>
  <c r="AA1226" i="2"/>
  <c r="Z1226" i="2"/>
  <c r="Y1226" i="2"/>
  <c r="X1226" i="2"/>
  <c r="W1226" i="2"/>
  <c r="V1226" i="2"/>
  <c r="U1226" i="2"/>
  <c r="T1226" i="2"/>
  <c r="S1226" i="2"/>
  <c r="R1226" i="2"/>
  <c r="Q1226" i="2"/>
  <c r="P1226" i="2"/>
  <c r="O1226" i="2"/>
  <c r="N1226" i="2"/>
  <c r="M1226" i="2"/>
  <c r="L1226" i="2"/>
  <c r="K1226" i="2"/>
  <c r="H1226" i="2"/>
  <c r="G1226" i="2"/>
  <c r="F1226" i="2"/>
  <c r="E1226" i="2"/>
  <c r="D1226" i="2"/>
  <c r="C1226" i="2"/>
  <c r="B1226" i="2"/>
  <c r="A1226" i="2"/>
  <c r="AH1225" i="2"/>
  <c r="AG1225" i="2"/>
  <c r="AF1225" i="2"/>
  <c r="AE1225" i="2"/>
  <c r="AD1225" i="2"/>
  <c r="AC1225" i="2"/>
  <c r="AB1225" i="2"/>
  <c r="Z1225" i="2"/>
  <c r="Y1225" i="2"/>
  <c r="X1225" i="2"/>
  <c r="W1225" i="2"/>
  <c r="V1225" i="2"/>
  <c r="U1225" i="2"/>
  <c r="T1225" i="2"/>
  <c r="S1225" i="2"/>
  <c r="R1225" i="2"/>
  <c r="Q1225" i="2"/>
  <c r="P1225" i="2"/>
  <c r="O1225" i="2"/>
  <c r="N1225" i="2"/>
  <c r="M1225" i="2"/>
  <c r="L1225" i="2"/>
  <c r="K1225" i="2"/>
  <c r="H1225" i="2"/>
  <c r="G1225" i="2"/>
  <c r="F1225" i="2"/>
  <c r="E1225" i="2"/>
  <c r="D1225" i="2"/>
  <c r="C1225" i="2"/>
  <c r="B1225" i="2"/>
  <c r="A1225" i="2"/>
  <c r="AG1224" i="2"/>
  <c r="AF1224" i="2"/>
  <c r="AE1224" i="2"/>
  <c r="AD1224" i="2"/>
  <c r="AC1224" i="2"/>
  <c r="AB1224" i="2"/>
  <c r="Z1224" i="2"/>
  <c r="Y1224" i="2"/>
  <c r="X1224" i="2"/>
  <c r="W1224" i="2"/>
  <c r="V1224" i="2"/>
  <c r="U1224" i="2"/>
  <c r="T1224" i="2"/>
  <c r="S1224" i="2"/>
  <c r="R1224" i="2"/>
  <c r="Q1224" i="2"/>
  <c r="P1224" i="2"/>
  <c r="O1224" i="2"/>
  <c r="N1224" i="2"/>
  <c r="M1224" i="2"/>
  <c r="L1224" i="2"/>
  <c r="K1224" i="2"/>
  <c r="H1224" i="2"/>
  <c r="G1224" i="2"/>
  <c r="F1224" i="2"/>
  <c r="E1224" i="2"/>
  <c r="D1224" i="2"/>
  <c r="C1224" i="2"/>
  <c r="B1224" i="2"/>
  <c r="A1224" i="2"/>
  <c r="AH1223" i="2"/>
  <c r="AG1223" i="2"/>
  <c r="AF1223" i="2"/>
  <c r="AE1223" i="2"/>
  <c r="AD1223" i="2"/>
  <c r="AC1223" i="2"/>
  <c r="AB1223" i="2"/>
  <c r="Z1223" i="2"/>
  <c r="Y1223" i="2"/>
  <c r="X1223" i="2"/>
  <c r="W1223" i="2"/>
  <c r="V1223" i="2"/>
  <c r="U1223" i="2"/>
  <c r="T1223" i="2"/>
  <c r="S1223" i="2"/>
  <c r="R1223" i="2"/>
  <c r="Q1223" i="2"/>
  <c r="P1223" i="2"/>
  <c r="O1223" i="2"/>
  <c r="N1223" i="2"/>
  <c r="M1223" i="2"/>
  <c r="L1223" i="2"/>
  <c r="K1223" i="2"/>
  <c r="H1223" i="2"/>
  <c r="G1223" i="2"/>
  <c r="F1223" i="2"/>
  <c r="E1223" i="2"/>
  <c r="D1223" i="2"/>
  <c r="C1223" i="2"/>
  <c r="B1223" i="2"/>
  <c r="A1223" i="2"/>
  <c r="AF1222" i="2"/>
  <c r="AE1222" i="2"/>
  <c r="AD1222" i="2"/>
  <c r="AC1222" i="2"/>
  <c r="AB1222" i="2"/>
  <c r="AA1222" i="2"/>
  <c r="Z1222" i="2"/>
  <c r="Y1222" i="2"/>
  <c r="X1222" i="2"/>
  <c r="W1222" i="2"/>
  <c r="V1222" i="2"/>
  <c r="U1222" i="2"/>
  <c r="T1222" i="2"/>
  <c r="S1222" i="2"/>
  <c r="R1222" i="2"/>
  <c r="Q1222" i="2"/>
  <c r="P1222" i="2"/>
  <c r="O1222" i="2"/>
  <c r="N1222" i="2"/>
  <c r="M1222" i="2"/>
  <c r="L1222" i="2"/>
  <c r="K1222" i="2"/>
  <c r="H1222" i="2"/>
  <c r="G1222" i="2"/>
  <c r="F1222" i="2"/>
  <c r="E1222" i="2"/>
  <c r="D1222" i="2"/>
  <c r="C1222" i="2"/>
  <c r="B1222" i="2"/>
  <c r="A1222" i="2"/>
  <c r="AF1221" i="2"/>
  <c r="AE1221" i="2"/>
  <c r="AD1221" i="2"/>
  <c r="AC1221" i="2"/>
  <c r="AB1221" i="2"/>
  <c r="Z1221" i="2"/>
  <c r="Y1221" i="2"/>
  <c r="X1221" i="2"/>
  <c r="W1221" i="2"/>
  <c r="V1221" i="2"/>
  <c r="U1221" i="2"/>
  <c r="T1221" i="2"/>
  <c r="S1221" i="2"/>
  <c r="R1221" i="2"/>
  <c r="Q1221" i="2"/>
  <c r="P1221" i="2"/>
  <c r="O1221" i="2"/>
  <c r="N1221" i="2"/>
  <c r="M1221" i="2"/>
  <c r="L1221" i="2"/>
  <c r="K1221" i="2"/>
  <c r="H1221" i="2"/>
  <c r="G1221" i="2"/>
  <c r="F1221" i="2"/>
  <c r="E1221" i="2"/>
  <c r="D1221" i="2"/>
  <c r="C1221" i="2"/>
  <c r="B1221" i="2"/>
  <c r="A1221" i="2"/>
  <c r="AH1220" i="2"/>
  <c r="AG1220" i="2"/>
  <c r="AF1220" i="2"/>
  <c r="AE1220" i="2"/>
  <c r="AD1220" i="2"/>
  <c r="AC1220" i="2"/>
  <c r="AB1220" i="2"/>
  <c r="Z1220" i="2"/>
  <c r="Y1220" i="2"/>
  <c r="X1220" i="2"/>
  <c r="W1220" i="2"/>
  <c r="V1220" i="2"/>
  <c r="U1220" i="2"/>
  <c r="T1220" i="2"/>
  <c r="S1220" i="2"/>
  <c r="R1220" i="2"/>
  <c r="Q1220" i="2"/>
  <c r="P1220" i="2"/>
  <c r="O1220" i="2"/>
  <c r="N1220" i="2"/>
  <c r="M1220" i="2"/>
  <c r="L1220" i="2"/>
  <c r="K1220" i="2"/>
  <c r="H1220" i="2"/>
  <c r="G1220" i="2"/>
  <c r="F1220" i="2"/>
  <c r="E1220" i="2"/>
  <c r="D1220" i="2"/>
  <c r="C1220" i="2"/>
  <c r="B1220" i="2"/>
  <c r="A1220" i="2"/>
  <c r="AG1219" i="2"/>
  <c r="AF1219" i="2"/>
  <c r="AE1219" i="2"/>
  <c r="AD1219" i="2"/>
  <c r="AC1219" i="2"/>
  <c r="AB1219" i="2"/>
  <c r="AA1219" i="2"/>
  <c r="Z1219" i="2"/>
  <c r="Y1219" i="2"/>
  <c r="X1219" i="2"/>
  <c r="W1219" i="2"/>
  <c r="V1219" i="2"/>
  <c r="U1219" i="2"/>
  <c r="T1219" i="2"/>
  <c r="S1219" i="2"/>
  <c r="R1219" i="2"/>
  <c r="Q1219" i="2"/>
  <c r="P1219" i="2"/>
  <c r="O1219" i="2"/>
  <c r="N1219" i="2"/>
  <c r="M1219" i="2"/>
  <c r="L1219" i="2"/>
  <c r="K1219" i="2"/>
  <c r="H1219" i="2"/>
  <c r="G1219" i="2"/>
  <c r="F1219" i="2"/>
  <c r="E1219" i="2"/>
  <c r="D1219" i="2"/>
  <c r="C1219" i="2"/>
  <c r="B1219" i="2"/>
  <c r="A1219" i="2"/>
  <c r="AG1218" i="2"/>
  <c r="AF1218" i="2"/>
  <c r="AE1218" i="2"/>
  <c r="AD1218" i="2"/>
  <c r="AC1218" i="2"/>
  <c r="AB1218" i="2"/>
  <c r="Z1218" i="2"/>
  <c r="Y1218" i="2"/>
  <c r="X1218" i="2"/>
  <c r="W1218" i="2"/>
  <c r="V1218" i="2"/>
  <c r="U1218" i="2"/>
  <c r="T1218" i="2"/>
  <c r="S1218" i="2"/>
  <c r="R1218" i="2"/>
  <c r="Q1218" i="2"/>
  <c r="P1218" i="2"/>
  <c r="O1218" i="2"/>
  <c r="N1218" i="2"/>
  <c r="M1218" i="2"/>
  <c r="L1218" i="2"/>
  <c r="K1218" i="2"/>
  <c r="H1218" i="2"/>
  <c r="G1218" i="2"/>
  <c r="F1218" i="2"/>
  <c r="E1218" i="2"/>
  <c r="D1218" i="2"/>
  <c r="C1218" i="2"/>
  <c r="B1218" i="2"/>
  <c r="A1218" i="2"/>
  <c r="AH1217" i="2"/>
  <c r="AG1217" i="2"/>
  <c r="AF1217" i="2"/>
  <c r="AD1217" i="2"/>
  <c r="AC1217" i="2"/>
  <c r="AB1217" i="2"/>
  <c r="Z1217" i="2"/>
  <c r="X1217" i="2"/>
  <c r="W1217" i="2"/>
  <c r="V1217" i="2"/>
  <c r="U1217" i="2"/>
  <c r="T1217" i="2"/>
  <c r="S1217" i="2"/>
  <c r="R1217" i="2"/>
  <c r="Q1217" i="2"/>
  <c r="P1217" i="2"/>
  <c r="O1217" i="2"/>
  <c r="N1217" i="2"/>
  <c r="M1217" i="2"/>
  <c r="L1217" i="2"/>
  <c r="K1217" i="2"/>
  <c r="H1217" i="2"/>
  <c r="G1217" i="2"/>
  <c r="F1217" i="2"/>
  <c r="E1217" i="2"/>
  <c r="D1217" i="2"/>
  <c r="C1217" i="2"/>
  <c r="B1217" i="2"/>
  <c r="A1217" i="2"/>
  <c r="AG1216" i="2"/>
  <c r="AF1216" i="2"/>
  <c r="AE1216" i="2"/>
  <c r="AD1216" i="2"/>
  <c r="AC1216" i="2"/>
  <c r="AB1216" i="2"/>
  <c r="AA1216" i="2"/>
  <c r="Z1216" i="2"/>
  <c r="Y1216" i="2"/>
  <c r="X1216" i="2"/>
  <c r="W1216" i="2"/>
  <c r="V1216" i="2"/>
  <c r="U1216" i="2"/>
  <c r="T1216" i="2"/>
  <c r="S1216" i="2"/>
  <c r="R1216" i="2"/>
  <c r="Q1216" i="2"/>
  <c r="P1216" i="2"/>
  <c r="O1216" i="2"/>
  <c r="N1216" i="2"/>
  <c r="M1216" i="2"/>
  <c r="L1216" i="2"/>
  <c r="K1216" i="2"/>
  <c r="H1216" i="2"/>
  <c r="G1216" i="2"/>
  <c r="F1216" i="2"/>
  <c r="E1216" i="2"/>
  <c r="D1216" i="2"/>
  <c r="C1216" i="2"/>
  <c r="B1216" i="2"/>
  <c r="A1216" i="2"/>
  <c r="AG1215" i="2"/>
  <c r="AF1215" i="2"/>
  <c r="AE1215" i="2"/>
  <c r="AD1215" i="2"/>
  <c r="AC1215" i="2"/>
  <c r="AB1215" i="2"/>
  <c r="AA1215" i="2"/>
  <c r="Z1215" i="2"/>
  <c r="Y1215" i="2"/>
  <c r="X1215" i="2"/>
  <c r="W1215" i="2"/>
  <c r="V1215" i="2"/>
  <c r="U1215" i="2"/>
  <c r="S1215" i="2"/>
  <c r="R1215" i="2"/>
  <c r="Q1215" i="2"/>
  <c r="P1215" i="2"/>
  <c r="O1215" i="2"/>
  <c r="N1215" i="2"/>
  <c r="M1215" i="2"/>
  <c r="L1215" i="2"/>
  <c r="K1215" i="2"/>
  <c r="H1215" i="2"/>
  <c r="G1215" i="2"/>
  <c r="F1215" i="2"/>
  <c r="E1215" i="2"/>
  <c r="D1215" i="2"/>
  <c r="C1215" i="2"/>
  <c r="B1215" i="2"/>
  <c r="A1215" i="2"/>
  <c r="AG1214" i="2"/>
  <c r="AF1214" i="2"/>
  <c r="AE1214" i="2"/>
  <c r="AD1214" i="2"/>
  <c r="AC1214" i="2"/>
  <c r="AB1214" i="2"/>
  <c r="AA1214" i="2"/>
  <c r="Z1214" i="2"/>
  <c r="Y1214" i="2"/>
  <c r="X1214" i="2"/>
  <c r="W1214" i="2"/>
  <c r="V1214" i="2"/>
  <c r="U1214" i="2"/>
  <c r="T1214" i="2"/>
  <c r="S1214" i="2"/>
  <c r="R1214" i="2"/>
  <c r="Q1214" i="2"/>
  <c r="P1214" i="2"/>
  <c r="O1214" i="2"/>
  <c r="N1214" i="2"/>
  <c r="M1214" i="2"/>
  <c r="L1214" i="2"/>
  <c r="K1214" i="2"/>
  <c r="H1214" i="2"/>
  <c r="G1214" i="2"/>
  <c r="F1214" i="2"/>
  <c r="E1214" i="2"/>
  <c r="D1214" i="2"/>
  <c r="C1214" i="2"/>
  <c r="B1214" i="2"/>
  <c r="A1214" i="2"/>
  <c r="AG1213" i="2"/>
  <c r="AF1213" i="2"/>
  <c r="AE1213" i="2"/>
  <c r="AD1213" i="2"/>
  <c r="AC1213" i="2"/>
  <c r="AB1213" i="2"/>
  <c r="Z1213" i="2"/>
  <c r="Y1213" i="2"/>
  <c r="X1213" i="2"/>
  <c r="W1213" i="2"/>
  <c r="V1213" i="2"/>
  <c r="U1213" i="2"/>
  <c r="T1213" i="2"/>
  <c r="S1213" i="2"/>
  <c r="R1213" i="2"/>
  <c r="Q1213" i="2"/>
  <c r="P1213" i="2"/>
  <c r="O1213" i="2"/>
  <c r="N1213" i="2"/>
  <c r="M1213" i="2"/>
  <c r="L1213" i="2"/>
  <c r="K1213" i="2"/>
  <c r="H1213" i="2"/>
  <c r="G1213" i="2"/>
  <c r="F1213" i="2"/>
  <c r="E1213" i="2"/>
  <c r="D1213" i="2"/>
  <c r="C1213" i="2"/>
  <c r="B1213" i="2"/>
  <c r="A1213" i="2"/>
  <c r="AG1212" i="2"/>
  <c r="AF1212" i="2"/>
  <c r="AE1212" i="2"/>
  <c r="AD1212" i="2"/>
  <c r="AC1212" i="2"/>
  <c r="AB1212" i="2"/>
  <c r="Z1212" i="2"/>
  <c r="Y1212" i="2"/>
  <c r="X1212" i="2"/>
  <c r="W1212" i="2"/>
  <c r="V1212" i="2"/>
  <c r="U1212" i="2"/>
  <c r="R1212" i="2"/>
  <c r="Q1212" i="2"/>
  <c r="P1212" i="2"/>
  <c r="O1212" i="2"/>
  <c r="N1212" i="2"/>
  <c r="M1212" i="2"/>
  <c r="L1212" i="2"/>
  <c r="K1212" i="2"/>
  <c r="H1212" i="2"/>
  <c r="G1212" i="2"/>
  <c r="F1212" i="2"/>
  <c r="E1212" i="2"/>
  <c r="D1212" i="2"/>
  <c r="C1212" i="2"/>
  <c r="B1212" i="2"/>
  <c r="A1212" i="2"/>
  <c r="AG1211" i="2"/>
  <c r="AF1211" i="2"/>
  <c r="AE1211" i="2"/>
  <c r="AD1211" i="2"/>
  <c r="AC1211" i="2"/>
  <c r="AB1211" i="2"/>
  <c r="AA1211" i="2"/>
  <c r="Z1211" i="2"/>
  <c r="Y1211" i="2"/>
  <c r="X1211" i="2"/>
  <c r="W1211" i="2"/>
  <c r="V1211" i="2"/>
  <c r="U1211" i="2"/>
  <c r="T1211" i="2"/>
  <c r="S1211" i="2"/>
  <c r="R1211" i="2"/>
  <c r="Q1211" i="2"/>
  <c r="P1211" i="2"/>
  <c r="O1211" i="2"/>
  <c r="N1211" i="2"/>
  <c r="M1211" i="2"/>
  <c r="L1211" i="2"/>
  <c r="K1211" i="2"/>
  <c r="H1211" i="2"/>
  <c r="G1211" i="2"/>
  <c r="F1211" i="2"/>
  <c r="E1211" i="2"/>
  <c r="D1211" i="2"/>
  <c r="C1211" i="2"/>
  <c r="B1211" i="2"/>
  <c r="A1211" i="2"/>
  <c r="AG1210" i="2"/>
  <c r="AF1210" i="2"/>
  <c r="AE1210" i="2"/>
  <c r="AD1210" i="2"/>
  <c r="AC1210" i="2"/>
  <c r="AB1210" i="2"/>
  <c r="Z1210" i="2"/>
  <c r="Y1210" i="2"/>
  <c r="X1210" i="2"/>
  <c r="W1210" i="2"/>
  <c r="V1210" i="2"/>
  <c r="U1210" i="2"/>
  <c r="T1210" i="2"/>
  <c r="S1210" i="2"/>
  <c r="R1210" i="2"/>
  <c r="Q1210" i="2"/>
  <c r="P1210" i="2"/>
  <c r="O1210" i="2"/>
  <c r="N1210" i="2"/>
  <c r="M1210" i="2"/>
  <c r="L1210" i="2"/>
  <c r="K1210" i="2"/>
  <c r="H1210" i="2"/>
  <c r="G1210" i="2"/>
  <c r="F1210" i="2"/>
  <c r="E1210" i="2"/>
  <c r="D1210" i="2"/>
  <c r="C1210" i="2"/>
  <c r="B1210" i="2"/>
  <c r="A1210" i="2"/>
  <c r="AG1209" i="2"/>
  <c r="AF1209" i="2"/>
  <c r="AE1209" i="2"/>
  <c r="AD1209" i="2"/>
  <c r="AC1209" i="2"/>
  <c r="AB1209" i="2"/>
  <c r="AA1209" i="2"/>
  <c r="Z1209" i="2"/>
  <c r="Y1209" i="2"/>
  <c r="X1209" i="2"/>
  <c r="W1209" i="2"/>
  <c r="V1209" i="2"/>
  <c r="U1209" i="2"/>
  <c r="T1209" i="2"/>
  <c r="S1209" i="2"/>
  <c r="R1209" i="2"/>
  <c r="Q1209" i="2"/>
  <c r="P1209" i="2"/>
  <c r="O1209" i="2"/>
  <c r="N1209" i="2"/>
  <c r="M1209" i="2"/>
  <c r="L1209" i="2"/>
  <c r="K1209" i="2"/>
  <c r="H1209" i="2"/>
  <c r="G1209" i="2"/>
  <c r="F1209" i="2"/>
  <c r="E1209" i="2"/>
  <c r="D1209" i="2"/>
  <c r="C1209" i="2"/>
  <c r="B1209" i="2"/>
  <c r="A1209" i="2"/>
  <c r="AG1208" i="2"/>
  <c r="AF1208" i="2"/>
  <c r="AE1208" i="2"/>
  <c r="AD1208" i="2"/>
  <c r="AC1208" i="2"/>
  <c r="AB1208" i="2"/>
  <c r="Z1208" i="2"/>
  <c r="Y1208" i="2"/>
  <c r="X1208" i="2"/>
  <c r="W1208" i="2"/>
  <c r="V1208" i="2"/>
  <c r="U1208" i="2"/>
  <c r="S1208" i="2"/>
  <c r="R1208" i="2"/>
  <c r="Q1208" i="2"/>
  <c r="P1208" i="2"/>
  <c r="O1208" i="2"/>
  <c r="N1208" i="2"/>
  <c r="M1208" i="2"/>
  <c r="L1208" i="2"/>
  <c r="K1208" i="2"/>
  <c r="H1208" i="2"/>
  <c r="G1208" i="2"/>
  <c r="F1208" i="2"/>
  <c r="E1208" i="2"/>
  <c r="D1208" i="2"/>
  <c r="C1208" i="2"/>
  <c r="B1208" i="2"/>
  <c r="A1208" i="2"/>
  <c r="AG1207" i="2"/>
  <c r="AF1207" i="2"/>
  <c r="AE1207" i="2"/>
  <c r="AD1207" i="2"/>
  <c r="AC1207" i="2"/>
  <c r="AB1207" i="2"/>
  <c r="Z1207" i="2"/>
  <c r="Y1207" i="2"/>
  <c r="X1207" i="2"/>
  <c r="W1207" i="2"/>
  <c r="V1207" i="2"/>
  <c r="U1207" i="2"/>
  <c r="R1207" i="2"/>
  <c r="Q1207" i="2"/>
  <c r="P1207" i="2"/>
  <c r="O1207" i="2"/>
  <c r="N1207" i="2"/>
  <c r="M1207" i="2"/>
  <c r="L1207" i="2"/>
  <c r="K1207" i="2"/>
  <c r="H1207" i="2"/>
  <c r="G1207" i="2"/>
  <c r="F1207" i="2"/>
  <c r="E1207" i="2"/>
  <c r="D1207" i="2"/>
  <c r="C1207" i="2"/>
  <c r="B1207" i="2"/>
  <c r="A1207" i="2"/>
  <c r="AG1206" i="2"/>
  <c r="AF1206" i="2"/>
  <c r="AE1206" i="2"/>
  <c r="AD1206" i="2"/>
  <c r="AC1206" i="2"/>
  <c r="AB1206" i="2"/>
  <c r="Z1206" i="2"/>
  <c r="Y1206" i="2"/>
  <c r="X1206" i="2"/>
  <c r="W1206" i="2"/>
  <c r="V1206" i="2"/>
  <c r="U1206" i="2"/>
  <c r="T1206" i="2"/>
  <c r="S1206" i="2"/>
  <c r="R1206" i="2"/>
  <c r="Q1206" i="2"/>
  <c r="P1206" i="2"/>
  <c r="O1206" i="2"/>
  <c r="N1206" i="2"/>
  <c r="M1206" i="2"/>
  <c r="L1206" i="2"/>
  <c r="K1206" i="2"/>
  <c r="H1206" i="2"/>
  <c r="G1206" i="2"/>
  <c r="F1206" i="2"/>
  <c r="E1206" i="2"/>
  <c r="D1206" i="2"/>
  <c r="C1206" i="2"/>
  <c r="B1206" i="2"/>
  <c r="A1206" i="2"/>
  <c r="AH1205" i="2"/>
  <c r="AG1205" i="2"/>
  <c r="AF1205" i="2"/>
  <c r="AE1205" i="2"/>
  <c r="AD1205" i="2"/>
  <c r="AC1205" i="2"/>
  <c r="AB1205" i="2"/>
  <c r="Z1205" i="2"/>
  <c r="Y1205" i="2"/>
  <c r="X1205" i="2"/>
  <c r="W1205" i="2"/>
  <c r="V1205" i="2"/>
  <c r="T1205" i="2"/>
  <c r="S1205" i="2"/>
  <c r="R1205" i="2"/>
  <c r="Q1205" i="2"/>
  <c r="P1205" i="2"/>
  <c r="O1205" i="2"/>
  <c r="N1205" i="2"/>
  <c r="M1205" i="2"/>
  <c r="L1205" i="2"/>
  <c r="K1205" i="2"/>
  <c r="H1205" i="2"/>
  <c r="G1205" i="2"/>
  <c r="F1205" i="2"/>
  <c r="E1205" i="2"/>
  <c r="D1205" i="2"/>
  <c r="C1205" i="2"/>
  <c r="B1205" i="2"/>
  <c r="A1205" i="2"/>
  <c r="AG1204" i="2"/>
  <c r="AF1204" i="2"/>
  <c r="AE1204" i="2"/>
  <c r="AD1204" i="2"/>
  <c r="AC1204" i="2"/>
  <c r="AB1204" i="2"/>
  <c r="Z1204" i="2"/>
  <c r="Y1204" i="2"/>
  <c r="X1204" i="2"/>
  <c r="W1204" i="2"/>
  <c r="V1204" i="2"/>
  <c r="U1204" i="2"/>
  <c r="T1204" i="2"/>
  <c r="S1204" i="2"/>
  <c r="R1204" i="2"/>
  <c r="Q1204" i="2"/>
  <c r="P1204" i="2"/>
  <c r="O1204" i="2"/>
  <c r="N1204" i="2"/>
  <c r="M1204" i="2"/>
  <c r="L1204" i="2"/>
  <c r="K1204" i="2"/>
  <c r="H1204" i="2"/>
  <c r="G1204" i="2"/>
  <c r="F1204" i="2"/>
  <c r="E1204" i="2"/>
  <c r="D1204" i="2"/>
  <c r="C1204" i="2"/>
  <c r="B1204" i="2"/>
  <c r="A1204" i="2"/>
  <c r="AG1203" i="2"/>
  <c r="AF1203" i="2"/>
  <c r="AE1203" i="2"/>
  <c r="AD1203" i="2"/>
  <c r="AC1203" i="2"/>
  <c r="AB1203" i="2"/>
  <c r="Z1203" i="2"/>
  <c r="Y1203" i="2"/>
  <c r="X1203" i="2"/>
  <c r="W1203" i="2"/>
  <c r="V1203" i="2"/>
  <c r="U1203" i="2"/>
  <c r="S1203" i="2"/>
  <c r="R1203" i="2"/>
  <c r="Q1203" i="2"/>
  <c r="P1203" i="2"/>
  <c r="O1203" i="2"/>
  <c r="N1203" i="2"/>
  <c r="M1203" i="2"/>
  <c r="L1203" i="2"/>
  <c r="K1203" i="2"/>
  <c r="H1203" i="2"/>
  <c r="G1203" i="2"/>
  <c r="F1203" i="2"/>
  <c r="E1203" i="2"/>
  <c r="D1203" i="2"/>
  <c r="C1203" i="2"/>
  <c r="B1203" i="2"/>
  <c r="A1203" i="2"/>
  <c r="AH1202" i="2"/>
  <c r="AG1202" i="2"/>
  <c r="AF1202" i="2"/>
  <c r="AE1202" i="2"/>
  <c r="AD1202" i="2"/>
  <c r="AC1202" i="2"/>
  <c r="AB1202" i="2"/>
  <c r="Z1202" i="2"/>
  <c r="Y1202" i="2"/>
  <c r="X1202" i="2"/>
  <c r="W1202" i="2"/>
  <c r="V1202" i="2"/>
  <c r="U1202" i="2"/>
  <c r="T1202" i="2"/>
  <c r="S1202" i="2"/>
  <c r="R1202" i="2"/>
  <c r="Q1202" i="2"/>
  <c r="P1202" i="2"/>
  <c r="O1202" i="2"/>
  <c r="N1202" i="2"/>
  <c r="M1202" i="2"/>
  <c r="L1202" i="2"/>
  <c r="K1202" i="2"/>
  <c r="H1202" i="2"/>
  <c r="G1202" i="2"/>
  <c r="F1202" i="2"/>
  <c r="E1202" i="2"/>
  <c r="D1202" i="2"/>
  <c r="C1202" i="2"/>
  <c r="B1202" i="2"/>
  <c r="A1202" i="2"/>
  <c r="AD1201" i="2"/>
  <c r="AC1201" i="2"/>
  <c r="AB1201" i="2"/>
  <c r="Z1201" i="2"/>
  <c r="Y1201" i="2"/>
  <c r="X1201" i="2"/>
  <c r="W1201" i="2"/>
  <c r="V1201" i="2"/>
  <c r="S1201" i="2"/>
  <c r="R1201" i="2"/>
  <c r="Q1201" i="2"/>
  <c r="P1201" i="2"/>
  <c r="O1201" i="2"/>
  <c r="N1201" i="2"/>
  <c r="M1201" i="2"/>
  <c r="L1201" i="2"/>
  <c r="K1201" i="2"/>
  <c r="H1201" i="2"/>
  <c r="G1201" i="2"/>
  <c r="F1201" i="2"/>
  <c r="E1201" i="2"/>
  <c r="D1201" i="2"/>
  <c r="C1201" i="2"/>
  <c r="B1201" i="2"/>
  <c r="A1201" i="2"/>
  <c r="AG1200" i="2"/>
  <c r="AF1200" i="2"/>
  <c r="AE1200" i="2"/>
  <c r="AD1200" i="2"/>
  <c r="AC1200" i="2"/>
  <c r="AB1200" i="2"/>
  <c r="Z1200" i="2"/>
  <c r="Y1200" i="2"/>
  <c r="X1200" i="2"/>
  <c r="W1200" i="2"/>
  <c r="V1200" i="2"/>
  <c r="U1200" i="2"/>
  <c r="T1200" i="2"/>
  <c r="S1200" i="2"/>
  <c r="R1200" i="2"/>
  <c r="Q1200" i="2"/>
  <c r="P1200" i="2"/>
  <c r="O1200" i="2"/>
  <c r="N1200" i="2"/>
  <c r="M1200" i="2"/>
  <c r="L1200" i="2"/>
  <c r="K1200" i="2"/>
  <c r="H1200" i="2"/>
  <c r="G1200" i="2"/>
  <c r="F1200" i="2"/>
  <c r="E1200" i="2"/>
  <c r="D1200" i="2"/>
  <c r="C1200" i="2"/>
  <c r="B1200" i="2"/>
  <c r="A1200" i="2"/>
  <c r="AH1199" i="2"/>
  <c r="AG1199" i="2"/>
  <c r="AF1199" i="2"/>
  <c r="AE1199" i="2"/>
  <c r="AD1199" i="2"/>
  <c r="AC1199" i="2"/>
  <c r="AB1199" i="2"/>
  <c r="Z1199" i="2"/>
  <c r="Y1199" i="2"/>
  <c r="X1199" i="2"/>
  <c r="W1199" i="2"/>
  <c r="V1199" i="2"/>
  <c r="U1199" i="2"/>
  <c r="T1199" i="2"/>
  <c r="S1199" i="2"/>
  <c r="R1199" i="2"/>
  <c r="Q1199" i="2"/>
  <c r="P1199" i="2"/>
  <c r="O1199" i="2"/>
  <c r="N1199" i="2"/>
  <c r="M1199" i="2"/>
  <c r="L1199" i="2"/>
  <c r="K1199" i="2"/>
  <c r="J1199" i="2"/>
  <c r="H1199" i="2"/>
  <c r="G1199" i="2"/>
  <c r="F1199" i="2"/>
  <c r="E1199" i="2"/>
  <c r="D1199" i="2"/>
  <c r="C1199" i="2"/>
  <c r="B1199" i="2"/>
  <c r="A1199" i="2"/>
  <c r="AH1198" i="2"/>
  <c r="AG1198" i="2"/>
  <c r="AF1198" i="2"/>
  <c r="AE1198" i="2"/>
  <c r="AD1198" i="2"/>
  <c r="AC1198" i="2"/>
  <c r="AB1198" i="2"/>
  <c r="Z1198" i="2"/>
  <c r="Y1198" i="2"/>
  <c r="X1198" i="2"/>
  <c r="W1198" i="2"/>
  <c r="V1198" i="2"/>
  <c r="U1198" i="2"/>
  <c r="T1198" i="2"/>
  <c r="S1198" i="2"/>
  <c r="R1198" i="2"/>
  <c r="Q1198" i="2"/>
  <c r="P1198" i="2"/>
  <c r="O1198" i="2"/>
  <c r="N1198" i="2"/>
  <c r="M1198" i="2"/>
  <c r="L1198" i="2"/>
  <c r="K1198" i="2"/>
  <c r="H1198" i="2"/>
  <c r="G1198" i="2"/>
  <c r="F1198" i="2"/>
  <c r="E1198" i="2"/>
  <c r="D1198" i="2"/>
  <c r="C1198" i="2"/>
  <c r="B1198" i="2"/>
  <c r="A1198" i="2"/>
  <c r="AH1197" i="2"/>
  <c r="AG1197" i="2"/>
  <c r="AF1197" i="2"/>
  <c r="AE1197" i="2"/>
  <c r="AD1197" i="2"/>
  <c r="AC1197" i="2"/>
  <c r="AB1197" i="2"/>
  <c r="Z1197" i="2"/>
  <c r="Y1197" i="2"/>
  <c r="X1197" i="2"/>
  <c r="W1197" i="2"/>
  <c r="V1197" i="2"/>
  <c r="T1197" i="2"/>
  <c r="S1197" i="2"/>
  <c r="R1197" i="2"/>
  <c r="Q1197" i="2"/>
  <c r="P1197" i="2"/>
  <c r="O1197" i="2"/>
  <c r="N1197" i="2"/>
  <c r="M1197" i="2"/>
  <c r="L1197" i="2"/>
  <c r="K1197" i="2"/>
  <c r="H1197" i="2"/>
  <c r="G1197" i="2"/>
  <c r="F1197" i="2"/>
  <c r="E1197" i="2"/>
  <c r="D1197" i="2"/>
  <c r="C1197" i="2"/>
  <c r="B1197" i="2"/>
  <c r="A1197" i="2"/>
  <c r="AH1196" i="2"/>
  <c r="AG1196" i="2"/>
  <c r="AF1196" i="2"/>
  <c r="AE1196" i="2"/>
  <c r="AD1196" i="2"/>
  <c r="AC1196" i="2"/>
  <c r="AB1196" i="2"/>
  <c r="Z1196" i="2"/>
  <c r="Y1196" i="2"/>
  <c r="X1196" i="2"/>
  <c r="W1196" i="2"/>
  <c r="V1196" i="2"/>
  <c r="U1196" i="2"/>
  <c r="T1196" i="2"/>
  <c r="S1196" i="2"/>
  <c r="R1196" i="2"/>
  <c r="Q1196" i="2"/>
  <c r="P1196" i="2"/>
  <c r="O1196" i="2"/>
  <c r="N1196" i="2"/>
  <c r="M1196" i="2"/>
  <c r="L1196" i="2"/>
  <c r="K1196" i="2"/>
  <c r="H1196" i="2"/>
  <c r="G1196" i="2"/>
  <c r="F1196" i="2"/>
  <c r="E1196" i="2"/>
  <c r="D1196" i="2"/>
  <c r="C1196" i="2"/>
  <c r="B1196" i="2"/>
  <c r="A1196" i="2"/>
  <c r="AG1195" i="2"/>
  <c r="AF1195" i="2"/>
  <c r="AD1195" i="2"/>
  <c r="AC1195" i="2"/>
  <c r="AB1195" i="2"/>
  <c r="Z1195" i="2"/>
  <c r="X1195" i="2"/>
  <c r="W1195" i="2"/>
  <c r="V1195" i="2"/>
  <c r="U1195" i="2"/>
  <c r="T1195" i="2"/>
  <c r="S1195" i="2"/>
  <c r="R1195" i="2"/>
  <c r="Q1195" i="2"/>
  <c r="P1195" i="2"/>
  <c r="O1195" i="2"/>
  <c r="N1195" i="2"/>
  <c r="M1195" i="2"/>
  <c r="L1195" i="2"/>
  <c r="K1195" i="2"/>
  <c r="H1195" i="2"/>
  <c r="G1195" i="2"/>
  <c r="F1195" i="2"/>
  <c r="E1195" i="2"/>
  <c r="D1195" i="2"/>
  <c r="C1195" i="2"/>
  <c r="B1195" i="2"/>
  <c r="A1195" i="2"/>
  <c r="AG1194" i="2"/>
  <c r="AF1194" i="2"/>
  <c r="AE1194" i="2"/>
  <c r="AD1194" i="2"/>
  <c r="AC1194" i="2"/>
  <c r="AB1194" i="2"/>
  <c r="AA1194" i="2"/>
  <c r="Z1194" i="2"/>
  <c r="Y1194" i="2"/>
  <c r="X1194" i="2"/>
  <c r="W1194" i="2"/>
  <c r="V1194" i="2"/>
  <c r="U1194" i="2"/>
  <c r="S1194" i="2"/>
  <c r="R1194" i="2"/>
  <c r="Q1194" i="2"/>
  <c r="P1194" i="2"/>
  <c r="O1194" i="2"/>
  <c r="N1194" i="2"/>
  <c r="M1194" i="2"/>
  <c r="L1194" i="2"/>
  <c r="K1194" i="2"/>
  <c r="H1194" i="2"/>
  <c r="G1194" i="2"/>
  <c r="F1194" i="2"/>
  <c r="E1194" i="2"/>
  <c r="D1194" i="2"/>
  <c r="C1194" i="2"/>
  <c r="B1194" i="2"/>
  <c r="A1194" i="2"/>
  <c r="AG1193" i="2"/>
  <c r="AD1193" i="2"/>
  <c r="AC1193" i="2"/>
  <c r="AB1193" i="2"/>
  <c r="Z1193" i="2"/>
  <c r="Y1193" i="2"/>
  <c r="X1193" i="2"/>
  <c r="W1193" i="2"/>
  <c r="V1193" i="2"/>
  <c r="U1193" i="2"/>
  <c r="T1193" i="2"/>
  <c r="S1193" i="2"/>
  <c r="R1193" i="2"/>
  <c r="Q1193" i="2"/>
  <c r="P1193" i="2"/>
  <c r="O1193" i="2"/>
  <c r="N1193" i="2"/>
  <c r="M1193" i="2"/>
  <c r="L1193" i="2"/>
  <c r="K1193" i="2"/>
  <c r="H1193" i="2"/>
  <c r="G1193" i="2"/>
  <c r="F1193" i="2"/>
  <c r="E1193" i="2"/>
  <c r="D1193" i="2"/>
  <c r="C1193" i="2"/>
  <c r="B1193" i="2"/>
  <c r="A1193" i="2"/>
  <c r="AG1192" i="2"/>
  <c r="AF1192" i="2"/>
  <c r="AE1192" i="2"/>
  <c r="AD1192" i="2"/>
  <c r="AC1192" i="2"/>
  <c r="AB1192" i="2"/>
  <c r="Z1192" i="2"/>
  <c r="Y1192" i="2"/>
  <c r="X1192" i="2"/>
  <c r="W1192" i="2"/>
  <c r="V1192" i="2"/>
  <c r="U1192" i="2"/>
  <c r="T1192" i="2"/>
  <c r="S1192" i="2"/>
  <c r="R1192" i="2"/>
  <c r="Q1192" i="2"/>
  <c r="P1192" i="2"/>
  <c r="O1192" i="2"/>
  <c r="N1192" i="2"/>
  <c r="M1192" i="2"/>
  <c r="L1192" i="2"/>
  <c r="K1192" i="2"/>
  <c r="H1192" i="2"/>
  <c r="G1192" i="2"/>
  <c r="F1192" i="2"/>
  <c r="E1192" i="2"/>
  <c r="D1192" i="2"/>
  <c r="C1192" i="2"/>
  <c r="B1192" i="2"/>
  <c r="A1192" i="2"/>
  <c r="AG1191" i="2"/>
  <c r="AF1191" i="2"/>
  <c r="AE1191" i="2"/>
  <c r="AD1191" i="2"/>
  <c r="AC1191" i="2"/>
  <c r="AB1191" i="2"/>
  <c r="Z1191" i="2"/>
  <c r="Y1191" i="2"/>
  <c r="X1191" i="2"/>
  <c r="W1191" i="2"/>
  <c r="V1191" i="2"/>
  <c r="U1191" i="2"/>
  <c r="T1191" i="2"/>
  <c r="S1191" i="2"/>
  <c r="R1191" i="2"/>
  <c r="Q1191" i="2"/>
  <c r="P1191" i="2"/>
  <c r="O1191" i="2"/>
  <c r="N1191" i="2"/>
  <c r="M1191" i="2"/>
  <c r="L1191" i="2"/>
  <c r="K1191" i="2"/>
  <c r="H1191" i="2"/>
  <c r="G1191" i="2"/>
  <c r="F1191" i="2"/>
  <c r="E1191" i="2"/>
  <c r="D1191" i="2"/>
  <c r="C1191" i="2"/>
  <c r="B1191" i="2"/>
  <c r="A1191" i="2"/>
  <c r="AF1190" i="2"/>
  <c r="AE1190" i="2"/>
  <c r="AD1190" i="2"/>
  <c r="AC1190" i="2"/>
  <c r="AB1190" i="2"/>
  <c r="Z1190" i="2"/>
  <c r="Y1190" i="2"/>
  <c r="X1190" i="2"/>
  <c r="W1190" i="2"/>
  <c r="V1190" i="2"/>
  <c r="U1190" i="2"/>
  <c r="T1190" i="2"/>
  <c r="S1190" i="2"/>
  <c r="R1190" i="2"/>
  <c r="Q1190" i="2"/>
  <c r="P1190" i="2"/>
  <c r="O1190" i="2"/>
  <c r="N1190" i="2"/>
  <c r="M1190" i="2"/>
  <c r="L1190" i="2"/>
  <c r="K1190" i="2"/>
  <c r="H1190" i="2"/>
  <c r="G1190" i="2"/>
  <c r="F1190" i="2"/>
  <c r="E1190" i="2"/>
  <c r="D1190" i="2"/>
  <c r="C1190" i="2"/>
  <c r="B1190" i="2"/>
  <c r="A1190" i="2"/>
  <c r="AG1189" i="2"/>
  <c r="AF1189" i="2"/>
  <c r="AE1189" i="2"/>
  <c r="AD1189" i="2"/>
  <c r="AC1189" i="2"/>
  <c r="AB1189" i="2"/>
  <c r="Z1189" i="2"/>
  <c r="Y1189" i="2"/>
  <c r="X1189" i="2"/>
  <c r="W1189" i="2"/>
  <c r="V1189" i="2"/>
  <c r="U1189" i="2"/>
  <c r="T1189" i="2"/>
  <c r="S1189" i="2"/>
  <c r="R1189" i="2"/>
  <c r="Q1189" i="2"/>
  <c r="P1189" i="2"/>
  <c r="O1189" i="2"/>
  <c r="N1189" i="2"/>
  <c r="M1189" i="2"/>
  <c r="L1189" i="2"/>
  <c r="K1189" i="2"/>
  <c r="H1189" i="2"/>
  <c r="G1189" i="2"/>
  <c r="F1189" i="2"/>
  <c r="E1189" i="2"/>
  <c r="D1189" i="2"/>
  <c r="C1189" i="2"/>
  <c r="B1189" i="2"/>
  <c r="A1189" i="2"/>
  <c r="AG1188" i="2"/>
  <c r="AF1188" i="2"/>
  <c r="AE1188" i="2"/>
  <c r="AD1188" i="2"/>
  <c r="AC1188" i="2"/>
  <c r="AB1188" i="2"/>
  <c r="Z1188" i="2"/>
  <c r="Y1188" i="2"/>
  <c r="X1188" i="2"/>
  <c r="W1188" i="2"/>
  <c r="V1188" i="2"/>
  <c r="U1188" i="2"/>
  <c r="R1188" i="2"/>
  <c r="Q1188" i="2"/>
  <c r="P1188" i="2"/>
  <c r="O1188" i="2"/>
  <c r="N1188" i="2"/>
  <c r="M1188" i="2"/>
  <c r="L1188" i="2"/>
  <c r="K1188" i="2"/>
  <c r="H1188" i="2"/>
  <c r="G1188" i="2"/>
  <c r="F1188" i="2"/>
  <c r="E1188" i="2"/>
  <c r="D1188" i="2"/>
  <c r="C1188" i="2"/>
  <c r="B1188" i="2"/>
  <c r="A1188" i="2"/>
  <c r="AG1187" i="2"/>
  <c r="AF1187" i="2"/>
  <c r="AE1187" i="2"/>
  <c r="AD1187" i="2"/>
  <c r="AC1187" i="2"/>
  <c r="AB1187" i="2"/>
  <c r="Z1187" i="2"/>
  <c r="Y1187" i="2"/>
  <c r="X1187" i="2"/>
  <c r="W1187" i="2"/>
  <c r="V1187" i="2"/>
  <c r="U1187" i="2"/>
  <c r="T1187" i="2"/>
  <c r="S1187" i="2"/>
  <c r="R1187" i="2"/>
  <c r="Q1187" i="2"/>
  <c r="P1187" i="2"/>
  <c r="O1187" i="2"/>
  <c r="N1187" i="2"/>
  <c r="M1187" i="2"/>
  <c r="L1187" i="2"/>
  <c r="K1187" i="2"/>
  <c r="H1187" i="2"/>
  <c r="G1187" i="2"/>
  <c r="F1187" i="2"/>
  <c r="E1187" i="2"/>
  <c r="D1187" i="2"/>
  <c r="C1187" i="2"/>
  <c r="B1187" i="2"/>
  <c r="A1187" i="2"/>
  <c r="AG1186" i="2"/>
  <c r="AF1186" i="2"/>
  <c r="AD1186" i="2"/>
  <c r="AC1186" i="2"/>
  <c r="AB1186" i="2"/>
  <c r="Z1186" i="2"/>
  <c r="Y1186" i="2"/>
  <c r="X1186" i="2"/>
  <c r="W1186" i="2"/>
  <c r="V1186" i="2"/>
  <c r="U1186" i="2"/>
  <c r="T1186" i="2"/>
  <c r="S1186" i="2"/>
  <c r="R1186" i="2"/>
  <c r="Q1186" i="2"/>
  <c r="P1186" i="2"/>
  <c r="O1186" i="2"/>
  <c r="N1186" i="2"/>
  <c r="M1186" i="2"/>
  <c r="L1186" i="2"/>
  <c r="K1186" i="2"/>
  <c r="H1186" i="2"/>
  <c r="G1186" i="2"/>
  <c r="F1186" i="2"/>
  <c r="E1186" i="2"/>
  <c r="D1186" i="2"/>
  <c r="C1186" i="2"/>
  <c r="B1186" i="2"/>
  <c r="A1186" i="2"/>
  <c r="AG1185" i="2"/>
  <c r="AF1185" i="2"/>
  <c r="AE1185" i="2"/>
  <c r="AD1185" i="2"/>
  <c r="AC1185" i="2"/>
  <c r="AB1185" i="2"/>
  <c r="Z1185" i="2"/>
  <c r="X1185" i="2"/>
  <c r="W1185" i="2"/>
  <c r="V1185" i="2"/>
  <c r="U1185" i="2"/>
  <c r="T1185" i="2"/>
  <c r="S1185" i="2"/>
  <c r="R1185" i="2"/>
  <c r="Q1185" i="2"/>
  <c r="P1185" i="2"/>
  <c r="O1185" i="2"/>
  <c r="N1185" i="2"/>
  <c r="M1185" i="2"/>
  <c r="L1185" i="2"/>
  <c r="K1185" i="2"/>
  <c r="H1185" i="2"/>
  <c r="G1185" i="2"/>
  <c r="F1185" i="2"/>
  <c r="E1185" i="2"/>
  <c r="D1185" i="2"/>
  <c r="C1185" i="2"/>
  <c r="B1185" i="2"/>
  <c r="A1185" i="2"/>
  <c r="AG1184" i="2"/>
  <c r="AF1184" i="2"/>
  <c r="AD1184" i="2"/>
  <c r="AC1184" i="2"/>
  <c r="AB1184" i="2"/>
  <c r="Z1184" i="2"/>
  <c r="Y1184" i="2"/>
  <c r="X1184" i="2"/>
  <c r="W1184" i="2"/>
  <c r="V1184" i="2"/>
  <c r="U1184" i="2"/>
  <c r="T1184" i="2"/>
  <c r="S1184" i="2"/>
  <c r="R1184" i="2"/>
  <c r="Q1184" i="2"/>
  <c r="P1184" i="2"/>
  <c r="O1184" i="2"/>
  <c r="N1184" i="2"/>
  <c r="M1184" i="2"/>
  <c r="L1184" i="2"/>
  <c r="K1184" i="2"/>
  <c r="H1184" i="2"/>
  <c r="G1184" i="2"/>
  <c r="F1184" i="2"/>
  <c r="E1184" i="2"/>
  <c r="D1184" i="2"/>
  <c r="C1184" i="2"/>
  <c r="B1184" i="2"/>
  <c r="A1184" i="2"/>
  <c r="AG1183" i="2"/>
  <c r="AF1183" i="2"/>
  <c r="AD1183" i="2"/>
  <c r="AC1183" i="2"/>
  <c r="AB1183" i="2"/>
  <c r="Z1183" i="2"/>
  <c r="Y1183" i="2"/>
  <c r="X1183" i="2"/>
  <c r="W1183" i="2"/>
  <c r="V1183" i="2"/>
  <c r="U1183" i="2"/>
  <c r="T1183" i="2"/>
  <c r="S1183" i="2"/>
  <c r="R1183" i="2"/>
  <c r="Q1183" i="2"/>
  <c r="P1183" i="2"/>
  <c r="O1183" i="2"/>
  <c r="N1183" i="2"/>
  <c r="M1183" i="2"/>
  <c r="L1183" i="2"/>
  <c r="K1183" i="2"/>
  <c r="H1183" i="2"/>
  <c r="G1183" i="2"/>
  <c r="F1183" i="2"/>
  <c r="E1183" i="2"/>
  <c r="D1183" i="2"/>
  <c r="C1183" i="2"/>
  <c r="B1183" i="2"/>
  <c r="A1183" i="2"/>
  <c r="AG1182" i="2"/>
  <c r="AF1182" i="2"/>
  <c r="AE1182" i="2"/>
  <c r="AD1182" i="2"/>
  <c r="AC1182" i="2"/>
  <c r="AB1182" i="2"/>
  <c r="Z1182" i="2"/>
  <c r="Y1182" i="2"/>
  <c r="X1182" i="2"/>
  <c r="W1182" i="2"/>
  <c r="V1182" i="2"/>
  <c r="U1182" i="2"/>
  <c r="T1182" i="2"/>
  <c r="S1182" i="2"/>
  <c r="R1182" i="2"/>
  <c r="Q1182" i="2"/>
  <c r="P1182" i="2"/>
  <c r="O1182" i="2"/>
  <c r="N1182" i="2"/>
  <c r="M1182" i="2"/>
  <c r="L1182" i="2"/>
  <c r="K1182" i="2"/>
  <c r="H1182" i="2"/>
  <c r="G1182" i="2"/>
  <c r="F1182" i="2"/>
  <c r="E1182" i="2"/>
  <c r="D1182" i="2"/>
  <c r="C1182" i="2"/>
  <c r="B1182" i="2"/>
  <c r="A1182" i="2"/>
  <c r="AF1181" i="2"/>
  <c r="AE1181" i="2"/>
  <c r="AD1181" i="2"/>
  <c r="AC1181" i="2"/>
  <c r="AB1181" i="2"/>
  <c r="AA1181" i="2"/>
  <c r="Z1181" i="2"/>
  <c r="X1181" i="2"/>
  <c r="W1181" i="2"/>
  <c r="V1181" i="2"/>
  <c r="U1181" i="2"/>
  <c r="R1181" i="2"/>
  <c r="Q1181" i="2"/>
  <c r="P1181" i="2"/>
  <c r="O1181" i="2"/>
  <c r="N1181" i="2"/>
  <c r="M1181" i="2"/>
  <c r="L1181" i="2"/>
  <c r="K1181" i="2"/>
  <c r="H1181" i="2"/>
  <c r="G1181" i="2"/>
  <c r="F1181" i="2"/>
  <c r="E1181" i="2"/>
  <c r="D1181" i="2"/>
  <c r="C1181" i="2"/>
  <c r="B1181" i="2"/>
  <c r="A1181" i="2"/>
  <c r="AH1180" i="2"/>
  <c r="AG1180" i="2"/>
  <c r="AF1180" i="2"/>
  <c r="AD1180" i="2"/>
  <c r="AC1180" i="2"/>
  <c r="AB1180" i="2"/>
  <c r="Z1180" i="2"/>
  <c r="X1180" i="2"/>
  <c r="W1180" i="2"/>
  <c r="V1180" i="2"/>
  <c r="U1180" i="2"/>
  <c r="T1180" i="2"/>
  <c r="S1180" i="2"/>
  <c r="R1180" i="2"/>
  <c r="Q1180" i="2"/>
  <c r="P1180" i="2"/>
  <c r="O1180" i="2"/>
  <c r="N1180" i="2"/>
  <c r="M1180" i="2"/>
  <c r="L1180" i="2"/>
  <c r="K1180" i="2"/>
  <c r="H1180" i="2"/>
  <c r="G1180" i="2"/>
  <c r="F1180" i="2"/>
  <c r="E1180" i="2"/>
  <c r="D1180" i="2"/>
  <c r="C1180" i="2"/>
  <c r="B1180" i="2"/>
  <c r="A1180" i="2"/>
  <c r="AG1179" i="2"/>
  <c r="AF1179" i="2"/>
  <c r="AE1179" i="2"/>
  <c r="AD1179" i="2"/>
  <c r="AC1179" i="2"/>
  <c r="AB1179" i="2"/>
  <c r="AA1179" i="2"/>
  <c r="Z1179" i="2"/>
  <c r="Y1179" i="2"/>
  <c r="X1179" i="2"/>
  <c r="W1179" i="2"/>
  <c r="V1179" i="2"/>
  <c r="U1179" i="2"/>
  <c r="T1179" i="2"/>
  <c r="S1179" i="2"/>
  <c r="R1179" i="2"/>
  <c r="Q1179" i="2"/>
  <c r="P1179" i="2"/>
  <c r="O1179" i="2"/>
  <c r="N1179" i="2"/>
  <c r="M1179" i="2"/>
  <c r="L1179" i="2"/>
  <c r="K1179" i="2"/>
  <c r="H1179" i="2"/>
  <c r="G1179" i="2"/>
  <c r="F1179" i="2"/>
  <c r="E1179" i="2"/>
  <c r="D1179" i="2"/>
  <c r="C1179" i="2"/>
  <c r="B1179" i="2"/>
  <c r="A1179" i="2"/>
  <c r="AG1178" i="2"/>
  <c r="AF1178" i="2"/>
  <c r="AE1178" i="2"/>
  <c r="AD1178" i="2"/>
  <c r="AC1178" i="2"/>
  <c r="AB1178" i="2"/>
  <c r="Z1178" i="2"/>
  <c r="Y1178" i="2"/>
  <c r="X1178" i="2"/>
  <c r="W1178" i="2"/>
  <c r="V1178" i="2"/>
  <c r="U1178" i="2"/>
  <c r="T1178" i="2"/>
  <c r="S1178" i="2"/>
  <c r="R1178" i="2"/>
  <c r="Q1178" i="2"/>
  <c r="P1178" i="2"/>
  <c r="O1178" i="2"/>
  <c r="N1178" i="2"/>
  <c r="M1178" i="2"/>
  <c r="L1178" i="2"/>
  <c r="K1178" i="2"/>
  <c r="H1178" i="2"/>
  <c r="G1178" i="2"/>
  <c r="F1178" i="2"/>
  <c r="E1178" i="2"/>
  <c r="D1178" i="2"/>
  <c r="C1178" i="2"/>
  <c r="B1178" i="2"/>
  <c r="A1178" i="2"/>
  <c r="AG1177" i="2"/>
  <c r="AF1177" i="2"/>
  <c r="AE1177" i="2"/>
  <c r="AD1177" i="2"/>
  <c r="AC1177" i="2"/>
  <c r="AB1177" i="2"/>
  <c r="AA1177" i="2"/>
  <c r="Z1177" i="2"/>
  <c r="Y1177" i="2"/>
  <c r="X1177" i="2"/>
  <c r="W1177" i="2"/>
  <c r="V1177" i="2"/>
  <c r="U1177" i="2"/>
  <c r="T1177" i="2"/>
  <c r="S1177" i="2"/>
  <c r="R1177" i="2"/>
  <c r="Q1177" i="2"/>
  <c r="P1177" i="2"/>
  <c r="O1177" i="2"/>
  <c r="N1177" i="2"/>
  <c r="M1177" i="2"/>
  <c r="L1177" i="2"/>
  <c r="K1177" i="2"/>
  <c r="H1177" i="2"/>
  <c r="G1177" i="2"/>
  <c r="F1177" i="2"/>
  <c r="E1177" i="2"/>
  <c r="D1177" i="2"/>
  <c r="C1177" i="2"/>
  <c r="B1177" i="2"/>
  <c r="A1177" i="2"/>
  <c r="AG1176" i="2"/>
  <c r="AF1176" i="2"/>
  <c r="AE1176" i="2"/>
  <c r="AD1176" i="2"/>
  <c r="AC1176" i="2"/>
  <c r="AB1176" i="2"/>
  <c r="Z1176" i="2"/>
  <c r="Y1176" i="2"/>
  <c r="X1176" i="2"/>
  <c r="W1176" i="2"/>
  <c r="V1176" i="2"/>
  <c r="U1176" i="2"/>
  <c r="T1176" i="2"/>
  <c r="S1176" i="2"/>
  <c r="R1176" i="2"/>
  <c r="Q1176" i="2"/>
  <c r="P1176" i="2"/>
  <c r="O1176" i="2"/>
  <c r="N1176" i="2"/>
  <c r="M1176" i="2"/>
  <c r="L1176" i="2"/>
  <c r="K1176" i="2"/>
  <c r="H1176" i="2"/>
  <c r="G1176" i="2"/>
  <c r="F1176" i="2"/>
  <c r="E1176" i="2"/>
  <c r="D1176" i="2"/>
  <c r="C1176" i="2"/>
  <c r="B1176" i="2"/>
  <c r="A1176" i="2"/>
  <c r="AG1175" i="2"/>
  <c r="AF1175" i="2"/>
  <c r="AE1175" i="2"/>
  <c r="AD1175" i="2"/>
  <c r="AC1175" i="2"/>
  <c r="AB1175" i="2"/>
  <c r="AA1175" i="2"/>
  <c r="Z1175" i="2"/>
  <c r="X1175" i="2"/>
  <c r="W1175" i="2"/>
  <c r="V1175" i="2"/>
  <c r="U1175" i="2"/>
  <c r="T1175" i="2"/>
  <c r="S1175" i="2"/>
  <c r="R1175" i="2"/>
  <c r="Q1175" i="2"/>
  <c r="P1175" i="2"/>
  <c r="O1175" i="2"/>
  <c r="N1175" i="2"/>
  <c r="M1175" i="2"/>
  <c r="L1175" i="2"/>
  <c r="K1175" i="2"/>
  <c r="H1175" i="2"/>
  <c r="G1175" i="2"/>
  <c r="F1175" i="2"/>
  <c r="E1175" i="2"/>
  <c r="D1175" i="2"/>
  <c r="C1175" i="2"/>
  <c r="B1175" i="2"/>
  <c r="A1175" i="2"/>
  <c r="AG1174" i="2"/>
  <c r="AF1174" i="2"/>
  <c r="AE1174" i="2"/>
  <c r="AD1174" i="2"/>
  <c r="AC1174" i="2"/>
  <c r="AB1174" i="2"/>
  <c r="AA1174" i="2"/>
  <c r="Z1174" i="2"/>
  <c r="Y1174" i="2"/>
  <c r="X1174" i="2"/>
  <c r="W1174" i="2"/>
  <c r="V1174" i="2"/>
  <c r="U1174" i="2"/>
  <c r="R1174" i="2"/>
  <c r="Q1174" i="2"/>
  <c r="P1174" i="2"/>
  <c r="O1174" i="2"/>
  <c r="N1174" i="2"/>
  <c r="M1174" i="2"/>
  <c r="L1174" i="2"/>
  <c r="K1174" i="2"/>
  <c r="H1174" i="2"/>
  <c r="G1174" i="2"/>
  <c r="F1174" i="2"/>
  <c r="E1174" i="2"/>
  <c r="D1174" i="2"/>
  <c r="C1174" i="2"/>
  <c r="B1174" i="2"/>
  <c r="A1174" i="2"/>
  <c r="AG1173" i="2"/>
  <c r="AF1173" i="2"/>
  <c r="AE1173" i="2"/>
  <c r="AD1173" i="2"/>
  <c r="AC1173" i="2"/>
  <c r="AB1173" i="2"/>
  <c r="Z1173" i="2"/>
  <c r="Y1173" i="2"/>
  <c r="X1173" i="2"/>
  <c r="W1173" i="2"/>
  <c r="V1173" i="2"/>
  <c r="U1173" i="2"/>
  <c r="T1173" i="2"/>
  <c r="S1173" i="2"/>
  <c r="R1173" i="2"/>
  <c r="Q1173" i="2"/>
  <c r="P1173" i="2"/>
  <c r="O1173" i="2"/>
  <c r="N1173" i="2"/>
  <c r="M1173" i="2"/>
  <c r="L1173" i="2"/>
  <c r="K1173" i="2"/>
  <c r="H1173" i="2"/>
  <c r="G1173" i="2"/>
  <c r="F1173" i="2"/>
  <c r="E1173" i="2"/>
  <c r="D1173" i="2"/>
  <c r="C1173" i="2"/>
  <c r="B1173" i="2"/>
  <c r="A1173" i="2"/>
  <c r="AG1172" i="2"/>
  <c r="AF1172" i="2"/>
  <c r="AE1172" i="2"/>
  <c r="AD1172" i="2"/>
  <c r="AC1172" i="2"/>
  <c r="AB1172" i="2"/>
  <c r="Z1172" i="2"/>
  <c r="Y1172" i="2"/>
  <c r="X1172" i="2"/>
  <c r="W1172" i="2"/>
  <c r="V1172" i="2"/>
  <c r="U1172" i="2"/>
  <c r="R1172" i="2"/>
  <c r="Q1172" i="2"/>
  <c r="P1172" i="2"/>
  <c r="O1172" i="2"/>
  <c r="N1172" i="2"/>
  <c r="M1172" i="2"/>
  <c r="L1172" i="2"/>
  <c r="K1172" i="2"/>
  <c r="H1172" i="2"/>
  <c r="G1172" i="2"/>
  <c r="F1172" i="2"/>
  <c r="E1172" i="2"/>
  <c r="D1172" i="2"/>
  <c r="C1172" i="2"/>
  <c r="B1172" i="2"/>
  <c r="A1172" i="2"/>
  <c r="AG1171" i="2"/>
  <c r="AF1171" i="2"/>
  <c r="AE1171" i="2"/>
  <c r="AD1171" i="2"/>
  <c r="AC1171" i="2"/>
  <c r="AB1171" i="2"/>
  <c r="Z1171" i="2"/>
  <c r="X1171" i="2"/>
  <c r="W1171" i="2"/>
  <c r="V1171" i="2"/>
  <c r="S1171" i="2"/>
  <c r="R1171" i="2"/>
  <c r="Q1171" i="2"/>
  <c r="P1171" i="2"/>
  <c r="O1171" i="2"/>
  <c r="N1171" i="2"/>
  <c r="M1171" i="2"/>
  <c r="L1171" i="2"/>
  <c r="K1171" i="2"/>
  <c r="H1171" i="2"/>
  <c r="G1171" i="2"/>
  <c r="F1171" i="2"/>
  <c r="E1171" i="2"/>
  <c r="D1171" i="2"/>
  <c r="C1171" i="2"/>
  <c r="B1171" i="2"/>
  <c r="A1171" i="2"/>
  <c r="AG1170" i="2"/>
  <c r="AF1170" i="2"/>
  <c r="AE1170" i="2"/>
  <c r="AD1170" i="2"/>
  <c r="AC1170" i="2"/>
  <c r="AB1170" i="2"/>
  <c r="Z1170" i="2"/>
  <c r="X1170" i="2"/>
  <c r="W1170" i="2"/>
  <c r="V1170" i="2"/>
  <c r="U1170" i="2"/>
  <c r="S1170" i="2"/>
  <c r="R1170" i="2"/>
  <c r="Q1170" i="2"/>
  <c r="P1170" i="2"/>
  <c r="O1170" i="2"/>
  <c r="N1170" i="2"/>
  <c r="M1170" i="2"/>
  <c r="L1170" i="2"/>
  <c r="K1170" i="2"/>
  <c r="H1170" i="2"/>
  <c r="G1170" i="2"/>
  <c r="F1170" i="2"/>
  <c r="E1170" i="2"/>
  <c r="D1170" i="2"/>
  <c r="C1170" i="2"/>
  <c r="B1170" i="2"/>
  <c r="A1170" i="2"/>
  <c r="AG1169" i="2"/>
  <c r="AF1169" i="2"/>
  <c r="AD1169" i="2"/>
  <c r="AC1169" i="2"/>
  <c r="AB1169" i="2"/>
  <c r="AA1169" i="2"/>
  <c r="Z1169" i="2"/>
  <c r="Y1169" i="2"/>
  <c r="X1169" i="2"/>
  <c r="W1169" i="2"/>
  <c r="V1169" i="2"/>
  <c r="U1169" i="2"/>
  <c r="T1169" i="2"/>
  <c r="S1169" i="2"/>
  <c r="R1169" i="2"/>
  <c r="Q1169" i="2"/>
  <c r="P1169" i="2"/>
  <c r="O1169" i="2"/>
  <c r="N1169" i="2"/>
  <c r="M1169" i="2"/>
  <c r="L1169" i="2"/>
  <c r="K1169" i="2"/>
  <c r="H1169" i="2"/>
  <c r="G1169" i="2"/>
  <c r="F1169" i="2"/>
  <c r="E1169" i="2"/>
  <c r="D1169" i="2"/>
  <c r="C1169" i="2"/>
  <c r="B1169" i="2"/>
  <c r="A1169" i="2"/>
  <c r="AG1168" i="2"/>
  <c r="AF1168" i="2"/>
  <c r="AE1168" i="2"/>
  <c r="AD1168" i="2"/>
  <c r="AC1168" i="2"/>
  <c r="AB1168" i="2"/>
  <c r="Z1168" i="2"/>
  <c r="Y1168" i="2"/>
  <c r="X1168" i="2"/>
  <c r="W1168" i="2"/>
  <c r="V1168" i="2"/>
  <c r="U1168" i="2"/>
  <c r="T1168" i="2"/>
  <c r="S1168" i="2"/>
  <c r="R1168" i="2"/>
  <c r="Q1168" i="2"/>
  <c r="P1168" i="2"/>
  <c r="O1168" i="2"/>
  <c r="N1168" i="2"/>
  <c r="M1168" i="2"/>
  <c r="L1168" i="2"/>
  <c r="K1168" i="2"/>
  <c r="H1168" i="2"/>
  <c r="G1168" i="2"/>
  <c r="F1168" i="2"/>
  <c r="E1168" i="2"/>
  <c r="D1168" i="2"/>
  <c r="C1168" i="2"/>
  <c r="B1168" i="2"/>
  <c r="A1168" i="2"/>
  <c r="AG1167" i="2"/>
  <c r="AF1167" i="2"/>
  <c r="AE1167" i="2"/>
  <c r="AD1167" i="2"/>
  <c r="AC1167" i="2"/>
  <c r="AB1167" i="2"/>
  <c r="Z1167" i="2"/>
  <c r="Y1167" i="2"/>
  <c r="X1167" i="2"/>
  <c r="W1167" i="2"/>
  <c r="V1167" i="2"/>
  <c r="U1167" i="2"/>
  <c r="T1167" i="2"/>
  <c r="S1167" i="2"/>
  <c r="R1167" i="2"/>
  <c r="Q1167" i="2"/>
  <c r="P1167" i="2"/>
  <c r="O1167" i="2"/>
  <c r="N1167" i="2"/>
  <c r="M1167" i="2"/>
  <c r="L1167" i="2"/>
  <c r="K1167" i="2"/>
  <c r="H1167" i="2"/>
  <c r="G1167" i="2"/>
  <c r="F1167" i="2"/>
  <c r="E1167" i="2"/>
  <c r="D1167" i="2"/>
  <c r="C1167" i="2"/>
  <c r="B1167" i="2"/>
  <c r="A1167" i="2"/>
  <c r="AG1166" i="2"/>
  <c r="AF1166" i="2"/>
  <c r="AE1166" i="2"/>
  <c r="AD1166" i="2"/>
  <c r="AC1166" i="2"/>
  <c r="AB1166" i="2"/>
  <c r="Z1166" i="2"/>
  <c r="Y1166" i="2"/>
  <c r="X1166" i="2"/>
  <c r="W1166" i="2"/>
  <c r="V1166" i="2"/>
  <c r="U1166" i="2"/>
  <c r="T1166" i="2"/>
  <c r="S1166" i="2"/>
  <c r="R1166" i="2"/>
  <c r="Q1166" i="2"/>
  <c r="P1166" i="2"/>
  <c r="O1166" i="2"/>
  <c r="N1166" i="2"/>
  <c r="M1166" i="2"/>
  <c r="L1166" i="2"/>
  <c r="K1166" i="2"/>
  <c r="H1166" i="2"/>
  <c r="G1166" i="2"/>
  <c r="F1166" i="2"/>
  <c r="E1166" i="2"/>
  <c r="D1166" i="2"/>
  <c r="C1166" i="2"/>
  <c r="B1166" i="2"/>
  <c r="A1166" i="2"/>
  <c r="AG1165" i="2"/>
  <c r="AF1165" i="2"/>
  <c r="AE1165" i="2"/>
  <c r="AD1165" i="2"/>
  <c r="AC1165" i="2"/>
  <c r="AB1165" i="2"/>
  <c r="AA1165" i="2"/>
  <c r="Z1165" i="2"/>
  <c r="Y1165" i="2"/>
  <c r="X1165" i="2"/>
  <c r="W1165" i="2"/>
  <c r="V1165" i="2"/>
  <c r="U1165" i="2"/>
  <c r="T1165" i="2"/>
  <c r="S1165" i="2"/>
  <c r="R1165" i="2"/>
  <c r="Q1165" i="2"/>
  <c r="P1165" i="2"/>
  <c r="O1165" i="2"/>
  <c r="N1165" i="2"/>
  <c r="M1165" i="2"/>
  <c r="L1165" i="2"/>
  <c r="K1165" i="2"/>
  <c r="H1165" i="2"/>
  <c r="G1165" i="2"/>
  <c r="F1165" i="2"/>
  <c r="E1165" i="2"/>
  <c r="D1165" i="2"/>
  <c r="C1165" i="2"/>
  <c r="B1165" i="2"/>
  <c r="A1165" i="2"/>
  <c r="AG1164" i="2"/>
  <c r="AF1164" i="2"/>
  <c r="AE1164" i="2"/>
  <c r="AD1164" i="2"/>
  <c r="AC1164" i="2"/>
  <c r="AB1164" i="2"/>
  <c r="Z1164" i="2"/>
  <c r="Y1164" i="2"/>
  <c r="X1164" i="2"/>
  <c r="W1164" i="2"/>
  <c r="V1164" i="2"/>
  <c r="U1164" i="2"/>
  <c r="T1164" i="2"/>
  <c r="S1164" i="2"/>
  <c r="R1164" i="2"/>
  <c r="Q1164" i="2"/>
  <c r="P1164" i="2"/>
  <c r="O1164" i="2"/>
  <c r="N1164" i="2"/>
  <c r="M1164" i="2"/>
  <c r="L1164" i="2"/>
  <c r="K1164" i="2"/>
  <c r="H1164" i="2"/>
  <c r="G1164" i="2"/>
  <c r="F1164" i="2"/>
  <c r="E1164" i="2"/>
  <c r="D1164" i="2"/>
  <c r="C1164" i="2"/>
  <c r="B1164" i="2"/>
  <c r="A1164" i="2"/>
  <c r="AG1163" i="2"/>
  <c r="AF1163" i="2"/>
  <c r="AE1163" i="2"/>
  <c r="AD1163" i="2"/>
  <c r="AC1163" i="2"/>
  <c r="AB1163" i="2"/>
  <c r="Z1163" i="2"/>
  <c r="Y1163" i="2"/>
  <c r="X1163" i="2"/>
  <c r="W1163" i="2"/>
  <c r="V1163" i="2"/>
  <c r="U1163" i="2"/>
  <c r="R1163" i="2"/>
  <c r="Q1163" i="2"/>
  <c r="P1163" i="2"/>
  <c r="O1163" i="2"/>
  <c r="N1163" i="2"/>
  <c r="M1163" i="2"/>
  <c r="L1163" i="2"/>
  <c r="K1163" i="2"/>
  <c r="H1163" i="2"/>
  <c r="G1163" i="2"/>
  <c r="F1163" i="2"/>
  <c r="E1163" i="2"/>
  <c r="D1163" i="2"/>
  <c r="C1163" i="2"/>
  <c r="B1163" i="2"/>
  <c r="A1163" i="2"/>
  <c r="AG1162" i="2"/>
  <c r="AF1162" i="2"/>
  <c r="AE1162" i="2"/>
  <c r="AD1162" i="2"/>
  <c r="AC1162" i="2"/>
  <c r="AB1162" i="2"/>
  <c r="Z1162" i="2"/>
  <c r="Y1162" i="2"/>
  <c r="X1162" i="2"/>
  <c r="W1162" i="2"/>
  <c r="V1162" i="2"/>
  <c r="U1162" i="2"/>
  <c r="T1162" i="2"/>
  <c r="S1162" i="2"/>
  <c r="R1162" i="2"/>
  <c r="Q1162" i="2"/>
  <c r="P1162" i="2"/>
  <c r="O1162" i="2"/>
  <c r="N1162" i="2"/>
  <c r="M1162" i="2"/>
  <c r="L1162" i="2"/>
  <c r="K1162" i="2"/>
  <c r="H1162" i="2"/>
  <c r="G1162" i="2"/>
  <c r="F1162" i="2"/>
  <c r="E1162" i="2"/>
  <c r="D1162" i="2"/>
  <c r="C1162" i="2"/>
  <c r="B1162" i="2"/>
  <c r="A1162" i="2"/>
  <c r="AH1161" i="2"/>
  <c r="AG1161" i="2"/>
  <c r="AF1161" i="2"/>
  <c r="AE1161" i="2"/>
  <c r="AD1161" i="2"/>
  <c r="AC1161" i="2"/>
  <c r="AB1161" i="2"/>
  <c r="Z1161" i="2"/>
  <c r="Y1161" i="2"/>
  <c r="X1161" i="2"/>
  <c r="W1161" i="2"/>
  <c r="V1161" i="2"/>
  <c r="T1161" i="2"/>
  <c r="S1161" i="2"/>
  <c r="R1161" i="2"/>
  <c r="Q1161" i="2"/>
  <c r="P1161" i="2"/>
  <c r="O1161" i="2"/>
  <c r="N1161" i="2"/>
  <c r="M1161" i="2"/>
  <c r="L1161" i="2"/>
  <c r="K1161" i="2"/>
  <c r="H1161" i="2"/>
  <c r="G1161" i="2"/>
  <c r="F1161" i="2"/>
  <c r="E1161" i="2"/>
  <c r="D1161" i="2"/>
  <c r="C1161" i="2"/>
  <c r="B1161" i="2"/>
  <c r="A1161" i="2"/>
  <c r="AG1160" i="2"/>
  <c r="AF1160" i="2"/>
  <c r="AE1160" i="2"/>
  <c r="AD1160" i="2"/>
  <c r="AC1160" i="2"/>
  <c r="AB1160" i="2"/>
  <c r="Z1160" i="2"/>
  <c r="Y1160" i="2"/>
  <c r="X1160" i="2"/>
  <c r="W1160" i="2"/>
  <c r="V1160" i="2"/>
  <c r="R1160" i="2"/>
  <c r="Q1160" i="2"/>
  <c r="P1160" i="2"/>
  <c r="O1160" i="2"/>
  <c r="N1160" i="2"/>
  <c r="M1160" i="2"/>
  <c r="L1160" i="2"/>
  <c r="K1160" i="2"/>
  <c r="H1160" i="2"/>
  <c r="G1160" i="2"/>
  <c r="F1160" i="2"/>
  <c r="E1160" i="2"/>
  <c r="D1160" i="2"/>
  <c r="C1160" i="2"/>
  <c r="B1160" i="2"/>
  <c r="A1160" i="2"/>
  <c r="AG1159" i="2"/>
  <c r="AF1159" i="2"/>
  <c r="AE1159" i="2"/>
  <c r="AD1159" i="2"/>
  <c r="AC1159" i="2"/>
  <c r="AB1159" i="2"/>
  <c r="Z1159" i="2"/>
  <c r="X1159" i="2"/>
  <c r="W1159" i="2"/>
  <c r="V1159" i="2"/>
  <c r="U1159" i="2"/>
  <c r="T1159" i="2"/>
  <c r="S1159" i="2"/>
  <c r="R1159" i="2"/>
  <c r="Q1159" i="2"/>
  <c r="P1159" i="2"/>
  <c r="O1159" i="2"/>
  <c r="N1159" i="2"/>
  <c r="M1159" i="2"/>
  <c r="L1159" i="2"/>
  <c r="K1159" i="2"/>
  <c r="H1159" i="2"/>
  <c r="G1159" i="2"/>
  <c r="F1159" i="2"/>
  <c r="E1159" i="2"/>
  <c r="D1159" i="2"/>
  <c r="C1159" i="2"/>
  <c r="B1159" i="2"/>
  <c r="A1159" i="2"/>
  <c r="AG1158" i="2"/>
  <c r="AF1158" i="2"/>
  <c r="AE1158" i="2"/>
  <c r="AD1158" i="2"/>
  <c r="AC1158" i="2"/>
  <c r="AB1158" i="2"/>
  <c r="Z1158" i="2"/>
  <c r="Y1158" i="2"/>
  <c r="X1158" i="2"/>
  <c r="W1158" i="2"/>
  <c r="V1158" i="2"/>
  <c r="U1158" i="2"/>
  <c r="T1158" i="2"/>
  <c r="S1158" i="2"/>
  <c r="R1158" i="2"/>
  <c r="Q1158" i="2"/>
  <c r="P1158" i="2"/>
  <c r="O1158" i="2"/>
  <c r="N1158" i="2"/>
  <c r="M1158" i="2"/>
  <c r="L1158" i="2"/>
  <c r="K1158" i="2"/>
  <c r="H1158" i="2"/>
  <c r="G1158" i="2"/>
  <c r="F1158" i="2"/>
  <c r="E1158" i="2"/>
  <c r="D1158" i="2"/>
  <c r="C1158" i="2"/>
  <c r="B1158" i="2"/>
  <c r="A1158" i="2"/>
  <c r="AG1157" i="2"/>
  <c r="AF1157" i="2"/>
  <c r="AE1157" i="2"/>
  <c r="AD1157" i="2"/>
  <c r="AC1157" i="2"/>
  <c r="AB1157" i="2"/>
  <c r="X1157" i="2"/>
  <c r="W1157" i="2"/>
  <c r="V1157" i="2"/>
  <c r="U1157" i="2"/>
  <c r="R1157" i="2"/>
  <c r="Q1157" i="2"/>
  <c r="P1157" i="2"/>
  <c r="O1157" i="2"/>
  <c r="N1157" i="2"/>
  <c r="M1157" i="2"/>
  <c r="L1157" i="2"/>
  <c r="K1157" i="2"/>
  <c r="H1157" i="2"/>
  <c r="G1157" i="2"/>
  <c r="F1157" i="2"/>
  <c r="E1157" i="2"/>
  <c r="D1157" i="2"/>
  <c r="C1157" i="2"/>
  <c r="B1157" i="2"/>
  <c r="A1157" i="2"/>
  <c r="AG1156" i="2"/>
  <c r="AF1156" i="2"/>
  <c r="AE1156" i="2"/>
  <c r="AD1156" i="2"/>
  <c r="AC1156" i="2"/>
  <c r="AB1156" i="2"/>
  <c r="AA1156" i="2"/>
  <c r="Z1156" i="2"/>
  <c r="X1156" i="2"/>
  <c r="W1156" i="2"/>
  <c r="V1156" i="2"/>
  <c r="U1156" i="2"/>
  <c r="S1156" i="2"/>
  <c r="R1156" i="2"/>
  <c r="Q1156" i="2"/>
  <c r="P1156" i="2"/>
  <c r="O1156" i="2"/>
  <c r="N1156" i="2"/>
  <c r="M1156" i="2"/>
  <c r="L1156" i="2"/>
  <c r="K1156" i="2"/>
  <c r="H1156" i="2"/>
  <c r="G1156" i="2"/>
  <c r="F1156" i="2"/>
  <c r="E1156" i="2"/>
  <c r="D1156" i="2"/>
  <c r="C1156" i="2"/>
  <c r="B1156" i="2"/>
  <c r="A1156" i="2"/>
  <c r="AG1155" i="2"/>
  <c r="AF1155" i="2"/>
  <c r="AD1155" i="2"/>
  <c r="AC1155" i="2"/>
  <c r="AB1155" i="2"/>
  <c r="Z1155" i="2"/>
  <c r="X1155" i="2"/>
  <c r="W1155" i="2"/>
  <c r="V1155" i="2"/>
  <c r="U1155" i="2"/>
  <c r="T1155" i="2"/>
  <c r="S1155" i="2"/>
  <c r="R1155" i="2"/>
  <c r="Q1155" i="2"/>
  <c r="P1155" i="2"/>
  <c r="O1155" i="2"/>
  <c r="N1155" i="2"/>
  <c r="M1155" i="2"/>
  <c r="L1155" i="2"/>
  <c r="K1155" i="2"/>
  <c r="H1155" i="2"/>
  <c r="G1155" i="2"/>
  <c r="F1155" i="2"/>
  <c r="E1155" i="2"/>
  <c r="D1155" i="2"/>
  <c r="C1155" i="2"/>
  <c r="B1155" i="2"/>
  <c r="A1155" i="2"/>
  <c r="AG1154" i="2"/>
  <c r="AF1154" i="2"/>
  <c r="AE1154" i="2"/>
  <c r="AD1154" i="2"/>
  <c r="AC1154" i="2"/>
  <c r="AB1154" i="2"/>
  <c r="Z1154" i="2"/>
  <c r="Y1154" i="2"/>
  <c r="X1154" i="2"/>
  <c r="W1154" i="2"/>
  <c r="V1154" i="2"/>
  <c r="U1154" i="2"/>
  <c r="T1154" i="2"/>
  <c r="S1154" i="2"/>
  <c r="R1154" i="2"/>
  <c r="Q1154" i="2"/>
  <c r="P1154" i="2"/>
  <c r="O1154" i="2"/>
  <c r="N1154" i="2"/>
  <c r="M1154" i="2"/>
  <c r="L1154" i="2"/>
  <c r="K1154" i="2"/>
  <c r="H1154" i="2"/>
  <c r="G1154" i="2"/>
  <c r="F1154" i="2"/>
  <c r="E1154" i="2"/>
  <c r="D1154" i="2"/>
  <c r="C1154" i="2"/>
  <c r="B1154" i="2"/>
  <c r="A1154" i="2"/>
  <c r="AG1153" i="2"/>
  <c r="AF1153" i="2"/>
  <c r="AE1153" i="2"/>
  <c r="AD1153" i="2"/>
  <c r="AC1153" i="2"/>
  <c r="AB1153" i="2"/>
  <c r="Z1153" i="2"/>
  <c r="X1153" i="2"/>
  <c r="W1153" i="2"/>
  <c r="V1153" i="2"/>
  <c r="U1153" i="2"/>
  <c r="R1153" i="2"/>
  <c r="Q1153" i="2"/>
  <c r="P1153" i="2"/>
  <c r="O1153" i="2"/>
  <c r="N1153" i="2"/>
  <c r="M1153" i="2"/>
  <c r="L1153" i="2"/>
  <c r="K1153" i="2"/>
  <c r="H1153" i="2"/>
  <c r="G1153" i="2"/>
  <c r="F1153" i="2"/>
  <c r="E1153" i="2"/>
  <c r="D1153" i="2"/>
  <c r="C1153" i="2"/>
  <c r="B1153" i="2"/>
  <c r="A1153" i="2"/>
  <c r="AG1152" i="2"/>
  <c r="AF1152" i="2"/>
  <c r="AE1152" i="2"/>
  <c r="AD1152" i="2"/>
  <c r="AC1152" i="2"/>
  <c r="AB1152" i="2"/>
  <c r="Z1152" i="2"/>
  <c r="X1152" i="2"/>
  <c r="W1152" i="2"/>
  <c r="V1152" i="2"/>
  <c r="U1152" i="2"/>
  <c r="R1152" i="2"/>
  <c r="Q1152" i="2"/>
  <c r="P1152" i="2"/>
  <c r="O1152" i="2"/>
  <c r="N1152" i="2"/>
  <c r="M1152" i="2"/>
  <c r="L1152" i="2"/>
  <c r="K1152" i="2"/>
  <c r="H1152" i="2"/>
  <c r="G1152" i="2"/>
  <c r="F1152" i="2"/>
  <c r="E1152" i="2"/>
  <c r="D1152" i="2"/>
  <c r="C1152" i="2"/>
  <c r="B1152" i="2"/>
  <c r="A1152" i="2"/>
  <c r="AG1151" i="2"/>
  <c r="AF1151" i="2"/>
  <c r="AE1151" i="2"/>
  <c r="AD1151" i="2"/>
  <c r="AC1151" i="2"/>
  <c r="AB1151" i="2"/>
  <c r="Z1151" i="2"/>
  <c r="Y1151" i="2"/>
  <c r="X1151" i="2"/>
  <c r="W1151" i="2"/>
  <c r="V1151" i="2"/>
  <c r="U1151" i="2"/>
  <c r="S1151" i="2"/>
  <c r="R1151" i="2"/>
  <c r="Q1151" i="2"/>
  <c r="P1151" i="2"/>
  <c r="O1151" i="2"/>
  <c r="N1151" i="2"/>
  <c r="M1151" i="2"/>
  <c r="L1151" i="2"/>
  <c r="K1151" i="2"/>
  <c r="H1151" i="2"/>
  <c r="G1151" i="2"/>
  <c r="F1151" i="2"/>
  <c r="E1151" i="2"/>
  <c r="D1151" i="2"/>
  <c r="C1151" i="2"/>
  <c r="B1151" i="2"/>
  <c r="A1151" i="2"/>
  <c r="AG1150" i="2"/>
  <c r="AF1150" i="2"/>
  <c r="AE1150" i="2"/>
  <c r="AD1150" i="2"/>
  <c r="AC1150" i="2"/>
  <c r="AB1150" i="2"/>
  <c r="AA1150" i="2"/>
  <c r="Z1150" i="2"/>
  <c r="Y1150" i="2"/>
  <c r="X1150" i="2"/>
  <c r="W1150" i="2"/>
  <c r="V1150" i="2"/>
  <c r="U1150" i="2"/>
  <c r="T1150" i="2"/>
  <c r="S1150" i="2"/>
  <c r="R1150" i="2"/>
  <c r="Q1150" i="2"/>
  <c r="P1150" i="2"/>
  <c r="O1150" i="2"/>
  <c r="N1150" i="2"/>
  <c r="M1150" i="2"/>
  <c r="L1150" i="2"/>
  <c r="K1150" i="2"/>
  <c r="H1150" i="2"/>
  <c r="G1150" i="2"/>
  <c r="F1150" i="2"/>
  <c r="E1150" i="2"/>
  <c r="D1150" i="2"/>
  <c r="C1150" i="2"/>
  <c r="B1150" i="2"/>
  <c r="A1150" i="2"/>
  <c r="AG1149" i="2"/>
  <c r="AF1149" i="2"/>
  <c r="AE1149" i="2"/>
  <c r="AD1149" i="2"/>
  <c r="AC1149" i="2"/>
  <c r="AB1149" i="2"/>
  <c r="AA1149" i="2"/>
  <c r="Z1149" i="2"/>
  <c r="X1149" i="2"/>
  <c r="W1149" i="2"/>
  <c r="V1149" i="2"/>
  <c r="U1149" i="2"/>
  <c r="T1149" i="2"/>
  <c r="S1149" i="2"/>
  <c r="R1149" i="2"/>
  <c r="Q1149" i="2"/>
  <c r="P1149" i="2"/>
  <c r="O1149" i="2"/>
  <c r="N1149" i="2"/>
  <c r="M1149" i="2"/>
  <c r="L1149" i="2"/>
  <c r="K1149" i="2"/>
  <c r="H1149" i="2"/>
  <c r="G1149" i="2"/>
  <c r="F1149" i="2"/>
  <c r="E1149" i="2"/>
  <c r="D1149" i="2"/>
  <c r="C1149" i="2"/>
  <c r="B1149" i="2"/>
  <c r="A1149" i="2"/>
  <c r="AG1148" i="2"/>
  <c r="AF1148" i="2"/>
  <c r="AE1148" i="2"/>
  <c r="AD1148" i="2"/>
  <c r="AC1148" i="2"/>
  <c r="AB1148" i="2"/>
  <c r="Z1148" i="2"/>
  <c r="Y1148" i="2"/>
  <c r="X1148" i="2"/>
  <c r="W1148" i="2"/>
  <c r="V1148" i="2"/>
  <c r="S1148" i="2"/>
  <c r="R1148" i="2"/>
  <c r="Q1148" i="2"/>
  <c r="P1148" i="2"/>
  <c r="O1148" i="2"/>
  <c r="N1148" i="2"/>
  <c r="M1148" i="2"/>
  <c r="L1148" i="2"/>
  <c r="K1148" i="2"/>
  <c r="H1148" i="2"/>
  <c r="G1148" i="2"/>
  <c r="F1148" i="2"/>
  <c r="E1148" i="2"/>
  <c r="D1148" i="2"/>
  <c r="C1148" i="2"/>
  <c r="B1148" i="2"/>
  <c r="A1148" i="2"/>
  <c r="AH1147" i="2"/>
  <c r="AG1147" i="2"/>
  <c r="AF1147" i="2"/>
  <c r="AD1147" i="2"/>
  <c r="AC1147" i="2"/>
  <c r="AB1147" i="2"/>
  <c r="Z1147" i="2"/>
  <c r="Y1147" i="2"/>
  <c r="X1147" i="2"/>
  <c r="W1147" i="2"/>
  <c r="V1147" i="2"/>
  <c r="U1147" i="2"/>
  <c r="T1147" i="2"/>
  <c r="S1147" i="2"/>
  <c r="R1147" i="2"/>
  <c r="Q1147" i="2"/>
  <c r="P1147" i="2"/>
  <c r="O1147" i="2"/>
  <c r="N1147" i="2"/>
  <c r="M1147" i="2"/>
  <c r="L1147" i="2"/>
  <c r="K1147" i="2"/>
  <c r="H1147" i="2"/>
  <c r="G1147" i="2"/>
  <c r="F1147" i="2"/>
  <c r="E1147" i="2"/>
  <c r="D1147" i="2"/>
  <c r="C1147" i="2"/>
  <c r="B1147" i="2"/>
  <c r="A1147" i="2"/>
  <c r="AH1146" i="2"/>
  <c r="AG1146" i="2"/>
  <c r="AD1146" i="2"/>
  <c r="AC1146" i="2"/>
  <c r="AB1146" i="2"/>
  <c r="X1146" i="2"/>
  <c r="W1146" i="2"/>
  <c r="V1146" i="2"/>
  <c r="U1146" i="2"/>
  <c r="T1146" i="2"/>
  <c r="S1146" i="2"/>
  <c r="R1146" i="2"/>
  <c r="Q1146" i="2"/>
  <c r="P1146" i="2"/>
  <c r="O1146" i="2"/>
  <c r="N1146" i="2"/>
  <c r="M1146" i="2"/>
  <c r="L1146" i="2"/>
  <c r="K1146" i="2"/>
  <c r="H1146" i="2"/>
  <c r="G1146" i="2"/>
  <c r="F1146" i="2"/>
  <c r="E1146" i="2"/>
  <c r="D1146" i="2"/>
  <c r="C1146" i="2"/>
  <c r="B1146" i="2"/>
  <c r="A1146" i="2"/>
  <c r="AD1145" i="2"/>
  <c r="AC1145" i="2"/>
  <c r="AB1145" i="2"/>
  <c r="Z1145" i="2"/>
  <c r="Y1145" i="2"/>
  <c r="X1145" i="2"/>
  <c r="W1145" i="2"/>
  <c r="V1145" i="2"/>
  <c r="U1145" i="2"/>
  <c r="T1145" i="2"/>
  <c r="S1145" i="2"/>
  <c r="R1145" i="2"/>
  <c r="Q1145" i="2"/>
  <c r="P1145" i="2"/>
  <c r="O1145" i="2"/>
  <c r="N1145" i="2"/>
  <c r="M1145" i="2"/>
  <c r="L1145" i="2"/>
  <c r="K1145" i="2"/>
  <c r="H1145" i="2"/>
  <c r="G1145" i="2"/>
  <c r="F1145" i="2"/>
  <c r="E1145" i="2"/>
  <c r="D1145" i="2"/>
  <c r="C1145" i="2"/>
  <c r="B1145" i="2"/>
  <c r="A1145" i="2"/>
  <c r="AH1144" i="2"/>
  <c r="AG1144" i="2"/>
  <c r="AF1144" i="2"/>
  <c r="AE1144" i="2"/>
  <c r="AD1144" i="2"/>
  <c r="AC1144" i="2"/>
  <c r="AB1144" i="2"/>
  <c r="Z1144" i="2"/>
  <c r="Y1144" i="2"/>
  <c r="X1144" i="2"/>
  <c r="W1144" i="2"/>
  <c r="V1144" i="2"/>
  <c r="T1144" i="2"/>
  <c r="S1144" i="2"/>
  <c r="R1144" i="2"/>
  <c r="Q1144" i="2"/>
  <c r="P1144" i="2"/>
  <c r="O1144" i="2"/>
  <c r="N1144" i="2"/>
  <c r="M1144" i="2"/>
  <c r="L1144" i="2"/>
  <c r="K1144" i="2"/>
  <c r="H1144" i="2"/>
  <c r="G1144" i="2"/>
  <c r="F1144" i="2"/>
  <c r="E1144" i="2"/>
  <c r="D1144" i="2"/>
  <c r="C1144" i="2"/>
  <c r="B1144" i="2"/>
  <c r="A1144" i="2"/>
  <c r="AG1143" i="2"/>
  <c r="AF1143" i="2"/>
  <c r="AE1143" i="2"/>
  <c r="AD1143" i="2"/>
  <c r="AC1143" i="2"/>
  <c r="AB1143" i="2"/>
  <c r="Z1143" i="2"/>
  <c r="Y1143" i="2"/>
  <c r="X1143" i="2"/>
  <c r="W1143" i="2"/>
  <c r="V1143" i="2"/>
  <c r="U1143" i="2"/>
  <c r="T1143" i="2"/>
  <c r="S1143" i="2"/>
  <c r="R1143" i="2"/>
  <c r="Q1143" i="2"/>
  <c r="P1143" i="2"/>
  <c r="O1143" i="2"/>
  <c r="N1143" i="2"/>
  <c r="M1143" i="2"/>
  <c r="L1143" i="2"/>
  <c r="K1143" i="2"/>
  <c r="H1143" i="2"/>
  <c r="G1143" i="2"/>
  <c r="F1143" i="2"/>
  <c r="E1143" i="2"/>
  <c r="D1143" i="2"/>
  <c r="C1143" i="2"/>
  <c r="B1143" i="2"/>
  <c r="A1143" i="2"/>
  <c r="AG1142" i="2"/>
  <c r="AD1142" i="2"/>
  <c r="AC1142" i="2"/>
  <c r="AB1142" i="2"/>
  <c r="Z1142" i="2"/>
  <c r="Y1142" i="2"/>
  <c r="X1142" i="2"/>
  <c r="W1142" i="2"/>
  <c r="V1142" i="2"/>
  <c r="U1142" i="2"/>
  <c r="S1142" i="2"/>
  <c r="R1142" i="2"/>
  <c r="Q1142" i="2"/>
  <c r="P1142" i="2"/>
  <c r="O1142" i="2"/>
  <c r="N1142" i="2"/>
  <c r="M1142" i="2"/>
  <c r="L1142" i="2"/>
  <c r="K1142" i="2"/>
  <c r="H1142" i="2"/>
  <c r="G1142" i="2"/>
  <c r="F1142" i="2"/>
  <c r="E1142" i="2"/>
  <c r="D1142" i="2"/>
  <c r="C1142" i="2"/>
  <c r="B1142" i="2"/>
  <c r="A1142" i="2"/>
  <c r="AG1141" i="2"/>
  <c r="AD1141" i="2"/>
  <c r="AC1141" i="2"/>
  <c r="AB1141" i="2"/>
  <c r="AA1141" i="2"/>
  <c r="Z1141" i="2"/>
  <c r="X1141" i="2"/>
  <c r="W1141" i="2"/>
  <c r="V1141" i="2"/>
  <c r="U1141" i="2"/>
  <c r="T1141" i="2"/>
  <c r="S1141" i="2"/>
  <c r="R1141" i="2"/>
  <c r="Q1141" i="2"/>
  <c r="P1141" i="2"/>
  <c r="O1141" i="2"/>
  <c r="N1141" i="2"/>
  <c r="M1141" i="2"/>
  <c r="L1141" i="2"/>
  <c r="K1141" i="2"/>
  <c r="H1141" i="2"/>
  <c r="G1141" i="2"/>
  <c r="F1141" i="2"/>
  <c r="E1141" i="2"/>
  <c r="D1141" i="2"/>
  <c r="C1141" i="2"/>
  <c r="B1141" i="2"/>
  <c r="A1141" i="2"/>
  <c r="AG1140" i="2"/>
  <c r="AF1140" i="2"/>
  <c r="AE1140" i="2"/>
  <c r="AD1140" i="2"/>
  <c r="AC1140" i="2"/>
  <c r="AB1140" i="2"/>
  <c r="AA1140" i="2"/>
  <c r="Z1140" i="2"/>
  <c r="Y1140" i="2"/>
  <c r="X1140" i="2"/>
  <c r="W1140" i="2"/>
  <c r="V1140" i="2"/>
  <c r="U1140" i="2"/>
  <c r="T1140" i="2"/>
  <c r="S1140" i="2"/>
  <c r="R1140" i="2"/>
  <c r="Q1140" i="2"/>
  <c r="P1140" i="2"/>
  <c r="O1140" i="2"/>
  <c r="N1140" i="2"/>
  <c r="M1140" i="2"/>
  <c r="L1140" i="2"/>
  <c r="K1140" i="2"/>
  <c r="H1140" i="2"/>
  <c r="G1140" i="2"/>
  <c r="F1140" i="2"/>
  <c r="E1140" i="2"/>
  <c r="D1140" i="2"/>
  <c r="C1140" i="2"/>
  <c r="B1140" i="2"/>
  <c r="A1140" i="2"/>
  <c r="AG1139" i="2"/>
  <c r="AF1139" i="2"/>
  <c r="AE1139" i="2"/>
  <c r="AD1139" i="2"/>
  <c r="AC1139" i="2"/>
  <c r="AB1139" i="2"/>
  <c r="Y1139" i="2"/>
  <c r="X1139" i="2"/>
  <c r="W1139" i="2"/>
  <c r="V1139" i="2"/>
  <c r="U1139" i="2"/>
  <c r="T1139" i="2"/>
  <c r="S1139" i="2"/>
  <c r="R1139" i="2"/>
  <c r="Q1139" i="2"/>
  <c r="P1139" i="2"/>
  <c r="O1139" i="2"/>
  <c r="N1139" i="2"/>
  <c r="M1139" i="2"/>
  <c r="L1139" i="2"/>
  <c r="K1139" i="2"/>
  <c r="H1139" i="2"/>
  <c r="G1139" i="2"/>
  <c r="F1139" i="2"/>
  <c r="E1139" i="2"/>
  <c r="D1139" i="2"/>
  <c r="C1139" i="2"/>
  <c r="B1139" i="2"/>
  <c r="A1139" i="2"/>
  <c r="AG1138" i="2"/>
  <c r="AF1138" i="2"/>
  <c r="AD1138" i="2"/>
  <c r="AC1138" i="2"/>
  <c r="AB1138" i="2"/>
  <c r="Z1138" i="2"/>
  <c r="Y1138" i="2"/>
  <c r="X1138" i="2"/>
  <c r="W1138" i="2"/>
  <c r="V1138" i="2"/>
  <c r="U1138" i="2"/>
  <c r="T1138" i="2"/>
  <c r="S1138" i="2"/>
  <c r="R1138" i="2"/>
  <c r="Q1138" i="2"/>
  <c r="P1138" i="2"/>
  <c r="O1138" i="2"/>
  <c r="N1138" i="2"/>
  <c r="M1138" i="2"/>
  <c r="L1138" i="2"/>
  <c r="K1138" i="2"/>
  <c r="H1138" i="2"/>
  <c r="G1138" i="2"/>
  <c r="F1138" i="2"/>
  <c r="E1138" i="2"/>
  <c r="D1138" i="2"/>
  <c r="C1138" i="2"/>
  <c r="B1138" i="2"/>
  <c r="A1138" i="2"/>
  <c r="AG1137" i="2"/>
  <c r="AF1137" i="2"/>
  <c r="AE1137" i="2"/>
  <c r="AD1137" i="2"/>
  <c r="AC1137" i="2"/>
  <c r="AB1137" i="2"/>
  <c r="Z1137" i="2"/>
  <c r="Y1137" i="2"/>
  <c r="X1137" i="2"/>
  <c r="W1137" i="2"/>
  <c r="V1137" i="2"/>
  <c r="U1137" i="2"/>
  <c r="T1137" i="2"/>
  <c r="S1137" i="2"/>
  <c r="R1137" i="2"/>
  <c r="Q1137" i="2"/>
  <c r="P1137" i="2"/>
  <c r="O1137" i="2"/>
  <c r="N1137" i="2"/>
  <c r="M1137" i="2"/>
  <c r="L1137" i="2"/>
  <c r="K1137" i="2"/>
  <c r="J1137" i="2"/>
  <c r="H1137" i="2"/>
  <c r="G1137" i="2"/>
  <c r="F1137" i="2"/>
  <c r="E1137" i="2"/>
  <c r="D1137" i="2"/>
  <c r="C1137" i="2"/>
  <c r="B1137" i="2"/>
  <c r="A1137" i="2"/>
  <c r="AG1136" i="2"/>
  <c r="AF1136" i="2"/>
  <c r="AE1136" i="2"/>
  <c r="AD1136" i="2"/>
  <c r="AC1136" i="2"/>
  <c r="AB1136" i="2"/>
  <c r="Z1136" i="2"/>
  <c r="Y1136" i="2"/>
  <c r="X1136" i="2"/>
  <c r="W1136" i="2"/>
  <c r="V1136" i="2"/>
  <c r="U1136" i="2"/>
  <c r="T1136" i="2"/>
  <c r="S1136" i="2"/>
  <c r="R1136" i="2"/>
  <c r="Q1136" i="2"/>
  <c r="P1136" i="2"/>
  <c r="O1136" i="2"/>
  <c r="N1136" i="2"/>
  <c r="M1136" i="2"/>
  <c r="L1136" i="2"/>
  <c r="K1136" i="2"/>
  <c r="H1136" i="2"/>
  <c r="G1136" i="2"/>
  <c r="F1136" i="2"/>
  <c r="E1136" i="2"/>
  <c r="D1136" i="2"/>
  <c r="C1136" i="2"/>
  <c r="B1136" i="2"/>
  <c r="A1136" i="2"/>
  <c r="AH1135" i="2"/>
  <c r="AG1135" i="2"/>
  <c r="AF1135" i="2"/>
  <c r="AE1135" i="2"/>
  <c r="AD1135" i="2"/>
  <c r="AC1135" i="2"/>
  <c r="AB1135" i="2"/>
  <c r="Z1135" i="2"/>
  <c r="Y1135" i="2"/>
  <c r="X1135" i="2"/>
  <c r="W1135" i="2"/>
  <c r="V1135" i="2"/>
  <c r="U1135" i="2"/>
  <c r="T1135" i="2"/>
  <c r="S1135" i="2"/>
  <c r="R1135" i="2"/>
  <c r="Q1135" i="2"/>
  <c r="P1135" i="2"/>
  <c r="O1135" i="2"/>
  <c r="N1135" i="2"/>
  <c r="M1135" i="2"/>
  <c r="L1135" i="2"/>
  <c r="K1135" i="2"/>
  <c r="H1135" i="2"/>
  <c r="G1135" i="2"/>
  <c r="F1135" i="2"/>
  <c r="E1135" i="2"/>
  <c r="D1135" i="2"/>
  <c r="C1135" i="2"/>
  <c r="B1135" i="2"/>
  <c r="A1135" i="2"/>
  <c r="AG1134" i="2"/>
  <c r="AF1134" i="2"/>
  <c r="AD1134" i="2"/>
  <c r="AC1134" i="2"/>
  <c r="AB1134" i="2"/>
  <c r="Z1134" i="2"/>
  <c r="Y1134" i="2"/>
  <c r="X1134" i="2"/>
  <c r="W1134" i="2"/>
  <c r="V1134" i="2"/>
  <c r="U1134" i="2"/>
  <c r="R1134" i="2"/>
  <c r="Q1134" i="2"/>
  <c r="P1134" i="2"/>
  <c r="O1134" i="2"/>
  <c r="N1134" i="2"/>
  <c r="M1134" i="2"/>
  <c r="L1134" i="2"/>
  <c r="K1134" i="2"/>
  <c r="H1134" i="2"/>
  <c r="G1134" i="2"/>
  <c r="F1134" i="2"/>
  <c r="E1134" i="2"/>
  <c r="D1134" i="2"/>
  <c r="C1134" i="2"/>
  <c r="B1134" i="2"/>
  <c r="A1134" i="2"/>
  <c r="AG1133" i="2"/>
  <c r="AF1133" i="2"/>
  <c r="AE1133" i="2"/>
  <c r="AD1133" i="2"/>
  <c r="AC1133" i="2"/>
  <c r="AB1133" i="2"/>
  <c r="Z1133" i="2"/>
  <c r="Y1133" i="2"/>
  <c r="X1133" i="2"/>
  <c r="W1133" i="2"/>
  <c r="V1133" i="2"/>
  <c r="U1133" i="2"/>
  <c r="R1133" i="2"/>
  <c r="Q1133" i="2"/>
  <c r="P1133" i="2"/>
  <c r="O1133" i="2"/>
  <c r="N1133" i="2"/>
  <c r="M1133" i="2"/>
  <c r="L1133" i="2"/>
  <c r="K1133" i="2"/>
  <c r="H1133" i="2"/>
  <c r="G1133" i="2"/>
  <c r="F1133" i="2"/>
  <c r="E1133" i="2"/>
  <c r="D1133" i="2"/>
  <c r="C1133" i="2"/>
  <c r="B1133" i="2"/>
  <c r="A1133" i="2"/>
  <c r="AG1132" i="2"/>
  <c r="AF1132" i="2"/>
  <c r="AD1132" i="2"/>
  <c r="AC1132" i="2"/>
  <c r="AB1132" i="2"/>
  <c r="AA1132" i="2"/>
  <c r="Z1132" i="2"/>
  <c r="Y1132" i="2"/>
  <c r="X1132" i="2"/>
  <c r="W1132" i="2"/>
  <c r="V1132" i="2"/>
  <c r="U1132" i="2"/>
  <c r="T1132" i="2"/>
  <c r="S1132" i="2"/>
  <c r="R1132" i="2"/>
  <c r="Q1132" i="2"/>
  <c r="P1132" i="2"/>
  <c r="O1132" i="2"/>
  <c r="N1132" i="2"/>
  <c r="M1132" i="2"/>
  <c r="L1132" i="2"/>
  <c r="K1132" i="2"/>
  <c r="H1132" i="2"/>
  <c r="G1132" i="2"/>
  <c r="F1132" i="2"/>
  <c r="E1132" i="2"/>
  <c r="D1132" i="2"/>
  <c r="C1132" i="2"/>
  <c r="B1132" i="2"/>
  <c r="A1132" i="2"/>
  <c r="AH1131" i="2"/>
  <c r="AG1131" i="2"/>
  <c r="AF1131" i="2"/>
  <c r="AE1131" i="2"/>
  <c r="AD1131" i="2"/>
  <c r="AC1131" i="2"/>
  <c r="AB1131" i="2"/>
  <c r="Z1131" i="2"/>
  <c r="Y1131" i="2"/>
  <c r="X1131" i="2"/>
  <c r="W1131" i="2"/>
  <c r="V1131" i="2"/>
  <c r="U1131" i="2"/>
  <c r="T1131" i="2"/>
  <c r="S1131" i="2"/>
  <c r="R1131" i="2"/>
  <c r="Q1131" i="2"/>
  <c r="P1131" i="2"/>
  <c r="O1131" i="2"/>
  <c r="N1131" i="2"/>
  <c r="M1131" i="2"/>
  <c r="L1131" i="2"/>
  <c r="K1131" i="2"/>
  <c r="J1131" i="2"/>
  <c r="H1131" i="2"/>
  <c r="G1131" i="2"/>
  <c r="F1131" i="2"/>
  <c r="E1131" i="2"/>
  <c r="D1131" i="2"/>
  <c r="C1131" i="2"/>
  <c r="B1131" i="2"/>
  <c r="A1131" i="2"/>
  <c r="AH1130" i="2"/>
  <c r="AG1130" i="2"/>
  <c r="AF1130" i="2"/>
  <c r="AE1130" i="2"/>
  <c r="AD1130" i="2"/>
  <c r="AC1130" i="2"/>
  <c r="AB1130" i="2"/>
  <c r="Z1130" i="2"/>
  <c r="Y1130" i="2"/>
  <c r="X1130" i="2"/>
  <c r="W1130" i="2"/>
  <c r="V1130" i="2"/>
  <c r="U1130" i="2"/>
  <c r="S1130" i="2"/>
  <c r="R1130" i="2"/>
  <c r="Q1130" i="2"/>
  <c r="P1130" i="2"/>
  <c r="O1130" i="2"/>
  <c r="N1130" i="2"/>
  <c r="M1130" i="2"/>
  <c r="L1130" i="2"/>
  <c r="K1130" i="2"/>
  <c r="J1130" i="2"/>
  <c r="H1130" i="2"/>
  <c r="G1130" i="2"/>
  <c r="F1130" i="2"/>
  <c r="E1130" i="2"/>
  <c r="D1130" i="2"/>
  <c r="C1130" i="2"/>
  <c r="B1130" i="2"/>
  <c r="A1130" i="2"/>
  <c r="AG1129" i="2"/>
  <c r="AF1129" i="2"/>
  <c r="AE1129" i="2"/>
  <c r="AD1129" i="2"/>
  <c r="AC1129" i="2"/>
  <c r="AB1129" i="2"/>
  <c r="Z1129" i="2"/>
  <c r="Y1129" i="2"/>
  <c r="X1129" i="2"/>
  <c r="W1129" i="2"/>
  <c r="V1129" i="2"/>
  <c r="U1129" i="2"/>
  <c r="S1129" i="2"/>
  <c r="R1129" i="2"/>
  <c r="Q1129" i="2"/>
  <c r="P1129" i="2"/>
  <c r="O1129" i="2"/>
  <c r="N1129" i="2"/>
  <c r="M1129" i="2"/>
  <c r="L1129" i="2"/>
  <c r="K1129" i="2"/>
  <c r="H1129" i="2"/>
  <c r="G1129" i="2"/>
  <c r="F1129" i="2"/>
  <c r="E1129" i="2"/>
  <c r="D1129" i="2"/>
  <c r="C1129" i="2"/>
  <c r="B1129" i="2"/>
  <c r="A1129" i="2"/>
  <c r="AG1128" i="2"/>
  <c r="AF1128" i="2"/>
  <c r="AE1128" i="2"/>
  <c r="AD1128" i="2"/>
  <c r="AC1128" i="2"/>
  <c r="AB1128" i="2"/>
  <c r="AA1128" i="2"/>
  <c r="Z1128" i="2"/>
  <c r="Y1128" i="2"/>
  <c r="X1128" i="2"/>
  <c r="W1128" i="2"/>
  <c r="V1128" i="2"/>
  <c r="U1128" i="2"/>
  <c r="T1128" i="2"/>
  <c r="S1128" i="2"/>
  <c r="R1128" i="2"/>
  <c r="Q1128" i="2"/>
  <c r="P1128" i="2"/>
  <c r="O1128" i="2"/>
  <c r="N1128" i="2"/>
  <c r="M1128" i="2"/>
  <c r="L1128" i="2"/>
  <c r="K1128" i="2"/>
  <c r="H1128" i="2"/>
  <c r="G1128" i="2"/>
  <c r="F1128" i="2"/>
  <c r="E1128" i="2"/>
  <c r="D1128" i="2"/>
  <c r="C1128" i="2"/>
  <c r="B1128" i="2"/>
  <c r="A1128" i="2"/>
  <c r="AG1127" i="2"/>
  <c r="AF1127" i="2"/>
  <c r="AE1127" i="2"/>
  <c r="AD1127" i="2"/>
  <c r="AC1127" i="2"/>
  <c r="AB1127" i="2"/>
  <c r="AA1127" i="2"/>
  <c r="Z1127" i="2"/>
  <c r="Y1127" i="2"/>
  <c r="X1127" i="2"/>
  <c r="W1127" i="2"/>
  <c r="V1127" i="2"/>
  <c r="U1127" i="2"/>
  <c r="T1127" i="2"/>
  <c r="S1127" i="2"/>
  <c r="R1127" i="2"/>
  <c r="Q1127" i="2"/>
  <c r="P1127" i="2"/>
  <c r="O1127" i="2"/>
  <c r="N1127" i="2"/>
  <c r="M1127" i="2"/>
  <c r="L1127" i="2"/>
  <c r="K1127" i="2"/>
  <c r="H1127" i="2"/>
  <c r="G1127" i="2"/>
  <c r="F1127" i="2"/>
  <c r="E1127" i="2"/>
  <c r="D1127" i="2"/>
  <c r="C1127" i="2"/>
  <c r="B1127" i="2"/>
  <c r="A1127" i="2"/>
  <c r="AG1126" i="2"/>
  <c r="AF1126" i="2"/>
  <c r="AE1126" i="2"/>
  <c r="AD1126" i="2"/>
  <c r="AC1126" i="2"/>
  <c r="AB1126" i="2"/>
  <c r="Z1126" i="2"/>
  <c r="Y1126" i="2"/>
  <c r="X1126" i="2"/>
  <c r="W1126" i="2"/>
  <c r="V1126" i="2"/>
  <c r="U1126" i="2"/>
  <c r="S1126" i="2"/>
  <c r="R1126" i="2"/>
  <c r="Q1126" i="2"/>
  <c r="P1126" i="2"/>
  <c r="O1126" i="2"/>
  <c r="N1126" i="2"/>
  <c r="M1126" i="2"/>
  <c r="L1126" i="2"/>
  <c r="K1126" i="2"/>
  <c r="H1126" i="2"/>
  <c r="G1126" i="2"/>
  <c r="F1126" i="2"/>
  <c r="E1126" i="2"/>
  <c r="D1126" i="2"/>
  <c r="C1126" i="2"/>
  <c r="B1126" i="2"/>
  <c r="A1126" i="2"/>
  <c r="AG1125" i="2"/>
  <c r="AF1125" i="2"/>
  <c r="AE1125" i="2"/>
  <c r="AD1125" i="2"/>
  <c r="AC1125" i="2"/>
  <c r="AB1125" i="2"/>
  <c r="Z1125" i="2"/>
  <c r="Y1125" i="2"/>
  <c r="X1125" i="2"/>
  <c r="W1125" i="2"/>
  <c r="V1125" i="2"/>
  <c r="U1125" i="2"/>
  <c r="R1125" i="2"/>
  <c r="Q1125" i="2"/>
  <c r="P1125" i="2"/>
  <c r="O1125" i="2"/>
  <c r="N1125" i="2"/>
  <c r="M1125" i="2"/>
  <c r="L1125" i="2"/>
  <c r="K1125" i="2"/>
  <c r="H1125" i="2"/>
  <c r="G1125" i="2"/>
  <c r="F1125" i="2"/>
  <c r="E1125" i="2"/>
  <c r="D1125" i="2"/>
  <c r="C1125" i="2"/>
  <c r="B1125" i="2"/>
  <c r="A1125" i="2"/>
  <c r="AG1124" i="2"/>
  <c r="AF1124" i="2"/>
  <c r="AE1124" i="2"/>
  <c r="AD1124" i="2"/>
  <c r="AC1124" i="2"/>
  <c r="AB1124" i="2"/>
  <c r="Z1124" i="2"/>
  <c r="Y1124" i="2"/>
  <c r="X1124" i="2"/>
  <c r="W1124" i="2"/>
  <c r="V1124" i="2"/>
  <c r="U1124" i="2"/>
  <c r="S1124" i="2"/>
  <c r="R1124" i="2"/>
  <c r="Q1124" i="2"/>
  <c r="P1124" i="2"/>
  <c r="O1124" i="2"/>
  <c r="N1124" i="2"/>
  <c r="M1124" i="2"/>
  <c r="L1124" i="2"/>
  <c r="K1124" i="2"/>
  <c r="H1124" i="2"/>
  <c r="G1124" i="2"/>
  <c r="F1124" i="2"/>
  <c r="E1124" i="2"/>
  <c r="D1124" i="2"/>
  <c r="C1124" i="2"/>
  <c r="B1124" i="2"/>
  <c r="A1124" i="2"/>
  <c r="AH1123" i="2"/>
  <c r="AG1123" i="2"/>
  <c r="AF1123" i="2"/>
  <c r="AE1123" i="2"/>
  <c r="AD1123" i="2"/>
  <c r="AC1123" i="2"/>
  <c r="AB1123" i="2"/>
  <c r="Z1123" i="2"/>
  <c r="X1123" i="2"/>
  <c r="W1123" i="2"/>
  <c r="V1123" i="2"/>
  <c r="U1123" i="2"/>
  <c r="T1123" i="2"/>
  <c r="S1123" i="2"/>
  <c r="R1123" i="2"/>
  <c r="Q1123" i="2"/>
  <c r="P1123" i="2"/>
  <c r="O1123" i="2"/>
  <c r="N1123" i="2"/>
  <c r="M1123" i="2"/>
  <c r="L1123" i="2"/>
  <c r="K1123" i="2"/>
  <c r="H1123" i="2"/>
  <c r="G1123" i="2"/>
  <c r="F1123" i="2"/>
  <c r="E1123" i="2"/>
  <c r="D1123" i="2"/>
  <c r="C1123" i="2"/>
  <c r="B1123" i="2"/>
  <c r="A1123" i="2"/>
  <c r="AF1122" i="2"/>
  <c r="AE1122" i="2"/>
  <c r="AD1122" i="2"/>
  <c r="AC1122" i="2"/>
  <c r="AB1122" i="2"/>
  <c r="Z1122" i="2"/>
  <c r="Y1122" i="2"/>
  <c r="X1122" i="2"/>
  <c r="W1122" i="2"/>
  <c r="V1122" i="2"/>
  <c r="U1122" i="2"/>
  <c r="T1122" i="2"/>
  <c r="S1122" i="2"/>
  <c r="R1122" i="2"/>
  <c r="Q1122" i="2"/>
  <c r="P1122" i="2"/>
  <c r="O1122" i="2"/>
  <c r="N1122" i="2"/>
  <c r="M1122" i="2"/>
  <c r="L1122" i="2"/>
  <c r="K1122" i="2"/>
  <c r="H1122" i="2"/>
  <c r="G1122" i="2"/>
  <c r="F1122" i="2"/>
  <c r="E1122" i="2"/>
  <c r="D1122" i="2"/>
  <c r="C1122" i="2"/>
  <c r="B1122" i="2"/>
  <c r="A1122" i="2"/>
  <c r="AG1121" i="2"/>
  <c r="AF1121" i="2"/>
  <c r="AE1121" i="2"/>
  <c r="AD1121" i="2"/>
  <c r="AC1121" i="2"/>
  <c r="AB1121" i="2"/>
  <c r="Z1121" i="2"/>
  <c r="X1121" i="2"/>
  <c r="W1121" i="2"/>
  <c r="V1121" i="2"/>
  <c r="U1121" i="2"/>
  <c r="T1121" i="2"/>
  <c r="S1121" i="2"/>
  <c r="R1121" i="2"/>
  <c r="Q1121" i="2"/>
  <c r="P1121" i="2"/>
  <c r="O1121" i="2"/>
  <c r="N1121" i="2"/>
  <c r="M1121" i="2"/>
  <c r="L1121" i="2"/>
  <c r="K1121" i="2"/>
  <c r="H1121" i="2"/>
  <c r="G1121" i="2"/>
  <c r="F1121" i="2"/>
  <c r="E1121" i="2"/>
  <c r="D1121" i="2"/>
  <c r="C1121" i="2"/>
  <c r="B1121" i="2"/>
  <c r="A1121" i="2"/>
  <c r="AG1120" i="2"/>
  <c r="AF1120" i="2"/>
  <c r="AE1120" i="2"/>
  <c r="AD1120" i="2"/>
  <c r="AC1120" i="2"/>
  <c r="AB1120" i="2"/>
  <c r="Z1120" i="2"/>
  <c r="Y1120" i="2"/>
  <c r="X1120" i="2"/>
  <c r="W1120" i="2"/>
  <c r="V1120" i="2"/>
  <c r="U1120" i="2"/>
  <c r="T1120" i="2"/>
  <c r="S1120" i="2"/>
  <c r="R1120" i="2"/>
  <c r="Q1120" i="2"/>
  <c r="P1120" i="2"/>
  <c r="O1120" i="2"/>
  <c r="N1120" i="2"/>
  <c r="M1120" i="2"/>
  <c r="L1120" i="2"/>
  <c r="K1120" i="2"/>
  <c r="H1120" i="2"/>
  <c r="G1120" i="2"/>
  <c r="F1120" i="2"/>
  <c r="E1120" i="2"/>
  <c r="D1120" i="2"/>
  <c r="C1120" i="2"/>
  <c r="B1120" i="2"/>
  <c r="A1120" i="2"/>
  <c r="AG1119" i="2"/>
  <c r="AF1119" i="2"/>
  <c r="AE1119" i="2"/>
  <c r="AD1119" i="2"/>
  <c r="AC1119" i="2"/>
  <c r="AB1119" i="2"/>
  <c r="Z1119" i="2"/>
  <c r="Y1119" i="2"/>
  <c r="X1119" i="2"/>
  <c r="W1119" i="2"/>
  <c r="V1119" i="2"/>
  <c r="U1119" i="2"/>
  <c r="T1119" i="2"/>
  <c r="S1119" i="2"/>
  <c r="R1119" i="2"/>
  <c r="Q1119" i="2"/>
  <c r="P1119" i="2"/>
  <c r="O1119" i="2"/>
  <c r="N1119" i="2"/>
  <c r="M1119" i="2"/>
  <c r="L1119" i="2"/>
  <c r="K1119" i="2"/>
  <c r="H1119" i="2"/>
  <c r="G1119" i="2"/>
  <c r="F1119" i="2"/>
  <c r="E1119" i="2"/>
  <c r="D1119" i="2"/>
  <c r="C1119" i="2"/>
  <c r="B1119" i="2"/>
  <c r="A1119" i="2"/>
  <c r="AG1118" i="2"/>
  <c r="AF1118" i="2"/>
  <c r="AE1118" i="2"/>
  <c r="AD1118" i="2"/>
  <c r="AC1118" i="2"/>
  <c r="AB1118" i="2"/>
  <c r="Z1118" i="2"/>
  <c r="Y1118" i="2"/>
  <c r="X1118" i="2"/>
  <c r="W1118" i="2"/>
  <c r="V1118" i="2"/>
  <c r="U1118" i="2"/>
  <c r="T1118" i="2"/>
  <c r="S1118" i="2"/>
  <c r="R1118" i="2"/>
  <c r="Q1118" i="2"/>
  <c r="P1118" i="2"/>
  <c r="O1118" i="2"/>
  <c r="N1118" i="2"/>
  <c r="M1118" i="2"/>
  <c r="L1118" i="2"/>
  <c r="K1118" i="2"/>
  <c r="H1118" i="2"/>
  <c r="G1118" i="2"/>
  <c r="F1118" i="2"/>
  <c r="E1118" i="2"/>
  <c r="D1118" i="2"/>
  <c r="C1118" i="2"/>
  <c r="B1118" i="2"/>
  <c r="A1118" i="2"/>
  <c r="AG1117" i="2"/>
  <c r="AF1117" i="2"/>
  <c r="AE1117" i="2"/>
  <c r="AD1117" i="2"/>
  <c r="AC1117" i="2"/>
  <c r="AB1117" i="2"/>
  <c r="Z1117" i="2"/>
  <c r="Y1117" i="2"/>
  <c r="X1117" i="2"/>
  <c r="W1117" i="2"/>
  <c r="V1117" i="2"/>
  <c r="U1117" i="2"/>
  <c r="T1117" i="2"/>
  <c r="S1117" i="2"/>
  <c r="R1117" i="2"/>
  <c r="Q1117" i="2"/>
  <c r="P1117" i="2"/>
  <c r="O1117" i="2"/>
  <c r="N1117" i="2"/>
  <c r="M1117" i="2"/>
  <c r="L1117" i="2"/>
  <c r="K1117" i="2"/>
  <c r="H1117" i="2"/>
  <c r="G1117" i="2"/>
  <c r="F1117" i="2"/>
  <c r="E1117" i="2"/>
  <c r="D1117" i="2"/>
  <c r="C1117" i="2"/>
  <c r="B1117" i="2"/>
  <c r="A1117" i="2"/>
  <c r="AG1116" i="2"/>
  <c r="AF1116" i="2"/>
  <c r="AE1116" i="2"/>
  <c r="AD1116" i="2"/>
  <c r="AC1116" i="2"/>
  <c r="AB1116" i="2"/>
  <c r="Z1116" i="2"/>
  <c r="X1116" i="2"/>
  <c r="W1116" i="2"/>
  <c r="V1116" i="2"/>
  <c r="U1116" i="2"/>
  <c r="T1116" i="2"/>
  <c r="S1116" i="2"/>
  <c r="R1116" i="2"/>
  <c r="Q1116" i="2"/>
  <c r="P1116" i="2"/>
  <c r="O1116" i="2"/>
  <c r="N1116" i="2"/>
  <c r="M1116" i="2"/>
  <c r="L1116" i="2"/>
  <c r="K1116" i="2"/>
  <c r="H1116" i="2"/>
  <c r="G1116" i="2"/>
  <c r="F1116" i="2"/>
  <c r="E1116" i="2"/>
  <c r="D1116" i="2"/>
  <c r="C1116" i="2"/>
  <c r="B1116" i="2"/>
  <c r="A1116" i="2"/>
  <c r="AG1115" i="2"/>
  <c r="AF1115" i="2"/>
  <c r="AE1115" i="2"/>
  <c r="AD1115" i="2"/>
  <c r="AC1115" i="2"/>
  <c r="AB1115" i="2"/>
  <c r="AA1115" i="2"/>
  <c r="X1115" i="2"/>
  <c r="W1115" i="2"/>
  <c r="V1115" i="2"/>
  <c r="U1115" i="2"/>
  <c r="T1115" i="2"/>
  <c r="S1115" i="2"/>
  <c r="R1115" i="2"/>
  <c r="Q1115" i="2"/>
  <c r="P1115" i="2"/>
  <c r="O1115" i="2"/>
  <c r="N1115" i="2"/>
  <c r="M1115" i="2"/>
  <c r="L1115" i="2"/>
  <c r="K1115" i="2"/>
  <c r="H1115" i="2"/>
  <c r="G1115" i="2"/>
  <c r="F1115" i="2"/>
  <c r="E1115" i="2"/>
  <c r="D1115" i="2"/>
  <c r="C1115" i="2"/>
  <c r="B1115" i="2"/>
  <c r="A1115" i="2"/>
  <c r="AG1114" i="2"/>
  <c r="AF1114" i="2"/>
  <c r="AE1114" i="2"/>
  <c r="AD1114" i="2"/>
  <c r="AC1114" i="2"/>
  <c r="AB1114" i="2"/>
  <c r="AA1114" i="2"/>
  <c r="Z1114" i="2"/>
  <c r="Y1114" i="2"/>
  <c r="X1114" i="2"/>
  <c r="W1114" i="2"/>
  <c r="V1114" i="2"/>
  <c r="U1114" i="2"/>
  <c r="T1114" i="2"/>
  <c r="S1114" i="2"/>
  <c r="R1114" i="2"/>
  <c r="Q1114" i="2"/>
  <c r="P1114" i="2"/>
  <c r="O1114" i="2"/>
  <c r="N1114" i="2"/>
  <c r="M1114" i="2"/>
  <c r="L1114" i="2"/>
  <c r="K1114" i="2"/>
  <c r="H1114" i="2"/>
  <c r="G1114" i="2"/>
  <c r="F1114" i="2"/>
  <c r="E1114" i="2"/>
  <c r="D1114" i="2"/>
  <c r="C1114" i="2"/>
  <c r="B1114" i="2"/>
  <c r="A1114" i="2"/>
  <c r="AG1113" i="2"/>
  <c r="AF1113" i="2"/>
  <c r="AE1113" i="2"/>
  <c r="AD1113" i="2"/>
  <c r="AC1113" i="2"/>
  <c r="AB1113" i="2"/>
  <c r="Z1113" i="2"/>
  <c r="Y1113" i="2"/>
  <c r="X1113" i="2"/>
  <c r="W1113" i="2"/>
  <c r="V1113" i="2"/>
  <c r="U1113" i="2"/>
  <c r="T1113" i="2"/>
  <c r="S1113" i="2"/>
  <c r="R1113" i="2"/>
  <c r="Q1113" i="2"/>
  <c r="P1113" i="2"/>
  <c r="O1113" i="2"/>
  <c r="N1113" i="2"/>
  <c r="M1113" i="2"/>
  <c r="L1113" i="2"/>
  <c r="K1113" i="2"/>
  <c r="H1113" i="2"/>
  <c r="G1113" i="2"/>
  <c r="F1113" i="2"/>
  <c r="E1113" i="2"/>
  <c r="D1113" i="2"/>
  <c r="C1113" i="2"/>
  <c r="B1113" i="2"/>
  <c r="A1113" i="2"/>
  <c r="AG1112" i="2"/>
  <c r="AF1112" i="2"/>
  <c r="AE1112" i="2"/>
  <c r="AD1112" i="2"/>
  <c r="AC1112" i="2"/>
  <c r="AB1112" i="2"/>
  <c r="Z1112" i="2"/>
  <c r="Y1112" i="2"/>
  <c r="X1112" i="2"/>
  <c r="W1112" i="2"/>
  <c r="V1112" i="2"/>
  <c r="U1112" i="2"/>
  <c r="T1112" i="2"/>
  <c r="S1112" i="2"/>
  <c r="R1112" i="2"/>
  <c r="Q1112" i="2"/>
  <c r="P1112" i="2"/>
  <c r="O1112" i="2"/>
  <c r="N1112" i="2"/>
  <c r="M1112" i="2"/>
  <c r="L1112" i="2"/>
  <c r="K1112" i="2"/>
  <c r="H1112" i="2"/>
  <c r="G1112" i="2"/>
  <c r="F1112" i="2"/>
  <c r="E1112" i="2"/>
  <c r="D1112" i="2"/>
  <c r="C1112" i="2"/>
  <c r="B1112" i="2"/>
  <c r="A1112" i="2"/>
  <c r="AG1111" i="2"/>
  <c r="AF1111" i="2"/>
  <c r="AE1111" i="2"/>
  <c r="AD1111" i="2"/>
  <c r="AC1111" i="2"/>
  <c r="AB1111" i="2"/>
  <c r="AA1111" i="2"/>
  <c r="Z1111" i="2"/>
  <c r="Y1111" i="2"/>
  <c r="X1111" i="2"/>
  <c r="W1111" i="2"/>
  <c r="V1111" i="2"/>
  <c r="U1111" i="2"/>
  <c r="T1111" i="2"/>
  <c r="S1111" i="2"/>
  <c r="R1111" i="2"/>
  <c r="Q1111" i="2"/>
  <c r="P1111" i="2"/>
  <c r="O1111" i="2"/>
  <c r="N1111" i="2"/>
  <c r="M1111" i="2"/>
  <c r="L1111" i="2"/>
  <c r="K1111" i="2"/>
  <c r="H1111" i="2"/>
  <c r="G1111" i="2"/>
  <c r="F1111" i="2"/>
  <c r="E1111" i="2"/>
  <c r="D1111" i="2"/>
  <c r="C1111" i="2"/>
  <c r="B1111" i="2"/>
  <c r="A1111" i="2"/>
  <c r="AG1110" i="2"/>
  <c r="AF1110" i="2"/>
  <c r="AE1110" i="2"/>
  <c r="AD1110" i="2"/>
  <c r="AC1110" i="2"/>
  <c r="AB1110" i="2"/>
  <c r="Z1110" i="2"/>
  <c r="Y1110" i="2"/>
  <c r="X1110" i="2"/>
  <c r="W1110" i="2"/>
  <c r="V1110" i="2"/>
  <c r="U1110" i="2"/>
  <c r="T1110" i="2"/>
  <c r="S1110" i="2"/>
  <c r="R1110" i="2"/>
  <c r="Q1110" i="2"/>
  <c r="P1110" i="2"/>
  <c r="O1110" i="2"/>
  <c r="N1110" i="2"/>
  <c r="M1110" i="2"/>
  <c r="L1110" i="2"/>
  <c r="K1110" i="2"/>
  <c r="H1110" i="2"/>
  <c r="G1110" i="2"/>
  <c r="F1110" i="2"/>
  <c r="E1110" i="2"/>
  <c r="D1110" i="2"/>
  <c r="C1110" i="2"/>
  <c r="B1110" i="2"/>
  <c r="A1110" i="2"/>
  <c r="AG1109" i="2"/>
  <c r="AF1109" i="2"/>
  <c r="AE1109" i="2"/>
  <c r="AD1109" i="2"/>
  <c r="AC1109" i="2"/>
  <c r="AB1109" i="2"/>
  <c r="Y1109" i="2"/>
  <c r="X1109" i="2"/>
  <c r="W1109" i="2"/>
  <c r="V1109" i="2"/>
  <c r="U1109" i="2"/>
  <c r="T1109" i="2"/>
  <c r="S1109" i="2"/>
  <c r="R1109" i="2"/>
  <c r="Q1109" i="2"/>
  <c r="P1109" i="2"/>
  <c r="O1109" i="2"/>
  <c r="N1109" i="2"/>
  <c r="M1109" i="2"/>
  <c r="L1109" i="2"/>
  <c r="K1109" i="2"/>
  <c r="H1109" i="2"/>
  <c r="G1109" i="2"/>
  <c r="F1109" i="2"/>
  <c r="E1109" i="2"/>
  <c r="D1109" i="2"/>
  <c r="C1109" i="2"/>
  <c r="B1109" i="2"/>
  <c r="A1109" i="2"/>
  <c r="AG1108" i="2"/>
  <c r="AF1108" i="2"/>
  <c r="AE1108" i="2"/>
  <c r="AD1108" i="2"/>
  <c r="AC1108" i="2"/>
  <c r="AB1108" i="2"/>
  <c r="Z1108" i="2"/>
  <c r="Y1108" i="2"/>
  <c r="X1108" i="2"/>
  <c r="W1108" i="2"/>
  <c r="V1108" i="2"/>
  <c r="U1108" i="2"/>
  <c r="S1108" i="2"/>
  <c r="R1108" i="2"/>
  <c r="Q1108" i="2"/>
  <c r="P1108" i="2"/>
  <c r="O1108" i="2"/>
  <c r="N1108" i="2"/>
  <c r="M1108" i="2"/>
  <c r="L1108" i="2"/>
  <c r="K1108" i="2"/>
  <c r="H1108" i="2"/>
  <c r="G1108" i="2"/>
  <c r="F1108" i="2"/>
  <c r="E1108" i="2"/>
  <c r="D1108" i="2"/>
  <c r="C1108" i="2"/>
  <c r="B1108" i="2"/>
  <c r="A1108" i="2"/>
  <c r="AF1107" i="2"/>
  <c r="AE1107" i="2"/>
  <c r="AD1107" i="2"/>
  <c r="AC1107" i="2"/>
  <c r="AB1107" i="2"/>
  <c r="X1107" i="2"/>
  <c r="W1107" i="2"/>
  <c r="V1107" i="2"/>
  <c r="U1107" i="2"/>
  <c r="T1107" i="2"/>
  <c r="S1107" i="2"/>
  <c r="R1107" i="2"/>
  <c r="Q1107" i="2"/>
  <c r="P1107" i="2"/>
  <c r="O1107" i="2"/>
  <c r="N1107" i="2"/>
  <c r="M1107" i="2"/>
  <c r="L1107" i="2"/>
  <c r="K1107" i="2"/>
  <c r="H1107" i="2"/>
  <c r="G1107" i="2"/>
  <c r="F1107" i="2"/>
  <c r="E1107" i="2"/>
  <c r="D1107" i="2"/>
  <c r="C1107" i="2"/>
  <c r="B1107" i="2"/>
  <c r="A1107" i="2"/>
  <c r="AG1106" i="2"/>
  <c r="AF1106" i="2"/>
  <c r="AE1106" i="2"/>
  <c r="AD1106" i="2"/>
  <c r="AC1106" i="2"/>
  <c r="AB1106" i="2"/>
  <c r="Z1106" i="2"/>
  <c r="Y1106" i="2"/>
  <c r="X1106" i="2"/>
  <c r="W1106" i="2"/>
  <c r="V1106" i="2"/>
  <c r="U1106" i="2"/>
  <c r="S1106" i="2"/>
  <c r="R1106" i="2"/>
  <c r="Q1106" i="2"/>
  <c r="P1106" i="2"/>
  <c r="O1106" i="2"/>
  <c r="N1106" i="2"/>
  <c r="M1106" i="2"/>
  <c r="L1106" i="2"/>
  <c r="K1106" i="2"/>
  <c r="H1106" i="2"/>
  <c r="G1106" i="2"/>
  <c r="F1106" i="2"/>
  <c r="E1106" i="2"/>
  <c r="D1106" i="2"/>
  <c r="C1106" i="2"/>
  <c r="B1106" i="2"/>
  <c r="A1106" i="2"/>
  <c r="AG1105" i="2"/>
  <c r="AF1105" i="2"/>
  <c r="AE1105" i="2"/>
  <c r="AD1105" i="2"/>
  <c r="AC1105" i="2"/>
  <c r="AB1105" i="2"/>
  <c r="Z1105" i="2"/>
  <c r="Y1105" i="2"/>
  <c r="X1105" i="2"/>
  <c r="W1105" i="2"/>
  <c r="V1105" i="2"/>
  <c r="U1105" i="2"/>
  <c r="S1105" i="2"/>
  <c r="R1105" i="2"/>
  <c r="Q1105" i="2"/>
  <c r="P1105" i="2"/>
  <c r="O1105" i="2"/>
  <c r="N1105" i="2"/>
  <c r="M1105" i="2"/>
  <c r="L1105" i="2"/>
  <c r="K1105" i="2"/>
  <c r="H1105" i="2"/>
  <c r="G1105" i="2"/>
  <c r="F1105" i="2"/>
  <c r="E1105" i="2"/>
  <c r="D1105" i="2"/>
  <c r="C1105" i="2"/>
  <c r="B1105" i="2"/>
  <c r="A1105" i="2"/>
  <c r="AG1104" i="2"/>
  <c r="AF1104" i="2"/>
  <c r="AE1104" i="2"/>
  <c r="AD1104" i="2"/>
  <c r="AC1104" i="2"/>
  <c r="AB1104" i="2"/>
  <c r="Z1104" i="2"/>
  <c r="Y1104" i="2"/>
  <c r="X1104" i="2"/>
  <c r="W1104" i="2"/>
  <c r="V1104" i="2"/>
  <c r="U1104" i="2"/>
  <c r="T1104" i="2"/>
  <c r="S1104" i="2"/>
  <c r="R1104" i="2"/>
  <c r="Q1104" i="2"/>
  <c r="P1104" i="2"/>
  <c r="O1104" i="2"/>
  <c r="N1104" i="2"/>
  <c r="M1104" i="2"/>
  <c r="L1104" i="2"/>
  <c r="K1104" i="2"/>
  <c r="H1104" i="2"/>
  <c r="G1104" i="2"/>
  <c r="F1104" i="2"/>
  <c r="E1104" i="2"/>
  <c r="D1104" i="2"/>
  <c r="C1104" i="2"/>
  <c r="B1104" i="2"/>
  <c r="A1104" i="2"/>
  <c r="AG1103" i="2"/>
  <c r="AF1103" i="2"/>
  <c r="AE1103" i="2"/>
  <c r="AD1103" i="2"/>
  <c r="AC1103" i="2"/>
  <c r="AB1103" i="2"/>
  <c r="Y1103" i="2"/>
  <c r="X1103" i="2"/>
  <c r="W1103" i="2"/>
  <c r="V1103" i="2"/>
  <c r="U1103" i="2"/>
  <c r="T1103" i="2"/>
  <c r="S1103" i="2"/>
  <c r="R1103" i="2"/>
  <c r="Q1103" i="2"/>
  <c r="P1103" i="2"/>
  <c r="O1103" i="2"/>
  <c r="N1103" i="2"/>
  <c r="M1103" i="2"/>
  <c r="L1103" i="2"/>
  <c r="K1103" i="2"/>
  <c r="H1103" i="2"/>
  <c r="G1103" i="2"/>
  <c r="F1103" i="2"/>
  <c r="E1103" i="2"/>
  <c r="D1103" i="2"/>
  <c r="C1103" i="2"/>
  <c r="B1103" i="2"/>
  <c r="A1103" i="2"/>
  <c r="AF1102" i="2"/>
  <c r="AE1102" i="2"/>
  <c r="AD1102" i="2"/>
  <c r="AC1102" i="2"/>
  <c r="AB1102" i="2"/>
  <c r="Z1102" i="2"/>
  <c r="Y1102" i="2"/>
  <c r="X1102" i="2"/>
  <c r="W1102" i="2"/>
  <c r="V1102" i="2"/>
  <c r="U1102" i="2"/>
  <c r="T1102" i="2"/>
  <c r="S1102" i="2"/>
  <c r="R1102" i="2"/>
  <c r="Q1102" i="2"/>
  <c r="P1102" i="2"/>
  <c r="O1102" i="2"/>
  <c r="N1102" i="2"/>
  <c r="M1102" i="2"/>
  <c r="L1102" i="2"/>
  <c r="K1102" i="2"/>
  <c r="H1102" i="2"/>
  <c r="G1102" i="2"/>
  <c r="F1102" i="2"/>
  <c r="E1102" i="2"/>
  <c r="D1102" i="2"/>
  <c r="C1102" i="2"/>
  <c r="B1102" i="2"/>
  <c r="A1102" i="2"/>
  <c r="AG1101" i="2"/>
  <c r="AF1101" i="2"/>
  <c r="AE1101" i="2"/>
  <c r="AD1101" i="2"/>
  <c r="AC1101" i="2"/>
  <c r="AB1101" i="2"/>
  <c r="X1101" i="2"/>
  <c r="W1101" i="2"/>
  <c r="V1101" i="2"/>
  <c r="U1101" i="2"/>
  <c r="S1101" i="2"/>
  <c r="R1101" i="2"/>
  <c r="Q1101" i="2"/>
  <c r="P1101" i="2"/>
  <c r="O1101" i="2"/>
  <c r="N1101" i="2"/>
  <c r="M1101" i="2"/>
  <c r="L1101" i="2"/>
  <c r="K1101" i="2"/>
  <c r="H1101" i="2"/>
  <c r="G1101" i="2"/>
  <c r="F1101" i="2"/>
  <c r="E1101" i="2"/>
  <c r="D1101" i="2"/>
  <c r="C1101" i="2"/>
  <c r="B1101" i="2"/>
  <c r="A1101" i="2"/>
  <c r="AG1100" i="2"/>
  <c r="AF1100" i="2"/>
  <c r="AD1100" i="2"/>
  <c r="AC1100" i="2"/>
  <c r="AB1100" i="2"/>
  <c r="AA1100" i="2"/>
  <c r="Z1100" i="2"/>
  <c r="X1100" i="2"/>
  <c r="W1100" i="2"/>
  <c r="V1100" i="2"/>
  <c r="U1100" i="2"/>
  <c r="S1100" i="2"/>
  <c r="R1100" i="2"/>
  <c r="Q1100" i="2"/>
  <c r="P1100" i="2"/>
  <c r="O1100" i="2"/>
  <c r="N1100" i="2"/>
  <c r="M1100" i="2"/>
  <c r="L1100" i="2"/>
  <c r="K1100" i="2"/>
  <c r="H1100" i="2"/>
  <c r="G1100" i="2"/>
  <c r="F1100" i="2"/>
  <c r="E1100" i="2"/>
  <c r="D1100" i="2"/>
  <c r="C1100" i="2"/>
  <c r="B1100" i="2"/>
  <c r="A1100" i="2"/>
  <c r="AG1099" i="2"/>
  <c r="AF1099" i="2"/>
  <c r="AE1099" i="2"/>
  <c r="AD1099" i="2"/>
  <c r="AC1099" i="2"/>
  <c r="AB1099" i="2"/>
  <c r="AA1099" i="2"/>
  <c r="Z1099" i="2"/>
  <c r="Y1099" i="2"/>
  <c r="X1099" i="2"/>
  <c r="W1099" i="2"/>
  <c r="V1099" i="2"/>
  <c r="U1099" i="2"/>
  <c r="T1099" i="2"/>
  <c r="S1099" i="2"/>
  <c r="R1099" i="2"/>
  <c r="Q1099" i="2"/>
  <c r="P1099" i="2"/>
  <c r="O1099" i="2"/>
  <c r="N1099" i="2"/>
  <c r="M1099" i="2"/>
  <c r="L1099" i="2"/>
  <c r="K1099" i="2"/>
  <c r="H1099" i="2"/>
  <c r="G1099" i="2"/>
  <c r="F1099" i="2"/>
  <c r="E1099" i="2"/>
  <c r="D1099" i="2"/>
  <c r="C1099" i="2"/>
  <c r="B1099" i="2"/>
  <c r="A1099" i="2"/>
  <c r="AG1098" i="2"/>
  <c r="AF1098" i="2"/>
  <c r="AE1098" i="2"/>
  <c r="AD1098" i="2"/>
  <c r="AC1098" i="2"/>
  <c r="AB1098" i="2"/>
  <c r="Z1098" i="2"/>
  <c r="Y1098" i="2"/>
  <c r="X1098" i="2"/>
  <c r="W1098" i="2"/>
  <c r="V1098" i="2"/>
  <c r="U1098" i="2"/>
  <c r="S1098" i="2"/>
  <c r="R1098" i="2"/>
  <c r="Q1098" i="2"/>
  <c r="P1098" i="2"/>
  <c r="O1098" i="2"/>
  <c r="N1098" i="2"/>
  <c r="M1098" i="2"/>
  <c r="L1098" i="2"/>
  <c r="K1098" i="2"/>
  <c r="H1098" i="2"/>
  <c r="G1098" i="2"/>
  <c r="F1098" i="2"/>
  <c r="E1098" i="2"/>
  <c r="D1098" i="2"/>
  <c r="C1098" i="2"/>
  <c r="B1098" i="2"/>
  <c r="A1098" i="2"/>
  <c r="AG1097" i="2"/>
  <c r="AF1097" i="2"/>
  <c r="AE1097" i="2"/>
  <c r="AD1097" i="2"/>
  <c r="AC1097" i="2"/>
  <c r="AB1097" i="2"/>
  <c r="AA1097" i="2"/>
  <c r="Z1097" i="2"/>
  <c r="Y1097" i="2"/>
  <c r="X1097" i="2"/>
  <c r="W1097" i="2"/>
  <c r="V1097" i="2"/>
  <c r="U1097" i="2"/>
  <c r="S1097" i="2"/>
  <c r="R1097" i="2"/>
  <c r="Q1097" i="2"/>
  <c r="P1097" i="2"/>
  <c r="O1097" i="2"/>
  <c r="N1097" i="2"/>
  <c r="M1097" i="2"/>
  <c r="L1097" i="2"/>
  <c r="K1097" i="2"/>
  <c r="H1097" i="2"/>
  <c r="G1097" i="2"/>
  <c r="F1097" i="2"/>
  <c r="E1097" i="2"/>
  <c r="D1097" i="2"/>
  <c r="C1097" i="2"/>
  <c r="B1097" i="2"/>
  <c r="A1097" i="2"/>
  <c r="AG1096" i="2"/>
  <c r="AF1096" i="2"/>
  <c r="AE1096" i="2"/>
  <c r="AD1096" i="2"/>
  <c r="AC1096" i="2"/>
  <c r="AB1096" i="2"/>
  <c r="Z1096" i="2"/>
  <c r="Y1096" i="2"/>
  <c r="X1096" i="2"/>
  <c r="W1096" i="2"/>
  <c r="V1096" i="2"/>
  <c r="U1096" i="2"/>
  <c r="T1096" i="2"/>
  <c r="S1096" i="2"/>
  <c r="R1096" i="2"/>
  <c r="Q1096" i="2"/>
  <c r="P1096" i="2"/>
  <c r="O1096" i="2"/>
  <c r="N1096" i="2"/>
  <c r="M1096" i="2"/>
  <c r="L1096" i="2"/>
  <c r="K1096" i="2"/>
  <c r="H1096" i="2"/>
  <c r="G1096" i="2"/>
  <c r="F1096" i="2"/>
  <c r="E1096" i="2"/>
  <c r="D1096" i="2"/>
  <c r="C1096" i="2"/>
  <c r="B1096" i="2"/>
  <c r="A1096" i="2"/>
  <c r="AG1095" i="2"/>
  <c r="AF1095" i="2"/>
  <c r="AE1095" i="2"/>
  <c r="AD1095" i="2"/>
  <c r="AC1095" i="2"/>
  <c r="AB1095" i="2"/>
  <c r="Z1095" i="2"/>
  <c r="Y1095" i="2"/>
  <c r="X1095" i="2"/>
  <c r="W1095" i="2"/>
  <c r="V1095" i="2"/>
  <c r="U1095" i="2"/>
  <c r="S1095" i="2"/>
  <c r="R1095" i="2"/>
  <c r="Q1095" i="2"/>
  <c r="P1095" i="2"/>
  <c r="O1095" i="2"/>
  <c r="N1095" i="2"/>
  <c r="M1095" i="2"/>
  <c r="L1095" i="2"/>
  <c r="K1095" i="2"/>
  <c r="H1095" i="2"/>
  <c r="G1095" i="2"/>
  <c r="F1095" i="2"/>
  <c r="E1095" i="2"/>
  <c r="D1095" i="2"/>
  <c r="C1095" i="2"/>
  <c r="B1095" i="2"/>
  <c r="A1095" i="2"/>
  <c r="AG1094" i="2"/>
  <c r="AF1094" i="2"/>
  <c r="AE1094" i="2"/>
  <c r="AD1094" i="2"/>
  <c r="AC1094" i="2"/>
  <c r="AB1094" i="2"/>
  <c r="Y1094" i="2"/>
  <c r="X1094" i="2"/>
  <c r="W1094" i="2"/>
  <c r="V1094" i="2"/>
  <c r="U1094" i="2"/>
  <c r="T1094" i="2"/>
  <c r="S1094" i="2"/>
  <c r="R1094" i="2"/>
  <c r="Q1094" i="2"/>
  <c r="P1094" i="2"/>
  <c r="O1094" i="2"/>
  <c r="N1094" i="2"/>
  <c r="M1094" i="2"/>
  <c r="L1094" i="2"/>
  <c r="K1094" i="2"/>
  <c r="H1094" i="2"/>
  <c r="G1094" i="2"/>
  <c r="F1094" i="2"/>
  <c r="E1094" i="2"/>
  <c r="D1094" i="2"/>
  <c r="C1094" i="2"/>
  <c r="B1094" i="2"/>
  <c r="A1094" i="2"/>
  <c r="AF1093" i="2"/>
  <c r="AE1093" i="2"/>
  <c r="AD1093" i="2"/>
  <c r="AC1093" i="2"/>
  <c r="AB1093" i="2"/>
  <c r="Z1093" i="2"/>
  <c r="Y1093" i="2"/>
  <c r="X1093" i="2"/>
  <c r="W1093" i="2"/>
  <c r="V1093" i="2"/>
  <c r="U1093" i="2"/>
  <c r="T1093" i="2"/>
  <c r="S1093" i="2"/>
  <c r="R1093" i="2"/>
  <c r="Q1093" i="2"/>
  <c r="P1093" i="2"/>
  <c r="O1093" i="2"/>
  <c r="N1093" i="2"/>
  <c r="M1093" i="2"/>
  <c r="L1093" i="2"/>
  <c r="K1093" i="2"/>
  <c r="H1093" i="2"/>
  <c r="G1093" i="2"/>
  <c r="F1093" i="2"/>
  <c r="E1093" i="2"/>
  <c r="D1093" i="2"/>
  <c r="C1093" i="2"/>
  <c r="B1093" i="2"/>
  <c r="A1093" i="2"/>
  <c r="AG1092" i="2"/>
  <c r="AD1092" i="2"/>
  <c r="AC1092" i="2"/>
  <c r="AB1092" i="2"/>
  <c r="X1092" i="2"/>
  <c r="W1092" i="2"/>
  <c r="V1092" i="2"/>
  <c r="U1092" i="2"/>
  <c r="T1092" i="2"/>
  <c r="S1092" i="2"/>
  <c r="R1092" i="2"/>
  <c r="Q1092" i="2"/>
  <c r="P1092" i="2"/>
  <c r="O1092" i="2"/>
  <c r="N1092" i="2"/>
  <c r="M1092" i="2"/>
  <c r="L1092" i="2"/>
  <c r="K1092" i="2"/>
  <c r="H1092" i="2"/>
  <c r="G1092" i="2"/>
  <c r="F1092" i="2"/>
  <c r="E1092" i="2"/>
  <c r="D1092" i="2"/>
  <c r="C1092" i="2"/>
  <c r="B1092" i="2"/>
  <c r="A1092" i="2"/>
  <c r="AG1091" i="2"/>
  <c r="AF1091" i="2"/>
  <c r="AD1091" i="2"/>
  <c r="AC1091" i="2"/>
  <c r="AB1091" i="2"/>
  <c r="Z1091" i="2"/>
  <c r="Y1091" i="2"/>
  <c r="X1091" i="2"/>
  <c r="W1091" i="2"/>
  <c r="V1091" i="2"/>
  <c r="U1091" i="2"/>
  <c r="T1091" i="2"/>
  <c r="S1091" i="2"/>
  <c r="R1091" i="2"/>
  <c r="Q1091" i="2"/>
  <c r="P1091" i="2"/>
  <c r="O1091" i="2"/>
  <c r="N1091" i="2"/>
  <c r="M1091" i="2"/>
  <c r="L1091" i="2"/>
  <c r="K1091" i="2"/>
  <c r="H1091" i="2"/>
  <c r="G1091" i="2"/>
  <c r="F1091" i="2"/>
  <c r="E1091" i="2"/>
  <c r="D1091" i="2"/>
  <c r="C1091" i="2"/>
  <c r="B1091" i="2"/>
  <c r="A1091" i="2"/>
  <c r="AG1090" i="2"/>
  <c r="AF1090" i="2"/>
  <c r="AE1090" i="2"/>
  <c r="AD1090" i="2"/>
  <c r="AC1090" i="2"/>
  <c r="AB1090" i="2"/>
  <c r="Y1090" i="2"/>
  <c r="X1090" i="2"/>
  <c r="W1090" i="2"/>
  <c r="V1090" i="2"/>
  <c r="U1090" i="2"/>
  <c r="T1090" i="2"/>
  <c r="S1090" i="2"/>
  <c r="R1090" i="2"/>
  <c r="Q1090" i="2"/>
  <c r="P1090" i="2"/>
  <c r="O1090" i="2"/>
  <c r="N1090" i="2"/>
  <c r="M1090" i="2"/>
  <c r="L1090" i="2"/>
  <c r="K1090" i="2"/>
  <c r="H1090" i="2"/>
  <c r="G1090" i="2"/>
  <c r="F1090" i="2"/>
  <c r="E1090" i="2"/>
  <c r="D1090" i="2"/>
  <c r="C1090" i="2"/>
  <c r="B1090" i="2"/>
  <c r="A1090" i="2"/>
  <c r="AG1089" i="2"/>
  <c r="AF1089" i="2"/>
  <c r="AE1089" i="2"/>
  <c r="AD1089" i="2"/>
  <c r="AC1089" i="2"/>
  <c r="AB1089" i="2"/>
  <c r="X1089" i="2"/>
  <c r="W1089" i="2"/>
  <c r="V1089" i="2"/>
  <c r="U1089" i="2"/>
  <c r="T1089" i="2"/>
  <c r="S1089" i="2"/>
  <c r="R1089" i="2"/>
  <c r="Q1089" i="2"/>
  <c r="P1089" i="2"/>
  <c r="O1089" i="2"/>
  <c r="N1089" i="2"/>
  <c r="M1089" i="2"/>
  <c r="L1089" i="2"/>
  <c r="K1089" i="2"/>
  <c r="H1089" i="2"/>
  <c r="G1089" i="2"/>
  <c r="F1089" i="2"/>
  <c r="E1089" i="2"/>
  <c r="D1089" i="2"/>
  <c r="C1089" i="2"/>
  <c r="B1089" i="2"/>
  <c r="A1089" i="2"/>
  <c r="AG1088" i="2"/>
  <c r="AF1088" i="2"/>
  <c r="AE1088" i="2"/>
  <c r="AD1088" i="2"/>
  <c r="AC1088" i="2"/>
  <c r="AB1088" i="2"/>
  <c r="AA1088" i="2"/>
  <c r="Z1088" i="2"/>
  <c r="Y1088" i="2"/>
  <c r="X1088" i="2"/>
  <c r="W1088" i="2"/>
  <c r="V1088" i="2"/>
  <c r="U1088" i="2"/>
  <c r="S1088" i="2"/>
  <c r="R1088" i="2"/>
  <c r="Q1088" i="2"/>
  <c r="P1088" i="2"/>
  <c r="O1088" i="2"/>
  <c r="N1088" i="2"/>
  <c r="M1088" i="2"/>
  <c r="L1088" i="2"/>
  <c r="K1088" i="2"/>
  <c r="H1088" i="2"/>
  <c r="G1088" i="2"/>
  <c r="F1088" i="2"/>
  <c r="E1088" i="2"/>
  <c r="D1088" i="2"/>
  <c r="C1088" i="2"/>
  <c r="B1088" i="2"/>
  <c r="A1088" i="2"/>
  <c r="AG1087" i="2"/>
  <c r="AD1087" i="2"/>
  <c r="AC1087" i="2"/>
  <c r="AB1087" i="2"/>
  <c r="Y1087" i="2"/>
  <c r="X1087" i="2"/>
  <c r="W1087" i="2"/>
  <c r="V1087" i="2"/>
  <c r="U1087" i="2"/>
  <c r="S1087" i="2"/>
  <c r="R1087" i="2"/>
  <c r="Q1087" i="2"/>
  <c r="P1087" i="2"/>
  <c r="O1087" i="2"/>
  <c r="N1087" i="2"/>
  <c r="M1087" i="2"/>
  <c r="L1087" i="2"/>
  <c r="K1087" i="2"/>
  <c r="H1087" i="2"/>
  <c r="G1087" i="2"/>
  <c r="F1087" i="2"/>
  <c r="E1087" i="2"/>
  <c r="D1087" i="2"/>
  <c r="C1087" i="2"/>
  <c r="B1087" i="2"/>
  <c r="A1087" i="2"/>
  <c r="AG1086" i="2"/>
  <c r="AD1086" i="2"/>
  <c r="AC1086" i="2"/>
  <c r="AB1086" i="2"/>
  <c r="Z1086" i="2"/>
  <c r="Y1086" i="2"/>
  <c r="X1086" i="2"/>
  <c r="W1086" i="2"/>
  <c r="V1086" i="2"/>
  <c r="U1086" i="2"/>
  <c r="T1086" i="2"/>
  <c r="S1086" i="2"/>
  <c r="R1086" i="2"/>
  <c r="Q1086" i="2"/>
  <c r="P1086" i="2"/>
  <c r="O1086" i="2"/>
  <c r="N1086" i="2"/>
  <c r="M1086" i="2"/>
  <c r="L1086" i="2"/>
  <c r="K1086" i="2"/>
  <c r="H1086" i="2"/>
  <c r="G1086" i="2"/>
  <c r="F1086" i="2"/>
  <c r="E1086" i="2"/>
  <c r="D1086" i="2"/>
  <c r="C1086" i="2"/>
  <c r="B1086" i="2"/>
  <c r="A1086" i="2"/>
  <c r="AH1085" i="2"/>
  <c r="AG1085" i="2"/>
  <c r="AD1085" i="2"/>
  <c r="AC1085" i="2"/>
  <c r="AB1085" i="2"/>
  <c r="Z1085" i="2"/>
  <c r="Y1085" i="2"/>
  <c r="X1085" i="2"/>
  <c r="W1085" i="2"/>
  <c r="V1085" i="2"/>
  <c r="U1085" i="2"/>
  <c r="T1085" i="2"/>
  <c r="S1085" i="2"/>
  <c r="R1085" i="2"/>
  <c r="Q1085" i="2"/>
  <c r="P1085" i="2"/>
  <c r="O1085" i="2"/>
  <c r="N1085" i="2"/>
  <c r="M1085" i="2"/>
  <c r="L1085" i="2"/>
  <c r="K1085" i="2"/>
  <c r="H1085" i="2"/>
  <c r="G1085" i="2"/>
  <c r="F1085" i="2"/>
  <c r="E1085" i="2"/>
  <c r="D1085" i="2"/>
  <c r="C1085" i="2"/>
  <c r="B1085" i="2"/>
  <c r="A1085" i="2"/>
  <c r="AH1084" i="2"/>
  <c r="AG1084" i="2"/>
  <c r="AF1084" i="2"/>
  <c r="AD1084" i="2"/>
  <c r="AC1084" i="2"/>
  <c r="AB1084" i="2"/>
  <c r="Z1084" i="2"/>
  <c r="X1084" i="2"/>
  <c r="W1084" i="2"/>
  <c r="V1084" i="2"/>
  <c r="U1084" i="2"/>
  <c r="T1084" i="2"/>
  <c r="S1084" i="2"/>
  <c r="R1084" i="2"/>
  <c r="Q1084" i="2"/>
  <c r="P1084" i="2"/>
  <c r="O1084" i="2"/>
  <c r="N1084" i="2"/>
  <c r="M1084" i="2"/>
  <c r="L1084" i="2"/>
  <c r="K1084" i="2"/>
  <c r="J1084" i="2"/>
  <c r="H1084" i="2"/>
  <c r="G1084" i="2"/>
  <c r="F1084" i="2"/>
  <c r="E1084" i="2"/>
  <c r="D1084" i="2"/>
  <c r="C1084" i="2"/>
  <c r="B1084" i="2"/>
  <c r="A1084" i="2"/>
  <c r="AG1083" i="2"/>
  <c r="AF1083" i="2"/>
  <c r="AD1083" i="2"/>
  <c r="AC1083" i="2"/>
  <c r="AB1083" i="2"/>
  <c r="X1083" i="2"/>
  <c r="W1083" i="2"/>
  <c r="V1083" i="2"/>
  <c r="U1083" i="2"/>
  <c r="S1083" i="2"/>
  <c r="R1083" i="2"/>
  <c r="Q1083" i="2"/>
  <c r="P1083" i="2"/>
  <c r="O1083" i="2"/>
  <c r="N1083" i="2"/>
  <c r="M1083" i="2"/>
  <c r="L1083" i="2"/>
  <c r="K1083" i="2"/>
  <c r="H1083" i="2"/>
  <c r="G1083" i="2"/>
  <c r="F1083" i="2"/>
  <c r="E1083" i="2"/>
  <c r="D1083" i="2"/>
  <c r="C1083" i="2"/>
  <c r="B1083" i="2"/>
  <c r="A1083" i="2"/>
  <c r="AG1082" i="2"/>
  <c r="AF1082" i="2"/>
  <c r="AD1082" i="2"/>
  <c r="AC1082" i="2"/>
  <c r="AB1082" i="2"/>
  <c r="Z1082" i="2"/>
  <c r="Y1082" i="2"/>
  <c r="X1082" i="2"/>
  <c r="W1082" i="2"/>
  <c r="V1082" i="2"/>
  <c r="U1082" i="2"/>
  <c r="T1082" i="2"/>
  <c r="S1082" i="2"/>
  <c r="R1082" i="2"/>
  <c r="Q1082" i="2"/>
  <c r="P1082" i="2"/>
  <c r="O1082" i="2"/>
  <c r="N1082" i="2"/>
  <c r="M1082" i="2"/>
  <c r="L1082" i="2"/>
  <c r="K1082" i="2"/>
  <c r="H1082" i="2"/>
  <c r="G1082" i="2"/>
  <c r="F1082" i="2"/>
  <c r="E1082" i="2"/>
  <c r="D1082" i="2"/>
  <c r="C1082" i="2"/>
  <c r="B1082" i="2"/>
  <c r="A1082" i="2"/>
  <c r="AG1081" i="2"/>
  <c r="AF1081" i="2"/>
  <c r="AE1081" i="2"/>
  <c r="AD1081" i="2"/>
  <c r="AC1081" i="2"/>
  <c r="AB1081" i="2"/>
  <c r="Z1081" i="2"/>
  <c r="Y1081" i="2"/>
  <c r="X1081" i="2"/>
  <c r="W1081" i="2"/>
  <c r="V1081" i="2"/>
  <c r="U1081" i="2"/>
  <c r="T1081" i="2"/>
  <c r="S1081" i="2"/>
  <c r="R1081" i="2"/>
  <c r="Q1081" i="2"/>
  <c r="P1081" i="2"/>
  <c r="O1081" i="2"/>
  <c r="N1081" i="2"/>
  <c r="M1081" i="2"/>
  <c r="L1081" i="2"/>
  <c r="K1081" i="2"/>
  <c r="H1081" i="2"/>
  <c r="G1081" i="2"/>
  <c r="F1081" i="2"/>
  <c r="E1081" i="2"/>
  <c r="D1081" i="2"/>
  <c r="C1081" i="2"/>
  <c r="B1081" i="2"/>
  <c r="A1081" i="2"/>
  <c r="AG1080" i="2"/>
  <c r="AF1080" i="2"/>
  <c r="AE1080" i="2"/>
  <c r="AD1080" i="2"/>
  <c r="AC1080" i="2"/>
  <c r="AB1080" i="2"/>
  <c r="Y1080" i="2"/>
  <c r="X1080" i="2"/>
  <c r="W1080" i="2"/>
  <c r="V1080" i="2"/>
  <c r="U1080" i="2"/>
  <c r="T1080" i="2"/>
  <c r="S1080" i="2"/>
  <c r="R1080" i="2"/>
  <c r="Q1080" i="2"/>
  <c r="P1080" i="2"/>
  <c r="O1080" i="2"/>
  <c r="N1080" i="2"/>
  <c r="M1080" i="2"/>
  <c r="L1080" i="2"/>
  <c r="K1080" i="2"/>
  <c r="H1080" i="2"/>
  <c r="G1080" i="2"/>
  <c r="F1080" i="2"/>
  <c r="E1080" i="2"/>
  <c r="D1080" i="2"/>
  <c r="C1080" i="2"/>
  <c r="B1080" i="2"/>
  <c r="A1080" i="2"/>
  <c r="AG1079" i="2"/>
  <c r="AD1079" i="2"/>
  <c r="AC1079" i="2"/>
  <c r="AB1079" i="2"/>
  <c r="Y1079" i="2"/>
  <c r="X1079" i="2"/>
  <c r="W1079" i="2"/>
  <c r="V1079" i="2"/>
  <c r="U1079" i="2"/>
  <c r="T1079" i="2"/>
  <c r="S1079" i="2"/>
  <c r="R1079" i="2"/>
  <c r="Q1079" i="2"/>
  <c r="P1079" i="2"/>
  <c r="O1079" i="2"/>
  <c r="N1079" i="2"/>
  <c r="M1079" i="2"/>
  <c r="L1079" i="2"/>
  <c r="K1079" i="2"/>
  <c r="H1079" i="2"/>
  <c r="G1079" i="2"/>
  <c r="F1079" i="2"/>
  <c r="E1079" i="2"/>
  <c r="D1079" i="2"/>
  <c r="C1079" i="2"/>
  <c r="B1079" i="2"/>
  <c r="A1079" i="2"/>
  <c r="AG1078" i="2"/>
  <c r="AF1078" i="2"/>
  <c r="AE1078" i="2"/>
  <c r="AD1078" i="2"/>
  <c r="AC1078" i="2"/>
  <c r="AB1078" i="2"/>
  <c r="Z1078" i="2"/>
  <c r="Y1078" i="2"/>
  <c r="X1078" i="2"/>
  <c r="W1078" i="2"/>
  <c r="V1078" i="2"/>
  <c r="U1078" i="2"/>
  <c r="T1078" i="2"/>
  <c r="S1078" i="2"/>
  <c r="R1078" i="2"/>
  <c r="Q1078" i="2"/>
  <c r="P1078" i="2"/>
  <c r="O1078" i="2"/>
  <c r="N1078" i="2"/>
  <c r="M1078" i="2"/>
  <c r="L1078" i="2"/>
  <c r="K1078" i="2"/>
  <c r="H1078" i="2"/>
  <c r="G1078" i="2"/>
  <c r="F1078" i="2"/>
  <c r="E1078" i="2"/>
  <c r="D1078" i="2"/>
  <c r="C1078" i="2"/>
  <c r="B1078" i="2"/>
  <c r="A1078" i="2"/>
  <c r="AH1077" i="2"/>
  <c r="AG1077" i="2"/>
  <c r="AF1077" i="2"/>
  <c r="AE1077" i="2"/>
  <c r="AD1077" i="2"/>
  <c r="AC1077" i="2"/>
  <c r="AB1077" i="2"/>
  <c r="Z1077" i="2"/>
  <c r="Y1077" i="2"/>
  <c r="X1077" i="2"/>
  <c r="W1077" i="2"/>
  <c r="V1077" i="2"/>
  <c r="U1077" i="2"/>
  <c r="T1077" i="2"/>
  <c r="S1077" i="2"/>
  <c r="R1077" i="2"/>
  <c r="Q1077" i="2"/>
  <c r="P1077" i="2"/>
  <c r="O1077" i="2"/>
  <c r="N1077" i="2"/>
  <c r="M1077" i="2"/>
  <c r="L1077" i="2"/>
  <c r="K1077" i="2"/>
  <c r="H1077" i="2"/>
  <c r="G1077" i="2"/>
  <c r="F1077" i="2"/>
  <c r="E1077" i="2"/>
  <c r="D1077" i="2"/>
  <c r="C1077" i="2"/>
  <c r="B1077" i="2"/>
  <c r="A1077" i="2"/>
  <c r="AG1076" i="2"/>
  <c r="AF1076" i="2"/>
  <c r="AE1076" i="2"/>
  <c r="AD1076" i="2"/>
  <c r="AC1076" i="2"/>
  <c r="AB1076" i="2"/>
  <c r="Z1076" i="2"/>
  <c r="Y1076" i="2"/>
  <c r="X1076" i="2"/>
  <c r="W1076" i="2"/>
  <c r="V1076" i="2"/>
  <c r="U1076" i="2"/>
  <c r="S1076" i="2"/>
  <c r="R1076" i="2"/>
  <c r="Q1076" i="2"/>
  <c r="P1076" i="2"/>
  <c r="O1076" i="2"/>
  <c r="N1076" i="2"/>
  <c r="M1076" i="2"/>
  <c r="L1076" i="2"/>
  <c r="K1076" i="2"/>
  <c r="H1076" i="2"/>
  <c r="G1076" i="2"/>
  <c r="F1076" i="2"/>
  <c r="E1076" i="2"/>
  <c r="D1076" i="2"/>
  <c r="C1076" i="2"/>
  <c r="B1076" i="2"/>
  <c r="A1076" i="2"/>
  <c r="AG1075" i="2"/>
  <c r="AF1075" i="2"/>
  <c r="AE1075" i="2"/>
  <c r="AD1075" i="2"/>
  <c r="AC1075" i="2"/>
  <c r="AB1075" i="2"/>
  <c r="Y1075" i="2"/>
  <c r="X1075" i="2"/>
  <c r="W1075" i="2"/>
  <c r="V1075" i="2"/>
  <c r="U1075" i="2"/>
  <c r="T1075" i="2"/>
  <c r="S1075" i="2"/>
  <c r="R1075" i="2"/>
  <c r="Q1075" i="2"/>
  <c r="P1075" i="2"/>
  <c r="O1075" i="2"/>
  <c r="N1075" i="2"/>
  <c r="M1075" i="2"/>
  <c r="L1075" i="2"/>
  <c r="K1075" i="2"/>
  <c r="H1075" i="2"/>
  <c r="G1075" i="2"/>
  <c r="F1075" i="2"/>
  <c r="E1075" i="2"/>
  <c r="D1075" i="2"/>
  <c r="C1075" i="2"/>
  <c r="B1075" i="2"/>
  <c r="A1075" i="2"/>
  <c r="AG1074" i="2"/>
  <c r="AF1074" i="2"/>
  <c r="AE1074" i="2"/>
  <c r="AD1074" i="2"/>
  <c r="AC1074" i="2"/>
  <c r="AB1074" i="2"/>
  <c r="Z1074" i="2"/>
  <c r="Y1074" i="2"/>
  <c r="X1074" i="2"/>
  <c r="W1074" i="2"/>
  <c r="V1074" i="2"/>
  <c r="U1074" i="2"/>
  <c r="T1074" i="2"/>
  <c r="S1074" i="2"/>
  <c r="R1074" i="2"/>
  <c r="Q1074" i="2"/>
  <c r="P1074" i="2"/>
  <c r="O1074" i="2"/>
  <c r="N1074" i="2"/>
  <c r="M1074" i="2"/>
  <c r="L1074" i="2"/>
  <c r="K1074" i="2"/>
  <c r="H1074" i="2"/>
  <c r="G1074" i="2"/>
  <c r="F1074" i="2"/>
  <c r="E1074" i="2"/>
  <c r="D1074" i="2"/>
  <c r="C1074" i="2"/>
  <c r="B1074" i="2"/>
  <c r="A1074" i="2"/>
  <c r="AH1073" i="2"/>
  <c r="AG1073" i="2"/>
  <c r="AF1073" i="2"/>
  <c r="AE1073" i="2"/>
  <c r="AD1073" i="2"/>
  <c r="AC1073" i="2"/>
  <c r="AB1073" i="2"/>
  <c r="Z1073" i="2"/>
  <c r="Y1073" i="2"/>
  <c r="X1073" i="2"/>
  <c r="W1073" i="2"/>
  <c r="V1073" i="2"/>
  <c r="U1073" i="2"/>
  <c r="T1073" i="2"/>
  <c r="S1073" i="2"/>
  <c r="R1073" i="2"/>
  <c r="Q1073" i="2"/>
  <c r="P1073" i="2"/>
  <c r="O1073" i="2"/>
  <c r="N1073" i="2"/>
  <c r="M1073" i="2"/>
  <c r="L1073" i="2"/>
  <c r="K1073" i="2"/>
  <c r="H1073" i="2"/>
  <c r="G1073" i="2"/>
  <c r="F1073" i="2"/>
  <c r="E1073" i="2"/>
  <c r="D1073" i="2"/>
  <c r="C1073" i="2"/>
  <c r="B1073" i="2"/>
  <c r="A1073" i="2"/>
  <c r="AH1072" i="2"/>
  <c r="AF1072" i="2"/>
  <c r="AD1072" i="2"/>
  <c r="AC1072" i="2"/>
  <c r="AB1072" i="2"/>
  <c r="Z1072" i="2"/>
  <c r="Y1072" i="2"/>
  <c r="X1072" i="2"/>
  <c r="W1072" i="2"/>
  <c r="V1072" i="2"/>
  <c r="U1072" i="2"/>
  <c r="T1072" i="2"/>
  <c r="S1072" i="2"/>
  <c r="R1072" i="2"/>
  <c r="Q1072" i="2"/>
  <c r="P1072" i="2"/>
  <c r="O1072" i="2"/>
  <c r="N1072" i="2"/>
  <c r="M1072" i="2"/>
  <c r="L1072" i="2"/>
  <c r="K1072" i="2"/>
  <c r="H1072" i="2"/>
  <c r="G1072" i="2"/>
  <c r="F1072" i="2"/>
  <c r="E1072" i="2"/>
  <c r="D1072" i="2"/>
  <c r="C1072" i="2"/>
  <c r="B1072" i="2"/>
  <c r="A1072" i="2"/>
  <c r="AH1071" i="2"/>
  <c r="AG1071" i="2"/>
  <c r="AF1071" i="2"/>
  <c r="AE1071" i="2"/>
  <c r="AD1071" i="2"/>
  <c r="AC1071" i="2"/>
  <c r="AB1071" i="2"/>
  <c r="Z1071" i="2"/>
  <c r="Y1071" i="2"/>
  <c r="X1071" i="2"/>
  <c r="W1071" i="2"/>
  <c r="V1071" i="2"/>
  <c r="U1071" i="2"/>
  <c r="T1071" i="2"/>
  <c r="S1071" i="2"/>
  <c r="R1071" i="2"/>
  <c r="Q1071" i="2"/>
  <c r="P1071" i="2"/>
  <c r="O1071" i="2"/>
  <c r="N1071" i="2"/>
  <c r="M1071" i="2"/>
  <c r="L1071" i="2"/>
  <c r="K1071" i="2"/>
  <c r="J1071" i="2"/>
  <c r="H1071" i="2"/>
  <c r="G1071" i="2"/>
  <c r="F1071" i="2"/>
  <c r="E1071" i="2"/>
  <c r="D1071" i="2"/>
  <c r="C1071" i="2"/>
  <c r="B1071" i="2"/>
  <c r="A1071" i="2"/>
  <c r="AH1070" i="2"/>
  <c r="AG1070" i="2"/>
  <c r="AF1070" i="2"/>
  <c r="AD1070" i="2"/>
  <c r="AC1070" i="2"/>
  <c r="AB1070" i="2"/>
  <c r="Z1070" i="2"/>
  <c r="Y1070" i="2"/>
  <c r="X1070" i="2"/>
  <c r="W1070" i="2"/>
  <c r="V1070" i="2"/>
  <c r="U1070" i="2"/>
  <c r="T1070" i="2"/>
  <c r="S1070" i="2"/>
  <c r="R1070" i="2"/>
  <c r="Q1070" i="2"/>
  <c r="P1070" i="2"/>
  <c r="O1070" i="2"/>
  <c r="N1070" i="2"/>
  <c r="M1070" i="2"/>
  <c r="L1070" i="2"/>
  <c r="K1070" i="2"/>
  <c r="J1070" i="2"/>
  <c r="H1070" i="2"/>
  <c r="G1070" i="2"/>
  <c r="F1070" i="2"/>
  <c r="E1070" i="2"/>
  <c r="D1070" i="2"/>
  <c r="C1070" i="2"/>
  <c r="B1070" i="2"/>
  <c r="A1070" i="2"/>
  <c r="AG1069" i="2"/>
  <c r="AF1069" i="2"/>
  <c r="AE1069" i="2"/>
  <c r="AD1069" i="2"/>
  <c r="AC1069" i="2"/>
  <c r="AB1069" i="2"/>
  <c r="Y1069" i="2"/>
  <c r="X1069" i="2"/>
  <c r="W1069" i="2"/>
  <c r="V1069" i="2"/>
  <c r="U1069" i="2"/>
  <c r="S1069" i="2"/>
  <c r="R1069" i="2"/>
  <c r="Q1069" i="2"/>
  <c r="P1069" i="2"/>
  <c r="O1069" i="2"/>
  <c r="N1069" i="2"/>
  <c r="M1069" i="2"/>
  <c r="L1069" i="2"/>
  <c r="K1069" i="2"/>
  <c r="H1069" i="2"/>
  <c r="G1069" i="2"/>
  <c r="F1069" i="2"/>
  <c r="E1069" i="2"/>
  <c r="D1069" i="2"/>
  <c r="C1069" i="2"/>
  <c r="B1069" i="2"/>
  <c r="A1069" i="2"/>
  <c r="AH1068" i="2"/>
  <c r="AG1068" i="2"/>
  <c r="AF1068" i="2"/>
  <c r="AE1068" i="2"/>
  <c r="AD1068" i="2"/>
  <c r="AC1068" i="2"/>
  <c r="AB1068" i="2"/>
  <c r="Y1068" i="2"/>
  <c r="X1068" i="2"/>
  <c r="W1068" i="2"/>
  <c r="V1068" i="2"/>
  <c r="U1068" i="2"/>
  <c r="T1068" i="2"/>
  <c r="S1068" i="2"/>
  <c r="R1068" i="2"/>
  <c r="Q1068" i="2"/>
  <c r="P1068" i="2"/>
  <c r="O1068" i="2"/>
  <c r="N1068" i="2"/>
  <c r="M1068" i="2"/>
  <c r="L1068" i="2"/>
  <c r="K1068" i="2"/>
  <c r="H1068" i="2"/>
  <c r="G1068" i="2"/>
  <c r="F1068" i="2"/>
  <c r="E1068" i="2"/>
  <c r="D1068" i="2"/>
  <c r="C1068" i="2"/>
  <c r="B1068" i="2"/>
  <c r="A1068" i="2"/>
  <c r="AD1067" i="2"/>
  <c r="AC1067" i="2"/>
  <c r="AB1067" i="2"/>
  <c r="Y1067" i="2"/>
  <c r="X1067" i="2"/>
  <c r="W1067" i="2"/>
  <c r="V1067" i="2"/>
  <c r="U1067" i="2"/>
  <c r="T1067" i="2"/>
  <c r="S1067" i="2"/>
  <c r="R1067" i="2"/>
  <c r="Q1067" i="2"/>
  <c r="P1067" i="2"/>
  <c r="O1067" i="2"/>
  <c r="N1067" i="2"/>
  <c r="M1067" i="2"/>
  <c r="L1067" i="2"/>
  <c r="K1067" i="2"/>
  <c r="H1067" i="2"/>
  <c r="G1067" i="2"/>
  <c r="F1067" i="2"/>
  <c r="E1067" i="2"/>
  <c r="D1067" i="2"/>
  <c r="C1067" i="2"/>
  <c r="B1067" i="2"/>
  <c r="A1067" i="2"/>
  <c r="AH1066" i="2"/>
  <c r="AG1066" i="2"/>
  <c r="AF1066" i="2"/>
  <c r="AE1066" i="2"/>
  <c r="AD1066" i="2"/>
  <c r="AC1066" i="2"/>
  <c r="AB1066" i="2"/>
  <c r="Z1066" i="2"/>
  <c r="Y1066" i="2"/>
  <c r="X1066" i="2"/>
  <c r="W1066" i="2"/>
  <c r="V1066" i="2"/>
  <c r="U1066" i="2"/>
  <c r="T1066" i="2"/>
  <c r="S1066" i="2"/>
  <c r="R1066" i="2"/>
  <c r="Q1066" i="2"/>
  <c r="P1066" i="2"/>
  <c r="O1066" i="2"/>
  <c r="N1066" i="2"/>
  <c r="M1066" i="2"/>
  <c r="L1066" i="2"/>
  <c r="K1066" i="2"/>
  <c r="H1066" i="2"/>
  <c r="G1066" i="2"/>
  <c r="F1066" i="2"/>
  <c r="E1066" i="2"/>
  <c r="D1066" i="2"/>
  <c r="C1066" i="2"/>
  <c r="B1066" i="2"/>
  <c r="A1066" i="2"/>
  <c r="AG1065" i="2"/>
  <c r="AF1065" i="2"/>
  <c r="AE1065" i="2"/>
  <c r="AD1065" i="2"/>
  <c r="AC1065" i="2"/>
  <c r="AB1065" i="2"/>
  <c r="Y1065" i="2"/>
  <c r="X1065" i="2"/>
  <c r="W1065" i="2"/>
  <c r="V1065" i="2"/>
  <c r="U1065" i="2"/>
  <c r="T1065" i="2"/>
  <c r="R1065" i="2"/>
  <c r="Q1065" i="2"/>
  <c r="P1065" i="2"/>
  <c r="O1065" i="2"/>
  <c r="N1065" i="2"/>
  <c r="M1065" i="2"/>
  <c r="L1065" i="2"/>
  <c r="K1065" i="2"/>
  <c r="H1065" i="2"/>
  <c r="G1065" i="2"/>
  <c r="F1065" i="2"/>
  <c r="E1065" i="2"/>
  <c r="D1065" i="2"/>
  <c r="C1065" i="2"/>
  <c r="B1065" i="2"/>
  <c r="A1065" i="2"/>
  <c r="AH1064" i="2"/>
  <c r="AG1064" i="2"/>
  <c r="AF1064" i="2"/>
  <c r="AE1064" i="2"/>
  <c r="AD1064" i="2"/>
  <c r="AC1064" i="2"/>
  <c r="AB1064" i="2"/>
  <c r="Z1064" i="2"/>
  <c r="Y1064" i="2"/>
  <c r="X1064" i="2"/>
  <c r="W1064" i="2"/>
  <c r="V1064" i="2"/>
  <c r="U1064" i="2"/>
  <c r="T1064" i="2"/>
  <c r="S1064" i="2"/>
  <c r="R1064" i="2"/>
  <c r="Q1064" i="2"/>
  <c r="P1064" i="2"/>
  <c r="O1064" i="2"/>
  <c r="N1064" i="2"/>
  <c r="M1064" i="2"/>
  <c r="L1064" i="2"/>
  <c r="K1064" i="2"/>
  <c r="H1064" i="2"/>
  <c r="G1064" i="2"/>
  <c r="F1064" i="2"/>
  <c r="E1064" i="2"/>
  <c r="D1064" i="2"/>
  <c r="C1064" i="2"/>
  <c r="B1064" i="2"/>
  <c r="A1064" i="2"/>
  <c r="AG1063" i="2"/>
  <c r="AF1063" i="2"/>
  <c r="AD1063" i="2"/>
  <c r="AC1063" i="2"/>
  <c r="AB1063" i="2"/>
  <c r="Y1063" i="2"/>
  <c r="X1063" i="2"/>
  <c r="W1063" i="2"/>
  <c r="V1063" i="2"/>
  <c r="U1063" i="2"/>
  <c r="T1063" i="2"/>
  <c r="S1063" i="2"/>
  <c r="R1063" i="2"/>
  <c r="Q1063" i="2"/>
  <c r="P1063" i="2"/>
  <c r="O1063" i="2"/>
  <c r="N1063" i="2"/>
  <c r="M1063" i="2"/>
  <c r="L1063" i="2"/>
  <c r="K1063" i="2"/>
  <c r="H1063" i="2"/>
  <c r="G1063" i="2"/>
  <c r="F1063" i="2"/>
  <c r="E1063" i="2"/>
  <c r="D1063" i="2"/>
  <c r="C1063" i="2"/>
  <c r="B1063" i="2"/>
  <c r="A1063" i="2"/>
  <c r="AH1062" i="2"/>
  <c r="AG1062" i="2"/>
  <c r="AF1062" i="2"/>
  <c r="AE1062" i="2"/>
  <c r="AD1062" i="2"/>
  <c r="AC1062" i="2"/>
  <c r="AB1062" i="2"/>
  <c r="Z1062" i="2"/>
  <c r="Y1062" i="2"/>
  <c r="X1062" i="2"/>
  <c r="W1062" i="2"/>
  <c r="V1062" i="2"/>
  <c r="U1062" i="2"/>
  <c r="T1062" i="2"/>
  <c r="S1062" i="2"/>
  <c r="R1062" i="2"/>
  <c r="Q1062" i="2"/>
  <c r="P1062" i="2"/>
  <c r="O1062" i="2"/>
  <c r="N1062" i="2"/>
  <c r="M1062" i="2"/>
  <c r="L1062" i="2"/>
  <c r="K1062" i="2"/>
  <c r="H1062" i="2"/>
  <c r="G1062" i="2"/>
  <c r="F1062" i="2"/>
  <c r="E1062" i="2"/>
  <c r="D1062" i="2"/>
  <c r="C1062" i="2"/>
  <c r="B1062" i="2"/>
  <c r="A1062" i="2"/>
  <c r="AG1061" i="2"/>
  <c r="AF1061" i="2"/>
  <c r="AE1061" i="2"/>
  <c r="AD1061" i="2"/>
  <c r="AC1061" i="2"/>
  <c r="AB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AH1060" i="2"/>
  <c r="AG1060" i="2"/>
  <c r="AF1060" i="2"/>
  <c r="AE1060" i="2"/>
  <c r="AD1060" i="2"/>
  <c r="AC1060" i="2"/>
  <c r="AB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G1059" i="2"/>
  <c r="AF1059" i="2"/>
  <c r="AE1059" i="2"/>
  <c r="AD1059" i="2"/>
  <c r="AC1059" i="2"/>
  <c r="AB1059" i="2"/>
  <c r="AA1059" i="2"/>
  <c r="Z1059" i="2"/>
  <c r="Y1059" i="2"/>
  <c r="X1059" i="2"/>
  <c r="W1059" i="2"/>
  <c r="V1059" i="2"/>
  <c r="U1059" i="2"/>
  <c r="T1059" i="2"/>
  <c r="S1059" i="2"/>
  <c r="R1059" i="2"/>
  <c r="Q1059" i="2"/>
  <c r="P1059" i="2"/>
  <c r="O1059" i="2"/>
  <c r="N1059" i="2"/>
  <c r="M1059" i="2"/>
  <c r="L1059" i="2"/>
  <c r="K1059" i="2"/>
  <c r="J1059" i="2"/>
  <c r="I1059" i="2"/>
  <c r="H1059" i="2"/>
  <c r="G1059" i="2"/>
  <c r="F1059" i="2"/>
  <c r="E1059" i="2"/>
  <c r="D1059" i="2"/>
  <c r="C1059" i="2"/>
  <c r="B1059" i="2"/>
  <c r="A1059" i="2"/>
  <c r="AE1058" i="2"/>
  <c r="AD1058" i="2"/>
  <c r="AC1058" i="2"/>
  <c r="AB1058" i="2"/>
  <c r="Y1058" i="2"/>
  <c r="X1058" i="2"/>
  <c r="W1058" i="2"/>
  <c r="V1058" i="2"/>
  <c r="U1058" i="2"/>
  <c r="T1058" i="2"/>
  <c r="S1058" i="2"/>
  <c r="R1058" i="2"/>
  <c r="Q1058" i="2"/>
  <c r="P1058" i="2"/>
  <c r="O1058" i="2"/>
  <c r="N1058" i="2"/>
  <c r="M1058" i="2"/>
  <c r="L1058" i="2"/>
  <c r="K1058" i="2"/>
  <c r="H1058" i="2"/>
  <c r="G1058" i="2"/>
  <c r="F1058" i="2"/>
  <c r="E1058" i="2"/>
  <c r="D1058" i="2"/>
  <c r="C1058" i="2"/>
  <c r="B1058" i="2"/>
  <c r="A1058" i="2"/>
  <c r="AH1057" i="2"/>
  <c r="AG1057" i="2"/>
  <c r="AF1057" i="2"/>
  <c r="AE1057" i="2"/>
  <c r="AD1057" i="2"/>
  <c r="AC1057" i="2"/>
  <c r="AB1057" i="2"/>
  <c r="Z1057" i="2"/>
  <c r="Y1057" i="2"/>
  <c r="X1057" i="2"/>
  <c r="W1057" i="2"/>
  <c r="V1057" i="2"/>
  <c r="U1057" i="2"/>
  <c r="T1057" i="2"/>
  <c r="S1057" i="2"/>
  <c r="R1057" i="2"/>
  <c r="Q1057" i="2"/>
  <c r="P1057" i="2"/>
  <c r="O1057" i="2"/>
  <c r="N1057" i="2"/>
  <c r="M1057" i="2"/>
  <c r="L1057" i="2"/>
  <c r="K1057" i="2"/>
  <c r="J1057" i="2"/>
  <c r="I1057" i="2"/>
  <c r="H1057" i="2"/>
  <c r="G1057" i="2"/>
  <c r="F1057" i="2"/>
  <c r="E1057" i="2"/>
  <c r="D1057" i="2"/>
  <c r="C1057" i="2"/>
  <c r="B1057" i="2"/>
  <c r="A1057" i="2"/>
  <c r="AG1056" i="2"/>
  <c r="AF1056" i="2"/>
  <c r="AE1056" i="2"/>
  <c r="AD1056" i="2"/>
  <c r="AC1056" i="2"/>
  <c r="AB1056" i="2"/>
  <c r="AA1056" i="2"/>
  <c r="Z1056" i="2"/>
  <c r="Y1056" i="2"/>
  <c r="X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AG1055" i="2"/>
  <c r="AF1055" i="2"/>
  <c r="AE1055" i="2"/>
  <c r="AD1055" i="2"/>
  <c r="AC1055" i="2"/>
  <c r="AB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G1054" i="2"/>
  <c r="AF1054" i="2"/>
  <c r="AE1054" i="2"/>
  <c r="AD1054" i="2"/>
  <c r="AC1054" i="2"/>
  <c r="AB1054" i="2"/>
  <c r="Z1054" i="2"/>
  <c r="Y1054" i="2"/>
  <c r="X1054" i="2"/>
  <c r="W1054" i="2"/>
  <c r="V1054" i="2"/>
  <c r="U1054" i="2"/>
  <c r="T1054" i="2"/>
  <c r="S1054" i="2"/>
  <c r="R1054" i="2"/>
  <c r="Q1054" i="2"/>
  <c r="P1054" i="2"/>
  <c r="O1054" i="2"/>
  <c r="N1054" i="2"/>
  <c r="M1054" i="2"/>
  <c r="L1054" i="2"/>
  <c r="K1054" i="2"/>
  <c r="J1054" i="2"/>
  <c r="I1054" i="2"/>
  <c r="H1054" i="2"/>
  <c r="G1054" i="2"/>
  <c r="F1054" i="2"/>
  <c r="E1054" i="2"/>
  <c r="D1054" i="2"/>
  <c r="C1054" i="2"/>
  <c r="B1054" i="2"/>
  <c r="A1054" i="2"/>
  <c r="AG1053" i="2"/>
  <c r="AF1053" i="2"/>
  <c r="AE1053" i="2"/>
  <c r="AD1053" i="2"/>
  <c r="AC1053" i="2"/>
  <c r="AB1053" i="2"/>
  <c r="Y1053" i="2"/>
  <c r="X1053" i="2"/>
  <c r="W1053" i="2"/>
  <c r="V1053" i="2"/>
  <c r="U1053" i="2"/>
  <c r="T1053" i="2"/>
  <c r="S1053" i="2"/>
  <c r="R1053" i="2"/>
  <c r="Q1053" i="2"/>
  <c r="P1053" i="2"/>
  <c r="O1053" i="2"/>
  <c r="N1053" i="2"/>
  <c r="M1053" i="2"/>
  <c r="L1053" i="2"/>
  <c r="K1053" i="2"/>
  <c r="J1053" i="2"/>
  <c r="I1053" i="2"/>
  <c r="H1053" i="2"/>
  <c r="G1053" i="2"/>
  <c r="F1053" i="2"/>
  <c r="E1053" i="2"/>
  <c r="D1053" i="2"/>
  <c r="C1053" i="2"/>
  <c r="B1053" i="2"/>
  <c r="A1053" i="2"/>
  <c r="AG1052" i="2"/>
  <c r="AF1052" i="2"/>
  <c r="AE1052" i="2"/>
  <c r="AD1052" i="2"/>
  <c r="AC1052" i="2"/>
  <c r="AB1052" i="2"/>
  <c r="AA1052" i="2"/>
  <c r="Z1052" i="2"/>
  <c r="Y1052" i="2"/>
  <c r="X1052" i="2"/>
  <c r="W1052" i="2"/>
  <c r="V1052" i="2"/>
  <c r="U1052" i="2"/>
  <c r="T1052" i="2"/>
  <c r="S1052" i="2"/>
  <c r="R1052" i="2"/>
  <c r="Q1052" i="2"/>
  <c r="P1052" i="2"/>
  <c r="O1052" i="2"/>
  <c r="N1052" i="2"/>
  <c r="M1052" i="2"/>
  <c r="L1052" i="2"/>
  <c r="K1052" i="2"/>
  <c r="J1052" i="2"/>
  <c r="I1052" i="2"/>
  <c r="H1052" i="2"/>
  <c r="G1052" i="2"/>
  <c r="F1052" i="2"/>
  <c r="E1052" i="2"/>
  <c r="D1052" i="2"/>
  <c r="C1052" i="2"/>
  <c r="B1052" i="2"/>
  <c r="A1052" i="2"/>
  <c r="AG1051" i="2"/>
  <c r="AF1051" i="2"/>
  <c r="AE1051" i="2"/>
  <c r="AD1051" i="2"/>
  <c r="AC1051" i="2"/>
  <c r="AB1051" i="2"/>
  <c r="Z1051" i="2"/>
  <c r="Y1051" i="2"/>
  <c r="X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AG1050" i="2"/>
  <c r="AF1050" i="2"/>
  <c r="AE1050" i="2"/>
  <c r="AD1050" i="2"/>
  <c r="AC1050" i="2"/>
  <c r="AB1050" i="2"/>
  <c r="Y1050" i="2"/>
  <c r="X1050" i="2"/>
  <c r="W1050" i="2"/>
  <c r="V1050" i="2"/>
  <c r="U1050" i="2"/>
  <c r="T1050" i="2"/>
  <c r="S1050" i="2"/>
  <c r="R1050" i="2"/>
  <c r="Q1050" i="2"/>
  <c r="P1050" i="2"/>
  <c r="O1050" i="2"/>
  <c r="N1050" i="2"/>
  <c r="M1050" i="2"/>
  <c r="L1050" i="2"/>
  <c r="K1050" i="2"/>
  <c r="J1050" i="2"/>
  <c r="I1050" i="2"/>
  <c r="H1050" i="2"/>
  <c r="G1050" i="2"/>
  <c r="F1050" i="2"/>
  <c r="E1050" i="2"/>
  <c r="D1050" i="2"/>
  <c r="C1050" i="2"/>
  <c r="B1050" i="2"/>
  <c r="A1050" i="2"/>
  <c r="AG1049" i="2"/>
  <c r="AF1049" i="2"/>
  <c r="AE1049" i="2"/>
  <c r="AD1049" i="2"/>
  <c r="AC1049" i="2"/>
  <c r="AB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H1048" i="2"/>
  <c r="AG1048" i="2"/>
  <c r="AF1048" i="2"/>
  <c r="AE1048" i="2"/>
  <c r="AD1048" i="2"/>
  <c r="AC1048" i="2"/>
  <c r="AB1048" i="2"/>
  <c r="Z1048" i="2"/>
  <c r="X1048" i="2"/>
  <c r="W1048" i="2"/>
  <c r="V1048" i="2"/>
  <c r="T1048" i="2"/>
  <c r="S1048" i="2"/>
  <c r="R1048" i="2"/>
  <c r="Q1048" i="2"/>
  <c r="P1048" i="2"/>
  <c r="O1048" i="2"/>
  <c r="N1048" i="2"/>
  <c r="M1048" i="2"/>
  <c r="L1048" i="2"/>
  <c r="K1048" i="2"/>
  <c r="H1048" i="2"/>
  <c r="G1048" i="2"/>
  <c r="F1048" i="2"/>
  <c r="E1048" i="2"/>
  <c r="D1048" i="2"/>
  <c r="C1048" i="2"/>
  <c r="B1048" i="2"/>
  <c r="A1048" i="2"/>
  <c r="AH1047" i="2"/>
  <c r="AG1047" i="2"/>
  <c r="AF1047" i="2"/>
  <c r="AE1047" i="2"/>
  <c r="AD1047" i="2"/>
  <c r="AC1047" i="2"/>
  <c r="AB1047" i="2"/>
  <c r="Y1047" i="2"/>
  <c r="X1047" i="2"/>
  <c r="W1047" i="2"/>
  <c r="V1047" i="2"/>
  <c r="U1047" i="2"/>
  <c r="T1047" i="2"/>
  <c r="S1047" i="2"/>
  <c r="R1047" i="2"/>
  <c r="Q1047" i="2"/>
  <c r="P1047" i="2"/>
  <c r="O1047" i="2"/>
  <c r="N1047" i="2"/>
  <c r="M1047" i="2"/>
  <c r="L1047" i="2"/>
  <c r="K1047" i="2"/>
  <c r="H1047" i="2"/>
  <c r="G1047" i="2"/>
  <c r="F1047" i="2"/>
  <c r="E1047" i="2"/>
  <c r="D1047" i="2"/>
  <c r="C1047" i="2"/>
  <c r="B1047" i="2"/>
  <c r="A1047" i="2"/>
  <c r="AH1046" i="2"/>
  <c r="AG1046" i="2"/>
  <c r="AF1046" i="2"/>
  <c r="AE1046" i="2"/>
  <c r="AD1046" i="2"/>
  <c r="AC1046" i="2"/>
  <c r="AB1046" i="2"/>
  <c r="AA1046" i="2"/>
  <c r="Z1046" i="2"/>
  <c r="Y1046" i="2"/>
  <c r="X1046" i="2"/>
  <c r="W1046" i="2"/>
  <c r="V1046" i="2"/>
  <c r="U1046" i="2"/>
  <c r="T1046" i="2"/>
  <c r="S1046" i="2"/>
  <c r="R1046" i="2"/>
  <c r="Q1046" i="2"/>
  <c r="P1046" i="2"/>
  <c r="O1046" i="2"/>
  <c r="N1046" i="2"/>
  <c r="M1046" i="2"/>
  <c r="L1046" i="2"/>
  <c r="K1046" i="2"/>
  <c r="H1046" i="2"/>
  <c r="G1046" i="2"/>
  <c r="F1046" i="2"/>
  <c r="E1046" i="2"/>
  <c r="D1046" i="2"/>
  <c r="C1046" i="2"/>
  <c r="B1046" i="2"/>
  <c r="A1046" i="2"/>
  <c r="AG1045" i="2"/>
  <c r="AF1045" i="2"/>
  <c r="AE1045" i="2"/>
  <c r="AD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G1044" i="2"/>
  <c r="AF1044" i="2"/>
  <c r="AE1044" i="2"/>
  <c r="AD1044" i="2"/>
  <c r="AC1044" i="2"/>
  <c r="AB1044" i="2"/>
  <c r="Z1044" i="2"/>
  <c r="X1044" i="2"/>
  <c r="W1044" i="2"/>
  <c r="V1044" i="2"/>
  <c r="U1044" i="2"/>
  <c r="T1044" i="2"/>
  <c r="S1044" i="2"/>
  <c r="R1044" i="2"/>
  <c r="Q1044" i="2"/>
  <c r="P1044" i="2"/>
  <c r="O1044" i="2"/>
  <c r="N1044" i="2"/>
  <c r="M1044" i="2"/>
  <c r="L1044" i="2"/>
  <c r="K1044" i="2"/>
  <c r="H1044" i="2"/>
  <c r="G1044" i="2"/>
  <c r="F1044" i="2"/>
  <c r="E1044" i="2"/>
  <c r="D1044" i="2"/>
  <c r="C1044" i="2"/>
  <c r="B1044" i="2"/>
  <c r="A1044" i="2"/>
  <c r="AG1043" i="2"/>
  <c r="AF1043" i="2"/>
  <c r="AE1043" i="2"/>
  <c r="AD1043" i="2"/>
  <c r="AC1043" i="2"/>
  <c r="AB1043" i="2"/>
  <c r="AA1043" i="2"/>
  <c r="Z1043" i="2"/>
  <c r="X1043" i="2"/>
  <c r="W1043" i="2"/>
  <c r="V1043" i="2"/>
  <c r="U1043" i="2"/>
  <c r="S1043" i="2"/>
  <c r="R1043" i="2"/>
  <c r="Q1043" i="2"/>
  <c r="P1043" i="2"/>
  <c r="O1043" i="2"/>
  <c r="N1043" i="2"/>
  <c r="M1043" i="2"/>
  <c r="L1043" i="2"/>
  <c r="K1043" i="2"/>
  <c r="H1043" i="2"/>
  <c r="G1043" i="2"/>
  <c r="F1043" i="2"/>
  <c r="E1043" i="2"/>
  <c r="D1043" i="2"/>
  <c r="C1043" i="2"/>
  <c r="B1043" i="2"/>
  <c r="A1043" i="2"/>
  <c r="AH1042" i="2"/>
  <c r="AG1042" i="2"/>
  <c r="AF1042" i="2"/>
  <c r="AE1042" i="2"/>
  <c r="AD1042" i="2"/>
  <c r="AC1042" i="2"/>
  <c r="AB1042" i="2"/>
  <c r="Z1042" i="2"/>
  <c r="Y1042" i="2"/>
  <c r="X1042" i="2"/>
  <c r="W1042" i="2"/>
  <c r="V1042" i="2"/>
  <c r="U1042" i="2"/>
  <c r="T1042" i="2"/>
  <c r="S1042" i="2"/>
  <c r="R1042" i="2"/>
  <c r="Q1042" i="2"/>
  <c r="P1042" i="2"/>
  <c r="O1042" i="2"/>
  <c r="N1042" i="2"/>
  <c r="M1042" i="2"/>
  <c r="L1042" i="2"/>
  <c r="K1042" i="2"/>
  <c r="J1042" i="2"/>
  <c r="H1042" i="2"/>
  <c r="G1042" i="2"/>
  <c r="F1042" i="2"/>
  <c r="E1042" i="2"/>
  <c r="D1042" i="2"/>
  <c r="C1042" i="2"/>
  <c r="B1042" i="2"/>
  <c r="A1042" i="2"/>
  <c r="AG1041" i="2"/>
  <c r="AF1041" i="2"/>
  <c r="AD1041" i="2"/>
  <c r="AC1041" i="2"/>
  <c r="AB1041" i="2"/>
  <c r="Z1041" i="2"/>
  <c r="Y1041" i="2"/>
  <c r="X1041" i="2"/>
  <c r="W1041" i="2"/>
  <c r="V1041" i="2"/>
  <c r="U1041" i="2"/>
  <c r="T1041" i="2"/>
  <c r="S1041" i="2"/>
  <c r="R1041" i="2"/>
  <c r="Q1041" i="2"/>
  <c r="P1041" i="2"/>
  <c r="O1041" i="2"/>
  <c r="N1041" i="2"/>
  <c r="M1041" i="2"/>
  <c r="L1041" i="2"/>
  <c r="K1041" i="2"/>
  <c r="J1041" i="2"/>
  <c r="I1041" i="2"/>
  <c r="H1041" i="2"/>
  <c r="G1041" i="2"/>
  <c r="F1041" i="2"/>
  <c r="E1041" i="2"/>
  <c r="D1041" i="2"/>
  <c r="C1041" i="2"/>
  <c r="B1041" i="2"/>
  <c r="A1041" i="2"/>
  <c r="AG1040" i="2"/>
  <c r="AF1040" i="2"/>
  <c r="AD1040" i="2"/>
  <c r="AC1040" i="2"/>
  <c r="AB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AH1039" i="2"/>
  <c r="AG1039" i="2"/>
  <c r="AF1039" i="2"/>
  <c r="AE1039" i="2"/>
  <c r="AD1039" i="2"/>
  <c r="AC1039" i="2"/>
  <c r="AB1039" i="2"/>
  <c r="AA1039" i="2"/>
  <c r="Z1039" i="2"/>
  <c r="Y1039" i="2"/>
  <c r="X1039" i="2"/>
  <c r="W1039" i="2"/>
  <c r="V1039" i="2"/>
  <c r="U1039" i="2"/>
  <c r="T1039" i="2"/>
  <c r="S1039" i="2"/>
  <c r="R1039" i="2"/>
  <c r="Q1039" i="2"/>
  <c r="P1039" i="2"/>
  <c r="O1039" i="2"/>
  <c r="N1039" i="2"/>
  <c r="M1039" i="2"/>
  <c r="L1039" i="2"/>
  <c r="K1039" i="2"/>
  <c r="J1039" i="2"/>
  <c r="I1039" i="2"/>
  <c r="H1039" i="2"/>
  <c r="G1039" i="2"/>
  <c r="F1039" i="2"/>
  <c r="E1039" i="2"/>
  <c r="D1039" i="2"/>
  <c r="C1039" i="2"/>
  <c r="B1039" i="2"/>
  <c r="A1039" i="2"/>
  <c r="AH1038" i="2"/>
  <c r="AG1038" i="2"/>
  <c r="AF1038" i="2"/>
  <c r="AE1038" i="2"/>
  <c r="AD1038" i="2"/>
  <c r="AC1038" i="2"/>
  <c r="AB1038" i="2"/>
  <c r="Z1038" i="2"/>
  <c r="Y1038" i="2"/>
  <c r="X1038" i="2"/>
  <c r="W1038" i="2"/>
  <c r="V1038" i="2"/>
  <c r="T1038" i="2"/>
  <c r="S1038" i="2"/>
  <c r="R1038" i="2"/>
  <c r="Q1038" i="2"/>
  <c r="P1038" i="2"/>
  <c r="O1038" i="2"/>
  <c r="N1038" i="2"/>
  <c r="M1038" i="2"/>
  <c r="L1038" i="2"/>
  <c r="K1038" i="2"/>
  <c r="J1038" i="2"/>
  <c r="I1038" i="2"/>
  <c r="H1038" i="2"/>
  <c r="G1038" i="2"/>
  <c r="F1038" i="2"/>
  <c r="E1038" i="2"/>
  <c r="D1038" i="2"/>
  <c r="C1038" i="2"/>
  <c r="B1038" i="2"/>
  <c r="A1038" i="2"/>
  <c r="AH1037" i="2"/>
  <c r="AG1037" i="2"/>
  <c r="AF1037" i="2"/>
  <c r="AE1037" i="2"/>
  <c r="AD1037" i="2"/>
  <c r="AC1037" i="2"/>
  <c r="AB1037" i="2"/>
  <c r="Z1037" i="2"/>
  <c r="Y1037" i="2"/>
  <c r="X1037" i="2"/>
  <c r="W1037" i="2"/>
  <c r="V1037" i="2"/>
  <c r="T1037" i="2"/>
  <c r="S1037" i="2"/>
  <c r="R1037" i="2"/>
  <c r="Q1037" i="2"/>
  <c r="P1037" i="2"/>
  <c r="O1037" i="2"/>
  <c r="N1037" i="2"/>
  <c r="M1037" i="2"/>
  <c r="L1037" i="2"/>
  <c r="K1037" i="2"/>
  <c r="J1037" i="2"/>
  <c r="I1037" i="2"/>
  <c r="H1037" i="2"/>
  <c r="G1037" i="2"/>
  <c r="F1037" i="2"/>
  <c r="E1037" i="2"/>
  <c r="D1037" i="2"/>
  <c r="C1037" i="2"/>
  <c r="B1037" i="2"/>
  <c r="A1037" i="2"/>
  <c r="AG1036" i="2"/>
  <c r="AF1036" i="2"/>
  <c r="AE1036" i="2"/>
  <c r="AD1036" i="2"/>
  <c r="AC1036" i="2"/>
  <c r="AB1036" i="2"/>
  <c r="AA1036" i="2"/>
  <c r="Z1036" i="2"/>
  <c r="Y1036" i="2"/>
  <c r="X1036" i="2"/>
  <c r="W1036" i="2"/>
  <c r="V1036" i="2"/>
  <c r="U1036" i="2"/>
  <c r="T1036" i="2"/>
  <c r="S1036" i="2"/>
  <c r="R1036" i="2"/>
  <c r="Q1036" i="2"/>
  <c r="P1036" i="2"/>
  <c r="O1036" i="2"/>
  <c r="N1036" i="2"/>
  <c r="M1036" i="2"/>
  <c r="L1036" i="2"/>
  <c r="K1036" i="2"/>
  <c r="J1036" i="2"/>
  <c r="I1036" i="2"/>
  <c r="H1036" i="2"/>
  <c r="G1036" i="2"/>
  <c r="F1036" i="2"/>
  <c r="E1036" i="2"/>
  <c r="D1036" i="2"/>
  <c r="C1036" i="2"/>
  <c r="B1036" i="2"/>
  <c r="A1036" i="2"/>
  <c r="AG1035" i="2"/>
  <c r="AF1035" i="2"/>
  <c r="AE1035" i="2"/>
  <c r="AD1035" i="2"/>
  <c r="AC1035" i="2"/>
  <c r="AB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H1034" i="2"/>
  <c r="AG1034" i="2"/>
  <c r="AF1034" i="2"/>
  <c r="AE1034" i="2"/>
  <c r="AD1034" i="2"/>
  <c r="AC1034" i="2"/>
  <c r="AB1034" i="2"/>
  <c r="Z1034" i="2"/>
  <c r="Y1034" i="2"/>
  <c r="X1034" i="2"/>
  <c r="W1034" i="2"/>
  <c r="V1034" i="2"/>
  <c r="U1034" i="2"/>
  <c r="T1034" i="2"/>
  <c r="S1034" i="2"/>
  <c r="R1034" i="2"/>
  <c r="Q1034" i="2"/>
  <c r="P1034" i="2"/>
  <c r="O1034" i="2"/>
  <c r="N1034" i="2"/>
  <c r="M1034" i="2"/>
  <c r="L1034" i="2"/>
  <c r="K1034" i="2"/>
  <c r="H1034" i="2"/>
  <c r="G1034" i="2"/>
  <c r="F1034" i="2"/>
  <c r="E1034" i="2"/>
  <c r="D1034" i="2"/>
  <c r="C1034" i="2"/>
  <c r="B1034" i="2"/>
  <c r="A1034" i="2"/>
  <c r="AG1033" i="2"/>
  <c r="AF1033" i="2"/>
  <c r="AE1033" i="2"/>
  <c r="AD1033" i="2"/>
  <c r="AC1033" i="2"/>
  <c r="AB1033" i="2"/>
  <c r="Z1033" i="2"/>
  <c r="Y1033" i="2"/>
  <c r="X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AH1032" i="2"/>
  <c r="AG1032" i="2"/>
  <c r="AF1032" i="2"/>
  <c r="AE1032" i="2"/>
  <c r="AD1032" i="2"/>
  <c r="AC1032" i="2"/>
  <c r="AB1032" i="2"/>
  <c r="Z1032" i="2"/>
  <c r="Y1032" i="2"/>
  <c r="X1032" i="2"/>
  <c r="W1032" i="2"/>
  <c r="V1032" i="2"/>
  <c r="U1032" i="2"/>
  <c r="T1032" i="2"/>
  <c r="S1032" i="2"/>
  <c r="R1032" i="2"/>
  <c r="Q1032" i="2"/>
  <c r="P1032" i="2"/>
  <c r="O1032" i="2"/>
  <c r="N1032" i="2"/>
  <c r="M1032" i="2"/>
  <c r="L1032" i="2"/>
  <c r="K1032" i="2"/>
  <c r="H1032" i="2"/>
  <c r="G1032" i="2"/>
  <c r="F1032" i="2"/>
  <c r="E1032" i="2"/>
  <c r="D1032" i="2"/>
  <c r="C1032" i="2"/>
  <c r="B1032" i="2"/>
  <c r="A1032" i="2"/>
  <c r="AG1031" i="2"/>
  <c r="AF1031" i="2"/>
  <c r="AE1031" i="2"/>
  <c r="AD1031" i="2"/>
  <c r="AC1031" i="2"/>
  <c r="AB1031" i="2"/>
  <c r="Y1031" i="2"/>
  <c r="X1031" i="2"/>
  <c r="W1031" i="2"/>
  <c r="V1031" i="2"/>
  <c r="U1031" i="2"/>
  <c r="T1031" i="2"/>
  <c r="S1031" i="2"/>
  <c r="R1031" i="2"/>
  <c r="Q1031" i="2"/>
  <c r="P1031" i="2"/>
  <c r="O1031" i="2"/>
  <c r="N1031" i="2"/>
  <c r="M1031" i="2"/>
  <c r="L1031" i="2"/>
  <c r="K1031" i="2"/>
  <c r="J1031" i="2"/>
  <c r="I1031" i="2"/>
  <c r="H1031" i="2"/>
  <c r="G1031" i="2"/>
  <c r="F1031" i="2"/>
  <c r="E1031" i="2"/>
  <c r="D1031" i="2"/>
  <c r="C1031" i="2"/>
  <c r="B1031" i="2"/>
  <c r="A1031" i="2"/>
  <c r="AG1030" i="2"/>
  <c r="AF1030" i="2"/>
  <c r="AD1030" i="2"/>
  <c r="AC1030" i="2"/>
  <c r="AB1030" i="2"/>
  <c r="Z1030" i="2"/>
  <c r="Y1030" i="2"/>
  <c r="X1030" i="2"/>
  <c r="W1030" i="2"/>
  <c r="V1030" i="2"/>
  <c r="U1030" i="2"/>
  <c r="T1030" i="2"/>
  <c r="S1030" i="2"/>
  <c r="R1030" i="2"/>
  <c r="Q1030" i="2"/>
  <c r="P1030" i="2"/>
  <c r="O1030" i="2"/>
  <c r="N1030" i="2"/>
  <c r="M1030" i="2"/>
  <c r="L1030" i="2"/>
  <c r="K1030" i="2"/>
  <c r="H1030" i="2"/>
  <c r="G1030" i="2"/>
  <c r="F1030" i="2"/>
  <c r="E1030" i="2"/>
  <c r="D1030" i="2"/>
  <c r="C1030" i="2"/>
  <c r="B1030" i="2"/>
  <c r="A1030" i="2"/>
  <c r="AH1029" i="2"/>
  <c r="AG1029" i="2"/>
  <c r="AF1029" i="2"/>
  <c r="AE1029" i="2"/>
  <c r="AD1029" i="2"/>
  <c r="AC1029" i="2"/>
  <c r="AB1029" i="2"/>
  <c r="Z1029" i="2"/>
  <c r="Y1029" i="2"/>
  <c r="X1029" i="2"/>
  <c r="W1029" i="2"/>
  <c r="V1029" i="2"/>
  <c r="U1029" i="2"/>
  <c r="T1029" i="2"/>
  <c r="S1029" i="2"/>
  <c r="R1029" i="2"/>
  <c r="Q1029" i="2"/>
  <c r="P1029" i="2"/>
  <c r="O1029" i="2"/>
  <c r="N1029" i="2"/>
  <c r="M1029" i="2"/>
  <c r="L1029" i="2"/>
  <c r="K1029" i="2"/>
  <c r="J1029" i="2"/>
  <c r="I1029" i="2"/>
  <c r="H1029" i="2"/>
  <c r="G1029" i="2"/>
  <c r="F1029" i="2"/>
  <c r="E1029" i="2"/>
  <c r="D1029" i="2"/>
  <c r="C1029" i="2"/>
  <c r="B1029" i="2"/>
  <c r="A1029" i="2"/>
  <c r="AH1028" i="2"/>
  <c r="AG1028" i="2"/>
  <c r="AF1028" i="2"/>
  <c r="AE1028" i="2"/>
  <c r="AD1028" i="2"/>
  <c r="AC1028" i="2"/>
  <c r="AB1028" i="2"/>
  <c r="Z1028" i="2"/>
  <c r="Y1028" i="2"/>
  <c r="X1028" i="2"/>
  <c r="W1028" i="2"/>
  <c r="V1028" i="2"/>
  <c r="T1028" i="2"/>
  <c r="S1028" i="2"/>
  <c r="R1028" i="2"/>
  <c r="Q1028" i="2"/>
  <c r="P1028" i="2"/>
  <c r="O1028" i="2"/>
  <c r="N1028" i="2"/>
  <c r="M1028" i="2"/>
  <c r="L1028" i="2"/>
  <c r="K1028" i="2"/>
  <c r="J1028" i="2"/>
  <c r="I1028" i="2"/>
  <c r="H1028" i="2"/>
  <c r="G1028" i="2"/>
  <c r="F1028" i="2"/>
  <c r="E1028" i="2"/>
  <c r="D1028" i="2"/>
  <c r="C1028" i="2"/>
  <c r="B1028" i="2"/>
  <c r="A1028" i="2"/>
  <c r="AG1027" i="2"/>
  <c r="AF1027" i="2"/>
  <c r="AE1027" i="2"/>
  <c r="AD1027" i="2"/>
  <c r="AC1027" i="2"/>
  <c r="AB1027" i="2"/>
  <c r="Z1027" i="2"/>
  <c r="Y1027" i="2"/>
  <c r="X1027" i="2"/>
  <c r="W1027" i="2"/>
  <c r="V1027" i="2"/>
  <c r="U1027" i="2"/>
  <c r="T1027" i="2"/>
  <c r="S1027" i="2"/>
  <c r="R1027" i="2"/>
  <c r="Q1027" i="2"/>
  <c r="P1027" i="2"/>
  <c r="O1027" i="2"/>
  <c r="N1027" i="2"/>
  <c r="M1027" i="2"/>
  <c r="L1027" i="2"/>
  <c r="K1027" i="2"/>
  <c r="J1027" i="2"/>
  <c r="I1027" i="2"/>
  <c r="H1027" i="2"/>
  <c r="G1027" i="2"/>
  <c r="F1027" i="2"/>
  <c r="E1027" i="2"/>
  <c r="D1027" i="2"/>
  <c r="C1027" i="2"/>
  <c r="B1027" i="2"/>
  <c r="A1027" i="2"/>
  <c r="AG1026" i="2"/>
  <c r="AF1026" i="2"/>
  <c r="AE1026" i="2"/>
  <c r="AD1026" i="2"/>
  <c r="AC1026" i="2"/>
  <c r="AB1026" i="2"/>
  <c r="Z1026" i="2"/>
  <c r="Y1026" i="2"/>
  <c r="X1026" i="2"/>
  <c r="W1026" i="2"/>
  <c r="V1026" i="2"/>
  <c r="U1026" i="2"/>
  <c r="S1026" i="2"/>
  <c r="R1026" i="2"/>
  <c r="Q1026" i="2"/>
  <c r="P1026" i="2"/>
  <c r="O1026" i="2"/>
  <c r="N1026" i="2"/>
  <c r="M1026" i="2"/>
  <c r="L1026" i="2"/>
  <c r="K1026" i="2"/>
  <c r="H1026" i="2"/>
  <c r="G1026" i="2"/>
  <c r="F1026" i="2"/>
  <c r="E1026" i="2"/>
  <c r="D1026" i="2"/>
  <c r="C1026" i="2"/>
  <c r="B1026" i="2"/>
  <c r="A1026" i="2"/>
  <c r="AG1025" i="2"/>
  <c r="AF1025" i="2"/>
  <c r="AE1025" i="2"/>
  <c r="AD1025" i="2"/>
  <c r="AC1025" i="2"/>
  <c r="AB1025" i="2"/>
  <c r="AA1025" i="2"/>
  <c r="Z1025" i="2"/>
  <c r="Y1025" i="2"/>
  <c r="X1025" i="2"/>
  <c r="W1025" i="2"/>
  <c r="V1025" i="2"/>
  <c r="S1025" i="2"/>
  <c r="R1025" i="2"/>
  <c r="Q1025" i="2"/>
  <c r="P1025" i="2"/>
  <c r="O1025" i="2"/>
  <c r="N1025" i="2"/>
  <c r="M1025" i="2"/>
  <c r="L1025" i="2"/>
  <c r="K1025" i="2"/>
  <c r="J1025" i="2"/>
  <c r="I1025" i="2"/>
  <c r="H1025" i="2"/>
  <c r="G1025" i="2"/>
  <c r="F1025" i="2"/>
  <c r="E1025" i="2"/>
  <c r="D1025" i="2"/>
  <c r="C1025" i="2"/>
  <c r="B1025" i="2"/>
  <c r="A1025" i="2"/>
  <c r="AG1024" i="2"/>
  <c r="AF1024" i="2"/>
  <c r="AE1024" i="2"/>
  <c r="AD1024" i="2"/>
  <c r="AC1024" i="2"/>
  <c r="AB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AH1023" i="2"/>
  <c r="AG1023" i="2"/>
  <c r="AF1023" i="2"/>
  <c r="AD1023" i="2"/>
  <c r="AC1023" i="2"/>
  <c r="AB1023" i="2"/>
  <c r="Z1023" i="2"/>
  <c r="Y1023" i="2"/>
  <c r="X1023" i="2"/>
  <c r="W1023" i="2"/>
  <c r="V1023" i="2"/>
  <c r="U1023" i="2"/>
  <c r="T1023" i="2"/>
  <c r="S1023" i="2"/>
  <c r="R1023" i="2"/>
  <c r="Q1023" i="2"/>
  <c r="P1023" i="2"/>
  <c r="O1023" i="2"/>
  <c r="N1023" i="2"/>
  <c r="M1023" i="2"/>
  <c r="L1023" i="2"/>
  <c r="K1023" i="2"/>
  <c r="J1023" i="2"/>
  <c r="I1023" i="2"/>
  <c r="H1023" i="2"/>
  <c r="G1023" i="2"/>
  <c r="F1023" i="2"/>
  <c r="E1023" i="2"/>
  <c r="D1023" i="2"/>
  <c r="C1023" i="2"/>
  <c r="B1023" i="2"/>
  <c r="A1023" i="2"/>
  <c r="AG1022" i="2"/>
  <c r="AF1022" i="2"/>
  <c r="AE1022" i="2"/>
  <c r="AD1022" i="2"/>
  <c r="AC1022" i="2"/>
  <c r="AB1022" i="2"/>
  <c r="Y1022" i="2"/>
  <c r="X1022" i="2"/>
  <c r="W1022" i="2"/>
  <c r="V1022" i="2"/>
  <c r="U1022" i="2"/>
  <c r="T1022" i="2"/>
  <c r="S1022" i="2"/>
  <c r="R1022" i="2"/>
  <c r="Q1022" i="2"/>
  <c r="P1022" i="2"/>
  <c r="O1022" i="2"/>
  <c r="N1022" i="2"/>
  <c r="M1022" i="2"/>
  <c r="L1022" i="2"/>
  <c r="K1022" i="2"/>
  <c r="J1022" i="2"/>
  <c r="I1022" i="2"/>
  <c r="H1022" i="2"/>
  <c r="G1022" i="2"/>
  <c r="F1022" i="2"/>
  <c r="E1022" i="2"/>
  <c r="D1022" i="2"/>
  <c r="C1022" i="2"/>
  <c r="B1022" i="2"/>
  <c r="A1022" i="2"/>
  <c r="AH1021" i="2"/>
  <c r="AG1021" i="2"/>
  <c r="AF1021" i="2"/>
  <c r="AE1021" i="2"/>
  <c r="AD1021" i="2"/>
  <c r="AC1021" i="2"/>
  <c r="AB1021" i="2"/>
  <c r="Z1021" i="2"/>
  <c r="Y1021" i="2"/>
  <c r="X1021" i="2"/>
  <c r="W1021" i="2"/>
  <c r="V1021" i="2"/>
  <c r="U1021" i="2"/>
  <c r="T1021" i="2"/>
  <c r="S1021" i="2"/>
  <c r="R1021" i="2"/>
  <c r="Q1021" i="2"/>
  <c r="P1021" i="2"/>
  <c r="O1021" i="2"/>
  <c r="N1021" i="2"/>
  <c r="M1021" i="2"/>
  <c r="L1021" i="2"/>
  <c r="K1021" i="2"/>
  <c r="J1021" i="2"/>
  <c r="I1021" i="2"/>
  <c r="H1021" i="2"/>
  <c r="G1021" i="2"/>
  <c r="F1021" i="2"/>
  <c r="E1021" i="2"/>
  <c r="D1021" i="2"/>
  <c r="C1021" i="2"/>
  <c r="B1021" i="2"/>
  <c r="A1021" i="2"/>
  <c r="AG1020" i="2"/>
  <c r="AF1020" i="2"/>
  <c r="AE1020" i="2"/>
  <c r="AD1020" i="2"/>
  <c r="AC1020" i="2"/>
  <c r="AB1020" i="2"/>
  <c r="Y1020" i="2"/>
  <c r="X1020" i="2"/>
  <c r="W1020" i="2"/>
  <c r="V1020" i="2"/>
  <c r="U1020" i="2"/>
  <c r="S1020" i="2"/>
  <c r="R1020" i="2"/>
  <c r="Q1020" i="2"/>
  <c r="P1020" i="2"/>
  <c r="O1020" i="2"/>
  <c r="N1020" i="2"/>
  <c r="M1020" i="2"/>
  <c r="L1020" i="2"/>
  <c r="K1020" i="2"/>
  <c r="J1020" i="2"/>
  <c r="I1020" i="2"/>
  <c r="H1020" i="2"/>
  <c r="G1020" i="2"/>
  <c r="F1020" i="2"/>
  <c r="E1020" i="2"/>
  <c r="D1020" i="2"/>
  <c r="C1020" i="2"/>
  <c r="B1020" i="2"/>
  <c r="A1020" i="2"/>
  <c r="AH1019" i="2"/>
  <c r="AG1019" i="2"/>
  <c r="AF1019" i="2"/>
  <c r="AE1019" i="2"/>
  <c r="AD1019" i="2"/>
  <c r="AC1019" i="2"/>
  <c r="AB1019" i="2"/>
  <c r="Z1019" i="2"/>
  <c r="Y1019" i="2"/>
  <c r="X1019" i="2"/>
  <c r="W1019" i="2"/>
  <c r="V1019" i="2"/>
  <c r="U1019" i="2"/>
  <c r="T1019" i="2"/>
  <c r="S1019" i="2"/>
  <c r="R1019" i="2"/>
  <c r="Q1019" i="2"/>
  <c r="P1019" i="2"/>
  <c r="O1019" i="2"/>
  <c r="N1019" i="2"/>
  <c r="M1019" i="2"/>
  <c r="L1019" i="2"/>
  <c r="K1019" i="2"/>
  <c r="J1019" i="2"/>
  <c r="H1019" i="2"/>
  <c r="G1019" i="2"/>
  <c r="F1019" i="2"/>
  <c r="E1019" i="2"/>
  <c r="D1019" i="2"/>
  <c r="C1019" i="2"/>
  <c r="B1019" i="2"/>
  <c r="A1019" i="2"/>
  <c r="AG1018" i="2"/>
  <c r="AF1018" i="2"/>
  <c r="AE1018" i="2"/>
  <c r="AD1018" i="2"/>
  <c r="AC1018" i="2"/>
  <c r="AB1018" i="2"/>
  <c r="Z1018" i="2"/>
  <c r="Y1018" i="2"/>
  <c r="X1018" i="2"/>
  <c r="W1018" i="2"/>
  <c r="V1018" i="2"/>
  <c r="U1018" i="2"/>
  <c r="T1018" i="2"/>
  <c r="S1018" i="2"/>
  <c r="R1018" i="2"/>
  <c r="Q1018" i="2"/>
  <c r="P1018" i="2"/>
  <c r="O1018" i="2"/>
  <c r="N1018" i="2"/>
  <c r="M1018" i="2"/>
  <c r="L1018" i="2"/>
  <c r="K1018" i="2"/>
  <c r="J1018" i="2"/>
  <c r="I1018" i="2"/>
  <c r="H1018" i="2"/>
  <c r="G1018" i="2"/>
  <c r="F1018" i="2"/>
  <c r="E1018" i="2"/>
  <c r="D1018" i="2"/>
  <c r="C1018" i="2"/>
  <c r="B1018" i="2"/>
  <c r="A1018" i="2"/>
  <c r="AG1017" i="2"/>
  <c r="AF1017" i="2"/>
  <c r="AE1017" i="2"/>
  <c r="AD1017" i="2"/>
  <c r="AC1017" i="2"/>
  <c r="AB1017" i="2"/>
  <c r="AA1017" i="2"/>
  <c r="Z1017" i="2"/>
  <c r="Y1017" i="2"/>
  <c r="X1017" i="2"/>
  <c r="W1017" i="2"/>
  <c r="V1017" i="2"/>
  <c r="U1017" i="2"/>
  <c r="T1017" i="2"/>
  <c r="S1017" i="2"/>
  <c r="R1017" i="2"/>
  <c r="Q1017" i="2"/>
  <c r="P1017" i="2"/>
  <c r="O1017" i="2"/>
  <c r="N1017" i="2"/>
  <c r="M1017" i="2"/>
  <c r="L1017" i="2"/>
  <c r="K1017" i="2"/>
  <c r="J1017" i="2"/>
  <c r="I1017" i="2"/>
  <c r="H1017" i="2"/>
  <c r="G1017" i="2"/>
  <c r="F1017" i="2"/>
  <c r="E1017" i="2"/>
  <c r="D1017" i="2"/>
  <c r="C1017" i="2"/>
  <c r="B1017" i="2"/>
  <c r="A1017" i="2"/>
  <c r="AG1016" i="2"/>
  <c r="AF1016" i="2"/>
  <c r="AE1016" i="2"/>
  <c r="AD1016" i="2"/>
  <c r="AC1016" i="2"/>
  <c r="AB1016" i="2"/>
  <c r="AA1016" i="2"/>
  <c r="Z1016" i="2"/>
  <c r="Y1016" i="2"/>
  <c r="X1016" i="2"/>
  <c r="W1016" i="2"/>
  <c r="V1016" i="2"/>
  <c r="U1016" i="2"/>
  <c r="T1016" i="2"/>
  <c r="S1016" i="2"/>
  <c r="R1016" i="2"/>
  <c r="Q1016" i="2"/>
  <c r="P1016" i="2"/>
  <c r="O1016" i="2"/>
  <c r="N1016" i="2"/>
  <c r="M1016" i="2"/>
  <c r="L1016" i="2"/>
  <c r="K1016" i="2"/>
  <c r="J1016" i="2"/>
  <c r="I1016" i="2"/>
  <c r="H1016" i="2"/>
  <c r="G1016" i="2"/>
  <c r="F1016" i="2"/>
  <c r="E1016" i="2"/>
  <c r="D1016" i="2"/>
  <c r="C1016" i="2"/>
  <c r="B1016" i="2"/>
  <c r="A1016" i="2"/>
  <c r="AG1015" i="2"/>
  <c r="AF1015" i="2"/>
  <c r="AE1015" i="2"/>
  <c r="AD1015" i="2"/>
  <c r="AC1015" i="2"/>
  <c r="AB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G1014" i="2"/>
  <c r="AF1014" i="2"/>
  <c r="AE1014" i="2"/>
  <c r="AD1014" i="2"/>
  <c r="AC1014" i="2"/>
  <c r="AB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G1013" i="2"/>
  <c r="AF1013" i="2"/>
  <c r="AE1013" i="2"/>
  <c r="AD1013" i="2"/>
  <c r="AC1013" i="2"/>
  <c r="AB1013" i="2"/>
  <c r="Z1013" i="2"/>
  <c r="Y1013" i="2"/>
  <c r="X1013" i="2"/>
  <c r="W1013" i="2"/>
  <c r="V1013" i="2"/>
  <c r="U1013" i="2"/>
  <c r="S1013" i="2"/>
  <c r="R1013" i="2"/>
  <c r="Q1013" i="2"/>
  <c r="P1013" i="2"/>
  <c r="O1013" i="2"/>
  <c r="N1013" i="2"/>
  <c r="M1013" i="2"/>
  <c r="L1013" i="2"/>
  <c r="K1013" i="2"/>
  <c r="H1013" i="2"/>
  <c r="G1013" i="2"/>
  <c r="F1013" i="2"/>
  <c r="E1013" i="2"/>
  <c r="D1013" i="2"/>
  <c r="C1013" i="2"/>
  <c r="B1013" i="2"/>
  <c r="A1013" i="2"/>
  <c r="AG1012" i="2"/>
  <c r="AF1012" i="2"/>
  <c r="AD1012" i="2"/>
  <c r="AC1012" i="2"/>
  <c r="AB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G1011" i="2"/>
  <c r="AF1011" i="2"/>
  <c r="AE1011" i="2"/>
  <c r="AD1011" i="2"/>
  <c r="AC1011" i="2"/>
  <c r="AB1011" i="2"/>
  <c r="Z1011" i="2"/>
  <c r="Y1011" i="2"/>
  <c r="X1011" i="2"/>
  <c r="W1011" i="2"/>
  <c r="V1011" i="2"/>
  <c r="S1011" i="2"/>
  <c r="R1011" i="2"/>
  <c r="Q1011" i="2"/>
  <c r="P1011" i="2"/>
  <c r="O1011" i="2"/>
  <c r="N1011" i="2"/>
  <c r="M1011" i="2"/>
  <c r="L1011" i="2"/>
  <c r="K1011" i="2"/>
  <c r="J1011" i="2"/>
  <c r="I1011" i="2"/>
  <c r="H1011" i="2"/>
  <c r="G1011" i="2"/>
  <c r="F1011" i="2"/>
  <c r="E1011" i="2"/>
  <c r="D1011" i="2"/>
  <c r="C1011" i="2"/>
  <c r="B1011" i="2"/>
  <c r="A1011" i="2"/>
  <c r="AG1010" i="2"/>
  <c r="AF1010" i="2"/>
  <c r="AE1010" i="2"/>
  <c r="AD1010" i="2"/>
  <c r="AC1010" i="2"/>
  <c r="AB1010" i="2"/>
  <c r="Z1010" i="2"/>
  <c r="Y1010" i="2"/>
  <c r="X1010" i="2"/>
  <c r="W1010" i="2"/>
  <c r="V1010" i="2"/>
  <c r="U1010" i="2"/>
  <c r="S1010" i="2"/>
  <c r="R1010" i="2"/>
  <c r="Q1010" i="2"/>
  <c r="P1010" i="2"/>
  <c r="O1010" i="2"/>
  <c r="N1010" i="2"/>
  <c r="M1010" i="2"/>
  <c r="L1010" i="2"/>
  <c r="K1010" i="2"/>
  <c r="J1010" i="2"/>
  <c r="I1010" i="2"/>
  <c r="H1010" i="2"/>
  <c r="G1010" i="2"/>
  <c r="F1010" i="2"/>
  <c r="E1010" i="2"/>
  <c r="D1010" i="2"/>
  <c r="C1010" i="2"/>
  <c r="B1010" i="2"/>
  <c r="A1010" i="2"/>
  <c r="AG1009" i="2"/>
  <c r="AF1009" i="2"/>
  <c r="AE1009" i="2"/>
  <c r="AD1009" i="2"/>
  <c r="AC1009" i="2"/>
  <c r="AB1009" i="2"/>
  <c r="Z1009" i="2"/>
  <c r="Y1009" i="2"/>
  <c r="X1009" i="2"/>
  <c r="W1009" i="2"/>
  <c r="V1009" i="2"/>
  <c r="U1009" i="2"/>
  <c r="T1009" i="2"/>
  <c r="S1009" i="2"/>
  <c r="R1009" i="2"/>
  <c r="Q1009" i="2"/>
  <c r="P1009" i="2"/>
  <c r="O1009" i="2"/>
  <c r="N1009" i="2"/>
  <c r="M1009" i="2"/>
  <c r="L1009" i="2"/>
  <c r="K1009" i="2"/>
  <c r="J1009" i="2"/>
  <c r="I1009" i="2"/>
  <c r="H1009" i="2"/>
  <c r="G1009" i="2"/>
  <c r="F1009" i="2"/>
  <c r="E1009" i="2"/>
  <c r="D1009" i="2"/>
  <c r="C1009" i="2"/>
  <c r="B1009" i="2"/>
  <c r="A1009" i="2"/>
  <c r="AG1008" i="2"/>
  <c r="AF1008" i="2"/>
  <c r="AE1008" i="2"/>
  <c r="AD1008" i="2"/>
  <c r="AC1008" i="2"/>
  <c r="AB1008" i="2"/>
  <c r="AA1008" i="2"/>
  <c r="Z1008" i="2"/>
  <c r="Y1008" i="2"/>
  <c r="X1008" i="2"/>
  <c r="W1008" i="2"/>
  <c r="V1008" i="2"/>
  <c r="U1008" i="2"/>
  <c r="T1008" i="2"/>
  <c r="S1008" i="2"/>
  <c r="R1008" i="2"/>
  <c r="Q1008" i="2"/>
  <c r="P1008" i="2"/>
  <c r="O1008" i="2"/>
  <c r="N1008" i="2"/>
  <c r="M1008" i="2"/>
  <c r="L1008" i="2"/>
  <c r="K1008" i="2"/>
  <c r="J1008" i="2"/>
  <c r="I1008" i="2"/>
  <c r="H1008" i="2"/>
  <c r="G1008" i="2"/>
  <c r="F1008" i="2"/>
  <c r="E1008" i="2"/>
  <c r="D1008" i="2"/>
  <c r="C1008" i="2"/>
  <c r="B1008" i="2"/>
  <c r="A1008" i="2"/>
  <c r="AG1007" i="2"/>
  <c r="AF1007" i="2"/>
  <c r="AE1007" i="2"/>
  <c r="AD1007" i="2"/>
  <c r="AC1007" i="2"/>
  <c r="AB1007" i="2"/>
  <c r="Z1007" i="2"/>
  <c r="Y1007" i="2"/>
  <c r="X1007" i="2"/>
  <c r="W1007" i="2"/>
  <c r="V1007" i="2"/>
  <c r="U1007" i="2"/>
  <c r="T1007" i="2"/>
  <c r="S1007" i="2"/>
  <c r="R1007" i="2"/>
  <c r="Q1007" i="2"/>
  <c r="P1007" i="2"/>
  <c r="O1007" i="2"/>
  <c r="N1007" i="2"/>
  <c r="M1007" i="2"/>
  <c r="L1007" i="2"/>
  <c r="K1007" i="2"/>
  <c r="J1007" i="2"/>
  <c r="I1007" i="2"/>
  <c r="H1007" i="2"/>
  <c r="G1007" i="2"/>
  <c r="F1007" i="2"/>
  <c r="E1007" i="2"/>
  <c r="D1007" i="2"/>
  <c r="C1007" i="2"/>
  <c r="B1007" i="2"/>
  <c r="A1007" i="2"/>
  <c r="AG1006" i="2"/>
  <c r="AF1006" i="2"/>
  <c r="AE1006" i="2"/>
  <c r="AD1006" i="2"/>
  <c r="AC1006" i="2"/>
  <c r="AB1006" i="2"/>
  <c r="AA1006" i="2"/>
  <c r="Z1006" i="2"/>
  <c r="Y1006" i="2"/>
  <c r="X1006" i="2"/>
  <c r="W1006" i="2"/>
  <c r="V1006" i="2"/>
  <c r="U1006" i="2"/>
  <c r="T1006" i="2"/>
  <c r="S1006" i="2"/>
  <c r="R1006" i="2"/>
  <c r="Q1006" i="2"/>
  <c r="P1006" i="2"/>
  <c r="O1006" i="2"/>
  <c r="N1006" i="2"/>
  <c r="M1006" i="2"/>
  <c r="L1006" i="2"/>
  <c r="K1006" i="2"/>
  <c r="J1006" i="2"/>
  <c r="I1006" i="2"/>
  <c r="H1006" i="2"/>
  <c r="G1006" i="2"/>
  <c r="F1006" i="2"/>
  <c r="E1006" i="2"/>
  <c r="D1006" i="2"/>
  <c r="C1006" i="2"/>
  <c r="B1006" i="2"/>
  <c r="A1006" i="2"/>
  <c r="AH1005" i="2"/>
  <c r="AG1005" i="2"/>
  <c r="AF1005" i="2"/>
  <c r="AE1005" i="2"/>
  <c r="AD1005" i="2"/>
  <c r="AC1005" i="2"/>
  <c r="AB1005" i="2"/>
  <c r="Z1005" i="2"/>
  <c r="Y1005" i="2"/>
  <c r="X1005" i="2"/>
  <c r="W1005" i="2"/>
  <c r="V1005" i="2"/>
  <c r="U1005" i="2"/>
  <c r="T1005" i="2"/>
  <c r="S1005" i="2"/>
  <c r="R1005" i="2"/>
  <c r="Q1005" i="2"/>
  <c r="P1005" i="2"/>
  <c r="O1005" i="2"/>
  <c r="N1005" i="2"/>
  <c r="M1005" i="2"/>
  <c r="L1005" i="2"/>
  <c r="K1005" i="2"/>
  <c r="J1005" i="2"/>
  <c r="I1005" i="2"/>
  <c r="H1005" i="2"/>
  <c r="G1005" i="2"/>
  <c r="F1005" i="2"/>
  <c r="E1005" i="2"/>
  <c r="D1005" i="2"/>
  <c r="C1005" i="2"/>
  <c r="B1005" i="2"/>
  <c r="A1005" i="2"/>
  <c r="AG1004" i="2"/>
  <c r="AF1004" i="2"/>
  <c r="AE1004" i="2"/>
  <c r="AD1004" i="2"/>
  <c r="AC1004" i="2"/>
  <c r="AB1004" i="2"/>
  <c r="Z1004" i="2"/>
  <c r="Y1004" i="2"/>
  <c r="X1004" i="2"/>
  <c r="W1004" i="2"/>
  <c r="V1004" i="2"/>
  <c r="U1004" i="2"/>
  <c r="T1004" i="2"/>
  <c r="S1004" i="2"/>
  <c r="R1004" i="2"/>
  <c r="Q1004" i="2"/>
  <c r="P1004" i="2"/>
  <c r="O1004" i="2"/>
  <c r="N1004" i="2"/>
  <c r="M1004" i="2"/>
  <c r="L1004" i="2"/>
  <c r="K1004" i="2"/>
  <c r="J1004" i="2"/>
  <c r="I1004" i="2"/>
  <c r="H1004" i="2"/>
  <c r="G1004" i="2"/>
  <c r="F1004" i="2"/>
  <c r="E1004" i="2"/>
  <c r="D1004" i="2"/>
  <c r="C1004" i="2"/>
  <c r="B1004" i="2"/>
  <c r="A1004" i="2"/>
  <c r="AG1003" i="2"/>
  <c r="AF1003" i="2"/>
  <c r="AE1003" i="2"/>
  <c r="AD1003" i="2"/>
  <c r="AC1003" i="2"/>
  <c r="AB1003" i="2"/>
  <c r="AA1003" i="2"/>
  <c r="Z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G1002" i="2"/>
  <c r="AF1002" i="2"/>
  <c r="AE1002" i="2"/>
  <c r="AD1002" i="2"/>
  <c r="AC1002" i="2"/>
  <c r="AB1002" i="2"/>
  <c r="Z1002" i="2"/>
  <c r="Y1002" i="2"/>
  <c r="X1002" i="2"/>
  <c r="W1002" i="2"/>
  <c r="V1002" i="2"/>
  <c r="U1002" i="2"/>
  <c r="T1002" i="2"/>
  <c r="S1002" i="2"/>
  <c r="R1002" i="2"/>
  <c r="Q1002" i="2"/>
  <c r="P1002" i="2"/>
  <c r="O1002" i="2"/>
  <c r="N1002" i="2"/>
  <c r="M1002" i="2"/>
  <c r="L1002" i="2"/>
  <c r="K1002" i="2"/>
  <c r="J1002" i="2"/>
  <c r="I1002" i="2"/>
  <c r="H1002" i="2"/>
  <c r="G1002" i="2"/>
  <c r="F1002" i="2"/>
  <c r="E1002" i="2"/>
  <c r="D1002" i="2"/>
  <c r="C1002" i="2"/>
  <c r="B1002" i="2"/>
  <c r="A1002" i="2"/>
  <c r="AG1001" i="2"/>
  <c r="AF1001" i="2"/>
  <c r="AE1001" i="2"/>
  <c r="AD1001" i="2"/>
  <c r="AC1001" i="2"/>
  <c r="AB1001" i="2"/>
  <c r="AA1001" i="2"/>
  <c r="Z1001" i="2"/>
  <c r="Y1001" i="2"/>
  <c r="X1001" i="2"/>
  <c r="W1001" i="2"/>
  <c r="V1001" i="2"/>
  <c r="U1001" i="2"/>
  <c r="T1001" i="2"/>
  <c r="S1001" i="2"/>
  <c r="R1001" i="2"/>
  <c r="Q1001" i="2"/>
  <c r="P1001" i="2"/>
  <c r="O1001" i="2"/>
  <c r="N1001" i="2"/>
  <c r="M1001" i="2"/>
  <c r="L1001" i="2"/>
  <c r="K1001" i="2"/>
  <c r="J1001" i="2"/>
  <c r="I1001" i="2"/>
  <c r="H1001" i="2"/>
  <c r="G1001" i="2"/>
  <c r="F1001" i="2"/>
  <c r="E1001" i="2"/>
  <c r="D1001" i="2"/>
  <c r="C1001" i="2"/>
  <c r="B1001" i="2"/>
  <c r="A1001" i="2"/>
  <c r="AG1000" i="2"/>
  <c r="AD1000" i="2"/>
  <c r="AC1000" i="2"/>
  <c r="AB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G999" i="2"/>
  <c r="AF999" i="2"/>
  <c r="AE999" i="2"/>
  <c r="AD999" i="2"/>
  <c r="AC999" i="2"/>
  <c r="AB999" i="2"/>
  <c r="Z999" i="2"/>
  <c r="Y999" i="2"/>
  <c r="X999" i="2"/>
  <c r="W999" i="2"/>
  <c r="V999" i="2"/>
  <c r="S999" i="2"/>
  <c r="R999" i="2"/>
  <c r="Q999" i="2"/>
  <c r="P999" i="2"/>
  <c r="N999" i="2"/>
  <c r="M999" i="2"/>
  <c r="L999" i="2"/>
  <c r="K999" i="2"/>
  <c r="H999" i="2"/>
  <c r="G999" i="2"/>
  <c r="F999" i="2"/>
  <c r="E999" i="2"/>
  <c r="D999" i="2"/>
  <c r="C999" i="2"/>
  <c r="B999" i="2"/>
  <c r="A999" i="2"/>
  <c r="AG998" i="2"/>
  <c r="AF998" i="2"/>
  <c r="AE998" i="2"/>
  <c r="AD998" i="2"/>
  <c r="AC998" i="2"/>
  <c r="AB998" i="2"/>
  <c r="AA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G997" i="2"/>
  <c r="AF997" i="2"/>
  <c r="AE997" i="2"/>
  <c r="AD997" i="2"/>
  <c r="AC997" i="2"/>
  <c r="AB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AH996" i="2"/>
  <c r="AG996" i="2"/>
  <c r="AF996" i="2"/>
  <c r="AE996" i="2"/>
  <c r="AD996" i="2"/>
  <c r="AC996" i="2"/>
  <c r="AB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AG995" i="2"/>
  <c r="AF995" i="2"/>
  <c r="AE995" i="2"/>
  <c r="AD995" i="2"/>
  <c r="AC995" i="2"/>
  <c r="AB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G994" i="2"/>
  <c r="AF994" i="2"/>
  <c r="AE994" i="2"/>
  <c r="AD994" i="2"/>
  <c r="AC994" i="2"/>
  <c r="AB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G993" i="2"/>
  <c r="AF993" i="2"/>
  <c r="AE993" i="2"/>
  <c r="AD993" i="2"/>
  <c r="AC993" i="2"/>
  <c r="AB993" i="2"/>
  <c r="AA993" i="2"/>
  <c r="Z993" i="2"/>
  <c r="Y993" i="2"/>
  <c r="X993" i="2"/>
  <c r="W993" i="2"/>
  <c r="V993" i="2"/>
  <c r="U993" i="2"/>
  <c r="S993" i="2"/>
  <c r="R993" i="2"/>
  <c r="Q993" i="2"/>
  <c r="P993" i="2"/>
  <c r="O993" i="2"/>
  <c r="N993" i="2"/>
  <c r="M993" i="2"/>
  <c r="L993" i="2"/>
  <c r="K993" i="2"/>
  <c r="J993" i="2"/>
  <c r="I993" i="2"/>
  <c r="H993" i="2"/>
  <c r="G993" i="2"/>
  <c r="F993" i="2"/>
  <c r="E993" i="2"/>
  <c r="D993" i="2"/>
  <c r="C993" i="2"/>
  <c r="B993" i="2"/>
  <c r="A993" i="2"/>
  <c r="AG992" i="2"/>
  <c r="AF992" i="2"/>
  <c r="AE992" i="2"/>
  <c r="AD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G991" i="2"/>
  <c r="AF991" i="2"/>
  <c r="AE991" i="2"/>
  <c r="AD991" i="2"/>
  <c r="AC991" i="2"/>
  <c r="AB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AH990" i="2"/>
  <c r="AG990" i="2"/>
  <c r="AF990" i="2"/>
  <c r="AE990" i="2"/>
  <c r="AD990" i="2"/>
  <c r="AC990" i="2"/>
  <c r="AB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G989" i="2"/>
  <c r="AF989" i="2"/>
  <c r="AE989" i="2"/>
  <c r="AD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G988" i="2"/>
  <c r="AF988" i="2"/>
  <c r="AE988" i="2"/>
  <c r="AD988" i="2"/>
  <c r="AC988" i="2"/>
  <c r="AB988" i="2"/>
  <c r="Z988" i="2"/>
  <c r="Y988" i="2"/>
  <c r="X988" i="2"/>
  <c r="W988" i="2"/>
  <c r="V988" i="2"/>
  <c r="U988" i="2"/>
  <c r="T988" i="2"/>
  <c r="S988" i="2"/>
  <c r="R988" i="2"/>
  <c r="Q988" i="2"/>
  <c r="P988" i="2"/>
  <c r="O988" i="2"/>
  <c r="N988" i="2"/>
  <c r="M988" i="2"/>
  <c r="L988" i="2"/>
  <c r="K988" i="2"/>
  <c r="J988" i="2"/>
  <c r="I988" i="2"/>
  <c r="H988" i="2"/>
  <c r="G988" i="2"/>
  <c r="F988" i="2"/>
  <c r="E988" i="2"/>
  <c r="D988" i="2"/>
  <c r="C988" i="2"/>
  <c r="B988" i="2"/>
  <c r="A988" i="2"/>
  <c r="AG987" i="2"/>
  <c r="AF987" i="2"/>
  <c r="AE987" i="2"/>
  <c r="AD987" i="2"/>
  <c r="AC987" i="2"/>
  <c r="AB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AH986" i="2"/>
  <c r="AG986" i="2"/>
  <c r="AF986" i="2"/>
  <c r="AE986" i="2"/>
  <c r="AD986" i="2"/>
  <c r="AC986" i="2"/>
  <c r="AB986" i="2"/>
  <c r="Z986" i="2"/>
  <c r="Y986" i="2"/>
  <c r="X986" i="2"/>
  <c r="W986" i="2"/>
  <c r="V986" i="2"/>
  <c r="U986" i="2"/>
  <c r="S986" i="2"/>
  <c r="R986" i="2"/>
  <c r="Q986" i="2"/>
  <c r="P986" i="2"/>
  <c r="O986" i="2"/>
  <c r="N986" i="2"/>
  <c r="M986" i="2"/>
  <c r="L986" i="2"/>
  <c r="K986" i="2"/>
  <c r="H986" i="2"/>
  <c r="G986" i="2"/>
  <c r="F986" i="2"/>
  <c r="E986" i="2"/>
  <c r="D986" i="2"/>
  <c r="C986" i="2"/>
  <c r="B986" i="2"/>
  <c r="A986" i="2"/>
  <c r="AH985" i="2"/>
  <c r="AG985" i="2"/>
  <c r="AF985" i="2"/>
  <c r="AE985" i="2"/>
  <c r="AD985" i="2"/>
  <c r="AC985" i="2"/>
  <c r="AB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F984" i="2"/>
  <c r="AE984" i="2"/>
  <c r="AD984" i="2"/>
  <c r="AC984" i="2"/>
  <c r="AB984" i="2"/>
  <c r="Z984" i="2"/>
  <c r="X984" i="2"/>
  <c r="W984" i="2"/>
  <c r="V984" i="2"/>
  <c r="U984" i="2"/>
  <c r="T984" i="2"/>
  <c r="S984" i="2"/>
  <c r="R984" i="2"/>
  <c r="Q984" i="2"/>
  <c r="P984" i="2"/>
  <c r="O984" i="2"/>
  <c r="N984" i="2"/>
  <c r="M984" i="2"/>
  <c r="L984" i="2"/>
  <c r="K984" i="2"/>
  <c r="J984" i="2"/>
  <c r="I984" i="2"/>
  <c r="H984" i="2"/>
  <c r="G984" i="2"/>
  <c r="F984" i="2"/>
  <c r="E984" i="2"/>
  <c r="D984" i="2"/>
  <c r="C984" i="2"/>
  <c r="B984" i="2"/>
  <c r="A984" i="2"/>
  <c r="AG983" i="2"/>
  <c r="AF983" i="2"/>
  <c r="AE983" i="2"/>
  <c r="AD983" i="2"/>
  <c r="AC983" i="2"/>
  <c r="AB983" i="2"/>
  <c r="Z983" i="2"/>
  <c r="Y983" i="2"/>
  <c r="X983" i="2"/>
  <c r="W983" i="2"/>
  <c r="V983" i="2"/>
  <c r="U983" i="2"/>
  <c r="T983" i="2"/>
  <c r="S983" i="2"/>
  <c r="R983" i="2"/>
  <c r="Q983" i="2"/>
  <c r="P983" i="2"/>
  <c r="O983" i="2"/>
  <c r="N983" i="2"/>
  <c r="M983" i="2"/>
  <c r="L983" i="2"/>
  <c r="K983" i="2"/>
  <c r="H983" i="2"/>
  <c r="G983" i="2"/>
  <c r="F983" i="2"/>
  <c r="E983" i="2"/>
  <c r="D983" i="2"/>
  <c r="C983" i="2"/>
  <c r="B983" i="2"/>
  <c r="A983" i="2"/>
  <c r="AG982" i="2"/>
  <c r="AF982" i="2"/>
  <c r="AD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H981" i="2"/>
  <c r="AG981" i="2"/>
  <c r="AF981" i="2"/>
  <c r="AE981" i="2"/>
  <c r="AD981" i="2"/>
  <c r="AC981" i="2"/>
  <c r="AB981" i="2"/>
  <c r="Z981" i="2"/>
  <c r="Y981" i="2"/>
  <c r="X981" i="2"/>
  <c r="W981" i="2"/>
  <c r="V981" i="2"/>
  <c r="U981" i="2"/>
  <c r="T981" i="2"/>
  <c r="S981" i="2"/>
  <c r="R981" i="2"/>
  <c r="Q981" i="2"/>
  <c r="P981" i="2"/>
  <c r="O981" i="2"/>
  <c r="N981" i="2"/>
  <c r="M981" i="2"/>
  <c r="L981" i="2"/>
  <c r="K981" i="2"/>
  <c r="H981" i="2"/>
  <c r="G981" i="2"/>
  <c r="F981" i="2"/>
  <c r="E981" i="2"/>
  <c r="D981" i="2"/>
  <c r="C981" i="2"/>
  <c r="B981" i="2"/>
  <c r="A981" i="2"/>
  <c r="AG980" i="2"/>
  <c r="AF980" i="2"/>
  <c r="AE980" i="2"/>
  <c r="AD980" i="2"/>
  <c r="AC980" i="2"/>
  <c r="AB980" i="2"/>
  <c r="AA980" i="2"/>
  <c r="Z980" i="2"/>
  <c r="Y980" i="2"/>
  <c r="X980" i="2"/>
  <c r="W980" i="2"/>
  <c r="V980" i="2"/>
  <c r="S980" i="2"/>
  <c r="R980" i="2"/>
  <c r="Q980" i="2"/>
  <c r="P980" i="2"/>
  <c r="O980" i="2"/>
  <c r="N980" i="2"/>
  <c r="M980" i="2"/>
  <c r="L980" i="2"/>
  <c r="K980" i="2"/>
  <c r="J980" i="2"/>
  <c r="I980" i="2"/>
  <c r="H980" i="2"/>
  <c r="G980" i="2"/>
  <c r="F980" i="2"/>
  <c r="E980" i="2"/>
  <c r="D980" i="2"/>
  <c r="C980" i="2"/>
  <c r="B980" i="2"/>
  <c r="A980" i="2"/>
  <c r="AG979" i="2"/>
  <c r="AF979" i="2"/>
  <c r="AE979" i="2"/>
  <c r="AD979" i="2"/>
  <c r="AC979" i="2"/>
  <c r="AB979" i="2"/>
  <c r="AA979" i="2"/>
  <c r="Z979" i="2"/>
  <c r="Y979" i="2"/>
  <c r="X979" i="2"/>
  <c r="W979" i="2"/>
  <c r="V979" i="2"/>
  <c r="S979" i="2"/>
  <c r="R979" i="2"/>
  <c r="Q979" i="2"/>
  <c r="P979" i="2"/>
  <c r="O979" i="2"/>
  <c r="N979" i="2"/>
  <c r="M979" i="2"/>
  <c r="L979" i="2"/>
  <c r="K979" i="2"/>
  <c r="J979" i="2"/>
  <c r="I979" i="2"/>
  <c r="H979" i="2"/>
  <c r="G979" i="2"/>
  <c r="F979" i="2"/>
  <c r="E979" i="2"/>
  <c r="D979" i="2"/>
  <c r="C979" i="2"/>
  <c r="B979" i="2"/>
  <c r="A979" i="2"/>
  <c r="AG978" i="2"/>
  <c r="AF978" i="2"/>
  <c r="AE978" i="2"/>
  <c r="AD978" i="2"/>
  <c r="AC978" i="2"/>
  <c r="AB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G977" i="2"/>
  <c r="AF977" i="2"/>
  <c r="AE977" i="2"/>
  <c r="AD977" i="2"/>
  <c r="AC977" i="2"/>
  <c r="AB977" i="2"/>
  <c r="AA977" i="2"/>
  <c r="Z977" i="2"/>
  <c r="Y977" i="2"/>
  <c r="X977" i="2"/>
  <c r="W977" i="2"/>
  <c r="V977" i="2"/>
  <c r="U977" i="2"/>
  <c r="T977" i="2"/>
  <c r="S977" i="2"/>
  <c r="R977" i="2"/>
  <c r="Q977" i="2"/>
  <c r="P977" i="2"/>
  <c r="O977" i="2"/>
  <c r="N977" i="2"/>
  <c r="M977" i="2"/>
  <c r="L977" i="2"/>
  <c r="K977" i="2"/>
  <c r="J977" i="2"/>
  <c r="I977" i="2"/>
  <c r="H977" i="2"/>
  <c r="G977" i="2"/>
  <c r="F977" i="2"/>
  <c r="E977" i="2"/>
  <c r="D977" i="2"/>
  <c r="C977" i="2"/>
  <c r="B977" i="2"/>
  <c r="A977" i="2"/>
  <c r="AG976" i="2"/>
  <c r="AF976" i="2"/>
  <c r="AE976" i="2"/>
  <c r="AD976" i="2"/>
  <c r="AC976" i="2"/>
  <c r="AB976" i="2"/>
  <c r="AA976" i="2"/>
  <c r="Z976" i="2"/>
  <c r="Y976" i="2"/>
  <c r="X976" i="2"/>
  <c r="W976" i="2"/>
  <c r="V976" i="2"/>
  <c r="U976" i="2"/>
  <c r="T976" i="2"/>
  <c r="S976" i="2"/>
  <c r="R976" i="2"/>
  <c r="Q976" i="2"/>
  <c r="P976" i="2"/>
  <c r="O976" i="2"/>
  <c r="N976" i="2"/>
  <c r="M976" i="2"/>
  <c r="L976" i="2"/>
  <c r="K976" i="2"/>
  <c r="H976" i="2"/>
  <c r="G976" i="2"/>
  <c r="F976" i="2"/>
  <c r="E976" i="2"/>
  <c r="D976" i="2"/>
  <c r="C976" i="2"/>
  <c r="B976" i="2"/>
  <c r="A976" i="2"/>
  <c r="AG975" i="2"/>
  <c r="AF975" i="2"/>
  <c r="AE975" i="2"/>
  <c r="AD975" i="2"/>
  <c r="AC975" i="2"/>
  <c r="AB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D974" i="2"/>
  <c r="AC974" i="2"/>
  <c r="AB974" i="2"/>
  <c r="Z974" i="2"/>
  <c r="X974" i="2"/>
  <c r="W974" i="2"/>
  <c r="V974" i="2"/>
  <c r="S974" i="2"/>
  <c r="R974" i="2"/>
  <c r="Q974" i="2"/>
  <c r="P974" i="2"/>
  <c r="O974" i="2"/>
  <c r="N974" i="2"/>
  <c r="M974" i="2"/>
  <c r="L974" i="2"/>
  <c r="K974" i="2"/>
  <c r="H974" i="2"/>
  <c r="G974" i="2"/>
  <c r="F974" i="2"/>
  <c r="E974" i="2"/>
  <c r="D974" i="2"/>
  <c r="C974" i="2"/>
  <c r="B974" i="2"/>
  <c r="A974" i="2"/>
  <c r="AH973" i="2"/>
  <c r="AG973" i="2"/>
  <c r="AF973" i="2"/>
  <c r="AE973" i="2"/>
  <c r="AD973" i="2"/>
  <c r="AC973" i="2"/>
  <c r="AB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G972" i="2"/>
  <c r="AF972" i="2"/>
  <c r="AE972" i="2"/>
  <c r="AD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G971" i="2"/>
  <c r="AF971" i="2"/>
  <c r="AE971" i="2"/>
  <c r="AD971" i="2"/>
  <c r="AC971" i="2"/>
  <c r="AB971" i="2"/>
  <c r="AA971" i="2"/>
  <c r="Z971" i="2"/>
  <c r="Y971" i="2"/>
  <c r="X971" i="2"/>
  <c r="W971" i="2"/>
  <c r="V971" i="2"/>
  <c r="U971" i="2"/>
  <c r="T971" i="2"/>
  <c r="S971" i="2"/>
  <c r="R971" i="2"/>
  <c r="Q971" i="2"/>
  <c r="P971" i="2"/>
  <c r="N971" i="2"/>
  <c r="M971" i="2"/>
  <c r="L971" i="2"/>
  <c r="K971" i="2"/>
  <c r="H971" i="2"/>
  <c r="G971" i="2"/>
  <c r="F971" i="2"/>
  <c r="E971" i="2"/>
  <c r="D971" i="2"/>
  <c r="C971" i="2"/>
  <c r="B971" i="2"/>
  <c r="A971" i="2"/>
  <c r="AG970" i="2"/>
  <c r="AF970" i="2"/>
  <c r="AE970" i="2"/>
  <c r="AD970" i="2"/>
  <c r="AC970" i="2"/>
  <c r="AB970" i="2"/>
  <c r="AA970" i="2"/>
  <c r="Z970" i="2"/>
  <c r="Y970" i="2"/>
  <c r="X970" i="2"/>
  <c r="W970" i="2"/>
  <c r="V970" i="2"/>
  <c r="U970" i="2"/>
  <c r="T970" i="2"/>
  <c r="S970" i="2"/>
  <c r="R970" i="2"/>
  <c r="Q970" i="2"/>
  <c r="P970" i="2"/>
  <c r="O970" i="2"/>
  <c r="N970" i="2"/>
  <c r="M970" i="2"/>
  <c r="L970" i="2"/>
  <c r="K970" i="2"/>
  <c r="J970" i="2"/>
  <c r="I970" i="2"/>
  <c r="H970" i="2"/>
  <c r="G970" i="2"/>
  <c r="F970" i="2"/>
  <c r="E970" i="2"/>
  <c r="D970" i="2"/>
  <c r="C970" i="2"/>
  <c r="B970" i="2"/>
  <c r="A970" i="2"/>
  <c r="AG969" i="2"/>
  <c r="AF969" i="2"/>
  <c r="AE969" i="2"/>
  <c r="AD969" i="2"/>
  <c r="AC969" i="2"/>
  <c r="AB969" i="2"/>
  <c r="Z969" i="2"/>
  <c r="Y969" i="2"/>
  <c r="X969" i="2"/>
  <c r="W969" i="2"/>
  <c r="V969" i="2"/>
  <c r="U969" i="2"/>
  <c r="T969" i="2"/>
  <c r="S969" i="2"/>
  <c r="R969" i="2"/>
  <c r="Q969" i="2"/>
  <c r="P969" i="2"/>
  <c r="O969" i="2"/>
  <c r="N969" i="2"/>
  <c r="M969" i="2"/>
  <c r="L969" i="2"/>
  <c r="K969" i="2"/>
  <c r="H969" i="2"/>
  <c r="G969" i="2"/>
  <c r="F969" i="2"/>
  <c r="E969" i="2"/>
  <c r="D969" i="2"/>
  <c r="C969" i="2"/>
  <c r="B969" i="2"/>
  <c r="A969" i="2"/>
  <c r="AG968" i="2"/>
  <c r="AF968" i="2"/>
  <c r="AE968" i="2"/>
  <c r="AD968" i="2"/>
  <c r="AC968"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G967" i="2"/>
  <c r="AF967" i="2"/>
  <c r="AE967" i="2"/>
  <c r="AD967" i="2"/>
  <c r="AC967" i="2"/>
  <c r="AB967" i="2"/>
  <c r="Z967" i="2"/>
  <c r="Y967" i="2"/>
  <c r="X967" i="2"/>
  <c r="W967" i="2"/>
  <c r="V967" i="2"/>
  <c r="U967" i="2"/>
  <c r="T967" i="2"/>
  <c r="S967" i="2"/>
  <c r="R967" i="2"/>
  <c r="Q967" i="2"/>
  <c r="P967" i="2"/>
  <c r="O967" i="2"/>
  <c r="N967" i="2"/>
  <c r="M967" i="2"/>
  <c r="L967" i="2"/>
  <c r="K967" i="2"/>
  <c r="H967" i="2"/>
  <c r="G967" i="2"/>
  <c r="F967" i="2"/>
  <c r="E967" i="2"/>
  <c r="D967" i="2"/>
  <c r="C967" i="2"/>
  <c r="B967" i="2"/>
  <c r="A967" i="2"/>
  <c r="AG966" i="2"/>
  <c r="AD966" i="2"/>
  <c r="AC966" i="2"/>
  <c r="AB966" i="2"/>
  <c r="Z966" i="2"/>
  <c r="Y966" i="2"/>
  <c r="X966" i="2"/>
  <c r="W966" i="2"/>
  <c r="V966" i="2"/>
  <c r="U966" i="2"/>
  <c r="T966" i="2"/>
  <c r="S966" i="2"/>
  <c r="R966" i="2"/>
  <c r="Q966" i="2"/>
  <c r="P966" i="2"/>
  <c r="O966" i="2"/>
  <c r="N966" i="2"/>
  <c r="M966" i="2"/>
  <c r="L966" i="2"/>
  <c r="K966" i="2"/>
  <c r="H966" i="2"/>
  <c r="G966" i="2"/>
  <c r="F966" i="2"/>
  <c r="E966" i="2"/>
  <c r="D966" i="2"/>
  <c r="C966" i="2"/>
  <c r="B966" i="2"/>
  <c r="A966" i="2"/>
  <c r="AG965" i="2"/>
  <c r="AF965" i="2"/>
  <c r="AD965" i="2"/>
  <c r="AC965" i="2"/>
  <c r="AB965" i="2"/>
  <c r="X965" i="2"/>
  <c r="W965" i="2"/>
  <c r="V965" i="2"/>
  <c r="U965" i="2"/>
  <c r="T965" i="2"/>
  <c r="S965" i="2"/>
  <c r="R965" i="2"/>
  <c r="Q965" i="2"/>
  <c r="P965" i="2"/>
  <c r="O965" i="2"/>
  <c r="N965" i="2"/>
  <c r="M965" i="2"/>
  <c r="L965" i="2"/>
  <c r="K965" i="2"/>
  <c r="H965" i="2"/>
  <c r="G965" i="2"/>
  <c r="F965" i="2"/>
  <c r="E965" i="2"/>
  <c r="D965" i="2"/>
  <c r="C965" i="2"/>
  <c r="B965" i="2"/>
  <c r="A965" i="2"/>
  <c r="AG964" i="2"/>
  <c r="AF964" i="2"/>
  <c r="AE964" i="2"/>
  <c r="AD964" i="2"/>
  <c r="AC964" i="2"/>
  <c r="AB964" i="2"/>
  <c r="X964" i="2"/>
  <c r="W964" i="2"/>
  <c r="V964" i="2"/>
  <c r="T964" i="2"/>
  <c r="S964" i="2"/>
  <c r="R964" i="2"/>
  <c r="Q964" i="2"/>
  <c r="P964" i="2"/>
  <c r="O964" i="2"/>
  <c r="N964" i="2"/>
  <c r="M964" i="2"/>
  <c r="L964" i="2"/>
  <c r="K964" i="2"/>
  <c r="J964" i="2"/>
  <c r="I964" i="2"/>
  <c r="H964" i="2"/>
  <c r="G964" i="2"/>
  <c r="F964" i="2"/>
  <c r="E964" i="2"/>
  <c r="D964" i="2"/>
  <c r="C964" i="2"/>
  <c r="B964" i="2"/>
  <c r="A964" i="2"/>
  <c r="AG963" i="2"/>
  <c r="AF963" i="2"/>
  <c r="AE963" i="2"/>
  <c r="AD963" i="2"/>
  <c r="AC963" i="2"/>
  <c r="AB963" i="2"/>
  <c r="Y963" i="2"/>
  <c r="X963" i="2"/>
  <c r="W963" i="2"/>
  <c r="V963" i="2"/>
  <c r="U963" i="2"/>
  <c r="T963" i="2"/>
  <c r="S963" i="2"/>
  <c r="R963" i="2"/>
  <c r="Q963" i="2"/>
  <c r="P963" i="2"/>
  <c r="O963" i="2"/>
  <c r="N963" i="2"/>
  <c r="M963" i="2"/>
  <c r="L963" i="2"/>
  <c r="K963" i="2"/>
  <c r="H963" i="2"/>
  <c r="G963" i="2"/>
  <c r="F963" i="2"/>
  <c r="E963" i="2"/>
  <c r="D963" i="2"/>
  <c r="C963" i="2"/>
  <c r="B963" i="2"/>
  <c r="A963" i="2"/>
  <c r="AH962" i="2"/>
  <c r="AG962" i="2"/>
  <c r="AE962" i="2"/>
  <c r="AD962" i="2"/>
  <c r="AC962" i="2"/>
  <c r="AB962" i="2"/>
  <c r="Z962" i="2"/>
  <c r="Y962" i="2"/>
  <c r="X962" i="2"/>
  <c r="W962" i="2"/>
  <c r="V962" i="2"/>
  <c r="T962" i="2"/>
  <c r="S962" i="2"/>
  <c r="R962" i="2"/>
  <c r="Q962" i="2"/>
  <c r="P962" i="2"/>
  <c r="O962" i="2"/>
  <c r="N962" i="2"/>
  <c r="M962" i="2"/>
  <c r="L962" i="2"/>
  <c r="K962" i="2"/>
  <c r="J962" i="2"/>
  <c r="I962" i="2"/>
  <c r="H962" i="2"/>
  <c r="G962" i="2"/>
  <c r="F962" i="2"/>
  <c r="E962" i="2"/>
  <c r="D962" i="2"/>
  <c r="C962" i="2"/>
  <c r="B962" i="2"/>
  <c r="A962" i="2"/>
  <c r="AG961" i="2"/>
  <c r="AF961" i="2"/>
  <c r="AE961" i="2"/>
  <c r="AD961" i="2"/>
  <c r="AC961" i="2"/>
  <c r="AB961" i="2"/>
  <c r="AA961" i="2"/>
  <c r="Z961" i="2"/>
  <c r="Y961" i="2"/>
  <c r="X961" i="2"/>
  <c r="W961" i="2"/>
  <c r="V961" i="2"/>
  <c r="U961" i="2"/>
  <c r="T961" i="2"/>
  <c r="S961" i="2"/>
  <c r="R961" i="2"/>
  <c r="Q961" i="2"/>
  <c r="P961" i="2"/>
  <c r="O961" i="2"/>
  <c r="N961" i="2"/>
  <c r="M961" i="2"/>
  <c r="L961" i="2"/>
  <c r="K961" i="2"/>
  <c r="H961" i="2"/>
  <c r="G961" i="2"/>
  <c r="F961" i="2"/>
  <c r="E961" i="2"/>
  <c r="D961" i="2"/>
  <c r="C961" i="2"/>
  <c r="B961" i="2"/>
  <c r="A961" i="2"/>
  <c r="AG960" i="2"/>
  <c r="AF960" i="2"/>
  <c r="AE960" i="2"/>
  <c r="AD960" i="2"/>
  <c r="AC960" i="2"/>
  <c r="AB960" i="2"/>
  <c r="Y960" i="2"/>
  <c r="X960" i="2"/>
  <c r="W960" i="2"/>
  <c r="V960" i="2"/>
  <c r="U960" i="2"/>
  <c r="T960" i="2"/>
  <c r="S960" i="2"/>
  <c r="R960" i="2"/>
  <c r="Q960" i="2"/>
  <c r="P960" i="2"/>
  <c r="O960" i="2"/>
  <c r="N960" i="2"/>
  <c r="M960" i="2"/>
  <c r="L960" i="2"/>
  <c r="K960" i="2"/>
  <c r="H960" i="2"/>
  <c r="G960" i="2"/>
  <c r="F960" i="2"/>
  <c r="E960" i="2"/>
  <c r="D960" i="2"/>
  <c r="C960" i="2"/>
  <c r="B960" i="2"/>
  <c r="A960" i="2"/>
  <c r="AG959" i="2"/>
  <c r="AF959" i="2"/>
  <c r="AE959" i="2"/>
  <c r="AD959" i="2"/>
  <c r="AC959" i="2"/>
  <c r="AB959" i="2"/>
  <c r="AA959" i="2"/>
  <c r="Z959" i="2"/>
  <c r="Y959" i="2"/>
  <c r="X959" i="2"/>
  <c r="W959" i="2"/>
  <c r="V959" i="2"/>
  <c r="U959" i="2"/>
  <c r="T959" i="2"/>
  <c r="S959" i="2"/>
  <c r="R959" i="2"/>
  <c r="Q959" i="2"/>
  <c r="P959" i="2"/>
  <c r="O959" i="2"/>
  <c r="N959" i="2"/>
  <c r="M959" i="2"/>
  <c r="L959" i="2"/>
  <c r="K959" i="2"/>
  <c r="H959" i="2"/>
  <c r="G959" i="2"/>
  <c r="F959" i="2"/>
  <c r="E959" i="2"/>
  <c r="D959" i="2"/>
  <c r="C959" i="2"/>
  <c r="B959" i="2"/>
  <c r="A959" i="2"/>
  <c r="AG958" i="2"/>
  <c r="AF958" i="2"/>
  <c r="AE958" i="2"/>
  <c r="AD958" i="2"/>
  <c r="AC958" i="2"/>
  <c r="AB958" i="2"/>
  <c r="AA958" i="2"/>
  <c r="Z958" i="2"/>
  <c r="Y958" i="2"/>
  <c r="X958" i="2"/>
  <c r="W958" i="2"/>
  <c r="V958" i="2"/>
  <c r="S958" i="2"/>
  <c r="R958" i="2"/>
  <c r="Q958" i="2"/>
  <c r="P958" i="2"/>
  <c r="O958" i="2"/>
  <c r="N958" i="2"/>
  <c r="M958" i="2"/>
  <c r="L958" i="2"/>
  <c r="K958" i="2"/>
  <c r="J958" i="2"/>
  <c r="I958" i="2"/>
  <c r="H958" i="2"/>
  <c r="G958" i="2"/>
  <c r="F958" i="2"/>
  <c r="E958" i="2"/>
  <c r="D958" i="2"/>
  <c r="C958" i="2"/>
  <c r="B958" i="2"/>
  <c r="A958" i="2"/>
  <c r="AG957" i="2"/>
  <c r="AF957" i="2"/>
  <c r="AE957" i="2"/>
  <c r="AD957" i="2"/>
  <c r="AC957" i="2"/>
  <c r="AB957" i="2"/>
  <c r="Z957" i="2"/>
  <c r="Y957" i="2"/>
  <c r="X957" i="2"/>
  <c r="W957" i="2"/>
  <c r="V957" i="2"/>
  <c r="U957" i="2"/>
  <c r="T957" i="2"/>
  <c r="S957" i="2"/>
  <c r="R957" i="2"/>
  <c r="Q957" i="2"/>
  <c r="P957" i="2"/>
  <c r="O957" i="2"/>
  <c r="N957" i="2"/>
  <c r="M957" i="2"/>
  <c r="L957" i="2"/>
  <c r="K957" i="2"/>
  <c r="H957" i="2"/>
  <c r="G957" i="2"/>
  <c r="F957" i="2"/>
  <c r="E957" i="2"/>
  <c r="D957" i="2"/>
  <c r="C957" i="2"/>
  <c r="B957" i="2"/>
  <c r="A957" i="2"/>
  <c r="AG956" i="2"/>
  <c r="AF956" i="2"/>
  <c r="AE956" i="2"/>
  <c r="AD956" i="2"/>
  <c r="AC956" i="2"/>
  <c r="AB956" i="2"/>
  <c r="Z956" i="2"/>
  <c r="Y956" i="2"/>
  <c r="X956" i="2"/>
  <c r="W956" i="2"/>
  <c r="V956" i="2"/>
  <c r="U956" i="2"/>
  <c r="T956" i="2"/>
  <c r="S956" i="2"/>
  <c r="R956" i="2"/>
  <c r="Q956" i="2"/>
  <c r="P956" i="2"/>
  <c r="O956" i="2"/>
  <c r="N956" i="2"/>
  <c r="M956" i="2"/>
  <c r="L956" i="2"/>
  <c r="K956" i="2"/>
  <c r="H956" i="2"/>
  <c r="G956" i="2"/>
  <c r="F956" i="2"/>
  <c r="E956" i="2"/>
  <c r="D956" i="2"/>
  <c r="C956" i="2"/>
  <c r="B956" i="2"/>
  <c r="A956" i="2"/>
  <c r="AG955" i="2"/>
  <c r="AF955" i="2"/>
  <c r="AE955" i="2"/>
  <c r="AD955" i="2"/>
  <c r="AC955" i="2"/>
  <c r="AB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AH954" i="2"/>
  <c r="AG954" i="2"/>
  <c r="AF954" i="2"/>
  <c r="AD954" i="2"/>
  <c r="AC954" i="2"/>
  <c r="AB954" i="2"/>
  <c r="Z954" i="2"/>
  <c r="Y954" i="2"/>
  <c r="X954" i="2"/>
  <c r="W954" i="2"/>
  <c r="V954" i="2"/>
  <c r="U954" i="2"/>
  <c r="T954" i="2"/>
  <c r="S954" i="2"/>
  <c r="R954" i="2"/>
  <c r="Q954" i="2"/>
  <c r="P954" i="2"/>
  <c r="O954" i="2"/>
  <c r="N954" i="2"/>
  <c r="M954" i="2"/>
  <c r="L954" i="2"/>
  <c r="K954" i="2"/>
  <c r="H954" i="2"/>
  <c r="G954" i="2"/>
  <c r="F954" i="2"/>
  <c r="E954" i="2"/>
  <c r="D954" i="2"/>
  <c r="C954" i="2"/>
  <c r="B954" i="2"/>
  <c r="A954" i="2"/>
  <c r="AG953" i="2"/>
  <c r="AF953" i="2"/>
  <c r="AE953" i="2"/>
  <c r="AD953" i="2"/>
  <c r="AC953" i="2"/>
  <c r="AB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G952" i="2"/>
  <c r="AF952" i="2"/>
  <c r="AE952" i="2"/>
  <c r="AD952" i="2"/>
  <c r="AC952" i="2"/>
  <c r="AB952" i="2"/>
  <c r="Z952" i="2"/>
  <c r="Y952" i="2"/>
  <c r="X952" i="2"/>
  <c r="W952" i="2"/>
  <c r="V952" i="2"/>
  <c r="T952" i="2"/>
  <c r="S952" i="2"/>
  <c r="R952" i="2"/>
  <c r="Q952" i="2"/>
  <c r="P952" i="2"/>
  <c r="O952" i="2"/>
  <c r="N952" i="2"/>
  <c r="M952" i="2"/>
  <c r="L952" i="2"/>
  <c r="K952" i="2"/>
  <c r="J952" i="2"/>
  <c r="I952" i="2"/>
  <c r="H952" i="2"/>
  <c r="G952" i="2"/>
  <c r="F952" i="2"/>
  <c r="E952" i="2"/>
  <c r="D952" i="2"/>
  <c r="C952" i="2"/>
  <c r="B952" i="2"/>
  <c r="A952" i="2"/>
  <c r="AG951" i="2"/>
  <c r="AF951" i="2"/>
  <c r="AE951" i="2"/>
  <c r="AD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G950" i="2"/>
  <c r="AF950" i="2"/>
  <c r="AE950" i="2"/>
  <c r="AD950" i="2"/>
  <c r="AC950" i="2"/>
  <c r="AB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H949" i="2"/>
  <c r="AF949" i="2"/>
  <c r="AE949" i="2"/>
  <c r="AD949" i="2"/>
  <c r="AC949" i="2"/>
  <c r="AB949" i="2"/>
  <c r="AA949" i="2"/>
  <c r="Z949" i="2"/>
  <c r="Y949" i="2"/>
  <c r="X949" i="2"/>
  <c r="W949" i="2"/>
  <c r="V949" i="2"/>
  <c r="U949" i="2"/>
  <c r="T949" i="2"/>
  <c r="S949" i="2"/>
  <c r="R949" i="2"/>
  <c r="Q949" i="2"/>
  <c r="P949" i="2"/>
  <c r="O949" i="2"/>
  <c r="N949" i="2"/>
  <c r="M949" i="2"/>
  <c r="L949" i="2"/>
  <c r="K949" i="2"/>
  <c r="H949" i="2"/>
  <c r="G949" i="2"/>
  <c r="F949" i="2"/>
  <c r="E949" i="2"/>
  <c r="D949" i="2"/>
  <c r="C949" i="2"/>
  <c r="B949" i="2"/>
  <c r="A949" i="2"/>
  <c r="AH948" i="2"/>
  <c r="AG948" i="2"/>
  <c r="AF948" i="2"/>
  <c r="AE948" i="2"/>
  <c r="AD948" i="2"/>
  <c r="AC948" i="2"/>
  <c r="AB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G947" i="2"/>
  <c r="AF947" i="2"/>
  <c r="AE947" i="2"/>
  <c r="AD947" i="2"/>
  <c r="AC947" i="2"/>
  <c r="AB947" i="2"/>
  <c r="AA947" i="2"/>
  <c r="Z947" i="2"/>
  <c r="Y947" i="2"/>
  <c r="X947" i="2"/>
  <c r="W947" i="2"/>
  <c r="V947" i="2"/>
  <c r="T947" i="2"/>
  <c r="S947" i="2"/>
  <c r="R947" i="2"/>
  <c r="Q947" i="2"/>
  <c r="P947" i="2"/>
  <c r="O947" i="2"/>
  <c r="N947" i="2"/>
  <c r="M947" i="2"/>
  <c r="L947" i="2"/>
  <c r="K947" i="2"/>
  <c r="J947" i="2"/>
  <c r="I947" i="2"/>
  <c r="H947" i="2"/>
  <c r="G947" i="2"/>
  <c r="F947" i="2"/>
  <c r="E947" i="2"/>
  <c r="D947" i="2"/>
  <c r="C947" i="2"/>
  <c r="B947" i="2"/>
  <c r="A947" i="2"/>
  <c r="AG946" i="2"/>
  <c r="AF946" i="2"/>
  <c r="AE946" i="2"/>
  <c r="AD946" i="2"/>
  <c r="AC946" i="2"/>
  <c r="AB946" i="2"/>
  <c r="AA946" i="2"/>
  <c r="Z946" i="2"/>
  <c r="Y946" i="2"/>
  <c r="X946" i="2"/>
  <c r="W946" i="2"/>
  <c r="V946" i="2"/>
  <c r="S946" i="2"/>
  <c r="R946" i="2"/>
  <c r="Q946" i="2"/>
  <c r="P946" i="2"/>
  <c r="O946" i="2"/>
  <c r="N946" i="2"/>
  <c r="M946" i="2"/>
  <c r="L946" i="2"/>
  <c r="K946" i="2"/>
  <c r="J946" i="2"/>
  <c r="I946" i="2"/>
  <c r="H946" i="2"/>
  <c r="G946" i="2"/>
  <c r="F946" i="2"/>
  <c r="E946" i="2"/>
  <c r="D946" i="2"/>
  <c r="C946" i="2"/>
  <c r="B946" i="2"/>
  <c r="A946" i="2"/>
  <c r="AD945" i="2"/>
  <c r="AC945" i="2"/>
  <c r="AB945" i="2"/>
  <c r="X945" i="2"/>
  <c r="W945" i="2"/>
  <c r="V945" i="2"/>
  <c r="U945" i="2"/>
  <c r="T945" i="2"/>
  <c r="S945" i="2"/>
  <c r="R945" i="2"/>
  <c r="Q945" i="2"/>
  <c r="P945" i="2"/>
  <c r="O945" i="2"/>
  <c r="N945" i="2"/>
  <c r="M945" i="2"/>
  <c r="L945" i="2"/>
  <c r="K945" i="2"/>
  <c r="H945" i="2"/>
  <c r="G945" i="2"/>
  <c r="F945" i="2"/>
  <c r="E945" i="2"/>
  <c r="D945" i="2"/>
  <c r="C945" i="2"/>
  <c r="B945" i="2"/>
  <c r="A945" i="2"/>
  <c r="AG944" i="2"/>
  <c r="AF944" i="2"/>
  <c r="AE944" i="2"/>
  <c r="AD944" i="2"/>
  <c r="AC944" i="2"/>
  <c r="AB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H943" i="2"/>
  <c r="AF943" i="2"/>
  <c r="AE943" i="2"/>
  <c r="AD943" i="2"/>
  <c r="AC943" i="2"/>
  <c r="AB943" i="2"/>
  <c r="Y943" i="2"/>
  <c r="X943" i="2"/>
  <c r="W943" i="2"/>
  <c r="V943" i="2"/>
  <c r="U943" i="2"/>
  <c r="T943" i="2"/>
  <c r="S943" i="2"/>
  <c r="R943" i="2"/>
  <c r="Q943" i="2"/>
  <c r="P943" i="2"/>
  <c r="O943" i="2"/>
  <c r="N943" i="2"/>
  <c r="M943" i="2"/>
  <c r="L943" i="2"/>
  <c r="K943" i="2"/>
  <c r="H943" i="2"/>
  <c r="G943" i="2"/>
  <c r="F943" i="2"/>
  <c r="E943" i="2"/>
  <c r="D943" i="2"/>
  <c r="C943" i="2"/>
  <c r="B943" i="2"/>
  <c r="A943" i="2"/>
  <c r="AH942" i="2"/>
  <c r="AG942" i="2"/>
  <c r="AF942" i="2"/>
  <c r="AE942" i="2"/>
  <c r="AD942" i="2"/>
  <c r="AC942" i="2"/>
  <c r="AB942" i="2"/>
  <c r="Z942" i="2"/>
  <c r="Y942" i="2"/>
  <c r="X942" i="2"/>
  <c r="W942" i="2"/>
  <c r="V942" i="2"/>
  <c r="S942" i="2"/>
  <c r="R942" i="2"/>
  <c r="Q942" i="2"/>
  <c r="P942" i="2"/>
  <c r="O942" i="2"/>
  <c r="N942" i="2"/>
  <c r="M942" i="2"/>
  <c r="L942" i="2"/>
  <c r="K942" i="2"/>
  <c r="J942" i="2"/>
  <c r="I942" i="2"/>
  <c r="H942" i="2"/>
  <c r="G942" i="2"/>
  <c r="F942" i="2"/>
  <c r="E942" i="2"/>
  <c r="D942" i="2"/>
  <c r="C942" i="2"/>
  <c r="B942" i="2"/>
  <c r="A942" i="2"/>
  <c r="AH941" i="2"/>
  <c r="AG941" i="2"/>
  <c r="AF941" i="2"/>
  <c r="AD941" i="2"/>
  <c r="AC941" i="2"/>
  <c r="AB941" i="2"/>
  <c r="Z941" i="2"/>
  <c r="Y941" i="2"/>
  <c r="X941" i="2"/>
  <c r="W941" i="2"/>
  <c r="V941" i="2"/>
  <c r="U941" i="2"/>
  <c r="S941" i="2"/>
  <c r="R941" i="2"/>
  <c r="Q941" i="2"/>
  <c r="P941" i="2"/>
  <c r="O941" i="2"/>
  <c r="N941" i="2"/>
  <c r="M941" i="2"/>
  <c r="L941" i="2"/>
  <c r="K941" i="2"/>
  <c r="J941" i="2"/>
  <c r="I941" i="2"/>
  <c r="H941" i="2"/>
  <c r="G941" i="2"/>
  <c r="F941" i="2"/>
  <c r="E941" i="2"/>
  <c r="D941" i="2"/>
  <c r="C941" i="2"/>
  <c r="B941" i="2"/>
  <c r="A941" i="2"/>
  <c r="AH940" i="2"/>
  <c r="AG940" i="2"/>
  <c r="AF940" i="2"/>
  <c r="AE940" i="2"/>
  <c r="AD940" i="2"/>
  <c r="AC940" i="2"/>
  <c r="AB940" i="2"/>
  <c r="AA940" i="2"/>
  <c r="Z940" i="2"/>
  <c r="Y940" i="2"/>
  <c r="X940" i="2"/>
  <c r="W940" i="2"/>
  <c r="V940" i="2"/>
  <c r="U940" i="2"/>
  <c r="S940" i="2"/>
  <c r="R940" i="2"/>
  <c r="Q940" i="2"/>
  <c r="P940" i="2"/>
  <c r="O940" i="2"/>
  <c r="N940" i="2"/>
  <c r="M940" i="2"/>
  <c r="L940" i="2"/>
  <c r="K940" i="2"/>
  <c r="H940" i="2"/>
  <c r="G940" i="2"/>
  <c r="F940" i="2"/>
  <c r="E940" i="2"/>
  <c r="D940" i="2"/>
  <c r="C940" i="2"/>
  <c r="B940" i="2"/>
  <c r="A940" i="2"/>
  <c r="AH939" i="2"/>
  <c r="AG939" i="2"/>
  <c r="AF939" i="2"/>
  <c r="AE939" i="2"/>
  <c r="AD939" i="2"/>
  <c r="AC939" i="2"/>
  <c r="AB939" i="2"/>
  <c r="AA939" i="2"/>
  <c r="Z939" i="2"/>
  <c r="X939" i="2"/>
  <c r="W939" i="2"/>
  <c r="V939" i="2"/>
  <c r="U939" i="2"/>
  <c r="T939" i="2"/>
  <c r="S939" i="2"/>
  <c r="R939" i="2"/>
  <c r="Q939" i="2"/>
  <c r="P939" i="2"/>
  <c r="O939" i="2"/>
  <c r="N939" i="2"/>
  <c r="M939" i="2"/>
  <c r="L939" i="2"/>
  <c r="K939" i="2"/>
  <c r="H939" i="2"/>
  <c r="G939" i="2"/>
  <c r="F939" i="2"/>
  <c r="E939" i="2"/>
  <c r="D939" i="2"/>
  <c r="C939" i="2"/>
  <c r="B939" i="2"/>
  <c r="A939" i="2"/>
  <c r="AH938" i="2"/>
  <c r="AE938" i="2"/>
  <c r="AD938" i="2"/>
  <c r="AC938" i="2"/>
  <c r="AB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H937" i="2"/>
  <c r="AG937" i="2"/>
  <c r="AF937" i="2"/>
  <c r="AE937" i="2"/>
  <c r="AD937" i="2"/>
  <c r="AC937"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H936" i="2"/>
  <c r="AG936" i="2"/>
  <c r="AF936" i="2"/>
  <c r="AE936" i="2"/>
  <c r="AD936" i="2"/>
  <c r="AC936" i="2"/>
  <c r="AB936" i="2"/>
  <c r="Y936" i="2"/>
  <c r="X936" i="2"/>
  <c r="W936" i="2"/>
  <c r="V936" i="2"/>
  <c r="U936" i="2"/>
  <c r="T936" i="2"/>
  <c r="S936" i="2"/>
  <c r="R936" i="2"/>
  <c r="Q936" i="2"/>
  <c r="P936" i="2"/>
  <c r="O936" i="2"/>
  <c r="N936" i="2"/>
  <c r="M936" i="2"/>
  <c r="L936" i="2"/>
  <c r="K936" i="2"/>
  <c r="H936" i="2"/>
  <c r="G936" i="2"/>
  <c r="F936" i="2"/>
  <c r="E936" i="2"/>
  <c r="D936" i="2"/>
  <c r="C936" i="2"/>
  <c r="B936" i="2"/>
  <c r="A936" i="2"/>
  <c r="AH935" i="2"/>
  <c r="AG935" i="2"/>
  <c r="AF935" i="2"/>
  <c r="AE935" i="2"/>
  <c r="AD935" i="2"/>
  <c r="AC935" i="2"/>
  <c r="AB935" i="2"/>
  <c r="AA935" i="2"/>
  <c r="Z935" i="2"/>
  <c r="Y935" i="2"/>
  <c r="X935" i="2"/>
  <c r="W935" i="2"/>
  <c r="V935" i="2"/>
  <c r="U935" i="2"/>
  <c r="T935" i="2"/>
  <c r="S935" i="2"/>
  <c r="R935" i="2"/>
  <c r="Q935" i="2"/>
  <c r="P935" i="2"/>
  <c r="O935" i="2"/>
  <c r="N935" i="2"/>
  <c r="M935" i="2"/>
  <c r="L935" i="2"/>
  <c r="K935" i="2"/>
  <c r="J935" i="2"/>
  <c r="I935" i="2"/>
  <c r="H935" i="2"/>
  <c r="G935" i="2"/>
  <c r="F935" i="2"/>
  <c r="E935" i="2"/>
  <c r="D935" i="2"/>
  <c r="C935" i="2"/>
  <c r="B935" i="2"/>
  <c r="A935" i="2"/>
  <c r="AH934" i="2"/>
  <c r="AG934" i="2"/>
  <c r="AF934" i="2"/>
  <c r="AE934" i="2"/>
  <c r="AD934" i="2"/>
  <c r="AC934" i="2"/>
  <c r="AB934" i="2"/>
  <c r="X934" i="2"/>
  <c r="W934" i="2"/>
  <c r="V934" i="2"/>
  <c r="U934" i="2"/>
  <c r="T934" i="2"/>
  <c r="S934" i="2"/>
  <c r="R934" i="2"/>
  <c r="Q934" i="2"/>
  <c r="P934" i="2"/>
  <c r="O934" i="2"/>
  <c r="N934" i="2"/>
  <c r="M934" i="2"/>
  <c r="L934" i="2"/>
  <c r="K934" i="2"/>
  <c r="H934" i="2"/>
  <c r="G934" i="2"/>
  <c r="F934" i="2"/>
  <c r="E934" i="2"/>
  <c r="D934" i="2"/>
  <c r="C934" i="2"/>
  <c r="B934" i="2"/>
  <c r="A934" i="2"/>
  <c r="AH933" i="2"/>
  <c r="AG933" i="2"/>
  <c r="AD933" i="2"/>
  <c r="AC933" i="2"/>
  <c r="AB933" i="2"/>
  <c r="Z933" i="2"/>
  <c r="Y933" i="2"/>
  <c r="X933" i="2"/>
  <c r="W933" i="2"/>
  <c r="V933" i="2"/>
  <c r="U933" i="2"/>
  <c r="T933" i="2"/>
  <c r="S933" i="2"/>
  <c r="R933" i="2"/>
  <c r="Q933" i="2"/>
  <c r="P933" i="2"/>
  <c r="O933" i="2"/>
  <c r="N933" i="2"/>
  <c r="M933" i="2"/>
  <c r="L933" i="2"/>
  <c r="K933" i="2"/>
  <c r="H933" i="2"/>
  <c r="G933" i="2"/>
  <c r="F933" i="2"/>
  <c r="E933" i="2"/>
  <c r="D933" i="2"/>
  <c r="C933" i="2"/>
  <c r="B933" i="2"/>
  <c r="A933" i="2"/>
  <c r="AH932" i="2"/>
  <c r="AG932" i="2"/>
  <c r="AF932" i="2"/>
  <c r="AE932" i="2"/>
  <c r="AD932" i="2"/>
  <c r="AC932" i="2"/>
  <c r="AB932" i="2"/>
  <c r="Z932" i="2"/>
  <c r="Y932" i="2"/>
  <c r="X932" i="2"/>
  <c r="W932" i="2"/>
  <c r="V932" i="2"/>
  <c r="U932" i="2"/>
  <c r="T932" i="2"/>
  <c r="S932" i="2"/>
  <c r="R932" i="2"/>
  <c r="Q932" i="2"/>
  <c r="P932" i="2"/>
  <c r="O932" i="2"/>
  <c r="N932" i="2"/>
  <c r="M932" i="2"/>
  <c r="L932" i="2"/>
  <c r="K932" i="2"/>
  <c r="H932" i="2"/>
  <c r="G932" i="2"/>
  <c r="F932" i="2"/>
  <c r="E932" i="2"/>
  <c r="D932" i="2"/>
  <c r="C932" i="2"/>
  <c r="B932" i="2"/>
  <c r="A932" i="2"/>
  <c r="AH931" i="2"/>
  <c r="AG931" i="2"/>
  <c r="AF931" i="2"/>
  <c r="AE931" i="2"/>
  <c r="AD931" i="2"/>
  <c r="AC931" i="2"/>
  <c r="AB931" i="2"/>
  <c r="Z931" i="2"/>
  <c r="Y931" i="2"/>
  <c r="X931" i="2"/>
  <c r="W931" i="2"/>
  <c r="V931" i="2"/>
  <c r="U931" i="2"/>
  <c r="T931" i="2"/>
  <c r="S931" i="2"/>
  <c r="R931" i="2"/>
  <c r="Q931" i="2"/>
  <c r="P931" i="2"/>
  <c r="O931" i="2"/>
  <c r="N931" i="2"/>
  <c r="M931" i="2"/>
  <c r="L931" i="2"/>
  <c r="K931" i="2"/>
  <c r="J931" i="2"/>
  <c r="I931" i="2"/>
  <c r="H931" i="2"/>
  <c r="G931" i="2"/>
  <c r="F931" i="2"/>
  <c r="E931" i="2"/>
  <c r="D931" i="2"/>
  <c r="C931" i="2"/>
  <c r="B931" i="2"/>
  <c r="A931" i="2"/>
  <c r="AH930" i="2"/>
  <c r="AF930" i="2"/>
  <c r="AE930" i="2"/>
  <c r="AD930" i="2"/>
  <c r="AC930" i="2"/>
  <c r="AB930" i="2"/>
  <c r="AA930" i="2"/>
  <c r="Z930" i="2"/>
  <c r="Y930" i="2"/>
  <c r="X930" i="2"/>
  <c r="W930" i="2"/>
  <c r="V930" i="2"/>
  <c r="U930" i="2"/>
  <c r="T930" i="2"/>
  <c r="S930" i="2"/>
  <c r="R930" i="2"/>
  <c r="Q930" i="2"/>
  <c r="P930" i="2"/>
  <c r="O930" i="2"/>
  <c r="N930" i="2"/>
  <c r="M930" i="2"/>
  <c r="L930" i="2"/>
  <c r="K930" i="2"/>
  <c r="H930" i="2"/>
  <c r="G930" i="2"/>
  <c r="F930" i="2"/>
  <c r="E930" i="2"/>
  <c r="D930" i="2"/>
  <c r="C930" i="2"/>
  <c r="B930" i="2"/>
  <c r="A930" i="2"/>
  <c r="AH929" i="2"/>
  <c r="AD929" i="2"/>
  <c r="AC929" i="2"/>
  <c r="AB929" i="2"/>
  <c r="X929" i="2"/>
  <c r="W929" i="2"/>
  <c r="V929" i="2"/>
  <c r="T929" i="2"/>
  <c r="S929" i="2"/>
  <c r="R929" i="2"/>
  <c r="Q929" i="2"/>
  <c r="P929" i="2"/>
  <c r="O929" i="2"/>
  <c r="N929" i="2"/>
  <c r="M929" i="2"/>
  <c r="L929" i="2"/>
  <c r="K929" i="2"/>
  <c r="H929" i="2"/>
  <c r="G929" i="2"/>
  <c r="F929" i="2"/>
  <c r="E929" i="2"/>
  <c r="D929" i="2"/>
  <c r="C929" i="2"/>
  <c r="B929" i="2"/>
  <c r="A929" i="2"/>
  <c r="AH928" i="2"/>
  <c r="AD928" i="2"/>
  <c r="AC928" i="2"/>
  <c r="AB928" i="2"/>
  <c r="Z928" i="2"/>
  <c r="Y928" i="2"/>
  <c r="X928" i="2"/>
  <c r="W928" i="2"/>
  <c r="V928" i="2"/>
  <c r="U928" i="2"/>
  <c r="T928" i="2"/>
  <c r="S928" i="2"/>
  <c r="R928" i="2"/>
  <c r="Q928" i="2"/>
  <c r="P928" i="2"/>
  <c r="O928" i="2"/>
  <c r="N928" i="2"/>
  <c r="M928" i="2"/>
  <c r="L928" i="2"/>
  <c r="K928" i="2"/>
  <c r="H928" i="2"/>
  <c r="G928" i="2"/>
  <c r="F928" i="2"/>
  <c r="E928" i="2"/>
  <c r="D928" i="2"/>
  <c r="C928" i="2"/>
  <c r="B928" i="2"/>
  <c r="A928" i="2"/>
  <c r="AH927" i="2"/>
  <c r="AG927" i="2"/>
  <c r="AD927" i="2"/>
  <c r="AC927" i="2"/>
  <c r="AB927" i="2"/>
  <c r="Z927" i="2"/>
  <c r="Y927" i="2"/>
  <c r="X927" i="2"/>
  <c r="W927" i="2"/>
  <c r="V927" i="2"/>
  <c r="U927" i="2"/>
  <c r="T927" i="2"/>
  <c r="S927" i="2"/>
  <c r="R927" i="2"/>
  <c r="Q927" i="2"/>
  <c r="P927" i="2"/>
  <c r="O927" i="2"/>
  <c r="N927" i="2"/>
  <c r="M927" i="2"/>
  <c r="L927" i="2"/>
  <c r="K927" i="2"/>
  <c r="H927" i="2"/>
  <c r="G927" i="2"/>
  <c r="F927" i="2"/>
  <c r="E927" i="2"/>
  <c r="D927" i="2"/>
  <c r="C927" i="2"/>
  <c r="B927" i="2"/>
  <c r="A927" i="2"/>
  <c r="AH926" i="2"/>
  <c r="AG926" i="2"/>
  <c r="AF926" i="2"/>
  <c r="AE926" i="2"/>
  <c r="AD926" i="2"/>
  <c r="AC926" i="2"/>
  <c r="AB926" i="2"/>
  <c r="AA926" i="2"/>
  <c r="Z926" i="2"/>
  <c r="Y926" i="2"/>
  <c r="X926" i="2"/>
  <c r="W926" i="2"/>
  <c r="V926" i="2"/>
  <c r="U926" i="2"/>
  <c r="T926" i="2"/>
  <c r="S926" i="2"/>
  <c r="R926" i="2"/>
  <c r="Q926" i="2"/>
  <c r="P926" i="2"/>
  <c r="N926" i="2"/>
  <c r="M926" i="2"/>
  <c r="L926" i="2"/>
  <c r="K926" i="2"/>
  <c r="J926" i="2"/>
  <c r="I926" i="2"/>
  <c r="H926" i="2"/>
  <c r="G926" i="2"/>
  <c r="F926" i="2"/>
  <c r="E926" i="2"/>
  <c r="D926" i="2"/>
  <c r="C926" i="2"/>
  <c r="B926" i="2"/>
  <c r="A926" i="2"/>
  <c r="AH925" i="2"/>
  <c r="AG925" i="2"/>
  <c r="AD925" i="2"/>
  <c r="AC925" i="2"/>
  <c r="AB925" i="2"/>
  <c r="Z925" i="2"/>
  <c r="Y925" i="2"/>
  <c r="X925" i="2"/>
  <c r="W925" i="2"/>
  <c r="V925" i="2"/>
  <c r="U925" i="2"/>
  <c r="T925" i="2"/>
  <c r="S925" i="2"/>
  <c r="R925" i="2"/>
  <c r="Q925" i="2"/>
  <c r="P925" i="2"/>
  <c r="O925" i="2"/>
  <c r="N925" i="2"/>
  <c r="M925" i="2"/>
  <c r="L925" i="2"/>
  <c r="K925" i="2"/>
  <c r="H925" i="2"/>
  <c r="G925" i="2"/>
  <c r="F925" i="2"/>
  <c r="E925" i="2"/>
  <c r="D925" i="2"/>
  <c r="C925" i="2"/>
  <c r="B925" i="2"/>
  <c r="A925" i="2"/>
  <c r="AH924" i="2"/>
  <c r="AF924" i="2"/>
  <c r="AE924" i="2"/>
  <c r="AD924" i="2"/>
  <c r="AC924" i="2"/>
  <c r="AB924" i="2"/>
  <c r="Z924" i="2"/>
  <c r="Y924" i="2"/>
  <c r="X924" i="2"/>
  <c r="W924" i="2"/>
  <c r="V924" i="2"/>
  <c r="U924" i="2"/>
  <c r="S924" i="2"/>
  <c r="R924" i="2"/>
  <c r="Q924" i="2"/>
  <c r="P924" i="2"/>
  <c r="O924" i="2"/>
  <c r="N924" i="2"/>
  <c r="M924" i="2"/>
  <c r="L924" i="2"/>
  <c r="K924" i="2"/>
  <c r="J924" i="2"/>
  <c r="I924" i="2"/>
  <c r="H924" i="2"/>
  <c r="G924" i="2"/>
  <c r="F924" i="2"/>
  <c r="E924" i="2"/>
  <c r="D924" i="2"/>
  <c r="C924" i="2"/>
  <c r="B924" i="2"/>
  <c r="A924" i="2"/>
  <c r="AH923" i="2"/>
  <c r="AG923" i="2"/>
  <c r="AD923" i="2"/>
  <c r="AC923" i="2"/>
  <c r="AB923" i="2"/>
  <c r="X923" i="2"/>
  <c r="W923" i="2"/>
  <c r="V923" i="2"/>
  <c r="U923" i="2"/>
  <c r="T923" i="2"/>
  <c r="S923" i="2"/>
  <c r="R923" i="2"/>
  <c r="Q923" i="2"/>
  <c r="P923" i="2"/>
  <c r="O923" i="2"/>
  <c r="N923" i="2"/>
  <c r="M923" i="2"/>
  <c r="L923" i="2"/>
  <c r="K923" i="2"/>
  <c r="H923" i="2"/>
  <c r="G923" i="2"/>
  <c r="F923" i="2"/>
  <c r="E923" i="2"/>
  <c r="D923" i="2"/>
  <c r="C923" i="2"/>
  <c r="B923" i="2"/>
  <c r="A923" i="2"/>
  <c r="AH922" i="2"/>
  <c r="AG922" i="2"/>
  <c r="AE922" i="2"/>
  <c r="AD922" i="2"/>
  <c r="AC922" i="2"/>
  <c r="AB922" i="2"/>
  <c r="Z922" i="2"/>
  <c r="Y922" i="2"/>
  <c r="X922" i="2"/>
  <c r="W922" i="2"/>
  <c r="V922" i="2"/>
  <c r="U922" i="2"/>
  <c r="T922" i="2"/>
  <c r="S922" i="2"/>
  <c r="R922" i="2"/>
  <c r="Q922" i="2"/>
  <c r="P922" i="2"/>
  <c r="O922" i="2"/>
  <c r="N922" i="2"/>
  <c r="M922" i="2"/>
  <c r="L922" i="2"/>
  <c r="K922" i="2"/>
  <c r="H922" i="2"/>
  <c r="G922" i="2"/>
  <c r="F922" i="2"/>
  <c r="E922" i="2"/>
  <c r="D922" i="2"/>
  <c r="C922" i="2"/>
  <c r="B922" i="2"/>
  <c r="A922" i="2"/>
  <c r="AH921" i="2"/>
  <c r="AG921" i="2"/>
  <c r="AF921" i="2"/>
  <c r="AE921" i="2"/>
  <c r="AD921" i="2"/>
  <c r="AC921" i="2"/>
  <c r="AB921" i="2"/>
  <c r="AA921" i="2"/>
  <c r="Z921" i="2"/>
  <c r="Y921" i="2"/>
  <c r="X921" i="2"/>
  <c r="W921" i="2"/>
  <c r="V921" i="2"/>
  <c r="U921" i="2"/>
  <c r="T921" i="2"/>
  <c r="S921" i="2"/>
  <c r="R921" i="2"/>
  <c r="Q921" i="2"/>
  <c r="P921" i="2"/>
  <c r="O921" i="2"/>
  <c r="N921" i="2"/>
  <c r="M921" i="2"/>
  <c r="L921" i="2"/>
  <c r="K921" i="2"/>
  <c r="J921" i="2"/>
  <c r="H921" i="2"/>
  <c r="G921" i="2"/>
  <c r="F921" i="2"/>
  <c r="E921" i="2"/>
  <c r="D921" i="2"/>
  <c r="C921" i="2"/>
  <c r="B921" i="2"/>
  <c r="A921" i="2"/>
  <c r="AH920" i="2"/>
  <c r="AG920" i="2"/>
  <c r="AF920" i="2"/>
  <c r="AE920" i="2"/>
  <c r="AD920" i="2"/>
  <c r="AC920" i="2"/>
  <c r="AB920" i="2"/>
  <c r="AA920" i="2"/>
  <c r="Z920" i="2"/>
  <c r="Y920" i="2"/>
  <c r="X920" i="2"/>
  <c r="W920" i="2"/>
  <c r="V920" i="2"/>
  <c r="U920" i="2"/>
  <c r="T920" i="2"/>
  <c r="S920" i="2"/>
  <c r="R920" i="2"/>
  <c r="Q920" i="2"/>
  <c r="P920" i="2"/>
  <c r="O920" i="2"/>
  <c r="N920" i="2"/>
  <c r="M920" i="2"/>
  <c r="L920" i="2"/>
  <c r="K920" i="2"/>
  <c r="H920" i="2"/>
  <c r="G920" i="2"/>
  <c r="F920" i="2"/>
  <c r="E920" i="2"/>
  <c r="D920" i="2"/>
  <c r="C920" i="2"/>
  <c r="B920" i="2"/>
  <c r="A920" i="2"/>
  <c r="AH919" i="2"/>
  <c r="AG919" i="2"/>
  <c r="AF919" i="2"/>
  <c r="AE919" i="2"/>
  <c r="AD919" i="2"/>
  <c r="AC919" i="2"/>
  <c r="AB919" i="2"/>
  <c r="Z919" i="2"/>
  <c r="X919" i="2"/>
  <c r="W919" i="2"/>
  <c r="V919" i="2"/>
  <c r="U919" i="2"/>
  <c r="T919" i="2"/>
  <c r="S919" i="2"/>
  <c r="R919" i="2"/>
  <c r="Q919" i="2"/>
  <c r="P919" i="2"/>
  <c r="O919" i="2"/>
  <c r="N919" i="2"/>
  <c r="M919" i="2"/>
  <c r="L919" i="2"/>
  <c r="K919" i="2"/>
  <c r="H919" i="2"/>
  <c r="G919" i="2"/>
  <c r="F919" i="2"/>
  <c r="E919" i="2"/>
  <c r="D919" i="2"/>
  <c r="C919" i="2"/>
  <c r="B919" i="2"/>
  <c r="A919" i="2"/>
  <c r="AH918" i="2"/>
  <c r="AG918" i="2"/>
  <c r="AF918" i="2"/>
  <c r="AE918" i="2"/>
  <c r="AD918" i="2"/>
  <c r="AC918" i="2"/>
  <c r="AB918" i="2"/>
  <c r="Z918" i="2"/>
  <c r="Y918" i="2"/>
  <c r="X918" i="2"/>
  <c r="W918" i="2"/>
  <c r="V918" i="2"/>
  <c r="U918" i="2"/>
  <c r="T918" i="2"/>
  <c r="S918" i="2"/>
  <c r="R918" i="2"/>
  <c r="Q918" i="2"/>
  <c r="P918" i="2"/>
  <c r="O918" i="2"/>
  <c r="N918" i="2"/>
  <c r="M918" i="2"/>
  <c r="L918" i="2"/>
  <c r="K918" i="2"/>
  <c r="H918" i="2"/>
  <c r="G918" i="2"/>
  <c r="F918" i="2"/>
  <c r="E918" i="2"/>
  <c r="D918" i="2"/>
  <c r="C918" i="2"/>
  <c r="B918" i="2"/>
  <c r="A918" i="2"/>
  <c r="AH917" i="2"/>
  <c r="AG917" i="2"/>
  <c r="AF917" i="2"/>
  <c r="AE917" i="2"/>
  <c r="AD917" i="2"/>
  <c r="AC917" i="2"/>
  <c r="AB917" i="2"/>
  <c r="Y917" i="2"/>
  <c r="X917" i="2"/>
  <c r="W917" i="2"/>
  <c r="V917" i="2"/>
  <c r="U917" i="2"/>
  <c r="T917" i="2"/>
  <c r="S917" i="2"/>
  <c r="R917" i="2"/>
  <c r="Q917" i="2"/>
  <c r="P917" i="2"/>
  <c r="O917" i="2"/>
  <c r="N917" i="2"/>
  <c r="M917" i="2"/>
  <c r="L917" i="2"/>
  <c r="K917" i="2"/>
  <c r="H917" i="2"/>
  <c r="G917" i="2"/>
  <c r="F917" i="2"/>
  <c r="E917" i="2"/>
  <c r="D917" i="2"/>
  <c r="C917" i="2"/>
  <c r="B917" i="2"/>
  <c r="A917" i="2"/>
  <c r="AH916" i="2"/>
  <c r="AG916" i="2"/>
  <c r="AF916" i="2"/>
  <c r="AE916" i="2"/>
  <c r="AD916" i="2"/>
  <c r="AC916" i="2"/>
  <c r="AB916" i="2"/>
  <c r="AA916" i="2"/>
  <c r="Z916" i="2"/>
  <c r="Y916" i="2"/>
  <c r="X916" i="2"/>
  <c r="W916" i="2"/>
  <c r="V916" i="2"/>
  <c r="U916" i="2"/>
  <c r="T916" i="2"/>
  <c r="S916" i="2"/>
  <c r="R916" i="2"/>
  <c r="Q916" i="2"/>
  <c r="P916" i="2"/>
  <c r="O916" i="2"/>
  <c r="N916" i="2"/>
  <c r="M916" i="2"/>
  <c r="L916" i="2"/>
  <c r="K916" i="2"/>
  <c r="H916" i="2"/>
  <c r="G916" i="2"/>
  <c r="F916" i="2"/>
  <c r="E916" i="2"/>
  <c r="D916" i="2"/>
  <c r="C916" i="2"/>
  <c r="B916" i="2"/>
  <c r="A916" i="2"/>
  <c r="AH915" i="2"/>
  <c r="AG915" i="2"/>
  <c r="AF915" i="2"/>
  <c r="AE915" i="2"/>
  <c r="AD915" i="2"/>
  <c r="AC915" i="2"/>
  <c r="AB915" i="2"/>
  <c r="Z915" i="2"/>
  <c r="Y915" i="2"/>
  <c r="X915" i="2"/>
  <c r="W915" i="2"/>
  <c r="V915" i="2"/>
  <c r="U915" i="2"/>
  <c r="T915" i="2"/>
  <c r="S915" i="2"/>
  <c r="R915" i="2"/>
  <c r="Q915" i="2"/>
  <c r="P915" i="2"/>
  <c r="O915" i="2"/>
  <c r="N915" i="2"/>
  <c r="M915" i="2"/>
  <c r="L915" i="2"/>
  <c r="K915" i="2"/>
  <c r="H915" i="2"/>
  <c r="G915" i="2"/>
  <c r="F915" i="2"/>
  <c r="E915" i="2"/>
  <c r="D915" i="2"/>
  <c r="C915" i="2"/>
  <c r="B915" i="2"/>
  <c r="A915" i="2"/>
  <c r="AH914" i="2"/>
  <c r="AG914" i="2"/>
  <c r="AF914" i="2"/>
  <c r="AE914" i="2"/>
  <c r="AD914" i="2"/>
  <c r="AC914" i="2"/>
  <c r="AB914" i="2"/>
  <c r="Z914" i="2"/>
  <c r="Y914" i="2"/>
  <c r="X914" i="2"/>
  <c r="W914" i="2"/>
  <c r="V914" i="2"/>
  <c r="T914" i="2"/>
  <c r="S914" i="2"/>
  <c r="R914" i="2"/>
  <c r="Q914" i="2"/>
  <c r="P914" i="2"/>
  <c r="O914" i="2"/>
  <c r="N914" i="2"/>
  <c r="M914" i="2"/>
  <c r="L914" i="2"/>
  <c r="K914" i="2"/>
  <c r="H914" i="2"/>
  <c r="G914" i="2"/>
  <c r="F914" i="2"/>
  <c r="E914" i="2"/>
  <c r="D914" i="2"/>
  <c r="C914" i="2"/>
  <c r="B914" i="2"/>
  <c r="A914" i="2"/>
  <c r="AH913" i="2"/>
  <c r="AG913" i="2"/>
  <c r="AF913" i="2"/>
  <c r="AE913" i="2"/>
  <c r="AD913" i="2"/>
  <c r="AC913" i="2"/>
  <c r="AB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H912" i="2"/>
  <c r="AG912" i="2"/>
  <c r="AF912" i="2"/>
  <c r="AE912" i="2"/>
  <c r="AD912" i="2"/>
  <c r="AC912" i="2"/>
  <c r="AB912" i="2"/>
  <c r="Z912" i="2"/>
  <c r="X912" i="2"/>
  <c r="W912" i="2"/>
  <c r="V912" i="2"/>
  <c r="U912" i="2"/>
  <c r="T912" i="2"/>
  <c r="S912" i="2"/>
  <c r="R912" i="2"/>
  <c r="Q912" i="2"/>
  <c r="P912" i="2"/>
  <c r="O912" i="2"/>
  <c r="N912" i="2"/>
  <c r="M912" i="2"/>
  <c r="L912" i="2"/>
  <c r="K912" i="2"/>
  <c r="H912" i="2"/>
  <c r="G912" i="2"/>
  <c r="F912" i="2"/>
  <c r="E912" i="2"/>
  <c r="D912" i="2"/>
  <c r="C912" i="2"/>
  <c r="B912" i="2"/>
  <c r="A912" i="2"/>
  <c r="AH911" i="2"/>
  <c r="AF911" i="2"/>
  <c r="AE911" i="2"/>
  <c r="AD911" i="2"/>
  <c r="AC911" i="2"/>
  <c r="AB911" i="2"/>
  <c r="Y911" i="2"/>
  <c r="X911" i="2"/>
  <c r="W911" i="2"/>
  <c r="V911" i="2"/>
  <c r="U911" i="2"/>
  <c r="T911" i="2"/>
  <c r="S911" i="2"/>
  <c r="R911" i="2"/>
  <c r="Q911" i="2"/>
  <c r="P911" i="2"/>
  <c r="O911" i="2"/>
  <c r="N911" i="2"/>
  <c r="M911" i="2"/>
  <c r="L911" i="2"/>
  <c r="K911" i="2"/>
  <c r="H911" i="2"/>
  <c r="G911" i="2"/>
  <c r="F911" i="2"/>
  <c r="E911" i="2"/>
  <c r="D911" i="2"/>
  <c r="C911" i="2"/>
  <c r="B911" i="2"/>
  <c r="A911" i="2"/>
  <c r="AH910" i="2"/>
  <c r="AG910" i="2"/>
  <c r="AF910" i="2"/>
  <c r="AE910" i="2"/>
  <c r="AD910" i="2"/>
  <c r="AC910" i="2"/>
  <c r="AB910" i="2"/>
  <c r="Z910" i="2"/>
  <c r="Y910" i="2"/>
  <c r="X910" i="2"/>
  <c r="W910" i="2"/>
  <c r="V910" i="2"/>
  <c r="U910" i="2"/>
  <c r="T910" i="2"/>
  <c r="S910" i="2"/>
  <c r="R910" i="2"/>
  <c r="Q910" i="2"/>
  <c r="P910" i="2"/>
  <c r="O910" i="2"/>
  <c r="N910" i="2"/>
  <c r="M910" i="2"/>
  <c r="L910" i="2"/>
  <c r="K910" i="2"/>
  <c r="H910" i="2"/>
  <c r="G910" i="2"/>
  <c r="F910" i="2"/>
  <c r="E910" i="2"/>
  <c r="D910" i="2"/>
  <c r="C910" i="2"/>
  <c r="B910" i="2"/>
  <c r="A910" i="2"/>
  <c r="AH909" i="2"/>
  <c r="AG909" i="2"/>
  <c r="AF909" i="2"/>
  <c r="AE909" i="2"/>
  <c r="AD909" i="2"/>
  <c r="AC909" i="2"/>
  <c r="AB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H908" i="2"/>
  <c r="AG908" i="2"/>
  <c r="AF908" i="2"/>
  <c r="AE908" i="2"/>
  <c r="AD908" i="2"/>
  <c r="AC908" i="2"/>
  <c r="AB908" i="2"/>
  <c r="Z908" i="2"/>
  <c r="Y908" i="2"/>
  <c r="X908" i="2"/>
  <c r="W908" i="2"/>
  <c r="V908" i="2"/>
  <c r="U908" i="2"/>
  <c r="T908" i="2"/>
  <c r="S908" i="2"/>
  <c r="R908" i="2"/>
  <c r="Q908" i="2"/>
  <c r="P908" i="2"/>
  <c r="O908" i="2"/>
  <c r="N908" i="2"/>
  <c r="M908" i="2"/>
  <c r="L908" i="2"/>
  <c r="K908" i="2"/>
  <c r="J908" i="2"/>
  <c r="I908" i="2"/>
  <c r="H908" i="2"/>
  <c r="G908" i="2"/>
  <c r="F908" i="2"/>
  <c r="E908" i="2"/>
  <c r="D908" i="2"/>
  <c r="C908" i="2"/>
  <c r="B908" i="2"/>
  <c r="A908" i="2"/>
  <c r="AH907" i="2"/>
  <c r="AF907" i="2"/>
  <c r="AE907" i="2"/>
  <c r="AD907" i="2"/>
  <c r="AC907" i="2"/>
  <c r="AB907" i="2"/>
  <c r="Y907" i="2"/>
  <c r="X907" i="2"/>
  <c r="W907" i="2"/>
  <c r="V907" i="2"/>
  <c r="U907" i="2"/>
  <c r="T907" i="2"/>
  <c r="S907" i="2"/>
  <c r="R907" i="2"/>
  <c r="Q907" i="2"/>
  <c r="P907" i="2"/>
  <c r="O907" i="2"/>
  <c r="N907" i="2"/>
  <c r="M907" i="2"/>
  <c r="L907" i="2"/>
  <c r="K907" i="2"/>
  <c r="H907" i="2"/>
  <c r="G907" i="2"/>
  <c r="F907" i="2"/>
  <c r="E907" i="2"/>
  <c r="D907" i="2"/>
  <c r="C907" i="2"/>
  <c r="B907" i="2"/>
  <c r="A907" i="2"/>
  <c r="AH906" i="2"/>
  <c r="AG906" i="2"/>
  <c r="AF906" i="2"/>
  <c r="AE906" i="2"/>
  <c r="AD906" i="2"/>
  <c r="AC906" i="2"/>
  <c r="AB906" i="2"/>
  <c r="Z906" i="2"/>
  <c r="Y906" i="2"/>
  <c r="X906" i="2"/>
  <c r="W906" i="2"/>
  <c r="V906" i="2"/>
  <c r="R906" i="2"/>
  <c r="Q906" i="2"/>
  <c r="P906" i="2"/>
  <c r="O906" i="2"/>
  <c r="N906" i="2"/>
  <c r="M906" i="2"/>
  <c r="L906" i="2"/>
  <c r="K906" i="2"/>
  <c r="J906" i="2"/>
  <c r="I906" i="2"/>
  <c r="H906" i="2"/>
  <c r="G906" i="2"/>
  <c r="F906" i="2"/>
  <c r="E906" i="2"/>
  <c r="D906" i="2"/>
  <c r="C906" i="2"/>
  <c r="B906" i="2"/>
  <c r="A906" i="2"/>
  <c r="AH905" i="2"/>
  <c r="AG905" i="2"/>
  <c r="AF905" i="2"/>
  <c r="AE905" i="2"/>
  <c r="AD905" i="2"/>
  <c r="AC905" i="2"/>
  <c r="AB905" i="2"/>
  <c r="AA905" i="2"/>
  <c r="Z905" i="2"/>
  <c r="Y905" i="2"/>
  <c r="X905" i="2"/>
  <c r="W905" i="2"/>
  <c r="V905" i="2"/>
  <c r="U905" i="2"/>
  <c r="T905" i="2"/>
  <c r="S905" i="2"/>
  <c r="R905" i="2"/>
  <c r="Q905" i="2"/>
  <c r="P905" i="2"/>
  <c r="O905" i="2"/>
  <c r="N905" i="2"/>
  <c r="M905" i="2"/>
  <c r="L905" i="2"/>
  <c r="K905" i="2"/>
  <c r="H905" i="2"/>
  <c r="G905" i="2"/>
  <c r="F905" i="2"/>
  <c r="E905" i="2"/>
  <c r="D905" i="2"/>
  <c r="C905" i="2"/>
  <c r="B905" i="2"/>
  <c r="A905" i="2"/>
  <c r="AH904" i="2"/>
  <c r="AF904" i="2"/>
  <c r="AE904" i="2"/>
  <c r="AD904" i="2"/>
  <c r="AC904" i="2"/>
  <c r="AB904" i="2"/>
  <c r="AA904" i="2"/>
  <c r="Z904" i="2"/>
  <c r="X904" i="2"/>
  <c r="W904" i="2"/>
  <c r="V904" i="2"/>
  <c r="U904" i="2"/>
  <c r="T904" i="2"/>
  <c r="S904" i="2"/>
  <c r="R904" i="2"/>
  <c r="Q904" i="2"/>
  <c r="P904" i="2"/>
  <c r="O904" i="2"/>
  <c r="N904" i="2"/>
  <c r="M904" i="2"/>
  <c r="L904" i="2"/>
  <c r="K904" i="2"/>
  <c r="H904" i="2"/>
  <c r="G904" i="2"/>
  <c r="F904" i="2"/>
  <c r="E904" i="2"/>
  <c r="D904" i="2"/>
  <c r="C904" i="2"/>
  <c r="B904" i="2"/>
  <c r="A904" i="2"/>
  <c r="AH903" i="2"/>
  <c r="AF903" i="2"/>
  <c r="AE903" i="2"/>
  <c r="AD903" i="2"/>
  <c r="AC903" i="2"/>
  <c r="AB903" i="2"/>
  <c r="Z903" i="2"/>
  <c r="X903" i="2"/>
  <c r="W903" i="2"/>
  <c r="V903" i="2"/>
  <c r="U903" i="2"/>
  <c r="T903" i="2"/>
  <c r="S903" i="2"/>
  <c r="R903" i="2"/>
  <c r="Q903" i="2"/>
  <c r="P903" i="2"/>
  <c r="O903" i="2"/>
  <c r="N903" i="2"/>
  <c r="M903" i="2"/>
  <c r="L903" i="2"/>
  <c r="K903" i="2"/>
  <c r="H903" i="2"/>
  <c r="G903" i="2"/>
  <c r="F903" i="2"/>
  <c r="E903" i="2"/>
  <c r="D903" i="2"/>
  <c r="C903" i="2"/>
  <c r="B903" i="2"/>
  <c r="A903" i="2"/>
  <c r="AH902" i="2"/>
  <c r="AG902" i="2"/>
  <c r="AF902" i="2"/>
  <c r="AE902" i="2"/>
  <c r="AD902" i="2"/>
  <c r="AC902" i="2"/>
  <c r="AB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H901" i="2"/>
  <c r="AG901" i="2"/>
  <c r="AF901" i="2"/>
  <c r="AE901" i="2"/>
  <c r="AD901" i="2"/>
  <c r="AC901" i="2"/>
  <c r="AB901" i="2"/>
  <c r="Z901" i="2"/>
  <c r="Y901" i="2"/>
  <c r="X901" i="2"/>
  <c r="W901" i="2"/>
  <c r="V901" i="2"/>
  <c r="U901" i="2"/>
  <c r="T901" i="2"/>
  <c r="S901" i="2"/>
  <c r="R901" i="2"/>
  <c r="Q901" i="2"/>
  <c r="P901" i="2"/>
  <c r="O901" i="2"/>
  <c r="N901" i="2"/>
  <c r="M901" i="2"/>
  <c r="L901" i="2"/>
  <c r="K901" i="2"/>
  <c r="J901" i="2"/>
  <c r="I901" i="2"/>
  <c r="H901" i="2"/>
  <c r="G901" i="2"/>
  <c r="F901" i="2"/>
  <c r="E901" i="2"/>
  <c r="D901" i="2"/>
  <c r="C901" i="2"/>
  <c r="B901" i="2"/>
  <c r="A901" i="2"/>
  <c r="AH900" i="2"/>
  <c r="AG900" i="2"/>
  <c r="AF900" i="2"/>
  <c r="AE900" i="2"/>
  <c r="AD900" i="2"/>
  <c r="AC900" i="2"/>
  <c r="AB900" i="2"/>
  <c r="Z900" i="2"/>
  <c r="Y900" i="2"/>
  <c r="X900" i="2"/>
  <c r="W900" i="2"/>
  <c r="V900" i="2"/>
  <c r="U900" i="2"/>
  <c r="S900" i="2"/>
  <c r="R900" i="2"/>
  <c r="Q900" i="2"/>
  <c r="P900" i="2"/>
  <c r="O900" i="2"/>
  <c r="N900" i="2"/>
  <c r="M900" i="2"/>
  <c r="L900" i="2"/>
  <c r="K900" i="2"/>
  <c r="H900" i="2"/>
  <c r="G900" i="2"/>
  <c r="F900" i="2"/>
  <c r="E900" i="2"/>
  <c r="D900" i="2"/>
  <c r="C900" i="2"/>
  <c r="B900" i="2"/>
  <c r="A900" i="2"/>
  <c r="AH899" i="2"/>
  <c r="AG899" i="2"/>
  <c r="AF899" i="2"/>
  <c r="AE899" i="2"/>
  <c r="AD899" i="2"/>
  <c r="AC899" i="2"/>
  <c r="AB899" i="2"/>
  <c r="Y899" i="2"/>
  <c r="X899" i="2"/>
  <c r="W899" i="2"/>
  <c r="V899" i="2"/>
  <c r="U899" i="2"/>
  <c r="T899" i="2"/>
  <c r="S899" i="2"/>
  <c r="R899" i="2"/>
  <c r="Q899" i="2"/>
  <c r="P899" i="2"/>
  <c r="O899" i="2"/>
  <c r="N899" i="2"/>
  <c r="M899" i="2"/>
  <c r="L899" i="2"/>
  <c r="K899" i="2"/>
  <c r="J899" i="2"/>
  <c r="I899" i="2"/>
  <c r="H899" i="2"/>
  <c r="G899" i="2"/>
  <c r="F899" i="2"/>
  <c r="E899" i="2"/>
  <c r="D899" i="2"/>
  <c r="C899" i="2"/>
  <c r="B899" i="2"/>
  <c r="A899" i="2"/>
  <c r="AH898" i="2"/>
  <c r="AG898" i="2"/>
  <c r="AF898" i="2"/>
  <c r="AE898" i="2"/>
  <c r="AD898" i="2"/>
  <c r="AC898" i="2"/>
  <c r="AB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H897" i="2"/>
  <c r="AG897" i="2"/>
  <c r="AF897" i="2"/>
  <c r="AE897" i="2"/>
  <c r="AD897" i="2"/>
  <c r="AC897" i="2"/>
  <c r="AB897" i="2"/>
  <c r="Z897" i="2"/>
  <c r="Y897" i="2"/>
  <c r="X897" i="2"/>
  <c r="W897" i="2"/>
  <c r="V897" i="2"/>
  <c r="U897" i="2"/>
  <c r="S897" i="2"/>
  <c r="R897" i="2"/>
  <c r="Q897" i="2"/>
  <c r="P897" i="2"/>
  <c r="O897" i="2"/>
  <c r="N897" i="2"/>
  <c r="M897" i="2"/>
  <c r="L897" i="2"/>
  <c r="K897" i="2"/>
  <c r="J897" i="2"/>
  <c r="I897" i="2"/>
  <c r="H897" i="2"/>
  <c r="G897" i="2"/>
  <c r="F897" i="2"/>
  <c r="E897" i="2"/>
  <c r="D897" i="2"/>
  <c r="C897" i="2"/>
  <c r="B897" i="2"/>
  <c r="A897" i="2"/>
  <c r="AH896" i="2"/>
  <c r="AG896" i="2"/>
  <c r="AF896" i="2"/>
  <c r="AE896" i="2"/>
  <c r="AD896" i="2"/>
  <c r="AC896" i="2"/>
  <c r="AB896" i="2"/>
  <c r="Z896" i="2"/>
  <c r="Y896" i="2"/>
  <c r="X896" i="2"/>
  <c r="W896" i="2"/>
  <c r="V896" i="2"/>
  <c r="U896" i="2"/>
  <c r="T896" i="2"/>
  <c r="S896" i="2"/>
  <c r="R896" i="2"/>
  <c r="Q896" i="2"/>
  <c r="P896" i="2"/>
  <c r="O896" i="2"/>
  <c r="N896" i="2"/>
  <c r="M896" i="2"/>
  <c r="L896" i="2"/>
  <c r="K896" i="2"/>
  <c r="J896" i="2"/>
  <c r="I896" i="2"/>
  <c r="H896" i="2"/>
  <c r="G896" i="2"/>
  <c r="F896" i="2"/>
  <c r="E896" i="2"/>
  <c r="D896" i="2"/>
  <c r="C896" i="2"/>
  <c r="B896" i="2"/>
  <c r="A896" i="2"/>
  <c r="AH895" i="2"/>
  <c r="AG895" i="2"/>
  <c r="AF895" i="2"/>
  <c r="AE895" i="2"/>
  <c r="AD895" i="2"/>
  <c r="AC895" i="2"/>
  <c r="AB895" i="2"/>
  <c r="Z895" i="2"/>
  <c r="Y895" i="2"/>
  <c r="X895" i="2"/>
  <c r="W895" i="2"/>
  <c r="V895" i="2"/>
  <c r="U895" i="2"/>
  <c r="T895" i="2"/>
  <c r="S895" i="2"/>
  <c r="R895" i="2"/>
  <c r="Q895" i="2"/>
  <c r="P895" i="2"/>
  <c r="O895" i="2"/>
  <c r="N895" i="2"/>
  <c r="M895" i="2"/>
  <c r="L895" i="2"/>
  <c r="K895" i="2"/>
  <c r="H895" i="2"/>
  <c r="G895" i="2"/>
  <c r="F895" i="2"/>
  <c r="E895" i="2"/>
  <c r="D895" i="2"/>
  <c r="C895" i="2"/>
  <c r="B895" i="2"/>
  <c r="A895" i="2"/>
  <c r="AH894" i="2"/>
  <c r="AG894" i="2"/>
  <c r="AF894" i="2"/>
  <c r="AD894" i="2"/>
  <c r="AC894" i="2"/>
  <c r="AB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H893" i="2"/>
  <c r="AG893" i="2"/>
  <c r="AF893" i="2"/>
  <c r="AE893" i="2"/>
  <c r="AD893" i="2"/>
  <c r="AC893" i="2"/>
  <c r="AB893" i="2"/>
  <c r="Z893" i="2"/>
  <c r="Y893" i="2"/>
  <c r="X893" i="2"/>
  <c r="W893" i="2"/>
  <c r="V893" i="2"/>
  <c r="U893" i="2"/>
  <c r="T893" i="2"/>
  <c r="S893" i="2"/>
  <c r="R893" i="2"/>
  <c r="Q893" i="2"/>
  <c r="P893" i="2"/>
  <c r="O893" i="2"/>
  <c r="N893" i="2"/>
  <c r="M893" i="2"/>
  <c r="L893" i="2"/>
  <c r="K893" i="2"/>
  <c r="H893" i="2"/>
  <c r="G893" i="2"/>
  <c r="F893" i="2"/>
  <c r="E893" i="2"/>
  <c r="D893" i="2"/>
  <c r="C893" i="2"/>
  <c r="B893" i="2"/>
  <c r="A893" i="2"/>
  <c r="AH892" i="2"/>
  <c r="AG892" i="2"/>
  <c r="AF892" i="2"/>
  <c r="AE892" i="2"/>
  <c r="AD892" i="2"/>
  <c r="AC892" i="2"/>
  <c r="AB892" i="2"/>
  <c r="Y892" i="2"/>
  <c r="X892" i="2"/>
  <c r="W892" i="2"/>
  <c r="V892" i="2"/>
  <c r="T892" i="2"/>
  <c r="S892" i="2"/>
  <c r="R892" i="2"/>
  <c r="Q892" i="2"/>
  <c r="P892" i="2"/>
  <c r="O892" i="2"/>
  <c r="N892" i="2"/>
  <c r="M892" i="2"/>
  <c r="L892" i="2"/>
  <c r="K892" i="2"/>
  <c r="J892" i="2"/>
  <c r="I892" i="2"/>
  <c r="H892" i="2"/>
  <c r="G892" i="2"/>
  <c r="F892" i="2"/>
  <c r="E892" i="2"/>
  <c r="D892" i="2"/>
  <c r="C892" i="2"/>
  <c r="B892" i="2"/>
  <c r="A892" i="2"/>
  <c r="AH891" i="2"/>
  <c r="AG891" i="2"/>
  <c r="AF891" i="2"/>
  <c r="AE891" i="2"/>
  <c r="AD891" i="2"/>
  <c r="AC891" i="2"/>
  <c r="AB891" i="2"/>
  <c r="Z891" i="2"/>
  <c r="Y891" i="2"/>
  <c r="X891" i="2"/>
  <c r="W891" i="2"/>
  <c r="V891" i="2"/>
  <c r="U891" i="2"/>
  <c r="T891" i="2"/>
  <c r="S891" i="2"/>
  <c r="R891" i="2"/>
  <c r="Q891" i="2"/>
  <c r="P891" i="2"/>
  <c r="O891" i="2"/>
  <c r="N891" i="2"/>
  <c r="M891" i="2"/>
  <c r="L891" i="2"/>
  <c r="K891" i="2"/>
  <c r="J891" i="2"/>
  <c r="I891" i="2"/>
  <c r="H891" i="2"/>
  <c r="G891" i="2"/>
  <c r="F891" i="2"/>
  <c r="E891" i="2"/>
  <c r="D891" i="2"/>
  <c r="C891" i="2"/>
  <c r="B891" i="2"/>
  <c r="A891" i="2"/>
  <c r="AH890" i="2"/>
  <c r="AG890" i="2"/>
  <c r="AF890" i="2"/>
  <c r="AE890" i="2"/>
  <c r="AD890" i="2"/>
  <c r="AC890" i="2"/>
  <c r="AB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H889" i="2"/>
  <c r="AG889" i="2"/>
  <c r="AF889" i="2"/>
  <c r="AE889" i="2"/>
  <c r="AD889" i="2"/>
  <c r="AC889" i="2"/>
  <c r="AB889" i="2"/>
  <c r="Z889" i="2"/>
  <c r="Y889" i="2"/>
  <c r="X889" i="2"/>
  <c r="W889" i="2"/>
  <c r="V889" i="2"/>
  <c r="U889" i="2"/>
  <c r="T889" i="2"/>
  <c r="S889" i="2"/>
  <c r="R889" i="2"/>
  <c r="Q889" i="2"/>
  <c r="P889" i="2"/>
  <c r="O889" i="2"/>
  <c r="N889" i="2"/>
  <c r="M889" i="2"/>
  <c r="L889" i="2"/>
  <c r="K889" i="2"/>
  <c r="H889" i="2"/>
  <c r="G889" i="2"/>
  <c r="F889" i="2"/>
  <c r="E889" i="2"/>
  <c r="D889" i="2"/>
  <c r="C889" i="2"/>
  <c r="B889" i="2"/>
  <c r="A889" i="2"/>
  <c r="AH888" i="2"/>
  <c r="AG888" i="2"/>
  <c r="AF888" i="2"/>
  <c r="AD888" i="2"/>
  <c r="AC888" i="2"/>
  <c r="AB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H887" i="2"/>
  <c r="AG887" i="2"/>
  <c r="AF887" i="2"/>
  <c r="AD887" i="2"/>
  <c r="AC887" i="2"/>
  <c r="AB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H886" i="2"/>
  <c r="AG886" i="2"/>
  <c r="AF886" i="2"/>
  <c r="AE886" i="2"/>
  <c r="AD886" i="2"/>
  <c r="AC886" i="2"/>
  <c r="AB886" i="2"/>
  <c r="Z886" i="2"/>
  <c r="Y886" i="2"/>
  <c r="X886" i="2"/>
  <c r="W886" i="2"/>
  <c r="V886" i="2"/>
  <c r="U886" i="2"/>
  <c r="R886" i="2"/>
  <c r="Q886" i="2"/>
  <c r="P886" i="2"/>
  <c r="O886" i="2"/>
  <c r="N886" i="2"/>
  <c r="M886" i="2"/>
  <c r="L886" i="2"/>
  <c r="K886" i="2"/>
  <c r="H886" i="2"/>
  <c r="G886" i="2"/>
  <c r="F886" i="2"/>
  <c r="E886" i="2"/>
  <c r="D886" i="2"/>
  <c r="C886" i="2"/>
  <c r="B886" i="2"/>
  <c r="A886" i="2"/>
  <c r="AH885" i="2"/>
  <c r="AG885" i="2"/>
  <c r="AF885" i="2"/>
  <c r="AE885" i="2"/>
  <c r="AD885" i="2"/>
  <c r="AC885" i="2"/>
  <c r="AB885" i="2"/>
  <c r="AA885" i="2"/>
  <c r="Z885" i="2"/>
  <c r="Y885" i="2"/>
  <c r="X885" i="2"/>
  <c r="W885" i="2"/>
  <c r="V885" i="2"/>
  <c r="U885" i="2"/>
  <c r="T885" i="2"/>
  <c r="S885" i="2"/>
  <c r="R885" i="2"/>
  <c r="Q885" i="2"/>
  <c r="P885" i="2"/>
  <c r="O885" i="2"/>
  <c r="N885" i="2"/>
  <c r="M885" i="2"/>
  <c r="L885" i="2"/>
  <c r="K885" i="2"/>
  <c r="H885" i="2"/>
  <c r="G885" i="2"/>
  <c r="F885" i="2"/>
  <c r="E885" i="2"/>
  <c r="D885" i="2"/>
  <c r="C885" i="2"/>
  <c r="B885" i="2"/>
  <c r="A885" i="2"/>
  <c r="AH884" i="2"/>
  <c r="AG884" i="2"/>
  <c r="AF884" i="2"/>
  <c r="AE884" i="2"/>
  <c r="AD884" i="2"/>
  <c r="AC884" i="2"/>
  <c r="AB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H883" i="2"/>
  <c r="AG883" i="2"/>
  <c r="AF883" i="2"/>
  <c r="AE883" i="2"/>
  <c r="AD883" i="2"/>
  <c r="AC883" i="2"/>
  <c r="AB883" i="2"/>
  <c r="Z883" i="2"/>
  <c r="Y883" i="2"/>
  <c r="X883" i="2"/>
  <c r="W883" i="2"/>
  <c r="V883" i="2"/>
  <c r="U883" i="2"/>
  <c r="T883" i="2"/>
  <c r="S883" i="2"/>
  <c r="R883" i="2"/>
  <c r="Q883" i="2"/>
  <c r="P883" i="2"/>
  <c r="O883" i="2"/>
  <c r="N883" i="2"/>
  <c r="M883" i="2"/>
  <c r="L883" i="2"/>
  <c r="K883" i="2"/>
  <c r="J883" i="2"/>
  <c r="H883" i="2"/>
  <c r="G883" i="2"/>
  <c r="F883" i="2"/>
  <c r="E883" i="2"/>
  <c r="D883" i="2"/>
  <c r="C883" i="2"/>
  <c r="B883" i="2"/>
  <c r="A883" i="2"/>
  <c r="AH882" i="2"/>
  <c r="AG882" i="2"/>
  <c r="AF882" i="2"/>
  <c r="AE882" i="2"/>
  <c r="AD882" i="2"/>
  <c r="AC882" i="2"/>
  <c r="AB882" i="2"/>
  <c r="Y882" i="2"/>
  <c r="X882" i="2"/>
  <c r="W882" i="2"/>
  <c r="V882" i="2"/>
  <c r="U882" i="2"/>
  <c r="T882" i="2"/>
  <c r="S882" i="2"/>
  <c r="R882" i="2"/>
  <c r="Q882" i="2"/>
  <c r="P882" i="2"/>
  <c r="O882" i="2"/>
  <c r="N882" i="2"/>
  <c r="M882" i="2"/>
  <c r="L882" i="2"/>
  <c r="K882" i="2"/>
  <c r="J882" i="2"/>
  <c r="I882" i="2"/>
  <c r="H882" i="2"/>
  <c r="G882" i="2"/>
  <c r="F882" i="2"/>
  <c r="E882" i="2"/>
  <c r="D882" i="2"/>
  <c r="C882" i="2"/>
  <c r="B882" i="2"/>
  <c r="A882" i="2"/>
  <c r="AH881" i="2"/>
  <c r="AG881" i="2"/>
  <c r="AF881" i="2"/>
  <c r="AD881" i="2"/>
  <c r="AC881" i="2"/>
  <c r="AB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H880" i="2"/>
  <c r="AG880" i="2"/>
  <c r="AF880" i="2"/>
  <c r="AD880" i="2"/>
  <c r="AC880" i="2"/>
  <c r="AB880" i="2"/>
  <c r="X880" i="2"/>
  <c r="W880" i="2"/>
  <c r="V880" i="2"/>
  <c r="U880" i="2"/>
  <c r="T880" i="2"/>
  <c r="S880" i="2"/>
  <c r="R880" i="2"/>
  <c r="Q880" i="2"/>
  <c r="P880" i="2"/>
  <c r="O880" i="2"/>
  <c r="N880" i="2"/>
  <c r="M880" i="2"/>
  <c r="L880" i="2"/>
  <c r="K880" i="2"/>
  <c r="J880" i="2"/>
  <c r="I880" i="2"/>
  <c r="H880" i="2"/>
  <c r="G880" i="2"/>
  <c r="F880" i="2"/>
  <c r="E880" i="2"/>
  <c r="D880" i="2"/>
  <c r="C880" i="2"/>
  <c r="B880" i="2"/>
  <c r="A880" i="2"/>
  <c r="AH879" i="2"/>
  <c r="AG879" i="2"/>
  <c r="AF879" i="2"/>
  <c r="AE879" i="2"/>
  <c r="AD879" i="2"/>
  <c r="AC879" i="2"/>
  <c r="AB879" i="2"/>
  <c r="Z879" i="2"/>
  <c r="Y879" i="2"/>
  <c r="X879" i="2"/>
  <c r="W879" i="2"/>
  <c r="V879" i="2"/>
  <c r="U879" i="2"/>
  <c r="T879" i="2"/>
  <c r="S879" i="2"/>
  <c r="R879" i="2"/>
  <c r="Q879" i="2"/>
  <c r="P879" i="2"/>
  <c r="O879" i="2"/>
  <c r="N879" i="2"/>
  <c r="M879" i="2"/>
  <c r="L879" i="2"/>
  <c r="K879" i="2"/>
  <c r="H879" i="2"/>
  <c r="G879" i="2"/>
  <c r="F879" i="2"/>
  <c r="E879" i="2"/>
  <c r="D879" i="2"/>
  <c r="C879" i="2"/>
  <c r="B879" i="2"/>
  <c r="A879" i="2"/>
  <c r="AH878" i="2"/>
  <c r="AF878" i="2"/>
  <c r="AD878" i="2"/>
  <c r="AC878" i="2"/>
  <c r="AB878" i="2"/>
  <c r="X878" i="2"/>
  <c r="W878" i="2"/>
  <c r="V878" i="2"/>
  <c r="U878" i="2"/>
  <c r="T878" i="2"/>
  <c r="S878" i="2"/>
  <c r="R878" i="2"/>
  <c r="Q878" i="2"/>
  <c r="P878" i="2"/>
  <c r="O878" i="2"/>
  <c r="N878" i="2"/>
  <c r="M878" i="2"/>
  <c r="L878" i="2"/>
  <c r="K878" i="2"/>
  <c r="J878" i="2"/>
  <c r="I878" i="2"/>
  <c r="H878" i="2"/>
  <c r="G878" i="2"/>
  <c r="F878" i="2"/>
  <c r="E878" i="2"/>
  <c r="D878" i="2"/>
  <c r="C878" i="2"/>
  <c r="B878" i="2"/>
  <c r="A878" i="2"/>
  <c r="AH877" i="2"/>
  <c r="AF877" i="2"/>
  <c r="AE877" i="2"/>
  <c r="AD877" i="2"/>
  <c r="AC877" i="2"/>
  <c r="AB877" i="2"/>
  <c r="Z877" i="2"/>
  <c r="X877" i="2"/>
  <c r="W877" i="2"/>
  <c r="V877" i="2"/>
  <c r="U877" i="2"/>
  <c r="T877" i="2"/>
  <c r="S877" i="2"/>
  <c r="R877" i="2"/>
  <c r="Q877" i="2"/>
  <c r="P877" i="2"/>
  <c r="O877" i="2"/>
  <c r="N877" i="2"/>
  <c r="M877" i="2"/>
  <c r="L877" i="2"/>
  <c r="K877" i="2"/>
  <c r="H877" i="2"/>
  <c r="G877" i="2"/>
  <c r="F877" i="2"/>
  <c r="E877" i="2"/>
  <c r="D877" i="2"/>
  <c r="C877" i="2"/>
  <c r="B877" i="2"/>
  <c r="A877" i="2"/>
  <c r="AH876" i="2"/>
  <c r="AG876" i="2"/>
  <c r="AF876" i="2"/>
  <c r="AE876" i="2"/>
  <c r="AD876" i="2"/>
  <c r="AC876" i="2"/>
  <c r="AB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H875" i="2"/>
  <c r="AD875" i="2"/>
  <c r="AC875" i="2"/>
  <c r="AB875" i="2"/>
  <c r="Y875" i="2"/>
  <c r="X875" i="2"/>
  <c r="W875" i="2"/>
  <c r="V875" i="2"/>
  <c r="T875" i="2"/>
  <c r="S875" i="2"/>
  <c r="R875" i="2"/>
  <c r="Q875" i="2"/>
  <c r="P875" i="2"/>
  <c r="O875" i="2"/>
  <c r="N875" i="2"/>
  <c r="M875" i="2"/>
  <c r="L875" i="2"/>
  <c r="K875" i="2"/>
  <c r="H875" i="2"/>
  <c r="G875" i="2"/>
  <c r="F875" i="2"/>
  <c r="E875" i="2"/>
  <c r="D875" i="2"/>
  <c r="C875" i="2"/>
  <c r="B875" i="2"/>
  <c r="A875" i="2"/>
  <c r="AH874" i="2"/>
  <c r="AG874" i="2"/>
  <c r="AF874" i="2"/>
  <c r="AE874" i="2"/>
  <c r="AD874" i="2"/>
  <c r="AC874" i="2"/>
  <c r="AB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H873" i="2"/>
  <c r="AG873" i="2"/>
  <c r="AD873" i="2"/>
  <c r="AC873" i="2"/>
  <c r="AB873" i="2"/>
  <c r="Z873" i="2"/>
  <c r="Y873" i="2"/>
  <c r="X873" i="2"/>
  <c r="W873" i="2"/>
  <c r="V873" i="2"/>
  <c r="U873" i="2"/>
  <c r="T873" i="2"/>
  <c r="S873" i="2"/>
  <c r="R873" i="2"/>
  <c r="Q873" i="2"/>
  <c r="P873" i="2"/>
  <c r="O873" i="2"/>
  <c r="N873" i="2"/>
  <c r="M873" i="2"/>
  <c r="L873" i="2"/>
  <c r="K873" i="2"/>
  <c r="H873" i="2"/>
  <c r="G873" i="2"/>
  <c r="F873" i="2"/>
  <c r="E873" i="2"/>
  <c r="D873" i="2"/>
  <c r="C873" i="2"/>
  <c r="B873" i="2"/>
  <c r="A873" i="2"/>
  <c r="AH872" i="2"/>
  <c r="AG872" i="2"/>
  <c r="AF872" i="2"/>
  <c r="AE872" i="2"/>
  <c r="AD872" i="2"/>
  <c r="AC872" i="2"/>
  <c r="AB872" i="2"/>
  <c r="Y872" i="2"/>
  <c r="X872" i="2"/>
  <c r="W872" i="2"/>
  <c r="V872" i="2"/>
  <c r="U872" i="2"/>
  <c r="T872" i="2"/>
  <c r="S872" i="2"/>
  <c r="R872" i="2"/>
  <c r="Q872" i="2"/>
  <c r="P872" i="2"/>
  <c r="O872" i="2"/>
  <c r="N872" i="2"/>
  <c r="M872" i="2"/>
  <c r="L872" i="2"/>
  <c r="K872" i="2"/>
  <c r="H872" i="2"/>
  <c r="G872" i="2"/>
  <c r="F872" i="2"/>
  <c r="E872" i="2"/>
  <c r="D872" i="2"/>
  <c r="C872" i="2"/>
  <c r="B872" i="2"/>
  <c r="A872" i="2"/>
  <c r="AH871" i="2"/>
  <c r="AG871" i="2"/>
  <c r="AE871" i="2"/>
  <c r="AD871" i="2"/>
  <c r="AC871" i="2"/>
  <c r="AB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H870" i="2"/>
  <c r="AF870" i="2"/>
  <c r="AE870" i="2"/>
  <c r="AD870" i="2"/>
  <c r="AC870" i="2"/>
  <c r="AB870" i="2"/>
  <c r="X870" i="2"/>
  <c r="W870" i="2"/>
  <c r="V870" i="2"/>
  <c r="U870" i="2"/>
  <c r="T870" i="2"/>
  <c r="S870" i="2"/>
  <c r="R870" i="2"/>
  <c r="Q870" i="2"/>
  <c r="P870" i="2"/>
  <c r="O870" i="2"/>
  <c r="N870" i="2"/>
  <c r="M870" i="2"/>
  <c r="L870" i="2"/>
  <c r="K870" i="2"/>
  <c r="H870" i="2"/>
  <c r="G870" i="2"/>
  <c r="F870" i="2"/>
  <c r="E870" i="2"/>
  <c r="D870" i="2"/>
  <c r="C870" i="2"/>
  <c r="B870" i="2"/>
  <c r="A870" i="2"/>
  <c r="AH869" i="2"/>
  <c r="AG869" i="2"/>
  <c r="AF869" i="2"/>
  <c r="AE869" i="2"/>
  <c r="AD869" i="2"/>
  <c r="AC869" i="2"/>
  <c r="AB869" i="2"/>
  <c r="Z869" i="2"/>
  <c r="Y869" i="2"/>
  <c r="X869" i="2"/>
  <c r="W869" i="2"/>
  <c r="V869" i="2"/>
  <c r="T869" i="2"/>
  <c r="S869" i="2"/>
  <c r="R869" i="2"/>
  <c r="Q869" i="2"/>
  <c r="P869" i="2"/>
  <c r="O869" i="2"/>
  <c r="N869" i="2"/>
  <c r="M869" i="2"/>
  <c r="L869" i="2"/>
  <c r="K869" i="2"/>
  <c r="J869" i="2"/>
  <c r="I869" i="2"/>
  <c r="H869" i="2"/>
  <c r="G869" i="2"/>
  <c r="F869" i="2"/>
  <c r="E869" i="2"/>
  <c r="D869" i="2"/>
  <c r="C869" i="2"/>
  <c r="B869" i="2"/>
  <c r="A869" i="2"/>
  <c r="AH868" i="2"/>
  <c r="AG868" i="2"/>
  <c r="AF868" i="2"/>
  <c r="AD868" i="2"/>
  <c r="AC868" i="2"/>
  <c r="AB868" i="2"/>
  <c r="Z868" i="2"/>
  <c r="Y868" i="2"/>
  <c r="X868" i="2"/>
  <c r="W868" i="2"/>
  <c r="V868" i="2"/>
  <c r="U868" i="2"/>
  <c r="T868" i="2"/>
  <c r="S868" i="2"/>
  <c r="R868" i="2"/>
  <c r="Q868" i="2"/>
  <c r="P868" i="2"/>
  <c r="O868" i="2"/>
  <c r="N868" i="2"/>
  <c r="M868" i="2"/>
  <c r="L868" i="2"/>
  <c r="K868" i="2"/>
  <c r="J868" i="2"/>
  <c r="H868" i="2"/>
  <c r="G868" i="2"/>
  <c r="F868" i="2"/>
  <c r="E868" i="2"/>
  <c r="D868" i="2"/>
  <c r="C868" i="2"/>
  <c r="B868" i="2"/>
  <c r="A868" i="2"/>
  <c r="AH867" i="2"/>
  <c r="AF867" i="2"/>
  <c r="AD867" i="2"/>
  <c r="AC867" i="2"/>
  <c r="AB867" i="2"/>
  <c r="X867" i="2"/>
  <c r="W867" i="2"/>
  <c r="V867" i="2"/>
  <c r="U867" i="2"/>
  <c r="T867" i="2"/>
  <c r="S867" i="2"/>
  <c r="R867" i="2"/>
  <c r="Q867" i="2"/>
  <c r="P867" i="2"/>
  <c r="O867" i="2"/>
  <c r="N867" i="2"/>
  <c r="M867" i="2"/>
  <c r="L867" i="2"/>
  <c r="K867" i="2"/>
  <c r="J867" i="2"/>
  <c r="I867" i="2"/>
  <c r="H867" i="2"/>
  <c r="G867" i="2"/>
  <c r="F867" i="2"/>
  <c r="E867" i="2"/>
  <c r="D867" i="2"/>
  <c r="C867" i="2"/>
  <c r="B867" i="2"/>
  <c r="A867" i="2"/>
  <c r="AH866" i="2"/>
  <c r="AG866" i="2"/>
  <c r="AD866" i="2"/>
  <c r="AC866" i="2"/>
  <c r="AB866" i="2"/>
  <c r="X866" i="2"/>
  <c r="W866" i="2"/>
  <c r="V866" i="2"/>
  <c r="U866" i="2"/>
  <c r="T866" i="2"/>
  <c r="S866" i="2"/>
  <c r="R866" i="2"/>
  <c r="Q866" i="2"/>
  <c r="P866" i="2"/>
  <c r="O866" i="2"/>
  <c r="N866" i="2"/>
  <c r="M866" i="2"/>
  <c r="L866" i="2"/>
  <c r="K866" i="2"/>
  <c r="H866" i="2"/>
  <c r="G866" i="2"/>
  <c r="F866" i="2"/>
  <c r="E866" i="2"/>
  <c r="D866" i="2"/>
  <c r="C866" i="2"/>
  <c r="B866" i="2"/>
  <c r="A866" i="2"/>
  <c r="AH865" i="2"/>
  <c r="AG865" i="2"/>
  <c r="AF865" i="2"/>
  <c r="AE865" i="2"/>
  <c r="AD865" i="2"/>
  <c r="AC865" i="2"/>
  <c r="AB865" i="2"/>
  <c r="Z865" i="2"/>
  <c r="Y865" i="2"/>
  <c r="X865" i="2"/>
  <c r="W865" i="2"/>
  <c r="V865" i="2"/>
  <c r="U865" i="2"/>
  <c r="T865" i="2"/>
  <c r="S865" i="2"/>
  <c r="R865" i="2"/>
  <c r="Q865" i="2"/>
  <c r="P865" i="2"/>
  <c r="O865" i="2"/>
  <c r="N865" i="2"/>
  <c r="M865" i="2"/>
  <c r="L865" i="2"/>
  <c r="K865" i="2"/>
  <c r="J865" i="2"/>
  <c r="I865" i="2"/>
  <c r="H865" i="2"/>
  <c r="G865" i="2"/>
  <c r="F865" i="2"/>
  <c r="E865" i="2"/>
  <c r="D865" i="2"/>
  <c r="C865" i="2"/>
  <c r="B865" i="2"/>
  <c r="A865" i="2"/>
  <c r="AH864" i="2"/>
  <c r="AG864" i="2"/>
  <c r="AF864" i="2"/>
  <c r="AE864" i="2"/>
  <c r="AD864" i="2"/>
  <c r="AC864" i="2"/>
  <c r="AB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H863" i="2"/>
  <c r="AG863" i="2"/>
  <c r="AF863" i="2"/>
  <c r="AE863" i="2"/>
  <c r="AD863" i="2"/>
  <c r="AC863" i="2"/>
  <c r="AB863" i="2"/>
  <c r="X863" i="2"/>
  <c r="W863" i="2"/>
  <c r="V863" i="2"/>
  <c r="U863" i="2"/>
  <c r="S863" i="2"/>
  <c r="R863" i="2"/>
  <c r="Q863" i="2"/>
  <c r="P863" i="2"/>
  <c r="O863" i="2"/>
  <c r="N863" i="2"/>
  <c r="M863" i="2"/>
  <c r="L863" i="2"/>
  <c r="K863" i="2"/>
  <c r="J863" i="2"/>
  <c r="I863" i="2"/>
  <c r="H863" i="2"/>
  <c r="G863" i="2"/>
  <c r="F863" i="2"/>
  <c r="E863" i="2"/>
  <c r="D863" i="2"/>
  <c r="C863" i="2"/>
  <c r="B863" i="2"/>
  <c r="A863" i="2"/>
  <c r="AH862" i="2"/>
  <c r="AF862" i="2"/>
  <c r="AE862" i="2"/>
  <c r="AD862" i="2"/>
  <c r="AC862" i="2"/>
  <c r="AB862" i="2"/>
  <c r="AA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H861" i="2"/>
  <c r="AG861" i="2"/>
  <c r="AF861" i="2"/>
  <c r="AE861" i="2"/>
  <c r="AD861" i="2"/>
  <c r="AC861" i="2"/>
  <c r="AB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H860" i="2"/>
  <c r="AG860" i="2"/>
  <c r="AD860" i="2"/>
  <c r="AC860" i="2"/>
  <c r="AB860" i="2"/>
  <c r="Z860" i="2"/>
  <c r="Y860" i="2"/>
  <c r="X860" i="2"/>
  <c r="W860" i="2"/>
  <c r="V860" i="2"/>
  <c r="U860" i="2"/>
  <c r="T860" i="2"/>
  <c r="S860" i="2"/>
  <c r="R860" i="2"/>
  <c r="Q860" i="2"/>
  <c r="P860" i="2"/>
  <c r="O860" i="2"/>
  <c r="N860" i="2"/>
  <c r="M860" i="2"/>
  <c r="L860" i="2"/>
  <c r="K860" i="2"/>
  <c r="H860" i="2"/>
  <c r="G860" i="2"/>
  <c r="F860" i="2"/>
  <c r="E860" i="2"/>
  <c r="D860" i="2"/>
  <c r="C860" i="2"/>
  <c r="B860" i="2"/>
  <c r="A860" i="2"/>
  <c r="AH859" i="2"/>
  <c r="AG859" i="2"/>
  <c r="AF859" i="2"/>
  <c r="AE859" i="2"/>
  <c r="AD859" i="2"/>
  <c r="AC859" i="2"/>
  <c r="AB859" i="2"/>
  <c r="Z859" i="2"/>
  <c r="Y859" i="2"/>
  <c r="X859" i="2"/>
  <c r="W859" i="2"/>
  <c r="V859" i="2"/>
  <c r="U859" i="2"/>
  <c r="S859" i="2"/>
  <c r="R859" i="2"/>
  <c r="Q859" i="2"/>
  <c r="P859" i="2"/>
  <c r="O859" i="2"/>
  <c r="N859" i="2"/>
  <c r="M859" i="2"/>
  <c r="L859" i="2"/>
  <c r="K859" i="2"/>
  <c r="H859" i="2"/>
  <c r="G859" i="2"/>
  <c r="F859" i="2"/>
  <c r="E859" i="2"/>
  <c r="D859" i="2"/>
  <c r="C859" i="2"/>
  <c r="B859" i="2"/>
  <c r="A859" i="2"/>
  <c r="AH858" i="2"/>
  <c r="AG858" i="2"/>
  <c r="AF858" i="2"/>
  <c r="AE858" i="2"/>
  <c r="AD858" i="2"/>
  <c r="AC858" i="2"/>
  <c r="AB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H857" i="2"/>
  <c r="AG857" i="2"/>
  <c r="AF857" i="2"/>
  <c r="AE857" i="2"/>
  <c r="AD857" i="2"/>
  <c r="AC857" i="2"/>
  <c r="AB857" i="2"/>
  <c r="Z857" i="2"/>
  <c r="Y857" i="2"/>
  <c r="X857" i="2"/>
  <c r="W857" i="2"/>
  <c r="V857" i="2"/>
  <c r="U857" i="2"/>
  <c r="T857" i="2"/>
  <c r="S857" i="2"/>
  <c r="R857" i="2"/>
  <c r="Q857" i="2"/>
  <c r="P857" i="2"/>
  <c r="O857" i="2"/>
  <c r="N857" i="2"/>
  <c r="M857" i="2"/>
  <c r="L857" i="2"/>
  <c r="K857" i="2"/>
  <c r="H857" i="2"/>
  <c r="G857" i="2"/>
  <c r="F857" i="2"/>
  <c r="E857" i="2"/>
  <c r="D857" i="2"/>
  <c r="C857" i="2"/>
  <c r="B857" i="2"/>
  <c r="A857" i="2"/>
  <c r="AH856" i="2"/>
  <c r="AG856" i="2"/>
  <c r="AF856" i="2"/>
  <c r="AE856" i="2"/>
  <c r="AD856" i="2"/>
  <c r="AC856" i="2"/>
  <c r="AB856" i="2"/>
  <c r="Z856" i="2"/>
  <c r="Y856" i="2"/>
  <c r="X856" i="2"/>
  <c r="W856" i="2"/>
  <c r="V856" i="2"/>
  <c r="T856" i="2"/>
  <c r="S856" i="2"/>
  <c r="R856" i="2"/>
  <c r="Q856" i="2"/>
  <c r="P856" i="2"/>
  <c r="O856" i="2"/>
  <c r="N856" i="2"/>
  <c r="M856" i="2"/>
  <c r="L856" i="2"/>
  <c r="K856" i="2"/>
  <c r="J856" i="2"/>
  <c r="I856" i="2"/>
  <c r="H856" i="2"/>
  <c r="G856" i="2"/>
  <c r="F856" i="2"/>
  <c r="E856" i="2"/>
  <c r="D856" i="2"/>
  <c r="C856" i="2"/>
  <c r="B856" i="2"/>
  <c r="A856" i="2"/>
  <c r="AH855" i="2"/>
  <c r="AG855" i="2"/>
  <c r="AF855" i="2"/>
  <c r="AE855" i="2"/>
  <c r="AD855" i="2"/>
  <c r="AC855" i="2"/>
  <c r="AB855" i="2"/>
  <c r="AA855" i="2"/>
  <c r="Z855" i="2"/>
  <c r="Y855" i="2"/>
  <c r="X855" i="2"/>
  <c r="W855" i="2"/>
  <c r="V855" i="2"/>
  <c r="U855" i="2"/>
  <c r="T855" i="2"/>
  <c r="S855" i="2"/>
  <c r="R855" i="2"/>
  <c r="Q855" i="2"/>
  <c r="P855" i="2"/>
  <c r="O855" i="2"/>
  <c r="N855" i="2"/>
  <c r="M855" i="2"/>
  <c r="L855" i="2"/>
  <c r="K855" i="2"/>
  <c r="H855" i="2"/>
  <c r="G855" i="2"/>
  <c r="F855" i="2"/>
  <c r="E855" i="2"/>
  <c r="D855" i="2"/>
  <c r="C855" i="2"/>
  <c r="B855" i="2"/>
  <c r="A855" i="2"/>
  <c r="AH854" i="2"/>
  <c r="AD854" i="2"/>
  <c r="AC854" i="2"/>
  <c r="AB854" i="2"/>
  <c r="Z854" i="2"/>
  <c r="Y854" i="2"/>
  <c r="X854" i="2"/>
  <c r="W854" i="2"/>
  <c r="V854" i="2"/>
  <c r="U854" i="2"/>
  <c r="T854" i="2"/>
  <c r="S854" i="2"/>
  <c r="R854" i="2"/>
  <c r="Q854" i="2"/>
  <c r="P854" i="2"/>
  <c r="O854" i="2"/>
  <c r="N854" i="2"/>
  <c r="M854" i="2"/>
  <c r="L854" i="2"/>
  <c r="K854" i="2"/>
  <c r="H854" i="2"/>
  <c r="G854" i="2"/>
  <c r="F854" i="2"/>
  <c r="E854" i="2"/>
  <c r="D854" i="2"/>
  <c r="C854" i="2"/>
  <c r="B854" i="2"/>
  <c r="A854" i="2"/>
  <c r="AH853" i="2"/>
  <c r="AG853" i="2"/>
  <c r="AF853" i="2"/>
  <c r="AE853" i="2"/>
  <c r="AD853" i="2"/>
  <c r="AC853" i="2"/>
  <c r="AB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H852" i="2"/>
  <c r="AG852" i="2"/>
  <c r="AF852" i="2"/>
  <c r="AE852" i="2"/>
  <c r="AD852" i="2"/>
  <c r="AC852" i="2"/>
  <c r="AB852" i="2"/>
  <c r="AA852" i="2"/>
  <c r="Z852" i="2"/>
  <c r="X852" i="2"/>
  <c r="W852" i="2"/>
  <c r="V852" i="2"/>
  <c r="U852" i="2"/>
  <c r="T852" i="2"/>
  <c r="S852" i="2"/>
  <c r="R852" i="2"/>
  <c r="Q852" i="2"/>
  <c r="P852" i="2"/>
  <c r="O852" i="2"/>
  <c r="N852" i="2"/>
  <c r="M852" i="2"/>
  <c r="L852" i="2"/>
  <c r="K852" i="2"/>
  <c r="H852" i="2"/>
  <c r="G852" i="2"/>
  <c r="F852" i="2"/>
  <c r="E852" i="2"/>
  <c r="D852" i="2"/>
  <c r="C852" i="2"/>
  <c r="B852" i="2"/>
  <c r="A852" i="2"/>
  <c r="AH851" i="2"/>
  <c r="AG851" i="2"/>
  <c r="AF851" i="2"/>
  <c r="AE851" i="2"/>
  <c r="AD851" i="2"/>
  <c r="AC851" i="2"/>
  <c r="AB851" i="2"/>
  <c r="Z851" i="2"/>
  <c r="Y851" i="2"/>
  <c r="X851" i="2"/>
  <c r="W851" i="2"/>
  <c r="V851" i="2"/>
  <c r="U851" i="2"/>
  <c r="T851" i="2"/>
  <c r="S851" i="2"/>
  <c r="R851" i="2"/>
  <c r="Q851" i="2"/>
  <c r="P851" i="2"/>
  <c r="O851" i="2"/>
  <c r="N851" i="2"/>
  <c r="M851" i="2"/>
  <c r="L851" i="2"/>
  <c r="K851" i="2"/>
  <c r="H851" i="2"/>
  <c r="G851" i="2"/>
  <c r="F851" i="2"/>
  <c r="E851" i="2"/>
  <c r="D851" i="2"/>
  <c r="C851" i="2"/>
  <c r="B851" i="2"/>
  <c r="A851" i="2"/>
  <c r="AH850" i="2"/>
  <c r="AG850" i="2"/>
  <c r="AF850" i="2"/>
  <c r="AE850" i="2"/>
  <c r="AD850" i="2"/>
  <c r="AC850" i="2"/>
  <c r="AB850" i="2"/>
  <c r="Z850" i="2"/>
  <c r="Y850" i="2"/>
  <c r="X850" i="2"/>
  <c r="W850" i="2"/>
  <c r="V850" i="2"/>
  <c r="U850" i="2"/>
  <c r="S850" i="2"/>
  <c r="R850" i="2"/>
  <c r="Q850" i="2"/>
  <c r="P850" i="2"/>
  <c r="O850" i="2"/>
  <c r="N850" i="2"/>
  <c r="M850" i="2"/>
  <c r="L850" i="2"/>
  <c r="K850" i="2"/>
  <c r="H850" i="2"/>
  <c r="G850" i="2"/>
  <c r="F850" i="2"/>
  <c r="E850" i="2"/>
  <c r="D850" i="2"/>
  <c r="C850" i="2"/>
  <c r="B850" i="2"/>
  <c r="A850" i="2"/>
  <c r="AH849" i="2"/>
  <c r="AG849" i="2"/>
  <c r="AF849" i="2"/>
  <c r="AE849" i="2"/>
  <c r="AD849" i="2"/>
  <c r="AC849" i="2"/>
  <c r="AB849" i="2"/>
  <c r="Z849" i="2"/>
  <c r="Y849" i="2"/>
  <c r="X849" i="2"/>
  <c r="W849" i="2"/>
  <c r="V849" i="2"/>
  <c r="T849" i="2"/>
  <c r="S849" i="2"/>
  <c r="R849" i="2"/>
  <c r="Q849" i="2"/>
  <c r="P849" i="2"/>
  <c r="O849" i="2"/>
  <c r="N849" i="2"/>
  <c r="M849" i="2"/>
  <c r="L849" i="2"/>
  <c r="K849" i="2"/>
  <c r="J849" i="2"/>
  <c r="I849" i="2"/>
  <c r="H849" i="2"/>
  <c r="G849" i="2"/>
  <c r="F849" i="2"/>
  <c r="E849" i="2"/>
  <c r="D849" i="2"/>
  <c r="C849" i="2"/>
  <c r="B849" i="2"/>
  <c r="A849" i="2"/>
  <c r="AH848" i="2"/>
  <c r="AG848" i="2"/>
  <c r="AF848" i="2"/>
  <c r="AE848" i="2"/>
  <c r="AD848" i="2"/>
  <c r="AC848" i="2"/>
  <c r="AB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H847" i="2"/>
  <c r="AG847" i="2"/>
  <c r="AF847" i="2"/>
  <c r="AE847" i="2"/>
  <c r="AD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H846" i="2"/>
  <c r="AG846" i="2"/>
  <c r="AD846" i="2"/>
  <c r="AC846" i="2"/>
  <c r="AB846" i="2"/>
  <c r="Y846" i="2"/>
  <c r="X846" i="2"/>
  <c r="W846" i="2"/>
  <c r="V846" i="2"/>
  <c r="U846" i="2"/>
  <c r="T846" i="2"/>
  <c r="S846" i="2"/>
  <c r="R846" i="2"/>
  <c r="Q846" i="2"/>
  <c r="P846" i="2"/>
  <c r="O846" i="2"/>
  <c r="N846" i="2"/>
  <c r="M846" i="2"/>
  <c r="L846" i="2"/>
  <c r="K846" i="2"/>
  <c r="H846" i="2"/>
  <c r="G846" i="2"/>
  <c r="F846" i="2"/>
  <c r="E846" i="2"/>
  <c r="D846" i="2"/>
  <c r="C846" i="2"/>
  <c r="B846" i="2"/>
  <c r="A846" i="2"/>
  <c r="AH845" i="2"/>
  <c r="AG845" i="2"/>
  <c r="AE845" i="2"/>
  <c r="AD845" i="2"/>
  <c r="AC845" i="2"/>
  <c r="AB845" i="2"/>
  <c r="Z845" i="2"/>
  <c r="Y845" i="2"/>
  <c r="X845" i="2"/>
  <c r="W845" i="2"/>
  <c r="V845" i="2"/>
  <c r="T845" i="2"/>
  <c r="S845" i="2"/>
  <c r="R845" i="2"/>
  <c r="Q845" i="2"/>
  <c r="P845" i="2"/>
  <c r="O845" i="2"/>
  <c r="N845" i="2"/>
  <c r="M845" i="2"/>
  <c r="L845" i="2"/>
  <c r="K845" i="2"/>
  <c r="J845" i="2"/>
  <c r="I845" i="2"/>
  <c r="H845" i="2"/>
  <c r="G845" i="2"/>
  <c r="F845" i="2"/>
  <c r="E845" i="2"/>
  <c r="D845" i="2"/>
  <c r="C845" i="2"/>
  <c r="B845" i="2"/>
  <c r="A845" i="2"/>
  <c r="AH844" i="2"/>
  <c r="AG844" i="2"/>
  <c r="AF844" i="2"/>
  <c r="AD844" i="2"/>
  <c r="AC844" i="2"/>
  <c r="AB844" i="2"/>
  <c r="Z844" i="2"/>
  <c r="Y844" i="2"/>
  <c r="X844" i="2"/>
  <c r="W844" i="2"/>
  <c r="V844" i="2"/>
  <c r="U844" i="2"/>
  <c r="T844" i="2"/>
  <c r="S844" i="2"/>
  <c r="R844" i="2"/>
  <c r="Q844" i="2"/>
  <c r="P844" i="2"/>
  <c r="O844" i="2"/>
  <c r="N844" i="2"/>
  <c r="M844" i="2"/>
  <c r="L844" i="2"/>
  <c r="K844" i="2"/>
  <c r="J844" i="2"/>
  <c r="H844" i="2"/>
  <c r="G844" i="2"/>
  <c r="F844" i="2"/>
  <c r="E844" i="2"/>
  <c r="D844" i="2"/>
  <c r="C844" i="2"/>
  <c r="B844" i="2"/>
  <c r="A844" i="2"/>
  <c r="AH843" i="2"/>
  <c r="AG843" i="2"/>
  <c r="AF843" i="2"/>
  <c r="AE843" i="2"/>
  <c r="AD843" i="2"/>
  <c r="AC843" i="2"/>
  <c r="AB843" i="2"/>
  <c r="AA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H842" i="2"/>
  <c r="AG842" i="2"/>
  <c r="AF842" i="2"/>
  <c r="AE842" i="2"/>
  <c r="AD842" i="2"/>
  <c r="AC842" i="2"/>
  <c r="AB842" i="2"/>
  <c r="AA842" i="2"/>
  <c r="Z842" i="2"/>
  <c r="Y842" i="2"/>
  <c r="X842" i="2"/>
  <c r="W842" i="2"/>
  <c r="V842" i="2"/>
  <c r="U842" i="2"/>
  <c r="T842" i="2"/>
  <c r="S842" i="2"/>
  <c r="R842" i="2"/>
  <c r="Q842" i="2"/>
  <c r="P842" i="2"/>
  <c r="O842" i="2"/>
  <c r="N842" i="2"/>
  <c r="M842" i="2"/>
  <c r="L842" i="2"/>
  <c r="K842" i="2"/>
  <c r="H842" i="2"/>
  <c r="G842" i="2"/>
  <c r="F842" i="2"/>
  <c r="E842" i="2"/>
  <c r="D842" i="2"/>
  <c r="C842" i="2"/>
  <c r="B842" i="2"/>
  <c r="A842" i="2"/>
  <c r="AH841" i="2"/>
  <c r="AG841" i="2"/>
  <c r="AF841" i="2"/>
  <c r="AE841" i="2"/>
  <c r="AD841" i="2"/>
  <c r="AC841" i="2"/>
  <c r="AB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H840" i="2"/>
  <c r="AF840" i="2"/>
  <c r="AE840" i="2"/>
  <c r="AD840" i="2"/>
  <c r="AC840" i="2"/>
  <c r="AB840" i="2"/>
  <c r="Z840" i="2"/>
  <c r="X840" i="2"/>
  <c r="W840" i="2"/>
  <c r="V840" i="2"/>
  <c r="U840" i="2"/>
  <c r="T840" i="2"/>
  <c r="S840" i="2"/>
  <c r="R840" i="2"/>
  <c r="Q840" i="2"/>
  <c r="P840" i="2"/>
  <c r="O840" i="2"/>
  <c r="N840" i="2"/>
  <c r="M840" i="2"/>
  <c r="L840" i="2"/>
  <c r="K840" i="2"/>
  <c r="H840" i="2"/>
  <c r="G840" i="2"/>
  <c r="F840" i="2"/>
  <c r="E840" i="2"/>
  <c r="D840" i="2"/>
  <c r="C840" i="2"/>
  <c r="B840" i="2"/>
  <c r="A840" i="2"/>
  <c r="AH839" i="2"/>
  <c r="AF839" i="2"/>
  <c r="AE839" i="2"/>
  <c r="AD839" i="2"/>
  <c r="AC839" i="2"/>
  <c r="AB839" i="2"/>
  <c r="AA839" i="2"/>
  <c r="Z839" i="2"/>
  <c r="Y839" i="2"/>
  <c r="W839" i="2"/>
  <c r="V839" i="2"/>
  <c r="U839" i="2"/>
  <c r="T839" i="2"/>
  <c r="S839" i="2"/>
  <c r="R839" i="2"/>
  <c r="Q839" i="2"/>
  <c r="P839" i="2"/>
  <c r="O839" i="2"/>
  <c r="N839" i="2"/>
  <c r="M839" i="2"/>
  <c r="L839" i="2"/>
  <c r="K839" i="2"/>
  <c r="J839" i="2"/>
  <c r="I839" i="2"/>
  <c r="H839" i="2"/>
  <c r="G839" i="2"/>
  <c r="F839" i="2"/>
  <c r="E839" i="2"/>
  <c r="D839" i="2"/>
  <c r="C839" i="2"/>
  <c r="B839" i="2"/>
  <c r="A839" i="2"/>
  <c r="AH838" i="2"/>
  <c r="AG838" i="2"/>
  <c r="AF838" i="2"/>
  <c r="AE838" i="2"/>
  <c r="AD838" i="2"/>
  <c r="AC838" i="2"/>
  <c r="AB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H837" i="2"/>
  <c r="AG837" i="2"/>
  <c r="AF837" i="2"/>
  <c r="AE837" i="2"/>
  <c r="AD837" i="2"/>
  <c r="AC837" i="2"/>
  <c r="AB837" i="2"/>
  <c r="Z837" i="2"/>
  <c r="Y837" i="2"/>
  <c r="X837" i="2"/>
  <c r="W837" i="2"/>
  <c r="V837" i="2"/>
  <c r="U837" i="2"/>
  <c r="T837" i="2"/>
  <c r="S837" i="2"/>
  <c r="R837" i="2"/>
  <c r="Q837" i="2"/>
  <c r="P837" i="2"/>
  <c r="O837" i="2"/>
  <c r="N837" i="2"/>
  <c r="M837" i="2"/>
  <c r="L837" i="2"/>
  <c r="K837" i="2"/>
  <c r="H837" i="2"/>
  <c r="G837" i="2"/>
  <c r="F837" i="2"/>
  <c r="E837" i="2"/>
  <c r="D837" i="2"/>
  <c r="C837" i="2"/>
  <c r="B837" i="2"/>
  <c r="A837" i="2"/>
  <c r="AH836" i="2"/>
  <c r="AG836" i="2"/>
  <c r="AD836" i="2"/>
  <c r="AC836" i="2"/>
  <c r="AB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H835" i="2"/>
  <c r="AG835" i="2"/>
  <c r="AF835" i="2"/>
  <c r="AE835" i="2"/>
  <c r="AD835" i="2"/>
  <c r="AC835" i="2"/>
  <c r="AB835" i="2"/>
  <c r="Y835" i="2"/>
  <c r="X835" i="2"/>
  <c r="W835" i="2"/>
  <c r="V835" i="2"/>
  <c r="U835" i="2"/>
  <c r="T835" i="2"/>
  <c r="S835" i="2"/>
  <c r="R835" i="2"/>
  <c r="Q835" i="2"/>
  <c r="P835" i="2"/>
  <c r="O835" i="2"/>
  <c r="N835" i="2"/>
  <c r="M835" i="2"/>
  <c r="L835" i="2"/>
  <c r="K835" i="2"/>
  <c r="H835" i="2"/>
  <c r="G835" i="2"/>
  <c r="F835" i="2"/>
  <c r="E835" i="2"/>
  <c r="D835" i="2"/>
  <c r="C835" i="2"/>
  <c r="B835" i="2"/>
  <c r="A835" i="2"/>
  <c r="AH834" i="2"/>
  <c r="AF834" i="2"/>
  <c r="AD834" i="2"/>
  <c r="AC834" i="2"/>
  <c r="AB834" i="2"/>
  <c r="Z834" i="2"/>
  <c r="Y834" i="2"/>
  <c r="X834" i="2"/>
  <c r="W834" i="2"/>
  <c r="V834" i="2"/>
  <c r="U834" i="2"/>
  <c r="S834" i="2"/>
  <c r="R834" i="2"/>
  <c r="Q834" i="2"/>
  <c r="P834" i="2"/>
  <c r="O834" i="2"/>
  <c r="N834" i="2"/>
  <c r="M834" i="2"/>
  <c r="L834" i="2"/>
  <c r="K834" i="2"/>
  <c r="H834" i="2"/>
  <c r="G834" i="2"/>
  <c r="F834" i="2"/>
  <c r="E834" i="2"/>
  <c r="D834" i="2"/>
  <c r="C834" i="2"/>
  <c r="B834" i="2"/>
  <c r="A834" i="2"/>
  <c r="AH833" i="2"/>
  <c r="AG833" i="2"/>
  <c r="AF833" i="2"/>
  <c r="AE833" i="2"/>
  <c r="AD833" i="2"/>
  <c r="AC833" i="2"/>
  <c r="AB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H832" i="2"/>
  <c r="AG832" i="2"/>
  <c r="AF832" i="2"/>
  <c r="AE832" i="2"/>
  <c r="AD832" i="2"/>
  <c r="AC832" i="2"/>
  <c r="AB832" i="2"/>
  <c r="AA832" i="2"/>
  <c r="Z832" i="2"/>
  <c r="Y832" i="2"/>
  <c r="X832" i="2"/>
  <c r="W832" i="2"/>
  <c r="V832" i="2"/>
  <c r="U832" i="2"/>
  <c r="T832" i="2"/>
  <c r="S832" i="2"/>
  <c r="R832" i="2"/>
  <c r="Q832" i="2"/>
  <c r="P832" i="2"/>
  <c r="O832" i="2"/>
  <c r="N832" i="2"/>
  <c r="M832" i="2"/>
  <c r="L832" i="2"/>
  <c r="K832" i="2"/>
  <c r="H832" i="2"/>
  <c r="G832" i="2"/>
  <c r="F832" i="2"/>
  <c r="E832" i="2"/>
  <c r="D832" i="2"/>
  <c r="C832" i="2"/>
  <c r="B832" i="2"/>
  <c r="A832" i="2"/>
  <c r="AH831" i="2"/>
  <c r="AG831" i="2"/>
  <c r="AF831" i="2"/>
  <c r="AE831" i="2"/>
  <c r="AD831" i="2"/>
  <c r="AC831" i="2"/>
  <c r="AB831" i="2"/>
  <c r="Y831" i="2"/>
  <c r="X831" i="2"/>
  <c r="W831" i="2"/>
  <c r="V831" i="2"/>
  <c r="U831" i="2"/>
  <c r="T831" i="2"/>
  <c r="S831" i="2"/>
  <c r="R831" i="2"/>
  <c r="Q831" i="2"/>
  <c r="P831" i="2"/>
  <c r="O831" i="2"/>
  <c r="N831" i="2"/>
  <c r="M831" i="2"/>
  <c r="L831" i="2"/>
  <c r="K831" i="2"/>
  <c r="H831" i="2"/>
  <c r="G831" i="2"/>
  <c r="F831" i="2"/>
  <c r="E831" i="2"/>
  <c r="D831" i="2"/>
  <c r="C831" i="2"/>
  <c r="B831" i="2"/>
  <c r="A831" i="2"/>
  <c r="AH830" i="2"/>
  <c r="AG830" i="2"/>
  <c r="AF830" i="2"/>
  <c r="AE830" i="2"/>
  <c r="AD830" i="2"/>
  <c r="AC830" i="2"/>
  <c r="AB830" i="2"/>
  <c r="AA830" i="2"/>
  <c r="Z830" i="2"/>
  <c r="Y830" i="2"/>
  <c r="X830" i="2"/>
  <c r="W830" i="2"/>
  <c r="V830" i="2"/>
  <c r="U830" i="2"/>
  <c r="T830" i="2"/>
  <c r="S830" i="2"/>
  <c r="R830" i="2"/>
  <c r="Q830" i="2"/>
  <c r="P830" i="2"/>
  <c r="O830" i="2"/>
  <c r="N830" i="2"/>
  <c r="M830" i="2"/>
  <c r="L830" i="2"/>
  <c r="K830" i="2"/>
  <c r="H830" i="2"/>
  <c r="G830" i="2"/>
  <c r="F830" i="2"/>
  <c r="E830" i="2"/>
  <c r="D830" i="2"/>
  <c r="C830" i="2"/>
  <c r="B830" i="2"/>
  <c r="A830" i="2"/>
  <c r="AH829" i="2"/>
  <c r="AG829" i="2"/>
  <c r="AF829" i="2"/>
  <c r="AE829" i="2"/>
  <c r="AD829" i="2"/>
  <c r="AC829" i="2"/>
  <c r="AB829" i="2"/>
  <c r="Y829" i="2"/>
  <c r="X829" i="2"/>
  <c r="W829" i="2"/>
  <c r="V829" i="2"/>
  <c r="U829" i="2"/>
  <c r="T829" i="2"/>
  <c r="S829" i="2"/>
  <c r="R829" i="2"/>
  <c r="Q829" i="2"/>
  <c r="P829" i="2"/>
  <c r="O829" i="2"/>
  <c r="N829" i="2"/>
  <c r="M829" i="2"/>
  <c r="L829" i="2"/>
  <c r="K829" i="2"/>
  <c r="H829" i="2"/>
  <c r="G829" i="2"/>
  <c r="F829" i="2"/>
  <c r="E829" i="2"/>
  <c r="D829" i="2"/>
  <c r="C829" i="2"/>
  <c r="B829" i="2"/>
  <c r="A829" i="2"/>
  <c r="AH828" i="2"/>
  <c r="AF828" i="2"/>
  <c r="AE828" i="2"/>
  <c r="AD828" i="2"/>
  <c r="AC828" i="2"/>
  <c r="AB828" i="2"/>
  <c r="Z828" i="2"/>
  <c r="Y828" i="2"/>
  <c r="W828" i="2"/>
  <c r="V828" i="2"/>
  <c r="U828" i="2"/>
  <c r="Q828" i="2"/>
  <c r="P828" i="2"/>
  <c r="N828" i="2"/>
  <c r="M828" i="2"/>
  <c r="L828" i="2"/>
  <c r="K828" i="2"/>
  <c r="J828" i="2"/>
  <c r="I828" i="2"/>
  <c r="H828" i="2"/>
  <c r="G828" i="2"/>
  <c r="F828" i="2"/>
  <c r="E828" i="2"/>
  <c r="D828" i="2"/>
  <c r="C828" i="2"/>
  <c r="B828" i="2"/>
  <c r="A828" i="2"/>
  <c r="AH827" i="2"/>
  <c r="AG827" i="2"/>
  <c r="AF827" i="2"/>
  <c r="AE827" i="2"/>
  <c r="AD827" i="2"/>
  <c r="AC827" i="2"/>
  <c r="AB827" i="2"/>
  <c r="Z827" i="2"/>
  <c r="Y827" i="2"/>
  <c r="X827" i="2"/>
  <c r="W827" i="2"/>
  <c r="V827" i="2"/>
  <c r="U827" i="2"/>
  <c r="T827" i="2"/>
  <c r="S827" i="2"/>
  <c r="R827" i="2"/>
  <c r="Q827" i="2"/>
  <c r="P827" i="2"/>
  <c r="O827" i="2"/>
  <c r="N827" i="2"/>
  <c r="M827" i="2"/>
  <c r="L827" i="2"/>
  <c r="K827" i="2"/>
  <c r="H827" i="2"/>
  <c r="G827" i="2"/>
  <c r="F827" i="2"/>
  <c r="E827" i="2"/>
  <c r="D827" i="2"/>
  <c r="C827" i="2"/>
  <c r="B827" i="2"/>
  <c r="A827" i="2"/>
  <c r="AH826" i="2"/>
  <c r="AG826" i="2"/>
  <c r="AF826" i="2"/>
  <c r="AE826" i="2"/>
  <c r="AD826" i="2"/>
  <c r="AC826" i="2"/>
  <c r="AB826" i="2"/>
  <c r="AA826" i="2"/>
  <c r="Z826" i="2"/>
  <c r="Y826" i="2"/>
  <c r="X826" i="2"/>
  <c r="W826" i="2"/>
  <c r="V826" i="2"/>
  <c r="U826" i="2"/>
  <c r="T826" i="2"/>
  <c r="S826" i="2"/>
  <c r="R826" i="2"/>
  <c r="Q826" i="2"/>
  <c r="P826" i="2"/>
  <c r="O826" i="2"/>
  <c r="N826" i="2"/>
  <c r="M826" i="2"/>
  <c r="L826" i="2"/>
  <c r="K826" i="2"/>
  <c r="H826" i="2"/>
  <c r="G826" i="2"/>
  <c r="F826" i="2"/>
  <c r="E826" i="2"/>
  <c r="D826" i="2"/>
  <c r="C826" i="2"/>
  <c r="B826" i="2"/>
  <c r="A826" i="2"/>
  <c r="AH825" i="2"/>
  <c r="AF825" i="2"/>
  <c r="AE825" i="2"/>
  <c r="AD825" i="2"/>
  <c r="AC825" i="2"/>
  <c r="AB825" i="2"/>
  <c r="Z825" i="2"/>
  <c r="Y825" i="2"/>
  <c r="X825" i="2"/>
  <c r="W825" i="2"/>
  <c r="V825" i="2"/>
  <c r="U825" i="2"/>
  <c r="S825" i="2"/>
  <c r="R825" i="2"/>
  <c r="Q825" i="2"/>
  <c r="P825" i="2"/>
  <c r="O825" i="2"/>
  <c r="N825" i="2"/>
  <c r="M825" i="2"/>
  <c r="L825" i="2"/>
  <c r="K825" i="2"/>
  <c r="H825" i="2"/>
  <c r="G825" i="2"/>
  <c r="F825" i="2"/>
  <c r="E825" i="2"/>
  <c r="D825" i="2"/>
  <c r="C825" i="2"/>
  <c r="B825" i="2"/>
  <c r="A825" i="2"/>
  <c r="AH824" i="2"/>
  <c r="AG824" i="2"/>
  <c r="AD824" i="2"/>
  <c r="AC824" i="2"/>
  <c r="AB824" i="2"/>
  <c r="Z824" i="2"/>
  <c r="Y824" i="2"/>
  <c r="X824" i="2"/>
  <c r="W824" i="2"/>
  <c r="V824" i="2"/>
  <c r="T824" i="2"/>
  <c r="S824" i="2"/>
  <c r="R824" i="2"/>
  <c r="Q824" i="2"/>
  <c r="P824" i="2"/>
  <c r="O824" i="2"/>
  <c r="N824" i="2"/>
  <c r="M824" i="2"/>
  <c r="L824" i="2"/>
  <c r="K824" i="2"/>
  <c r="J824" i="2"/>
  <c r="I824" i="2"/>
  <c r="H824" i="2"/>
  <c r="G824" i="2"/>
  <c r="F824" i="2"/>
  <c r="E824" i="2"/>
  <c r="D824" i="2"/>
  <c r="C824" i="2"/>
  <c r="B824" i="2"/>
  <c r="A824" i="2"/>
  <c r="AH823" i="2"/>
  <c r="AG823" i="2"/>
  <c r="AF823" i="2"/>
  <c r="AE823" i="2"/>
  <c r="AD823" i="2"/>
  <c r="AC823" i="2"/>
  <c r="AB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H822" i="2"/>
  <c r="AG822" i="2"/>
  <c r="AF822" i="2"/>
  <c r="AE822" i="2"/>
  <c r="AD822" i="2"/>
  <c r="AC822" i="2"/>
  <c r="AB822" i="2"/>
  <c r="Z822" i="2"/>
  <c r="Y822" i="2"/>
  <c r="X822" i="2"/>
  <c r="W822" i="2"/>
  <c r="V822" i="2"/>
  <c r="U822" i="2"/>
  <c r="T822" i="2"/>
  <c r="S822" i="2"/>
  <c r="R822" i="2"/>
  <c r="Q822" i="2"/>
  <c r="P822" i="2"/>
  <c r="O822" i="2"/>
  <c r="N822" i="2"/>
  <c r="M822" i="2"/>
  <c r="L822" i="2"/>
  <c r="K822" i="2"/>
  <c r="J822" i="2"/>
  <c r="I822" i="2"/>
  <c r="H822" i="2"/>
  <c r="G822" i="2"/>
  <c r="F822" i="2"/>
  <c r="E822" i="2"/>
  <c r="D822" i="2"/>
  <c r="C822" i="2"/>
  <c r="B822" i="2"/>
  <c r="A822" i="2"/>
  <c r="AH821" i="2"/>
  <c r="AG821" i="2"/>
  <c r="AF821" i="2"/>
  <c r="AE821" i="2"/>
  <c r="AD821" i="2"/>
  <c r="AC821" i="2"/>
  <c r="AB821" i="2"/>
  <c r="X821" i="2"/>
  <c r="W821" i="2"/>
  <c r="V821" i="2"/>
  <c r="U821" i="2"/>
  <c r="T821" i="2"/>
  <c r="S821" i="2"/>
  <c r="R821" i="2"/>
  <c r="Q821" i="2"/>
  <c r="P821" i="2"/>
  <c r="O821" i="2"/>
  <c r="N821" i="2"/>
  <c r="M821" i="2"/>
  <c r="L821" i="2"/>
  <c r="K821" i="2"/>
  <c r="H821" i="2"/>
  <c r="G821" i="2"/>
  <c r="F821" i="2"/>
  <c r="E821" i="2"/>
  <c r="D821" i="2"/>
  <c r="C821" i="2"/>
  <c r="B821" i="2"/>
  <c r="A821" i="2"/>
  <c r="AH820" i="2"/>
  <c r="AG820" i="2"/>
  <c r="AF820" i="2"/>
  <c r="AE820" i="2"/>
  <c r="AD820" i="2"/>
  <c r="AC820" i="2"/>
  <c r="AB820" i="2"/>
  <c r="X820" i="2"/>
  <c r="W820" i="2"/>
  <c r="V820" i="2"/>
  <c r="T820" i="2"/>
  <c r="S820" i="2"/>
  <c r="R820" i="2"/>
  <c r="Q820" i="2"/>
  <c r="P820" i="2"/>
  <c r="O820" i="2"/>
  <c r="N820" i="2"/>
  <c r="M820" i="2"/>
  <c r="L820" i="2"/>
  <c r="K820" i="2"/>
  <c r="H820" i="2"/>
  <c r="G820" i="2"/>
  <c r="F820" i="2"/>
  <c r="E820" i="2"/>
  <c r="D820" i="2"/>
  <c r="C820" i="2"/>
  <c r="B820" i="2"/>
  <c r="A820" i="2"/>
  <c r="AH819" i="2"/>
  <c r="AG819" i="2"/>
  <c r="AF819" i="2"/>
  <c r="AE819" i="2"/>
  <c r="AD819" i="2"/>
  <c r="AC819" i="2"/>
  <c r="AB819" i="2"/>
  <c r="Z819" i="2"/>
  <c r="Y819" i="2"/>
  <c r="X819" i="2"/>
  <c r="W819" i="2"/>
  <c r="V819" i="2"/>
  <c r="U819" i="2"/>
  <c r="T819" i="2"/>
  <c r="S819" i="2"/>
  <c r="R819" i="2"/>
  <c r="Q819" i="2"/>
  <c r="P819" i="2"/>
  <c r="O819" i="2"/>
  <c r="N819" i="2"/>
  <c r="M819" i="2"/>
  <c r="L819" i="2"/>
  <c r="K819" i="2"/>
  <c r="H819" i="2"/>
  <c r="G819" i="2"/>
  <c r="F819" i="2"/>
  <c r="E819" i="2"/>
  <c r="D819" i="2"/>
  <c r="C819" i="2"/>
  <c r="B819" i="2"/>
  <c r="A819" i="2"/>
  <c r="AH818" i="2"/>
  <c r="AG818" i="2"/>
  <c r="AF818" i="2"/>
  <c r="AE818" i="2"/>
  <c r="AD818" i="2"/>
  <c r="AC818" i="2"/>
  <c r="AB818" i="2"/>
  <c r="Z818" i="2"/>
  <c r="Y818" i="2"/>
  <c r="X818" i="2"/>
  <c r="W818" i="2"/>
  <c r="V818" i="2"/>
  <c r="U818" i="2"/>
  <c r="T818" i="2"/>
  <c r="S818" i="2"/>
  <c r="R818" i="2"/>
  <c r="Q818" i="2"/>
  <c r="P818" i="2"/>
  <c r="O818" i="2"/>
  <c r="N818" i="2"/>
  <c r="M818" i="2"/>
  <c r="L818" i="2"/>
  <c r="K818" i="2"/>
  <c r="H818" i="2"/>
  <c r="G818" i="2"/>
  <c r="F818" i="2"/>
  <c r="E818" i="2"/>
  <c r="D818" i="2"/>
  <c r="C818" i="2"/>
  <c r="B818" i="2"/>
  <c r="A818" i="2"/>
  <c r="AH817" i="2"/>
  <c r="AG817" i="2"/>
  <c r="AF817" i="2"/>
  <c r="AE817" i="2"/>
  <c r="AD817" i="2"/>
  <c r="AC817" i="2"/>
  <c r="AB817" i="2"/>
  <c r="Z817" i="2"/>
  <c r="Y817" i="2"/>
  <c r="X817" i="2"/>
  <c r="W817" i="2"/>
  <c r="V817" i="2"/>
  <c r="U817" i="2"/>
  <c r="T817" i="2"/>
  <c r="S817" i="2"/>
  <c r="R817" i="2"/>
  <c r="Q817" i="2"/>
  <c r="P817" i="2"/>
  <c r="N817" i="2"/>
  <c r="M817" i="2"/>
  <c r="L817" i="2"/>
  <c r="K817" i="2"/>
  <c r="H817" i="2"/>
  <c r="G817" i="2"/>
  <c r="F817" i="2"/>
  <c r="E817" i="2"/>
  <c r="D817" i="2"/>
  <c r="C817" i="2"/>
  <c r="B817" i="2"/>
  <c r="A817" i="2"/>
  <c r="AH816" i="2"/>
  <c r="AG816" i="2"/>
  <c r="AF816" i="2"/>
  <c r="AE816" i="2"/>
  <c r="AD816" i="2"/>
  <c r="AC816" i="2"/>
  <c r="AB816" i="2"/>
  <c r="Z816" i="2"/>
  <c r="Y816" i="2"/>
  <c r="X816" i="2"/>
  <c r="W816" i="2"/>
  <c r="V816" i="2"/>
  <c r="U816" i="2"/>
  <c r="T816" i="2"/>
  <c r="S816" i="2"/>
  <c r="R816" i="2"/>
  <c r="Q816" i="2"/>
  <c r="P816" i="2"/>
  <c r="O816" i="2"/>
  <c r="N816" i="2"/>
  <c r="M816" i="2"/>
  <c r="L816" i="2"/>
  <c r="K816" i="2"/>
  <c r="H816" i="2"/>
  <c r="G816" i="2"/>
  <c r="F816" i="2"/>
  <c r="E816" i="2"/>
  <c r="D816" i="2"/>
  <c r="C816" i="2"/>
  <c r="B816" i="2"/>
  <c r="A816" i="2"/>
  <c r="AH815" i="2"/>
  <c r="AF815" i="2"/>
  <c r="AE815" i="2"/>
  <c r="AD815" i="2"/>
  <c r="AC815" i="2"/>
  <c r="AB815" i="2"/>
  <c r="Z815" i="2"/>
  <c r="X815" i="2"/>
  <c r="W815" i="2"/>
  <c r="V815" i="2"/>
  <c r="U815" i="2"/>
  <c r="T815" i="2"/>
  <c r="S815" i="2"/>
  <c r="R815" i="2"/>
  <c r="Q815" i="2"/>
  <c r="P815" i="2"/>
  <c r="O815" i="2"/>
  <c r="N815" i="2"/>
  <c r="M815" i="2"/>
  <c r="L815" i="2"/>
  <c r="K815" i="2"/>
  <c r="H815" i="2"/>
  <c r="G815" i="2"/>
  <c r="F815" i="2"/>
  <c r="E815" i="2"/>
  <c r="D815" i="2"/>
  <c r="C815" i="2"/>
  <c r="B815" i="2"/>
  <c r="A815" i="2"/>
  <c r="AH814" i="2"/>
  <c r="AG814" i="2"/>
  <c r="AF814" i="2"/>
  <c r="AE814" i="2"/>
  <c r="AD814" i="2"/>
  <c r="AC814" i="2"/>
  <c r="AB814" i="2"/>
  <c r="Y814" i="2"/>
  <c r="X814" i="2"/>
  <c r="W814" i="2"/>
  <c r="V814" i="2"/>
  <c r="U814" i="2"/>
  <c r="T814" i="2"/>
  <c r="S814" i="2"/>
  <c r="R814" i="2"/>
  <c r="Q814" i="2"/>
  <c r="P814" i="2"/>
  <c r="O814" i="2"/>
  <c r="N814" i="2"/>
  <c r="M814" i="2"/>
  <c r="L814" i="2"/>
  <c r="K814" i="2"/>
  <c r="H814" i="2"/>
  <c r="G814" i="2"/>
  <c r="F814" i="2"/>
  <c r="E814" i="2"/>
  <c r="D814" i="2"/>
  <c r="C814" i="2"/>
  <c r="B814" i="2"/>
  <c r="A814" i="2"/>
  <c r="AH813" i="2"/>
  <c r="AF813" i="2"/>
  <c r="AE813" i="2"/>
  <c r="AD813" i="2"/>
  <c r="AC813" i="2"/>
  <c r="AB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H812" i="2"/>
  <c r="AG812" i="2"/>
  <c r="AF812" i="2"/>
  <c r="AE812" i="2"/>
  <c r="AD812" i="2"/>
  <c r="AC812" i="2"/>
  <c r="AB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H811" i="2"/>
  <c r="AG811" i="2"/>
  <c r="AF811" i="2"/>
  <c r="AE811" i="2"/>
  <c r="AD811" i="2"/>
  <c r="AC811" i="2"/>
  <c r="AB811" i="2"/>
  <c r="Z811" i="2"/>
  <c r="Y811" i="2"/>
  <c r="X811" i="2"/>
  <c r="W811" i="2"/>
  <c r="V811" i="2"/>
  <c r="U811" i="2"/>
  <c r="T811" i="2"/>
  <c r="S811" i="2"/>
  <c r="R811" i="2"/>
  <c r="Q811" i="2"/>
  <c r="P811" i="2"/>
  <c r="O811" i="2"/>
  <c r="N811" i="2"/>
  <c r="M811" i="2"/>
  <c r="L811" i="2"/>
  <c r="K811" i="2"/>
  <c r="H811" i="2"/>
  <c r="G811" i="2"/>
  <c r="F811" i="2"/>
  <c r="E811" i="2"/>
  <c r="D811" i="2"/>
  <c r="C811" i="2"/>
  <c r="B811" i="2"/>
  <c r="A811" i="2"/>
  <c r="AH810" i="2"/>
  <c r="AG810" i="2"/>
  <c r="AF810" i="2"/>
  <c r="AE810" i="2"/>
  <c r="AD810" i="2"/>
  <c r="AC810" i="2"/>
  <c r="AB810" i="2"/>
  <c r="Z810" i="2"/>
  <c r="Y810" i="2"/>
  <c r="X810" i="2"/>
  <c r="W810" i="2"/>
  <c r="V810" i="2"/>
  <c r="T810" i="2"/>
  <c r="S810" i="2"/>
  <c r="R810" i="2"/>
  <c r="Q810" i="2"/>
  <c r="P810" i="2"/>
  <c r="O810" i="2"/>
  <c r="N810" i="2"/>
  <c r="M810" i="2"/>
  <c r="L810" i="2"/>
  <c r="K810" i="2"/>
  <c r="J810" i="2"/>
  <c r="I810" i="2"/>
  <c r="H810" i="2"/>
  <c r="G810" i="2"/>
  <c r="F810" i="2"/>
  <c r="E810" i="2"/>
  <c r="D810" i="2"/>
  <c r="C810" i="2"/>
  <c r="B810" i="2"/>
  <c r="A810" i="2"/>
  <c r="AH809" i="2"/>
  <c r="AG809" i="2"/>
  <c r="AF809" i="2"/>
  <c r="AE809" i="2"/>
  <c r="AD809" i="2"/>
  <c r="AC809" i="2"/>
  <c r="AB809" i="2"/>
  <c r="Z809" i="2"/>
  <c r="Y809" i="2"/>
  <c r="X809" i="2"/>
  <c r="W809" i="2"/>
  <c r="V809" i="2"/>
  <c r="U809" i="2"/>
  <c r="S809" i="2"/>
  <c r="R809" i="2"/>
  <c r="Q809" i="2"/>
  <c r="P809" i="2"/>
  <c r="O809" i="2"/>
  <c r="N809" i="2"/>
  <c r="M809" i="2"/>
  <c r="L809" i="2"/>
  <c r="K809" i="2"/>
  <c r="H809" i="2"/>
  <c r="G809" i="2"/>
  <c r="F809" i="2"/>
  <c r="E809" i="2"/>
  <c r="D809" i="2"/>
  <c r="C809" i="2"/>
  <c r="B809" i="2"/>
  <c r="A809" i="2"/>
  <c r="AH808" i="2"/>
  <c r="AF808" i="2"/>
  <c r="AE808" i="2"/>
  <c r="AD808" i="2"/>
  <c r="AC808" i="2"/>
  <c r="AB808" i="2"/>
  <c r="Z808" i="2"/>
  <c r="X808" i="2"/>
  <c r="W808" i="2"/>
  <c r="V808" i="2"/>
  <c r="U808" i="2"/>
  <c r="T808" i="2"/>
  <c r="S808" i="2"/>
  <c r="R808" i="2"/>
  <c r="Q808" i="2"/>
  <c r="P808" i="2"/>
  <c r="O808" i="2"/>
  <c r="N808" i="2"/>
  <c r="M808" i="2"/>
  <c r="L808" i="2"/>
  <c r="K808" i="2"/>
  <c r="H808" i="2"/>
  <c r="G808" i="2"/>
  <c r="F808" i="2"/>
  <c r="E808" i="2"/>
  <c r="D808" i="2"/>
  <c r="C808" i="2"/>
  <c r="B808" i="2"/>
  <c r="A808" i="2"/>
  <c r="AH807" i="2"/>
  <c r="AG807" i="2"/>
  <c r="AF807" i="2"/>
  <c r="AE807" i="2"/>
  <c r="AD807" i="2"/>
  <c r="AC807" i="2"/>
  <c r="AB807" i="2"/>
  <c r="AA807" i="2"/>
  <c r="Z807" i="2"/>
  <c r="X807" i="2"/>
  <c r="W807" i="2"/>
  <c r="V807" i="2"/>
  <c r="U807" i="2"/>
  <c r="T807" i="2"/>
  <c r="S807" i="2"/>
  <c r="R807" i="2"/>
  <c r="Q807" i="2"/>
  <c r="P807" i="2"/>
  <c r="O807" i="2"/>
  <c r="N807" i="2"/>
  <c r="M807" i="2"/>
  <c r="L807" i="2"/>
  <c r="K807" i="2"/>
  <c r="H807" i="2"/>
  <c r="G807" i="2"/>
  <c r="F807" i="2"/>
  <c r="E807" i="2"/>
  <c r="D807" i="2"/>
  <c r="C807" i="2"/>
  <c r="B807" i="2"/>
  <c r="A807" i="2"/>
  <c r="AH806" i="2"/>
  <c r="AG806" i="2"/>
  <c r="AF806" i="2"/>
  <c r="AE806" i="2"/>
  <c r="AD806" i="2"/>
  <c r="AC806" i="2"/>
  <c r="AB806" i="2"/>
  <c r="Y806" i="2"/>
  <c r="X806" i="2"/>
  <c r="W806" i="2"/>
  <c r="V806" i="2"/>
  <c r="U806" i="2"/>
  <c r="T806" i="2"/>
  <c r="S806" i="2"/>
  <c r="R806" i="2"/>
  <c r="Q806" i="2"/>
  <c r="P806" i="2"/>
  <c r="O806" i="2"/>
  <c r="N806" i="2"/>
  <c r="M806" i="2"/>
  <c r="L806" i="2"/>
  <c r="K806" i="2"/>
  <c r="H806" i="2"/>
  <c r="G806" i="2"/>
  <c r="F806" i="2"/>
  <c r="E806" i="2"/>
  <c r="D806" i="2"/>
  <c r="C806" i="2"/>
  <c r="B806" i="2"/>
  <c r="A806" i="2"/>
  <c r="AH805" i="2"/>
  <c r="AG805" i="2"/>
  <c r="AF805" i="2"/>
  <c r="AE805" i="2"/>
  <c r="AD805" i="2"/>
  <c r="AC805" i="2"/>
  <c r="AB805" i="2"/>
  <c r="Z805" i="2"/>
  <c r="Y805" i="2"/>
  <c r="X805" i="2"/>
  <c r="W805" i="2"/>
  <c r="V805" i="2"/>
  <c r="U805" i="2"/>
  <c r="T805" i="2"/>
  <c r="S805" i="2"/>
  <c r="R805" i="2"/>
  <c r="Q805" i="2"/>
  <c r="P805" i="2"/>
  <c r="O805" i="2"/>
  <c r="N805" i="2"/>
  <c r="M805" i="2"/>
  <c r="L805" i="2"/>
  <c r="K805" i="2"/>
  <c r="H805" i="2"/>
  <c r="G805" i="2"/>
  <c r="F805" i="2"/>
  <c r="E805" i="2"/>
  <c r="D805" i="2"/>
  <c r="C805" i="2"/>
  <c r="B805" i="2"/>
  <c r="A805" i="2"/>
  <c r="AH804" i="2"/>
  <c r="AG804" i="2"/>
  <c r="AF804" i="2"/>
  <c r="AE804" i="2"/>
  <c r="AD804" i="2"/>
  <c r="AC804" i="2"/>
  <c r="AB804" i="2"/>
  <c r="Z804" i="2"/>
  <c r="Y804" i="2"/>
  <c r="X804" i="2"/>
  <c r="W804" i="2"/>
  <c r="V804" i="2"/>
  <c r="U804" i="2"/>
  <c r="T804" i="2"/>
  <c r="S804" i="2"/>
  <c r="R804" i="2"/>
  <c r="Q804" i="2"/>
  <c r="P804" i="2"/>
  <c r="O804" i="2"/>
  <c r="N804" i="2"/>
  <c r="M804" i="2"/>
  <c r="L804" i="2"/>
  <c r="K804" i="2"/>
  <c r="H804" i="2"/>
  <c r="G804" i="2"/>
  <c r="F804" i="2"/>
  <c r="E804" i="2"/>
  <c r="D804" i="2"/>
  <c r="C804" i="2"/>
  <c r="B804" i="2"/>
  <c r="A804" i="2"/>
  <c r="AH803" i="2"/>
  <c r="AG803" i="2"/>
  <c r="AF803" i="2"/>
  <c r="AE803" i="2"/>
  <c r="AD803" i="2"/>
  <c r="AC803" i="2"/>
  <c r="AB803" i="2"/>
  <c r="Z803" i="2"/>
  <c r="Y803" i="2"/>
  <c r="X803" i="2"/>
  <c r="W803" i="2"/>
  <c r="V803" i="2"/>
  <c r="U803" i="2"/>
  <c r="T803" i="2"/>
  <c r="S803" i="2"/>
  <c r="R803" i="2"/>
  <c r="Q803" i="2"/>
  <c r="P803" i="2"/>
  <c r="O803" i="2"/>
  <c r="N803" i="2"/>
  <c r="M803" i="2"/>
  <c r="L803" i="2"/>
  <c r="K803" i="2"/>
  <c r="J803" i="2"/>
  <c r="I803" i="2"/>
  <c r="H803" i="2"/>
  <c r="G803" i="2"/>
  <c r="F803" i="2"/>
  <c r="E803" i="2"/>
  <c r="D803" i="2"/>
  <c r="C803" i="2"/>
  <c r="B803" i="2"/>
  <c r="A803" i="2"/>
  <c r="AH802" i="2"/>
  <c r="AG802" i="2"/>
  <c r="AF802" i="2"/>
  <c r="AE802" i="2"/>
  <c r="AD802" i="2"/>
  <c r="AC802" i="2"/>
  <c r="AB802" i="2"/>
  <c r="Y802" i="2"/>
  <c r="X802" i="2"/>
  <c r="W802" i="2"/>
  <c r="V802" i="2"/>
  <c r="U802" i="2"/>
  <c r="T802" i="2"/>
  <c r="S802" i="2"/>
  <c r="R802" i="2"/>
  <c r="Q802" i="2"/>
  <c r="P802" i="2"/>
  <c r="O802" i="2"/>
  <c r="N802" i="2"/>
  <c r="M802" i="2"/>
  <c r="L802" i="2"/>
  <c r="K802" i="2"/>
  <c r="H802" i="2"/>
  <c r="G802" i="2"/>
  <c r="F802" i="2"/>
  <c r="E802" i="2"/>
  <c r="D802" i="2"/>
  <c r="C802" i="2"/>
  <c r="B802" i="2"/>
  <c r="A802" i="2"/>
  <c r="AH801" i="2"/>
  <c r="AG801" i="2"/>
  <c r="AF801" i="2"/>
  <c r="AE801" i="2"/>
  <c r="AD801" i="2"/>
  <c r="AC801" i="2"/>
  <c r="AB801" i="2"/>
  <c r="Y801" i="2"/>
  <c r="X801" i="2"/>
  <c r="W801" i="2"/>
  <c r="V801" i="2"/>
  <c r="U801" i="2"/>
  <c r="T801" i="2"/>
  <c r="S801" i="2"/>
  <c r="R801" i="2"/>
  <c r="Q801" i="2"/>
  <c r="P801" i="2"/>
  <c r="O801" i="2"/>
  <c r="N801" i="2"/>
  <c r="M801" i="2"/>
  <c r="L801" i="2"/>
  <c r="K801" i="2"/>
  <c r="J801" i="2"/>
  <c r="I801" i="2"/>
  <c r="H801" i="2"/>
  <c r="G801" i="2"/>
  <c r="F801" i="2"/>
  <c r="E801" i="2"/>
  <c r="D801" i="2"/>
  <c r="C801" i="2"/>
  <c r="B801" i="2"/>
  <c r="A801" i="2"/>
  <c r="AH800" i="2"/>
  <c r="AG800" i="2"/>
  <c r="AF800" i="2"/>
  <c r="AE800" i="2"/>
  <c r="AD800" i="2"/>
  <c r="AC800" i="2"/>
  <c r="AB800" i="2"/>
  <c r="AA800" i="2"/>
  <c r="Z800" i="2"/>
  <c r="Y800" i="2"/>
  <c r="X800" i="2"/>
  <c r="W800" i="2"/>
  <c r="V800" i="2"/>
  <c r="U800" i="2"/>
  <c r="T800" i="2"/>
  <c r="S800" i="2"/>
  <c r="R800" i="2"/>
  <c r="Q800" i="2"/>
  <c r="P800" i="2"/>
  <c r="O800" i="2"/>
  <c r="N800" i="2"/>
  <c r="M800" i="2"/>
  <c r="L800" i="2"/>
  <c r="K800" i="2"/>
  <c r="H800" i="2"/>
  <c r="G800" i="2"/>
  <c r="F800" i="2"/>
  <c r="E800" i="2"/>
  <c r="D800" i="2"/>
  <c r="C800" i="2"/>
  <c r="B800" i="2"/>
  <c r="A800" i="2"/>
  <c r="AH799" i="2"/>
  <c r="AG799" i="2"/>
  <c r="AF799" i="2"/>
  <c r="AE799" i="2"/>
  <c r="AD799" i="2"/>
  <c r="AC799" i="2"/>
  <c r="AB799" i="2"/>
  <c r="Z799" i="2"/>
  <c r="Y799" i="2"/>
  <c r="X799" i="2"/>
  <c r="W799" i="2"/>
  <c r="V799" i="2"/>
  <c r="U799" i="2"/>
  <c r="S799" i="2"/>
  <c r="R799" i="2"/>
  <c r="Q799" i="2"/>
  <c r="P799" i="2"/>
  <c r="O799" i="2"/>
  <c r="N799" i="2"/>
  <c r="M799" i="2"/>
  <c r="L799" i="2"/>
  <c r="K799" i="2"/>
  <c r="H799" i="2"/>
  <c r="G799" i="2"/>
  <c r="F799" i="2"/>
  <c r="E799" i="2"/>
  <c r="D799" i="2"/>
  <c r="C799" i="2"/>
  <c r="B799" i="2"/>
  <c r="A799" i="2"/>
  <c r="AH798" i="2"/>
  <c r="AG798" i="2"/>
  <c r="AF798" i="2"/>
  <c r="AE798" i="2"/>
  <c r="AD798" i="2"/>
  <c r="AC798" i="2"/>
  <c r="AB798" i="2"/>
  <c r="AA798" i="2"/>
  <c r="Z798" i="2"/>
  <c r="Y798" i="2"/>
  <c r="X798" i="2"/>
  <c r="W798" i="2"/>
  <c r="V798" i="2"/>
  <c r="U798" i="2"/>
  <c r="S798" i="2"/>
  <c r="R798" i="2"/>
  <c r="Q798" i="2"/>
  <c r="P798" i="2"/>
  <c r="O798" i="2"/>
  <c r="N798" i="2"/>
  <c r="M798" i="2"/>
  <c r="L798" i="2"/>
  <c r="K798" i="2"/>
  <c r="H798" i="2"/>
  <c r="G798" i="2"/>
  <c r="F798" i="2"/>
  <c r="E798" i="2"/>
  <c r="D798" i="2"/>
  <c r="C798" i="2"/>
  <c r="B798" i="2"/>
  <c r="A798" i="2"/>
  <c r="AH797" i="2"/>
  <c r="AG797" i="2"/>
  <c r="AF797" i="2"/>
  <c r="AE797" i="2"/>
  <c r="AD797" i="2"/>
  <c r="AC797" i="2"/>
  <c r="AB797" i="2"/>
  <c r="Y797" i="2"/>
  <c r="X797" i="2"/>
  <c r="W797" i="2"/>
  <c r="V797" i="2"/>
  <c r="U797" i="2"/>
  <c r="T797" i="2"/>
  <c r="S797" i="2"/>
  <c r="R797" i="2"/>
  <c r="Q797" i="2"/>
  <c r="P797" i="2"/>
  <c r="O797" i="2"/>
  <c r="N797" i="2"/>
  <c r="M797" i="2"/>
  <c r="L797" i="2"/>
  <c r="K797" i="2"/>
  <c r="H797" i="2"/>
  <c r="G797" i="2"/>
  <c r="F797" i="2"/>
  <c r="E797" i="2"/>
  <c r="D797" i="2"/>
  <c r="C797" i="2"/>
  <c r="B797" i="2"/>
  <c r="A797" i="2"/>
  <c r="AH796" i="2"/>
  <c r="AG796" i="2"/>
  <c r="AF796" i="2"/>
  <c r="AE796" i="2"/>
  <c r="AD796" i="2"/>
  <c r="AC796" i="2"/>
  <c r="AB796" i="2"/>
  <c r="AA796" i="2"/>
  <c r="Z796" i="2"/>
  <c r="Y796" i="2"/>
  <c r="X796" i="2"/>
  <c r="W796" i="2"/>
  <c r="V796" i="2"/>
  <c r="U796" i="2"/>
  <c r="T796" i="2"/>
  <c r="S796" i="2"/>
  <c r="R796" i="2"/>
  <c r="Q796" i="2"/>
  <c r="P796" i="2"/>
  <c r="O796" i="2"/>
  <c r="N796" i="2"/>
  <c r="M796" i="2"/>
  <c r="L796" i="2"/>
  <c r="K796" i="2"/>
  <c r="H796" i="2"/>
  <c r="G796" i="2"/>
  <c r="F796" i="2"/>
  <c r="E796" i="2"/>
  <c r="D796" i="2"/>
  <c r="C796" i="2"/>
  <c r="B796" i="2"/>
  <c r="A796" i="2"/>
  <c r="AH795" i="2"/>
  <c r="AG795" i="2"/>
  <c r="AF795" i="2"/>
  <c r="AE795" i="2"/>
  <c r="AD795" i="2"/>
  <c r="AC795" i="2"/>
  <c r="AB795" i="2"/>
  <c r="AA795" i="2"/>
  <c r="Z795" i="2"/>
  <c r="Y795" i="2"/>
  <c r="X795" i="2"/>
  <c r="W795" i="2"/>
  <c r="V795" i="2"/>
  <c r="T795" i="2"/>
  <c r="S795" i="2"/>
  <c r="R795" i="2"/>
  <c r="Q795" i="2"/>
  <c r="P795" i="2"/>
  <c r="O795" i="2"/>
  <c r="N795" i="2"/>
  <c r="M795" i="2"/>
  <c r="L795" i="2"/>
  <c r="K795" i="2"/>
  <c r="H795" i="2"/>
  <c r="G795" i="2"/>
  <c r="F795" i="2"/>
  <c r="E795" i="2"/>
  <c r="D795" i="2"/>
  <c r="C795" i="2"/>
  <c r="B795" i="2"/>
  <c r="A795" i="2"/>
  <c r="AH794" i="2"/>
  <c r="AF794" i="2"/>
  <c r="AE794" i="2"/>
  <c r="AD794" i="2"/>
  <c r="AC794" i="2"/>
  <c r="AB794" i="2"/>
  <c r="Y794" i="2"/>
  <c r="X794" i="2"/>
  <c r="W794" i="2"/>
  <c r="V794" i="2"/>
  <c r="U794" i="2"/>
  <c r="T794" i="2"/>
  <c r="S794" i="2"/>
  <c r="R794" i="2"/>
  <c r="Q794" i="2"/>
  <c r="P794" i="2"/>
  <c r="O794" i="2"/>
  <c r="N794" i="2"/>
  <c r="M794" i="2"/>
  <c r="L794" i="2"/>
  <c r="K794" i="2"/>
  <c r="H794" i="2"/>
  <c r="G794" i="2"/>
  <c r="F794" i="2"/>
  <c r="E794" i="2"/>
  <c r="D794" i="2"/>
  <c r="C794" i="2"/>
  <c r="B794" i="2"/>
  <c r="A794" i="2"/>
  <c r="AH793" i="2"/>
  <c r="AG793" i="2"/>
  <c r="AF793" i="2"/>
  <c r="AE793" i="2"/>
  <c r="AD793" i="2"/>
  <c r="AC793" i="2"/>
  <c r="AB793" i="2"/>
  <c r="Z793" i="2"/>
  <c r="Y793" i="2"/>
  <c r="X793" i="2"/>
  <c r="W793" i="2"/>
  <c r="V793" i="2"/>
  <c r="U793" i="2"/>
  <c r="S793" i="2"/>
  <c r="R793" i="2"/>
  <c r="Q793" i="2"/>
  <c r="P793" i="2"/>
  <c r="N793" i="2"/>
  <c r="M793" i="2"/>
  <c r="L793" i="2"/>
  <c r="K793" i="2"/>
  <c r="H793" i="2"/>
  <c r="G793" i="2"/>
  <c r="F793" i="2"/>
  <c r="E793" i="2"/>
  <c r="D793" i="2"/>
  <c r="C793" i="2"/>
  <c r="B793" i="2"/>
  <c r="A793" i="2"/>
  <c r="AH792" i="2"/>
  <c r="AG792" i="2"/>
  <c r="AF792" i="2"/>
  <c r="AD792" i="2"/>
  <c r="AC792" i="2"/>
  <c r="AB792" i="2"/>
  <c r="Z792" i="2"/>
  <c r="Y792" i="2"/>
  <c r="X792" i="2"/>
  <c r="W792" i="2"/>
  <c r="V792" i="2"/>
  <c r="U792" i="2"/>
  <c r="T792" i="2"/>
  <c r="S792" i="2"/>
  <c r="R792" i="2"/>
  <c r="Q792" i="2"/>
  <c r="P792" i="2"/>
  <c r="O792" i="2"/>
  <c r="N792" i="2"/>
  <c r="M792" i="2"/>
  <c r="L792" i="2"/>
  <c r="K792" i="2"/>
  <c r="J792" i="2"/>
  <c r="I792" i="2"/>
  <c r="H792" i="2"/>
  <c r="G792" i="2"/>
  <c r="F792" i="2"/>
  <c r="E792" i="2"/>
  <c r="D792" i="2"/>
  <c r="C792" i="2"/>
  <c r="B792" i="2"/>
  <c r="A792" i="2"/>
  <c r="AH791" i="2"/>
  <c r="AG791" i="2"/>
  <c r="AF791" i="2"/>
  <c r="AE791" i="2"/>
  <c r="AD791" i="2"/>
  <c r="AC791" i="2"/>
  <c r="AB791" i="2"/>
  <c r="Z791" i="2"/>
  <c r="Y791" i="2"/>
  <c r="X791" i="2"/>
  <c r="W791" i="2"/>
  <c r="V791" i="2"/>
  <c r="U791" i="2"/>
  <c r="T791" i="2"/>
  <c r="S791" i="2"/>
  <c r="R791" i="2"/>
  <c r="Q791" i="2"/>
  <c r="P791" i="2"/>
  <c r="O791" i="2"/>
  <c r="N791" i="2"/>
  <c r="M791" i="2"/>
  <c r="L791" i="2"/>
  <c r="K791" i="2"/>
  <c r="H791" i="2"/>
  <c r="G791" i="2"/>
  <c r="F791" i="2"/>
  <c r="E791" i="2"/>
  <c r="D791" i="2"/>
  <c r="C791" i="2"/>
  <c r="B791" i="2"/>
  <c r="A791" i="2"/>
  <c r="AH790" i="2"/>
  <c r="AG790" i="2"/>
  <c r="AF790" i="2"/>
  <c r="AE790" i="2"/>
  <c r="AD790" i="2"/>
  <c r="AC790" i="2"/>
  <c r="AB790" i="2"/>
  <c r="Y790" i="2"/>
  <c r="X790" i="2"/>
  <c r="W790" i="2"/>
  <c r="V790" i="2"/>
  <c r="U790" i="2"/>
  <c r="T790" i="2"/>
  <c r="S790" i="2"/>
  <c r="R790" i="2"/>
  <c r="Q790" i="2"/>
  <c r="P790" i="2"/>
  <c r="O790" i="2"/>
  <c r="N790" i="2"/>
  <c r="M790" i="2"/>
  <c r="L790" i="2"/>
  <c r="K790" i="2"/>
  <c r="J790" i="2"/>
  <c r="I790" i="2"/>
  <c r="H790" i="2"/>
  <c r="G790" i="2"/>
  <c r="F790" i="2"/>
  <c r="E790" i="2"/>
  <c r="D790" i="2"/>
  <c r="C790" i="2"/>
  <c r="B790" i="2"/>
  <c r="A790" i="2"/>
  <c r="AH789" i="2"/>
  <c r="AG789" i="2"/>
  <c r="AF789" i="2"/>
  <c r="AE789" i="2"/>
  <c r="AD789" i="2"/>
  <c r="AC789" i="2"/>
  <c r="AB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H788" i="2"/>
  <c r="AG788" i="2"/>
  <c r="AF788" i="2"/>
  <c r="AD788" i="2"/>
  <c r="AC788" i="2"/>
  <c r="AB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H787" i="2"/>
  <c r="AG787" i="2"/>
  <c r="AF787" i="2"/>
  <c r="AD787" i="2"/>
  <c r="AC787" i="2"/>
  <c r="AB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H786" i="2"/>
  <c r="AG786" i="2"/>
  <c r="AF786" i="2"/>
  <c r="AE786" i="2"/>
  <c r="AD786" i="2"/>
  <c r="AC786" i="2"/>
  <c r="AB786" i="2"/>
  <c r="AA786" i="2"/>
  <c r="Z786" i="2"/>
  <c r="X786" i="2"/>
  <c r="W786" i="2"/>
  <c r="V786" i="2"/>
  <c r="U786" i="2"/>
  <c r="T786" i="2"/>
  <c r="S786" i="2"/>
  <c r="R786" i="2"/>
  <c r="Q786" i="2"/>
  <c r="P786" i="2"/>
  <c r="O786" i="2"/>
  <c r="N786" i="2"/>
  <c r="M786" i="2"/>
  <c r="L786" i="2"/>
  <c r="K786" i="2"/>
  <c r="H786" i="2"/>
  <c r="G786" i="2"/>
  <c r="F786" i="2"/>
  <c r="E786" i="2"/>
  <c r="D786" i="2"/>
  <c r="C786" i="2"/>
  <c r="B786" i="2"/>
  <c r="A786" i="2"/>
  <c r="AH785" i="2"/>
  <c r="AG785" i="2"/>
  <c r="AF785" i="2"/>
  <c r="AD785" i="2"/>
  <c r="AC785" i="2"/>
  <c r="AB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H784" i="2"/>
  <c r="AG784" i="2"/>
  <c r="AF784" i="2"/>
  <c r="AE784" i="2"/>
  <c r="AD784" i="2"/>
  <c r="AC784" i="2"/>
  <c r="AB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H783" i="2"/>
  <c r="AG783" i="2"/>
  <c r="AF783" i="2"/>
  <c r="AD783" i="2"/>
  <c r="AC783" i="2"/>
  <c r="AB783" i="2"/>
  <c r="Y783" i="2"/>
  <c r="X783" i="2"/>
  <c r="W783" i="2"/>
  <c r="V783" i="2"/>
  <c r="U783" i="2"/>
  <c r="S783" i="2"/>
  <c r="R783" i="2"/>
  <c r="Q783" i="2"/>
  <c r="P783" i="2"/>
  <c r="O783" i="2"/>
  <c r="N783" i="2"/>
  <c r="M783" i="2"/>
  <c r="L783" i="2"/>
  <c r="K783" i="2"/>
  <c r="J783" i="2"/>
  <c r="I783" i="2"/>
  <c r="H783" i="2"/>
  <c r="G783" i="2"/>
  <c r="F783" i="2"/>
  <c r="E783" i="2"/>
  <c r="D783" i="2"/>
  <c r="C783" i="2"/>
  <c r="B783" i="2"/>
  <c r="A783" i="2"/>
  <c r="AH782" i="2"/>
  <c r="AG782" i="2"/>
  <c r="AF782" i="2"/>
  <c r="AE782" i="2"/>
  <c r="AD782" i="2"/>
  <c r="AC782" i="2"/>
  <c r="AB782" i="2"/>
  <c r="Z782" i="2"/>
  <c r="Y782" i="2"/>
  <c r="X782" i="2"/>
  <c r="W782" i="2"/>
  <c r="V782" i="2"/>
  <c r="U782" i="2"/>
  <c r="T782" i="2"/>
  <c r="S782" i="2"/>
  <c r="R782" i="2"/>
  <c r="Q782" i="2"/>
  <c r="P782" i="2"/>
  <c r="O782" i="2"/>
  <c r="N782" i="2"/>
  <c r="M782" i="2"/>
  <c r="L782" i="2"/>
  <c r="K782" i="2"/>
  <c r="H782" i="2"/>
  <c r="G782" i="2"/>
  <c r="F782" i="2"/>
  <c r="E782" i="2"/>
  <c r="D782" i="2"/>
  <c r="C782" i="2"/>
  <c r="B782" i="2"/>
  <c r="A782" i="2"/>
  <c r="AH781" i="2"/>
  <c r="AD781" i="2"/>
  <c r="AC781" i="2"/>
  <c r="AB781" i="2"/>
  <c r="Z781" i="2"/>
  <c r="X781" i="2"/>
  <c r="W781" i="2"/>
  <c r="V781" i="2"/>
  <c r="U781" i="2"/>
  <c r="T781" i="2"/>
  <c r="S781" i="2"/>
  <c r="R781" i="2"/>
  <c r="Q781" i="2"/>
  <c r="P781" i="2"/>
  <c r="O781" i="2"/>
  <c r="N781" i="2"/>
  <c r="M781" i="2"/>
  <c r="L781" i="2"/>
  <c r="K781" i="2"/>
  <c r="H781" i="2"/>
  <c r="G781" i="2"/>
  <c r="F781" i="2"/>
  <c r="E781" i="2"/>
  <c r="D781" i="2"/>
  <c r="C781" i="2"/>
  <c r="B781" i="2"/>
  <c r="A781" i="2"/>
  <c r="AH780" i="2"/>
  <c r="AG780" i="2"/>
  <c r="AF780" i="2"/>
  <c r="AD780" i="2"/>
  <c r="AC780" i="2"/>
  <c r="AB780" i="2"/>
  <c r="Y780" i="2"/>
  <c r="X780" i="2"/>
  <c r="W780" i="2"/>
  <c r="V780" i="2"/>
  <c r="U780" i="2"/>
  <c r="S780" i="2"/>
  <c r="R780" i="2"/>
  <c r="Q780" i="2"/>
  <c r="P780" i="2"/>
  <c r="O780" i="2"/>
  <c r="N780" i="2"/>
  <c r="M780" i="2"/>
  <c r="L780" i="2"/>
  <c r="K780" i="2"/>
  <c r="J780" i="2"/>
  <c r="I780" i="2"/>
  <c r="H780" i="2"/>
  <c r="G780" i="2"/>
  <c r="F780" i="2"/>
  <c r="E780" i="2"/>
  <c r="D780" i="2"/>
  <c r="C780" i="2"/>
  <c r="B780" i="2"/>
  <c r="A780" i="2"/>
  <c r="AH779" i="2"/>
  <c r="AG779" i="2"/>
  <c r="AF779" i="2"/>
  <c r="AE779" i="2"/>
  <c r="AD779" i="2"/>
  <c r="AC779" i="2"/>
  <c r="AB779" i="2"/>
  <c r="Z779" i="2"/>
  <c r="Y779" i="2"/>
  <c r="X779" i="2"/>
  <c r="W779" i="2"/>
  <c r="V779" i="2"/>
  <c r="U779" i="2"/>
  <c r="T779" i="2"/>
  <c r="S779" i="2"/>
  <c r="R779" i="2"/>
  <c r="Q779" i="2"/>
  <c r="P779" i="2"/>
  <c r="O779" i="2"/>
  <c r="N779" i="2"/>
  <c r="M779" i="2"/>
  <c r="L779" i="2"/>
  <c r="K779" i="2"/>
  <c r="J779" i="2"/>
  <c r="I779" i="2"/>
  <c r="H779" i="2"/>
  <c r="G779" i="2"/>
  <c r="F779" i="2"/>
  <c r="E779" i="2"/>
  <c r="D779" i="2"/>
  <c r="C779" i="2"/>
  <c r="B779" i="2"/>
  <c r="A779" i="2"/>
  <c r="AH778" i="2"/>
  <c r="AG778" i="2"/>
  <c r="AF778" i="2"/>
  <c r="AE778" i="2"/>
  <c r="AD778" i="2"/>
  <c r="AC778" i="2"/>
  <c r="AB778" i="2"/>
  <c r="Z778" i="2"/>
  <c r="Y778" i="2"/>
  <c r="X778" i="2"/>
  <c r="W778" i="2"/>
  <c r="V778" i="2"/>
  <c r="U778" i="2"/>
  <c r="T778" i="2"/>
  <c r="S778" i="2"/>
  <c r="R778" i="2"/>
  <c r="Q778" i="2"/>
  <c r="P778" i="2"/>
  <c r="O778" i="2"/>
  <c r="N778" i="2"/>
  <c r="M778" i="2"/>
  <c r="L778" i="2"/>
  <c r="K778" i="2"/>
  <c r="H778" i="2"/>
  <c r="G778" i="2"/>
  <c r="F778" i="2"/>
  <c r="E778" i="2"/>
  <c r="D778" i="2"/>
  <c r="C778" i="2"/>
  <c r="B778" i="2"/>
  <c r="A778" i="2"/>
  <c r="AH777" i="2"/>
  <c r="AG777" i="2"/>
  <c r="AF777" i="2"/>
  <c r="AD777" i="2"/>
  <c r="AC777" i="2"/>
  <c r="AB777" i="2"/>
  <c r="Z777" i="2"/>
  <c r="Y777" i="2"/>
  <c r="X777" i="2"/>
  <c r="W777" i="2"/>
  <c r="V777" i="2"/>
  <c r="U777" i="2"/>
  <c r="S777" i="2"/>
  <c r="R777" i="2"/>
  <c r="Q777" i="2"/>
  <c r="P777" i="2"/>
  <c r="O777" i="2"/>
  <c r="N777" i="2"/>
  <c r="M777" i="2"/>
  <c r="L777" i="2"/>
  <c r="K777" i="2"/>
  <c r="H777" i="2"/>
  <c r="G777" i="2"/>
  <c r="F777" i="2"/>
  <c r="E777" i="2"/>
  <c r="D777" i="2"/>
  <c r="C777" i="2"/>
  <c r="B777" i="2"/>
  <c r="A777" i="2"/>
  <c r="AH776" i="2"/>
  <c r="AG776" i="2"/>
  <c r="AF776" i="2"/>
  <c r="AE776" i="2"/>
  <c r="AD776" i="2"/>
  <c r="AC776" i="2"/>
  <c r="AB776" i="2"/>
  <c r="AA776" i="2"/>
  <c r="Z776" i="2"/>
  <c r="Y776" i="2"/>
  <c r="X776" i="2"/>
  <c r="W776" i="2"/>
  <c r="V776" i="2"/>
  <c r="U776" i="2"/>
  <c r="S776" i="2"/>
  <c r="R776" i="2"/>
  <c r="Q776" i="2"/>
  <c r="P776" i="2"/>
  <c r="O776" i="2"/>
  <c r="N776" i="2"/>
  <c r="M776" i="2"/>
  <c r="L776" i="2"/>
  <c r="K776" i="2"/>
  <c r="H776" i="2"/>
  <c r="G776" i="2"/>
  <c r="F776" i="2"/>
  <c r="E776" i="2"/>
  <c r="D776" i="2"/>
  <c r="C776" i="2"/>
  <c r="B776" i="2"/>
  <c r="A776" i="2"/>
  <c r="AH775" i="2"/>
  <c r="AG775" i="2"/>
  <c r="AF775" i="2"/>
  <c r="AE775" i="2"/>
  <c r="AD775" i="2"/>
  <c r="AC775" i="2"/>
  <c r="AB775" i="2"/>
  <c r="Z775" i="2"/>
  <c r="Y775" i="2"/>
  <c r="X775" i="2"/>
  <c r="W775" i="2"/>
  <c r="V775" i="2"/>
  <c r="T775" i="2"/>
  <c r="S775" i="2"/>
  <c r="R775" i="2"/>
  <c r="Q775" i="2"/>
  <c r="P775" i="2"/>
  <c r="O775" i="2"/>
  <c r="N775" i="2"/>
  <c r="M775" i="2"/>
  <c r="L775" i="2"/>
  <c r="K775" i="2"/>
  <c r="J775" i="2"/>
  <c r="H775" i="2"/>
  <c r="G775" i="2"/>
  <c r="F775" i="2"/>
  <c r="E775" i="2"/>
  <c r="D775" i="2"/>
  <c r="C775" i="2"/>
  <c r="B775" i="2"/>
  <c r="A775" i="2"/>
  <c r="AH774" i="2"/>
  <c r="AG774" i="2"/>
  <c r="AF774" i="2"/>
  <c r="AE774" i="2"/>
  <c r="AD774" i="2"/>
  <c r="AC774" i="2"/>
  <c r="AB774" i="2"/>
  <c r="Z774" i="2"/>
  <c r="Y774" i="2"/>
  <c r="X774" i="2"/>
  <c r="W774" i="2"/>
  <c r="V774" i="2"/>
  <c r="U774" i="2"/>
  <c r="T774" i="2"/>
  <c r="S774" i="2"/>
  <c r="R774" i="2"/>
  <c r="Q774" i="2"/>
  <c r="P774" i="2"/>
  <c r="O774" i="2"/>
  <c r="N774" i="2"/>
  <c r="M774" i="2"/>
  <c r="L774" i="2"/>
  <c r="K774" i="2"/>
  <c r="H774" i="2"/>
  <c r="G774" i="2"/>
  <c r="F774" i="2"/>
  <c r="E774" i="2"/>
  <c r="D774" i="2"/>
  <c r="C774" i="2"/>
  <c r="B774" i="2"/>
  <c r="A774" i="2"/>
  <c r="AH773" i="2"/>
  <c r="AG773" i="2"/>
  <c r="AF773" i="2"/>
  <c r="AE773" i="2"/>
  <c r="AD773" i="2"/>
  <c r="AC773" i="2"/>
  <c r="AB773" i="2"/>
  <c r="Y773" i="2"/>
  <c r="X773" i="2"/>
  <c r="W773" i="2"/>
  <c r="V773" i="2"/>
  <c r="U773" i="2"/>
  <c r="T773" i="2"/>
  <c r="S773" i="2"/>
  <c r="R773" i="2"/>
  <c r="Q773" i="2"/>
  <c r="P773" i="2"/>
  <c r="O773" i="2"/>
  <c r="N773" i="2"/>
  <c r="M773" i="2"/>
  <c r="L773" i="2"/>
  <c r="K773" i="2"/>
  <c r="H773" i="2"/>
  <c r="G773" i="2"/>
  <c r="F773" i="2"/>
  <c r="E773" i="2"/>
  <c r="D773" i="2"/>
  <c r="C773" i="2"/>
  <c r="B773" i="2"/>
  <c r="A773" i="2"/>
  <c r="AH772" i="2"/>
  <c r="AG772" i="2"/>
  <c r="AF772" i="2"/>
  <c r="AE772" i="2"/>
  <c r="AD772" i="2"/>
  <c r="AC772" i="2"/>
  <c r="AB772" i="2"/>
  <c r="Z772" i="2"/>
  <c r="Y772" i="2"/>
  <c r="X772" i="2"/>
  <c r="W772" i="2"/>
  <c r="V772" i="2"/>
  <c r="U772" i="2"/>
  <c r="S772" i="2"/>
  <c r="R772" i="2"/>
  <c r="Q772" i="2"/>
  <c r="P772" i="2"/>
  <c r="O772" i="2"/>
  <c r="N772" i="2"/>
  <c r="M772" i="2"/>
  <c r="L772" i="2"/>
  <c r="K772" i="2"/>
  <c r="H772" i="2"/>
  <c r="G772" i="2"/>
  <c r="F772" i="2"/>
  <c r="E772" i="2"/>
  <c r="D772" i="2"/>
  <c r="C772" i="2"/>
  <c r="B772" i="2"/>
  <c r="A772" i="2"/>
  <c r="AH771" i="2"/>
  <c r="AG771" i="2"/>
  <c r="AF771" i="2"/>
  <c r="AE771" i="2"/>
  <c r="AD771" i="2"/>
  <c r="AC771" i="2"/>
  <c r="AB771" i="2"/>
  <c r="Z771" i="2"/>
  <c r="Y771" i="2"/>
  <c r="X771" i="2"/>
  <c r="W771" i="2"/>
  <c r="V771" i="2"/>
  <c r="U771" i="2"/>
  <c r="T771" i="2"/>
  <c r="S771" i="2"/>
  <c r="R771" i="2"/>
  <c r="Q771" i="2"/>
  <c r="P771" i="2"/>
  <c r="O771" i="2"/>
  <c r="N771" i="2"/>
  <c r="M771" i="2"/>
  <c r="L771" i="2"/>
  <c r="K771" i="2"/>
  <c r="H771" i="2"/>
  <c r="G771" i="2"/>
  <c r="F771" i="2"/>
  <c r="E771" i="2"/>
  <c r="D771" i="2"/>
  <c r="C771" i="2"/>
  <c r="B771" i="2"/>
  <c r="A771" i="2"/>
  <c r="AH770" i="2"/>
  <c r="AG770" i="2"/>
  <c r="AF770" i="2"/>
  <c r="AE770" i="2"/>
  <c r="AD770" i="2"/>
  <c r="AC770" i="2"/>
  <c r="AB770" i="2"/>
  <c r="Z770" i="2"/>
  <c r="Y770" i="2"/>
  <c r="X770" i="2"/>
  <c r="W770" i="2"/>
  <c r="V770" i="2"/>
  <c r="U770" i="2"/>
  <c r="T770" i="2"/>
  <c r="S770" i="2"/>
  <c r="R770" i="2"/>
  <c r="Q770" i="2"/>
  <c r="P770" i="2"/>
  <c r="O770" i="2"/>
  <c r="N770" i="2"/>
  <c r="M770" i="2"/>
  <c r="L770" i="2"/>
  <c r="K770" i="2"/>
  <c r="J770" i="2"/>
  <c r="H770" i="2"/>
  <c r="G770" i="2"/>
  <c r="F770" i="2"/>
  <c r="E770" i="2"/>
  <c r="D770" i="2"/>
  <c r="C770" i="2"/>
  <c r="B770" i="2"/>
  <c r="A770" i="2"/>
  <c r="AH769" i="2"/>
  <c r="AG769" i="2"/>
  <c r="AF769" i="2"/>
  <c r="AE769" i="2"/>
  <c r="AD769" i="2"/>
  <c r="AC769" i="2"/>
  <c r="AB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H768" i="2"/>
  <c r="AG768" i="2"/>
  <c r="AF768" i="2"/>
  <c r="AE768" i="2"/>
  <c r="AD768" i="2"/>
  <c r="AC768" i="2"/>
  <c r="AB768" i="2"/>
  <c r="Y768" i="2"/>
  <c r="X768" i="2"/>
  <c r="W768" i="2"/>
  <c r="V768" i="2"/>
  <c r="U768" i="2"/>
  <c r="T768" i="2"/>
  <c r="S768" i="2"/>
  <c r="R768" i="2"/>
  <c r="Q768" i="2"/>
  <c r="P768" i="2"/>
  <c r="O768" i="2"/>
  <c r="N768" i="2"/>
  <c r="M768" i="2"/>
  <c r="L768" i="2"/>
  <c r="K768" i="2"/>
  <c r="H768" i="2"/>
  <c r="G768" i="2"/>
  <c r="F768" i="2"/>
  <c r="E768" i="2"/>
  <c r="D768" i="2"/>
  <c r="C768" i="2"/>
  <c r="B768" i="2"/>
  <c r="A768" i="2"/>
  <c r="AH767" i="2"/>
  <c r="AG767" i="2"/>
  <c r="AF767" i="2"/>
  <c r="AE767" i="2"/>
  <c r="AD767" i="2"/>
  <c r="AC767" i="2"/>
  <c r="AB767" i="2"/>
  <c r="Z767" i="2"/>
  <c r="Y767" i="2"/>
  <c r="X767" i="2"/>
  <c r="W767" i="2"/>
  <c r="V767" i="2"/>
  <c r="U767" i="2"/>
  <c r="T767" i="2"/>
  <c r="S767" i="2"/>
  <c r="R767" i="2"/>
  <c r="Q767" i="2"/>
  <c r="P767" i="2"/>
  <c r="O767" i="2"/>
  <c r="N767" i="2"/>
  <c r="M767" i="2"/>
  <c r="L767" i="2"/>
  <c r="K767" i="2"/>
  <c r="J767" i="2"/>
  <c r="I767" i="2"/>
  <c r="H767" i="2"/>
  <c r="G767" i="2"/>
  <c r="F767" i="2"/>
  <c r="E767" i="2"/>
  <c r="D767" i="2"/>
  <c r="C767" i="2"/>
  <c r="B767" i="2"/>
  <c r="A767" i="2"/>
  <c r="AH766" i="2"/>
  <c r="AG766" i="2"/>
  <c r="AF766" i="2"/>
  <c r="AD766" i="2"/>
  <c r="AC766" i="2"/>
  <c r="AB766" i="2"/>
  <c r="Y766" i="2"/>
  <c r="X766" i="2"/>
  <c r="W766" i="2"/>
  <c r="V766" i="2"/>
  <c r="T766" i="2"/>
  <c r="S766" i="2"/>
  <c r="R766" i="2"/>
  <c r="Q766" i="2"/>
  <c r="P766" i="2"/>
  <c r="O766" i="2"/>
  <c r="N766" i="2"/>
  <c r="M766" i="2"/>
  <c r="L766" i="2"/>
  <c r="K766" i="2"/>
  <c r="J766" i="2"/>
  <c r="I766" i="2"/>
  <c r="H766" i="2"/>
  <c r="G766" i="2"/>
  <c r="F766" i="2"/>
  <c r="E766" i="2"/>
  <c r="D766" i="2"/>
  <c r="C766" i="2"/>
  <c r="B766" i="2"/>
  <c r="A766" i="2"/>
  <c r="AH765" i="2"/>
  <c r="AG765" i="2"/>
  <c r="AF765" i="2"/>
  <c r="AE765" i="2"/>
  <c r="AD765" i="2"/>
  <c r="AC765" i="2"/>
  <c r="AB765" i="2"/>
  <c r="Z765" i="2"/>
  <c r="X765" i="2"/>
  <c r="W765" i="2"/>
  <c r="V765" i="2"/>
  <c r="U765" i="2"/>
  <c r="T765" i="2"/>
  <c r="S765" i="2"/>
  <c r="R765" i="2"/>
  <c r="Q765" i="2"/>
  <c r="P765" i="2"/>
  <c r="O765" i="2"/>
  <c r="N765" i="2"/>
  <c r="M765" i="2"/>
  <c r="L765" i="2"/>
  <c r="K765" i="2"/>
  <c r="H765" i="2"/>
  <c r="G765" i="2"/>
  <c r="F765" i="2"/>
  <c r="E765" i="2"/>
  <c r="D765" i="2"/>
  <c r="C765" i="2"/>
  <c r="B765" i="2"/>
  <c r="A765" i="2"/>
  <c r="AH764" i="2"/>
  <c r="AG764" i="2"/>
  <c r="AF764" i="2"/>
  <c r="AE764" i="2"/>
  <c r="AD764" i="2"/>
  <c r="AC764" i="2"/>
  <c r="AB764" i="2"/>
  <c r="Y764" i="2"/>
  <c r="X764" i="2"/>
  <c r="W764" i="2"/>
  <c r="V764" i="2"/>
  <c r="T764" i="2"/>
  <c r="S764" i="2"/>
  <c r="R764" i="2"/>
  <c r="Q764" i="2"/>
  <c r="P764" i="2"/>
  <c r="O764" i="2"/>
  <c r="N764" i="2"/>
  <c r="M764" i="2"/>
  <c r="L764" i="2"/>
  <c r="K764" i="2"/>
  <c r="J764" i="2"/>
  <c r="H764" i="2"/>
  <c r="G764" i="2"/>
  <c r="F764" i="2"/>
  <c r="E764" i="2"/>
  <c r="D764" i="2"/>
  <c r="C764" i="2"/>
  <c r="B764" i="2"/>
  <c r="A764" i="2"/>
  <c r="AH763" i="2"/>
  <c r="AG763" i="2"/>
  <c r="AF763" i="2"/>
  <c r="AE763" i="2"/>
  <c r="AD763" i="2"/>
  <c r="AC763" i="2"/>
  <c r="AB763" i="2"/>
  <c r="Y763" i="2"/>
  <c r="X763" i="2"/>
  <c r="W763" i="2"/>
  <c r="V763" i="2"/>
  <c r="U763" i="2"/>
  <c r="T763" i="2"/>
  <c r="S763" i="2"/>
  <c r="R763" i="2"/>
  <c r="Q763" i="2"/>
  <c r="P763" i="2"/>
  <c r="O763" i="2"/>
  <c r="N763" i="2"/>
  <c r="M763" i="2"/>
  <c r="L763" i="2"/>
  <c r="K763" i="2"/>
  <c r="H763" i="2"/>
  <c r="G763" i="2"/>
  <c r="F763" i="2"/>
  <c r="E763" i="2"/>
  <c r="D763" i="2"/>
  <c r="C763" i="2"/>
  <c r="B763" i="2"/>
  <c r="A763" i="2"/>
  <c r="AH762" i="2"/>
  <c r="AF762" i="2"/>
  <c r="AE762" i="2"/>
  <c r="AD762" i="2"/>
  <c r="AC762" i="2"/>
  <c r="AB762" i="2"/>
  <c r="Z762" i="2"/>
  <c r="Y762" i="2"/>
  <c r="X762" i="2"/>
  <c r="W762" i="2"/>
  <c r="V762" i="2"/>
  <c r="U762" i="2"/>
  <c r="T762" i="2"/>
  <c r="S762" i="2"/>
  <c r="R762" i="2"/>
  <c r="Q762" i="2"/>
  <c r="P762" i="2"/>
  <c r="O762" i="2"/>
  <c r="N762" i="2"/>
  <c r="M762" i="2"/>
  <c r="L762" i="2"/>
  <c r="K762" i="2"/>
  <c r="H762" i="2"/>
  <c r="G762" i="2"/>
  <c r="F762" i="2"/>
  <c r="E762" i="2"/>
  <c r="D762" i="2"/>
  <c r="C762" i="2"/>
  <c r="B762" i="2"/>
  <c r="A762" i="2"/>
  <c r="AH761" i="2"/>
  <c r="AG761" i="2"/>
  <c r="AF761" i="2"/>
  <c r="AE761" i="2"/>
  <c r="AD761" i="2"/>
  <c r="AC761" i="2"/>
  <c r="AB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H760" i="2"/>
  <c r="AG760" i="2"/>
  <c r="AF760" i="2"/>
  <c r="AE760" i="2"/>
  <c r="AD760" i="2"/>
  <c r="AC760" i="2"/>
  <c r="AB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H759" i="2"/>
  <c r="AG759" i="2"/>
  <c r="AF759" i="2"/>
  <c r="AE759" i="2"/>
  <c r="AD759" i="2"/>
  <c r="AC759" i="2"/>
  <c r="AB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H758" i="2"/>
  <c r="AG758" i="2"/>
  <c r="AD758" i="2"/>
  <c r="AC758" i="2"/>
  <c r="AB758" i="2"/>
  <c r="X758" i="2"/>
  <c r="W758" i="2"/>
  <c r="V758" i="2"/>
  <c r="U758" i="2"/>
  <c r="T758" i="2"/>
  <c r="S758" i="2"/>
  <c r="R758" i="2"/>
  <c r="Q758" i="2"/>
  <c r="P758" i="2"/>
  <c r="O758" i="2"/>
  <c r="N758" i="2"/>
  <c r="M758" i="2"/>
  <c r="L758" i="2"/>
  <c r="K758" i="2"/>
  <c r="H758" i="2"/>
  <c r="G758" i="2"/>
  <c r="F758" i="2"/>
  <c r="E758" i="2"/>
  <c r="D758" i="2"/>
  <c r="C758" i="2"/>
  <c r="B758" i="2"/>
  <c r="A758" i="2"/>
  <c r="AH757" i="2"/>
  <c r="AG757" i="2"/>
  <c r="AF757" i="2"/>
  <c r="AE757" i="2"/>
  <c r="AD757" i="2"/>
  <c r="AC757" i="2"/>
  <c r="AB757" i="2"/>
  <c r="Z757" i="2"/>
  <c r="Y757" i="2"/>
  <c r="X757" i="2"/>
  <c r="W757" i="2"/>
  <c r="V757" i="2"/>
  <c r="U757" i="2"/>
  <c r="S757" i="2"/>
  <c r="R757" i="2"/>
  <c r="Q757" i="2"/>
  <c r="P757" i="2"/>
  <c r="O757" i="2"/>
  <c r="N757" i="2"/>
  <c r="M757" i="2"/>
  <c r="L757" i="2"/>
  <c r="K757" i="2"/>
  <c r="H757" i="2"/>
  <c r="G757" i="2"/>
  <c r="F757" i="2"/>
  <c r="E757" i="2"/>
  <c r="D757" i="2"/>
  <c r="C757" i="2"/>
  <c r="B757" i="2"/>
  <c r="A757" i="2"/>
  <c r="AH756" i="2"/>
  <c r="AG756" i="2"/>
  <c r="AF756" i="2"/>
  <c r="AE756" i="2"/>
  <c r="AD756" i="2"/>
  <c r="AC756" i="2"/>
  <c r="AB756" i="2"/>
  <c r="Z756" i="2"/>
  <c r="Y756" i="2"/>
  <c r="X756" i="2"/>
  <c r="W756" i="2"/>
  <c r="V756" i="2"/>
  <c r="U756" i="2"/>
  <c r="T756" i="2"/>
  <c r="S756" i="2"/>
  <c r="R756" i="2"/>
  <c r="Q756" i="2"/>
  <c r="P756" i="2"/>
  <c r="O756" i="2"/>
  <c r="N756" i="2"/>
  <c r="M756" i="2"/>
  <c r="L756" i="2"/>
  <c r="K756" i="2"/>
  <c r="H756" i="2"/>
  <c r="G756" i="2"/>
  <c r="F756" i="2"/>
  <c r="E756" i="2"/>
  <c r="D756" i="2"/>
  <c r="C756" i="2"/>
  <c r="B756" i="2"/>
  <c r="A756" i="2"/>
  <c r="AH755" i="2"/>
  <c r="AG755" i="2"/>
  <c r="AF755" i="2"/>
  <c r="AD755" i="2"/>
  <c r="AC755" i="2"/>
  <c r="AB755" i="2"/>
  <c r="Z755" i="2"/>
  <c r="Y755" i="2"/>
  <c r="X755" i="2"/>
  <c r="W755" i="2"/>
  <c r="V755" i="2"/>
  <c r="U755" i="2"/>
  <c r="T755" i="2"/>
  <c r="S755" i="2"/>
  <c r="R755" i="2"/>
  <c r="Q755" i="2"/>
  <c r="P755" i="2"/>
  <c r="O755" i="2"/>
  <c r="N755" i="2"/>
  <c r="M755" i="2"/>
  <c r="L755" i="2"/>
  <c r="K755" i="2"/>
  <c r="H755" i="2"/>
  <c r="G755" i="2"/>
  <c r="F755" i="2"/>
  <c r="E755" i="2"/>
  <c r="D755" i="2"/>
  <c r="C755" i="2"/>
  <c r="B755" i="2"/>
  <c r="A755" i="2"/>
  <c r="AH754" i="2"/>
  <c r="AG754" i="2"/>
  <c r="AF754" i="2"/>
  <c r="AE754" i="2"/>
  <c r="AD754" i="2"/>
  <c r="AC754" i="2"/>
  <c r="AB754" i="2"/>
  <c r="Z754" i="2"/>
  <c r="Y754" i="2"/>
  <c r="X754" i="2"/>
  <c r="W754" i="2"/>
  <c r="V754" i="2"/>
  <c r="U754" i="2"/>
  <c r="T754" i="2"/>
  <c r="S754" i="2"/>
  <c r="R754" i="2"/>
  <c r="Q754" i="2"/>
  <c r="P754" i="2"/>
  <c r="O754" i="2"/>
  <c r="N754" i="2"/>
  <c r="M754" i="2"/>
  <c r="L754" i="2"/>
  <c r="K754" i="2"/>
  <c r="H754" i="2"/>
  <c r="G754" i="2"/>
  <c r="F754" i="2"/>
  <c r="E754" i="2"/>
  <c r="D754" i="2"/>
  <c r="C754" i="2"/>
  <c r="B754" i="2"/>
  <c r="A754" i="2"/>
  <c r="AH753" i="2"/>
  <c r="AG753" i="2"/>
  <c r="AF753" i="2"/>
  <c r="AE753" i="2"/>
  <c r="AD753" i="2"/>
  <c r="AC753" i="2"/>
  <c r="AB753" i="2"/>
  <c r="AA753" i="2"/>
  <c r="Z753" i="2"/>
  <c r="X753" i="2"/>
  <c r="W753" i="2"/>
  <c r="V753" i="2"/>
  <c r="U753" i="2"/>
  <c r="T753" i="2"/>
  <c r="S753" i="2"/>
  <c r="R753" i="2"/>
  <c r="Q753" i="2"/>
  <c r="P753" i="2"/>
  <c r="O753" i="2"/>
  <c r="N753" i="2"/>
  <c r="M753" i="2"/>
  <c r="L753" i="2"/>
  <c r="K753" i="2"/>
  <c r="H753" i="2"/>
  <c r="G753" i="2"/>
  <c r="F753" i="2"/>
  <c r="E753" i="2"/>
  <c r="D753" i="2"/>
  <c r="C753" i="2"/>
  <c r="B753" i="2"/>
  <c r="A753" i="2"/>
  <c r="AH752" i="2"/>
  <c r="AG752" i="2"/>
  <c r="AF752" i="2"/>
  <c r="AE752" i="2"/>
  <c r="AD752" i="2"/>
  <c r="AC752" i="2"/>
  <c r="AB752" i="2"/>
  <c r="Y752" i="2"/>
  <c r="X752" i="2"/>
  <c r="W752" i="2"/>
  <c r="V752" i="2"/>
  <c r="U752" i="2"/>
  <c r="S752" i="2"/>
  <c r="R752" i="2"/>
  <c r="Q752" i="2"/>
  <c r="P752" i="2"/>
  <c r="O752" i="2"/>
  <c r="N752" i="2"/>
  <c r="M752" i="2"/>
  <c r="L752" i="2"/>
  <c r="K752" i="2"/>
  <c r="H752" i="2"/>
  <c r="G752" i="2"/>
  <c r="F752" i="2"/>
  <c r="E752" i="2"/>
  <c r="D752" i="2"/>
  <c r="C752" i="2"/>
  <c r="B752" i="2"/>
  <c r="A752" i="2"/>
  <c r="AH751" i="2"/>
  <c r="AG751" i="2"/>
  <c r="AF751" i="2"/>
  <c r="AE751" i="2"/>
  <c r="AD751" i="2"/>
  <c r="AC751" i="2"/>
  <c r="AB751" i="2"/>
  <c r="Z751" i="2"/>
  <c r="Y751" i="2"/>
  <c r="X751" i="2"/>
  <c r="W751" i="2"/>
  <c r="V751" i="2"/>
  <c r="U751" i="2"/>
  <c r="T751" i="2"/>
  <c r="S751" i="2"/>
  <c r="R751" i="2"/>
  <c r="Q751" i="2"/>
  <c r="P751" i="2"/>
  <c r="O751" i="2"/>
  <c r="N751" i="2"/>
  <c r="M751" i="2"/>
  <c r="L751" i="2"/>
  <c r="K751" i="2"/>
  <c r="J751" i="2"/>
  <c r="H751" i="2"/>
  <c r="G751" i="2"/>
  <c r="F751" i="2"/>
  <c r="E751" i="2"/>
  <c r="D751" i="2"/>
  <c r="C751" i="2"/>
  <c r="B751" i="2"/>
  <c r="A751" i="2"/>
  <c r="AH750" i="2"/>
  <c r="AG750" i="2"/>
  <c r="AF750" i="2"/>
  <c r="AE750" i="2"/>
  <c r="AD750" i="2"/>
  <c r="AC750" i="2"/>
  <c r="AB750" i="2"/>
  <c r="Y750" i="2"/>
  <c r="X750" i="2"/>
  <c r="W750" i="2"/>
  <c r="V750" i="2"/>
  <c r="U750" i="2"/>
  <c r="S750" i="2"/>
  <c r="R750" i="2"/>
  <c r="Q750" i="2"/>
  <c r="P750" i="2"/>
  <c r="O750" i="2"/>
  <c r="N750" i="2"/>
  <c r="M750" i="2"/>
  <c r="L750" i="2"/>
  <c r="K750" i="2"/>
  <c r="H750" i="2"/>
  <c r="G750" i="2"/>
  <c r="F750" i="2"/>
  <c r="E750" i="2"/>
  <c r="D750" i="2"/>
  <c r="C750" i="2"/>
  <c r="B750" i="2"/>
  <c r="A750" i="2"/>
  <c r="AH749" i="2"/>
  <c r="AG749" i="2"/>
  <c r="AF749" i="2"/>
  <c r="AE749" i="2"/>
  <c r="AD749" i="2"/>
  <c r="AC749" i="2"/>
  <c r="AB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H748" i="2"/>
  <c r="AG748" i="2"/>
  <c r="AF748" i="2"/>
  <c r="AE748" i="2"/>
  <c r="AD748" i="2"/>
  <c r="AC748" i="2"/>
  <c r="AB748" i="2"/>
  <c r="Z748" i="2"/>
  <c r="Y748" i="2"/>
  <c r="X748" i="2"/>
  <c r="W748" i="2"/>
  <c r="V748" i="2"/>
  <c r="U748" i="2"/>
  <c r="S748" i="2"/>
  <c r="R748" i="2"/>
  <c r="Q748" i="2"/>
  <c r="P748" i="2"/>
  <c r="O748" i="2"/>
  <c r="N748" i="2"/>
  <c r="M748" i="2"/>
  <c r="L748" i="2"/>
  <c r="K748" i="2"/>
  <c r="J748" i="2"/>
  <c r="H748" i="2"/>
  <c r="G748" i="2"/>
  <c r="F748" i="2"/>
  <c r="E748" i="2"/>
  <c r="D748" i="2"/>
  <c r="C748" i="2"/>
  <c r="B748" i="2"/>
  <c r="A748" i="2"/>
  <c r="AH747" i="2"/>
  <c r="AG747" i="2"/>
  <c r="AF747" i="2"/>
  <c r="AE747" i="2"/>
  <c r="AD747" i="2"/>
  <c r="AC747" i="2"/>
  <c r="AB747" i="2"/>
  <c r="Y747" i="2"/>
  <c r="X747" i="2"/>
  <c r="W747" i="2"/>
  <c r="V747" i="2"/>
  <c r="U747" i="2"/>
  <c r="T747" i="2"/>
  <c r="S747" i="2"/>
  <c r="R747" i="2"/>
  <c r="Q747" i="2"/>
  <c r="P747" i="2"/>
  <c r="O747" i="2"/>
  <c r="N747" i="2"/>
  <c r="M747" i="2"/>
  <c r="L747" i="2"/>
  <c r="K747" i="2"/>
  <c r="H747" i="2"/>
  <c r="G747" i="2"/>
  <c r="F747" i="2"/>
  <c r="E747" i="2"/>
  <c r="D747" i="2"/>
  <c r="C747" i="2"/>
  <c r="B747" i="2"/>
  <c r="A747" i="2"/>
  <c r="AH746" i="2"/>
  <c r="AF746" i="2"/>
  <c r="AE746" i="2"/>
  <c r="AD746" i="2"/>
  <c r="AC746" i="2"/>
  <c r="AB746" i="2"/>
  <c r="X746" i="2"/>
  <c r="W746" i="2"/>
  <c r="V746" i="2"/>
  <c r="U746" i="2"/>
  <c r="T746" i="2"/>
  <c r="S746" i="2"/>
  <c r="R746" i="2"/>
  <c r="Q746" i="2"/>
  <c r="P746" i="2"/>
  <c r="O746" i="2"/>
  <c r="N746" i="2"/>
  <c r="M746" i="2"/>
  <c r="L746" i="2"/>
  <c r="K746" i="2"/>
  <c r="H746" i="2"/>
  <c r="G746" i="2"/>
  <c r="F746" i="2"/>
  <c r="E746" i="2"/>
  <c r="D746" i="2"/>
  <c r="C746" i="2"/>
  <c r="B746" i="2"/>
  <c r="A746" i="2"/>
  <c r="AH745" i="2"/>
  <c r="AF745" i="2"/>
  <c r="AE745" i="2"/>
  <c r="AD745" i="2"/>
  <c r="AC745" i="2"/>
  <c r="AB745" i="2"/>
  <c r="X745" i="2"/>
  <c r="W745" i="2"/>
  <c r="V745" i="2"/>
  <c r="U745" i="2"/>
  <c r="T745" i="2"/>
  <c r="S745" i="2"/>
  <c r="R745" i="2"/>
  <c r="Q745" i="2"/>
  <c r="P745" i="2"/>
  <c r="O745" i="2"/>
  <c r="N745" i="2"/>
  <c r="M745" i="2"/>
  <c r="L745" i="2"/>
  <c r="K745" i="2"/>
  <c r="J745" i="2"/>
  <c r="I745" i="2"/>
  <c r="H745" i="2"/>
  <c r="G745" i="2"/>
  <c r="F745" i="2"/>
  <c r="E745" i="2"/>
  <c r="D745" i="2"/>
  <c r="C745" i="2"/>
  <c r="B745" i="2"/>
  <c r="A745" i="2"/>
  <c r="AH744" i="2"/>
  <c r="AG744" i="2"/>
  <c r="AF744" i="2"/>
  <c r="AE744" i="2"/>
  <c r="AD744" i="2"/>
  <c r="AC744" i="2"/>
  <c r="AB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H743" i="2"/>
  <c r="AG743" i="2"/>
  <c r="AF743" i="2"/>
  <c r="AE743" i="2"/>
  <c r="AD743" i="2"/>
  <c r="AC743" i="2"/>
  <c r="AB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H742" i="2"/>
  <c r="AE742" i="2"/>
  <c r="AD742" i="2"/>
  <c r="AC742" i="2"/>
  <c r="AB742" i="2"/>
  <c r="X742" i="2"/>
  <c r="W742" i="2"/>
  <c r="V742" i="2"/>
  <c r="U742" i="2"/>
  <c r="T742" i="2"/>
  <c r="S742" i="2"/>
  <c r="R742" i="2"/>
  <c r="Q742" i="2"/>
  <c r="P742" i="2"/>
  <c r="O742" i="2"/>
  <c r="N742" i="2"/>
  <c r="M742" i="2"/>
  <c r="L742" i="2"/>
  <c r="K742" i="2"/>
  <c r="J742" i="2"/>
  <c r="I742" i="2"/>
  <c r="H742" i="2"/>
  <c r="G742" i="2"/>
  <c r="F742" i="2"/>
  <c r="E742" i="2"/>
  <c r="D742" i="2"/>
  <c r="C742" i="2"/>
  <c r="B742" i="2"/>
  <c r="A742" i="2"/>
  <c r="AH741" i="2"/>
  <c r="AG741" i="2"/>
  <c r="AF741" i="2"/>
  <c r="AE741" i="2"/>
  <c r="AD741" i="2"/>
  <c r="AC741" i="2"/>
  <c r="AB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H740" i="2"/>
  <c r="AG740" i="2"/>
  <c r="AD740" i="2"/>
  <c r="AC740" i="2"/>
  <c r="AB740" i="2"/>
  <c r="X740" i="2"/>
  <c r="W740" i="2"/>
  <c r="V740" i="2"/>
  <c r="U740" i="2"/>
  <c r="T740" i="2"/>
  <c r="S740" i="2"/>
  <c r="R740" i="2"/>
  <c r="Q740" i="2"/>
  <c r="P740" i="2"/>
  <c r="O740" i="2"/>
  <c r="N740" i="2"/>
  <c r="M740" i="2"/>
  <c r="L740" i="2"/>
  <c r="K740" i="2"/>
  <c r="H740" i="2"/>
  <c r="G740" i="2"/>
  <c r="F740" i="2"/>
  <c r="E740" i="2"/>
  <c r="D740" i="2"/>
  <c r="C740" i="2"/>
  <c r="B740" i="2"/>
  <c r="A740" i="2"/>
  <c r="AH739" i="2"/>
  <c r="AG739" i="2"/>
  <c r="AF739" i="2"/>
  <c r="AE739" i="2"/>
  <c r="AD739" i="2"/>
  <c r="AC739" i="2"/>
  <c r="AB739" i="2"/>
  <c r="Z739" i="2"/>
  <c r="Y739" i="2"/>
  <c r="X739" i="2"/>
  <c r="W739" i="2"/>
  <c r="V739" i="2"/>
  <c r="U739" i="2"/>
  <c r="T739" i="2"/>
  <c r="S739" i="2"/>
  <c r="R739" i="2"/>
  <c r="Q739" i="2"/>
  <c r="P739" i="2"/>
  <c r="O739" i="2"/>
  <c r="N739" i="2"/>
  <c r="M739" i="2"/>
  <c r="L739" i="2"/>
  <c r="K739" i="2"/>
  <c r="H739" i="2"/>
  <c r="G739" i="2"/>
  <c r="F739" i="2"/>
  <c r="E739" i="2"/>
  <c r="D739" i="2"/>
  <c r="C739" i="2"/>
  <c r="B739" i="2"/>
  <c r="A739" i="2"/>
  <c r="AH738" i="2"/>
  <c r="AD738" i="2"/>
  <c r="AC738" i="2"/>
  <c r="AB738" i="2"/>
  <c r="X738" i="2"/>
  <c r="W738" i="2"/>
  <c r="V738" i="2"/>
  <c r="U738" i="2"/>
  <c r="T738" i="2"/>
  <c r="S738" i="2"/>
  <c r="R738" i="2"/>
  <c r="Q738" i="2"/>
  <c r="P738" i="2"/>
  <c r="O738" i="2"/>
  <c r="N738" i="2"/>
  <c r="M738" i="2"/>
  <c r="L738" i="2"/>
  <c r="K738" i="2"/>
  <c r="H738" i="2"/>
  <c r="G738" i="2"/>
  <c r="F738" i="2"/>
  <c r="E738" i="2"/>
  <c r="D738" i="2"/>
  <c r="C738" i="2"/>
  <c r="B738" i="2"/>
  <c r="A738" i="2"/>
  <c r="AH737" i="2"/>
  <c r="AG737" i="2"/>
  <c r="AF737" i="2"/>
  <c r="AE737" i="2"/>
  <c r="AD737" i="2"/>
  <c r="AC737"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H736" i="2"/>
  <c r="AD736" i="2"/>
  <c r="AC736" i="2"/>
  <c r="AB736" i="2"/>
  <c r="X736" i="2"/>
  <c r="W736" i="2"/>
  <c r="V736" i="2"/>
  <c r="U736" i="2"/>
  <c r="T736" i="2"/>
  <c r="S736" i="2"/>
  <c r="R736" i="2"/>
  <c r="Q736" i="2"/>
  <c r="P736" i="2"/>
  <c r="O736" i="2"/>
  <c r="N736" i="2"/>
  <c r="M736" i="2"/>
  <c r="L736" i="2"/>
  <c r="K736" i="2"/>
  <c r="H736" i="2"/>
  <c r="G736" i="2"/>
  <c r="F736" i="2"/>
  <c r="E736" i="2"/>
  <c r="D736" i="2"/>
  <c r="C736" i="2"/>
  <c r="B736" i="2"/>
  <c r="A736" i="2"/>
  <c r="AH735" i="2"/>
  <c r="AF735" i="2"/>
  <c r="AE735" i="2"/>
  <c r="AD735" i="2"/>
  <c r="AC735" i="2"/>
  <c r="AB735" i="2"/>
  <c r="Y735" i="2"/>
  <c r="X735" i="2"/>
  <c r="W735" i="2"/>
  <c r="V735" i="2"/>
  <c r="U735" i="2"/>
  <c r="T735" i="2"/>
  <c r="S735" i="2"/>
  <c r="R735" i="2"/>
  <c r="Q735" i="2"/>
  <c r="P735" i="2"/>
  <c r="O735" i="2"/>
  <c r="N735" i="2"/>
  <c r="M735" i="2"/>
  <c r="L735" i="2"/>
  <c r="K735" i="2"/>
  <c r="H735" i="2"/>
  <c r="G735" i="2"/>
  <c r="F735" i="2"/>
  <c r="E735" i="2"/>
  <c r="D735" i="2"/>
  <c r="C735" i="2"/>
  <c r="B735" i="2"/>
  <c r="A735" i="2"/>
  <c r="AH734" i="2"/>
  <c r="AG734" i="2"/>
  <c r="AF734" i="2"/>
  <c r="AE734" i="2"/>
  <c r="AD734" i="2"/>
  <c r="AC734" i="2"/>
  <c r="AB734" i="2"/>
  <c r="Z734" i="2"/>
  <c r="Y734" i="2"/>
  <c r="X734" i="2"/>
  <c r="W734" i="2"/>
  <c r="V734" i="2"/>
  <c r="U734" i="2"/>
  <c r="T734" i="2"/>
  <c r="S734" i="2"/>
  <c r="R734" i="2"/>
  <c r="Q734" i="2"/>
  <c r="P734" i="2"/>
  <c r="O734" i="2"/>
  <c r="N734" i="2"/>
  <c r="M734" i="2"/>
  <c r="L734" i="2"/>
  <c r="K734" i="2"/>
  <c r="H734" i="2"/>
  <c r="G734" i="2"/>
  <c r="F734" i="2"/>
  <c r="E734" i="2"/>
  <c r="D734" i="2"/>
  <c r="C734" i="2"/>
  <c r="B734" i="2"/>
  <c r="A734" i="2"/>
  <c r="AH733" i="2"/>
  <c r="AG733" i="2"/>
  <c r="AF733" i="2"/>
  <c r="AE733" i="2"/>
  <c r="AD733" i="2"/>
  <c r="AC733" i="2"/>
  <c r="AB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H732" i="2"/>
  <c r="AF732" i="2"/>
  <c r="AE732" i="2"/>
  <c r="AD732" i="2"/>
  <c r="AC732" i="2"/>
  <c r="AB732" i="2"/>
  <c r="X732" i="2"/>
  <c r="W732" i="2"/>
  <c r="V732" i="2"/>
  <c r="U732" i="2"/>
  <c r="T732" i="2"/>
  <c r="S732" i="2"/>
  <c r="R732" i="2"/>
  <c r="Q732" i="2"/>
  <c r="P732" i="2"/>
  <c r="O732" i="2"/>
  <c r="N732" i="2"/>
  <c r="M732" i="2"/>
  <c r="L732" i="2"/>
  <c r="K732" i="2"/>
  <c r="H732" i="2"/>
  <c r="G732" i="2"/>
  <c r="F732" i="2"/>
  <c r="E732" i="2"/>
  <c r="D732" i="2"/>
  <c r="C732" i="2"/>
  <c r="B732" i="2"/>
  <c r="A732" i="2"/>
  <c r="AH731" i="2"/>
  <c r="AG731" i="2"/>
  <c r="AF731" i="2"/>
  <c r="AE731" i="2"/>
  <c r="AD731" i="2"/>
  <c r="AC731" i="2"/>
  <c r="AB731" i="2"/>
  <c r="Y731" i="2"/>
  <c r="X731" i="2"/>
  <c r="W731" i="2"/>
  <c r="V731" i="2"/>
  <c r="U731" i="2"/>
  <c r="T731" i="2"/>
  <c r="S731" i="2"/>
  <c r="R731" i="2"/>
  <c r="Q731" i="2"/>
  <c r="P731" i="2"/>
  <c r="O731" i="2"/>
  <c r="N731" i="2"/>
  <c r="M731" i="2"/>
  <c r="L731" i="2"/>
  <c r="K731" i="2"/>
  <c r="H731" i="2"/>
  <c r="G731" i="2"/>
  <c r="F731" i="2"/>
  <c r="E731" i="2"/>
  <c r="D731" i="2"/>
  <c r="C731" i="2"/>
  <c r="B731" i="2"/>
  <c r="A731" i="2"/>
  <c r="AH730" i="2"/>
  <c r="AG730" i="2"/>
  <c r="AF730" i="2"/>
  <c r="AE730" i="2"/>
  <c r="AD730" i="2"/>
  <c r="AC730" i="2"/>
  <c r="AB730" i="2"/>
  <c r="AA730" i="2"/>
  <c r="Z730" i="2"/>
  <c r="Y730" i="2"/>
  <c r="X730" i="2"/>
  <c r="W730" i="2"/>
  <c r="V730" i="2"/>
  <c r="U730" i="2"/>
  <c r="S730" i="2"/>
  <c r="R730" i="2"/>
  <c r="Q730" i="2"/>
  <c r="P730" i="2"/>
  <c r="O730" i="2"/>
  <c r="N730" i="2"/>
  <c r="M730" i="2"/>
  <c r="L730" i="2"/>
  <c r="K730" i="2"/>
  <c r="H730" i="2"/>
  <c r="G730" i="2"/>
  <c r="F730" i="2"/>
  <c r="E730" i="2"/>
  <c r="D730" i="2"/>
  <c r="C730" i="2"/>
  <c r="B730" i="2"/>
  <c r="A730" i="2"/>
  <c r="AH729" i="2"/>
  <c r="AG729" i="2"/>
  <c r="AF729" i="2"/>
  <c r="AE729" i="2"/>
  <c r="AD729" i="2"/>
  <c r="AC729" i="2"/>
  <c r="AB729" i="2"/>
  <c r="Z729" i="2"/>
  <c r="X729" i="2"/>
  <c r="W729" i="2"/>
  <c r="V729" i="2"/>
  <c r="U729" i="2"/>
  <c r="T729" i="2"/>
  <c r="S729" i="2"/>
  <c r="R729" i="2"/>
  <c r="Q729" i="2"/>
  <c r="P729" i="2"/>
  <c r="O729" i="2"/>
  <c r="N729" i="2"/>
  <c r="M729" i="2"/>
  <c r="L729" i="2"/>
  <c r="K729" i="2"/>
  <c r="H729" i="2"/>
  <c r="G729" i="2"/>
  <c r="F729" i="2"/>
  <c r="E729" i="2"/>
  <c r="D729" i="2"/>
  <c r="C729" i="2"/>
  <c r="B729" i="2"/>
  <c r="A729" i="2"/>
  <c r="AH728" i="2"/>
  <c r="AG728" i="2"/>
  <c r="AF728" i="2"/>
  <c r="AE728" i="2"/>
  <c r="AD728" i="2"/>
  <c r="AC728" i="2"/>
  <c r="AB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H727" i="2"/>
  <c r="AG727" i="2"/>
  <c r="AF727" i="2"/>
  <c r="AE727" i="2"/>
  <c r="AD727" i="2"/>
  <c r="AC727" i="2"/>
  <c r="AB727" i="2"/>
  <c r="Y727" i="2"/>
  <c r="X727" i="2"/>
  <c r="W727" i="2"/>
  <c r="V727" i="2"/>
  <c r="U727" i="2"/>
  <c r="T727" i="2"/>
  <c r="S727" i="2"/>
  <c r="R727" i="2"/>
  <c r="Q727" i="2"/>
  <c r="P727" i="2"/>
  <c r="O727" i="2"/>
  <c r="N727" i="2"/>
  <c r="M727" i="2"/>
  <c r="L727" i="2"/>
  <c r="K727" i="2"/>
  <c r="J727" i="2"/>
  <c r="I727" i="2"/>
  <c r="H727" i="2"/>
  <c r="G727" i="2"/>
  <c r="F727" i="2"/>
  <c r="E727" i="2"/>
  <c r="D727" i="2"/>
  <c r="C727" i="2"/>
  <c r="B727" i="2"/>
  <c r="A727" i="2"/>
  <c r="AH726" i="2"/>
  <c r="AG726" i="2"/>
  <c r="AF726" i="2"/>
  <c r="AE726" i="2"/>
  <c r="AD726" i="2"/>
  <c r="AC726" i="2"/>
  <c r="AB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H725" i="2"/>
  <c r="AF725" i="2"/>
  <c r="AE725" i="2"/>
  <c r="AD725" i="2"/>
  <c r="AC725" i="2"/>
  <c r="AB725" i="2"/>
  <c r="AA725" i="2"/>
  <c r="Z725" i="2"/>
  <c r="Y725" i="2"/>
  <c r="X725" i="2"/>
  <c r="W725" i="2"/>
  <c r="V725" i="2"/>
  <c r="U725" i="2"/>
  <c r="T725" i="2"/>
  <c r="S725" i="2"/>
  <c r="R725" i="2"/>
  <c r="Q725" i="2"/>
  <c r="P725" i="2"/>
  <c r="O725" i="2"/>
  <c r="N725" i="2"/>
  <c r="M725" i="2"/>
  <c r="L725" i="2"/>
  <c r="K725" i="2"/>
  <c r="J725" i="2"/>
  <c r="H725" i="2"/>
  <c r="G725" i="2"/>
  <c r="F725" i="2"/>
  <c r="E725" i="2"/>
  <c r="D725" i="2"/>
  <c r="C725" i="2"/>
  <c r="B725" i="2"/>
  <c r="A725" i="2"/>
  <c r="AH724" i="2"/>
  <c r="AG724" i="2"/>
  <c r="AD724" i="2"/>
  <c r="AC724" i="2"/>
  <c r="AB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H723" i="2"/>
  <c r="AG723" i="2"/>
  <c r="AF723" i="2"/>
  <c r="AE723" i="2"/>
  <c r="AD723" i="2"/>
  <c r="AC723" i="2"/>
  <c r="AB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H722" i="2"/>
  <c r="AG722" i="2"/>
  <c r="AF722" i="2"/>
  <c r="AE722" i="2"/>
  <c r="AD722" i="2"/>
  <c r="AC722" i="2"/>
  <c r="AB722" i="2"/>
  <c r="AA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H721" i="2"/>
  <c r="AF721" i="2"/>
  <c r="AE721" i="2"/>
  <c r="AD721" i="2"/>
  <c r="AC721" i="2"/>
  <c r="AB721" i="2"/>
  <c r="X721" i="2"/>
  <c r="W721" i="2"/>
  <c r="V721" i="2"/>
  <c r="U721" i="2"/>
  <c r="T721" i="2"/>
  <c r="S721" i="2"/>
  <c r="R721" i="2"/>
  <c r="Q721" i="2"/>
  <c r="P721" i="2"/>
  <c r="O721" i="2"/>
  <c r="N721" i="2"/>
  <c r="M721" i="2"/>
  <c r="L721" i="2"/>
  <c r="K721" i="2"/>
  <c r="H721" i="2"/>
  <c r="G721" i="2"/>
  <c r="F721" i="2"/>
  <c r="E721" i="2"/>
  <c r="D721" i="2"/>
  <c r="C721" i="2"/>
  <c r="B721" i="2"/>
  <c r="A721" i="2"/>
  <c r="AH720" i="2"/>
  <c r="AG720" i="2"/>
  <c r="AF720" i="2"/>
  <c r="AE720" i="2"/>
  <c r="AD720" i="2"/>
  <c r="AC720" i="2"/>
  <c r="AB720" i="2"/>
  <c r="Z720" i="2"/>
  <c r="Y720" i="2"/>
  <c r="X720" i="2"/>
  <c r="W720" i="2"/>
  <c r="V720" i="2"/>
  <c r="U720" i="2"/>
  <c r="T720" i="2"/>
  <c r="S720" i="2"/>
  <c r="R720" i="2"/>
  <c r="Q720" i="2"/>
  <c r="P720" i="2"/>
  <c r="O720" i="2"/>
  <c r="N720" i="2"/>
  <c r="M720" i="2"/>
  <c r="L720" i="2"/>
  <c r="K720" i="2"/>
  <c r="H720" i="2"/>
  <c r="G720" i="2"/>
  <c r="F720" i="2"/>
  <c r="E720" i="2"/>
  <c r="D720" i="2"/>
  <c r="C720" i="2"/>
  <c r="B720" i="2"/>
  <c r="A720" i="2"/>
  <c r="AH719" i="2"/>
  <c r="AG719" i="2"/>
  <c r="AF719" i="2"/>
  <c r="AE719" i="2"/>
  <c r="AD719" i="2"/>
  <c r="AC719" i="2"/>
  <c r="AB719" i="2"/>
  <c r="AA719" i="2"/>
  <c r="Z719" i="2"/>
  <c r="Y719" i="2"/>
  <c r="X719" i="2"/>
  <c r="W719" i="2"/>
  <c r="V719" i="2"/>
  <c r="U719" i="2"/>
  <c r="T719" i="2"/>
  <c r="S719" i="2"/>
  <c r="R719" i="2"/>
  <c r="Q719" i="2"/>
  <c r="P719" i="2"/>
  <c r="O719" i="2"/>
  <c r="N719" i="2"/>
  <c r="M719" i="2"/>
  <c r="L719" i="2"/>
  <c r="K719" i="2"/>
  <c r="H719" i="2"/>
  <c r="G719" i="2"/>
  <c r="F719" i="2"/>
  <c r="E719" i="2"/>
  <c r="D719" i="2"/>
  <c r="C719" i="2"/>
  <c r="B719" i="2"/>
  <c r="A719" i="2"/>
  <c r="AH718" i="2"/>
  <c r="AF718" i="2"/>
  <c r="AE718" i="2"/>
  <c r="AD718" i="2"/>
  <c r="AC718" i="2"/>
  <c r="AB718" i="2"/>
  <c r="Z718" i="2"/>
  <c r="X718" i="2"/>
  <c r="W718" i="2"/>
  <c r="V718" i="2"/>
  <c r="U718" i="2"/>
  <c r="T718" i="2"/>
  <c r="S718" i="2"/>
  <c r="R718" i="2"/>
  <c r="Q718" i="2"/>
  <c r="P718" i="2"/>
  <c r="O718" i="2"/>
  <c r="N718" i="2"/>
  <c r="M718" i="2"/>
  <c r="L718" i="2"/>
  <c r="K718" i="2"/>
  <c r="H718" i="2"/>
  <c r="G718" i="2"/>
  <c r="F718" i="2"/>
  <c r="E718" i="2"/>
  <c r="D718" i="2"/>
  <c r="C718" i="2"/>
  <c r="B718" i="2"/>
  <c r="A718" i="2"/>
  <c r="AH717" i="2"/>
  <c r="AG717" i="2"/>
  <c r="AF717" i="2"/>
  <c r="AE717" i="2"/>
  <c r="AD717" i="2"/>
  <c r="AC717" i="2"/>
  <c r="AB717" i="2"/>
  <c r="Z717" i="2"/>
  <c r="Y717" i="2"/>
  <c r="X717" i="2"/>
  <c r="W717" i="2"/>
  <c r="V717" i="2"/>
  <c r="U717" i="2"/>
  <c r="T717" i="2"/>
  <c r="S717" i="2"/>
  <c r="R717" i="2"/>
  <c r="Q717" i="2"/>
  <c r="P717" i="2"/>
  <c r="O717" i="2"/>
  <c r="N717" i="2"/>
  <c r="M717" i="2"/>
  <c r="L717" i="2"/>
  <c r="K717" i="2"/>
  <c r="H717" i="2"/>
  <c r="G717" i="2"/>
  <c r="F717" i="2"/>
  <c r="E717" i="2"/>
  <c r="D717" i="2"/>
  <c r="C717" i="2"/>
  <c r="B717" i="2"/>
  <c r="A717" i="2"/>
  <c r="AH716" i="2"/>
  <c r="AG716" i="2"/>
  <c r="AF716" i="2"/>
  <c r="AE716" i="2"/>
  <c r="AD716" i="2"/>
  <c r="AC716" i="2"/>
  <c r="AB716" i="2"/>
  <c r="AA716" i="2"/>
  <c r="Z716" i="2"/>
  <c r="Y716" i="2"/>
  <c r="X716" i="2"/>
  <c r="W716" i="2"/>
  <c r="V716" i="2"/>
  <c r="U716" i="2"/>
  <c r="S716" i="2"/>
  <c r="R716" i="2"/>
  <c r="Q716" i="2"/>
  <c r="P716" i="2"/>
  <c r="O716" i="2"/>
  <c r="N716" i="2"/>
  <c r="M716" i="2"/>
  <c r="L716" i="2"/>
  <c r="K716" i="2"/>
  <c r="H716" i="2"/>
  <c r="G716" i="2"/>
  <c r="F716" i="2"/>
  <c r="E716" i="2"/>
  <c r="D716" i="2"/>
  <c r="C716" i="2"/>
  <c r="B716" i="2"/>
  <c r="A716" i="2"/>
  <c r="AH715" i="2"/>
  <c r="AG715" i="2"/>
  <c r="AF715" i="2"/>
  <c r="AE715" i="2"/>
  <c r="AD715" i="2"/>
  <c r="AC715" i="2"/>
  <c r="AB715" i="2"/>
  <c r="Y715" i="2"/>
  <c r="X715" i="2"/>
  <c r="W715" i="2"/>
  <c r="V715" i="2"/>
  <c r="U715" i="2"/>
  <c r="T715" i="2"/>
  <c r="S715" i="2"/>
  <c r="R715" i="2"/>
  <c r="Q715" i="2"/>
  <c r="P715" i="2"/>
  <c r="O715" i="2"/>
  <c r="N715" i="2"/>
  <c r="M715" i="2"/>
  <c r="L715" i="2"/>
  <c r="K715" i="2"/>
  <c r="H715" i="2"/>
  <c r="G715" i="2"/>
  <c r="F715" i="2"/>
  <c r="E715" i="2"/>
  <c r="D715" i="2"/>
  <c r="C715" i="2"/>
  <c r="B715" i="2"/>
  <c r="A715" i="2"/>
  <c r="AH714" i="2"/>
  <c r="AG714" i="2"/>
  <c r="AF714" i="2"/>
  <c r="AE714" i="2"/>
  <c r="AD714" i="2"/>
  <c r="AC714" i="2"/>
  <c r="AB714" i="2"/>
  <c r="Z714" i="2"/>
  <c r="Y714" i="2"/>
  <c r="X714" i="2"/>
  <c r="W714" i="2"/>
  <c r="V714" i="2"/>
  <c r="U714" i="2"/>
  <c r="T714" i="2"/>
  <c r="S714" i="2"/>
  <c r="R714" i="2"/>
  <c r="Q714" i="2"/>
  <c r="P714" i="2"/>
  <c r="O714" i="2"/>
  <c r="N714" i="2"/>
  <c r="M714" i="2"/>
  <c r="L714" i="2"/>
  <c r="K714" i="2"/>
  <c r="H714" i="2"/>
  <c r="G714" i="2"/>
  <c r="F714" i="2"/>
  <c r="E714" i="2"/>
  <c r="D714" i="2"/>
  <c r="C714" i="2"/>
  <c r="B714" i="2"/>
  <c r="A714" i="2"/>
  <c r="AH713" i="2"/>
  <c r="AF713" i="2"/>
  <c r="AE713" i="2"/>
  <c r="AD713" i="2"/>
  <c r="AC713" i="2"/>
  <c r="AB713" i="2"/>
  <c r="AA713" i="2"/>
  <c r="Z713" i="2"/>
  <c r="X713" i="2"/>
  <c r="W713" i="2"/>
  <c r="V713" i="2"/>
  <c r="U713" i="2"/>
  <c r="T713" i="2"/>
  <c r="S713" i="2"/>
  <c r="R713" i="2"/>
  <c r="Q713" i="2"/>
  <c r="P713" i="2"/>
  <c r="O713" i="2"/>
  <c r="N713" i="2"/>
  <c r="M713" i="2"/>
  <c r="L713" i="2"/>
  <c r="K713" i="2"/>
  <c r="H713" i="2"/>
  <c r="G713" i="2"/>
  <c r="F713" i="2"/>
  <c r="E713" i="2"/>
  <c r="D713" i="2"/>
  <c r="C713" i="2"/>
  <c r="B713" i="2"/>
  <c r="A713" i="2"/>
  <c r="AH712" i="2"/>
  <c r="AG712" i="2"/>
  <c r="AF712" i="2"/>
  <c r="AE712" i="2"/>
  <c r="AD712" i="2"/>
  <c r="AC712" i="2"/>
  <c r="AB712" i="2"/>
  <c r="Z712" i="2"/>
  <c r="Y712" i="2"/>
  <c r="X712" i="2"/>
  <c r="W712" i="2"/>
  <c r="V712" i="2"/>
  <c r="U712" i="2"/>
  <c r="S712" i="2"/>
  <c r="R712" i="2"/>
  <c r="Q712" i="2"/>
  <c r="P712" i="2"/>
  <c r="O712" i="2"/>
  <c r="N712" i="2"/>
  <c r="M712" i="2"/>
  <c r="L712" i="2"/>
  <c r="K712" i="2"/>
  <c r="H712" i="2"/>
  <c r="G712" i="2"/>
  <c r="F712" i="2"/>
  <c r="E712" i="2"/>
  <c r="D712" i="2"/>
  <c r="C712" i="2"/>
  <c r="B712" i="2"/>
  <c r="A712" i="2"/>
  <c r="AH711" i="2"/>
  <c r="AG711" i="2"/>
  <c r="AF711" i="2"/>
  <c r="AD711" i="2"/>
  <c r="AC711" i="2"/>
  <c r="AB711" i="2"/>
  <c r="Z711" i="2"/>
  <c r="Y711" i="2"/>
  <c r="X711" i="2"/>
  <c r="W711" i="2"/>
  <c r="V711" i="2"/>
  <c r="U711" i="2"/>
  <c r="S711" i="2"/>
  <c r="R711" i="2"/>
  <c r="Q711" i="2"/>
  <c r="P711" i="2"/>
  <c r="O711" i="2"/>
  <c r="N711" i="2"/>
  <c r="M711" i="2"/>
  <c r="L711" i="2"/>
  <c r="K711" i="2"/>
  <c r="H711" i="2"/>
  <c r="G711" i="2"/>
  <c r="F711" i="2"/>
  <c r="E711" i="2"/>
  <c r="D711" i="2"/>
  <c r="C711" i="2"/>
  <c r="B711" i="2"/>
  <c r="A711" i="2"/>
  <c r="AH710" i="2"/>
  <c r="AE710" i="2"/>
  <c r="AD710" i="2"/>
  <c r="AC710" i="2"/>
  <c r="AB710" i="2"/>
  <c r="Z710" i="2"/>
  <c r="Y710" i="2"/>
  <c r="X710" i="2"/>
  <c r="W710" i="2"/>
  <c r="V710" i="2"/>
  <c r="U710" i="2"/>
  <c r="T710" i="2"/>
  <c r="S710" i="2"/>
  <c r="R710" i="2"/>
  <c r="Q710" i="2"/>
  <c r="P710" i="2"/>
  <c r="O710" i="2"/>
  <c r="N710" i="2"/>
  <c r="M710" i="2"/>
  <c r="L710" i="2"/>
  <c r="K710" i="2"/>
  <c r="H710" i="2"/>
  <c r="G710" i="2"/>
  <c r="F710" i="2"/>
  <c r="E710" i="2"/>
  <c r="D710" i="2"/>
  <c r="C710" i="2"/>
  <c r="B710" i="2"/>
  <c r="A710" i="2"/>
  <c r="AH709" i="2"/>
  <c r="AF709" i="2"/>
  <c r="AE709" i="2"/>
  <c r="AD709" i="2"/>
  <c r="AC709" i="2"/>
  <c r="AB709" i="2"/>
  <c r="Z709" i="2"/>
  <c r="Y709" i="2"/>
  <c r="X709" i="2"/>
  <c r="W709" i="2"/>
  <c r="V709" i="2"/>
  <c r="U709" i="2"/>
  <c r="T709" i="2"/>
  <c r="S709" i="2"/>
  <c r="R709" i="2"/>
  <c r="Q709" i="2"/>
  <c r="P709" i="2"/>
  <c r="O709" i="2"/>
  <c r="N709" i="2"/>
  <c r="M709" i="2"/>
  <c r="L709" i="2"/>
  <c r="K709" i="2"/>
  <c r="H709" i="2"/>
  <c r="G709" i="2"/>
  <c r="F709" i="2"/>
  <c r="E709" i="2"/>
  <c r="D709" i="2"/>
  <c r="C709" i="2"/>
  <c r="B709" i="2"/>
  <c r="A709" i="2"/>
  <c r="AH708" i="2"/>
  <c r="AG708" i="2"/>
  <c r="AF708" i="2"/>
  <c r="AE708" i="2"/>
  <c r="AD708" i="2"/>
  <c r="AC708" i="2"/>
  <c r="AB708" i="2"/>
  <c r="AA708" i="2"/>
  <c r="Z708" i="2"/>
  <c r="Y708" i="2"/>
  <c r="X708" i="2"/>
  <c r="W708" i="2"/>
  <c r="V708" i="2"/>
  <c r="U708" i="2"/>
  <c r="S708" i="2"/>
  <c r="R708" i="2"/>
  <c r="Q708" i="2"/>
  <c r="P708" i="2"/>
  <c r="O708" i="2"/>
  <c r="N708" i="2"/>
  <c r="M708" i="2"/>
  <c r="L708" i="2"/>
  <c r="K708" i="2"/>
  <c r="H708" i="2"/>
  <c r="G708" i="2"/>
  <c r="F708" i="2"/>
  <c r="E708" i="2"/>
  <c r="D708" i="2"/>
  <c r="C708" i="2"/>
  <c r="B708" i="2"/>
  <c r="A708" i="2"/>
  <c r="AH707" i="2"/>
  <c r="AG707" i="2"/>
  <c r="AF707" i="2"/>
  <c r="AE707" i="2"/>
  <c r="AD707" i="2"/>
  <c r="AC707" i="2"/>
  <c r="AB707" i="2"/>
  <c r="Z707" i="2"/>
  <c r="Y707" i="2"/>
  <c r="X707" i="2"/>
  <c r="W707" i="2"/>
  <c r="V707" i="2"/>
  <c r="U707" i="2"/>
  <c r="T707" i="2"/>
  <c r="S707" i="2"/>
  <c r="R707" i="2"/>
  <c r="Q707" i="2"/>
  <c r="P707" i="2"/>
  <c r="O707" i="2"/>
  <c r="N707" i="2"/>
  <c r="M707" i="2"/>
  <c r="L707" i="2"/>
  <c r="K707" i="2"/>
  <c r="H707" i="2"/>
  <c r="G707" i="2"/>
  <c r="F707" i="2"/>
  <c r="E707" i="2"/>
  <c r="D707" i="2"/>
  <c r="C707" i="2"/>
  <c r="B707" i="2"/>
  <c r="A707" i="2"/>
  <c r="AH706" i="2"/>
  <c r="AG706" i="2"/>
  <c r="AF706" i="2"/>
  <c r="AE706" i="2"/>
  <c r="AD706" i="2"/>
  <c r="AC706" i="2"/>
  <c r="AB706" i="2"/>
  <c r="Z706" i="2"/>
  <c r="Y706" i="2"/>
  <c r="X706" i="2"/>
  <c r="W706" i="2"/>
  <c r="V706" i="2"/>
  <c r="U706" i="2"/>
  <c r="T706" i="2"/>
  <c r="S706" i="2"/>
  <c r="R706" i="2"/>
  <c r="Q706" i="2"/>
  <c r="P706" i="2"/>
  <c r="O706" i="2"/>
  <c r="N706" i="2"/>
  <c r="M706" i="2"/>
  <c r="L706" i="2"/>
  <c r="K706" i="2"/>
  <c r="H706" i="2"/>
  <c r="G706" i="2"/>
  <c r="F706" i="2"/>
  <c r="E706" i="2"/>
  <c r="D706" i="2"/>
  <c r="C706" i="2"/>
  <c r="B706" i="2"/>
  <c r="A706" i="2"/>
  <c r="AH705" i="2"/>
  <c r="AF705" i="2"/>
  <c r="AE705" i="2"/>
  <c r="AD705" i="2"/>
  <c r="AC705" i="2"/>
  <c r="AB705" i="2"/>
  <c r="X705" i="2"/>
  <c r="W705" i="2"/>
  <c r="V705" i="2"/>
  <c r="U705" i="2"/>
  <c r="T705" i="2"/>
  <c r="S705" i="2"/>
  <c r="R705" i="2"/>
  <c r="Q705" i="2"/>
  <c r="P705" i="2"/>
  <c r="O705" i="2"/>
  <c r="N705" i="2"/>
  <c r="M705" i="2"/>
  <c r="L705" i="2"/>
  <c r="K705" i="2"/>
  <c r="H705" i="2"/>
  <c r="G705" i="2"/>
  <c r="F705" i="2"/>
  <c r="E705" i="2"/>
  <c r="D705" i="2"/>
  <c r="C705" i="2"/>
  <c r="B705" i="2"/>
  <c r="A705" i="2"/>
  <c r="AH704" i="2"/>
  <c r="AG704" i="2"/>
  <c r="AF704" i="2"/>
  <c r="AE704" i="2"/>
  <c r="AD704" i="2"/>
  <c r="AC704" i="2"/>
  <c r="AB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H703" i="2"/>
  <c r="AG703" i="2"/>
  <c r="AF703" i="2"/>
  <c r="AE703" i="2"/>
  <c r="AD703" i="2"/>
  <c r="AC703" i="2"/>
  <c r="AB703" i="2"/>
  <c r="Z703" i="2"/>
  <c r="Y703" i="2"/>
  <c r="X703" i="2"/>
  <c r="W703" i="2"/>
  <c r="V703" i="2"/>
  <c r="U703" i="2"/>
  <c r="T703" i="2"/>
  <c r="S703" i="2"/>
  <c r="R703" i="2"/>
  <c r="Q703" i="2"/>
  <c r="P703" i="2"/>
  <c r="O703" i="2"/>
  <c r="N703" i="2"/>
  <c r="M703" i="2"/>
  <c r="L703" i="2"/>
  <c r="K703" i="2"/>
  <c r="H703" i="2"/>
  <c r="G703" i="2"/>
  <c r="F703" i="2"/>
  <c r="E703" i="2"/>
  <c r="D703" i="2"/>
  <c r="C703" i="2"/>
  <c r="B703" i="2"/>
  <c r="A703" i="2"/>
  <c r="AH702" i="2"/>
  <c r="AG702" i="2"/>
  <c r="AF702" i="2"/>
  <c r="AE702" i="2"/>
  <c r="AD702" i="2"/>
  <c r="AC702" i="2"/>
  <c r="AB702" i="2"/>
  <c r="Z702" i="2"/>
  <c r="Y702" i="2"/>
  <c r="X702" i="2"/>
  <c r="W702" i="2"/>
  <c r="V702" i="2"/>
  <c r="U702" i="2"/>
  <c r="T702" i="2"/>
  <c r="S702" i="2"/>
  <c r="R702" i="2"/>
  <c r="Q702" i="2"/>
  <c r="P702" i="2"/>
  <c r="O702" i="2"/>
  <c r="N702" i="2"/>
  <c r="M702" i="2"/>
  <c r="L702" i="2"/>
  <c r="K702" i="2"/>
  <c r="H702" i="2"/>
  <c r="G702" i="2"/>
  <c r="F702" i="2"/>
  <c r="E702" i="2"/>
  <c r="D702" i="2"/>
  <c r="C702" i="2"/>
  <c r="B702" i="2"/>
  <c r="A702" i="2"/>
  <c r="AH701" i="2"/>
  <c r="AG701" i="2"/>
  <c r="AF701" i="2"/>
  <c r="AE701" i="2"/>
  <c r="AD701" i="2"/>
  <c r="AC701" i="2"/>
  <c r="AB701" i="2"/>
  <c r="X701" i="2"/>
  <c r="W701" i="2"/>
  <c r="V701" i="2"/>
  <c r="U701" i="2"/>
  <c r="T701" i="2"/>
  <c r="S701" i="2"/>
  <c r="R701" i="2"/>
  <c r="Q701" i="2"/>
  <c r="P701" i="2"/>
  <c r="O701" i="2"/>
  <c r="N701" i="2"/>
  <c r="M701" i="2"/>
  <c r="L701" i="2"/>
  <c r="K701" i="2"/>
  <c r="H701" i="2"/>
  <c r="G701" i="2"/>
  <c r="F701" i="2"/>
  <c r="E701" i="2"/>
  <c r="D701" i="2"/>
  <c r="C701" i="2"/>
  <c r="B701" i="2"/>
  <c r="A701" i="2"/>
  <c r="AH700" i="2"/>
  <c r="AG700" i="2"/>
  <c r="AF700" i="2"/>
  <c r="AE700" i="2"/>
  <c r="AD700" i="2"/>
  <c r="AC700" i="2"/>
  <c r="AB700" i="2"/>
  <c r="Y700" i="2"/>
  <c r="X700" i="2"/>
  <c r="W700" i="2"/>
  <c r="V700" i="2"/>
  <c r="U700" i="2"/>
  <c r="T700" i="2"/>
  <c r="S700" i="2"/>
  <c r="R700" i="2"/>
  <c r="Q700" i="2"/>
  <c r="P700" i="2"/>
  <c r="O700" i="2"/>
  <c r="N700" i="2"/>
  <c r="M700" i="2"/>
  <c r="L700" i="2"/>
  <c r="K700" i="2"/>
  <c r="H700" i="2"/>
  <c r="G700" i="2"/>
  <c r="F700" i="2"/>
  <c r="E700" i="2"/>
  <c r="D700" i="2"/>
  <c r="C700" i="2"/>
  <c r="B700" i="2"/>
  <c r="A700" i="2"/>
  <c r="AH699" i="2"/>
  <c r="AF699" i="2"/>
  <c r="AE699" i="2"/>
  <c r="AD699" i="2"/>
  <c r="AC699" i="2"/>
  <c r="AB699" i="2"/>
  <c r="Z699" i="2"/>
  <c r="X699" i="2"/>
  <c r="W699" i="2"/>
  <c r="V699" i="2"/>
  <c r="U699" i="2"/>
  <c r="T699" i="2"/>
  <c r="S699" i="2"/>
  <c r="R699" i="2"/>
  <c r="Q699" i="2"/>
  <c r="P699" i="2"/>
  <c r="O699" i="2"/>
  <c r="N699" i="2"/>
  <c r="M699" i="2"/>
  <c r="L699" i="2"/>
  <c r="K699" i="2"/>
  <c r="H699" i="2"/>
  <c r="G699" i="2"/>
  <c r="F699" i="2"/>
  <c r="E699" i="2"/>
  <c r="D699" i="2"/>
  <c r="C699" i="2"/>
  <c r="B699" i="2"/>
  <c r="A699" i="2"/>
  <c r="AH698" i="2"/>
  <c r="AF698" i="2"/>
  <c r="AE698" i="2"/>
  <c r="AD698" i="2"/>
  <c r="AC698" i="2"/>
  <c r="AB698" i="2"/>
  <c r="AA698" i="2"/>
  <c r="Z698" i="2"/>
  <c r="Y698" i="2"/>
  <c r="X698" i="2"/>
  <c r="W698" i="2"/>
  <c r="V698" i="2"/>
  <c r="U698" i="2"/>
  <c r="T698" i="2"/>
  <c r="S698" i="2"/>
  <c r="R698" i="2"/>
  <c r="Q698" i="2"/>
  <c r="P698" i="2"/>
  <c r="O698" i="2"/>
  <c r="N698" i="2"/>
  <c r="M698" i="2"/>
  <c r="L698" i="2"/>
  <c r="K698" i="2"/>
  <c r="H698" i="2"/>
  <c r="G698" i="2"/>
  <c r="F698" i="2"/>
  <c r="E698" i="2"/>
  <c r="D698" i="2"/>
  <c r="C698" i="2"/>
  <c r="B698" i="2"/>
  <c r="A698" i="2"/>
  <c r="AH697" i="2"/>
  <c r="AG697" i="2"/>
  <c r="AF697" i="2"/>
  <c r="AE697" i="2"/>
  <c r="AD697" i="2"/>
  <c r="AC697" i="2"/>
  <c r="AB697" i="2"/>
  <c r="AA697" i="2"/>
  <c r="Z697" i="2"/>
  <c r="Y697" i="2"/>
  <c r="X697" i="2"/>
  <c r="W697" i="2"/>
  <c r="V697" i="2"/>
  <c r="U697" i="2"/>
  <c r="T697" i="2"/>
  <c r="S697" i="2"/>
  <c r="R697" i="2"/>
  <c r="Q697" i="2"/>
  <c r="P697" i="2"/>
  <c r="O697" i="2"/>
  <c r="N697" i="2"/>
  <c r="M697" i="2"/>
  <c r="L697" i="2"/>
  <c r="K697" i="2"/>
  <c r="H697" i="2"/>
  <c r="G697" i="2"/>
  <c r="F697" i="2"/>
  <c r="E697" i="2"/>
  <c r="D697" i="2"/>
  <c r="C697" i="2"/>
  <c r="B697" i="2"/>
  <c r="A697" i="2"/>
  <c r="AH696" i="2"/>
  <c r="AG696" i="2"/>
  <c r="AF696" i="2"/>
  <c r="AE696" i="2"/>
  <c r="AD696" i="2"/>
  <c r="AC696" i="2"/>
  <c r="AB696" i="2"/>
  <c r="Z696" i="2"/>
  <c r="Y696" i="2"/>
  <c r="X696" i="2"/>
  <c r="W696" i="2"/>
  <c r="V696" i="2"/>
  <c r="U696" i="2"/>
  <c r="T696" i="2"/>
  <c r="S696" i="2"/>
  <c r="R696" i="2"/>
  <c r="Q696" i="2"/>
  <c r="P696" i="2"/>
  <c r="O696" i="2"/>
  <c r="N696" i="2"/>
  <c r="M696" i="2"/>
  <c r="L696" i="2"/>
  <c r="K696" i="2"/>
  <c r="H696" i="2"/>
  <c r="G696" i="2"/>
  <c r="F696" i="2"/>
  <c r="E696" i="2"/>
  <c r="D696" i="2"/>
  <c r="C696" i="2"/>
  <c r="B696" i="2"/>
  <c r="A696" i="2"/>
  <c r="AH695" i="2"/>
  <c r="AG695" i="2"/>
  <c r="AF695" i="2"/>
  <c r="AD695" i="2"/>
  <c r="AC695" i="2"/>
  <c r="AB695" i="2"/>
  <c r="Z695" i="2"/>
  <c r="Y695" i="2"/>
  <c r="X695" i="2"/>
  <c r="W695" i="2"/>
  <c r="V695" i="2"/>
  <c r="U695" i="2"/>
  <c r="S695" i="2"/>
  <c r="R695" i="2"/>
  <c r="Q695" i="2"/>
  <c r="P695" i="2"/>
  <c r="O695" i="2"/>
  <c r="N695" i="2"/>
  <c r="M695" i="2"/>
  <c r="L695" i="2"/>
  <c r="K695" i="2"/>
  <c r="H695" i="2"/>
  <c r="G695" i="2"/>
  <c r="F695" i="2"/>
  <c r="E695" i="2"/>
  <c r="D695" i="2"/>
  <c r="C695" i="2"/>
  <c r="B695" i="2"/>
  <c r="A695" i="2"/>
  <c r="AH694" i="2"/>
  <c r="AF694" i="2"/>
  <c r="AE694" i="2"/>
  <c r="AD694" i="2"/>
  <c r="AC694" i="2"/>
  <c r="AB694" i="2"/>
  <c r="AA694" i="2"/>
  <c r="Z694" i="2"/>
  <c r="Y694" i="2"/>
  <c r="X694" i="2"/>
  <c r="W694" i="2"/>
  <c r="V694" i="2"/>
  <c r="U694" i="2"/>
  <c r="Q694" i="2"/>
  <c r="P694" i="2"/>
  <c r="O694" i="2"/>
  <c r="N694" i="2"/>
  <c r="M694" i="2"/>
  <c r="L694" i="2"/>
  <c r="K694" i="2"/>
  <c r="H694" i="2"/>
  <c r="G694" i="2"/>
  <c r="F694" i="2"/>
  <c r="E694" i="2"/>
  <c r="D694" i="2"/>
  <c r="C694" i="2"/>
  <c r="B694" i="2"/>
  <c r="A694" i="2"/>
  <c r="AH693" i="2"/>
  <c r="AG693" i="2"/>
  <c r="AF693" i="2"/>
  <c r="AE693" i="2"/>
  <c r="AD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H692" i="2"/>
  <c r="AG692" i="2"/>
  <c r="AF692" i="2"/>
  <c r="AE692" i="2"/>
  <c r="AD692" i="2"/>
  <c r="AC692" i="2"/>
  <c r="AB692" i="2"/>
  <c r="Z692" i="2"/>
  <c r="Y692" i="2"/>
  <c r="X692" i="2"/>
  <c r="W692" i="2"/>
  <c r="V692" i="2"/>
  <c r="U692" i="2"/>
  <c r="T692" i="2"/>
  <c r="S692" i="2"/>
  <c r="R692" i="2"/>
  <c r="Q692" i="2"/>
  <c r="P692" i="2"/>
  <c r="O692" i="2"/>
  <c r="N692" i="2"/>
  <c r="M692" i="2"/>
  <c r="L692" i="2"/>
  <c r="K692" i="2"/>
  <c r="J692" i="2"/>
  <c r="I692" i="2"/>
  <c r="H692" i="2"/>
  <c r="G692" i="2"/>
  <c r="F692" i="2"/>
  <c r="E692" i="2"/>
  <c r="D692" i="2"/>
  <c r="C692" i="2"/>
  <c r="B692" i="2"/>
  <c r="A692" i="2"/>
  <c r="AH691" i="2"/>
  <c r="AF691" i="2"/>
  <c r="AE691" i="2"/>
  <c r="AD691" i="2"/>
  <c r="AC691" i="2"/>
  <c r="AB691" i="2"/>
  <c r="Z691" i="2"/>
  <c r="X691" i="2"/>
  <c r="W691" i="2"/>
  <c r="V691" i="2"/>
  <c r="U691" i="2"/>
  <c r="T691" i="2"/>
  <c r="S691" i="2"/>
  <c r="R691" i="2"/>
  <c r="Q691" i="2"/>
  <c r="P691" i="2"/>
  <c r="O691" i="2"/>
  <c r="N691" i="2"/>
  <c r="M691" i="2"/>
  <c r="L691" i="2"/>
  <c r="K691" i="2"/>
  <c r="H691" i="2"/>
  <c r="G691" i="2"/>
  <c r="F691" i="2"/>
  <c r="E691" i="2"/>
  <c r="D691" i="2"/>
  <c r="C691" i="2"/>
  <c r="B691" i="2"/>
  <c r="A691" i="2"/>
  <c r="AH690" i="2"/>
  <c r="AG690" i="2"/>
  <c r="AF690" i="2"/>
  <c r="AD690" i="2"/>
  <c r="AC690" i="2"/>
  <c r="AB690" i="2"/>
  <c r="Z690" i="2"/>
  <c r="X690" i="2"/>
  <c r="W690" i="2"/>
  <c r="V690" i="2"/>
  <c r="U690" i="2"/>
  <c r="T690" i="2"/>
  <c r="S690" i="2"/>
  <c r="R690" i="2"/>
  <c r="Q690" i="2"/>
  <c r="P690" i="2"/>
  <c r="O690" i="2"/>
  <c r="N690" i="2"/>
  <c r="M690" i="2"/>
  <c r="L690" i="2"/>
  <c r="K690" i="2"/>
  <c r="H690" i="2"/>
  <c r="G690" i="2"/>
  <c r="F690" i="2"/>
  <c r="E690" i="2"/>
  <c r="D690" i="2"/>
  <c r="C690" i="2"/>
  <c r="B690" i="2"/>
  <c r="A690" i="2"/>
  <c r="AH689" i="2"/>
  <c r="AF689" i="2"/>
  <c r="AE689" i="2"/>
  <c r="AD689" i="2"/>
  <c r="AC689" i="2"/>
  <c r="AB689" i="2"/>
  <c r="AA689" i="2"/>
  <c r="Z689" i="2"/>
  <c r="Y689" i="2"/>
  <c r="X689" i="2"/>
  <c r="W689" i="2"/>
  <c r="V689" i="2"/>
  <c r="U689" i="2"/>
  <c r="T689" i="2"/>
  <c r="S689" i="2"/>
  <c r="R689" i="2"/>
  <c r="Q689" i="2"/>
  <c r="P689" i="2"/>
  <c r="O689" i="2"/>
  <c r="N689" i="2"/>
  <c r="M689" i="2"/>
  <c r="L689" i="2"/>
  <c r="K689" i="2"/>
  <c r="H689" i="2"/>
  <c r="G689" i="2"/>
  <c r="F689" i="2"/>
  <c r="E689" i="2"/>
  <c r="D689" i="2"/>
  <c r="C689" i="2"/>
  <c r="B689" i="2"/>
  <c r="A689" i="2"/>
  <c r="AH688" i="2"/>
  <c r="AG688" i="2"/>
  <c r="AF688" i="2"/>
  <c r="AE688" i="2"/>
  <c r="AD688" i="2"/>
  <c r="AC688" i="2"/>
  <c r="AB688" i="2"/>
  <c r="AA688" i="2"/>
  <c r="Z688" i="2"/>
  <c r="Y688" i="2"/>
  <c r="X688" i="2"/>
  <c r="W688" i="2"/>
  <c r="V688" i="2"/>
  <c r="U688" i="2"/>
  <c r="R688" i="2"/>
  <c r="Q688" i="2"/>
  <c r="P688" i="2"/>
  <c r="O688" i="2"/>
  <c r="N688" i="2"/>
  <c r="M688" i="2"/>
  <c r="L688" i="2"/>
  <c r="K688" i="2"/>
  <c r="H688" i="2"/>
  <c r="G688" i="2"/>
  <c r="F688" i="2"/>
  <c r="E688" i="2"/>
  <c r="D688" i="2"/>
  <c r="C688" i="2"/>
  <c r="B688" i="2"/>
  <c r="A688" i="2"/>
  <c r="AH687" i="2"/>
  <c r="AG687" i="2"/>
  <c r="AF687" i="2"/>
  <c r="AE687" i="2"/>
  <c r="AD687" i="2"/>
  <c r="AC687" i="2"/>
  <c r="AB687" i="2"/>
  <c r="Z687" i="2"/>
  <c r="Y687" i="2"/>
  <c r="X687" i="2"/>
  <c r="W687" i="2"/>
  <c r="V687" i="2"/>
  <c r="U687" i="2"/>
  <c r="T687" i="2"/>
  <c r="S687" i="2"/>
  <c r="R687" i="2"/>
  <c r="Q687" i="2"/>
  <c r="P687" i="2"/>
  <c r="O687" i="2"/>
  <c r="N687" i="2"/>
  <c r="M687" i="2"/>
  <c r="L687" i="2"/>
  <c r="K687" i="2"/>
  <c r="H687" i="2"/>
  <c r="G687" i="2"/>
  <c r="F687" i="2"/>
  <c r="E687" i="2"/>
  <c r="D687" i="2"/>
  <c r="C687" i="2"/>
  <c r="B687" i="2"/>
  <c r="A687" i="2"/>
  <c r="AH686" i="2"/>
  <c r="AG686" i="2"/>
  <c r="AF686" i="2"/>
  <c r="AE686" i="2"/>
  <c r="AD686" i="2"/>
  <c r="AC686" i="2"/>
  <c r="AB686" i="2"/>
  <c r="Z686" i="2"/>
  <c r="Y686" i="2"/>
  <c r="X686" i="2"/>
  <c r="W686" i="2"/>
  <c r="V686" i="2"/>
  <c r="U686" i="2"/>
  <c r="T686" i="2"/>
  <c r="S686" i="2"/>
  <c r="R686" i="2"/>
  <c r="Q686" i="2"/>
  <c r="P686" i="2"/>
  <c r="O686" i="2"/>
  <c r="N686" i="2"/>
  <c r="M686" i="2"/>
  <c r="L686" i="2"/>
  <c r="K686" i="2"/>
  <c r="H686" i="2"/>
  <c r="G686" i="2"/>
  <c r="F686" i="2"/>
  <c r="E686" i="2"/>
  <c r="D686" i="2"/>
  <c r="C686" i="2"/>
  <c r="B686" i="2"/>
  <c r="A686" i="2"/>
  <c r="AH685" i="2"/>
  <c r="AG685" i="2"/>
  <c r="AF685" i="2"/>
  <c r="AE685" i="2"/>
  <c r="AD685" i="2"/>
  <c r="AC685" i="2"/>
  <c r="AB685" i="2"/>
  <c r="Z685" i="2"/>
  <c r="Y685" i="2"/>
  <c r="X685" i="2"/>
  <c r="W685" i="2"/>
  <c r="V685" i="2"/>
  <c r="T685" i="2"/>
  <c r="S685" i="2"/>
  <c r="R685" i="2"/>
  <c r="Q685" i="2"/>
  <c r="P685" i="2"/>
  <c r="O685" i="2"/>
  <c r="N685" i="2"/>
  <c r="M685" i="2"/>
  <c r="L685" i="2"/>
  <c r="K685" i="2"/>
  <c r="H685" i="2"/>
  <c r="G685" i="2"/>
  <c r="F685" i="2"/>
  <c r="E685" i="2"/>
  <c r="D685" i="2"/>
  <c r="C685" i="2"/>
  <c r="B685" i="2"/>
  <c r="A685" i="2"/>
  <c r="AH684" i="2"/>
  <c r="AF684" i="2"/>
  <c r="AE684" i="2"/>
  <c r="AD684" i="2"/>
  <c r="AC684" i="2"/>
  <c r="AB684" i="2"/>
  <c r="AA684" i="2"/>
  <c r="Z684" i="2"/>
  <c r="Y684" i="2"/>
  <c r="X684" i="2"/>
  <c r="W684" i="2"/>
  <c r="V684" i="2"/>
  <c r="U684" i="2"/>
  <c r="T684" i="2"/>
  <c r="S684" i="2"/>
  <c r="R684" i="2"/>
  <c r="Q684" i="2"/>
  <c r="P684" i="2"/>
  <c r="O684" i="2"/>
  <c r="N684" i="2"/>
  <c r="M684" i="2"/>
  <c r="L684" i="2"/>
  <c r="K684" i="2"/>
  <c r="H684" i="2"/>
  <c r="G684" i="2"/>
  <c r="F684" i="2"/>
  <c r="E684" i="2"/>
  <c r="D684" i="2"/>
  <c r="C684" i="2"/>
  <c r="B684" i="2"/>
  <c r="A684" i="2"/>
  <c r="AH683" i="2"/>
  <c r="AG683" i="2"/>
  <c r="AF683" i="2"/>
  <c r="AE683" i="2"/>
  <c r="AD683" i="2"/>
  <c r="AC683" i="2"/>
  <c r="AB683" i="2"/>
  <c r="AA683" i="2"/>
  <c r="Z683" i="2"/>
  <c r="Y683" i="2"/>
  <c r="X683" i="2"/>
  <c r="W683" i="2"/>
  <c r="V683" i="2"/>
  <c r="U683" i="2"/>
  <c r="T683" i="2"/>
  <c r="S683" i="2"/>
  <c r="R683" i="2"/>
  <c r="Q683" i="2"/>
  <c r="P683" i="2"/>
  <c r="O683" i="2"/>
  <c r="N683" i="2"/>
  <c r="M683" i="2"/>
  <c r="L683" i="2"/>
  <c r="K683" i="2"/>
  <c r="H683" i="2"/>
  <c r="G683" i="2"/>
  <c r="F683" i="2"/>
  <c r="E683" i="2"/>
  <c r="D683" i="2"/>
  <c r="C683" i="2"/>
  <c r="B683" i="2"/>
  <c r="A683" i="2"/>
  <c r="AH682" i="2"/>
  <c r="AG682" i="2"/>
  <c r="AF682" i="2"/>
  <c r="AE682" i="2"/>
  <c r="AD682" i="2"/>
  <c r="AC682" i="2"/>
  <c r="AB682" i="2"/>
  <c r="Y682" i="2"/>
  <c r="X682" i="2"/>
  <c r="W682" i="2"/>
  <c r="V682" i="2"/>
  <c r="U682" i="2"/>
  <c r="T682" i="2"/>
  <c r="S682" i="2"/>
  <c r="R682" i="2"/>
  <c r="Q682" i="2"/>
  <c r="P682" i="2"/>
  <c r="O682" i="2"/>
  <c r="N682" i="2"/>
  <c r="M682" i="2"/>
  <c r="L682" i="2"/>
  <c r="K682" i="2"/>
  <c r="H682" i="2"/>
  <c r="G682" i="2"/>
  <c r="F682" i="2"/>
  <c r="E682" i="2"/>
  <c r="D682" i="2"/>
  <c r="C682" i="2"/>
  <c r="B682" i="2"/>
  <c r="A682" i="2"/>
  <c r="AH681" i="2"/>
  <c r="AF681" i="2"/>
  <c r="AE681" i="2"/>
  <c r="AD681" i="2"/>
  <c r="AC681" i="2"/>
  <c r="AB681" i="2"/>
  <c r="Y681" i="2"/>
  <c r="X681" i="2"/>
  <c r="W681" i="2"/>
  <c r="V681" i="2"/>
  <c r="U681" i="2"/>
  <c r="T681" i="2"/>
  <c r="S681" i="2"/>
  <c r="R681" i="2"/>
  <c r="Q681" i="2"/>
  <c r="P681" i="2"/>
  <c r="O681" i="2"/>
  <c r="N681" i="2"/>
  <c r="M681" i="2"/>
  <c r="L681" i="2"/>
  <c r="K681" i="2"/>
  <c r="H681" i="2"/>
  <c r="G681" i="2"/>
  <c r="F681" i="2"/>
  <c r="E681" i="2"/>
  <c r="D681" i="2"/>
  <c r="C681" i="2"/>
  <c r="B681" i="2"/>
  <c r="A681" i="2"/>
  <c r="AH680" i="2"/>
  <c r="AG680" i="2"/>
  <c r="AF680" i="2"/>
  <c r="AD680" i="2"/>
  <c r="AC680" i="2"/>
  <c r="AB680" i="2"/>
  <c r="Z680" i="2"/>
  <c r="Y680" i="2"/>
  <c r="X680" i="2"/>
  <c r="W680" i="2"/>
  <c r="V680" i="2"/>
  <c r="U680" i="2"/>
  <c r="T680" i="2"/>
  <c r="S680" i="2"/>
  <c r="R680" i="2"/>
  <c r="Q680" i="2"/>
  <c r="P680" i="2"/>
  <c r="O680" i="2"/>
  <c r="N680" i="2"/>
  <c r="M680" i="2"/>
  <c r="L680" i="2"/>
  <c r="K680" i="2"/>
  <c r="H680" i="2"/>
  <c r="G680" i="2"/>
  <c r="F680" i="2"/>
  <c r="E680" i="2"/>
  <c r="D680" i="2"/>
  <c r="C680" i="2"/>
  <c r="B680" i="2"/>
  <c r="A680" i="2"/>
  <c r="AH679" i="2"/>
  <c r="AG679" i="2"/>
  <c r="AF679" i="2"/>
  <c r="AE679" i="2"/>
  <c r="AD679" i="2"/>
  <c r="AC679" i="2"/>
  <c r="AB679" i="2"/>
  <c r="AA679" i="2"/>
  <c r="Z679" i="2"/>
  <c r="X679" i="2"/>
  <c r="W679" i="2"/>
  <c r="V679" i="2"/>
  <c r="U679" i="2"/>
  <c r="T679" i="2"/>
  <c r="S679" i="2"/>
  <c r="R679" i="2"/>
  <c r="Q679" i="2"/>
  <c r="P679" i="2"/>
  <c r="O679" i="2"/>
  <c r="N679" i="2"/>
  <c r="M679" i="2"/>
  <c r="L679" i="2"/>
  <c r="K679" i="2"/>
  <c r="H679" i="2"/>
  <c r="G679" i="2"/>
  <c r="F679" i="2"/>
  <c r="E679" i="2"/>
  <c r="D679" i="2"/>
  <c r="C679" i="2"/>
  <c r="B679" i="2"/>
  <c r="A679" i="2"/>
  <c r="AH678" i="2"/>
  <c r="AG678" i="2"/>
  <c r="AF678" i="2"/>
  <c r="AE678" i="2"/>
  <c r="AD678" i="2"/>
  <c r="AC678" i="2"/>
  <c r="AB678" i="2"/>
  <c r="Z678" i="2"/>
  <c r="X678" i="2"/>
  <c r="W678" i="2"/>
  <c r="V678" i="2"/>
  <c r="T678" i="2"/>
  <c r="S678" i="2"/>
  <c r="R678" i="2"/>
  <c r="Q678" i="2"/>
  <c r="P678" i="2"/>
  <c r="O678" i="2"/>
  <c r="N678" i="2"/>
  <c r="M678" i="2"/>
  <c r="L678" i="2"/>
  <c r="K678" i="2"/>
  <c r="J678" i="2"/>
  <c r="I678" i="2"/>
  <c r="H678" i="2"/>
  <c r="G678" i="2"/>
  <c r="F678" i="2"/>
  <c r="E678" i="2"/>
  <c r="D678" i="2"/>
  <c r="C678" i="2"/>
  <c r="B678" i="2"/>
  <c r="A678" i="2"/>
  <c r="AH677" i="2"/>
  <c r="AD677" i="2"/>
  <c r="AC677" i="2"/>
  <c r="AB677" i="2"/>
  <c r="Y677" i="2"/>
  <c r="X677" i="2"/>
  <c r="W677" i="2"/>
  <c r="V677" i="2"/>
  <c r="U677" i="2"/>
  <c r="T677" i="2"/>
  <c r="S677" i="2"/>
  <c r="R677" i="2"/>
  <c r="Q677" i="2"/>
  <c r="P677" i="2"/>
  <c r="O677" i="2"/>
  <c r="N677" i="2"/>
  <c r="M677" i="2"/>
  <c r="L677" i="2"/>
  <c r="K677" i="2"/>
  <c r="H677" i="2"/>
  <c r="G677" i="2"/>
  <c r="F677" i="2"/>
  <c r="E677" i="2"/>
  <c r="D677" i="2"/>
  <c r="C677" i="2"/>
  <c r="B677" i="2"/>
  <c r="A677" i="2"/>
  <c r="AH676" i="2"/>
  <c r="AG676" i="2"/>
  <c r="AF676" i="2"/>
  <c r="AE676" i="2"/>
  <c r="AD676" i="2"/>
  <c r="AC676" i="2"/>
  <c r="AB676" i="2"/>
  <c r="X676" i="2"/>
  <c r="W676" i="2"/>
  <c r="V676" i="2"/>
  <c r="U676" i="2"/>
  <c r="T676" i="2"/>
  <c r="S676" i="2"/>
  <c r="R676" i="2"/>
  <c r="Q676" i="2"/>
  <c r="P676" i="2"/>
  <c r="O676" i="2"/>
  <c r="N676" i="2"/>
  <c r="M676" i="2"/>
  <c r="L676" i="2"/>
  <c r="K676" i="2"/>
  <c r="H676" i="2"/>
  <c r="G676" i="2"/>
  <c r="F676" i="2"/>
  <c r="E676" i="2"/>
  <c r="D676" i="2"/>
  <c r="C676" i="2"/>
  <c r="B676" i="2"/>
  <c r="A676" i="2"/>
  <c r="AH675" i="2"/>
  <c r="AG675" i="2"/>
  <c r="AF675" i="2"/>
  <c r="AE675" i="2"/>
  <c r="AD675" i="2"/>
  <c r="AC675" i="2"/>
  <c r="AB675" i="2"/>
  <c r="Y675" i="2"/>
  <c r="X675" i="2"/>
  <c r="W675" i="2"/>
  <c r="V675" i="2"/>
  <c r="U675" i="2"/>
  <c r="T675" i="2"/>
  <c r="S675" i="2"/>
  <c r="R675" i="2"/>
  <c r="Q675" i="2"/>
  <c r="P675" i="2"/>
  <c r="O675" i="2"/>
  <c r="N675" i="2"/>
  <c r="M675" i="2"/>
  <c r="L675" i="2"/>
  <c r="K675" i="2"/>
  <c r="H675" i="2"/>
  <c r="G675" i="2"/>
  <c r="F675" i="2"/>
  <c r="E675" i="2"/>
  <c r="D675" i="2"/>
  <c r="C675" i="2"/>
  <c r="B675" i="2"/>
  <c r="A675" i="2"/>
  <c r="AH674" i="2"/>
  <c r="AG674" i="2"/>
  <c r="AF674" i="2"/>
  <c r="AE674" i="2"/>
  <c r="AD674" i="2"/>
  <c r="AC674" i="2"/>
  <c r="AB674" i="2"/>
  <c r="Z674" i="2"/>
  <c r="Y674" i="2"/>
  <c r="X674" i="2"/>
  <c r="W674" i="2"/>
  <c r="V674" i="2"/>
  <c r="U674" i="2"/>
  <c r="T674" i="2"/>
  <c r="S674" i="2"/>
  <c r="R674" i="2"/>
  <c r="Q674" i="2"/>
  <c r="P674" i="2"/>
  <c r="O674" i="2"/>
  <c r="N674" i="2"/>
  <c r="M674" i="2"/>
  <c r="L674" i="2"/>
  <c r="K674" i="2"/>
  <c r="H674" i="2"/>
  <c r="G674" i="2"/>
  <c r="F674" i="2"/>
  <c r="E674" i="2"/>
  <c r="D674" i="2"/>
  <c r="C674" i="2"/>
  <c r="B674" i="2"/>
  <c r="A674" i="2"/>
  <c r="AH673" i="2"/>
  <c r="AG673" i="2"/>
  <c r="AF673" i="2"/>
  <c r="AE673" i="2"/>
  <c r="AD673" i="2"/>
  <c r="AC673" i="2"/>
  <c r="AB673" i="2"/>
  <c r="Z673" i="2"/>
  <c r="Y673" i="2"/>
  <c r="X673" i="2"/>
  <c r="W673" i="2"/>
  <c r="V673" i="2"/>
  <c r="U673" i="2"/>
  <c r="T673" i="2"/>
  <c r="S673" i="2"/>
  <c r="R673" i="2"/>
  <c r="Q673" i="2"/>
  <c r="P673" i="2"/>
  <c r="O673" i="2"/>
  <c r="N673" i="2"/>
  <c r="M673" i="2"/>
  <c r="L673" i="2"/>
  <c r="K673" i="2"/>
  <c r="H673" i="2"/>
  <c r="G673" i="2"/>
  <c r="F673" i="2"/>
  <c r="E673" i="2"/>
  <c r="D673" i="2"/>
  <c r="C673" i="2"/>
  <c r="B673" i="2"/>
  <c r="A673" i="2"/>
  <c r="AH672" i="2"/>
  <c r="AF672" i="2"/>
  <c r="AE672" i="2"/>
  <c r="AD672" i="2"/>
  <c r="AC672" i="2"/>
  <c r="AB672" i="2"/>
  <c r="AA672" i="2"/>
  <c r="Z672" i="2"/>
  <c r="Y672" i="2"/>
  <c r="X672" i="2"/>
  <c r="W672" i="2"/>
  <c r="V672" i="2"/>
  <c r="U672" i="2"/>
  <c r="T672" i="2"/>
  <c r="S672" i="2"/>
  <c r="R672" i="2"/>
  <c r="Q672" i="2"/>
  <c r="P672" i="2"/>
  <c r="O672" i="2"/>
  <c r="N672" i="2"/>
  <c r="M672" i="2"/>
  <c r="L672" i="2"/>
  <c r="K672" i="2"/>
  <c r="H672" i="2"/>
  <c r="G672" i="2"/>
  <c r="F672" i="2"/>
  <c r="E672" i="2"/>
  <c r="D672" i="2"/>
  <c r="C672" i="2"/>
  <c r="B672" i="2"/>
  <c r="A672" i="2"/>
  <c r="AH671" i="2"/>
  <c r="AF671" i="2"/>
  <c r="AE671" i="2"/>
  <c r="AD671" i="2"/>
  <c r="AC671" i="2"/>
  <c r="AB671" i="2"/>
  <c r="AA671" i="2"/>
  <c r="Z671" i="2"/>
  <c r="Y671" i="2"/>
  <c r="X671" i="2"/>
  <c r="W671" i="2"/>
  <c r="V671" i="2"/>
  <c r="U671" i="2"/>
  <c r="T671" i="2"/>
  <c r="S671" i="2"/>
  <c r="R671" i="2"/>
  <c r="Q671" i="2"/>
  <c r="P671" i="2"/>
  <c r="O671" i="2"/>
  <c r="N671" i="2"/>
  <c r="M671" i="2"/>
  <c r="L671" i="2"/>
  <c r="K671" i="2"/>
  <c r="H671" i="2"/>
  <c r="G671" i="2"/>
  <c r="F671" i="2"/>
  <c r="E671" i="2"/>
  <c r="D671" i="2"/>
  <c r="C671" i="2"/>
  <c r="B671" i="2"/>
  <c r="A671" i="2"/>
  <c r="AH670" i="2"/>
  <c r="AF670" i="2"/>
  <c r="AE670" i="2"/>
  <c r="AD670" i="2"/>
  <c r="AC670" i="2"/>
  <c r="AB670" i="2"/>
  <c r="Y670" i="2"/>
  <c r="X670" i="2"/>
  <c r="W670" i="2"/>
  <c r="V670" i="2"/>
  <c r="U670" i="2"/>
  <c r="T670" i="2"/>
  <c r="S670" i="2"/>
  <c r="R670" i="2"/>
  <c r="Q670" i="2"/>
  <c r="P670" i="2"/>
  <c r="O670" i="2"/>
  <c r="N670" i="2"/>
  <c r="M670" i="2"/>
  <c r="L670" i="2"/>
  <c r="K670" i="2"/>
  <c r="H670" i="2"/>
  <c r="G670" i="2"/>
  <c r="F670" i="2"/>
  <c r="E670" i="2"/>
  <c r="D670" i="2"/>
  <c r="C670" i="2"/>
  <c r="B670" i="2"/>
  <c r="A670" i="2"/>
  <c r="AH669" i="2"/>
  <c r="AE669" i="2"/>
  <c r="AD669" i="2"/>
  <c r="AC669" i="2"/>
  <c r="AB669" i="2"/>
  <c r="X669" i="2"/>
  <c r="W669" i="2"/>
  <c r="V669" i="2"/>
  <c r="U669" i="2"/>
  <c r="T669" i="2"/>
  <c r="S669" i="2"/>
  <c r="R669" i="2"/>
  <c r="Q669" i="2"/>
  <c r="P669" i="2"/>
  <c r="O669" i="2"/>
  <c r="N669" i="2"/>
  <c r="M669" i="2"/>
  <c r="L669" i="2"/>
  <c r="K669" i="2"/>
  <c r="H669" i="2"/>
  <c r="G669" i="2"/>
  <c r="F669" i="2"/>
  <c r="E669" i="2"/>
  <c r="D669" i="2"/>
  <c r="C669" i="2"/>
  <c r="B669" i="2"/>
  <c r="A669" i="2"/>
  <c r="AH668" i="2"/>
  <c r="AG668" i="2"/>
  <c r="AF668" i="2"/>
  <c r="AE668" i="2"/>
  <c r="AD668" i="2"/>
  <c r="AC668" i="2"/>
  <c r="AB668" i="2"/>
  <c r="AA668" i="2"/>
  <c r="Z668" i="2"/>
  <c r="X668" i="2"/>
  <c r="W668" i="2"/>
  <c r="V668" i="2"/>
  <c r="U668" i="2"/>
  <c r="T668" i="2"/>
  <c r="S668" i="2"/>
  <c r="R668" i="2"/>
  <c r="Q668" i="2"/>
  <c r="P668" i="2"/>
  <c r="O668" i="2"/>
  <c r="N668" i="2"/>
  <c r="M668" i="2"/>
  <c r="L668" i="2"/>
  <c r="K668" i="2"/>
  <c r="H668" i="2"/>
  <c r="G668" i="2"/>
  <c r="F668" i="2"/>
  <c r="E668" i="2"/>
  <c r="D668" i="2"/>
  <c r="C668" i="2"/>
  <c r="B668" i="2"/>
  <c r="A668" i="2"/>
  <c r="AH667" i="2"/>
  <c r="AF667" i="2"/>
  <c r="AE667" i="2"/>
  <c r="AD667" i="2"/>
  <c r="AC667" i="2"/>
  <c r="AB667" i="2"/>
  <c r="AA667" i="2"/>
  <c r="Z667" i="2"/>
  <c r="X667" i="2"/>
  <c r="W667" i="2"/>
  <c r="V667" i="2"/>
  <c r="U667" i="2"/>
  <c r="T667" i="2"/>
  <c r="S667" i="2"/>
  <c r="R667" i="2"/>
  <c r="Q667" i="2"/>
  <c r="P667" i="2"/>
  <c r="O667" i="2"/>
  <c r="N667" i="2"/>
  <c r="M667" i="2"/>
  <c r="L667" i="2"/>
  <c r="K667" i="2"/>
  <c r="H667" i="2"/>
  <c r="G667" i="2"/>
  <c r="F667" i="2"/>
  <c r="E667" i="2"/>
  <c r="D667" i="2"/>
  <c r="C667" i="2"/>
  <c r="B667" i="2"/>
  <c r="A667" i="2"/>
  <c r="AH666" i="2"/>
  <c r="AG666" i="2"/>
  <c r="AF666" i="2"/>
  <c r="AE666" i="2"/>
  <c r="AD666" i="2"/>
  <c r="AC666" i="2"/>
  <c r="AB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H665" i="2"/>
  <c r="AG665" i="2"/>
  <c r="AF665" i="2"/>
  <c r="AE665" i="2"/>
  <c r="AD665" i="2"/>
  <c r="AC665" i="2"/>
  <c r="AB665" i="2"/>
  <c r="Z665" i="2"/>
  <c r="Y665" i="2"/>
  <c r="X665" i="2"/>
  <c r="W665" i="2"/>
  <c r="V665" i="2"/>
  <c r="U665" i="2"/>
  <c r="T665" i="2"/>
  <c r="S665" i="2"/>
  <c r="R665" i="2"/>
  <c r="Q665" i="2"/>
  <c r="P665" i="2"/>
  <c r="O665" i="2"/>
  <c r="N665" i="2"/>
  <c r="M665" i="2"/>
  <c r="L665" i="2"/>
  <c r="K665" i="2"/>
  <c r="H665" i="2"/>
  <c r="G665" i="2"/>
  <c r="F665" i="2"/>
  <c r="E665" i="2"/>
  <c r="D665" i="2"/>
  <c r="C665" i="2"/>
  <c r="B665" i="2"/>
  <c r="A665" i="2"/>
  <c r="AH664" i="2"/>
  <c r="AG664" i="2"/>
  <c r="AF664" i="2"/>
  <c r="AE664" i="2"/>
  <c r="AD664" i="2"/>
  <c r="AC664" i="2"/>
  <c r="AB664" i="2"/>
  <c r="X664" i="2"/>
  <c r="W664" i="2"/>
  <c r="V664" i="2"/>
  <c r="U664" i="2"/>
  <c r="T664" i="2"/>
  <c r="S664" i="2"/>
  <c r="R664" i="2"/>
  <c r="Q664" i="2"/>
  <c r="P664" i="2"/>
  <c r="O664" i="2"/>
  <c r="N664" i="2"/>
  <c r="M664" i="2"/>
  <c r="L664" i="2"/>
  <c r="K664" i="2"/>
  <c r="H664" i="2"/>
  <c r="G664" i="2"/>
  <c r="F664" i="2"/>
  <c r="E664" i="2"/>
  <c r="D664" i="2"/>
  <c r="C664" i="2"/>
  <c r="B664" i="2"/>
  <c r="A664" i="2"/>
  <c r="AH663" i="2"/>
  <c r="AG663" i="2"/>
  <c r="AF663" i="2"/>
  <c r="AE663" i="2"/>
  <c r="AD663" i="2"/>
  <c r="AC663" i="2"/>
  <c r="AB663" i="2"/>
  <c r="AA663" i="2"/>
  <c r="Z663" i="2"/>
  <c r="Y663" i="2"/>
  <c r="X663" i="2"/>
  <c r="W663" i="2"/>
  <c r="V663" i="2"/>
  <c r="U663" i="2"/>
  <c r="T663" i="2"/>
  <c r="S663" i="2"/>
  <c r="R663" i="2"/>
  <c r="Q663" i="2"/>
  <c r="P663" i="2"/>
  <c r="O663" i="2"/>
  <c r="N663" i="2"/>
  <c r="M663" i="2"/>
  <c r="L663" i="2"/>
  <c r="K663" i="2"/>
  <c r="H663" i="2"/>
  <c r="G663" i="2"/>
  <c r="F663" i="2"/>
  <c r="E663" i="2"/>
  <c r="D663" i="2"/>
  <c r="C663" i="2"/>
  <c r="B663" i="2"/>
  <c r="A663" i="2"/>
  <c r="AH662" i="2"/>
  <c r="AG662" i="2"/>
  <c r="AF662" i="2"/>
  <c r="AE662" i="2"/>
  <c r="AD662" i="2"/>
  <c r="AC662" i="2"/>
  <c r="AB662" i="2"/>
  <c r="Z662" i="2"/>
  <c r="Y662" i="2"/>
  <c r="X662" i="2"/>
  <c r="W662" i="2"/>
  <c r="V662" i="2"/>
  <c r="U662" i="2"/>
  <c r="T662" i="2"/>
  <c r="S662" i="2"/>
  <c r="R662" i="2"/>
  <c r="Q662" i="2"/>
  <c r="P662" i="2"/>
  <c r="N662" i="2"/>
  <c r="M662" i="2"/>
  <c r="L662" i="2"/>
  <c r="K662" i="2"/>
  <c r="H662" i="2"/>
  <c r="G662" i="2"/>
  <c r="F662" i="2"/>
  <c r="E662" i="2"/>
  <c r="D662" i="2"/>
  <c r="C662" i="2"/>
  <c r="B662" i="2"/>
  <c r="A662" i="2"/>
  <c r="AH661" i="2"/>
  <c r="AG661" i="2"/>
  <c r="AF661" i="2"/>
  <c r="AE661" i="2"/>
  <c r="AD661" i="2"/>
  <c r="AC661" i="2"/>
  <c r="AB661" i="2"/>
  <c r="Z661" i="2"/>
  <c r="Y661" i="2"/>
  <c r="X661" i="2"/>
  <c r="W661" i="2"/>
  <c r="V661" i="2"/>
  <c r="U661" i="2"/>
  <c r="T661" i="2"/>
  <c r="S661" i="2"/>
  <c r="R661" i="2"/>
  <c r="Q661" i="2"/>
  <c r="P661" i="2"/>
  <c r="O661" i="2"/>
  <c r="N661" i="2"/>
  <c r="M661" i="2"/>
  <c r="L661" i="2"/>
  <c r="K661" i="2"/>
  <c r="H661" i="2"/>
  <c r="G661" i="2"/>
  <c r="F661" i="2"/>
  <c r="E661" i="2"/>
  <c r="D661" i="2"/>
  <c r="C661" i="2"/>
  <c r="B661" i="2"/>
  <c r="A661" i="2"/>
  <c r="AH660" i="2"/>
  <c r="AG660" i="2"/>
  <c r="AF660" i="2"/>
  <c r="AE660" i="2"/>
  <c r="AD660" i="2"/>
  <c r="AC660" i="2"/>
  <c r="AB660" i="2"/>
  <c r="AA660" i="2"/>
  <c r="Z660" i="2"/>
  <c r="Y660" i="2"/>
  <c r="X660" i="2"/>
  <c r="W660" i="2"/>
  <c r="V660" i="2"/>
  <c r="U660" i="2"/>
  <c r="T660" i="2"/>
  <c r="S660" i="2"/>
  <c r="R660" i="2"/>
  <c r="Q660" i="2"/>
  <c r="P660" i="2"/>
  <c r="O660" i="2"/>
  <c r="N660" i="2"/>
  <c r="M660" i="2"/>
  <c r="L660" i="2"/>
  <c r="K660" i="2"/>
  <c r="J660" i="2"/>
  <c r="H660" i="2"/>
  <c r="G660" i="2"/>
  <c r="F660" i="2"/>
  <c r="E660" i="2"/>
  <c r="D660" i="2"/>
  <c r="C660" i="2"/>
  <c r="B660" i="2"/>
  <c r="A660" i="2"/>
  <c r="AH659" i="2"/>
  <c r="AF659" i="2"/>
  <c r="AD659" i="2"/>
  <c r="AC659" i="2"/>
  <c r="AB659" i="2"/>
  <c r="Z659" i="2"/>
  <c r="Y659" i="2"/>
  <c r="X659" i="2"/>
  <c r="W659" i="2"/>
  <c r="V659" i="2"/>
  <c r="U659" i="2"/>
  <c r="T659" i="2"/>
  <c r="S659" i="2"/>
  <c r="R659" i="2"/>
  <c r="Q659" i="2"/>
  <c r="P659" i="2"/>
  <c r="O659" i="2"/>
  <c r="N659" i="2"/>
  <c r="M659" i="2"/>
  <c r="L659" i="2"/>
  <c r="K659" i="2"/>
  <c r="H659" i="2"/>
  <c r="G659" i="2"/>
  <c r="F659" i="2"/>
  <c r="E659" i="2"/>
  <c r="D659" i="2"/>
  <c r="C659" i="2"/>
  <c r="B659" i="2"/>
  <c r="A659" i="2"/>
  <c r="AH658" i="2"/>
  <c r="AG658" i="2"/>
  <c r="AF658" i="2"/>
  <c r="AE658" i="2"/>
  <c r="AD658" i="2"/>
  <c r="AC658" i="2"/>
  <c r="AB658" i="2"/>
  <c r="Z658" i="2"/>
  <c r="Y658" i="2"/>
  <c r="X658" i="2"/>
  <c r="W658" i="2"/>
  <c r="V658" i="2"/>
  <c r="U658" i="2"/>
  <c r="T658" i="2"/>
  <c r="S658" i="2"/>
  <c r="R658" i="2"/>
  <c r="Q658" i="2"/>
  <c r="P658" i="2"/>
  <c r="O658" i="2"/>
  <c r="N658" i="2"/>
  <c r="M658" i="2"/>
  <c r="L658" i="2"/>
  <c r="K658" i="2"/>
  <c r="H658" i="2"/>
  <c r="G658" i="2"/>
  <c r="F658" i="2"/>
  <c r="E658" i="2"/>
  <c r="D658" i="2"/>
  <c r="C658" i="2"/>
  <c r="B658" i="2"/>
  <c r="A658" i="2"/>
  <c r="AH657" i="2"/>
  <c r="AF657" i="2"/>
  <c r="AD657" i="2"/>
  <c r="AC657" i="2"/>
  <c r="AB657" i="2"/>
  <c r="AA657" i="2"/>
  <c r="Z657" i="2"/>
  <c r="Y657" i="2"/>
  <c r="X657" i="2"/>
  <c r="W657" i="2"/>
  <c r="V657" i="2"/>
  <c r="U657" i="2"/>
  <c r="T657" i="2"/>
  <c r="S657" i="2"/>
  <c r="R657" i="2"/>
  <c r="Q657" i="2"/>
  <c r="P657" i="2"/>
  <c r="O657" i="2"/>
  <c r="N657" i="2"/>
  <c r="M657" i="2"/>
  <c r="L657" i="2"/>
  <c r="K657" i="2"/>
  <c r="J657" i="2"/>
  <c r="H657" i="2"/>
  <c r="G657" i="2"/>
  <c r="F657" i="2"/>
  <c r="E657" i="2"/>
  <c r="D657" i="2"/>
  <c r="C657" i="2"/>
  <c r="B657" i="2"/>
  <c r="A657" i="2"/>
  <c r="AH656" i="2"/>
  <c r="AG656" i="2"/>
  <c r="AF656" i="2"/>
  <c r="AE656" i="2"/>
  <c r="AD656" i="2"/>
  <c r="AC656" i="2"/>
  <c r="AB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H655" i="2"/>
  <c r="AG655" i="2"/>
  <c r="AF655" i="2"/>
  <c r="AD655" i="2"/>
  <c r="AC655" i="2"/>
  <c r="AB655" i="2"/>
  <c r="Z655" i="2"/>
  <c r="Y655" i="2"/>
  <c r="X655" i="2"/>
  <c r="W655" i="2"/>
  <c r="V655" i="2"/>
  <c r="U655" i="2"/>
  <c r="T655" i="2"/>
  <c r="S655" i="2"/>
  <c r="R655" i="2"/>
  <c r="Q655" i="2"/>
  <c r="P655" i="2"/>
  <c r="O655" i="2"/>
  <c r="N655" i="2"/>
  <c r="M655" i="2"/>
  <c r="L655" i="2"/>
  <c r="K655" i="2"/>
  <c r="H655" i="2"/>
  <c r="G655" i="2"/>
  <c r="F655" i="2"/>
  <c r="E655" i="2"/>
  <c r="D655" i="2"/>
  <c r="C655" i="2"/>
  <c r="B655" i="2"/>
  <c r="A655" i="2"/>
  <c r="AH654" i="2"/>
  <c r="AG654" i="2"/>
  <c r="AF654" i="2"/>
  <c r="AE654" i="2"/>
  <c r="AD654" i="2"/>
  <c r="AC654" i="2"/>
  <c r="AB654" i="2"/>
  <c r="Z654" i="2"/>
  <c r="Y654" i="2"/>
  <c r="X654" i="2"/>
  <c r="W654" i="2"/>
  <c r="V654" i="2"/>
  <c r="U654" i="2"/>
  <c r="T654" i="2"/>
  <c r="S654" i="2"/>
  <c r="R654" i="2"/>
  <c r="Q654" i="2"/>
  <c r="P654" i="2"/>
  <c r="O654" i="2"/>
  <c r="N654" i="2"/>
  <c r="M654" i="2"/>
  <c r="L654" i="2"/>
  <c r="K654" i="2"/>
  <c r="H654" i="2"/>
  <c r="G654" i="2"/>
  <c r="F654" i="2"/>
  <c r="E654" i="2"/>
  <c r="D654" i="2"/>
  <c r="C654" i="2"/>
  <c r="B654" i="2"/>
  <c r="A654" i="2"/>
  <c r="AH653" i="2"/>
  <c r="AG653" i="2"/>
  <c r="AF653" i="2"/>
  <c r="AE653" i="2"/>
  <c r="AD653" i="2"/>
  <c r="AC653" i="2"/>
  <c r="AB653" i="2"/>
  <c r="Z653" i="2"/>
  <c r="Y653" i="2"/>
  <c r="W653" i="2"/>
  <c r="V653" i="2"/>
  <c r="U653" i="2"/>
  <c r="T653" i="2"/>
  <c r="S653" i="2"/>
  <c r="R653" i="2"/>
  <c r="Q653" i="2"/>
  <c r="P653" i="2"/>
  <c r="O653" i="2"/>
  <c r="N653" i="2"/>
  <c r="M653" i="2"/>
  <c r="L653" i="2"/>
  <c r="K653" i="2"/>
  <c r="J653" i="2"/>
  <c r="I653" i="2"/>
  <c r="H653" i="2"/>
  <c r="G653" i="2"/>
  <c r="F653" i="2"/>
  <c r="E653" i="2"/>
  <c r="D653" i="2"/>
  <c r="C653" i="2"/>
  <c r="B653" i="2"/>
  <c r="A653" i="2"/>
  <c r="AH652" i="2"/>
  <c r="AG652" i="2"/>
  <c r="AF652" i="2"/>
  <c r="AE652" i="2"/>
  <c r="AD652" i="2"/>
  <c r="AC652" i="2"/>
  <c r="AB652" i="2"/>
  <c r="Z652" i="2"/>
  <c r="Y652" i="2"/>
  <c r="X652" i="2"/>
  <c r="W652" i="2"/>
  <c r="V652" i="2"/>
  <c r="U652" i="2"/>
  <c r="T652" i="2"/>
  <c r="S652" i="2"/>
  <c r="R652" i="2"/>
  <c r="Q652" i="2"/>
  <c r="P652" i="2"/>
  <c r="O652" i="2"/>
  <c r="N652" i="2"/>
  <c r="M652" i="2"/>
  <c r="L652" i="2"/>
  <c r="K652" i="2"/>
  <c r="H652" i="2"/>
  <c r="G652" i="2"/>
  <c r="F652" i="2"/>
  <c r="E652" i="2"/>
  <c r="D652" i="2"/>
  <c r="C652" i="2"/>
  <c r="B652" i="2"/>
  <c r="A652" i="2"/>
  <c r="AH651" i="2"/>
  <c r="AG651" i="2"/>
  <c r="AD651" i="2"/>
  <c r="AC651" i="2"/>
  <c r="AB651" i="2"/>
  <c r="Z651" i="2"/>
  <c r="Y651" i="2"/>
  <c r="X651" i="2"/>
  <c r="W651" i="2"/>
  <c r="V651" i="2"/>
  <c r="U651" i="2"/>
  <c r="T651" i="2"/>
  <c r="S651" i="2"/>
  <c r="R651" i="2"/>
  <c r="Q651" i="2"/>
  <c r="P651" i="2"/>
  <c r="O651" i="2"/>
  <c r="N651" i="2"/>
  <c r="M651" i="2"/>
  <c r="L651" i="2"/>
  <c r="K651" i="2"/>
  <c r="H651" i="2"/>
  <c r="G651" i="2"/>
  <c r="F651" i="2"/>
  <c r="E651" i="2"/>
  <c r="D651" i="2"/>
  <c r="C651" i="2"/>
  <c r="B651" i="2"/>
  <c r="A651" i="2"/>
  <c r="AH650" i="2"/>
  <c r="AG650" i="2"/>
  <c r="AF650" i="2"/>
  <c r="AE650" i="2"/>
  <c r="AD650" i="2"/>
  <c r="AC650" i="2"/>
  <c r="AB650" i="2"/>
  <c r="Z650" i="2"/>
  <c r="Y650" i="2"/>
  <c r="X650" i="2"/>
  <c r="W650" i="2"/>
  <c r="V650" i="2"/>
  <c r="S650" i="2"/>
  <c r="R650" i="2"/>
  <c r="Q650" i="2"/>
  <c r="P650" i="2"/>
  <c r="O650" i="2"/>
  <c r="N650" i="2"/>
  <c r="M650" i="2"/>
  <c r="L650" i="2"/>
  <c r="K650" i="2"/>
  <c r="H650" i="2"/>
  <c r="G650" i="2"/>
  <c r="F650" i="2"/>
  <c r="E650" i="2"/>
  <c r="D650" i="2"/>
  <c r="C650" i="2"/>
  <c r="B650" i="2"/>
  <c r="A650" i="2"/>
  <c r="AH649" i="2"/>
  <c r="AF649" i="2"/>
  <c r="AE649" i="2"/>
  <c r="AD649" i="2"/>
  <c r="AC649" i="2"/>
  <c r="AB649" i="2"/>
  <c r="Y649" i="2"/>
  <c r="X649" i="2"/>
  <c r="W649" i="2"/>
  <c r="V649" i="2"/>
  <c r="U649" i="2"/>
  <c r="T649" i="2"/>
  <c r="S649" i="2"/>
  <c r="R649" i="2"/>
  <c r="Q649" i="2"/>
  <c r="P649" i="2"/>
  <c r="O649" i="2"/>
  <c r="N649" i="2"/>
  <c r="M649" i="2"/>
  <c r="L649" i="2"/>
  <c r="K649" i="2"/>
  <c r="H649" i="2"/>
  <c r="G649" i="2"/>
  <c r="F649" i="2"/>
  <c r="E649" i="2"/>
  <c r="D649" i="2"/>
  <c r="C649" i="2"/>
  <c r="B649" i="2"/>
  <c r="A649" i="2"/>
  <c r="AH648" i="2"/>
  <c r="AG648" i="2"/>
  <c r="AF648" i="2"/>
  <c r="AE648" i="2"/>
  <c r="AD648" i="2"/>
  <c r="AC648" i="2"/>
  <c r="AB648" i="2"/>
  <c r="Z648" i="2"/>
  <c r="Y648" i="2"/>
  <c r="X648" i="2"/>
  <c r="W648" i="2"/>
  <c r="V648" i="2"/>
  <c r="U648" i="2"/>
  <c r="S648" i="2"/>
  <c r="R648" i="2"/>
  <c r="Q648" i="2"/>
  <c r="P648" i="2"/>
  <c r="O648" i="2"/>
  <c r="N648" i="2"/>
  <c r="M648" i="2"/>
  <c r="L648" i="2"/>
  <c r="K648" i="2"/>
  <c r="H648" i="2"/>
  <c r="G648" i="2"/>
  <c r="F648" i="2"/>
  <c r="E648" i="2"/>
  <c r="D648" i="2"/>
  <c r="C648" i="2"/>
  <c r="B648" i="2"/>
  <c r="A648" i="2"/>
  <c r="AH647" i="2"/>
  <c r="AF647" i="2"/>
  <c r="AE647" i="2"/>
  <c r="AD647" i="2"/>
  <c r="AC647" i="2"/>
  <c r="AB647" i="2"/>
  <c r="X647" i="2"/>
  <c r="W647" i="2"/>
  <c r="V647" i="2"/>
  <c r="S647" i="2"/>
  <c r="R647" i="2"/>
  <c r="Q647" i="2"/>
  <c r="P647" i="2"/>
  <c r="O647" i="2"/>
  <c r="N647" i="2"/>
  <c r="M647" i="2"/>
  <c r="L647" i="2"/>
  <c r="K647" i="2"/>
  <c r="H647" i="2"/>
  <c r="G647" i="2"/>
  <c r="F647" i="2"/>
  <c r="E647" i="2"/>
  <c r="D647" i="2"/>
  <c r="C647" i="2"/>
  <c r="B647" i="2"/>
  <c r="A647" i="2"/>
  <c r="AH646" i="2"/>
  <c r="AG646" i="2"/>
  <c r="AF646" i="2"/>
  <c r="AE646" i="2"/>
  <c r="AD646" i="2"/>
  <c r="AC646" i="2"/>
  <c r="AB646" i="2"/>
  <c r="AA646" i="2"/>
  <c r="Z646" i="2"/>
  <c r="Y646" i="2"/>
  <c r="X646" i="2"/>
  <c r="W646" i="2"/>
  <c r="V646" i="2"/>
  <c r="U646" i="2"/>
  <c r="T646" i="2"/>
  <c r="S646" i="2"/>
  <c r="R646" i="2"/>
  <c r="Q646" i="2"/>
  <c r="P646" i="2"/>
  <c r="O646" i="2"/>
  <c r="N646" i="2"/>
  <c r="M646" i="2"/>
  <c r="L646" i="2"/>
  <c r="K646" i="2"/>
  <c r="H646" i="2"/>
  <c r="G646" i="2"/>
  <c r="F646" i="2"/>
  <c r="E646" i="2"/>
  <c r="D646" i="2"/>
  <c r="C646" i="2"/>
  <c r="B646" i="2"/>
  <c r="A646" i="2"/>
  <c r="AH645" i="2"/>
  <c r="AG645" i="2"/>
  <c r="AF645" i="2"/>
  <c r="AD645" i="2"/>
  <c r="AC645" i="2"/>
  <c r="AB645" i="2"/>
  <c r="Z645" i="2"/>
  <c r="Y645" i="2"/>
  <c r="X645" i="2"/>
  <c r="W645" i="2"/>
  <c r="V645" i="2"/>
  <c r="U645" i="2"/>
  <c r="T645" i="2"/>
  <c r="S645" i="2"/>
  <c r="R645" i="2"/>
  <c r="Q645" i="2"/>
  <c r="P645" i="2"/>
  <c r="O645" i="2"/>
  <c r="N645" i="2"/>
  <c r="M645" i="2"/>
  <c r="L645" i="2"/>
  <c r="K645" i="2"/>
  <c r="H645" i="2"/>
  <c r="G645" i="2"/>
  <c r="F645" i="2"/>
  <c r="E645" i="2"/>
  <c r="D645" i="2"/>
  <c r="C645" i="2"/>
  <c r="B645" i="2"/>
  <c r="A645" i="2"/>
  <c r="AH644" i="2"/>
  <c r="AG644" i="2"/>
  <c r="AF644" i="2"/>
  <c r="AD644" i="2"/>
  <c r="AC644" i="2"/>
  <c r="AB644" i="2"/>
  <c r="Z644" i="2"/>
  <c r="Y644" i="2"/>
  <c r="X644" i="2"/>
  <c r="W644" i="2"/>
  <c r="V644" i="2"/>
  <c r="U644" i="2"/>
  <c r="T644" i="2"/>
  <c r="S644" i="2"/>
  <c r="R644" i="2"/>
  <c r="Q644" i="2"/>
  <c r="P644" i="2"/>
  <c r="O644" i="2"/>
  <c r="N644" i="2"/>
  <c r="M644" i="2"/>
  <c r="L644" i="2"/>
  <c r="K644" i="2"/>
  <c r="H644" i="2"/>
  <c r="G644" i="2"/>
  <c r="F644" i="2"/>
  <c r="E644" i="2"/>
  <c r="D644" i="2"/>
  <c r="C644" i="2"/>
  <c r="B644" i="2"/>
  <c r="A644" i="2"/>
  <c r="AH643" i="2"/>
  <c r="AF643" i="2"/>
  <c r="AD643" i="2"/>
  <c r="AC643" i="2"/>
  <c r="AB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H642" i="2"/>
  <c r="AG642" i="2"/>
  <c r="AE642" i="2"/>
  <c r="AD642" i="2"/>
  <c r="AC642" i="2"/>
  <c r="AB642" i="2"/>
  <c r="AA642" i="2"/>
  <c r="Z642" i="2"/>
  <c r="Y642" i="2"/>
  <c r="X642" i="2"/>
  <c r="W642" i="2"/>
  <c r="V642" i="2"/>
  <c r="U642" i="2"/>
  <c r="T642" i="2"/>
  <c r="S642" i="2"/>
  <c r="R642" i="2"/>
  <c r="Q642" i="2"/>
  <c r="P642" i="2"/>
  <c r="O642" i="2"/>
  <c r="N642" i="2"/>
  <c r="M642" i="2"/>
  <c r="L642" i="2"/>
  <c r="K642" i="2"/>
  <c r="H642" i="2"/>
  <c r="G642" i="2"/>
  <c r="F642" i="2"/>
  <c r="E642" i="2"/>
  <c r="D642" i="2"/>
  <c r="C642" i="2"/>
  <c r="B642" i="2"/>
  <c r="A642" i="2"/>
  <c r="AH641" i="2"/>
  <c r="AG641" i="2"/>
  <c r="AF641" i="2"/>
  <c r="AE641" i="2"/>
  <c r="AD641" i="2"/>
  <c r="AC641" i="2"/>
  <c r="AB641" i="2"/>
  <c r="Z641" i="2"/>
  <c r="Y641" i="2"/>
  <c r="X641" i="2"/>
  <c r="W641" i="2"/>
  <c r="V641" i="2"/>
  <c r="U641" i="2"/>
  <c r="T641" i="2"/>
  <c r="S641" i="2"/>
  <c r="R641" i="2"/>
  <c r="Q641" i="2"/>
  <c r="P641" i="2"/>
  <c r="O641" i="2"/>
  <c r="N641" i="2"/>
  <c r="M641" i="2"/>
  <c r="L641" i="2"/>
  <c r="K641" i="2"/>
  <c r="H641" i="2"/>
  <c r="G641" i="2"/>
  <c r="F641" i="2"/>
  <c r="E641" i="2"/>
  <c r="D641" i="2"/>
  <c r="C641" i="2"/>
  <c r="B641" i="2"/>
  <c r="A641" i="2"/>
  <c r="AH640" i="2"/>
  <c r="AG640" i="2"/>
  <c r="AF640" i="2"/>
  <c r="AE640" i="2"/>
  <c r="AD640" i="2"/>
  <c r="AC640" i="2"/>
  <c r="AB640" i="2"/>
  <c r="Z640" i="2"/>
  <c r="Y640" i="2"/>
  <c r="X640" i="2"/>
  <c r="W640" i="2"/>
  <c r="V640" i="2"/>
  <c r="U640" i="2"/>
  <c r="T640" i="2"/>
  <c r="S640" i="2"/>
  <c r="R640" i="2"/>
  <c r="Q640" i="2"/>
  <c r="P640" i="2"/>
  <c r="O640" i="2"/>
  <c r="N640" i="2"/>
  <c r="M640" i="2"/>
  <c r="L640" i="2"/>
  <c r="K640" i="2"/>
  <c r="H640" i="2"/>
  <c r="G640" i="2"/>
  <c r="F640" i="2"/>
  <c r="E640" i="2"/>
  <c r="D640" i="2"/>
  <c r="C640" i="2"/>
  <c r="B640" i="2"/>
  <c r="A640" i="2"/>
  <c r="AH639" i="2"/>
  <c r="AG639" i="2"/>
  <c r="AF639" i="2"/>
  <c r="AE639" i="2"/>
  <c r="AD639" i="2"/>
  <c r="AC639" i="2"/>
  <c r="AB639" i="2"/>
  <c r="AA639" i="2"/>
  <c r="Z639" i="2"/>
  <c r="X639" i="2"/>
  <c r="W639" i="2"/>
  <c r="V639" i="2"/>
  <c r="U639" i="2"/>
  <c r="T639" i="2"/>
  <c r="S639" i="2"/>
  <c r="R639" i="2"/>
  <c r="Q639" i="2"/>
  <c r="P639" i="2"/>
  <c r="O639" i="2"/>
  <c r="N639" i="2"/>
  <c r="M639" i="2"/>
  <c r="L639" i="2"/>
  <c r="K639" i="2"/>
  <c r="J639" i="2"/>
  <c r="I639" i="2"/>
  <c r="H639" i="2"/>
  <c r="G639" i="2"/>
  <c r="F639" i="2"/>
  <c r="E639" i="2"/>
  <c r="D639" i="2"/>
  <c r="C639" i="2"/>
  <c r="B639" i="2"/>
  <c r="A639" i="2"/>
  <c r="AH638" i="2"/>
  <c r="AF638" i="2"/>
  <c r="AE638" i="2"/>
  <c r="AD638" i="2"/>
  <c r="AC638" i="2"/>
  <c r="AB638" i="2"/>
  <c r="Z638" i="2"/>
  <c r="Y638" i="2"/>
  <c r="X638" i="2"/>
  <c r="W638" i="2"/>
  <c r="V638" i="2"/>
  <c r="U638" i="2"/>
  <c r="T638" i="2"/>
  <c r="S638" i="2"/>
  <c r="R638" i="2"/>
  <c r="Q638" i="2"/>
  <c r="P638" i="2"/>
  <c r="O638" i="2"/>
  <c r="N638" i="2"/>
  <c r="M638" i="2"/>
  <c r="L638" i="2"/>
  <c r="K638" i="2"/>
  <c r="H638" i="2"/>
  <c r="G638" i="2"/>
  <c r="F638" i="2"/>
  <c r="E638" i="2"/>
  <c r="D638" i="2"/>
  <c r="C638" i="2"/>
  <c r="B638" i="2"/>
  <c r="A638" i="2"/>
  <c r="AH637" i="2"/>
  <c r="AG637" i="2"/>
  <c r="AF637" i="2"/>
  <c r="AE637" i="2"/>
  <c r="AD637" i="2"/>
  <c r="AC637" i="2"/>
  <c r="AB637" i="2"/>
  <c r="AA637" i="2"/>
  <c r="Z637" i="2"/>
  <c r="Y637" i="2"/>
  <c r="X637" i="2"/>
  <c r="W637" i="2"/>
  <c r="V637" i="2"/>
  <c r="U637" i="2"/>
  <c r="T637" i="2"/>
  <c r="S637" i="2"/>
  <c r="R637" i="2"/>
  <c r="Q637" i="2"/>
  <c r="P637" i="2"/>
  <c r="O637" i="2"/>
  <c r="N637" i="2"/>
  <c r="M637" i="2"/>
  <c r="L637" i="2"/>
  <c r="K637" i="2"/>
  <c r="H637" i="2"/>
  <c r="G637" i="2"/>
  <c r="F637" i="2"/>
  <c r="E637" i="2"/>
  <c r="D637" i="2"/>
  <c r="C637" i="2"/>
  <c r="B637" i="2"/>
  <c r="A637" i="2"/>
  <c r="AH636" i="2"/>
  <c r="AG636" i="2"/>
  <c r="AF636" i="2"/>
  <c r="AD636" i="2"/>
  <c r="AC636" i="2"/>
  <c r="AB636" i="2"/>
  <c r="Z636" i="2"/>
  <c r="X636" i="2"/>
  <c r="W636" i="2"/>
  <c r="V636" i="2"/>
  <c r="U636" i="2"/>
  <c r="T636" i="2"/>
  <c r="S636" i="2"/>
  <c r="R636" i="2"/>
  <c r="Q636" i="2"/>
  <c r="P636" i="2"/>
  <c r="O636" i="2"/>
  <c r="N636" i="2"/>
  <c r="M636" i="2"/>
  <c r="L636" i="2"/>
  <c r="K636" i="2"/>
  <c r="H636" i="2"/>
  <c r="G636" i="2"/>
  <c r="F636" i="2"/>
  <c r="E636" i="2"/>
  <c r="D636" i="2"/>
  <c r="C636" i="2"/>
  <c r="B636" i="2"/>
  <c r="A636" i="2"/>
  <c r="AH635" i="2"/>
  <c r="AG635" i="2"/>
  <c r="AF635" i="2"/>
  <c r="AE635" i="2"/>
  <c r="AD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H634" i="2"/>
  <c r="AG634" i="2"/>
  <c r="AF634" i="2"/>
  <c r="AE634" i="2"/>
  <c r="AD634" i="2"/>
  <c r="AC634" i="2"/>
  <c r="AB634" i="2"/>
  <c r="X634" i="2"/>
  <c r="W634" i="2"/>
  <c r="V634" i="2"/>
  <c r="U634" i="2"/>
  <c r="T634" i="2"/>
  <c r="S634" i="2"/>
  <c r="R634" i="2"/>
  <c r="Q634" i="2"/>
  <c r="P634" i="2"/>
  <c r="O634" i="2"/>
  <c r="N634" i="2"/>
  <c r="M634" i="2"/>
  <c r="L634" i="2"/>
  <c r="K634" i="2"/>
  <c r="H634" i="2"/>
  <c r="G634" i="2"/>
  <c r="F634" i="2"/>
  <c r="E634" i="2"/>
  <c r="D634" i="2"/>
  <c r="C634" i="2"/>
  <c r="B634" i="2"/>
  <c r="A634" i="2"/>
  <c r="AH633" i="2"/>
  <c r="AF633" i="2"/>
  <c r="AE633" i="2"/>
  <c r="AD633" i="2"/>
  <c r="AC633" i="2"/>
  <c r="AB633" i="2"/>
  <c r="X633" i="2"/>
  <c r="W633" i="2"/>
  <c r="V633" i="2"/>
  <c r="U633" i="2"/>
  <c r="T633" i="2"/>
  <c r="S633" i="2"/>
  <c r="R633" i="2"/>
  <c r="Q633" i="2"/>
  <c r="P633" i="2"/>
  <c r="O633" i="2"/>
  <c r="N633" i="2"/>
  <c r="M633" i="2"/>
  <c r="L633" i="2"/>
  <c r="K633" i="2"/>
  <c r="H633" i="2"/>
  <c r="G633" i="2"/>
  <c r="F633" i="2"/>
  <c r="E633" i="2"/>
  <c r="D633" i="2"/>
  <c r="C633" i="2"/>
  <c r="B633" i="2"/>
  <c r="A633" i="2"/>
  <c r="AH632" i="2"/>
  <c r="AG632" i="2"/>
  <c r="AF632" i="2"/>
  <c r="AE632" i="2"/>
  <c r="AD632" i="2"/>
  <c r="AC632" i="2"/>
  <c r="AB632" i="2"/>
  <c r="Z632" i="2"/>
  <c r="Y632" i="2"/>
  <c r="X632" i="2"/>
  <c r="W632" i="2"/>
  <c r="V632" i="2"/>
  <c r="U632" i="2"/>
  <c r="T632" i="2"/>
  <c r="S632" i="2"/>
  <c r="R632" i="2"/>
  <c r="Q632" i="2"/>
  <c r="P632" i="2"/>
  <c r="O632" i="2"/>
  <c r="N632" i="2"/>
  <c r="M632" i="2"/>
  <c r="L632" i="2"/>
  <c r="K632" i="2"/>
  <c r="H632" i="2"/>
  <c r="G632" i="2"/>
  <c r="F632" i="2"/>
  <c r="E632" i="2"/>
  <c r="D632" i="2"/>
  <c r="C632" i="2"/>
  <c r="B632" i="2"/>
  <c r="A632" i="2"/>
  <c r="AH631" i="2"/>
  <c r="AG631" i="2"/>
  <c r="AF631" i="2"/>
  <c r="AE631" i="2"/>
  <c r="AD631" i="2"/>
  <c r="AC631" i="2"/>
  <c r="AB631" i="2"/>
  <c r="X631" i="2"/>
  <c r="W631" i="2"/>
  <c r="V631" i="2"/>
  <c r="U631" i="2"/>
  <c r="T631" i="2"/>
  <c r="S631" i="2"/>
  <c r="R631" i="2"/>
  <c r="Q631" i="2"/>
  <c r="P631" i="2"/>
  <c r="O631" i="2"/>
  <c r="N631" i="2"/>
  <c r="M631" i="2"/>
  <c r="L631" i="2"/>
  <c r="K631" i="2"/>
  <c r="H631" i="2"/>
  <c r="G631" i="2"/>
  <c r="F631" i="2"/>
  <c r="E631" i="2"/>
  <c r="D631" i="2"/>
  <c r="C631" i="2"/>
  <c r="B631" i="2"/>
  <c r="A631" i="2"/>
  <c r="AH630" i="2"/>
  <c r="AG630" i="2"/>
  <c r="AF630" i="2"/>
  <c r="AE630" i="2"/>
  <c r="AD630" i="2"/>
  <c r="AC630" i="2"/>
  <c r="AB630" i="2"/>
  <c r="AA630" i="2"/>
  <c r="Z630" i="2"/>
  <c r="Y630" i="2"/>
  <c r="X630" i="2"/>
  <c r="W630" i="2"/>
  <c r="V630" i="2"/>
  <c r="U630" i="2"/>
  <c r="T630" i="2"/>
  <c r="S630" i="2"/>
  <c r="R630" i="2"/>
  <c r="Q630" i="2"/>
  <c r="P630" i="2"/>
  <c r="O630" i="2"/>
  <c r="N630" i="2"/>
  <c r="M630" i="2"/>
  <c r="L630" i="2"/>
  <c r="K630" i="2"/>
  <c r="H630" i="2"/>
  <c r="G630" i="2"/>
  <c r="F630" i="2"/>
  <c r="E630" i="2"/>
  <c r="D630" i="2"/>
  <c r="C630" i="2"/>
  <c r="B630" i="2"/>
  <c r="A630" i="2"/>
  <c r="AH629" i="2"/>
  <c r="AG629" i="2"/>
  <c r="AE629" i="2"/>
  <c r="AD629" i="2"/>
  <c r="AC629" i="2"/>
  <c r="AB629" i="2"/>
  <c r="Z629" i="2"/>
  <c r="X629" i="2"/>
  <c r="W629" i="2"/>
  <c r="V629" i="2"/>
  <c r="U629" i="2"/>
  <c r="T629" i="2"/>
  <c r="S629" i="2"/>
  <c r="R629" i="2"/>
  <c r="Q629" i="2"/>
  <c r="P629" i="2"/>
  <c r="O629" i="2"/>
  <c r="N629" i="2"/>
  <c r="M629" i="2"/>
  <c r="L629" i="2"/>
  <c r="K629" i="2"/>
  <c r="H629" i="2"/>
  <c r="G629" i="2"/>
  <c r="F629" i="2"/>
  <c r="E629" i="2"/>
  <c r="D629" i="2"/>
  <c r="C629" i="2"/>
  <c r="B629" i="2"/>
  <c r="A629" i="2"/>
  <c r="AH628" i="2"/>
  <c r="AG628" i="2"/>
  <c r="AF628" i="2"/>
  <c r="AE628" i="2"/>
  <c r="AD628" i="2"/>
  <c r="AC628" i="2"/>
  <c r="AB628" i="2"/>
  <c r="X628" i="2"/>
  <c r="W628" i="2"/>
  <c r="V628" i="2"/>
  <c r="U628" i="2"/>
  <c r="T628" i="2"/>
  <c r="S628" i="2"/>
  <c r="R628" i="2"/>
  <c r="Q628" i="2"/>
  <c r="P628" i="2"/>
  <c r="O628" i="2"/>
  <c r="N628" i="2"/>
  <c r="M628" i="2"/>
  <c r="L628" i="2"/>
  <c r="K628" i="2"/>
  <c r="H628" i="2"/>
  <c r="G628" i="2"/>
  <c r="F628" i="2"/>
  <c r="E628" i="2"/>
  <c r="D628" i="2"/>
  <c r="C628" i="2"/>
  <c r="B628" i="2"/>
  <c r="A628" i="2"/>
  <c r="AH627" i="2"/>
  <c r="AG627" i="2"/>
  <c r="AF627" i="2"/>
  <c r="AE627" i="2"/>
  <c r="AD627" i="2"/>
  <c r="AC627" i="2"/>
  <c r="AB627" i="2"/>
  <c r="AA627" i="2"/>
  <c r="Z627" i="2"/>
  <c r="Y627" i="2"/>
  <c r="X627" i="2"/>
  <c r="W627" i="2"/>
  <c r="V627" i="2"/>
  <c r="U627" i="2"/>
  <c r="T627" i="2"/>
  <c r="S627" i="2"/>
  <c r="R627" i="2"/>
  <c r="Q627" i="2"/>
  <c r="P627" i="2"/>
  <c r="O627" i="2"/>
  <c r="N627" i="2"/>
  <c r="M627" i="2"/>
  <c r="L627" i="2"/>
  <c r="K627" i="2"/>
  <c r="H627" i="2"/>
  <c r="G627" i="2"/>
  <c r="F627" i="2"/>
  <c r="E627" i="2"/>
  <c r="D627" i="2"/>
  <c r="C627" i="2"/>
  <c r="B627" i="2"/>
  <c r="A627" i="2"/>
  <c r="AH626" i="2"/>
  <c r="AG626" i="2"/>
  <c r="AF626" i="2"/>
  <c r="AE626" i="2"/>
  <c r="AD626" i="2"/>
  <c r="AC626" i="2"/>
  <c r="AB626" i="2"/>
  <c r="Z626" i="2"/>
  <c r="Y626" i="2"/>
  <c r="X626" i="2"/>
  <c r="W626" i="2"/>
  <c r="V626" i="2"/>
  <c r="U626" i="2"/>
  <c r="T626" i="2"/>
  <c r="S626" i="2"/>
  <c r="R626" i="2"/>
  <c r="Q626" i="2"/>
  <c r="P626" i="2"/>
  <c r="O626" i="2"/>
  <c r="N626" i="2"/>
  <c r="M626" i="2"/>
  <c r="L626" i="2"/>
  <c r="K626" i="2"/>
  <c r="H626" i="2"/>
  <c r="G626" i="2"/>
  <c r="F626" i="2"/>
  <c r="E626" i="2"/>
  <c r="D626" i="2"/>
  <c r="C626" i="2"/>
  <c r="B626" i="2"/>
  <c r="A626" i="2"/>
  <c r="AH625" i="2"/>
  <c r="AG625" i="2"/>
  <c r="AF625" i="2"/>
  <c r="AE625" i="2"/>
  <c r="AD625" i="2"/>
  <c r="AC625" i="2"/>
  <c r="AB625" i="2"/>
  <c r="X625" i="2"/>
  <c r="W625" i="2"/>
  <c r="V625" i="2"/>
  <c r="U625" i="2"/>
  <c r="T625" i="2"/>
  <c r="S625" i="2"/>
  <c r="R625" i="2"/>
  <c r="Q625" i="2"/>
  <c r="P625" i="2"/>
  <c r="O625" i="2"/>
  <c r="N625" i="2"/>
  <c r="M625" i="2"/>
  <c r="L625" i="2"/>
  <c r="K625" i="2"/>
  <c r="H625" i="2"/>
  <c r="G625" i="2"/>
  <c r="F625" i="2"/>
  <c r="E625" i="2"/>
  <c r="D625" i="2"/>
  <c r="C625" i="2"/>
  <c r="B625" i="2"/>
  <c r="A625" i="2"/>
  <c r="AH624" i="2"/>
  <c r="AF624" i="2"/>
  <c r="AE624" i="2"/>
  <c r="AD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H623" i="2"/>
  <c r="AG623" i="2"/>
  <c r="AF623" i="2"/>
  <c r="AE623" i="2"/>
  <c r="AD623" i="2"/>
  <c r="AC623" i="2"/>
  <c r="AB623" i="2"/>
  <c r="Z623" i="2"/>
  <c r="Y623" i="2"/>
  <c r="X623" i="2"/>
  <c r="W623" i="2"/>
  <c r="V623" i="2"/>
  <c r="U623" i="2"/>
  <c r="T623" i="2"/>
  <c r="S623" i="2"/>
  <c r="R623" i="2"/>
  <c r="Q623" i="2"/>
  <c r="P623" i="2"/>
  <c r="O623" i="2"/>
  <c r="N623" i="2"/>
  <c r="M623" i="2"/>
  <c r="L623" i="2"/>
  <c r="K623" i="2"/>
  <c r="H623" i="2"/>
  <c r="G623" i="2"/>
  <c r="F623" i="2"/>
  <c r="E623" i="2"/>
  <c r="D623" i="2"/>
  <c r="C623" i="2"/>
  <c r="B623" i="2"/>
  <c r="A623" i="2"/>
  <c r="AH622" i="2"/>
  <c r="AG622" i="2"/>
  <c r="AF622" i="2"/>
  <c r="AE622" i="2"/>
  <c r="AD622" i="2"/>
  <c r="AC622" i="2"/>
  <c r="AB622" i="2"/>
  <c r="Z622" i="2"/>
  <c r="Y622" i="2"/>
  <c r="X622" i="2"/>
  <c r="W622" i="2"/>
  <c r="V622" i="2"/>
  <c r="U622" i="2"/>
  <c r="T622" i="2"/>
  <c r="S622" i="2"/>
  <c r="R622" i="2"/>
  <c r="Q622" i="2"/>
  <c r="P622" i="2"/>
  <c r="O622" i="2"/>
  <c r="N622" i="2"/>
  <c r="M622" i="2"/>
  <c r="L622" i="2"/>
  <c r="K622" i="2"/>
  <c r="H622" i="2"/>
  <c r="G622" i="2"/>
  <c r="F622" i="2"/>
  <c r="E622" i="2"/>
  <c r="D622" i="2"/>
  <c r="C622" i="2"/>
  <c r="B622" i="2"/>
  <c r="A622" i="2"/>
  <c r="AH621" i="2"/>
  <c r="AF621" i="2"/>
  <c r="AE621" i="2"/>
  <c r="AD621" i="2"/>
  <c r="AC621" i="2"/>
  <c r="AB621" i="2"/>
  <c r="Z621" i="2"/>
  <c r="W621" i="2"/>
  <c r="V621" i="2"/>
  <c r="U621" i="2"/>
  <c r="T621" i="2"/>
  <c r="S621" i="2"/>
  <c r="R621" i="2"/>
  <c r="Q621" i="2"/>
  <c r="P621" i="2"/>
  <c r="O621" i="2"/>
  <c r="N621" i="2"/>
  <c r="M621" i="2"/>
  <c r="L621" i="2"/>
  <c r="K621" i="2"/>
  <c r="J621" i="2"/>
  <c r="I621" i="2"/>
  <c r="H621" i="2"/>
  <c r="G621" i="2"/>
  <c r="F621" i="2"/>
  <c r="E621" i="2"/>
  <c r="D621" i="2"/>
  <c r="C621" i="2"/>
  <c r="B621" i="2"/>
  <c r="A621" i="2"/>
  <c r="AH620" i="2"/>
  <c r="AF620" i="2"/>
  <c r="AE620" i="2"/>
  <c r="AD620" i="2"/>
  <c r="AC620" i="2"/>
  <c r="AB620" i="2"/>
  <c r="AA620" i="2"/>
  <c r="Z620" i="2"/>
  <c r="X620" i="2"/>
  <c r="W620" i="2"/>
  <c r="V620" i="2"/>
  <c r="U620" i="2"/>
  <c r="S620" i="2"/>
  <c r="R620" i="2"/>
  <c r="Q620" i="2"/>
  <c r="P620" i="2"/>
  <c r="O620" i="2"/>
  <c r="N620" i="2"/>
  <c r="M620" i="2"/>
  <c r="L620" i="2"/>
  <c r="K620" i="2"/>
  <c r="H620" i="2"/>
  <c r="G620" i="2"/>
  <c r="F620" i="2"/>
  <c r="E620" i="2"/>
  <c r="D620" i="2"/>
  <c r="C620" i="2"/>
  <c r="B620" i="2"/>
  <c r="A620" i="2"/>
  <c r="AH619" i="2"/>
  <c r="AG619" i="2"/>
  <c r="AF619" i="2"/>
  <c r="AE619" i="2"/>
  <c r="AD619" i="2"/>
  <c r="AC619" i="2"/>
  <c r="AB619" i="2"/>
  <c r="Y619" i="2"/>
  <c r="X619" i="2"/>
  <c r="W619" i="2"/>
  <c r="V619" i="2"/>
  <c r="U619" i="2"/>
  <c r="T619" i="2"/>
  <c r="S619" i="2"/>
  <c r="R619" i="2"/>
  <c r="Q619" i="2"/>
  <c r="P619" i="2"/>
  <c r="O619" i="2"/>
  <c r="N619" i="2"/>
  <c r="M619" i="2"/>
  <c r="L619" i="2"/>
  <c r="K619" i="2"/>
  <c r="H619" i="2"/>
  <c r="G619" i="2"/>
  <c r="F619" i="2"/>
  <c r="E619" i="2"/>
  <c r="D619" i="2"/>
  <c r="C619" i="2"/>
  <c r="B619" i="2"/>
  <c r="A619" i="2"/>
  <c r="AH618" i="2"/>
  <c r="AG618" i="2"/>
  <c r="AF618" i="2"/>
  <c r="AE618" i="2"/>
  <c r="AD618" i="2"/>
  <c r="AC618" i="2"/>
  <c r="AB618" i="2"/>
  <c r="Z618" i="2"/>
  <c r="Y618" i="2"/>
  <c r="X618" i="2"/>
  <c r="W618" i="2"/>
  <c r="V618" i="2"/>
  <c r="U618" i="2"/>
  <c r="T618" i="2"/>
  <c r="S618" i="2"/>
  <c r="R618" i="2"/>
  <c r="Q618" i="2"/>
  <c r="P618" i="2"/>
  <c r="O618" i="2"/>
  <c r="N618" i="2"/>
  <c r="M618" i="2"/>
  <c r="L618" i="2"/>
  <c r="K618" i="2"/>
  <c r="H618" i="2"/>
  <c r="G618" i="2"/>
  <c r="F618" i="2"/>
  <c r="E618" i="2"/>
  <c r="D618" i="2"/>
  <c r="C618" i="2"/>
  <c r="B618" i="2"/>
  <c r="A618" i="2"/>
  <c r="AH617" i="2"/>
  <c r="AF617" i="2"/>
  <c r="AD617" i="2"/>
  <c r="AC617" i="2"/>
  <c r="AB617" i="2"/>
  <c r="Z617" i="2"/>
  <c r="X617" i="2"/>
  <c r="W617" i="2"/>
  <c r="V617" i="2"/>
  <c r="U617" i="2"/>
  <c r="T617" i="2"/>
  <c r="S617" i="2"/>
  <c r="R617" i="2"/>
  <c r="Q617" i="2"/>
  <c r="P617" i="2"/>
  <c r="O617" i="2"/>
  <c r="N617" i="2"/>
  <c r="M617" i="2"/>
  <c r="L617" i="2"/>
  <c r="K617" i="2"/>
  <c r="H617" i="2"/>
  <c r="G617" i="2"/>
  <c r="F617" i="2"/>
  <c r="E617" i="2"/>
  <c r="D617" i="2"/>
  <c r="C617" i="2"/>
  <c r="B617" i="2"/>
  <c r="A617" i="2"/>
  <c r="AH616" i="2"/>
  <c r="AG616" i="2"/>
  <c r="AF616" i="2"/>
  <c r="AE616" i="2"/>
  <c r="AD616" i="2"/>
  <c r="AC616" i="2"/>
  <c r="AB616" i="2"/>
  <c r="Z616" i="2"/>
  <c r="X616" i="2"/>
  <c r="W616" i="2"/>
  <c r="V616" i="2"/>
  <c r="U616" i="2"/>
  <c r="T616" i="2"/>
  <c r="S616" i="2"/>
  <c r="R616" i="2"/>
  <c r="Q616" i="2"/>
  <c r="P616" i="2"/>
  <c r="O616" i="2"/>
  <c r="N616" i="2"/>
  <c r="M616" i="2"/>
  <c r="L616" i="2"/>
  <c r="K616" i="2"/>
  <c r="H616" i="2"/>
  <c r="G616" i="2"/>
  <c r="F616" i="2"/>
  <c r="E616" i="2"/>
  <c r="D616" i="2"/>
  <c r="C616" i="2"/>
  <c r="B616" i="2"/>
  <c r="A616" i="2"/>
  <c r="AH615" i="2"/>
  <c r="AD615" i="2"/>
  <c r="AC615" i="2"/>
  <c r="AB615" i="2"/>
  <c r="Y615" i="2"/>
  <c r="X615" i="2"/>
  <c r="W615" i="2"/>
  <c r="V615" i="2"/>
  <c r="U615" i="2"/>
  <c r="T615" i="2"/>
  <c r="S615" i="2"/>
  <c r="R615" i="2"/>
  <c r="Q615" i="2"/>
  <c r="P615" i="2"/>
  <c r="O615" i="2"/>
  <c r="N615" i="2"/>
  <c r="M615" i="2"/>
  <c r="L615" i="2"/>
  <c r="K615" i="2"/>
  <c r="H615" i="2"/>
  <c r="G615" i="2"/>
  <c r="F615" i="2"/>
  <c r="E615" i="2"/>
  <c r="D615" i="2"/>
  <c r="C615" i="2"/>
  <c r="B615" i="2"/>
  <c r="A615" i="2"/>
  <c r="AH614" i="2"/>
  <c r="AG614" i="2"/>
  <c r="AF614" i="2"/>
  <c r="AE614" i="2"/>
  <c r="AD614" i="2"/>
  <c r="AC614" i="2"/>
  <c r="AB614" i="2"/>
  <c r="AA614" i="2"/>
  <c r="Y614" i="2"/>
  <c r="X614" i="2"/>
  <c r="W614" i="2"/>
  <c r="V614" i="2"/>
  <c r="U614" i="2"/>
  <c r="T614" i="2"/>
  <c r="S614" i="2"/>
  <c r="R614" i="2"/>
  <c r="Q614" i="2"/>
  <c r="P614" i="2"/>
  <c r="O614" i="2"/>
  <c r="N614" i="2"/>
  <c r="M614" i="2"/>
  <c r="L614" i="2"/>
  <c r="K614" i="2"/>
  <c r="H614" i="2"/>
  <c r="G614" i="2"/>
  <c r="F614" i="2"/>
  <c r="E614" i="2"/>
  <c r="D614" i="2"/>
  <c r="C614" i="2"/>
  <c r="B614" i="2"/>
  <c r="A614" i="2"/>
  <c r="AH613" i="2"/>
  <c r="AF613" i="2"/>
  <c r="AE613" i="2"/>
  <c r="AD613" i="2"/>
  <c r="AC613" i="2"/>
  <c r="AB613" i="2"/>
  <c r="X613" i="2"/>
  <c r="W613" i="2"/>
  <c r="V613" i="2"/>
  <c r="U613" i="2"/>
  <c r="T613" i="2"/>
  <c r="S613" i="2"/>
  <c r="R613" i="2"/>
  <c r="Q613" i="2"/>
  <c r="P613" i="2"/>
  <c r="O613" i="2"/>
  <c r="N613" i="2"/>
  <c r="M613" i="2"/>
  <c r="L613" i="2"/>
  <c r="K613" i="2"/>
  <c r="H613" i="2"/>
  <c r="G613" i="2"/>
  <c r="F613" i="2"/>
  <c r="E613" i="2"/>
  <c r="D613" i="2"/>
  <c r="C613" i="2"/>
  <c r="B613" i="2"/>
  <c r="A613" i="2"/>
  <c r="AH612" i="2"/>
  <c r="AG612" i="2"/>
  <c r="AF612" i="2"/>
  <c r="AE612" i="2"/>
  <c r="AD612" i="2"/>
  <c r="AC612" i="2"/>
  <c r="AB612" i="2"/>
  <c r="Z612" i="2"/>
  <c r="Y612" i="2"/>
  <c r="X612" i="2"/>
  <c r="W612" i="2"/>
  <c r="V612" i="2"/>
  <c r="U612" i="2"/>
  <c r="T612" i="2"/>
  <c r="S612" i="2"/>
  <c r="R612" i="2"/>
  <c r="Q612" i="2"/>
  <c r="P612" i="2"/>
  <c r="O612" i="2"/>
  <c r="N612" i="2"/>
  <c r="M612" i="2"/>
  <c r="L612" i="2"/>
  <c r="K612" i="2"/>
  <c r="H612" i="2"/>
  <c r="G612" i="2"/>
  <c r="F612" i="2"/>
  <c r="E612" i="2"/>
  <c r="D612" i="2"/>
  <c r="C612" i="2"/>
  <c r="B612" i="2"/>
  <c r="A612" i="2"/>
  <c r="AH611" i="2"/>
  <c r="AG611" i="2"/>
  <c r="AF611" i="2"/>
  <c r="AE611" i="2"/>
  <c r="AD611" i="2"/>
  <c r="AC611" i="2"/>
  <c r="AB611" i="2"/>
  <c r="AA611" i="2"/>
  <c r="Y611" i="2"/>
  <c r="X611" i="2"/>
  <c r="W611" i="2"/>
  <c r="V611" i="2"/>
  <c r="U611" i="2"/>
  <c r="T611" i="2"/>
  <c r="S611" i="2"/>
  <c r="R611" i="2"/>
  <c r="Q611" i="2"/>
  <c r="P611" i="2"/>
  <c r="O611" i="2"/>
  <c r="N611" i="2"/>
  <c r="M611" i="2"/>
  <c r="L611" i="2"/>
  <c r="K611" i="2"/>
  <c r="H611" i="2"/>
  <c r="G611" i="2"/>
  <c r="F611" i="2"/>
  <c r="E611" i="2"/>
  <c r="D611" i="2"/>
  <c r="C611" i="2"/>
  <c r="B611" i="2"/>
  <c r="A611" i="2"/>
  <c r="AH610" i="2"/>
  <c r="AF610" i="2"/>
  <c r="AE610" i="2"/>
  <c r="AD610" i="2"/>
  <c r="AC610" i="2"/>
  <c r="AB610" i="2"/>
  <c r="AA610" i="2"/>
  <c r="Z610" i="2"/>
  <c r="Y610" i="2"/>
  <c r="X610" i="2"/>
  <c r="W610" i="2"/>
  <c r="V610" i="2"/>
  <c r="U610" i="2"/>
  <c r="T610" i="2"/>
  <c r="S610" i="2"/>
  <c r="R610" i="2"/>
  <c r="Q610" i="2"/>
  <c r="P610" i="2"/>
  <c r="O610" i="2"/>
  <c r="N610" i="2"/>
  <c r="M610" i="2"/>
  <c r="L610" i="2"/>
  <c r="K610" i="2"/>
  <c r="H610" i="2"/>
  <c r="G610" i="2"/>
  <c r="F610" i="2"/>
  <c r="E610" i="2"/>
  <c r="D610" i="2"/>
  <c r="C610" i="2"/>
  <c r="B610" i="2"/>
  <c r="A610" i="2"/>
  <c r="AH609" i="2"/>
  <c r="AG609" i="2"/>
  <c r="AF609" i="2"/>
  <c r="AE609" i="2"/>
  <c r="AD609" i="2"/>
  <c r="AC609" i="2"/>
  <c r="AB609" i="2"/>
  <c r="Z609" i="2"/>
  <c r="Y609" i="2"/>
  <c r="X609" i="2"/>
  <c r="W609" i="2"/>
  <c r="V609" i="2"/>
  <c r="U609" i="2"/>
  <c r="T609" i="2"/>
  <c r="S609" i="2"/>
  <c r="R609" i="2"/>
  <c r="Q609" i="2"/>
  <c r="P609" i="2"/>
  <c r="O609" i="2"/>
  <c r="N609" i="2"/>
  <c r="M609" i="2"/>
  <c r="L609" i="2"/>
  <c r="K609" i="2"/>
  <c r="H609" i="2"/>
  <c r="G609" i="2"/>
  <c r="F609" i="2"/>
  <c r="E609" i="2"/>
  <c r="D609" i="2"/>
  <c r="C609" i="2"/>
  <c r="B609" i="2"/>
  <c r="A609" i="2"/>
  <c r="AH608" i="2"/>
  <c r="AF608" i="2"/>
  <c r="AE608" i="2"/>
  <c r="AD608" i="2"/>
  <c r="AC608" i="2"/>
  <c r="AB608" i="2"/>
  <c r="X608" i="2"/>
  <c r="W608" i="2"/>
  <c r="V608" i="2"/>
  <c r="U608" i="2"/>
  <c r="T608" i="2"/>
  <c r="S608" i="2"/>
  <c r="R608" i="2"/>
  <c r="Q608" i="2"/>
  <c r="P608" i="2"/>
  <c r="O608" i="2"/>
  <c r="N608" i="2"/>
  <c r="M608" i="2"/>
  <c r="L608" i="2"/>
  <c r="K608" i="2"/>
  <c r="H608" i="2"/>
  <c r="G608" i="2"/>
  <c r="F608" i="2"/>
  <c r="E608" i="2"/>
  <c r="D608" i="2"/>
  <c r="C608" i="2"/>
  <c r="B608" i="2"/>
  <c r="A608" i="2"/>
  <c r="AH607" i="2"/>
  <c r="AF607" i="2"/>
  <c r="AE607" i="2"/>
  <c r="AD607" i="2"/>
  <c r="AC607" i="2"/>
  <c r="AB607" i="2"/>
  <c r="X607" i="2"/>
  <c r="W607" i="2"/>
  <c r="V607" i="2"/>
  <c r="U607" i="2"/>
  <c r="T607" i="2"/>
  <c r="S607" i="2"/>
  <c r="R607" i="2"/>
  <c r="Q607" i="2"/>
  <c r="P607" i="2"/>
  <c r="O607" i="2"/>
  <c r="N607" i="2"/>
  <c r="M607" i="2"/>
  <c r="L607" i="2"/>
  <c r="K607" i="2"/>
  <c r="H607" i="2"/>
  <c r="G607" i="2"/>
  <c r="F607" i="2"/>
  <c r="E607" i="2"/>
  <c r="D607" i="2"/>
  <c r="C607" i="2"/>
  <c r="B607" i="2"/>
  <c r="A607" i="2"/>
  <c r="AH606" i="2"/>
  <c r="AG606" i="2"/>
  <c r="AF606" i="2"/>
  <c r="AE606" i="2"/>
  <c r="AD606" i="2"/>
  <c r="AC606" i="2"/>
  <c r="AB606" i="2"/>
  <c r="Z606" i="2"/>
  <c r="Y606" i="2"/>
  <c r="X606" i="2"/>
  <c r="W606" i="2"/>
  <c r="V606" i="2"/>
  <c r="U606" i="2"/>
  <c r="T606" i="2"/>
  <c r="S606" i="2"/>
  <c r="R606" i="2"/>
  <c r="Q606" i="2"/>
  <c r="P606" i="2"/>
  <c r="O606" i="2"/>
  <c r="N606" i="2"/>
  <c r="M606" i="2"/>
  <c r="L606" i="2"/>
  <c r="K606" i="2"/>
  <c r="J606" i="2"/>
  <c r="H606" i="2"/>
  <c r="G606" i="2"/>
  <c r="F606" i="2"/>
  <c r="E606" i="2"/>
  <c r="D606" i="2"/>
  <c r="C606" i="2"/>
  <c r="B606" i="2"/>
  <c r="A606" i="2"/>
  <c r="AH605" i="2"/>
  <c r="AF605" i="2"/>
  <c r="AE605" i="2"/>
  <c r="AD605" i="2"/>
  <c r="AC605" i="2"/>
  <c r="AB605" i="2"/>
  <c r="X605" i="2"/>
  <c r="W605" i="2"/>
  <c r="V605" i="2"/>
  <c r="U605" i="2"/>
  <c r="T605" i="2"/>
  <c r="S605" i="2"/>
  <c r="R605" i="2"/>
  <c r="Q605" i="2"/>
  <c r="P605" i="2"/>
  <c r="O605" i="2"/>
  <c r="N605" i="2"/>
  <c r="M605" i="2"/>
  <c r="L605" i="2"/>
  <c r="K605" i="2"/>
  <c r="H605" i="2"/>
  <c r="G605" i="2"/>
  <c r="F605" i="2"/>
  <c r="E605" i="2"/>
  <c r="D605" i="2"/>
  <c r="C605" i="2"/>
  <c r="B605" i="2"/>
  <c r="A605" i="2"/>
  <c r="AH604" i="2"/>
  <c r="AG604" i="2"/>
  <c r="AF604" i="2"/>
  <c r="AE604" i="2"/>
  <c r="AD604" i="2"/>
  <c r="AC604" i="2"/>
  <c r="AB604" i="2"/>
  <c r="AA604" i="2"/>
  <c r="Z604" i="2"/>
  <c r="Y604" i="2"/>
  <c r="X604" i="2"/>
  <c r="W604" i="2"/>
  <c r="V604" i="2"/>
  <c r="U604" i="2"/>
  <c r="T604" i="2"/>
  <c r="S604" i="2"/>
  <c r="R604" i="2"/>
  <c r="Q604" i="2"/>
  <c r="P604" i="2"/>
  <c r="O604" i="2"/>
  <c r="N604" i="2"/>
  <c r="M604" i="2"/>
  <c r="L604" i="2"/>
  <c r="K604" i="2"/>
  <c r="H604" i="2"/>
  <c r="G604" i="2"/>
  <c r="F604" i="2"/>
  <c r="E604" i="2"/>
  <c r="D604" i="2"/>
  <c r="C604" i="2"/>
  <c r="B604" i="2"/>
  <c r="A604" i="2"/>
  <c r="AH603" i="2"/>
  <c r="AF603" i="2"/>
  <c r="AE603" i="2"/>
  <c r="AD603" i="2"/>
  <c r="AC603" i="2"/>
  <c r="AB603" i="2"/>
  <c r="Z603" i="2"/>
  <c r="X603" i="2"/>
  <c r="W603" i="2"/>
  <c r="V603" i="2"/>
  <c r="U603" i="2"/>
  <c r="T603" i="2"/>
  <c r="S603" i="2"/>
  <c r="R603" i="2"/>
  <c r="Q603" i="2"/>
  <c r="P603" i="2"/>
  <c r="O603" i="2"/>
  <c r="N603" i="2"/>
  <c r="M603" i="2"/>
  <c r="L603" i="2"/>
  <c r="K603" i="2"/>
  <c r="H603" i="2"/>
  <c r="G603" i="2"/>
  <c r="F603" i="2"/>
  <c r="E603" i="2"/>
  <c r="D603" i="2"/>
  <c r="C603" i="2"/>
  <c r="B603" i="2"/>
  <c r="A603" i="2"/>
  <c r="AH602" i="2"/>
  <c r="AG602" i="2"/>
  <c r="AF602" i="2"/>
  <c r="AE602" i="2"/>
  <c r="AD602" i="2"/>
  <c r="AC602" i="2"/>
  <c r="AB602" i="2"/>
  <c r="AA602" i="2"/>
  <c r="Z602" i="2"/>
  <c r="Y602" i="2"/>
  <c r="X602" i="2"/>
  <c r="W602" i="2"/>
  <c r="V602" i="2"/>
  <c r="U602" i="2"/>
  <c r="T602" i="2"/>
  <c r="S602" i="2"/>
  <c r="R602" i="2"/>
  <c r="Q602" i="2"/>
  <c r="P602" i="2"/>
  <c r="O602" i="2"/>
  <c r="N602" i="2"/>
  <c r="M602" i="2"/>
  <c r="L602" i="2"/>
  <c r="K602" i="2"/>
  <c r="H602" i="2"/>
  <c r="G602" i="2"/>
  <c r="F602" i="2"/>
  <c r="E602" i="2"/>
  <c r="D602" i="2"/>
  <c r="C602" i="2"/>
  <c r="B602" i="2"/>
  <c r="A602" i="2"/>
  <c r="AH601" i="2"/>
  <c r="AF601" i="2"/>
  <c r="AE601" i="2"/>
  <c r="AD601" i="2"/>
  <c r="AC601" i="2"/>
  <c r="AB601" i="2"/>
  <c r="X601" i="2"/>
  <c r="W601" i="2"/>
  <c r="V601" i="2"/>
  <c r="U601" i="2"/>
  <c r="T601" i="2"/>
  <c r="S601" i="2"/>
  <c r="R601" i="2"/>
  <c r="Q601" i="2"/>
  <c r="P601" i="2"/>
  <c r="O601" i="2"/>
  <c r="N601" i="2"/>
  <c r="M601" i="2"/>
  <c r="L601" i="2"/>
  <c r="K601" i="2"/>
  <c r="H601" i="2"/>
  <c r="G601" i="2"/>
  <c r="F601" i="2"/>
  <c r="E601" i="2"/>
  <c r="D601" i="2"/>
  <c r="C601" i="2"/>
  <c r="B601" i="2"/>
  <c r="A601" i="2"/>
  <c r="AH600" i="2"/>
  <c r="AG600" i="2"/>
  <c r="AF600" i="2"/>
  <c r="AE600" i="2"/>
  <c r="AD600" i="2"/>
  <c r="AC600" i="2"/>
  <c r="AB600" i="2"/>
  <c r="AA600" i="2"/>
  <c r="Z600" i="2"/>
  <c r="Y600" i="2"/>
  <c r="X600" i="2"/>
  <c r="W600" i="2"/>
  <c r="V600" i="2"/>
  <c r="U600" i="2"/>
  <c r="T600" i="2"/>
  <c r="S600" i="2"/>
  <c r="R600" i="2"/>
  <c r="Q600" i="2"/>
  <c r="P600" i="2"/>
  <c r="O600" i="2"/>
  <c r="N600" i="2"/>
  <c r="M600" i="2"/>
  <c r="L600" i="2"/>
  <c r="K600" i="2"/>
  <c r="H600" i="2"/>
  <c r="G600" i="2"/>
  <c r="F600" i="2"/>
  <c r="E600" i="2"/>
  <c r="D600" i="2"/>
  <c r="C600" i="2"/>
  <c r="B600" i="2"/>
  <c r="A600" i="2"/>
  <c r="AH599" i="2"/>
  <c r="AG599" i="2"/>
  <c r="AF599" i="2"/>
  <c r="AE599" i="2"/>
  <c r="AD599" i="2"/>
  <c r="AC599" i="2"/>
  <c r="AB599" i="2"/>
  <c r="Y599" i="2"/>
  <c r="X599" i="2"/>
  <c r="W599" i="2"/>
  <c r="V599" i="2"/>
  <c r="U599" i="2"/>
  <c r="T599" i="2"/>
  <c r="S599" i="2"/>
  <c r="R599" i="2"/>
  <c r="Q599" i="2"/>
  <c r="P599" i="2"/>
  <c r="N599" i="2"/>
  <c r="M599" i="2"/>
  <c r="L599" i="2"/>
  <c r="K599" i="2"/>
  <c r="H599" i="2"/>
  <c r="G599" i="2"/>
  <c r="F599" i="2"/>
  <c r="E599" i="2"/>
  <c r="D599" i="2"/>
  <c r="C599" i="2"/>
  <c r="B599" i="2"/>
  <c r="A599" i="2"/>
  <c r="AH598" i="2"/>
  <c r="AF598" i="2"/>
  <c r="AE598" i="2"/>
  <c r="AD598" i="2"/>
  <c r="AC598" i="2"/>
  <c r="AB598" i="2"/>
  <c r="Z598" i="2"/>
  <c r="Y598" i="2"/>
  <c r="X598" i="2"/>
  <c r="W598" i="2"/>
  <c r="V598" i="2"/>
  <c r="U598" i="2"/>
  <c r="T598" i="2"/>
  <c r="S598" i="2"/>
  <c r="R598" i="2"/>
  <c r="Q598" i="2"/>
  <c r="P598" i="2"/>
  <c r="O598" i="2"/>
  <c r="N598" i="2"/>
  <c r="M598" i="2"/>
  <c r="L598" i="2"/>
  <c r="K598" i="2"/>
  <c r="H598" i="2"/>
  <c r="G598" i="2"/>
  <c r="F598" i="2"/>
  <c r="E598" i="2"/>
  <c r="D598" i="2"/>
  <c r="C598" i="2"/>
  <c r="B598" i="2"/>
  <c r="A598" i="2"/>
  <c r="AH588" i="2"/>
  <c r="AG588" i="2"/>
  <c r="AF588" i="2"/>
  <c r="AE588" i="2"/>
  <c r="AD588" i="2"/>
  <c r="AC588" i="2"/>
  <c r="AB588" i="2"/>
  <c r="Z588" i="2"/>
  <c r="Y588" i="2"/>
  <c r="X588" i="2"/>
  <c r="W588" i="2"/>
  <c r="V588" i="2"/>
  <c r="U588" i="2"/>
  <c r="T588" i="2"/>
  <c r="R588" i="2"/>
  <c r="Q588" i="2"/>
  <c r="P588" i="2"/>
  <c r="O588" i="2"/>
  <c r="N588" i="2"/>
  <c r="M588" i="2"/>
  <c r="L588" i="2"/>
  <c r="K588" i="2"/>
  <c r="J588" i="2"/>
  <c r="I588" i="2"/>
  <c r="H588" i="2"/>
  <c r="G588" i="2"/>
  <c r="F588" i="2"/>
  <c r="E588" i="2"/>
  <c r="D588" i="2"/>
  <c r="C588" i="2"/>
  <c r="B588" i="2"/>
  <c r="A588" i="2"/>
  <c r="AH597" i="2"/>
  <c r="AF597" i="2"/>
  <c r="AD597" i="2"/>
  <c r="AC597" i="2"/>
  <c r="AB597" i="2"/>
  <c r="X597" i="2"/>
  <c r="W597" i="2"/>
  <c r="V597" i="2"/>
  <c r="U597" i="2"/>
  <c r="T597" i="2"/>
  <c r="S597" i="2"/>
  <c r="R597" i="2"/>
  <c r="Q597" i="2"/>
  <c r="P597" i="2"/>
  <c r="O597" i="2"/>
  <c r="N597" i="2"/>
  <c r="M597" i="2"/>
  <c r="L597" i="2"/>
  <c r="K597" i="2"/>
  <c r="H597" i="2"/>
  <c r="G597" i="2"/>
  <c r="F597" i="2"/>
  <c r="E597" i="2"/>
  <c r="D597" i="2"/>
  <c r="C597" i="2"/>
  <c r="B597" i="2"/>
  <c r="A597" i="2"/>
  <c r="AH596" i="2"/>
  <c r="AG596" i="2"/>
  <c r="AF596" i="2"/>
  <c r="AE596" i="2"/>
  <c r="AD596" i="2"/>
  <c r="AC596" i="2"/>
  <c r="AB596" i="2"/>
  <c r="AA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H595" i="2"/>
  <c r="AG595" i="2"/>
  <c r="AF595" i="2"/>
  <c r="AE595" i="2"/>
  <c r="AD595" i="2"/>
  <c r="AC595" i="2"/>
  <c r="AB595" i="2"/>
  <c r="X595" i="2"/>
  <c r="W595" i="2"/>
  <c r="V595" i="2"/>
  <c r="U595" i="2"/>
  <c r="T595" i="2"/>
  <c r="S595" i="2"/>
  <c r="R595" i="2"/>
  <c r="Q595" i="2"/>
  <c r="P595" i="2"/>
  <c r="O595" i="2"/>
  <c r="N595" i="2"/>
  <c r="M595" i="2"/>
  <c r="L595" i="2"/>
  <c r="K595" i="2"/>
  <c r="H595" i="2"/>
  <c r="G595" i="2"/>
  <c r="F595" i="2"/>
  <c r="E595" i="2"/>
  <c r="D595" i="2"/>
  <c r="C595" i="2"/>
  <c r="B595" i="2"/>
  <c r="A595" i="2"/>
  <c r="AH594" i="2"/>
  <c r="AG594" i="2"/>
  <c r="AF594" i="2"/>
  <c r="AE594" i="2"/>
  <c r="AD594" i="2"/>
  <c r="AC594" i="2"/>
  <c r="AB594" i="2"/>
  <c r="Z594" i="2"/>
  <c r="Y594" i="2"/>
  <c r="X594" i="2"/>
  <c r="W594" i="2"/>
  <c r="V594" i="2"/>
  <c r="U594" i="2"/>
  <c r="T594" i="2"/>
  <c r="S594" i="2"/>
  <c r="R594" i="2"/>
  <c r="Q594" i="2"/>
  <c r="P594" i="2"/>
  <c r="O594" i="2"/>
  <c r="N594" i="2"/>
  <c r="M594" i="2"/>
  <c r="L594" i="2"/>
  <c r="K594" i="2"/>
  <c r="H594" i="2"/>
  <c r="G594" i="2"/>
  <c r="F594" i="2"/>
  <c r="E594" i="2"/>
  <c r="D594" i="2"/>
  <c r="C594" i="2"/>
  <c r="B594" i="2"/>
  <c r="A594" i="2"/>
  <c r="AH593" i="2"/>
  <c r="AG593" i="2"/>
  <c r="AF593" i="2"/>
  <c r="AE593" i="2"/>
  <c r="AD593" i="2"/>
  <c r="AC593" i="2"/>
  <c r="AB593" i="2"/>
  <c r="Z593" i="2"/>
  <c r="Y593" i="2"/>
  <c r="X593" i="2"/>
  <c r="W593" i="2"/>
  <c r="V593" i="2"/>
  <c r="U593" i="2"/>
  <c r="T593" i="2"/>
  <c r="S593" i="2"/>
  <c r="R593" i="2"/>
  <c r="Q593" i="2"/>
  <c r="P593" i="2"/>
  <c r="O593" i="2"/>
  <c r="N593" i="2"/>
  <c r="M593" i="2"/>
  <c r="L593" i="2"/>
  <c r="K593" i="2"/>
  <c r="H593" i="2"/>
  <c r="G593" i="2"/>
  <c r="F593" i="2"/>
  <c r="E593" i="2"/>
  <c r="D593" i="2"/>
  <c r="C593" i="2"/>
  <c r="B593" i="2"/>
  <c r="A593" i="2"/>
  <c r="AH592" i="2"/>
  <c r="AD592" i="2"/>
  <c r="AC592" i="2"/>
  <c r="AB592" i="2"/>
  <c r="Z592" i="2"/>
  <c r="X592" i="2"/>
  <c r="W592" i="2"/>
  <c r="V592" i="2"/>
  <c r="S592" i="2"/>
  <c r="R592" i="2"/>
  <c r="P592" i="2"/>
  <c r="O592" i="2"/>
  <c r="N592" i="2"/>
  <c r="M592" i="2"/>
  <c r="L592" i="2"/>
  <c r="K592" i="2"/>
  <c r="H592" i="2"/>
  <c r="G592" i="2"/>
  <c r="F592" i="2"/>
  <c r="E592" i="2"/>
  <c r="D592" i="2"/>
  <c r="C592" i="2"/>
  <c r="B592" i="2"/>
  <c r="A592" i="2"/>
  <c r="AH591" i="2"/>
  <c r="AG591" i="2"/>
  <c r="AF591" i="2"/>
  <c r="AD591" i="2"/>
  <c r="AC591" i="2"/>
  <c r="AB591" i="2"/>
  <c r="AA591" i="2"/>
  <c r="Z591" i="2"/>
  <c r="Y591" i="2"/>
  <c r="X591" i="2"/>
  <c r="W591" i="2"/>
  <c r="V591" i="2"/>
  <c r="T591" i="2"/>
  <c r="S591" i="2"/>
  <c r="R591" i="2"/>
  <c r="Q591" i="2"/>
  <c r="P591" i="2"/>
  <c r="O591" i="2"/>
  <c r="N591" i="2"/>
  <c r="M591" i="2"/>
  <c r="L591" i="2"/>
  <c r="K591" i="2"/>
  <c r="H591" i="2"/>
  <c r="G591" i="2"/>
  <c r="F591" i="2"/>
  <c r="E591" i="2"/>
  <c r="D591" i="2"/>
  <c r="C591" i="2"/>
  <c r="B591" i="2"/>
  <c r="A591" i="2"/>
  <c r="AH590" i="2"/>
  <c r="AG590" i="2"/>
  <c r="AF590" i="2"/>
  <c r="AE590" i="2"/>
  <c r="AD590" i="2"/>
  <c r="AC590" i="2"/>
  <c r="AB590" i="2"/>
  <c r="AA590" i="2"/>
  <c r="Z590" i="2"/>
  <c r="Y590" i="2"/>
  <c r="X590" i="2"/>
  <c r="W590" i="2"/>
  <c r="V590" i="2"/>
  <c r="U590" i="2"/>
  <c r="T590" i="2"/>
  <c r="S590" i="2"/>
  <c r="R590" i="2"/>
  <c r="Q590" i="2"/>
  <c r="P590" i="2"/>
  <c r="O590" i="2"/>
  <c r="N590" i="2"/>
  <c r="M590" i="2"/>
  <c r="L590" i="2"/>
  <c r="K590" i="2"/>
  <c r="H590" i="2"/>
  <c r="G590" i="2"/>
  <c r="F590" i="2"/>
  <c r="E590" i="2"/>
  <c r="D590" i="2"/>
  <c r="C590" i="2"/>
  <c r="B590" i="2"/>
  <c r="A590" i="2"/>
  <c r="AH589" i="2"/>
  <c r="AF589" i="2"/>
  <c r="AE589" i="2"/>
  <c r="AD589" i="2"/>
  <c r="AC589" i="2"/>
  <c r="AB589" i="2"/>
  <c r="X589" i="2"/>
  <c r="W589" i="2"/>
  <c r="V589" i="2"/>
  <c r="U589" i="2"/>
  <c r="T589" i="2"/>
  <c r="S589" i="2"/>
  <c r="R589" i="2"/>
  <c r="Q589" i="2"/>
  <c r="P589" i="2"/>
  <c r="O589" i="2"/>
  <c r="N589" i="2"/>
  <c r="M589" i="2"/>
  <c r="L589" i="2"/>
  <c r="K589" i="2"/>
  <c r="H589" i="2"/>
  <c r="G589" i="2"/>
  <c r="F589" i="2"/>
  <c r="E589" i="2"/>
  <c r="D589" i="2"/>
  <c r="C589" i="2"/>
  <c r="B589" i="2"/>
  <c r="A589" i="2"/>
  <c r="AH587" i="2"/>
  <c r="AD587" i="2"/>
  <c r="AC587" i="2"/>
  <c r="AB587" i="2"/>
  <c r="X587" i="2"/>
  <c r="W587" i="2"/>
  <c r="V587" i="2"/>
  <c r="U587" i="2"/>
  <c r="T587" i="2"/>
  <c r="S587" i="2"/>
  <c r="R587" i="2"/>
  <c r="Q587" i="2"/>
  <c r="P587" i="2"/>
  <c r="O587" i="2"/>
  <c r="N587" i="2"/>
  <c r="M587" i="2"/>
  <c r="L587" i="2"/>
  <c r="K587" i="2"/>
  <c r="H587" i="2"/>
  <c r="G587" i="2"/>
  <c r="F587" i="2"/>
  <c r="E587" i="2"/>
  <c r="D587" i="2"/>
  <c r="C587" i="2"/>
  <c r="B587" i="2"/>
  <c r="A587" i="2"/>
  <c r="AH586" i="2"/>
  <c r="AF586" i="2"/>
  <c r="AE586" i="2"/>
  <c r="AD586" i="2"/>
  <c r="AC586" i="2"/>
  <c r="AB586" i="2"/>
  <c r="X586" i="2"/>
  <c r="W586" i="2"/>
  <c r="V586" i="2"/>
  <c r="U586" i="2"/>
  <c r="T586" i="2"/>
  <c r="S586" i="2"/>
  <c r="R586" i="2"/>
  <c r="Q586" i="2"/>
  <c r="P586" i="2"/>
  <c r="O586" i="2"/>
  <c r="N586" i="2"/>
  <c r="M586" i="2"/>
  <c r="L586" i="2"/>
  <c r="K586" i="2"/>
  <c r="H586" i="2"/>
  <c r="G586" i="2"/>
  <c r="F586" i="2"/>
  <c r="E586" i="2"/>
  <c r="D586" i="2"/>
  <c r="C586" i="2"/>
  <c r="B586" i="2"/>
  <c r="A586" i="2"/>
  <c r="AH585" i="2"/>
  <c r="AG585" i="2"/>
  <c r="AF585" i="2"/>
  <c r="AE585" i="2"/>
  <c r="AD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H584" i="2"/>
  <c r="AF584" i="2"/>
  <c r="AD584" i="2"/>
  <c r="AC584" i="2"/>
  <c r="AB584" i="2"/>
  <c r="AA584" i="2"/>
  <c r="Z584" i="2"/>
  <c r="Y584" i="2"/>
  <c r="W584" i="2"/>
  <c r="V584" i="2"/>
  <c r="U584" i="2"/>
  <c r="T584" i="2"/>
  <c r="S584" i="2"/>
  <c r="R584" i="2"/>
  <c r="Q584" i="2"/>
  <c r="P584" i="2"/>
  <c r="O584" i="2"/>
  <c r="N584" i="2"/>
  <c r="M584" i="2"/>
  <c r="L584" i="2"/>
  <c r="K584" i="2"/>
  <c r="J584" i="2"/>
  <c r="I584" i="2"/>
  <c r="H584" i="2"/>
  <c r="G584" i="2"/>
  <c r="F584" i="2"/>
  <c r="E584" i="2"/>
  <c r="D584" i="2"/>
  <c r="C584" i="2"/>
  <c r="B584" i="2"/>
  <c r="A584" i="2"/>
  <c r="AH583" i="2"/>
  <c r="AF583" i="2"/>
  <c r="AE583" i="2"/>
  <c r="AD583" i="2"/>
  <c r="AC583" i="2"/>
  <c r="AB583" i="2"/>
  <c r="Y583" i="2"/>
  <c r="X583" i="2"/>
  <c r="W583" i="2"/>
  <c r="V583" i="2"/>
  <c r="U583" i="2"/>
  <c r="T583" i="2"/>
  <c r="S583" i="2"/>
  <c r="R583" i="2"/>
  <c r="Q583" i="2"/>
  <c r="P583" i="2"/>
  <c r="O583" i="2"/>
  <c r="N583" i="2"/>
  <c r="M583" i="2"/>
  <c r="L583" i="2"/>
  <c r="K583" i="2"/>
  <c r="H583" i="2"/>
  <c r="G583" i="2"/>
  <c r="F583" i="2"/>
  <c r="E583" i="2"/>
  <c r="D583" i="2"/>
  <c r="C583" i="2"/>
  <c r="B583" i="2"/>
  <c r="A583" i="2"/>
  <c r="AH582" i="2"/>
  <c r="AG582" i="2"/>
  <c r="AF582" i="2"/>
  <c r="AD582" i="2"/>
  <c r="AC582" i="2"/>
  <c r="AB582" i="2"/>
  <c r="AA582" i="2"/>
  <c r="Z582" i="2"/>
  <c r="Y582" i="2"/>
  <c r="X582" i="2"/>
  <c r="W582" i="2"/>
  <c r="V582" i="2"/>
  <c r="U582" i="2"/>
  <c r="T582" i="2"/>
  <c r="S582" i="2"/>
  <c r="R582" i="2"/>
  <c r="Q582" i="2"/>
  <c r="P582" i="2"/>
  <c r="O582" i="2"/>
  <c r="N582" i="2"/>
  <c r="M582" i="2"/>
  <c r="L582" i="2"/>
  <c r="K582" i="2"/>
  <c r="H582" i="2"/>
  <c r="G582" i="2"/>
  <c r="F582" i="2"/>
  <c r="E582" i="2"/>
  <c r="D582" i="2"/>
  <c r="C582" i="2"/>
  <c r="B582" i="2"/>
  <c r="A582" i="2"/>
  <c r="AH581" i="2"/>
  <c r="AF581" i="2"/>
  <c r="AE581" i="2"/>
  <c r="AD581" i="2"/>
  <c r="AC581" i="2"/>
  <c r="AB581" i="2"/>
  <c r="X581" i="2"/>
  <c r="W581" i="2"/>
  <c r="V581" i="2"/>
  <c r="U581" i="2"/>
  <c r="T581" i="2"/>
  <c r="S581" i="2"/>
  <c r="R581" i="2"/>
  <c r="Q581" i="2"/>
  <c r="P581" i="2"/>
  <c r="O581" i="2"/>
  <c r="N581" i="2"/>
  <c r="M581" i="2"/>
  <c r="L581" i="2"/>
  <c r="K581" i="2"/>
  <c r="H581" i="2"/>
  <c r="G581" i="2"/>
  <c r="F581" i="2"/>
  <c r="E581" i="2"/>
  <c r="D581" i="2"/>
  <c r="C581" i="2"/>
  <c r="B581" i="2"/>
  <c r="A581" i="2"/>
  <c r="AH580" i="2"/>
  <c r="AG580" i="2"/>
  <c r="AF580" i="2"/>
  <c r="AE580" i="2"/>
  <c r="AD580" i="2"/>
  <c r="AC580" i="2"/>
  <c r="AB580" i="2"/>
  <c r="AA580" i="2"/>
  <c r="Z580" i="2"/>
  <c r="Y580" i="2"/>
  <c r="X580" i="2"/>
  <c r="W580" i="2"/>
  <c r="V580" i="2"/>
  <c r="U580" i="2"/>
  <c r="T580" i="2"/>
  <c r="S580" i="2"/>
  <c r="R580" i="2"/>
  <c r="Q580" i="2"/>
  <c r="P580" i="2"/>
  <c r="O580" i="2"/>
  <c r="N580" i="2"/>
  <c r="M580" i="2"/>
  <c r="L580" i="2"/>
  <c r="K580" i="2"/>
  <c r="H580" i="2"/>
  <c r="G580" i="2"/>
  <c r="F580" i="2"/>
  <c r="E580" i="2"/>
  <c r="D580" i="2"/>
  <c r="C580" i="2"/>
  <c r="B580" i="2"/>
  <c r="A580" i="2"/>
  <c r="AH579" i="2"/>
  <c r="AG579" i="2"/>
  <c r="AF579" i="2"/>
  <c r="AE579" i="2"/>
  <c r="AD579" i="2"/>
  <c r="AC579" i="2"/>
  <c r="AB579" i="2"/>
  <c r="Y579" i="2"/>
  <c r="X579" i="2"/>
  <c r="W579" i="2"/>
  <c r="V579" i="2"/>
  <c r="U579" i="2"/>
  <c r="T579" i="2"/>
  <c r="S579" i="2"/>
  <c r="R579" i="2"/>
  <c r="Q579" i="2"/>
  <c r="P579" i="2"/>
  <c r="O579" i="2"/>
  <c r="N579" i="2"/>
  <c r="M579" i="2"/>
  <c r="L579" i="2"/>
  <c r="K579" i="2"/>
  <c r="H579" i="2"/>
  <c r="G579" i="2"/>
  <c r="F579" i="2"/>
  <c r="E579" i="2"/>
  <c r="D579" i="2"/>
  <c r="C579" i="2"/>
  <c r="B579" i="2"/>
  <c r="A579" i="2"/>
  <c r="AH578" i="2"/>
  <c r="AG578" i="2"/>
  <c r="AF578" i="2"/>
  <c r="AE578" i="2"/>
  <c r="AD578" i="2"/>
  <c r="AC578" i="2"/>
  <c r="AB578" i="2"/>
  <c r="Z578" i="2"/>
  <c r="Y578" i="2"/>
  <c r="X578" i="2"/>
  <c r="W578" i="2"/>
  <c r="V578" i="2"/>
  <c r="U578" i="2"/>
  <c r="T578" i="2"/>
  <c r="S578" i="2"/>
  <c r="R578" i="2"/>
  <c r="Q578" i="2"/>
  <c r="P578" i="2"/>
  <c r="O578" i="2"/>
  <c r="N578" i="2"/>
  <c r="M578" i="2"/>
  <c r="L578" i="2"/>
  <c r="K578" i="2"/>
  <c r="H578" i="2"/>
  <c r="G578" i="2"/>
  <c r="F578" i="2"/>
  <c r="E578" i="2"/>
  <c r="D578" i="2"/>
  <c r="C578" i="2"/>
  <c r="B578" i="2"/>
  <c r="A578" i="2"/>
  <c r="AH577" i="2"/>
  <c r="AG577" i="2"/>
  <c r="AF577" i="2"/>
  <c r="AE577" i="2"/>
  <c r="AD577" i="2"/>
  <c r="AC577" i="2"/>
  <c r="AB577" i="2"/>
  <c r="Z577" i="2"/>
  <c r="Y577" i="2"/>
  <c r="X577" i="2"/>
  <c r="W577" i="2"/>
  <c r="V577" i="2"/>
  <c r="U577" i="2"/>
  <c r="T577" i="2"/>
  <c r="S577" i="2"/>
  <c r="R577" i="2"/>
  <c r="Q577" i="2"/>
  <c r="P577" i="2"/>
  <c r="O577" i="2"/>
  <c r="N577" i="2"/>
  <c r="M577" i="2"/>
  <c r="L577" i="2"/>
  <c r="K577" i="2"/>
  <c r="J577" i="2"/>
  <c r="H577" i="2"/>
  <c r="G577" i="2"/>
  <c r="F577" i="2"/>
  <c r="E577" i="2"/>
  <c r="D577" i="2"/>
  <c r="C577" i="2"/>
  <c r="B577" i="2"/>
  <c r="A577" i="2"/>
  <c r="AH576" i="2"/>
  <c r="AF576" i="2"/>
  <c r="AE576" i="2"/>
  <c r="AD576" i="2"/>
  <c r="AC576" i="2"/>
  <c r="AB576" i="2"/>
  <c r="AA576" i="2"/>
  <c r="Z576" i="2"/>
  <c r="Y576" i="2"/>
  <c r="X576" i="2"/>
  <c r="W576" i="2"/>
  <c r="V576" i="2"/>
  <c r="U576" i="2"/>
  <c r="T576" i="2"/>
  <c r="S576" i="2"/>
  <c r="R576" i="2"/>
  <c r="Q576" i="2"/>
  <c r="P576" i="2"/>
  <c r="O576" i="2"/>
  <c r="N576" i="2"/>
  <c r="M576" i="2"/>
  <c r="L576" i="2"/>
  <c r="K576" i="2"/>
  <c r="H576" i="2"/>
  <c r="G576" i="2"/>
  <c r="F576" i="2"/>
  <c r="E576" i="2"/>
  <c r="D576" i="2"/>
  <c r="C576" i="2"/>
  <c r="B576" i="2"/>
  <c r="A576" i="2"/>
  <c r="AH575" i="2"/>
  <c r="AG575" i="2"/>
  <c r="AF575" i="2"/>
  <c r="AE575" i="2"/>
  <c r="AD575" i="2"/>
  <c r="AC575" i="2"/>
  <c r="AB575" i="2"/>
  <c r="Z575" i="2"/>
  <c r="Y575" i="2"/>
  <c r="X575" i="2"/>
  <c r="W575" i="2"/>
  <c r="V575" i="2"/>
  <c r="U575" i="2"/>
  <c r="T575" i="2"/>
  <c r="S575" i="2"/>
  <c r="R575" i="2"/>
  <c r="Q575" i="2"/>
  <c r="P575" i="2"/>
  <c r="O575" i="2"/>
  <c r="N575" i="2"/>
  <c r="M575" i="2"/>
  <c r="L575" i="2"/>
  <c r="K575" i="2"/>
  <c r="H575" i="2"/>
  <c r="G575" i="2"/>
  <c r="F575" i="2"/>
  <c r="E575" i="2"/>
  <c r="D575" i="2"/>
  <c r="C575" i="2"/>
  <c r="B575" i="2"/>
  <c r="A575" i="2"/>
  <c r="AH574" i="2"/>
  <c r="AG574" i="2"/>
  <c r="AF574" i="2"/>
  <c r="AE574" i="2"/>
  <c r="AD574" i="2"/>
  <c r="AC574" i="2"/>
  <c r="AB574" i="2"/>
  <c r="AA574" i="2"/>
  <c r="Z574" i="2"/>
  <c r="Y574" i="2"/>
  <c r="X574" i="2"/>
  <c r="W574" i="2"/>
  <c r="V574" i="2"/>
  <c r="U574" i="2"/>
  <c r="T574" i="2"/>
  <c r="S574" i="2"/>
  <c r="R574" i="2"/>
  <c r="Q574" i="2"/>
  <c r="P574" i="2"/>
  <c r="O574" i="2"/>
  <c r="N574" i="2"/>
  <c r="M574" i="2"/>
  <c r="L574" i="2"/>
  <c r="K574" i="2"/>
  <c r="J574" i="2"/>
  <c r="H574" i="2"/>
  <c r="G574" i="2"/>
  <c r="F574" i="2"/>
  <c r="E574" i="2"/>
  <c r="D574" i="2"/>
  <c r="C574" i="2"/>
  <c r="B574" i="2"/>
  <c r="A574" i="2"/>
  <c r="AH573" i="2"/>
  <c r="AF573" i="2"/>
  <c r="AE573" i="2"/>
  <c r="AD573" i="2"/>
  <c r="AC573" i="2"/>
  <c r="AB573" i="2"/>
  <c r="Y573" i="2"/>
  <c r="X573" i="2"/>
  <c r="W573" i="2"/>
  <c r="V573" i="2"/>
  <c r="U573" i="2"/>
  <c r="T573" i="2"/>
  <c r="S573" i="2"/>
  <c r="R573" i="2"/>
  <c r="Q573" i="2"/>
  <c r="P573" i="2"/>
  <c r="O573" i="2"/>
  <c r="N573" i="2"/>
  <c r="M573" i="2"/>
  <c r="L573" i="2"/>
  <c r="K573" i="2"/>
  <c r="H573" i="2"/>
  <c r="G573" i="2"/>
  <c r="F573" i="2"/>
  <c r="E573" i="2"/>
  <c r="D573" i="2"/>
  <c r="C573" i="2"/>
  <c r="B573" i="2"/>
  <c r="A573" i="2"/>
  <c r="AH572" i="2"/>
  <c r="AG572" i="2"/>
  <c r="AF572" i="2"/>
  <c r="AE572" i="2"/>
  <c r="AD572" i="2"/>
  <c r="AC572" i="2"/>
  <c r="AB572" i="2"/>
  <c r="Z572" i="2"/>
  <c r="Y572" i="2"/>
  <c r="X572" i="2"/>
  <c r="W572" i="2"/>
  <c r="V572" i="2"/>
  <c r="U572" i="2"/>
  <c r="T572" i="2"/>
  <c r="S572" i="2"/>
  <c r="R572" i="2"/>
  <c r="Q572" i="2"/>
  <c r="P572" i="2"/>
  <c r="O572" i="2"/>
  <c r="N572" i="2"/>
  <c r="M572" i="2"/>
  <c r="L572" i="2"/>
  <c r="K572" i="2"/>
  <c r="H572" i="2"/>
  <c r="G572" i="2"/>
  <c r="F572" i="2"/>
  <c r="E572" i="2"/>
  <c r="D572" i="2"/>
  <c r="C572" i="2"/>
  <c r="B572" i="2"/>
  <c r="A572" i="2"/>
  <c r="AH571" i="2"/>
  <c r="AG571" i="2"/>
  <c r="AF571" i="2"/>
  <c r="AE571" i="2"/>
  <c r="AD571" i="2"/>
  <c r="AC571" i="2"/>
  <c r="AB571" i="2"/>
  <c r="Z571" i="2"/>
  <c r="Y571" i="2"/>
  <c r="X571" i="2"/>
  <c r="W571" i="2"/>
  <c r="V571" i="2"/>
  <c r="U571" i="2"/>
  <c r="T571" i="2"/>
  <c r="S571" i="2"/>
  <c r="R571" i="2"/>
  <c r="Q571" i="2"/>
  <c r="P571" i="2"/>
  <c r="O571" i="2"/>
  <c r="N571" i="2"/>
  <c r="M571" i="2"/>
  <c r="L571" i="2"/>
  <c r="K571" i="2"/>
  <c r="H571" i="2"/>
  <c r="G571" i="2"/>
  <c r="F571" i="2"/>
  <c r="E571" i="2"/>
  <c r="D571" i="2"/>
  <c r="C571" i="2"/>
  <c r="B571" i="2"/>
  <c r="A571" i="2"/>
  <c r="AH570" i="2"/>
  <c r="AG570" i="2"/>
  <c r="AF570" i="2"/>
  <c r="AD570" i="2"/>
  <c r="AC570" i="2"/>
  <c r="AB570" i="2"/>
  <c r="Z570" i="2"/>
  <c r="X570" i="2"/>
  <c r="W570" i="2"/>
  <c r="V570" i="2"/>
  <c r="T570" i="2"/>
  <c r="S570" i="2"/>
  <c r="R570" i="2"/>
  <c r="Q570" i="2"/>
  <c r="P570" i="2"/>
  <c r="O570" i="2"/>
  <c r="N570" i="2"/>
  <c r="M570" i="2"/>
  <c r="L570" i="2"/>
  <c r="K570" i="2"/>
  <c r="J570" i="2"/>
  <c r="H570" i="2"/>
  <c r="G570" i="2"/>
  <c r="F570" i="2"/>
  <c r="E570" i="2"/>
  <c r="D570" i="2"/>
  <c r="C570" i="2"/>
  <c r="B570" i="2"/>
  <c r="A570" i="2"/>
  <c r="AD569" i="2"/>
  <c r="AC569" i="2"/>
  <c r="AB569" i="2"/>
  <c r="Z569" i="2"/>
  <c r="Y569" i="2"/>
  <c r="X569" i="2"/>
  <c r="W569" i="2"/>
  <c r="V569" i="2"/>
  <c r="U569" i="2"/>
  <c r="T569" i="2"/>
  <c r="S569" i="2"/>
  <c r="R569" i="2"/>
  <c r="Q569" i="2"/>
  <c r="P569" i="2"/>
  <c r="O569" i="2"/>
  <c r="N569" i="2"/>
  <c r="M569" i="2"/>
  <c r="L569" i="2"/>
  <c r="K569" i="2"/>
  <c r="H569" i="2"/>
  <c r="G569" i="2"/>
  <c r="F569" i="2"/>
  <c r="E569" i="2"/>
  <c r="D569" i="2"/>
  <c r="C569" i="2"/>
  <c r="B569" i="2"/>
  <c r="A569" i="2"/>
  <c r="AH568" i="2"/>
  <c r="AG568" i="2"/>
  <c r="AF568" i="2"/>
  <c r="AE568" i="2"/>
  <c r="AD568" i="2"/>
  <c r="AC568" i="2"/>
  <c r="AB568" i="2"/>
  <c r="AA568" i="2"/>
  <c r="Z568" i="2"/>
  <c r="Y568" i="2"/>
  <c r="X568" i="2"/>
  <c r="W568" i="2"/>
  <c r="V568" i="2"/>
  <c r="U568" i="2"/>
  <c r="T568" i="2"/>
  <c r="S568" i="2"/>
  <c r="R568" i="2"/>
  <c r="Q568" i="2"/>
  <c r="P568" i="2"/>
  <c r="O568" i="2"/>
  <c r="N568" i="2"/>
  <c r="M568" i="2"/>
  <c r="L568" i="2"/>
  <c r="K568" i="2"/>
  <c r="H568" i="2"/>
  <c r="G568" i="2"/>
  <c r="F568" i="2"/>
  <c r="E568" i="2"/>
  <c r="D568" i="2"/>
  <c r="C568" i="2"/>
  <c r="B568" i="2"/>
  <c r="A568" i="2"/>
  <c r="AH567" i="2"/>
  <c r="AG567" i="2"/>
  <c r="AF567" i="2"/>
  <c r="AE567" i="2"/>
  <c r="AD567" i="2"/>
  <c r="AC567" i="2"/>
  <c r="AB567" i="2"/>
  <c r="Z567" i="2"/>
  <c r="Y567" i="2"/>
  <c r="X567" i="2"/>
  <c r="W567" i="2"/>
  <c r="V567" i="2"/>
  <c r="U567" i="2"/>
  <c r="T567" i="2"/>
  <c r="S567" i="2"/>
  <c r="R567" i="2"/>
  <c r="Q567" i="2"/>
  <c r="P567" i="2"/>
  <c r="O567" i="2"/>
  <c r="N567" i="2"/>
  <c r="M567" i="2"/>
  <c r="L567" i="2"/>
  <c r="K567" i="2"/>
  <c r="H567" i="2"/>
  <c r="G567" i="2"/>
  <c r="F567" i="2"/>
  <c r="E567" i="2"/>
  <c r="D567" i="2"/>
  <c r="C567" i="2"/>
  <c r="B567" i="2"/>
  <c r="A567" i="2"/>
  <c r="AH566" i="2"/>
  <c r="AG566" i="2"/>
  <c r="AF566" i="2"/>
  <c r="AE566" i="2"/>
  <c r="AD566" i="2"/>
  <c r="AC566" i="2"/>
  <c r="AB566" i="2"/>
  <c r="Z566" i="2"/>
  <c r="Y566" i="2"/>
  <c r="X566" i="2"/>
  <c r="W566" i="2"/>
  <c r="V566" i="2"/>
  <c r="U566" i="2"/>
  <c r="T566" i="2"/>
  <c r="S566" i="2"/>
  <c r="R566" i="2"/>
  <c r="Q566" i="2"/>
  <c r="P566" i="2"/>
  <c r="O566" i="2"/>
  <c r="N566" i="2"/>
  <c r="M566" i="2"/>
  <c r="L566" i="2"/>
  <c r="K566" i="2"/>
  <c r="H566" i="2"/>
  <c r="G566" i="2"/>
  <c r="F566" i="2"/>
  <c r="E566" i="2"/>
  <c r="D566" i="2"/>
  <c r="C566" i="2"/>
  <c r="B566" i="2"/>
  <c r="A566" i="2"/>
  <c r="AH565" i="2"/>
  <c r="AF565" i="2"/>
  <c r="AE565" i="2"/>
  <c r="AD565" i="2"/>
  <c r="AC565" i="2"/>
  <c r="AB565" i="2"/>
  <c r="X565" i="2"/>
  <c r="W565" i="2"/>
  <c r="V565" i="2"/>
  <c r="U565" i="2"/>
  <c r="T565" i="2"/>
  <c r="S565" i="2"/>
  <c r="R565" i="2"/>
  <c r="Q565" i="2"/>
  <c r="P565" i="2"/>
  <c r="O565" i="2"/>
  <c r="N565" i="2"/>
  <c r="M565" i="2"/>
  <c r="L565" i="2"/>
  <c r="K565" i="2"/>
  <c r="H565" i="2"/>
  <c r="G565" i="2"/>
  <c r="F565" i="2"/>
  <c r="E565" i="2"/>
  <c r="D565" i="2"/>
  <c r="C565" i="2"/>
  <c r="B565" i="2"/>
  <c r="A565" i="2"/>
  <c r="AH564" i="2"/>
  <c r="AG564" i="2"/>
  <c r="AF564" i="2"/>
  <c r="AE564" i="2"/>
  <c r="AD564" i="2"/>
  <c r="AC564" i="2"/>
  <c r="AB564" i="2"/>
  <c r="AA564" i="2"/>
  <c r="Z564" i="2"/>
  <c r="Y564" i="2"/>
  <c r="X564" i="2"/>
  <c r="W564" i="2"/>
  <c r="V564" i="2"/>
  <c r="U564" i="2"/>
  <c r="T564" i="2"/>
  <c r="S564" i="2"/>
  <c r="R564" i="2"/>
  <c r="Q564" i="2"/>
  <c r="P564" i="2"/>
  <c r="O564" i="2"/>
  <c r="N564" i="2"/>
  <c r="M564" i="2"/>
  <c r="L564" i="2"/>
  <c r="K564" i="2"/>
  <c r="H564" i="2"/>
  <c r="G564" i="2"/>
  <c r="F564" i="2"/>
  <c r="E564" i="2"/>
  <c r="D564" i="2"/>
  <c r="C564" i="2"/>
  <c r="B564" i="2"/>
  <c r="A564" i="2"/>
  <c r="AH563" i="2"/>
  <c r="AG563" i="2"/>
  <c r="AF563" i="2"/>
  <c r="AE563" i="2"/>
  <c r="AD563" i="2"/>
  <c r="AC563" i="2"/>
  <c r="AB563" i="2"/>
  <c r="Z563" i="2"/>
  <c r="X563" i="2"/>
  <c r="W563" i="2"/>
  <c r="V563" i="2"/>
  <c r="U563" i="2"/>
  <c r="T563" i="2"/>
  <c r="S563" i="2"/>
  <c r="R563" i="2"/>
  <c r="Q563" i="2"/>
  <c r="P563" i="2"/>
  <c r="O563" i="2"/>
  <c r="N563" i="2"/>
  <c r="M563" i="2"/>
  <c r="L563" i="2"/>
  <c r="K563" i="2"/>
  <c r="H563" i="2"/>
  <c r="G563" i="2"/>
  <c r="F563" i="2"/>
  <c r="E563" i="2"/>
  <c r="D563" i="2"/>
  <c r="C563" i="2"/>
  <c r="B563" i="2"/>
  <c r="A563" i="2"/>
  <c r="AH562" i="2"/>
  <c r="AG562" i="2"/>
  <c r="AF562" i="2"/>
  <c r="AE562" i="2"/>
  <c r="AD562" i="2"/>
  <c r="AC562" i="2"/>
  <c r="AB562" i="2"/>
  <c r="Z562" i="2"/>
  <c r="X562" i="2"/>
  <c r="W562" i="2"/>
  <c r="V562" i="2"/>
  <c r="U562" i="2"/>
  <c r="T562" i="2"/>
  <c r="S562" i="2"/>
  <c r="R562" i="2"/>
  <c r="Q562" i="2"/>
  <c r="P562" i="2"/>
  <c r="O562" i="2"/>
  <c r="N562" i="2"/>
  <c r="M562" i="2"/>
  <c r="L562" i="2"/>
  <c r="K562" i="2"/>
  <c r="H562" i="2"/>
  <c r="G562" i="2"/>
  <c r="F562" i="2"/>
  <c r="E562" i="2"/>
  <c r="D562" i="2"/>
  <c r="C562" i="2"/>
  <c r="B562" i="2"/>
  <c r="A562" i="2"/>
  <c r="AH561" i="2"/>
  <c r="AG561" i="2"/>
  <c r="AF561" i="2"/>
  <c r="AE561" i="2"/>
  <c r="AD561" i="2"/>
  <c r="AC561" i="2"/>
  <c r="AB561" i="2"/>
  <c r="AA561" i="2"/>
  <c r="Z561" i="2"/>
  <c r="Y561" i="2"/>
  <c r="X561" i="2"/>
  <c r="W561" i="2"/>
  <c r="V561" i="2"/>
  <c r="U561" i="2"/>
  <c r="T561" i="2"/>
  <c r="S561" i="2"/>
  <c r="R561" i="2"/>
  <c r="Q561" i="2"/>
  <c r="P561" i="2"/>
  <c r="O561" i="2"/>
  <c r="N561" i="2"/>
  <c r="M561" i="2"/>
  <c r="L561" i="2"/>
  <c r="K561" i="2"/>
  <c r="H561" i="2"/>
  <c r="G561" i="2"/>
  <c r="F561" i="2"/>
  <c r="E561" i="2"/>
  <c r="D561" i="2"/>
  <c r="C561" i="2"/>
  <c r="B561" i="2"/>
  <c r="A561" i="2"/>
  <c r="AH560" i="2"/>
  <c r="AG560" i="2"/>
  <c r="AF560" i="2"/>
  <c r="AE560" i="2"/>
  <c r="AD560" i="2"/>
  <c r="AC560" i="2"/>
  <c r="AB560" i="2"/>
  <c r="Z560" i="2"/>
  <c r="Y560" i="2"/>
  <c r="X560" i="2"/>
  <c r="W560" i="2"/>
  <c r="V560" i="2"/>
  <c r="U560" i="2"/>
  <c r="T560" i="2"/>
  <c r="S560" i="2"/>
  <c r="R560" i="2"/>
  <c r="Q560" i="2"/>
  <c r="P560" i="2"/>
  <c r="O560" i="2"/>
  <c r="N560" i="2"/>
  <c r="M560" i="2"/>
  <c r="L560" i="2"/>
  <c r="K560" i="2"/>
  <c r="H560" i="2"/>
  <c r="G560" i="2"/>
  <c r="F560" i="2"/>
  <c r="E560" i="2"/>
  <c r="D560" i="2"/>
  <c r="C560" i="2"/>
  <c r="B560" i="2"/>
  <c r="A560" i="2"/>
  <c r="AH559" i="2"/>
  <c r="AG559" i="2"/>
  <c r="AF559" i="2"/>
  <c r="AE559" i="2"/>
  <c r="AD559" i="2"/>
  <c r="AC559" i="2"/>
  <c r="AB559" i="2"/>
  <c r="Z559" i="2"/>
  <c r="Y559" i="2"/>
  <c r="X559" i="2"/>
  <c r="W559" i="2"/>
  <c r="V559" i="2"/>
  <c r="U559" i="2"/>
  <c r="T559" i="2"/>
  <c r="S559" i="2"/>
  <c r="R559" i="2"/>
  <c r="Q559" i="2"/>
  <c r="P559" i="2"/>
  <c r="O559" i="2"/>
  <c r="N559" i="2"/>
  <c r="M559" i="2"/>
  <c r="L559" i="2"/>
  <c r="K559" i="2"/>
  <c r="H559" i="2"/>
  <c r="G559" i="2"/>
  <c r="F559" i="2"/>
  <c r="E559" i="2"/>
  <c r="D559" i="2"/>
  <c r="C559" i="2"/>
  <c r="B559" i="2"/>
  <c r="A559" i="2"/>
  <c r="AH558" i="2"/>
  <c r="AG558" i="2"/>
  <c r="AF558" i="2"/>
  <c r="AE558" i="2"/>
  <c r="AD558" i="2"/>
  <c r="AC558" i="2"/>
  <c r="AB558" i="2"/>
  <c r="AA558" i="2"/>
  <c r="Z558" i="2"/>
  <c r="X558" i="2"/>
  <c r="W558" i="2"/>
  <c r="V558" i="2"/>
  <c r="U558" i="2"/>
  <c r="T558" i="2"/>
  <c r="S558" i="2"/>
  <c r="R558" i="2"/>
  <c r="Q558" i="2"/>
  <c r="P558" i="2"/>
  <c r="O558" i="2"/>
  <c r="N558" i="2"/>
  <c r="M558" i="2"/>
  <c r="L558" i="2"/>
  <c r="K558" i="2"/>
  <c r="H558" i="2"/>
  <c r="G558" i="2"/>
  <c r="F558" i="2"/>
  <c r="E558" i="2"/>
  <c r="D558" i="2"/>
  <c r="C558" i="2"/>
  <c r="B558" i="2"/>
  <c r="A558" i="2"/>
  <c r="AH557" i="2"/>
  <c r="AF557" i="2"/>
  <c r="AE557" i="2"/>
  <c r="AD557" i="2"/>
  <c r="AC557" i="2"/>
  <c r="AB557" i="2"/>
  <c r="Y557" i="2"/>
  <c r="X557" i="2"/>
  <c r="W557" i="2"/>
  <c r="V557" i="2"/>
  <c r="U557" i="2"/>
  <c r="T557" i="2"/>
  <c r="S557" i="2"/>
  <c r="R557" i="2"/>
  <c r="Q557" i="2"/>
  <c r="P557" i="2"/>
  <c r="O557" i="2"/>
  <c r="N557" i="2"/>
  <c r="M557" i="2"/>
  <c r="L557" i="2"/>
  <c r="K557" i="2"/>
  <c r="H557" i="2"/>
  <c r="G557" i="2"/>
  <c r="F557" i="2"/>
  <c r="E557" i="2"/>
  <c r="D557" i="2"/>
  <c r="C557" i="2"/>
  <c r="B557" i="2"/>
  <c r="A557" i="2"/>
  <c r="AH556" i="2"/>
  <c r="AG556" i="2"/>
  <c r="AF556" i="2"/>
  <c r="AE556" i="2"/>
  <c r="AD556" i="2"/>
  <c r="AC556" i="2"/>
  <c r="AB556" i="2"/>
  <c r="AA556" i="2"/>
  <c r="Z556" i="2"/>
  <c r="Y556" i="2"/>
  <c r="X556" i="2"/>
  <c r="W556" i="2"/>
  <c r="V556" i="2"/>
  <c r="S556" i="2"/>
  <c r="R556" i="2"/>
  <c r="Q556" i="2"/>
  <c r="P556" i="2"/>
  <c r="O556" i="2"/>
  <c r="N556" i="2"/>
  <c r="M556" i="2"/>
  <c r="L556" i="2"/>
  <c r="K556" i="2"/>
  <c r="H556" i="2"/>
  <c r="G556" i="2"/>
  <c r="F556" i="2"/>
  <c r="E556" i="2"/>
  <c r="D556" i="2"/>
  <c r="C556" i="2"/>
  <c r="B556" i="2"/>
  <c r="A556" i="2"/>
  <c r="AH555" i="2"/>
  <c r="AG555" i="2"/>
  <c r="AF555" i="2"/>
  <c r="AE555" i="2"/>
  <c r="AD555" i="2"/>
  <c r="AC555" i="2"/>
  <c r="AB555" i="2"/>
  <c r="Z555" i="2"/>
  <c r="Y555" i="2"/>
  <c r="X555" i="2"/>
  <c r="W555" i="2"/>
  <c r="V555" i="2"/>
  <c r="U555" i="2"/>
  <c r="T555" i="2"/>
  <c r="S555" i="2"/>
  <c r="R555" i="2"/>
  <c r="Q555" i="2"/>
  <c r="P555" i="2"/>
  <c r="O555" i="2"/>
  <c r="N555" i="2"/>
  <c r="M555" i="2"/>
  <c r="L555" i="2"/>
  <c r="K555" i="2"/>
  <c r="H555" i="2"/>
  <c r="G555" i="2"/>
  <c r="F555" i="2"/>
  <c r="E555" i="2"/>
  <c r="D555" i="2"/>
  <c r="C555" i="2"/>
  <c r="B555" i="2"/>
  <c r="A555" i="2"/>
  <c r="AH554" i="2"/>
  <c r="AG554" i="2"/>
  <c r="AF554" i="2"/>
  <c r="AE554" i="2"/>
  <c r="AD554" i="2"/>
  <c r="AC554" i="2"/>
  <c r="AB554" i="2"/>
  <c r="Z554" i="2"/>
  <c r="X554" i="2"/>
  <c r="W554" i="2"/>
  <c r="V554" i="2"/>
  <c r="U554" i="2"/>
  <c r="T554" i="2"/>
  <c r="S554" i="2"/>
  <c r="R554" i="2"/>
  <c r="Q554" i="2"/>
  <c r="P554" i="2"/>
  <c r="O554" i="2"/>
  <c r="N554" i="2"/>
  <c r="M554" i="2"/>
  <c r="L554" i="2"/>
  <c r="K554" i="2"/>
  <c r="H554" i="2"/>
  <c r="G554" i="2"/>
  <c r="F554" i="2"/>
  <c r="E554" i="2"/>
  <c r="D554" i="2"/>
  <c r="C554" i="2"/>
  <c r="B554" i="2"/>
  <c r="A554" i="2"/>
  <c r="AH553" i="2"/>
  <c r="AG553" i="2"/>
  <c r="AF553" i="2"/>
  <c r="AE553" i="2"/>
  <c r="AD553" i="2"/>
  <c r="AC553" i="2"/>
  <c r="AB553" i="2"/>
  <c r="AA553" i="2"/>
  <c r="Z553" i="2"/>
  <c r="Y553" i="2"/>
  <c r="X553" i="2"/>
  <c r="W553" i="2"/>
  <c r="V553" i="2"/>
  <c r="U553" i="2"/>
  <c r="T553" i="2"/>
  <c r="S553" i="2"/>
  <c r="R553" i="2"/>
  <c r="Q553" i="2"/>
  <c r="P553" i="2"/>
  <c r="O553" i="2"/>
  <c r="N553" i="2"/>
  <c r="M553" i="2"/>
  <c r="L553" i="2"/>
  <c r="K553" i="2"/>
  <c r="H553" i="2"/>
  <c r="G553" i="2"/>
  <c r="F553" i="2"/>
  <c r="E553" i="2"/>
  <c r="D553" i="2"/>
  <c r="C553" i="2"/>
  <c r="B553" i="2"/>
  <c r="A553" i="2"/>
  <c r="AH552" i="2"/>
  <c r="AG552" i="2"/>
  <c r="AF552" i="2"/>
  <c r="AE552" i="2"/>
  <c r="AD552" i="2"/>
  <c r="AC552" i="2"/>
  <c r="AB552" i="2"/>
  <c r="AA552" i="2"/>
  <c r="Z552" i="2"/>
  <c r="Y552" i="2"/>
  <c r="X552" i="2"/>
  <c r="W552" i="2"/>
  <c r="V552" i="2"/>
  <c r="U552" i="2"/>
  <c r="T552" i="2"/>
  <c r="S552" i="2"/>
  <c r="R552" i="2"/>
  <c r="Q552" i="2"/>
  <c r="P552" i="2"/>
  <c r="O552" i="2"/>
  <c r="N552" i="2"/>
  <c r="M552" i="2"/>
  <c r="L552" i="2"/>
  <c r="K552" i="2"/>
  <c r="H552" i="2"/>
  <c r="G552" i="2"/>
  <c r="F552" i="2"/>
  <c r="E552" i="2"/>
  <c r="D552" i="2"/>
  <c r="C552" i="2"/>
  <c r="B552" i="2"/>
  <c r="A552" i="2"/>
  <c r="AH551" i="2"/>
  <c r="AG551" i="2"/>
  <c r="AF551" i="2"/>
  <c r="AE551" i="2"/>
  <c r="AD551" i="2"/>
  <c r="AC551" i="2"/>
  <c r="AB551" i="2"/>
  <c r="AA551" i="2"/>
  <c r="Z551" i="2"/>
  <c r="Y551" i="2"/>
  <c r="X551" i="2"/>
  <c r="W551" i="2"/>
  <c r="V551" i="2"/>
  <c r="U551" i="2"/>
  <c r="T551" i="2"/>
  <c r="S551" i="2"/>
  <c r="R551" i="2"/>
  <c r="Q551" i="2"/>
  <c r="P551" i="2"/>
  <c r="O551" i="2"/>
  <c r="N551" i="2"/>
  <c r="M551" i="2"/>
  <c r="L551" i="2"/>
  <c r="K551" i="2"/>
  <c r="H551" i="2"/>
  <c r="G551" i="2"/>
  <c r="F551" i="2"/>
  <c r="E551" i="2"/>
  <c r="D551" i="2"/>
  <c r="C551" i="2"/>
  <c r="B551" i="2"/>
  <c r="A551" i="2"/>
  <c r="AH550" i="2"/>
  <c r="AG550" i="2"/>
  <c r="AF550" i="2"/>
  <c r="AE550" i="2"/>
  <c r="AD550" i="2"/>
  <c r="AC550" i="2"/>
  <c r="AB550" i="2"/>
  <c r="Z550" i="2"/>
  <c r="Y550" i="2"/>
  <c r="X550" i="2"/>
  <c r="W550" i="2"/>
  <c r="V550" i="2"/>
  <c r="U550" i="2"/>
  <c r="T550" i="2"/>
  <c r="S550" i="2"/>
  <c r="R550" i="2"/>
  <c r="Q550" i="2"/>
  <c r="P550" i="2"/>
  <c r="O550" i="2"/>
  <c r="N550" i="2"/>
  <c r="M550" i="2"/>
  <c r="L550" i="2"/>
  <c r="K550" i="2"/>
  <c r="H550" i="2"/>
  <c r="G550" i="2"/>
  <c r="F550" i="2"/>
  <c r="E550" i="2"/>
  <c r="D550" i="2"/>
  <c r="C550" i="2"/>
  <c r="B550" i="2"/>
  <c r="A550" i="2"/>
  <c r="AH549" i="2"/>
  <c r="AG549" i="2"/>
  <c r="AF549" i="2"/>
  <c r="AD549" i="2"/>
  <c r="AC549" i="2"/>
  <c r="AB549" i="2"/>
  <c r="Z549" i="2"/>
  <c r="Y549" i="2"/>
  <c r="X549" i="2"/>
  <c r="W549" i="2"/>
  <c r="V549" i="2"/>
  <c r="U549" i="2"/>
  <c r="T549" i="2"/>
  <c r="S549" i="2"/>
  <c r="R549" i="2"/>
  <c r="Q549" i="2"/>
  <c r="P549" i="2"/>
  <c r="O549" i="2"/>
  <c r="N549" i="2"/>
  <c r="M549" i="2"/>
  <c r="L549" i="2"/>
  <c r="K549" i="2"/>
  <c r="H549" i="2"/>
  <c r="G549" i="2"/>
  <c r="F549" i="2"/>
  <c r="E549" i="2"/>
  <c r="D549" i="2"/>
  <c r="C549" i="2"/>
  <c r="B549" i="2"/>
  <c r="A549" i="2"/>
  <c r="AH548" i="2"/>
  <c r="AG548" i="2"/>
  <c r="AF548" i="2"/>
  <c r="AE548" i="2"/>
  <c r="AD548" i="2"/>
  <c r="AC548" i="2"/>
  <c r="AB548" i="2"/>
  <c r="AA548" i="2"/>
  <c r="Z548" i="2"/>
  <c r="Y548" i="2"/>
  <c r="X548" i="2"/>
  <c r="W548" i="2"/>
  <c r="V548" i="2"/>
  <c r="U548" i="2"/>
  <c r="T548" i="2"/>
  <c r="S548" i="2"/>
  <c r="R548" i="2"/>
  <c r="Q548" i="2"/>
  <c r="P548" i="2"/>
  <c r="O548" i="2"/>
  <c r="N548" i="2"/>
  <c r="M548" i="2"/>
  <c r="L548" i="2"/>
  <c r="K548" i="2"/>
  <c r="H548" i="2"/>
  <c r="G548" i="2"/>
  <c r="F548" i="2"/>
  <c r="E548" i="2"/>
  <c r="D548" i="2"/>
  <c r="C548" i="2"/>
  <c r="B548" i="2"/>
  <c r="A548" i="2"/>
  <c r="AH547" i="2"/>
  <c r="AG547" i="2"/>
  <c r="AF547" i="2"/>
  <c r="AE547" i="2"/>
  <c r="AD547" i="2"/>
  <c r="AC547" i="2"/>
  <c r="AB547" i="2"/>
  <c r="AA547" i="2"/>
  <c r="Z547" i="2"/>
  <c r="Y547" i="2"/>
  <c r="X547" i="2"/>
  <c r="W547" i="2"/>
  <c r="V547" i="2"/>
  <c r="U547" i="2"/>
  <c r="T547" i="2"/>
  <c r="S547" i="2"/>
  <c r="R547" i="2"/>
  <c r="Q547" i="2"/>
  <c r="P547" i="2"/>
  <c r="O547" i="2"/>
  <c r="N547" i="2"/>
  <c r="M547" i="2"/>
  <c r="L547" i="2"/>
  <c r="K547" i="2"/>
  <c r="H547" i="2"/>
  <c r="G547" i="2"/>
  <c r="F547" i="2"/>
  <c r="E547" i="2"/>
  <c r="D547" i="2"/>
  <c r="C547" i="2"/>
  <c r="B547" i="2"/>
  <c r="A547" i="2"/>
  <c r="AH546" i="2"/>
  <c r="AG546" i="2"/>
  <c r="AF546" i="2"/>
  <c r="AE546" i="2"/>
  <c r="AD546" i="2"/>
  <c r="AC546" i="2"/>
  <c r="AB546" i="2"/>
  <c r="Y546" i="2"/>
  <c r="X546" i="2"/>
  <c r="W546" i="2"/>
  <c r="V546" i="2"/>
  <c r="T546" i="2"/>
  <c r="S546" i="2"/>
  <c r="R546" i="2"/>
  <c r="Q546" i="2"/>
  <c r="P546" i="2"/>
  <c r="O546" i="2"/>
  <c r="N546" i="2"/>
  <c r="M546" i="2"/>
  <c r="L546" i="2"/>
  <c r="K546" i="2"/>
  <c r="H546" i="2"/>
  <c r="G546" i="2"/>
  <c r="F546" i="2"/>
  <c r="E546" i="2"/>
  <c r="D546" i="2"/>
  <c r="C546" i="2"/>
  <c r="B546" i="2"/>
  <c r="A546" i="2"/>
  <c r="AH545" i="2"/>
  <c r="AG545" i="2"/>
  <c r="AE545" i="2"/>
  <c r="AD545" i="2"/>
  <c r="AC545" i="2"/>
  <c r="AB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H544" i="2"/>
  <c r="AG544" i="2"/>
  <c r="AF544" i="2"/>
  <c r="AE544" i="2"/>
  <c r="AD544" i="2"/>
  <c r="AC544" i="2"/>
  <c r="AB544" i="2"/>
  <c r="AA544" i="2"/>
  <c r="Z544" i="2"/>
  <c r="Y544" i="2"/>
  <c r="X544" i="2"/>
  <c r="W544" i="2"/>
  <c r="V544" i="2"/>
  <c r="U544" i="2"/>
  <c r="T544" i="2"/>
  <c r="S544" i="2"/>
  <c r="R544" i="2"/>
  <c r="Q544" i="2"/>
  <c r="P544" i="2"/>
  <c r="O544" i="2"/>
  <c r="N544" i="2"/>
  <c r="M544" i="2"/>
  <c r="L544" i="2"/>
  <c r="K544" i="2"/>
  <c r="H544" i="2"/>
  <c r="G544" i="2"/>
  <c r="F544" i="2"/>
  <c r="E544" i="2"/>
  <c r="D544" i="2"/>
  <c r="C544" i="2"/>
  <c r="B544" i="2"/>
  <c r="A544" i="2"/>
  <c r="AH543" i="2"/>
  <c r="AG543" i="2"/>
  <c r="AF543" i="2"/>
  <c r="AE543" i="2"/>
  <c r="AD543" i="2"/>
  <c r="AC543" i="2"/>
  <c r="AB543" i="2"/>
  <c r="Z543" i="2"/>
  <c r="X543" i="2"/>
  <c r="W543" i="2"/>
  <c r="V543" i="2"/>
  <c r="U543" i="2"/>
  <c r="T543" i="2"/>
  <c r="S543" i="2"/>
  <c r="R543" i="2"/>
  <c r="Q543" i="2"/>
  <c r="P543" i="2"/>
  <c r="O543" i="2"/>
  <c r="N543" i="2"/>
  <c r="M543" i="2"/>
  <c r="L543" i="2"/>
  <c r="K543" i="2"/>
  <c r="H543" i="2"/>
  <c r="G543" i="2"/>
  <c r="F543" i="2"/>
  <c r="E543" i="2"/>
  <c r="D543" i="2"/>
  <c r="C543" i="2"/>
  <c r="B543" i="2"/>
  <c r="A543" i="2"/>
  <c r="AH542" i="2"/>
  <c r="AG542" i="2"/>
  <c r="AF542" i="2"/>
  <c r="AE542" i="2"/>
  <c r="AD542" i="2"/>
  <c r="AC542" i="2"/>
  <c r="AB542" i="2"/>
  <c r="AA542" i="2"/>
  <c r="Y542" i="2"/>
  <c r="X542" i="2"/>
  <c r="W542" i="2"/>
  <c r="V542" i="2"/>
  <c r="U542" i="2"/>
  <c r="S542" i="2"/>
  <c r="R542" i="2"/>
  <c r="Q542" i="2"/>
  <c r="P542" i="2"/>
  <c r="O542" i="2"/>
  <c r="N542" i="2"/>
  <c r="M542" i="2"/>
  <c r="L542" i="2"/>
  <c r="K542" i="2"/>
  <c r="H542" i="2"/>
  <c r="G542" i="2"/>
  <c r="F542" i="2"/>
  <c r="E542" i="2"/>
  <c r="D542" i="2"/>
  <c r="C542" i="2"/>
  <c r="B542" i="2"/>
  <c r="A542" i="2"/>
  <c r="AH541" i="2"/>
  <c r="AG541" i="2"/>
  <c r="AF541" i="2"/>
  <c r="AE541" i="2"/>
  <c r="AD541" i="2"/>
  <c r="AC541" i="2"/>
  <c r="AB541" i="2"/>
  <c r="AA541" i="2"/>
  <c r="Z541" i="2"/>
  <c r="Y541" i="2"/>
  <c r="X541" i="2"/>
  <c r="W541" i="2"/>
  <c r="V541" i="2"/>
  <c r="U541" i="2"/>
  <c r="T541" i="2"/>
  <c r="S541" i="2"/>
  <c r="R541" i="2"/>
  <c r="Q541" i="2"/>
  <c r="P541" i="2"/>
  <c r="O541" i="2"/>
  <c r="N541" i="2"/>
  <c r="M541" i="2"/>
  <c r="L541" i="2"/>
  <c r="K541" i="2"/>
  <c r="H541" i="2"/>
  <c r="G541" i="2"/>
  <c r="F541" i="2"/>
  <c r="E541" i="2"/>
  <c r="D541" i="2"/>
  <c r="C541" i="2"/>
  <c r="B541" i="2"/>
  <c r="A541" i="2"/>
  <c r="AH540" i="2"/>
  <c r="AG540" i="2"/>
  <c r="AF540" i="2"/>
  <c r="AE540" i="2"/>
  <c r="AD540" i="2"/>
  <c r="AC540" i="2"/>
  <c r="AB540" i="2"/>
  <c r="X540" i="2"/>
  <c r="W540" i="2"/>
  <c r="V540" i="2"/>
  <c r="U540" i="2"/>
  <c r="T540" i="2"/>
  <c r="S540" i="2"/>
  <c r="R540" i="2"/>
  <c r="Q540" i="2"/>
  <c r="P540" i="2"/>
  <c r="O540" i="2"/>
  <c r="N540" i="2"/>
  <c r="M540" i="2"/>
  <c r="L540" i="2"/>
  <c r="K540" i="2"/>
  <c r="H540" i="2"/>
  <c r="G540" i="2"/>
  <c r="F540" i="2"/>
  <c r="E540" i="2"/>
  <c r="D540" i="2"/>
  <c r="C540" i="2"/>
  <c r="B540" i="2"/>
  <c r="A540" i="2"/>
  <c r="AH539" i="2"/>
  <c r="AG539" i="2"/>
  <c r="AF539" i="2"/>
  <c r="AE539" i="2"/>
  <c r="AD539" i="2"/>
  <c r="AC539" i="2"/>
  <c r="AB539" i="2"/>
  <c r="Y539" i="2"/>
  <c r="X539" i="2"/>
  <c r="W539" i="2"/>
  <c r="V539" i="2"/>
  <c r="U539" i="2"/>
  <c r="S539" i="2"/>
  <c r="R539" i="2"/>
  <c r="Q539" i="2"/>
  <c r="P539" i="2"/>
  <c r="O539" i="2"/>
  <c r="N539" i="2"/>
  <c r="M539" i="2"/>
  <c r="L539" i="2"/>
  <c r="K539" i="2"/>
  <c r="H539" i="2"/>
  <c r="G539" i="2"/>
  <c r="F539" i="2"/>
  <c r="E539" i="2"/>
  <c r="D539" i="2"/>
  <c r="C539" i="2"/>
  <c r="B539" i="2"/>
  <c r="A539" i="2"/>
  <c r="AH538" i="2"/>
  <c r="AF538" i="2"/>
  <c r="AE538" i="2"/>
  <c r="AD538" i="2"/>
  <c r="AC538" i="2"/>
  <c r="AB538" i="2"/>
  <c r="AA538" i="2"/>
  <c r="Z538" i="2"/>
  <c r="X538" i="2"/>
  <c r="W538" i="2"/>
  <c r="V538" i="2"/>
  <c r="U538" i="2"/>
  <c r="T538" i="2"/>
  <c r="S538" i="2"/>
  <c r="R538" i="2"/>
  <c r="Q538" i="2"/>
  <c r="P538" i="2"/>
  <c r="O538" i="2"/>
  <c r="N538" i="2"/>
  <c r="M538" i="2"/>
  <c r="L538" i="2"/>
  <c r="K538" i="2"/>
  <c r="H538" i="2"/>
  <c r="G538" i="2"/>
  <c r="F538" i="2"/>
  <c r="E538" i="2"/>
  <c r="D538" i="2"/>
  <c r="C538" i="2"/>
  <c r="B538" i="2"/>
  <c r="A538" i="2"/>
  <c r="AH537" i="2"/>
  <c r="AG537" i="2"/>
  <c r="AF537" i="2"/>
  <c r="AE537" i="2"/>
  <c r="AD537" i="2"/>
  <c r="AC537" i="2"/>
  <c r="AB537" i="2"/>
  <c r="AA537" i="2"/>
  <c r="Z537" i="2"/>
  <c r="Y537" i="2"/>
  <c r="X537" i="2"/>
  <c r="W537" i="2"/>
  <c r="V537" i="2"/>
  <c r="U537" i="2"/>
  <c r="T537" i="2"/>
  <c r="S537" i="2"/>
  <c r="R537" i="2"/>
  <c r="Q537" i="2"/>
  <c r="P537" i="2"/>
  <c r="O537" i="2"/>
  <c r="N537" i="2"/>
  <c r="M537" i="2"/>
  <c r="L537" i="2"/>
  <c r="K537" i="2"/>
  <c r="H537" i="2"/>
  <c r="G537" i="2"/>
  <c r="F537" i="2"/>
  <c r="E537" i="2"/>
  <c r="D537" i="2"/>
  <c r="C537" i="2"/>
  <c r="B537" i="2"/>
  <c r="A537" i="2"/>
  <c r="AH536" i="2"/>
  <c r="AG536" i="2"/>
  <c r="AF536" i="2"/>
  <c r="AD536" i="2"/>
  <c r="AC536" i="2"/>
  <c r="AB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H535" i="2"/>
  <c r="AG535" i="2"/>
  <c r="AF535" i="2"/>
  <c r="AD535" i="2"/>
  <c r="AC535" i="2"/>
  <c r="AB535" i="2"/>
  <c r="Z535" i="2"/>
  <c r="Y535" i="2"/>
  <c r="X535" i="2"/>
  <c r="V535" i="2"/>
  <c r="U535" i="2"/>
  <c r="T535" i="2"/>
  <c r="S535" i="2"/>
  <c r="R535" i="2"/>
  <c r="Q535" i="2"/>
  <c r="P535" i="2"/>
  <c r="O535" i="2"/>
  <c r="N535" i="2"/>
  <c r="M535" i="2"/>
  <c r="L535" i="2"/>
  <c r="K535" i="2"/>
  <c r="J535" i="2"/>
  <c r="H535" i="2"/>
  <c r="G535" i="2"/>
  <c r="F535" i="2"/>
  <c r="E535" i="2"/>
  <c r="D535" i="2"/>
  <c r="C535" i="2"/>
  <c r="B535" i="2"/>
  <c r="A535" i="2"/>
  <c r="AH534" i="2"/>
  <c r="AF534" i="2"/>
  <c r="AE534" i="2"/>
  <c r="AD534" i="2"/>
  <c r="AC534" i="2"/>
  <c r="AB534" i="2"/>
  <c r="AA534" i="2"/>
  <c r="X534" i="2"/>
  <c r="W534" i="2"/>
  <c r="V534" i="2"/>
  <c r="U534" i="2"/>
  <c r="T534" i="2"/>
  <c r="S534" i="2"/>
  <c r="R534" i="2"/>
  <c r="Q534" i="2"/>
  <c r="P534" i="2"/>
  <c r="O534" i="2"/>
  <c r="N534" i="2"/>
  <c r="M534" i="2"/>
  <c r="L534" i="2"/>
  <c r="K534" i="2"/>
  <c r="H534" i="2"/>
  <c r="G534" i="2"/>
  <c r="F534" i="2"/>
  <c r="E534" i="2"/>
  <c r="D534" i="2"/>
  <c r="C534" i="2"/>
  <c r="B534" i="2"/>
  <c r="A534" i="2"/>
  <c r="AH533" i="2"/>
  <c r="AF533" i="2"/>
  <c r="AE533" i="2"/>
  <c r="AD533" i="2"/>
  <c r="AC533" i="2"/>
  <c r="AB533" i="2"/>
  <c r="AA533" i="2"/>
  <c r="Y533" i="2"/>
  <c r="X533" i="2"/>
  <c r="W533" i="2"/>
  <c r="V533" i="2"/>
  <c r="U533" i="2"/>
  <c r="T533" i="2"/>
  <c r="S533" i="2"/>
  <c r="R533" i="2"/>
  <c r="Q533" i="2"/>
  <c r="P533" i="2"/>
  <c r="O533" i="2"/>
  <c r="N533" i="2"/>
  <c r="M533" i="2"/>
  <c r="L533" i="2"/>
  <c r="K533" i="2"/>
  <c r="H533" i="2"/>
  <c r="G533" i="2"/>
  <c r="F533" i="2"/>
  <c r="E533" i="2"/>
  <c r="D533" i="2"/>
  <c r="C533" i="2"/>
  <c r="B533" i="2"/>
  <c r="A533" i="2"/>
  <c r="AH532" i="2"/>
  <c r="AG532" i="2"/>
  <c r="AF532" i="2"/>
  <c r="AE532" i="2"/>
  <c r="AD532" i="2"/>
  <c r="AC532" i="2"/>
  <c r="AB532" i="2"/>
  <c r="Z532" i="2"/>
  <c r="Y532" i="2"/>
  <c r="X532" i="2"/>
  <c r="W532" i="2"/>
  <c r="V532" i="2"/>
  <c r="U532" i="2"/>
  <c r="T532" i="2"/>
  <c r="S532" i="2"/>
  <c r="R532" i="2"/>
  <c r="Q532" i="2"/>
  <c r="P532" i="2"/>
  <c r="O532" i="2"/>
  <c r="N532" i="2"/>
  <c r="M532" i="2"/>
  <c r="L532" i="2"/>
  <c r="K532" i="2"/>
  <c r="H532" i="2"/>
  <c r="G532" i="2"/>
  <c r="F532" i="2"/>
  <c r="E532" i="2"/>
  <c r="D532" i="2"/>
  <c r="C532" i="2"/>
  <c r="B532" i="2"/>
  <c r="A532" i="2"/>
  <c r="AH531" i="2"/>
  <c r="AG531" i="2"/>
  <c r="AF531" i="2"/>
  <c r="AE531" i="2"/>
  <c r="AD531" i="2"/>
  <c r="AC531" i="2"/>
  <c r="AB531" i="2"/>
  <c r="Z531" i="2"/>
  <c r="Y531" i="2"/>
  <c r="X531" i="2"/>
  <c r="W531" i="2"/>
  <c r="V531" i="2"/>
  <c r="U531" i="2"/>
  <c r="T531" i="2"/>
  <c r="S531" i="2"/>
  <c r="R531" i="2"/>
  <c r="Q531" i="2"/>
  <c r="P531" i="2"/>
  <c r="O531" i="2"/>
  <c r="N531" i="2"/>
  <c r="M531" i="2"/>
  <c r="L531" i="2"/>
  <c r="K531" i="2"/>
  <c r="H531" i="2"/>
  <c r="G531" i="2"/>
  <c r="F531" i="2"/>
  <c r="E531" i="2"/>
  <c r="D531" i="2"/>
  <c r="C531" i="2"/>
  <c r="B531" i="2"/>
  <c r="A531" i="2"/>
  <c r="AH530" i="2"/>
  <c r="AG530" i="2"/>
  <c r="AF530" i="2"/>
  <c r="AE530" i="2"/>
  <c r="AD530" i="2"/>
  <c r="AC530" i="2"/>
  <c r="AB530" i="2"/>
  <c r="Z530" i="2"/>
  <c r="X530" i="2"/>
  <c r="W530" i="2"/>
  <c r="V530" i="2"/>
  <c r="U530" i="2"/>
  <c r="T530" i="2"/>
  <c r="S530" i="2"/>
  <c r="R530" i="2"/>
  <c r="Q530" i="2"/>
  <c r="P530" i="2"/>
  <c r="O530" i="2"/>
  <c r="N530" i="2"/>
  <c r="M530" i="2"/>
  <c r="L530" i="2"/>
  <c r="K530" i="2"/>
  <c r="J530" i="2"/>
  <c r="I530" i="2"/>
  <c r="H530" i="2"/>
  <c r="G530" i="2"/>
  <c r="F530" i="2"/>
  <c r="E530" i="2"/>
  <c r="D530" i="2"/>
  <c r="C530" i="2"/>
  <c r="B530" i="2"/>
  <c r="A530" i="2"/>
  <c r="AH529" i="2"/>
  <c r="AG529" i="2"/>
  <c r="AF529" i="2"/>
  <c r="AE529" i="2"/>
  <c r="AD529" i="2"/>
  <c r="AC529" i="2"/>
  <c r="AB529" i="2"/>
  <c r="Z529" i="2"/>
  <c r="Y529" i="2"/>
  <c r="X529" i="2"/>
  <c r="W529" i="2"/>
  <c r="V529" i="2"/>
  <c r="U529" i="2"/>
  <c r="S529" i="2"/>
  <c r="R529" i="2"/>
  <c r="Q529" i="2"/>
  <c r="P529" i="2"/>
  <c r="O529" i="2"/>
  <c r="N529" i="2"/>
  <c r="M529" i="2"/>
  <c r="L529" i="2"/>
  <c r="K529" i="2"/>
  <c r="H529" i="2"/>
  <c r="G529" i="2"/>
  <c r="F529" i="2"/>
  <c r="E529" i="2"/>
  <c r="D529" i="2"/>
  <c r="C529" i="2"/>
  <c r="B529" i="2"/>
  <c r="A529" i="2"/>
  <c r="AH528" i="2"/>
  <c r="AG528" i="2"/>
  <c r="AF528" i="2"/>
  <c r="AE528" i="2"/>
  <c r="AD528" i="2"/>
  <c r="AC528" i="2"/>
  <c r="AB528" i="2"/>
  <c r="AA528" i="2"/>
  <c r="Y528" i="2"/>
  <c r="X528" i="2"/>
  <c r="W528" i="2"/>
  <c r="V528" i="2"/>
  <c r="U528" i="2"/>
  <c r="T528" i="2"/>
  <c r="S528" i="2"/>
  <c r="R528" i="2"/>
  <c r="Q528" i="2"/>
  <c r="P528" i="2"/>
  <c r="O528" i="2"/>
  <c r="N528" i="2"/>
  <c r="M528" i="2"/>
  <c r="L528" i="2"/>
  <c r="K528" i="2"/>
  <c r="H528" i="2"/>
  <c r="G528" i="2"/>
  <c r="F528" i="2"/>
  <c r="E528" i="2"/>
  <c r="D528" i="2"/>
  <c r="C528" i="2"/>
  <c r="B528" i="2"/>
  <c r="A528" i="2"/>
  <c r="AH527" i="2"/>
  <c r="AG527" i="2"/>
  <c r="AF527" i="2"/>
  <c r="AE527" i="2"/>
  <c r="AD527" i="2"/>
  <c r="AC527" i="2"/>
  <c r="AB527" i="2"/>
  <c r="Z527" i="2"/>
  <c r="Y527" i="2"/>
  <c r="X527" i="2"/>
  <c r="W527" i="2"/>
  <c r="V527" i="2"/>
  <c r="U527" i="2"/>
  <c r="T527" i="2"/>
  <c r="S527" i="2"/>
  <c r="R527" i="2"/>
  <c r="Q527" i="2"/>
  <c r="P527" i="2"/>
  <c r="O527" i="2"/>
  <c r="N527" i="2"/>
  <c r="M527" i="2"/>
  <c r="L527" i="2"/>
  <c r="K527" i="2"/>
  <c r="H527" i="2"/>
  <c r="G527" i="2"/>
  <c r="F527" i="2"/>
  <c r="E527" i="2"/>
  <c r="D527" i="2"/>
  <c r="C527" i="2"/>
  <c r="B527" i="2"/>
  <c r="A527" i="2"/>
  <c r="AH526" i="2"/>
  <c r="AG526" i="2"/>
  <c r="AF526" i="2"/>
  <c r="AE526" i="2"/>
  <c r="AD526" i="2"/>
  <c r="AC526" i="2"/>
  <c r="AB526" i="2"/>
  <c r="Z526" i="2"/>
  <c r="Y526" i="2"/>
  <c r="X526" i="2"/>
  <c r="W526" i="2"/>
  <c r="V526" i="2"/>
  <c r="U526" i="2"/>
  <c r="T526" i="2"/>
  <c r="S526" i="2"/>
  <c r="R526" i="2"/>
  <c r="Q526" i="2"/>
  <c r="P526" i="2"/>
  <c r="O526" i="2"/>
  <c r="N526" i="2"/>
  <c r="M526" i="2"/>
  <c r="L526" i="2"/>
  <c r="K526" i="2"/>
  <c r="H526" i="2"/>
  <c r="G526" i="2"/>
  <c r="F526" i="2"/>
  <c r="E526" i="2"/>
  <c r="D526" i="2"/>
  <c r="C526" i="2"/>
  <c r="B526" i="2"/>
  <c r="A526" i="2"/>
  <c r="AH525" i="2"/>
  <c r="AG525" i="2"/>
  <c r="AF525" i="2"/>
  <c r="AE525" i="2"/>
  <c r="AD525" i="2"/>
  <c r="AC525" i="2"/>
  <c r="AB525" i="2"/>
  <c r="AA525" i="2"/>
  <c r="Z525" i="2"/>
  <c r="Y525" i="2"/>
  <c r="X525" i="2"/>
  <c r="W525" i="2"/>
  <c r="V525" i="2"/>
  <c r="U525" i="2"/>
  <c r="T525" i="2"/>
  <c r="S525" i="2"/>
  <c r="R525" i="2"/>
  <c r="Q525" i="2"/>
  <c r="P525" i="2"/>
  <c r="O525" i="2"/>
  <c r="N525" i="2"/>
  <c r="M525" i="2"/>
  <c r="L525" i="2"/>
  <c r="K525" i="2"/>
  <c r="H525" i="2"/>
  <c r="G525" i="2"/>
  <c r="F525" i="2"/>
  <c r="E525" i="2"/>
  <c r="D525" i="2"/>
  <c r="C525" i="2"/>
  <c r="B525" i="2"/>
  <c r="A525" i="2"/>
  <c r="AH524" i="2"/>
  <c r="AG524" i="2"/>
  <c r="AF524" i="2"/>
  <c r="AE524" i="2"/>
  <c r="AD524" i="2"/>
  <c r="AC524" i="2"/>
  <c r="AB524" i="2"/>
  <c r="AA524" i="2"/>
  <c r="X524" i="2"/>
  <c r="W524" i="2"/>
  <c r="V524" i="2"/>
  <c r="U524" i="2"/>
  <c r="T524" i="2"/>
  <c r="S524" i="2"/>
  <c r="R524" i="2"/>
  <c r="Q524" i="2"/>
  <c r="P524" i="2"/>
  <c r="O524" i="2"/>
  <c r="N524" i="2"/>
  <c r="M524" i="2"/>
  <c r="L524" i="2"/>
  <c r="K524" i="2"/>
  <c r="H524" i="2"/>
  <c r="G524" i="2"/>
  <c r="F524" i="2"/>
  <c r="E524" i="2"/>
  <c r="D524" i="2"/>
  <c r="C524" i="2"/>
  <c r="B524" i="2"/>
  <c r="A524" i="2"/>
  <c r="AH523" i="2"/>
  <c r="AG523" i="2"/>
  <c r="AF523" i="2"/>
  <c r="AE523" i="2"/>
  <c r="AD523" i="2"/>
  <c r="AC523" i="2"/>
  <c r="AB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H522" i="2"/>
  <c r="AF522" i="2"/>
  <c r="AE522" i="2"/>
  <c r="AD522" i="2"/>
  <c r="AC522" i="2"/>
  <c r="AB522" i="2"/>
  <c r="X522" i="2"/>
  <c r="W522" i="2"/>
  <c r="V522" i="2"/>
  <c r="U522" i="2"/>
  <c r="T522" i="2"/>
  <c r="S522" i="2"/>
  <c r="R522" i="2"/>
  <c r="Q522" i="2"/>
  <c r="P522" i="2"/>
  <c r="O522" i="2"/>
  <c r="N522" i="2"/>
  <c r="M522" i="2"/>
  <c r="L522" i="2"/>
  <c r="K522" i="2"/>
  <c r="J522" i="2"/>
  <c r="H522" i="2"/>
  <c r="G522" i="2"/>
  <c r="F522" i="2"/>
  <c r="E522" i="2"/>
  <c r="D522" i="2"/>
  <c r="C522" i="2"/>
  <c r="B522" i="2"/>
  <c r="A522" i="2"/>
  <c r="AH521" i="2"/>
  <c r="AG521" i="2"/>
  <c r="AF521" i="2"/>
  <c r="AE521" i="2"/>
  <c r="AD521" i="2"/>
  <c r="AC521" i="2"/>
  <c r="AB521" i="2"/>
  <c r="Y521" i="2"/>
  <c r="X521" i="2"/>
  <c r="W521" i="2"/>
  <c r="V521" i="2"/>
  <c r="U521" i="2"/>
  <c r="S521" i="2"/>
  <c r="R521" i="2"/>
  <c r="Q521" i="2"/>
  <c r="P521" i="2"/>
  <c r="O521" i="2"/>
  <c r="N521" i="2"/>
  <c r="M521" i="2"/>
  <c r="L521" i="2"/>
  <c r="K521" i="2"/>
  <c r="H521" i="2"/>
  <c r="G521" i="2"/>
  <c r="F521" i="2"/>
  <c r="E521" i="2"/>
  <c r="D521" i="2"/>
  <c r="C521" i="2"/>
  <c r="B521" i="2"/>
  <c r="A521" i="2"/>
  <c r="AH520" i="2"/>
  <c r="AG520" i="2"/>
  <c r="AF520" i="2"/>
  <c r="AE520" i="2"/>
  <c r="AD520" i="2"/>
  <c r="AC520" i="2"/>
  <c r="AB520" i="2"/>
  <c r="AA520" i="2"/>
  <c r="Z520" i="2"/>
  <c r="Y520" i="2"/>
  <c r="X520" i="2"/>
  <c r="W520" i="2"/>
  <c r="V520" i="2"/>
  <c r="U520" i="2"/>
  <c r="T520" i="2"/>
  <c r="S520" i="2"/>
  <c r="R520" i="2"/>
  <c r="Q520" i="2"/>
  <c r="P520" i="2"/>
  <c r="O520" i="2"/>
  <c r="N520" i="2"/>
  <c r="M520" i="2"/>
  <c r="L520" i="2"/>
  <c r="K520" i="2"/>
  <c r="H520" i="2"/>
  <c r="G520" i="2"/>
  <c r="F520" i="2"/>
  <c r="E520" i="2"/>
  <c r="D520" i="2"/>
  <c r="C520" i="2"/>
  <c r="B520" i="2"/>
  <c r="A520" i="2"/>
  <c r="AH519" i="2"/>
  <c r="AF519" i="2"/>
  <c r="AE519" i="2"/>
  <c r="AD519" i="2"/>
  <c r="AC519" i="2"/>
  <c r="AB519" i="2"/>
  <c r="Y519" i="2"/>
  <c r="X519" i="2"/>
  <c r="W519" i="2"/>
  <c r="V519" i="2"/>
  <c r="U519" i="2"/>
  <c r="T519" i="2"/>
  <c r="S519" i="2"/>
  <c r="R519" i="2"/>
  <c r="Q519" i="2"/>
  <c r="P519" i="2"/>
  <c r="O519" i="2"/>
  <c r="N519" i="2"/>
  <c r="M519" i="2"/>
  <c r="L519" i="2"/>
  <c r="K519" i="2"/>
  <c r="H519" i="2"/>
  <c r="G519" i="2"/>
  <c r="F519" i="2"/>
  <c r="E519" i="2"/>
  <c r="D519" i="2"/>
  <c r="C519" i="2"/>
  <c r="B519" i="2"/>
  <c r="A519" i="2"/>
  <c r="AH518" i="2"/>
  <c r="AG518" i="2"/>
  <c r="AF518" i="2"/>
  <c r="AE518" i="2"/>
  <c r="AD518" i="2"/>
  <c r="AC518" i="2"/>
  <c r="AB518" i="2"/>
  <c r="AA518" i="2"/>
  <c r="Z518" i="2"/>
  <c r="Y518" i="2"/>
  <c r="X518" i="2"/>
  <c r="W518" i="2"/>
  <c r="V518" i="2"/>
  <c r="U518" i="2"/>
  <c r="T518" i="2"/>
  <c r="S518" i="2"/>
  <c r="R518" i="2"/>
  <c r="Q518" i="2"/>
  <c r="P518" i="2"/>
  <c r="O518" i="2"/>
  <c r="N518" i="2"/>
  <c r="M518" i="2"/>
  <c r="L518" i="2"/>
  <c r="K518" i="2"/>
  <c r="H518" i="2"/>
  <c r="G518" i="2"/>
  <c r="F518" i="2"/>
  <c r="E518" i="2"/>
  <c r="D518" i="2"/>
  <c r="C518" i="2"/>
  <c r="B518" i="2"/>
  <c r="A518" i="2"/>
  <c r="AH517" i="2"/>
  <c r="AG517" i="2"/>
  <c r="AF517" i="2"/>
  <c r="AE517" i="2"/>
  <c r="AD517" i="2"/>
  <c r="AC517" i="2"/>
  <c r="AB517" i="2"/>
  <c r="Z517" i="2"/>
  <c r="Y517" i="2"/>
  <c r="X517" i="2"/>
  <c r="W517" i="2"/>
  <c r="V517" i="2"/>
  <c r="U517" i="2"/>
  <c r="T517" i="2"/>
  <c r="S517" i="2"/>
  <c r="R517" i="2"/>
  <c r="Q517" i="2"/>
  <c r="P517" i="2"/>
  <c r="O517" i="2"/>
  <c r="N517" i="2"/>
  <c r="M517" i="2"/>
  <c r="L517" i="2"/>
  <c r="K517" i="2"/>
  <c r="H517" i="2"/>
  <c r="G517" i="2"/>
  <c r="F517" i="2"/>
  <c r="E517" i="2"/>
  <c r="D517" i="2"/>
  <c r="C517" i="2"/>
  <c r="B517" i="2"/>
  <c r="A517" i="2"/>
  <c r="AH516" i="2"/>
  <c r="AF516" i="2"/>
  <c r="AE516" i="2"/>
  <c r="AD516" i="2"/>
  <c r="AC516" i="2"/>
  <c r="AB516" i="2"/>
  <c r="Y516" i="2"/>
  <c r="X516" i="2"/>
  <c r="W516" i="2"/>
  <c r="V516" i="2"/>
  <c r="U516" i="2"/>
  <c r="T516" i="2"/>
  <c r="S516" i="2"/>
  <c r="R516" i="2"/>
  <c r="Q516" i="2"/>
  <c r="P516" i="2"/>
  <c r="O516" i="2"/>
  <c r="N516" i="2"/>
  <c r="M516" i="2"/>
  <c r="L516" i="2"/>
  <c r="K516" i="2"/>
  <c r="H516" i="2"/>
  <c r="G516" i="2"/>
  <c r="F516" i="2"/>
  <c r="E516" i="2"/>
  <c r="D516" i="2"/>
  <c r="C516" i="2"/>
  <c r="B516" i="2"/>
  <c r="A516" i="2"/>
  <c r="AH515" i="2"/>
  <c r="AG515" i="2"/>
  <c r="AF515" i="2"/>
  <c r="AE515" i="2"/>
  <c r="AD515" i="2"/>
  <c r="AC515" i="2"/>
  <c r="AB515" i="2"/>
  <c r="X515" i="2"/>
  <c r="W515" i="2"/>
  <c r="V515" i="2"/>
  <c r="U515" i="2"/>
  <c r="T515" i="2"/>
  <c r="S515" i="2"/>
  <c r="R515" i="2"/>
  <c r="Q515" i="2"/>
  <c r="P515" i="2"/>
  <c r="O515" i="2"/>
  <c r="N515" i="2"/>
  <c r="M515" i="2"/>
  <c r="L515" i="2"/>
  <c r="K515" i="2"/>
  <c r="J515" i="2"/>
  <c r="I515" i="2"/>
  <c r="H515" i="2"/>
  <c r="G515" i="2"/>
  <c r="F515" i="2"/>
  <c r="E515" i="2"/>
  <c r="D515" i="2"/>
  <c r="C515" i="2"/>
  <c r="B515" i="2"/>
  <c r="A515" i="2"/>
  <c r="AH514" i="2"/>
  <c r="AF514" i="2"/>
  <c r="AE514" i="2"/>
  <c r="AD514" i="2"/>
  <c r="AC514" i="2"/>
  <c r="AB514" i="2"/>
  <c r="X514" i="2"/>
  <c r="W514" i="2"/>
  <c r="V514" i="2"/>
  <c r="U514" i="2"/>
  <c r="T514" i="2"/>
  <c r="S514" i="2"/>
  <c r="R514" i="2"/>
  <c r="Q514" i="2"/>
  <c r="P514" i="2"/>
  <c r="O514" i="2"/>
  <c r="N514" i="2"/>
  <c r="M514" i="2"/>
  <c r="L514" i="2"/>
  <c r="K514" i="2"/>
  <c r="J514" i="2"/>
  <c r="I514" i="2"/>
  <c r="H514" i="2"/>
  <c r="G514" i="2"/>
  <c r="F514" i="2"/>
  <c r="E514" i="2"/>
  <c r="D514" i="2"/>
  <c r="C514" i="2"/>
  <c r="B514" i="2"/>
  <c r="A514" i="2"/>
  <c r="AH513" i="2"/>
  <c r="AG513" i="2"/>
  <c r="AF513" i="2"/>
  <c r="AE513" i="2"/>
  <c r="AD513" i="2"/>
  <c r="AC513" i="2"/>
  <c r="AB513" i="2"/>
  <c r="AA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H512" i="2"/>
  <c r="AF512" i="2"/>
  <c r="AE512" i="2"/>
  <c r="AD512" i="2"/>
  <c r="AC512" i="2"/>
  <c r="AB512" i="2"/>
  <c r="Z512" i="2"/>
  <c r="X512" i="2"/>
  <c r="W512" i="2"/>
  <c r="V512" i="2"/>
  <c r="U512" i="2"/>
  <c r="T512" i="2"/>
  <c r="S512" i="2"/>
  <c r="R512" i="2"/>
  <c r="Q512" i="2"/>
  <c r="P512" i="2"/>
  <c r="O512" i="2"/>
  <c r="N512" i="2"/>
  <c r="M512" i="2"/>
  <c r="L512" i="2"/>
  <c r="K512" i="2"/>
  <c r="J512" i="2"/>
  <c r="I512" i="2"/>
  <c r="H512" i="2"/>
  <c r="G512" i="2"/>
  <c r="F512" i="2"/>
  <c r="E512" i="2"/>
  <c r="D512" i="2"/>
  <c r="C512" i="2"/>
  <c r="B512" i="2"/>
  <c r="A512" i="2"/>
  <c r="AH511" i="2"/>
  <c r="AG511" i="2"/>
  <c r="AF511" i="2"/>
  <c r="AE511" i="2"/>
  <c r="AD511" i="2"/>
  <c r="AC511" i="2"/>
  <c r="AB511" i="2"/>
  <c r="Z511" i="2"/>
  <c r="Y511" i="2"/>
  <c r="X511" i="2"/>
  <c r="W511" i="2"/>
  <c r="V511" i="2"/>
  <c r="S511" i="2"/>
  <c r="R511" i="2"/>
  <c r="Q511" i="2"/>
  <c r="P511" i="2"/>
  <c r="O511" i="2"/>
  <c r="N511" i="2"/>
  <c r="M511" i="2"/>
  <c r="L511" i="2"/>
  <c r="K511" i="2"/>
  <c r="J511" i="2"/>
  <c r="I511" i="2"/>
  <c r="H511" i="2"/>
  <c r="G511" i="2"/>
  <c r="F511" i="2"/>
  <c r="E511" i="2"/>
  <c r="D511" i="2"/>
  <c r="C511" i="2"/>
  <c r="B511" i="2"/>
  <c r="A511" i="2"/>
  <c r="AH510" i="2"/>
  <c r="AG510" i="2"/>
  <c r="AF510" i="2"/>
  <c r="AE510" i="2"/>
  <c r="AD510" i="2"/>
  <c r="AC510" i="2"/>
  <c r="AB510" i="2"/>
  <c r="AA510" i="2"/>
  <c r="Z510" i="2"/>
  <c r="X510" i="2"/>
  <c r="W510" i="2"/>
  <c r="V510" i="2"/>
  <c r="U510" i="2"/>
  <c r="T510" i="2"/>
  <c r="S510" i="2"/>
  <c r="R510" i="2"/>
  <c r="Q510" i="2"/>
  <c r="P510" i="2"/>
  <c r="O510" i="2"/>
  <c r="N510" i="2"/>
  <c r="M510" i="2"/>
  <c r="L510" i="2"/>
  <c r="K510" i="2"/>
  <c r="J510" i="2"/>
  <c r="I510" i="2"/>
  <c r="H510" i="2"/>
  <c r="G510" i="2"/>
  <c r="F510" i="2"/>
  <c r="E510" i="2"/>
  <c r="D510" i="2"/>
  <c r="C510" i="2"/>
  <c r="B510" i="2"/>
  <c r="A510" i="2"/>
  <c r="AH509" i="2"/>
  <c r="AG509" i="2"/>
  <c r="AF509" i="2"/>
  <c r="AE509" i="2"/>
  <c r="AD509" i="2"/>
  <c r="AC509" i="2"/>
  <c r="AB509" i="2"/>
  <c r="Z509" i="2"/>
  <c r="Y509" i="2"/>
  <c r="X509" i="2"/>
  <c r="W509" i="2"/>
  <c r="V509" i="2"/>
  <c r="U509" i="2"/>
  <c r="S509" i="2"/>
  <c r="R509" i="2"/>
  <c r="Q509" i="2"/>
  <c r="P509" i="2"/>
  <c r="O509" i="2"/>
  <c r="N509" i="2"/>
  <c r="M509" i="2"/>
  <c r="L509" i="2"/>
  <c r="K509" i="2"/>
  <c r="J509" i="2"/>
  <c r="I509" i="2"/>
  <c r="H509" i="2"/>
  <c r="G509" i="2"/>
  <c r="F509" i="2"/>
  <c r="E509" i="2"/>
  <c r="D509" i="2"/>
  <c r="C509" i="2"/>
  <c r="B509" i="2"/>
  <c r="A509" i="2"/>
  <c r="AH508" i="2"/>
  <c r="AG508" i="2"/>
  <c r="AF508" i="2"/>
  <c r="AE508" i="2"/>
  <c r="AD508" i="2"/>
  <c r="AC508" i="2"/>
  <c r="AB508" i="2"/>
  <c r="Z508" i="2"/>
  <c r="Y508" i="2"/>
  <c r="X508" i="2"/>
  <c r="W508" i="2"/>
  <c r="V508" i="2"/>
  <c r="U508" i="2"/>
  <c r="S508" i="2"/>
  <c r="R508" i="2"/>
  <c r="Q508" i="2"/>
  <c r="P508" i="2"/>
  <c r="O508" i="2"/>
  <c r="N508" i="2"/>
  <c r="M508" i="2"/>
  <c r="L508" i="2"/>
  <c r="K508" i="2"/>
  <c r="J508" i="2"/>
  <c r="I508" i="2"/>
  <c r="H508" i="2"/>
  <c r="G508" i="2"/>
  <c r="F508" i="2"/>
  <c r="E508" i="2"/>
  <c r="D508" i="2"/>
  <c r="C508" i="2"/>
  <c r="B508" i="2"/>
  <c r="A508" i="2"/>
  <c r="AH507" i="2"/>
  <c r="AF507" i="2"/>
  <c r="AE507" i="2"/>
  <c r="AD507" i="2"/>
  <c r="AC507" i="2"/>
  <c r="AB507" i="2"/>
  <c r="Z507" i="2"/>
  <c r="X507" i="2"/>
  <c r="W507" i="2"/>
  <c r="V507" i="2"/>
  <c r="U507" i="2"/>
  <c r="T507" i="2"/>
  <c r="S507" i="2"/>
  <c r="R507" i="2"/>
  <c r="Q507" i="2"/>
  <c r="P507" i="2"/>
  <c r="O507" i="2"/>
  <c r="N507" i="2"/>
  <c r="M507" i="2"/>
  <c r="L507" i="2"/>
  <c r="K507" i="2"/>
  <c r="J507" i="2"/>
  <c r="I507" i="2"/>
  <c r="H507" i="2"/>
  <c r="G507" i="2"/>
  <c r="F507" i="2"/>
  <c r="E507" i="2"/>
  <c r="D507" i="2"/>
  <c r="C507" i="2"/>
  <c r="B507" i="2"/>
  <c r="A507" i="2"/>
  <c r="AH506" i="2"/>
  <c r="AG506" i="2"/>
  <c r="AF506" i="2"/>
  <c r="AE506" i="2"/>
  <c r="AD506" i="2"/>
  <c r="AC506" i="2"/>
  <c r="AB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H505" i="2"/>
  <c r="AF505" i="2"/>
  <c r="AD505" i="2"/>
  <c r="AC505" i="2"/>
  <c r="AB505" i="2"/>
  <c r="Z505" i="2"/>
  <c r="Y505" i="2"/>
  <c r="X505" i="2"/>
  <c r="W505" i="2"/>
  <c r="V505" i="2"/>
  <c r="U505" i="2"/>
  <c r="T505" i="2"/>
  <c r="S505" i="2"/>
  <c r="R505" i="2"/>
  <c r="Q505" i="2"/>
  <c r="P505" i="2"/>
  <c r="O505" i="2"/>
  <c r="N505" i="2"/>
  <c r="M505" i="2"/>
  <c r="K505" i="2"/>
  <c r="J505" i="2"/>
  <c r="I505" i="2"/>
  <c r="H505" i="2"/>
  <c r="G505" i="2"/>
  <c r="F505" i="2"/>
  <c r="E505" i="2"/>
  <c r="D505" i="2"/>
  <c r="C505" i="2"/>
  <c r="B505" i="2"/>
  <c r="A505" i="2"/>
  <c r="AG504" i="2"/>
  <c r="AF504" i="2"/>
  <c r="AE504" i="2"/>
  <c r="AD504" i="2"/>
  <c r="AC504" i="2"/>
  <c r="AB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H503" i="2"/>
  <c r="AF503" i="2"/>
  <c r="AE503" i="2"/>
  <c r="AD503" i="2"/>
  <c r="AC503" i="2"/>
  <c r="AB503" i="2"/>
  <c r="Z503" i="2"/>
  <c r="W503" i="2"/>
  <c r="V503" i="2"/>
  <c r="U503" i="2"/>
  <c r="T503" i="2"/>
  <c r="S503" i="2"/>
  <c r="R503" i="2"/>
  <c r="Q503" i="2"/>
  <c r="P503" i="2"/>
  <c r="O503" i="2"/>
  <c r="N503" i="2"/>
  <c r="M503" i="2"/>
  <c r="L503" i="2"/>
  <c r="K503" i="2"/>
  <c r="J503" i="2"/>
  <c r="I503" i="2"/>
  <c r="H503" i="2"/>
  <c r="G503" i="2"/>
  <c r="F503" i="2"/>
  <c r="E503" i="2"/>
  <c r="D503" i="2"/>
  <c r="C503" i="2"/>
  <c r="B503" i="2"/>
  <c r="A503" i="2"/>
  <c r="AH502" i="2"/>
  <c r="AF502" i="2"/>
  <c r="AE502" i="2"/>
  <c r="AD502" i="2"/>
  <c r="AC502" i="2"/>
  <c r="AB502" i="2"/>
  <c r="W502" i="2"/>
  <c r="V502" i="2"/>
  <c r="U502" i="2"/>
  <c r="T502" i="2"/>
  <c r="S502" i="2"/>
  <c r="R502" i="2"/>
  <c r="Q502" i="2"/>
  <c r="P502" i="2"/>
  <c r="O502" i="2"/>
  <c r="N502" i="2"/>
  <c r="M502" i="2"/>
  <c r="L502" i="2"/>
  <c r="K502" i="2"/>
  <c r="J502" i="2"/>
  <c r="I502" i="2"/>
  <c r="H502" i="2"/>
  <c r="G502" i="2"/>
  <c r="F502" i="2"/>
  <c r="E502" i="2"/>
  <c r="D502" i="2"/>
  <c r="C502" i="2"/>
  <c r="B502" i="2"/>
  <c r="A502" i="2"/>
  <c r="AH501" i="2"/>
  <c r="AG501" i="2"/>
  <c r="AF501" i="2"/>
  <c r="AE501" i="2"/>
  <c r="AD501" i="2"/>
  <c r="AC501" i="2"/>
  <c r="AB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H500" i="2"/>
  <c r="AF500" i="2"/>
  <c r="AE500" i="2"/>
  <c r="AD500" i="2"/>
  <c r="AC500" i="2"/>
  <c r="AB500" i="2"/>
  <c r="Y500" i="2"/>
  <c r="W500" i="2"/>
  <c r="V500" i="2"/>
  <c r="U500" i="2"/>
  <c r="T500" i="2"/>
  <c r="S500" i="2"/>
  <c r="R500" i="2"/>
  <c r="Q500" i="2"/>
  <c r="P500" i="2"/>
  <c r="O500" i="2"/>
  <c r="N500" i="2"/>
  <c r="M500" i="2"/>
  <c r="L500" i="2"/>
  <c r="K500" i="2"/>
  <c r="J500" i="2"/>
  <c r="I500" i="2"/>
  <c r="H500" i="2"/>
  <c r="G500" i="2"/>
  <c r="F500" i="2"/>
  <c r="E500" i="2"/>
  <c r="D500" i="2"/>
  <c r="C500" i="2"/>
  <c r="B500" i="2"/>
  <c r="A500" i="2"/>
  <c r="AH499" i="2"/>
  <c r="AG499" i="2"/>
  <c r="AF499" i="2"/>
  <c r="AE499" i="2"/>
  <c r="AD499" i="2"/>
  <c r="AC499" i="2"/>
  <c r="AB499" i="2"/>
  <c r="W499" i="2"/>
  <c r="V499" i="2"/>
  <c r="U499" i="2"/>
  <c r="T499" i="2"/>
  <c r="S499" i="2"/>
  <c r="R499" i="2"/>
  <c r="Q499" i="2"/>
  <c r="P499" i="2"/>
  <c r="O499" i="2"/>
  <c r="N499" i="2"/>
  <c r="M499" i="2"/>
  <c r="L499" i="2"/>
  <c r="K499" i="2"/>
  <c r="J499" i="2"/>
  <c r="I499" i="2"/>
  <c r="H499" i="2"/>
  <c r="G499" i="2"/>
  <c r="F499" i="2"/>
  <c r="E499" i="2"/>
  <c r="D499" i="2"/>
  <c r="C499" i="2"/>
  <c r="B499" i="2"/>
  <c r="A499" i="2"/>
  <c r="AH498" i="2"/>
  <c r="AG498" i="2"/>
  <c r="AF498" i="2"/>
  <c r="AE498" i="2"/>
  <c r="AD498" i="2"/>
  <c r="AC498" i="2"/>
  <c r="AB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H497" i="2"/>
  <c r="AG497" i="2"/>
  <c r="AF497" i="2"/>
  <c r="AE497" i="2"/>
  <c r="AD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H495" i="2"/>
  <c r="AF495" i="2"/>
  <c r="AE495" i="2"/>
  <c r="AC495" i="2"/>
  <c r="AB495" i="2"/>
  <c r="Y495" i="2"/>
  <c r="X495" i="2"/>
  <c r="W495" i="2"/>
  <c r="V495" i="2"/>
  <c r="U495" i="2"/>
  <c r="T495" i="2"/>
  <c r="S495" i="2"/>
  <c r="R495" i="2"/>
  <c r="Q495" i="2"/>
  <c r="P495" i="2"/>
  <c r="N495" i="2"/>
  <c r="M495" i="2"/>
  <c r="L495" i="2"/>
  <c r="K495" i="2"/>
  <c r="J495" i="2"/>
  <c r="I495" i="2"/>
  <c r="H495" i="2"/>
  <c r="G495" i="2"/>
  <c r="F495" i="2"/>
  <c r="E495" i="2"/>
  <c r="D495" i="2"/>
  <c r="C495" i="2"/>
  <c r="B495" i="2"/>
  <c r="A495" i="2"/>
  <c r="AH496" i="2"/>
  <c r="AF496" i="2"/>
  <c r="AE496" i="2"/>
  <c r="AD496" i="2"/>
  <c r="AC496" i="2"/>
  <c r="AB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H494" i="2"/>
  <c r="AG494" i="2"/>
  <c r="AF494" i="2"/>
  <c r="AE494" i="2"/>
  <c r="AD494" i="2"/>
  <c r="AC494" i="2"/>
  <c r="AB494" i="2"/>
  <c r="Y494" i="2"/>
  <c r="X494" i="2"/>
  <c r="W494" i="2"/>
  <c r="V494" i="2"/>
  <c r="U494" i="2"/>
  <c r="T494" i="2"/>
  <c r="S494" i="2"/>
  <c r="R494" i="2"/>
  <c r="Q494" i="2"/>
  <c r="P494" i="2"/>
  <c r="N494" i="2"/>
  <c r="M494" i="2"/>
  <c r="L494" i="2"/>
  <c r="K494" i="2"/>
  <c r="J494" i="2"/>
  <c r="I494" i="2"/>
  <c r="H494" i="2"/>
  <c r="G494" i="2"/>
  <c r="F494" i="2"/>
  <c r="E494" i="2"/>
  <c r="D494" i="2"/>
  <c r="C494" i="2"/>
  <c r="B494" i="2"/>
  <c r="A494" i="2"/>
  <c r="AH493" i="2"/>
  <c r="AG493" i="2"/>
  <c r="AF493" i="2"/>
  <c r="AE493" i="2"/>
  <c r="AD493" i="2"/>
  <c r="AC493" i="2"/>
  <c r="AB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H491" i="2"/>
  <c r="AF491" i="2"/>
  <c r="AE491" i="2"/>
  <c r="AD491" i="2"/>
  <c r="AC491" i="2"/>
  <c r="AB491" i="2"/>
  <c r="AA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H492" i="2"/>
  <c r="AG492" i="2"/>
  <c r="AF492" i="2"/>
  <c r="AE492" i="2"/>
  <c r="AD492" i="2"/>
  <c r="AC492" i="2"/>
  <c r="AB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H490" i="2"/>
  <c r="AF490" i="2"/>
  <c r="AE490" i="2"/>
  <c r="AD490" i="2"/>
  <c r="AC490" i="2"/>
  <c r="AB490" i="2"/>
  <c r="Z490" i="2"/>
  <c r="Y490" i="2"/>
  <c r="X490" i="2"/>
  <c r="W490" i="2"/>
  <c r="V490" i="2"/>
  <c r="U490" i="2"/>
  <c r="T490" i="2"/>
  <c r="S490" i="2"/>
  <c r="R490" i="2"/>
  <c r="Q490" i="2"/>
  <c r="P490" i="2"/>
  <c r="O490" i="2"/>
  <c r="N490" i="2"/>
  <c r="M490" i="2"/>
  <c r="L490" i="2"/>
  <c r="K490" i="2"/>
  <c r="J490" i="2"/>
  <c r="H490" i="2"/>
  <c r="G490" i="2"/>
  <c r="F490" i="2"/>
  <c r="E490" i="2"/>
  <c r="D490" i="2"/>
  <c r="C490" i="2"/>
  <c r="B490" i="2"/>
  <c r="A490" i="2"/>
  <c r="AH489" i="2"/>
  <c r="AF489" i="2"/>
  <c r="AE489" i="2"/>
  <c r="AD489" i="2"/>
  <c r="AC489" i="2"/>
  <c r="AB489" i="2"/>
  <c r="W489" i="2"/>
  <c r="V489" i="2"/>
  <c r="U489" i="2"/>
  <c r="T489" i="2"/>
  <c r="S489" i="2"/>
  <c r="R489" i="2"/>
  <c r="Q489" i="2"/>
  <c r="P489" i="2"/>
  <c r="O489" i="2"/>
  <c r="N489" i="2"/>
  <c r="M489" i="2"/>
  <c r="L489" i="2"/>
  <c r="K489" i="2"/>
  <c r="J489" i="2"/>
  <c r="I489" i="2"/>
  <c r="H489" i="2"/>
  <c r="G489" i="2"/>
  <c r="F489" i="2"/>
  <c r="E489" i="2"/>
  <c r="D489" i="2"/>
  <c r="C489" i="2"/>
  <c r="B489" i="2"/>
  <c r="A489" i="2"/>
  <c r="AH488" i="2"/>
  <c r="AF488" i="2"/>
  <c r="AE488" i="2"/>
  <c r="AD488" i="2"/>
  <c r="AC488" i="2"/>
  <c r="AB488" i="2"/>
  <c r="W488" i="2"/>
  <c r="V488" i="2"/>
  <c r="U488" i="2"/>
  <c r="T488" i="2"/>
  <c r="S488" i="2"/>
  <c r="R488" i="2"/>
  <c r="Q488" i="2"/>
  <c r="P488" i="2"/>
  <c r="O488" i="2"/>
  <c r="N488" i="2"/>
  <c r="M488" i="2"/>
  <c r="L488" i="2"/>
  <c r="K488" i="2"/>
  <c r="J488" i="2"/>
  <c r="I488" i="2"/>
  <c r="H488" i="2"/>
  <c r="G488" i="2"/>
  <c r="F488" i="2"/>
  <c r="E488" i="2"/>
  <c r="D488" i="2"/>
  <c r="C488" i="2"/>
  <c r="B488" i="2"/>
  <c r="A488" i="2"/>
  <c r="AH487" i="2"/>
  <c r="AF487" i="2"/>
  <c r="AE487" i="2"/>
  <c r="AD487" i="2"/>
  <c r="AC487" i="2"/>
  <c r="AB487" i="2"/>
  <c r="Y487" i="2"/>
  <c r="X487" i="2"/>
  <c r="W487" i="2"/>
  <c r="V487" i="2"/>
  <c r="U487" i="2"/>
  <c r="T487" i="2"/>
  <c r="S487" i="2"/>
  <c r="R487" i="2"/>
  <c r="Q487" i="2"/>
  <c r="P487" i="2"/>
  <c r="O487" i="2"/>
  <c r="N487" i="2"/>
  <c r="M487" i="2"/>
  <c r="K487" i="2"/>
  <c r="J487" i="2"/>
  <c r="I487" i="2"/>
  <c r="H487" i="2"/>
  <c r="G487" i="2"/>
  <c r="F487" i="2"/>
  <c r="E487" i="2"/>
  <c r="D487" i="2"/>
  <c r="C487" i="2"/>
  <c r="B487" i="2"/>
  <c r="A487" i="2"/>
  <c r="AH486" i="2"/>
  <c r="AF486" i="2"/>
  <c r="AE486" i="2"/>
  <c r="AD486" i="2"/>
  <c r="AC486" i="2"/>
  <c r="AB486" i="2"/>
  <c r="W486" i="2"/>
  <c r="V486" i="2"/>
  <c r="U486" i="2"/>
  <c r="T486" i="2"/>
  <c r="S486" i="2"/>
  <c r="R486" i="2"/>
  <c r="Q486" i="2"/>
  <c r="P486" i="2"/>
  <c r="O486" i="2"/>
  <c r="N486" i="2"/>
  <c r="M486" i="2"/>
  <c r="L486" i="2"/>
  <c r="K486" i="2"/>
  <c r="J486" i="2"/>
  <c r="I486" i="2"/>
  <c r="H486" i="2"/>
  <c r="G486" i="2"/>
  <c r="F486" i="2"/>
  <c r="E486" i="2"/>
  <c r="D486" i="2"/>
  <c r="C486" i="2"/>
  <c r="B486" i="2"/>
  <c r="A486" i="2"/>
  <c r="AH485" i="2"/>
  <c r="AG485" i="2"/>
  <c r="AF485" i="2"/>
  <c r="AE485" i="2"/>
  <c r="AD485" i="2"/>
  <c r="AC485" i="2"/>
  <c r="AB485" i="2"/>
  <c r="Z485" i="2"/>
  <c r="Y485" i="2"/>
  <c r="X485" i="2"/>
  <c r="W485" i="2"/>
  <c r="V485" i="2"/>
  <c r="U485" i="2"/>
  <c r="S485" i="2"/>
  <c r="R485" i="2"/>
  <c r="Q485" i="2"/>
  <c r="P485" i="2"/>
  <c r="O485" i="2"/>
  <c r="N485" i="2"/>
  <c r="M485" i="2"/>
  <c r="L485" i="2"/>
  <c r="K485" i="2"/>
  <c r="J485" i="2"/>
  <c r="I485" i="2"/>
  <c r="H485" i="2"/>
  <c r="G485" i="2"/>
  <c r="F485" i="2"/>
  <c r="E485" i="2"/>
  <c r="D485" i="2"/>
  <c r="C485" i="2"/>
  <c r="B485" i="2"/>
  <c r="A485" i="2"/>
  <c r="AH484" i="2"/>
  <c r="AG484" i="2"/>
  <c r="AF484" i="2"/>
  <c r="AE484" i="2"/>
  <c r="AD484" i="2"/>
  <c r="AC484" i="2"/>
  <c r="AB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H483" i="2"/>
  <c r="AG483" i="2"/>
  <c r="AF483" i="2"/>
  <c r="AE483" i="2"/>
  <c r="AD483" i="2"/>
  <c r="AC483" i="2"/>
  <c r="AB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F482" i="2"/>
  <c r="AE482" i="2"/>
  <c r="AD482" i="2"/>
  <c r="AC482" i="2"/>
  <c r="AB482" i="2"/>
  <c r="AA482" i="2"/>
  <c r="Z482" i="2"/>
  <c r="Y482" i="2"/>
  <c r="X482" i="2"/>
  <c r="W482" i="2"/>
  <c r="V482" i="2"/>
  <c r="S482" i="2"/>
  <c r="R482" i="2"/>
  <c r="Q482" i="2"/>
  <c r="P482" i="2"/>
  <c r="O482" i="2"/>
  <c r="N482" i="2"/>
  <c r="M482" i="2"/>
  <c r="L482" i="2"/>
  <c r="K482" i="2"/>
  <c r="J482" i="2"/>
  <c r="I482" i="2"/>
  <c r="H482" i="2"/>
  <c r="G482" i="2"/>
  <c r="F482" i="2"/>
  <c r="E482" i="2"/>
  <c r="D482" i="2"/>
  <c r="C482" i="2"/>
  <c r="B482" i="2"/>
  <c r="A482" i="2"/>
  <c r="AH481" i="2"/>
  <c r="AG481" i="2"/>
  <c r="AF481" i="2"/>
  <c r="AE481" i="2"/>
  <c r="AD481" i="2"/>
  <c r="AC481" i="2"/>
  <c r="AB481" i="2"/>
  <c r="AA481" i="2"/>
  <c r="Z481" i="2"/>
  <c r="Y481" i="2"/>
  <c r="X481" i="2"/>
  <c r="W481" i="2"/>
  <c r="V481" i="2"/>
  <c r="T481" i="2"/>
  <c r="S481" i="2"/>
  <c r="R481" i="2"/>
  <c r="Q481" i="2"/>
  <c r="P481" i="2"/>
  <c r="O481" i="2"/>
  <c r="N481" i="2"/>
  <c r="M481" i="2"/>
  <c r="L481" i="2"/>
  <c r="K481" i="2"/>
  <c r="J481" i="2"/>
  <c r="I481" i="2"/>
  <c r="H481" i="2"/>
  <c r="G481" i="2"/>
  <c r="F481" i="2"/>
  <c r="E481" i="2"/>
  <c r="D481" i="2"/>
  <c r="C481" i="2"/>
  <c r="B481" i="2"/>
  <c r="A481" i="2"/>
  <c r="AH480" i="2"/>
  <c r="AF480" i="2"/>
  <c r="AE480" i="2"/>
  <c r="AD480" i="2"/>
  <c r="AC480" i="2"/>
  <c r="Z480" i="2"/>
  <c r="W480" i="2"/>
  <c r="V480" i="2"/>
  <c r="U480" i="2"/>
  <c r="T480" i="2"/>
  <c r="R480" i="2"/>
  <c r="Q480" i="2"/>
  <c r="P480" i="2"/>
  <c r="O480" i="2"/>
  <c r="N480" i="2"/>
  <c r="M480" i="2"/>
  <c r="L480" i="2"/>
  <c r="K480" i="2"/>
  <c r="J480" i="2"/>
  <c r="I480" i="2"/>
  <c r="H480" i="2"/>
  <c r="G480" i="2"/>
  <c r="F480" i="2"/>
  <c r="E480" i="2"/>
  <c r="D480" i="2"/>
  <c r="C480" i="2"/>
  <c r="B480" i="2"/>
  <c r="A480" i="2"/>
  <c r="AH479" i="2"/>
  <c r="AE479" i="2"/>
  <c r="AD479" i="2"/>
  <c r="AC479" i="2"/>
  <c r="AB479" i="2"/>
  <c r="W479" i="2"/>
  <c r="V479" i="2"/>
  <c r="U479" i="2"/>
  <c r="T479" i="2"/>
  <c r="S479" i="2"/>
  <c r="R479" i="2"/>
  <c r="Q479" i="2"/>
  <c r="P479" i="2"/>
  <c r="O479" i="2"/>
  <c r="N479" i="2"/>
  <c r="M479" i="2"/>
  <c r="L479" i="2"/>
  <c r="K479" i="2"/>
  <c r="J479" i="2"/>
  <c r="I479" i="2"/>
  <c r="H479" i="2"/>
  <c r="G479" i="2"/>
  <c r="F479" i="2"/>
  <c r="E479" i="2"/>
  <c r="D479" i="2"/>
  <c r="C479" i="2"/>
  <c r="B479" i="2"/>
  <c r="A479" i="2"/>
  <c r="AH478" i="2"/>
  <c r="AF478" i="2"/>
  <c r="AE478" i="2"/>
  <c r="AD478" i="2"/>
  <c r="AC478" i="2"/>
  <c r="AB478" i="2"/>
  <c r="Y478" i="2"/>
  <c r="W478" i="2"/>
  <c r="V478" i="2"/>
  <c r="U478" i="2"/>
  <c r="T478" i="2"/>
  <c r="S478" i="2"/>
  <c r="R478" i="2"/>
  <c r="Q478" i="2"/>
  <c r="P478" i="2"/>
  <c r="O478" i="2"/>
  <c r="N478" i="2"/>
  <c r="M478" i="2"/>
  <c r="L478" i="2"/>
  <c r="K478" i="2"/>
  <c r="J478" i="2"/>
  <c r="I478" i="2"/>
  <c r="H478" i="2"/>
  <c r="G478" i="2"/>
  <c r="F478" i="2"/>
  <c r="E478" i="2"/>
  <c r="D478" i="2"/>
  <c r="C478" i="2"/>
  <c r="B478" i="2"/>
  <c r="A478" i="2"/>
  <c r="AH477" i="2"/>
  <c r="AF477" i="2"/>
  <c r="AE477" i="2"/>
  <c r="AD477" i="2"/>
  <c r="AC477" i="2"/>
  <c r="AB477" i="2"/>
  <c r="Y477" i="2"/>
  <c r="W477" i="2"/>
  <c r="V477" i="2"/>
  <c r="U477" i="2"/>
  <c r="S477" i="2"/>
  <c r="R477" i="2"/>
  <c r="Q477" i="2"/>
  <c r="P477" i="2"/>
  <c r="O477" i="2"/>
  <c r="N477" i="2"/>
  <c r="M477" i="2"/>
  <c r="L477" i="2"/>
  <c r="K477" i="2"/>
  <c r="J477" i="2"/>
  <c r="I477" i="2"/>
  <c r="H477" i="2"/>
  <c r="G477" i="2"/>
  <c r="F477" i="2"/>
  <c r="E477" i="2"/>
  <c r="D477" i="2"/>
  <c r="C477" i="2"/>
  <c r="B477" i="2"/>
  <c r="A477" i="2"/>
  <c r="AH476" i="2"/>
  <c r="AG476" i="2"/>
  <c r="AF476" i="2"/>
  <c r="AE476" i="2"/>
  <c r="AD476" i="2"/>
  <c r="AC476" i="2"/>
  <c r="AB476" i="2"/>
  <c r="Y476" i="2"/>
  <c r="X476" i="2"/>
  <c r="W476" i="2"/>
  <c r="V476" i="2"/>
  <c r="U476" i="2"/>
  <c r="Q476" i="2"/>
  <c r="P476" i="2"/>
  <c r="N476" i="2"/>
  <c r="M476" i="2"/>
  <c r="L476" i="2"/>
  <c r="K476" i="2"/>
  <c r="J476" i="2"/>
  <c r="I476" i="2"/>
  <c r="H476" i="2"/>
  <c r="G476" i="2"/>
  <c r="F476" i="2"/>
  <c r="E476" i="2"/>
  <c r="D476" i="2"/>
  <c r="C476" i="2"/>
  <c r="B476" i="2"/>
  <c r="A476" i="2"/>
  <c r="AH475" i="2"/>
  <c r="AF475" i="2"/>
  <c r="AE475" i="2"/>
  <c r="AD475" i="2"/>
  <c r="AC475" i="2"/>
  <c r="AB475" i="2"/>
  <c r="Y475" i="2"/>
  <c r="X475" i="2"/>
  <c r="W475" i="2"/>
  <c r="V475" i="2"/>
  <c r="R475" i="2"/>
  <c r="Q475" i="2"/>
  <c r="P475" i="2"/>
  <c r="O475" i="2"/>
  <c r="N475" i="2"/>
  <c r="M475" i="2"/>
  <c r="L475" i="2"/>
  <c r="K475" i="2"/>
  <c r="J475" i="2"/>
  <c r="I475" i="2"/>
  <c r="H475" i="2"/>
  <c r="G475" i="2"/>
  <c r="F475" i="2"/>
  <c r="E475" i="2"/>
  <c r="D475" i="2"/>
  <c r="C475" i="2"/>
  <c r="B475" i="2"/>
  <c r="A475" i="2"/>
  <c r="AH474" i="2"/>
  <c r="AG474" i="2"/>
  <c r="AF474" i="2"/>
  <c r="AE474" i="2"/>
  <c r="AD474" i="2"/>
  <c r="AC474" i="2"/>
  <c r="AB474" i="2"/>
  <c r="Y474" i="2"/>
  <c r="X474" i="2"/>
  <c r="W474" i="2"/>
  <c r="V474" i="2"/>
  <c r="T474" i="2"/>
  <c r="S474" i="2"/>
  <c r="R474" i="2"/>
  <c r="Q474" i="2"/>
  <c r="P474" i="2"/>
  <c r="O474" i="2"/>
  <c r="N474" i="2"/>
  <c r="M474" i="2"/>
  <c r="L474" i="2"/>
  <c r="K474" i="2"/>
  <c r="J474" i="2"/>
  <c r="I474" i="2"/>
  <c r="H474" i="2"/>
  <c r="G474" i="2"/>
  <c r="F474" i="2"/>
  <c r="E474" i="2"/>
  <c r="D474" i="2"/>
  <c r="C474" i="2"/>
  <c r="B474" i="2"/>
  <c r="A474" i="2"/>
  <c r="AH473" i="2"/>
  <c r="AG473" i="2"/>
  <c r="AF473" i="2"/>
  <c r="AD473" i="2"/>
  <c r="AC473" i="2"/>
  <c r="AB473" i="2"/>
  <c r="Z473" i="2"/>
  <c r="W473" i="2"/>
  <c r="V473" i="2"/>
  <c r="U473" i="2"/>
  <c r="S473" i="2"/>
  <c r="R473" i="2"/>
  <c r="Q473" i="2"/>
  <c r="P473" i="2"/>
  <c r="O473" i="2"/>
  <c r="N473" i="2"/>
  <c r="M473" i="2"/>
  <c r="L473" i="2"/>
  <c r="K473" i="2"/>
  <c r="J473" i="2"/>
  <c r="I473" i="2"/>
  <c r="H473" i="2"/>
  <c r="G473" i="2"/>
  <c r="F473" i="2"/>
  <c r="E473" i="2"/>
  <c r="D473" i="2"/>
  <c r="C473" i="2"/>
  <c r="B473" i="2"/>
  <c r="A473" i="2"/>
  <c r="AH472" i="2"/>
  <c r="AG472" i="2"/>
  <c r="AF472" i="2"/>
  <c r="AE472" i="2"/>
  <c r="AD472" i="2"/>
  <c r="AC472" i="2"/>
  <c r="AB472" i="2"/>
  <c r="Z472" i="2"/>
  <c r="Y472" i="2"/>
  <c r="X472" i="2"/>
  <c r="W472" i="2"/>
  <c r="V472" i="2"/>
  <c r="U472" i="2"/>
  <c r="T472" i="2"/>
  <c r="O472" i="2"/>
  <c r="N472" i="2"/>
  <c r="M472" i="2"/>
  <c r="L472" i="2"/>
  <c r="K472" i="2"/>
  <c r="J472" i="2"/>
  <c r="I472" i="2"/>
  <c r="H472" i="2"/>
  <c r="G472" i="2"/>
  <c r="F472" i="2"/>
  <c r="E472" i="2"/>
  <c r="D472" i="2"/>
  <c r="C472" i="2"/>
  <c r="B472" i="2"/>
  <c r="A472" i="2"/>
  <c r="AH471" i="2"/>
  <c r="AG471" i="2"/>
  <c r="AF471" i="2"/>
  <c r="AE471" i="2"/>
  <c r="AC471" i="2"/>
  <c r="AB471" i="2"/>
  <c r="Z471" i="2"/>
  <c r="Y471" i="2"/>
  <c r="X471" i="2"/>
  <c r="W471" i="2"/>
  <c r="V471" i="2"/>
  <c r="T471" i="2"/>
  <c r="S471" i="2"/>
  <c r="R471" i="2"/>
  <c r="Q471" i="2"/>
  <c r="P471" i="2"/>
  <c r="O471" i="2"/>
  <c r="N471" i="2"/>
  <c r="M471" i="2"/>
  <c r="L471" i="2"/>
  <c r="K471" i="2"/>
  <c r="J471" i="2"/>
  <c r="I471" i="2"/>
  <c r="H471" i="2"/>
  <c r="G471" i="2"/>
  <c r="F471" i="2"/>
  <c r="E471" i="2"/>
  <c r="D471" i="2"/>
  <c r="C471" i="2"/>
  <c r="B471" i="2"/>
  <c r="A471" i="2"/>
  <c r="AH470" i="2"/>
  <c r="AG470" i="2"/>
  <c r="AF470" i="2"/>
  <c r="AE470" i="2"/>
  <c r="AD470" i="2"/>
  <c r="AC470" i="2"/>
  <c r="AB470" i="2"/>
  <c r="Z470" i="2"/>
  <c r="Y470" i="2"/>
  <c r="X470" i="2"/>
  <c r="W470" i="2"/>
  <c r="V470" i="2"/>
  <c r="U470" i="2"/>
  <c r="S470" i="2"/>
  <c r="R470" i="2"/>
  <c r="Q470" i="2"/>
  <c r="P470" i="2"/>
  <c r="O470" i="2"/>
  <c r="N470" i="2"/>
  <c r="M470" i="2"/>
  <c r="L470" i="2"/>
  <c r="K470" i="2"/>
  <c r="J470" i="2"/>
  <c r="I470" i="2"/>
  <c r="H470" i="2"/>
  <c r="G470" i="2"/>
  <c r="F470" i="2"/>
  <c r="E470" i="2"/>
  <c r="D470" i="2"/>
  <c r="C470" i="2"/>
  <c r="B470" i="2"/>
  <c r="A470" i="2"/>
  <c r="AH469" i="2"/>
  <c r="AF469" i="2"/>
  <c r="AE469" i="2"/>
  <c r="AD469" i="2"/>
  <c r="AC469" i="2"/>
  <c r="AB469" i="2"/>
  <c r="Y469" i="2"/>
  <c r="W469" i="2"/>
  <c r="V469" i="2"/>
  <c r="U469" i="2"/>
  <c r="T469" i="2"/>
  <c r="S469" i="2"/>
  <c r="R469" i="2"/>
  <c r="Q469" i="2"/>
  <c r="P469" i="2"/>
  <c r="O469" i="2"/>
  <c r="N469" i="2"/>
  <c r="M469" i="2"/>
  <c r="L469" i="2"/>
  <c r="K469" i="2"/>
  <c r="J469" i="2"/>
  <c r="I469" i="2"/>
  <c r="H469" i="2"/>
  <c r="G469" i="2"/>
  <c r="F469" i="2"/>
  <c r="E469" i="2"/>
  <c r="D469" i="2"/>
  <c r="C469" i="2"/>
  <c r="B469" i="2"/>
  <c r="A469" i="2"/>
  <c r="AH468" i="2"/>
  <c r="AG468" i="2"/>
  <c r="AF468" i="2"/>
  <c r="AE468" i="2"/>
  <c r="AD468" i="2"/>
  <c r="AC468" i="2"/>
  <c r="AB468" i="2"/>
  <c r="Z468" i="2"/>
  <c r="Y468" i="2"/>
  <c r="X468" i="2"/>
  <c r="W468" i="2"/>
  <c r="V468" i="2"/>
  <c r="U468" i="2"/>
  <c r="S468" i="2"/>
  <c r="R468" i="2"/>
  <c r="Q468" i="2"/>
  <c r="P468" i="2"/>
  <c r="N468" i="2"/>
  <c r="M468" i="2"/>
  <c r="L468" i="2"/>
  <c r="K468" i="2"/>
  <c r="J468" i="2"/>
  <c r="I468" i="2"/>
  <c r="H468" i="2"/>
  <c r="G468" i="2"/>
  <c r="F468" i="2"/>
  <c r="E468" i="2"/>
  <c r="D468" i="2"/>
  <c r="C468" i="2"/>
  <c r="B468" i="2"/>
  <c r="A468" i="2"/>
  <c r="AH467" i="2"/>
  <c r="AG467" i="2"/>
  <c r="AF467" i="2"/>
  <c r="AE467" i="2"/>
  <c r="AD467" i="2"/>
  <c r="AC467"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H466" i="2"/>
  <c r="AF466" i="2"/>
  <c r="AE466" i="2"/>
  <c r="AD466" i="2"/>
  <c r="AC466" i="2"/>
  <c r="AB466" i="2"/>
  <c r="W466" i="2"/>
  <c r="V466" i="2"/>
  <c r="U466" i="2"/>
  <c r="T466" i="2"/>
  <c r="S466" i="2"/>
  <c r="R466" i="2"/>
  <c r="Q466" i="2"/>
  <c r="P466" i="2"/>
  <c r="O466" i="2"/>
  <c r="N466" i="2"/>
  <c r="M466" i="2"/>
  <c r="L466" i="2"/>
  <c r="K466" i="2"/>
  <c r="J466" i="2"/>
  <c r="I466" i="2"/>
  <c r="H466" i="2"/>
  <c r="G466" i="2"/>
  <c r="F466" i="2"/>
  <c r="E466" i="2"/>
  <c r="D466" i="2"/>
  <c r="C466" i="2"/>
  <c r="B466" i="2"/>
  <c r="A466" i="2"/>
  <c r="AH465" i="2"/>
  <c r="AG465" i="2"/>
  <c r="AF465" i="2"/>
  <c r="AE465" i="2"/>
  <c r="AD465" i="2"/>
  <c r="AC465" i="2"/>
  <c r="AB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H464" i="2"/>
  <c r="AE464" i="2"/>
  <c r="AD464" i="2"/>
  <c r="AC464" i="2"/>
  <c r="AB464" i="2"/>
  <c r="W464" i="2"/>
  <c r="V464" i="2"/>
  <c r="U464" i="2"/>
  <c r="T464" i="2"/>
  <c r="S464" i="2"/>
  <c r="R464" i="2"/>
  <c r="Q464" i="2"/>
  <c r="P464" i="2"/>
  <c r="O464" i="2"/>
  <c r="N464" i="2"/>
  <c r="M464" i="2"/>
  <c r="L464" i="2"/>
  <c r="K464" i="2"/>
  <c r="J464" i="2"/>
  <c r="I464" i="2"/>
  <c r="H464" i="2"/>
  <c r="G464" i="2"/>
  <c r="F464" i="2"/>
  <c r="E464" i="2"/>
  <c r="D464" i="2"/>
  <c r="C464" i="2"/>
  <c r="B464" i="2"/>
  <c r="A464" i="2"/>
  <c r="AH463" i="2"/>
  <c r="AG463" i="2"/>
  <c r="AF463" i="2"/>
  <c r="AE463" i="2"/>
  <c r="AD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H462" i="2"/>
  <c r="AF462" i="2"/>
  <c r="AE462" i="2"/>
  <c r="AD462" i="2"/>
  <c r="AC462" i="2"/>
  <c r="AB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H461" i="2"/>
  <c r="AF461" i="2"/>
  <c r="AE461" i="2"/>
  <c r="AD461" i="2"/>
  <c r="AC461" i="2"/>
  <c r="AB461" i="2"/>
  <c r="Y461" i="2"/>
  <c r="W461" i="2"/>
  <c r="V461" i="2"/>
  <c r="U461" i="2"/>
  <c r="T461" i="2"/>
  <c r="S461" i="2"/>
  <c r="R461" i="2"/>
  <c r="Q461" i="2"/>
  <c r="P461" i="2"/>
  <c r="O461" i="2"/>
  <c r="N461" i="2"/>
  <c r="M461" i="2"/>
  <c r="L461" i="2"/>
  <c r="K461" i="2"/>
  <c r="J461" i="2"/>
  <c r="I461" i="2"/>
  <c r="H461" i="2"/>
  <c r="G461" i="2"/>
  <c r="F461" i="2"/>
  <c r="E461" i="2"/>
  <c r="D461" i="2"/>
  <c r="C461" i="2"/>
  <c r="B461" i="2"/>
  <c r="A461" i="2"/>
  <c r="AH460" i="2"/>
  <c r="AG460" i="2"/>
  <c r="AF460" i="2"/>
  <c r="AD460" i="2"/>
  <c r="AC460" i="2"/>
  <c r="AB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H459" i="2"/>
  <c r="AG459" i="2"/>
  <c r="AF459" i="2"/>
  <c r="AE459" i="2"/>
  <c r="AD459" i="2"/>
  <c r="AC459" i="2"/>
  <c r="AB459" i="2"/>
  <c r="Z459" i="2"/>
  <c r="Y459" i="2"/>
  <c r="X459" i="2"/>
  <c r="W459" i="2"/>
  <c r="V459" i="2"/>
  <c r="T459" i="2"/>
  <c r="S459" i="2"/>
  <c r="R459" i="2"/>
  <c r="Q459" i="2"/>
  <c r="P459" i="2"/>
  <c r="O459" i="2"/>
  <c r="N459" i="2"/>
  <c r="M459" i="2"/>
  <c r="L459" i="2"/>
  <c r="K459" i="2"/>
  <c r="J459" i="2"/>
  <c r="I459" i="2"/>
  <c r="H459" i="2"/>
  <c r="G459" i="2"/>
  <c r="F459" i="2"/>
  <c r="E459" i="2"/>
  <c r="D459" i="2"/>
  <c r="C459" i="2"/>
  <c r="B459" i="2"/>
  <c r="A459" i="2"/>
  <c r="AH458" i="2"/>
  <c r="AF458" i="2"/>
  <c r="AE458" i="2"/>
  <c r="AD458" i="2"/>
  <c r="AC458" i="2"/>
  <c r="AB458" i="2"/>
  <c r="Y458" i="2"/>
  <c r="W458" i="2"/>
  <c r="V458" i="2"/>
  <c r="U458" i="2"/>
  <c r="T458" i="2"/>
  <c r="S458" i="2"/>
  <c r="R458" i="2"/>
  <c r="Q458" i="2"/>
  <c r="P458" i="2"/>
  <c r="O458" i="2"/>
  <c r="N458" i="2"/>
  <c r="M458" i="2"/>
  <c r="L458" i="2"/>
  <c r="K458" i="2"/>
  <c r="J458" i="2"/>
  <c r="I458" i="2"/>
  <c r="H458" i="2"/>
  <c r="G458" i="2"/>
  <c r="F458" i="2"/>
  <c r="E458" i="2"/>
  <c r="D458" i="2"/>
  <c r="C458" i="2"/>
  <c r="B458" i="2"/>
  <c r="A458" i="2"/>
  <c r="AH457" i="2"/>
  <c r="AG457" i="2"/>
  <c r="AF457" i="2"/>
  <c r="AE457" i="2"/>
  <c r="AD457" i="2"/>
  <c r="AC457" i="2"/>
  <c r="AB457" i="2"/>
  <c r="Z457" i="2"/>
  <c r="Y457" i="2"/>
  <c r="X457" i="2"/>
  <c r="W457" i="2"/>
  <c r="V457" i="2"/>
  <c r="U457" i="2"/>
  <c r="S457" i="2"/>
  <c r="R457" i="2"/>
  <c r="Q457" i="2"/>
  <c r="P457" i="2"/>
  <c r="O457" i="2"/>
  <c r="N457" i="2"/>
  <c r="M457" i="2"/>
  <c r="L457" i="2"/>
  <c r="K457" i="2"/>
  <c r="J457" i="2"/>
  <c r="I457" i="2"/>
  <c r="H457" i="2"/>
  <c r="G457" i="2"/>
  <c r="F457" i="2"/>
  <c r="E457" i="2"/>
  <c r="D457" i="2"/>
  <c r="C457" i="2"/>
  <c r="B457" i="2"/>
  <c r="A457" i="2"/>
  <c r="AH456" i="2"/>
  <c r="AF456" i="2"/>
  <c r="AE456" i="2"/>
  <c r="AD456" i="2"/>
  <c r="AC456" i="2"/>
  <c r="AB456" i="2"/>
  <c r="Y456" i="2"/>
  <c r="W456" i="2"/>
  <c r="V456" i="2"/>
  <c r="U456" i="2"/>
  <c r="S456" i="2"/>
  <c r="R456" i="2"/>
  <c r="Q456" i="2"/>
  <c r="P456" i="2"/>
  <c r="O456" i="2"/>
  <c r="N456" i="2"/>
  <c r="M456" i="2"/>
  <c r="L456" i="2"/>
  <c r="K456" i="2"/>
  <c r="J456" i="2"/>
  <c r="I456" i="2"/>
  <c r="H456" i="2"/>
  <c r="G456" i="2"/>
  <c r="F456" i="2"/>
  <c r="E456" i="2"/>
  <c r="D456" i="2"/>
  <c r="C456" i="2"/>
  <c r="B456" i="2"/>
  <c r="A456" i="2"/>
  <c r="AH455" i="2"/>
  <c r="AF455" i="2"/>
  <c r="AE455" i="2"/>
  <c r="AD455" i="2"/>
  <c r="AC455" i="2"/>
  <c r="AB455" i="2"/>
  <c r="Y455" i="2"/>
  <c r="W455" i="2"/>
  <c r="V455" i="2"/>
  <c r="U455" i="2"/>
  <c r="T455" i="2"/>
  <c r="S455" i="2"/>
  <c r="R455" i="2"/>
  <c r="Q455" i="2"/>
  <c r="P455" i="2"/>
  <c r="O455" i="2"/>
  <c r="N455" i="2"/>
  <c r="M455" i="2"/>
  <c r="L455" i="2"/>
  <c r="K455" i="2"/>
  <c r="J455" i="2"/>
  <c r="I455" i="2"/>
  <c r="H455" i="2"/>
  <c r="G455" i="2"/>
  <c r="F455" i="2"/>
  <c r="E455" i="2"/>
  <c r="D455" i="2"/>
  <c r="C455" i="2"/>
  <c r="B455" i="2"/>
  <c r="A455" i="2"/>
  <c r="AH454" i="2"/>
  <c r="AF454" i="2"/>
  <c r="AE454" i="2"/>
  <c r="AD454" i="2"/>
  <c r="AC454" i="2"/>
  <c r="AB454" i="2"/>
  <c r="W454" i="2"/>
  <c r="V454" i="2"/>
  <c r="U454" i="2"/>
  <c r="T454" i="2"/>
  <c r="S454" i="2"/>
  <c r="R454" i="2"/>
  <c r="Q454" i="2"/>
  <c r="P454" i="2"/>
  <c r="O454" i="2"/>
  <c r="N454" i="2"/>
  <c r="M454" i="2"/>
  <c r="L454" i="2"/>
  <c r="K454" i="2"/>
  <c r="J454" i="2"/>
  <c r="I454" i="2"/>
  <c r="H454" i="2"/>
  <c r="G454" i="2"/>
  <c r="F454" i="2"/>
  <c r="E454" i="2"/>
  <c r="D454" i="2"/>
  <c r="C454" i="2"/>
  <c r="B454" i="2"/>
  <c r="A454" i="2"/>
  <c r="AH453" i="2"/>
  <c r="AG453" i="2"/>
  <c r="AF453" i="2"/>
  <c r="AE453" i="2"/>
  <c r="AD453" i="2"/>
  <c r="AC453" i="2"/>
  <c r="AB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H452" i="2"/>
  <c r="AG452" i="2"/>
  <c r="AF452" i="2"/>
  <c r="AE452" i="2"/>
  <c r="AD452" i="2"/>
  <c r="AC452" i="2"/>
  <c r="AB452" i="2"/>
  <c r="Z452" i="2"/>
  <c r="Y452" i="2"/>
  <c r="X452" i="2"/>
  <c r="W452" i="2"/>
  <c r="V452" i="2"/>
  <c r="U452" i="2"/>
  <c r="R452" i="2"/>
  <c r="Q452" i="2"/>
  <c r="P452" i="2"/>
  <c r="O452" i="2"/>
  <c r="N452" i="2"/>
  <c r="M452" i="2"/>
  <c r="L452" i="2"/>
  <c r="K452" i="2"/>
  <c r="J452" i="2"/>
  <c r="I452" i="2"/>
  <c r="H452" i="2"/>
  <c r="G452" i="2"/>
  <c r="F452" i="2"/>
  <c r="E452" i="2"/>
  <c r="D452" i="2"/>
  <c r="C452" i="2"/>
  <c r="B452" i="2"/>
  <c r="A452" i="2"/>
  <c r="AH451" i="2"/>
  <c r="AG451" i="2"/>
  <c r="AF451" i="2"/>
  <c r="AE451" i="2"/>
  <c r="AD451" i="2"/>
  <c r="AC451" i="2"/>
  <c r="AB451" i="2"/>
  <c r="Z451" i="2"/>
  <c r="Y451" i="2"/>
  <c r="X451" i="2"/>
  <c r="W451" i="2"/>
  <c r="V451" i="2"/>
  <c r="U451" i="2"/>
  <c r="T451" i="2"/>
  <c r="S451" i="2"/>
  <c r="R451" i="2"/>
  <c r="Q451" i="2"/>
  <c r="P451" i="2"/>
  <c r="O451" i="2"/>
  <c r="N451" i="2"/>
  <c r="M451" i="2"/>
  <c r="K451" i="2"/>
  <c r="J451" i="2"/>
  <c r="I451" i="2"/>
  <c r="H451" i="2"/>
  <c r="G451" i="2"/>
  <c r="F451" i="2"/>
  <c r="E451" i="2"/>
  <c r="D451" i="2"/>
  <c r="C451" i="2"/>
  <c r="B451" i="2"/>
  <c r="A451" i="2"/>
  <c r="AH450" i="2"/>
  <c r="AG450" i="2"/>
  <c r="AF450" i="2"/>
  <c r="AD450" i="2"/>
  <c r="AC450" i="2"/>
  <c r="AB450" i="2"/>
  <c r="Z450" i="2"/>
  <c r="Y450" i="2"/>
  <c r="X450" i="2"/>
  <c r="W450" i="2"/>
  <c r="V450" i="2"/>
  <c r="T450" i="2"/>
  <c r="S450" i="2"/>
  <c r="R450" i="2"/>
  <c r="Q450" i="2"/>
  <c r="P450" i="2"/>
  <c r="O450" i="2"/>
  <c r="N450" i="2"/>
  <c r="M450" i="2"/>
  <c r="L450" i="2"/>
  <c r="K450" i="2"/>
  <c r="J450" i="2"/>
  <c r="I450" i="2"/>
  <c r="H450" i="2"/>
  <c r="G450" i="2"/>
  <c r="F450" i="2"/>
  <c r="E450" i="2"/>
  <c r="D450" i="2"/>
  <c r="C450" i="2"/>
  <c r="B450" i="2"/>
  <c r="A450" i="2"/>
  <c r="AH449" i="2"/>
  <c r="AG449" i="2"/>
  <c r="AD449" i="2"/>
  <c r="AC449" i="2"/>
  <c r="AB449" i="2"/>
  <c r="Z449" i="2"/>
  <c r="Y449" i="2"/>
  <c r="W449" i="2"/>
  <c r="V449" i="2"/>
  <c r="U449" i="2"/>
  <c r="T449" i="2"/>
  <c r="S449" i="2"/>
  <c r="R449" i="2"/>
  <c r="Q449" i="2"/>
  <c r="P449" i="2"/>
  <c r="O449" i="2"/>
  <c r="N449" i="2"/>
  <c r="M449" i="2"/>
  <c r="L449" i="2"/>
  <c r="K449" i="2"/>
  <c r="J449" i="2"/>
  <c r="I449" i="2"/>
  <c r="H449" i="2"/>
  <c r="G449" i="2"/>
  <c r="F449" i="2"/>
  <c r="E449" i="2"/>
  <c r="D449" i="2"/>
  <c r="C449" i="2"/>
  <c r="B449" i="2"/>
  <c r="A449" i="2"/>
  <c r="AH448" i="2"/>
  <c r="AG448" i="2"/>
  <c r="AF448" i="2"/>
  <c r="AE448" i="2"/>
  <c r="AD448" i="2"/>
  <c r="AC448" i="2"/>
  <c r="AB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H447" i="2"/>
  <c r="AF447" i="2"/>
  <c r="AE447" i="2"/>
  <c r="AC447" i="2"/>
  <c r="AB447" i="2"/>
  <c r="W447" i="2"/>
  <c r="V447" i="2"/>
  <c r="U447" i="2"/>
  <c r="S447" i="2"/>
  <c r="R447" i="2"/>
  <c r="Q447" i="2"/>
  <c r="P447" i="2"/>
  <c r="O447" i="2"/>
  <c r="N447" i="2"/>
  <c r="M447" i="2"/>
  <c r="L447" i="2"/>
  <c r="K447" i="2"/>
  <c r="J447" i="2"/>
  <c r="I447" i="2"/>
  <c r="H447" i="2"/>
  <c r="G447" i="2"/>
  <c r="F447" i="2"/>
  <c r="E447" i="2"/>
  <c r="D447" i="2"/>
  <c r="C447" i="2"/>
  <c r="B447" i="2"/>
  <c r="A447" i="2"/>
  <c r="AH446" i="2"/>
  <c r="AF446" i="2"/>
  <c r="AE446" i="2"/>
  <c r="AD446" i="2"/>
  <c r="AC446" i="2"/>
  <c r="AB446" i="2"/>
  <c r="W446" i="2"/>
  <c r="V446" i="2"/>
  <c r="U446" i="2"/>
  <c r="T446" i="2"/>
  <c r="S446" i="2"/>
  <c r="R446" i="2"/>
  <c r="Q446" i="2"/>
  <c r="P446" i="2"/>
  <c r="O446" i="2"/>
  <c r="N446" i="2"/>
  <c r="M446" i="2"/>
  <c r="L446" i="2"/>
  <c r="K446" i="2"/>
  <c r="J446" i="2"/>
  <c r="I446" i="2"/>
  <c r="H446" i="2"/>
  <c r="G446" i="2"/>
  <c r="F446" i="2"/>
  <c r="E446" i="2"/>
  <c r="D446" i="2"/>
  <c r="C446" i="2"/>
  <c r="B446" i="2"/>
  <c r="A446" i="2"/>
  <c r="AH445" i="2"/>
  <c r="AF445" i="2"/>
  <c r="AE445" i="2"/>
  <c r="AD445" i="2"/>
  <c r="AC445" i="2"/>
  <c r="AB445" i="2"/>
  <c r="Y445" i="2"/>
  <c r="W445" i="2"/>
  <c r="V445" i="2"/>
  <c r="U445" i="2"/>
  <c r="T445" i="2"/>
  <c r="S445" i="2"/>
  <c r="R445" i="2"/>
  <c r="Q445" i="2"/>
  <c r="P445" i="2"/>
  <c r="O445" i="2"/>
  <c r="N445" i="2"/>
  <c r="M445" i="2"/>
  <c r="L445" i="2"/>
  <c r="K445" i="2"/>
  <c r="J445" i="2"/>
  <c r="I445" i="2"/>
  <c r="H445" i="2"/>
  <c r="G445" i="2"/>
  <c r="F445" i="2"/>
  <c r="E445" i="2"/>
  <c r="D445" i="2"/>
  <c r="C445" i="2"/>
  <c r="B445" i="2"/>
  <c r="A445" i="2"/>
  <c r="AH444" i="2"/>
  <c r="AF444" i="2"/>
  <c r="AD444" i="2"/>
  <c r="AC444" i="2"/>
  <c r="AB444" i="2"/>
  <c r="Z444" i="2"/>
  <c r="W444" i="2"/>
  <c r="V444" i="2"/>
  <c r="U444" i="2"/>
  <c r="T444" i="2"/>
  <c r="S444" i="2"/>
  <c r="R444" i="2"/>
  <c r="Q444" i="2"/>
  <c r="P444" i="2"/>
  <c r="O444" i="2"/>
  <c r="N444" i="2"/>
  <c r="M444" i="2"/>
  <c r="L444" i="2"/>
  <c r="K444" i="2"/>
  <c r="J444" i="2"/>
  <c r="I444" i="2"/>
  <c r="H444" i="2"/>
  <c r="G444" i="2"/>
  <c r="F444" i="2"/>
  <c r="E444" i="2"/>
  <c r="D444" i="2"/>
  <c r="C444" i="2"/>
  <c r="B444" i="2"/>
  <c r="A444" i="2"/>
  <c r="AH443" i="2"/>
  <c r="AF443" i="2"/>
  <c r="AE443" i="2"/>
  <c r="AD443" i="2"/>
  <c r="AC443" i="2"/>
  <c r="AB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H442" i="2"/>
  <c r="AG442" i="2"/>
  <c r="AF442" i="2"/>
  <c r="AE442" i="2"/>
  <c r="AD442" i="2"/>
  <c r="AC442" i="2"/>
  <c r="AB442" i="2"/>
  <c r="Z442" i="2"/>
  <c r="Y442" i="2"/>
  <c r="X442" i="2"/>
  <c r="W442" i="2"/>
  <c r="V442" i="2"/>
  <c r="U442" i="2"/>
  <c r="S442" i="2"/>
  <c r="R442" i="2"/>
  <c r="Q442" i="2"/>
  <c r="P442" i="2"/>
  <c r="O442" i="2"/>
  <c r="N442" i="2"/>
  <c r="M442" i="2"/>
  <c r="L442" i="2"/>
  <c r="K442" i="2"/>
  <c r="J442" i="2"/>
  <c r="I442" i="2"/>
  <c r="H442" i="2"/>
  <c r="G442" i="2"/>
  <c r="F442" i="2"/>
  <c r="E442" i="2"/>
  <c r="D442" i="2"/>
  <c r="C442" i="2"/>
  <c r="B442" i="2"/>
  <c r="A442" i="2"/>
  <c r="AH441" i="2"/>
  <c r="AE441" i="2"/>
  <c r="AC441" i="2"/>
  <c r="AB441" i="2"/>
  <c r="Z441" i="2"/>
  <c r="Y441" i="2"/>
  <c r="W441" i="2"/>
  <c r="V441" i="2"/>
  <c r="U441" i="2"/>
  <c r="T441" i="2"/>
  <c r="S441" i="2"/>
  <c r="R441" i="2"/>
  <c r="Q441" i="2"/>
  <c r="P441" i="2"/>
  <c r="O441" i="2"/>
  <c r="N441" i="2"/>
  <c r="M441" i="2"/>
  <c r="L441" i="2"/>
  <c r="K441" i="2"/>
  <c r="J441" i="2"/>
  <c r="I441" i="2"/>
  <c r="H441" i="2"/>
  <c r="G441" i="2"/>
  <c r="F441" i="2"/>
  <c r="E441" i="2"/>
  <c r="D441" i="2"/>
  <c r="C441" i="2"/>
  <c r="B441" i="2"/>
  <c r="A441" i="2"/>
  <c r="AH440" i="2"/>
  <c r="AF440" i="2"/>
  <c r="AE440" i="2"/>
  <c r="AD440" i="2"/>
  <c r="AC440" i="2"/>
  <c r="AB440" i="2"/>
  <c r="Y440" i="2"/>
  <c r="W440" i="2"/>
  <c r="V440" i="2"/>
  <c r="U440" i="2"/>
  <c r="T440" i="2"/>
  <c r="S440" i="2"/>
  <c r="R440" i="2"/>
  <c r="Q440" i="2"/>
  <c r="P440" i="2"/>
  <c r="O440" i="2"/>
  <c r="N440" i="2"/>
  <c r="M440" i="2"/>
  <c r="L440" i="2"/>
  <c r="K440" i="2"/>
  <c r="J440" i="2"/>
  <c r="I440" i="2"/>
  <c r="H440" i="2"/>
  <c r="G440" i="2"/>
  <c r="F440" i="2"/>
  <c r="E440" i="2"/>
  <c r="D440" i="2"/>
  <c r="C440" i="2"/>
  <c r="B440" i="2"/>
  <c r="A440" i="2"/>
  <c r="AH439" i="2"/>
  <c r="AF439" i="2"/>
  <c r="AE439" i="2"/>
  <c r="AD439" i="2"/>
  <c r="AC439" i="2"/>
  <c r="AB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H438" i="2"/>
  <c r="AG438" i="2"/>
  <c r="AF438" i="2"/>
  <c r="AE438" i="2"/>
  <c r="AD438" i="2"/>
  <c r="AC438" i="2"/>
  <c r="AB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H437" i="2"/>
  <c r="AF437" i="2"/>
  <c r="AD437" i="2"/>
  <c r="AC437" i="2"/>
  <c r="AB437" i="2"/>
  <c r="Z437" i="2"/>
  <c r="Y437" i="2"/>
  <c r="W437" i="2"/>
  <c r="V437" i="2"/>
  <c r="U437" i="2"/>
  <c r="S437" i="2"/>
  <c r="R437" i="2"/>
  <c r="Q437" i="2"/>
  <c r="P437" i="2"/>
  <c r="O437" i="2"/>
  <c r="N437" i="2"/>
  <c r="M437" i="2"/>
  <c r="L437" i="2"/>
  <c r="K437" i="2"/>
  <c r="J437" i="2"/>
  <c r="I437" i="2"/>
  <c r="H437" i="2"/>
  <c r="G437" i="2"/>
  <c r="F437" i="2"/>
  <c r="E437" i="2"/>
  <c r="D437" i="2"/>
  <c r="C437" i="2"/>
  <c r="B437" i="2"/>
  <c r="A437" i="2"/>
  <c r="AH436" i="2"/>
  <c r="AG436" i="2"/>
  <c r="AF436" i="2"/>
  <c r="AE436" i="2"/>
  <c r="AD436" i="2"/>
  <c r="AC436" i="2"/>
  <c r="AB436" i="2"/>
  <c r="Z436" i="2"/>
  <c r="Y436" i="2"/>
  <c r="W436" i="2"/>
  <c r="V436" i="2"/>
  <c r="U436" i="2"/>
  <c r="T436" i="2"/>
  <c r="S436" i="2"/>
  <c r="R436" i="2"/>
  <c r="Q436" i="2"/>
  <c r="P436" i="2"/>
  <c r="O436" i="2"/>
  <c r="N436" i="2"/>
  <c r="M436" i="2"/>
  <c r="L436" i="2"/>
  <c r="K436" i="2"/>
  <c r="J436" i="2"/>
  <c r="I436" i="2"/>
  <c r="H436" i="2"/>
  <c r="G436" i="2"/>
  <c r="F436" i="2"/>
  <c r="E436" i="2"/>
  <c r="D436" i="2"/>
  <c r="C436" i="2"/>
  <c r="B436" i="2"/>
  <c r="A436" i="2"/>
  <c r="AH435" i="2"/>
  <c r="AF435" i="2"/>
  <c r="AE435" i="2"/>
  <c r="AD435" i="2"/>
  <c r="AC435" i="2"/>
  <c r="AB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H434" i="2"/>
  <c r="AF434" i="2"/>
  <c r="AE434" i="2"/>
  <c r="AD434" i="2"/>
  <c r="AC434" i="2"/>
  <c r="AB434" i="2"/>
  <c r="Y434" i="2"/>
  <c r="W434" i="2"/>
  <c r="V434" i="2"/>
  <c r="T434" i="2"/>
  <c r="S434" i="2"/>
  <c r="R434" i="2"/>
  <c r="Q434" i="2"/>
  <c r="P434" i="2"/>
  <c r="O434" i="2"/>
  <c r="N434" i="2"/>
  <c r="M434" i="2"/>
  <c r="L434" i="2"/>
  <c r="K434" i="2"/>
  <c r="J434" i="2"/>
  <c r="I434" i="2"/>
  <c r="H434" i="2"/>
  <c r="G434" i="2"/>
  <c r="F434" i="2"/>
  <c r="E434" i="2"/>
  <c r="D434" i="2"/>
  <c r="C434" i="2"/>
  <c r="B434" i="2"/>
  <c r="A434" i="2"/>
  <c r="AH433" i="2"/>
  <c r="AF433" i="2"/>
  <c r="AE433" i="2"/>
  <c r="AD433" i="2"/>
  <c r="AC433" i="2"/>
  <c r="AB433" i="2"/>
  <c r="Y433" i="2"/>
  <c r="X433" i="2"/>
  <c r="W433" i="2"/>
  <c r="V433" i="2"/>
  <c r="U433" i="2"/>
  <c r="T433" i="2"/>
  <c r="S433" i="2"/>
  <c r="R433" i="2"/>
  <c r="Q433" i="2"/>
  <c r="P433" i="2"/>
  <c r="N433" i="2"/>
  <c r="M433" i="2"/>
  <c r="L433" i="2"/>
  <c r="K433" i="2"/>
  <c r="J433" i="2"/>
  <c r="I433" i="2"/>
  <c r="H433" i="2"/>
  <c r="G433" i="2"/>
  <c r="F433" i="2"/>
  <c r="E433" i="2"/>
  <c r="D433" i="2"/>
  <c r="C433" i="2"/>
  <c r="B433" i="2"/>
  <c r="A433" i="2"/>
  <c r="AH432" i="2"/>
  <c r="AG432" i="2"/>
  <c r="AF432" i="2"/>
  <c r="AE432" i="2"/>
  <c r="AD432" i="2"/>
  <c r="AC432" i="2"/>
  <c r="AB432" i="2"/>
  <c r="AA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H431" i="2"/>
  <c r="AE431" i="2"/>
  <c r="AD431" i="2"/>
  <c r="AC431" i="2"/>
  <c r="AB431" i="2"/>
  <c r="Y431" i="2"/>
  <c r="W431" i="2"/>
  <c r="V431" i="2"/>
  <c r="U431" i="2"/>
  <c r="T431" i="2"/>
  <c r="S431" i="2"/>
  <c r="R431" i="2"/>
  <c r="Q431" i="2"/>
  <c r="P431" i="2"/>
  <c r="O431" i="2"/>
  <c r="N431" i="2"/>
  <c r="M431" i="2"/>
  <c r="L431" i="2"/>
  <c r="K431" i="2"/>
  <c r="J431" i="2"/>
  <c r="I431" i="2"/>
  <c r="H431" i="2"/>
  <c r="G431" i="2"/>
  <c r="F431" i="2"/>
  <c r="E431" i="2"/>
  <c r="D431" i="2"/>
  <c r="C431" i="2"/>
  <c r="B431" i="2"/>
  <c r="A431" i="2"/>
  <c r="AH430" i="2"/>
  <c r="AF430" i="2"/>
  <c r="AE430" i="2"/>
  <c r="AD430" i="2"/>
  <c r="AC430" i="2"/>
  <c r="AB430" i="2"/>
  <c r="Y430" i="2"/>
  <c r="W430" i="2"/>
  <c r="V430" i="2"/>
  <c r="U430" i="2"/>
  <c r="T430" i="2"/>
  <c r="S430" i="2"/>
  <c r="R430" i="2"/>
  <c r="Q430" i="2"/>
  <c r="P430" i="2"/>
  <c r="O430" i="2"/>
  <c r="N430" i="2"/>
  <c r="M430" i="2"/>
  <c r="L430" i="2"/>
  <c r="K430" i="2"/>
  <c r="J430" i="2"/>
  <c r="I430" i="2"/>
  <c r="H430" i="2"/>
  <c r="G430" i="2"/>
  <c r="F430" i="2"/>
  <c r="E430" i="2"/>
  <c r="D430" i="2"/>
  <c r="C430" i="2"/>
  <c r="B430" i="2"/>
  <c r="A430" i="2"/>
  <c r="AH429" i="2"/>
  <c r="AE429" i="2"/>
  <c r="AD429" i="2"/>
  <c r="AC429" i="2"/>
  <c r="AB429" i="2"/>
  <c r="Y429" i="2"/>
  <c r="W429" i="2"/>
  <c r="V429" i="2"/>
  <c r="U429" i="2"/>
  <c r="T429" i="2"/>
  <c r="S429" i="2"/>
  <c r="R429" i="2"/>
  <c r="Q429" i="2"/>
  <c r="P429" i="2"/>
  <c r="O429" i="2"/>
  <c r="N429" i="2"/>
  <c r="M429" i="2"/>
  <c r="L429" i="2"/>
  <c r="K429" i="2"/>
  <c r="J429" i="2"/>
  <c r="I429" i="2"/>
  <c r="H429" i="2"/>
  <c r="G429" i="2"/>
  <c r="F429" i="2"/>
  <c r="E429" i="2"/>
  <c r="D429" i="2"/>
  <c r="C429" i="2"/>
  <c r="B429" i="2"/>
  <c r="A429" i="2"/>
  <c r="AH428" i="2"/>
  <c r="AG428" i="2"/>
  <c r="AF428" i="2"/>
  <c r="AE428" i="2"/>
  <c r="AD428" i="2"/>
  <c r="AC428" i="2"/>
  <c r="AB428" i="2"/>
  <c r="AA428" i="2"/>
  <c r="Z428" i="2"/>
  <c r="W428" i="2"/>
  <c r="V428" i="2"/>
  <c r="U428" i="2"/>
  <c r="T428" i="2"/>
  <c r="S428" i="2"/>
  <c r="R428" i="2"/>
  <c r="Q428" i="2"/>
  <c r="P428" i="2"/>
  <c r="O428" i="2"/>
  <c r="N428" i="2"/>
  <c r="M428" i="2"/>
  <c r="L428" i="2"/>
  <c r="K428" i="2"/>
  <c r="J428" i="2"/>
  <c r="I428" i="2"/>
  <c r="H428" i="2"/>
  <c r="G428" i="2"/>
  <c r="F428" i="2"/>
  <c r="E428" i="2"/>
  <c r="D428" i="2"/>
  <c r="C428" i="2"/>
  <c r="B428" i="2"/>
  <c r="A428" i="2"/>
  <c r="AH427" i="2"/>
  <c r="AE427" i="2"/>
  <c r="AD427" i="2"/>
  <c r="AC427" i="2"/>
  <c r="AB427" i="2"/>
  <c r="Z427" i="2"/>
  <c r="W427" i="2"/>
  <c r="V427" i="2"/>
  <c r="U427" i="2"/>
  <c r="T427" i="2"/>
  <c r="S427" i="2"/>
  <c r="R427" i="2"/>
  <c r="Q427" i="2"/>
  <c r="P427" i="2"/>
  <c r="O427" i="2"/>
  <c r="N427" i="2"/>
  <c r="M427" i="2"/>
  <c r="L427" i="2"/>
  <c r="K427" i="2"/>
  <c r="J427" i="2"/>
  <c r="I427" i="2"/>
  <c r="H427" i="2"/>
  <c r="G427" i="2"/>
  <c r="F427" i="2"/>
  <c r="E427" i="2"/>
  <c r="D427" i="2"/>
  <c r="C427" i="2"/>
  <c r="B427" i="2"/>
  <c r="A427" i="2"/>
  <c r="AH426" i="2"/>
  <c r="AE426" i="2"/>
  <c r="AC426" i="2"/>
  <c r="AB426" i="2"/>
  <c r="Y426" i="2"/>
  <c r="W426" i="2"/>
  <c r="V426" i="2"/>
  <c r="U426" i="2"/>
  <c r="T426" i="2"/>
  <c r="S426" i="2"/>
  <c r="R426" i="2"/>
  <c r="Q426" i="2"/>
  <c r="P426" i="2"/>
  <c r="O426" i="2"/>
  <c r="N426" i="2"/>
  <c r="M426" i="2"/>
  <c r="L426" i="2"/>
  <c r="K426" i="2"/>
  <c r="J426" i="2"/>
  <c r="I426" i="2"/>
  <c r="H426" i="2"/>
  <c r="G426" i="2"/>
  <c r="F426" i="2"/>
  <c r="E426" i="2"/>
  <c r="D426" i="2"/>
  <c r="C426" i="2"/>
  <c r="B426" i="2"/>
  <c r="A426" i="2"/>
  <c r="AH425" i="2"/>
  <c r="AE425" i="2"/>
  <c r="AD425" i="2"/>
  <c r="AC425" i="2"/>
  <c r="AB425" i="2"/>
  <c r="W425" i="2"/>
  <c r="V425" i="2"/>
  <c r="U425" i="2"/>
  <c r="T425" i="2"/>
  <c r="S425" i="2"/>
  <c r="R425" i="2"/>
  <c r="Q425" i="2"/>
  <c r="P425" i="2"/>
  <c r="O425" i="2"/>
  <c r="N425" i="2"/>
  <c r="M425" i="2"/>
  <c r="L425" i="2"/>
  <c r="K425" i="2"/>
  <c r="J425" i="2"/>
  <c r="I425" i="2"/>
  <c r="H425" i="2"/>
  <c r="G425" i="2"/>
  <c r="F425" i="2"/>
  <c r="E425" i="2"/>
  <c r="D425" i="2"/>
  <c r="C425" i="2"/>
  <c r="B425" i="2"/>
  <c r="A425" i="2"/>
  <c r="AH424" i="2"/>
  <c r="AG424" i="2"/>
  <c r="AF424" i="2"/>
  <c r="AE424" i="2"/>
  <c r="AD424" i="2"/>
  <c r="AC424" i="2"/>
  <c r="AB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H423" i="2"/>
  <c r="AG423" i="2"/>
  <c r="AF423" i="2"/>
  <c r="AE423" i="2"/>
  <c r="AD423" i="2"/>
  <c r="AC423" i="2"/>
  <c r="AB423" i="2"/>
  <c r="Z423" i="2"/>
  <c r="Y423" i="2"/>
  <c r="X423" i="2"/>
  <c r="W423" i="2"/>
  <c r="V423" i="2"/>
  <c r="U423" i="2"/>
  <c r="T423" i="2"/>
  <c r="S423" i="2"/>
  <c r="R423" i="2"/>
  <c r="Q423" i="2"/>
  <c r="P423" i="2"/>
  <c r="O423" i="2"/>
  <c r="N423" i="2"/>
  <c r="M423" i="2"/>
  <c r="K423" i="2"/>
  <c r="J423" i="2"/>
  <c r="I423" i="2"/>
  <c r="H423" i="2"/>
  <c r="G423" i="2"/>
  <c r="F423" i="2"/>
  <c r="E423" i="2"/>
  <c r="D423" i="2"/>
  <c r="C423" i="2"/>
  <c r="B423" i="2"/>
  <c r="A423" i="2"/>
  <c r="AH422" i="2"/>
  <c r="AG422" i="2"/>
  <c r="AF422" i="2"/>
  <c r="AE422" i="2"/>
  <c r="AD422" i="2"/>
  <c r="AC422" i="2"/>
  <c r="AB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H421" i="2"/>
  <c r="AG421" i="2"/>
  <c r="AF421" i="2"/>
  <c r="AE421" i="2"/>
  <c r="AD421" i="2"/>
  <c r="AC421" i="2"/>
  <c r="AB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H420" i="2"/>
  <c r="AE420" i="2"/>
  <c r="AD420" i="2"/>
  <c r="AC420" i="2"/>
  <c r="AB420" i="2"/>
  <c r="Z420" i="2"/>
  <c r="W420" i="2"/>
  <c r="V420" i="2"/>
  <c r="U420" i="2"/>
  <c r="T420" i="2"/>
  <c r="S420" i="2"/>
  <c r="R420" i="2"/>
  <c r="Q420" i="2"/>
  <c r="P420" i="2"/>
  <c r="O420" i="2"/>
  <c r="N420" i="2"/>
  <c r="M420" i="2"/>
  <c r="L420" i="2"/>
  <c r="K420" i="2"/>
  <c r="J420" i="2"/>
  <c r="I420" i="2"/>
  <c r="H420" i="2"/>
  <c r="G420" i="2"/>
  <c r="F420" i="2"/>
  <c r="E420" i="2"/>
  <c r="D420" i="2"/>
  <c r="C420" i="2"/>
  <c r="B420" i="2"/>
  <c r="A420" i="2"/>
  <c r="AH419" i="2"/>
  <c r="AE419" i="2"/>
  <c r="AD419" i="2"/>
  <c r="AC419" i="2"/>
  <c r="AB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H418" i="2"/>
  <c r="AF418" i="2"/>
  <c r="AE418" i="2"/>
  <c r="AD418" i="2"/>
  <c r="AC418" i="2"/>
  <c r="AB418" i="2"/>
  <c r="Y418" i="2"/>
  <c r="W418" i="2"/>
  <c r="V418" i="2"/>
  <c r="U418" i="2"/>
  <c r="T418" i="2"/>
  <c r="S418" i="2"/>
  <c r="R418" i="2"/>
  <c r="Q418" i="2"/>
  <c r="P418" i="2"/>
  <c r="O418" i="2"/>
  <c r="N418" i="2"/>
  <c r="M418" i="2"/>
  <c r="L418" i="2"/>
  <c r="K418" i="2"/>
  <c r="I418" i="2"/>
  <c r="H418" i="2"/>
  <c r="G418" i="2"/>
  <c r="F418" i="2"/>
  <c r="E418" i="2"/>
  <c r="D418" i="2"/>
  <c r="C418" i="2"/>
  <c r="B418" i="2"/>
  <c r="A418" i="2"/>
  <c r="AH417" i="2"/>
  <c r="AE417" i="2"/>
  <c r="AD417" i="2"/>
  <c r="AC417" i="2"/>
  <c r="AB417" i="2"/>
  <c r="Z417" i="2"/>
  <c r="Y417" i="2"/>
  <c r="W417" i="2"/>
  <c r="V417" i="2"/>
  <c r="U417" i="2"/>
  <c r="T417" i="2"/>
  <c r="S417" i="2"/>
  <c r="R417" i="2"/>
  <c r="Q417" i="2"/>
  <c r="P417" i="2"/>
  <c r="O417" i="2"/>
  <c r="N417" i="2"/>
  <c r="M417" i="2"/>
  <c r="L417" i="2"/>
  <c r="K417" i="2"/>
  <c r="J417" i="2"/>
  <c r="I417" i="2"/>
  <c r="H417" i="2"/>
  <c r="G417" i="2"/>
  <c r="F417" i="2"/>
  <c r="E417" i="2"/>
  <c r="D417" i="2"/>
  <c r="C417" i="2"/>
  <c r="B417" i="2"/>
  <c r="A417" i="2"/>
  <c r="AH416" i="2"/>
  <c r="AG416" i="2"/>
  <c r="AF416" i="2"/>
  <c r="AE416" i="2"/>
  <c r="AD416" i="2"/>
  <c r="AC416"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H415" i="2"/>
  <c r="AG415" i="2"/>
  <c r="AF415" i="2"/>
  <c r="AE415" i="2"/>
  <c r="AD415" i="2"/>
  <c r="AC415" i="2"/>
  <c r="AB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H414" i="2"/>
  <c r="AG414" i="2"/>
  <c r="AF414" i="2"/>
  <c r="AD414" i="2"/>
  <c r="AC414" i="2"/>
  <c r="AB414" i="2"/>
  <c r="AA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H413" i="2"/>
  <c r="AG413" i="2"/>
  <c r="AF413" i="2"/>
  <c r="AE413" i="2"/>
  <c r="AD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H412" i="2"/>
  <c r="AG412" i="2"/>
  <c r="AF412" i="2"/>
  <c r="AE412" i="2"/>
  <c r="AD412" i="2"/>
  <c r="AC412" i="2"/>
  <c r="AB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H411" i="2"/>
  <c r="AE411" i="2"/>
  <c r="AD411" i="2"/>
  <c r="AC411" i="2"/>
  <c r="AB411" i="2"/>
  <c r="Y411" i="2"/>
  <c r="W411" i="2"/>
  <c r="V411" i="2"/>
  <c r="U411" i="2"/>
  <c r="T411" i="2"/>
  <c r="S411" i="2"/>
  <c r="R411" i="2"/>
  <c r="Q411" i="2"/>
  <c r="P411" i="2"/>
  <c r="O411" i="2"/>
  <c r="N411" i="2"/>
  <c r="M411" i="2"/>
  <c r="L411" i="2"/>
  <c r="K411" i="2"/>
  <c r="J411" i="2"/>
  <c r="I411" i="2"/>
  <c r="H411" i="2"/>
  <c r="G411" i="2"/>
  <c r="F411" i="2"/>
  <c r="E411" i="2"/>
  <c r="D411" i="2"/>
  <c r="C411" i="2"/>
  <c r="B411" i="2"/>
  <c r="A411" i="2"/>
  <c r="AH410" i="2"/>
  <c r="AF410" i="2"/>
  <c r="AD410" i="2"/>
  <c r="AC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H409" i="2"/>
  <c r="AG409" i="2"/>
  <c r="AF409" i="2"/>
  <c r="AE409" i="2"/>
  <c r="AD409" i="2"/>
  <c r="AC409" i="2"/>
  <c r="AB409" i="2"/>
  <c r="Y409" i="2"/>
  <c r="X409" i="2"/>
  <c r="W409" i="2"/>
  <c r="V409" i="2"/>
  <c r="U409" i="2"/>
  <c r="S409" i="2"/>
  <c r="R409" i="2"/>
  <c r="Q409" i="2"/>
  <c r="P409" i="2"/>
  <c r="O409" i="2"/>
  <c r="N409" i="2"/>
  <c r="M409" i="2"/>
  <c r="L409" i="2"/>
  <c r="K409" i="2"/>
  <c r="J409" i="2"/>
  <c r="I409" i="2"/>
  <c r="H409" i="2"/>
  <c r="G409" i="2"/>
  <c r="F409" i="2"/>
  <c r="E409" i="2"/>
  <c r="D409" i="2"/>
  <c r="C409" i="2"/>
  <c r="B409" i="2"/>
  <c r="A409" i="2"/>
  <c r="AH408" i="2"/>
  <c r="AG408" i="2"/>
  <c r="AF408" i="2"/>
  <c r="AE408" i="2"/>
  <c r="AD408" i="2"/>
  <c r="AC408" i="2"/>
  <c r="AB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H407" i="2"/>
  <c r="AF407" i="2"/>
  <c r="AD407" i="2"/>
  <c r="AC407" i="2"/>
  <c r="AB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H406" i="2"/>
  <c r="AG406" i="2"/>
  <c r="AF406" i="2"/>
  <c r="AE406" i="2"/>
  <c r="AD406" i="2"/>
  <c r="AC406" i="2"/>
  <c r="AB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H405" i="2"/>
  <c r="AG405" i="2"/>
  <c r="AF405" i="2"/>
  <c r="AE405" i="2"/>
  <c r="AD405" i="2"/>
  <c r="AC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H404" i="2"/>
  <c r="AG404" i="2"/>
  <c r="AF404" i="2"/>
  <c r="AE404" i="2"/>
  <c r="AD404" i="2"/>
  <c r="AC404" i="2"/>
  <c r="AB404" i="2"/>
  <c r="Z404" i="2"/>
  <c r="Y404" i="2"/>
  <c r="W404" i="2"/>
  <c r="V404" i="2"/>
  <c r="U404" i="2"/>
  <c r="T404" i="2"/>
  <c r="S404" i="2"/>
  <c r="R404" i="2"/>
  <c r="Q404" i="2"/>
  <c r="P404" i="2"/>
  <c r="O404" i="2"/>
  <c r="N404" i="2"/>
  <c r="M404" i="2"/>
  <c r="L404" i="2"/>
  <c r="K404" i="2"/>
  <c r="J404" i="2"/>
  <c r="I404" i="2"/>
  <c r="H404" i="2"/>
  <c r="G404" i="2"/>
  <c r="F404" i="2"/>
  <c r="E404" i="2"/>
  <c r="D404" i="2"/>
  <c r="C404" i="2"/>
  <c r="B404" i="2"/>
  <c r="A404" i="2"/>
  <c r="AH403" i="2"/>
  <c r="AG403" i="2"/>
  <c r="AF403" i="2"/>
  <c r="AE403" i="2"/>
  <c r="AD403" i="2"/>
  <c r="AC403" i="2"/>
  <c r="AB403" i="2"/>
  <c r="Z403" i="2"/>
  <c r="Y403" i="2"/>
  <c r="X403" i="2"/>
  <c r="W403" i="2"/>
  <c r="V403" i="2"/>
  <c r="U403" i="2"/>
  <c r="T403" i="2"/>
  <c r="S403" i="2"/>
  <c r="R403" i="2"/>
  <c r="Q403" i="2"/>
  <c r="P403" i="2"/>
  <c r="N403" i="2"/>
  <c r="M403" i="2"/>
  <c r="L403" i="2"/>
  <c r="K403" i="2"/>
  <c r="J403" i="2"/>
  <c r="I403" i="2"/>
  <c r="H403" i="2"/>
  <c r="G403" i="2"/>
  <c r="F403" i="2"/>
  <c r="E403" i="2"/>
  <c r="D403" i="2"/>
  <c r="C403" i="2"/>
  <c r="B403" i="2"/>
  <c r="A403" i="2"/>
  <c r="AH402" i="2"/>
  <c r="AF402" i="2"/>
  <c r="AE402" i="2"/>
  <c r="AD402" i="2"/>
  <c r="AC402" i="2"/>
  <c r="AB402" i="2"/>
  <c r="Y402" i="2"/>
  <c r="W402" i="2"/>
  <c r="V402" i="2"/>
  <c r="U402" i="2"/>
  <c r="T402" i="2"/>
  <c r="S402" i="2"/>
  <c r="R402" i="2"/>
  <c r="Q402" i="2"/>
  <c r="P402" i="2"/>
  <c r="O402" i="2"/>
  <c r="N402" i="2"/>
  <c r="M402" i="2"/>
  <c r="L402" i="2"/>
  <c r="K402" i="2"/>
  <c r="J402" i="2"/>
  <c r="I402" i="2"/>
  <c r="H402" i="2"/>
  <c r="G402" i="2"/>
  <c r="F402" i="2"/>
  <c r="E402" i="2"/>
  <c r="D402" i="2"/>
  <c r="C402" i="2"/>
  <c r="B402" i="2"/>
  <c r="A402" i="2"/>
  <c r="AH401" i="2"/>
  <c r="AG401"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H400" i="2"/>
  <c r="AG400" i="2"/>
  <c r="AF400" i="2"/>
  <c r="AD400" i="2"/>
  <c r="AC400" i="2"/>
  <c r="AB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H399" i="2"/>
  <c r="AG399" i="2"/>
  <c r="AF399" i="2"/>
  <c r="AE399" i="2"/>
  <c r="AD399" i="2"/>
  <c r="AC399" i="2"/>
  <c r="AB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H398" i="2"/>
  <c r="AG398" i="2"/>
  <c r="AF398" i="2"/>
  <c r="AE398" i="2"/>
  <c r="AD398" i="2"/>
  <c r="AC398" i="2"/>
  <c r="AB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H397" i="2"/>
  <c r="AG397" i="2"/>
  <c r="AF397" i="2"/>
  <c r="AE397" i="2"/>
  <c r="AD397" i="2"/>
  <c r="AC397" i="2"/>
  <c r="AB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H396" i="2"/>
  <c r="AF396" i="2"/>
  <c r="AE396" i="2"/>
  <c r="AD396" i="2"/>
  <c r="AC396" i="2"/>
  <c r="AB396" i="2"/>
  <c r="Z396" i="2"/>
  <c r="Y396" i="2"/>
  <c r="W396" i="2"/>
  <c r="V396" i="2"/>
  <c r="U396" i="2"/>
  <c r="T396" i="2"/>
  <c r="S396" i="2"/>
  <c r="R396" i="2"/>
  <c r="Q396" i="2"/>
  <c r="P396" i="2"/>
  <c r="O396" i="2"/>
  <c r="N396" i="2"/>
  <c r="M396" i="2"/>
  <c r="L396" i="2"/>
  <c r="K396" i="2"/>
  <c r="J396" i="2"/>
  <c r="I396" i="2"/>
  <c r="H396" i="2"/>
  <c r="G396" i="2"/>
  <c r="F396" i="2"/>
  <c r="E396" i="2"/>
  <c r="D396" i="2"/>
  <c r="C396" i="2"/>
  <c r="B396" i="2"/>
  <c r="A396" i="2"/>
  <c r="AH395" i="2"/>
  <c r="AG395" i="2"/>
  <c r="AF395" i="2"/>
  <c r="AE395" i="2"/>
  <c r="AD395" i="2"/>
  <c r="AC395" i="2"/>
  <c r="AB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H394" i="2"/>
  <c r="AF394" i="2"/>
  <c r="AE394" i="2"/>
  <c r="AC394" i="2"/>
  <c r="AB394" i="2"/>
  <c r="AA394" i="2"/>
  <c r="Z394" i="2"/>
  <c r="Y394" i="2"/>
  <c r="W394" i="2"/>
  <c r="V394" i="2"/>
  <c r="U394" i="2"/>
  <c r="T394" i="2"/>
  <c r="S394" i="2"/>
  <c r="R394" i="2"/>
  <c r="Q394" i="2"/>
  <c r="P394" i="2"/>
  <c r="O394" i="2"/>
  <c r="N394" i="2"/>
  <c r="M394" i="2"/>
  <c r="L394" i="2"/>
  <c r="K394" i="2"/>
  <c r="J394" i="2"/>
  <c r="I394" i="2"/>
  <c r="H394" i="2"/>
  <c r="G394" i="2"/>
  <c r="F394" i="2"/>
  <c r="E394" i="2"/>
  <c r="D394" i="2"/>
  <c r="C394" i="2"/>
  <c r="B394" i="2"/>
  <c r="A394" i="2"/>
  <c r="AH393" i="2"/>
  <c r="AF393" i="2"/>
  <c r="AE393" i="2"/>
  <c r="AD393" i="2"/>
  <c r="AC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H392" i="2"/>
  <c r="AF392" i="2"/>
  <c r="AE392" i="2"/>
  <c r="AD392" i="2"/>
  <c r="AC392" i="2"/>
  <c r="AB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H391" i="2"/>
  <c r="AG391" i="2"/>
  <c r="AF391" i="2"/>
  <c r="AD391" i="2"/>
  <c r="AC391" i="2"/>
  <c r="AB391" i="2"/>
  <c r="Z391" i="2"/>
  <c r="X391" i="2"/>
  <c r="W391" i="2"/>
  <c r="V391" i="2"/>
  <c r="U391" i="2"/>
  <c r="T391" i="2"/>
  <c r="S391" i="2"/>
  <c r="R391" i="2"/>
  <c r="Q391" i="2"/>
  <c r="P391" i="2"/>
  <c r="O391" i="2"/>
  <c r="N391" i="2"/>
  <c r="M391" i="2"/>
  <c r="L391" i="2"/>
  <c r="K391" i="2"/>
  <c r="J391" i="2"/>
  <c r="I391" i="2"/>
  <c r="H391" i="2"/>
  <c r="G391" i="2"/>
  <c r="F391" i="2"/>
  <c r="E391" i="2"/>
  <c r="D391" i="2"/>
  <c r="C391" i="2"/>
  <c r="B391" i="2"/>
  <c r="A391" i="2"/>
  <c r="AH390" i="2"/>
  <c r="AG390" i="2"/>
  <c r="AF390" i="2"/>
  <c r="AD390" i="2"/>
  <c r="AC390" i="2"/>
  <c r="AB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H389" i="2"/>
  <c r="AG389" i="2"/>
  <c r="AF389" i="2"/>
  <c r="AE389" i="2"/>
  <c r="AD389" i="2"/>
  <c r="AC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H388" i="2"/>
  <c r="AG388" i="2"/>
  <c r="AF388" i="2"/>
  <c r="AE388" i="2"/>
  <c r="AD388" i="2"/>
  <c r="AC388" i="2"/>
  <c r="AB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H387" i="2"/>
  <c r="AF387" i="2"/>
  <c r="AE387" i="2"/>
  <c r="AD387" i="2"/>
  <c r="AC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H386" i="2"/>
  <c r="AF386" i="2"/>
  <c r="AE386" i="2"/>
  <c r="AD386" i="2"/>
  <c r="AC386" i="2"/>
  <c r="AB386" i="2"/>
  <c r="AA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H385" i="2"/>
  <c r="AG385" i="2"/>
  <c r="AF385" i="2"/>
  <c r="AE385" i="2"/>
  <c r="AD385" i="2"/>
  <c r="AC385" i="2"/>
  <c r="AB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H384" i="2"/>
  <c r="AG384" i="2"/>
  <c r="AF384" i="2"/>
  <c r="AE384" i="2"/>
  <c r="AD384" i="2"/>
  <c r="AC384" i="2"/>
  <c r="AB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H383" i="2"/>
  <c r="AG383" i="2"/>
  <c r="AF383" i="2"/>
  <c r="AD383" i="2"/>
  <c r="AC383" i="2"/>
  <c r="AB383" i="2"/>
  <c r="Z383" i="2"/>
  <c r="Y383" i="2"/>
  <c r="X383" i="2"/>
  <c r="W383" i="2"/>
  <c r="V383" i="2"/>
  <c r="U383" i="2"/>
  <c r="S383" i="2"/>
  <c r="R383" i="2"/>
  <c r="Q383" i="2"/>
  <c r="P383" i="2"/>
  <c r="O383" i="2"/>
  <c r="N383" i="2"/>
  <c r="M383" i="2"/>
  <c r="L383" i="2"/>
  <c r="K383" i="2"/>
  <c r="J383" i="2"/>
  <c r="I383" i="2"/>
  <c r="H383" i="2"/>
  <c r="G383" i="2"/>
  <c r="F383" i="2"/>
  <c r="E383" i="2"/>
  <c r="D383" i="2"/>
  <c r="C383" i="2"/>
  <c r="B383" i="2"/>
  <c r="A383" i="2"/>
  <c r="AH382" i="2"/>
  <c r="AF382" i="2"/>
  <c r="AE382" i="2"/>
  <c r="AD382" i="2"/>
  <c r="AC382" i="2"/>
  <c r="AB382" i="2"/>
  <c r="Z382" i="2"/>
  <c r="Y382" i="2"/>
  <c r="W382" i="2"/>
  <c r="V382" i="2"/>
  <c r="U382" i="2"/>
  <c r="S382" i="2"/>
  <c r="R382" i="2"/>
  <c r="Q382" i="2"/>
  <c r="P382" i="2"/>
  <c r="O382" i="2"/>
  <c r="N382" i="2"/>
  <c r="M382" i="2"/>
  <c r="L382" i="2"/>
  <c r="K382" i="2"/>
  <c r="J382" i="2"/>
  <c r="I382" i="2"/>
  <c r="H382" i="2"/>
  <c r="G382" i="2"/>
  <c r="F382" i="2"/>
  <c r="E382" i="2"/>
  <c r="D382" i="2"/>
  <c r="C382" i="2"/>
  <c r="B382" i="2"/>
  <c r="A382" i="2"/>
  <c r="AH381" i="2"/>
  <c r="AF381" i="2"/>
  <c r="AD381" i="2"/>
  <c r="AC381" i="2"/>
  <c r="AB381" i="2"/>
  <c r="Z381" i="2"/>
  <c r="W381" i="2"/>
  <c r="V381" i="2"/>
  <c r="U381" i="2"/>
  <c r="T381" i="2"/>
  <c r="S381" i="2"/>
  <c r="R381" i="2"/>
  <c r="Q381" i="2"/>
  <c r="P381" i="2"/>
  <c r="O381" i="2"/>
  <c r="N381" i="2"/>
  <c r="M381" i="2"/>
  <c r="L381" i="2"/>
  <c r="K381" i="2"/>
  <c r="J381" i="2"/>
  <c r="I381" i="2"/>
  <c r="H381" i="2"/>
  <c r="G381" i="2"/>
  <c r="F381" i="2"/>
  <c r="E381" i="2"/>
  <c r="D381" i="2"/>
  <c r="C381" i="2"/>
  <c r="B381" i="2"/>
  <c r="A381" i="2"/>
  <c r="AH380" i="2"/>
  <c r="AF380" i="2"/>
  <c r="AE380" i="2"/>
  <c r="AD380" i="2"/>
  <c r="AC380" i="2"/>
  <c r="AB380" i="2"/>
  <c r="AA380" i="2"/>
  <c r="Z380" i="2"/>
  <c r="Y380" i="2"/>
  <c r="X380" i="2"/>
  <c r="W380" i="2"/>
  <c r="V380" i="2"/>
  <c r="U380" i="2"/>
  <c r="T380" i="2"/>
  <c r="S380" i="2"/>
  <c r="R380" i="2"/>
  <c r="Q380" i="2"/>
  <c r="P380" i="2"/>
  <c r="O380" i="2"/>
  <c r="N380" i="2"/>
  <c r="M380" i="2"/>
  <c r="K380" i="2"/>
  <c r="J380" i="2"/>
  <c r="I380" i="2"/>
  <c r="H380" i="2"/>
  <c r="G380" i="2"/>
  <c r="F380" i="2"/>
  <c r="E380" i="2"/>
  <c r="D380" i="2"/>
  <c r="C380" i="2"/>
  <c r="B380" i="2"/>
  <c r="A380" i="2"/>
  <c r="AH379" i="2"/>
  <c r="AF379" i="2"/>
  <c r="AE379" i="2"/>
  <c r="AD379" i="2"/>
  <c r="AC379" i="2"/>
  <c r="AB379" i="2"/>
  <c r="Z379" i="2"/>
  <c r="Y379" i="2"/>
  <c r="X379" i="2"/>
  <c r="W379" i="2"/>
  <c r="V379" i="2"/>
  <c r="U379" i="2"/>
  <c r="T379" i="2"/>
  <c r="S379" i="2"/>
  <c r="R379" i="2"/>
  <c r="Q379" i="2"/>
  <c r="P379" i="2"/>
  <c r="O379" i="2"/>
  <c r="N379" i="2"/>
  <c r="M379" i="2"/>
  <c r="K379" i="2"/>
  <c r="J379" i="2"/>
  <c r="I379" i="2"/>
  <c r="H379" i="2"/>
  <c r="G379" i="2"/>
  <c r="F379" i="2"/>
  <c r="E379" i="2"/>
  <c r="D379" i="2"/>
  <c r="C379" i="2"/>
  <c r="B379" i="2"/>
  <c r="A379" i="2"/>
  <c r="AH378" i="2"/>
  <c r="AF378" i="2"/>
  <c r="AE378" i="2"/>
  <c r="AD378" i="2"/>
  <c r="AC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H377" i="2"/>
  <c r="AF377" i="2"/>
  <c r="AE377" i="2"/>
  <c r="AD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H376" i="2"/>
  <c r="AG376" i="2"/>
  <c r="AF376" i="2"/>
  <c r="AE376" i="2"/>
  <c r="AD376" i="2"/>
  <c r="AC376" i="2"/>
  <c r="AB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H375" i="2"/>
  <c r="AF375" i="2"/>
  <c r="AE375" i="2"/>
  <c r="AD375" i="2"/>
  <c r="AC375" i="2"/>
  <c r="AB375" i="2"/>
  <c r="Z375" i="2"/>
  <c r="X375" i="2"/>
  <c r="W375" i="2"/>
  <c r="V375" i="2"/>
  <c r="U375" i="2"/>
  <c r="T375" i="2"/>
  <c r="S375" i="2"/>
  <c r="R375" i="2"/>
  <c r="Q375" i="2"/>
  <c r="P375" i="2"/>
  <c r="O375" i="2"/>
  <c r="N375" i="2"/>
  <c r="M375" i="2"/>
  <c r="K375" i="2"/>
  <c r="J375" i="2"/>
  <c r="I375" i="2"/>
  <c r="H375" i="2"/>
  <c r="G375" i="2"/>
  <c r="F375" i="2"/>
  <c r="E375" i="2"/>
  <c r="D375" i="2"/>
  <c r="C375" i="2"/>
  <c r="B375" i="2"/>
  <c r="A375"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H373" i="2"/>
  <c r="AG373" i="2"/>
  <c r="AF373" i="2"/>
  <c r="AD373" i="2"/>
  <c r="AC373" i="2"/>
  <c r="AB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G372" i="2"/>
  <c r="AF372" i="2"/>
  <c r="AE372" i="2"/>
  <c r="AD372" i="2"/>
  <c r="AC372" i="2"/>
  <c r="AB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H371" i="2"/>
  <c r="AF371" i="2"/>
  <c r="AE371" i="2"/>
  <c r="AD371" i="2"/>
  <c r="AC371" i="2"/>
  <c r="AB371" i="2"/>
  <c r="Z371" i="2"/>
  <c r="Y371" i="2"/>
  <c r="W371" i="2"/>
  <c r="V371" i="2"/>
  <c r="U371" i="2"/>
  <c r="T371" i="2"/>
  <c r="S371" i="2"/>
  <c r="R371" i="2"/>
  <c r="Q371" i="2"/>
  <c r="P371" i="2"/>
  <c r="O371" i="2"/>
  <c r="N371" i="2"/>
  <c r="M371" i="2"/>
  <c r="L371" i="2"/>
  <c r="K371" i="2"/>
  <c r="J371" i="2"/>
  <c r="I371" i="2"/>
  <c r="H371" i="2"/>
  <c r="G371" i="2"/>
  <c r="F371" i="2"/>
  <c r="E371" i="2"/>
  <c r="D371" i="2"/>
  <c r="C371" i="2"/>
  <c r="B371" i="2"/>
  <c r="A371" i="2"/>
  <c r="AH370" i="2"/>
  <c r="AG370" i="2"/>
  <c r="AF370" i="2"/>
  <c r="AE370" i="2"/>
  <c r="AD370" i="2"/>
  <c r="AC370" i="2"/>
  <c r="AB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H369" i="2"/>
  <c r="AF369" i="2"/>
  <c r="AE369" i="2"/>
  <c r="AD369" i="2"/>
  <c r="AC369" i="2"/>
  <c r="AB369" i="2"/>
  <c r="AA369" i="2"/>
  <c r="Z369" i="2"/>
  <c r="W369" i="2"/>
  <c r="V369" i="2"/>
  <c r="U369" i="2"/>
  <c r="T369" i="2"/>
  <c r="S369" i="2"/>
  <c r="R369" i="2"/>
  <c r="Q369" i="2"/>
  <c r="P369" i="2"/>
  <c r="O369" i="2"/>
  <c r="N369" i="2"/>
  <c r="M369" i="2"/>
  <c r="L369" i="2"/>
  <c r="K369" i="2"/>
  <c r="J369" i="2"/>
  <c r="I369" i="2"/>
  <c r="H369" i="2"/>
  <c r="G369" i="2"/>
  <c r="F369" i="2"/>
  <c r="E369" i="2"/>
  <c r="D369" i="2"/>
  <c r="C369" i="2"/>
  <c r="B369" i="2"/>
  <c r="A369"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H367" i="2"/>
  <c r="AG367" i="2"/>
  <c r="AF367" i="2"/>
  <c r="AE367" i="2"/>
  <c r="AD367" i="2"/>
  <c r="AC367" i="2"/>
  <c r="AB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H366" i="2"/>
  <c r="AF366" i="2"/>
  <c r="AE366" i="2"/>
  <c r="AD366" i="2"/>
  <c r="AC366" i="2"/>
  <c r="AB366" i="2"/>
  <c r="X366" i="2"/>
  <c r="W366" i="2"/>
  <c r="V366" i="2"/>
  <c r="U366" i="2"/>
  <c r="T366" i="2"/>
  <c r="S366" i="2"/>
  <c r="R366" i="2"/>
  <c r="Q366" i="2"/>
  <c r="P366" i="2"/>
  <c r="O366" i="2"/>
  <c r="N366" i="2"/>
  <c r="M366" i="2"/>
  <c r="L366" i="2"/>
  <c r="K366" i="2"/>
  <c r="J366" i="2"/>
  <c r="I366" i="2"/>
  <c r="H366" i="2"/>
  <c r="G366" i="2"/>
  <c r="F366" i="2"/>
  <c r="E366" i="2"/>
  <c r="D366" i="2"/>
  <c r="C366" i="2"/>
  <c r="B366" i="2"/>
  <c r="A366" i="2"/>
  <c r="AH365" i="2"/>
  <c r="AF365" i="2"/>
  <c r="AE365" i="2"/>
  <c r="AD365" i="2"/>
  <c r="AC365" i="2"/>
  <c r="AB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H364" i="2"/>
  <c r="AF364" i="2"/>
  <c r="AE364" i="2"/>
  <c r="AD364" i="2"/>
  <c r="AC364" i="2"/>
  <c r="AB364" i="2"/>
  <c r="X364" i="2"/>
  <c r="W364" i="2"/>
  <c r="V364" i="2"/>
  <c r="U364" i="2"/>
  <c r="T364" i="2"/>
  <c r="S364" i="2"/>
  <c r="R364" i="2"/>
  <c r="Q364" i="2"/>
  <c r="P364" i="2"/>
  <c r="O364" i="2"/>
  <c r="N364" i="2"/>
  <c r="M364" i="2"/>
  <c r="L364" i="2"/>
  <c r="K364" i="2"/>
  <c r="J364" i="2"/>
  <c r="I364" i="2"/>
  <c r="H364" i="2"/>
  <c r="G364" i="2"/>
  <c r="F364" i="2"/>
  <c r="E364" i="2"/>
  <c r="D364" i="2"/>
  <c r="C364" i="2"/>
  <c r="B364" i="2"/>
  <c r="A364" i="2"/>
  <c r="AH363" i="2"/>
  <c r="AF363" i="2"/>
  <c r="AE363" i="2"/>
  <c r="AD363" i="2"/>
  <c r="AC363" i="2"/>
  <c r="AB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H362" i="2"/>
  <c r="AG362" i="2"/>
  <c r="AF362" i="2"/>
  <c r="AE362" i="2"/>
  <c r="AD362" i="2"/>
  <c r="AC362" i="2"/>
  <c r="AB362" i="2"/>
  <c r="Z362" i="2"/>
  <c r="Y362" i="2"/>
  <c r="X362" i="2"/>
  <c r="W362" i="2"/>
  <c r="V362" i="2"/>
  <c r="T362" i="2"/>
  <c r="S362" i="2"/>
  <c r="R362" i="2"/>
  <c r="Q362" i="2"/>
  <c r="P362" i="2"/>
  <c r="O362" i="2"/>
  <c r="N362" i="2"/>
  <c r="M362" i="2"/>
  <c r="L362" i="2"/>
  <c r="K362" i="2"/>
  <c r="J362" i="2"/>
  <c r="I362" i="2"/>
  <c r="H362" i="2"/>
  <c r="G362" i="2"/>
  <c r="F362" i="2"/>
  <c r="E362" i="2"/>
  <c r="D362" i="2"/>
  <c r="C362" i="2"/>
  <c r="B362" i="2"/>
  <c r="A362" i="2"/>
  <c r="AH361" i="2"/>
  <c r="AF361" i="2"/>
  <c r="AE361" i="2"/>
  <c r="AD361" i="2"/>
  <c r="AC361" i="2"/>
  <c r="AB361" i="2"/>
  <c r="Z361" i="2"/>
  <c r="W361" i="2"/>
  <c r="V361" i="2"/>
  <c r="U361" i="2"/>
  <c r="T361" i="2"/>
  <c r="S361" i="2"/>
  <c r="R361" i="2"/>
  <c r="Q361" i="2"/>
  <c r="P361" i="2"/>
  <c r="O361" i="2"/>
  <c r="N361" i="2"/>
  <c r="M361" i="2"/>
  <c r="L361" i="2"/>
  <c r="K361" i="2"/>
  <c r="J361" i="2"/>
  <c r="I361" i="2"/>
  <c r="H361" i="2"/>
  <c r="G361" i="2"/>
  <c r="F361" i="2"/>
  <c r="E361" i="2"/>
  <c r="D361" i="2"/>
  <c r="C361" i="2"/>
  <c r="B361" i="2"/>
  <c r="A361"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H359" i="2"/>
  <c r="AF359" i="2"/>
  <c r="AE359" i="2"/>
  <c r="AD359" i="2"/>
  <c r="AC359" i="2"/>
  <c r="AB359" i="2"/>
  <c r="X359" i="2"/>
  <c r="W359" i="2"/>
  <c r="V359" i="2"/>
  <c r="U359" i="2"/>
  <c r="T359" i="2"/>
  <c r="S359" i="2"/>
  <c r="R359" i="2"/>
  <c r="Q359" i="2"/>
  <c r="P359" i="2"/>
  <c r="O359" i="2"/>
  <c r="N359" i="2"/>
  <c r="M359" i="2"/>
  <c r="L359" i="2"/>
  <c r="K359" i="2"/>
  <c r="J359" i="2"/>
  <c r="I359" i="2"/>
  <c r="H359" i="2"/>
  <c r="G359" i="2"/>
  <c r="F359" i="2"/>
  <c r="E359" i="2"/>
  <c r="D359" i="2"/>
  <c r="C359" i="2"/>
  <c r="B359" i="2"/>
  <c r="A359" i="2"/>
  <c r="AH358" i="2"/>
  <c r="AF358" i="2"/>
  <c r="AE358" i="2"/>
  <c r="AD358" i="2"/>
  <c r="AC358" i="2"/>
  <c r="AB358" i="2"/>
  <c r="Z358" i="2"/>
  <c r="W358" i="2"/>
  <c r="V358" i="2"/>
  <c r="U358" i="2"/>
  <c r="T358" i="2"/>
  <c r="S358" i="2"/>
  <c r="R358" i="2"/>
  <c r="Q358" i="2"/>
  <c r="P358" i="2"/>
  <c r="O358" i="2"/>
  <c r="N358" i="2"/>
  <c r="M358" i="2"/>
  <c r="L358" i="2"/>
  <c r="K358" i="2"/>
  <c r="J358" i="2"/>
  <c r="I358" i="2"/>
  <c r="H358" i="2"/>
  <c r="G358" i="2"/>
  <c r="F358" i="2"/>
  <c r="E358" i="2"/>
  <c r="D358" i="2"/>
  <c r="C358" i="2"/>
  <c r="B358" i="2"/>
  <c r="A358" i="2"/>
  <c r="AH357" i="2"/>
  <c r="AF357" i="2"/>
  <c r="AE357" i="2"/>
  <c r="AD357" i="2"/>
  <c r="AC357" i="2"/>
  <c r="AB357" i="2"/>
  <c r="W357" i="2"/>
  <c r="V357" i="2"/>
  <c r="U357" i="2"/>
  <c r="T357" i="2"/>
  <c r="S357" i="2"/>
  <c r="R357" i="2"/>
  <c r="Q357" i="2"/>
  <c r="P357" i="2"/>
  <c r="O357" i="2"/>
  <c r="N357" i="2"/>
  <c r="M357" i="2"/>
  <c r="L357" i="2"/>
  <c r="K357" i="2"/>
  <c r="J357" i="2"/>
  <c r="I357" i="2"/>
  <c r="H357" i="2"/>
  <c r="G357" i="2"/>
  <c r="F357" i="2"/>
  <c r="E357" i="2"/>
  <c r="D357" i="2"/>
  <c r="C357" i="2"/>
  <c r="B357" i="2"/>
  <c r="A357" i="2"/>
  <c r="AH356" i="2"/>
  <c r="AG356" i="2"/>
  <c r="AF356" i="2"/>
  <c r="AE356" i="2"/>
  <c r="AD356" i="2"/>
  <c r="AC356" i="2"/>
  <c r="AB356" i="2"/>
  <c r="Z356" i="2"/>
  <c r="Y356" i="2"/>
  <c r="X356" i="2"/>
  <c r="W356" i="2"/>
  <c r="V356" i="2"/>
  <c r="S356" i="2"/>
  <c r="R356" i="2"/>
  <c r="Q356" i="2"/>
  <c r="P356" i="2"/>
  <c r="O356" i="2"/>
  <c r="N356" i="2"/>
  <c r="M356" i="2"/>
  <c r="L356" i="2"/>
  <c r="K356" i="2"/>
  <c r="J356" i="2"/>
  <c r="I356" i="2"/>
  <c r="H356" i="2"/>
  <c r="G356" i="2"/>
  <c r="F356" i="2"/>
  <c r="E356" i="2"/>
  <c r="D356" i="2"/>
  <c r="C356" i="2"/>
  <c r="B356" i="2"/>
  <c r="A356" i="2"/>
  <c r="AH355" i="2"/>
  <c r="AG355" i="2"/>
  <c r="AF355" i="2"/>
  <c r="AE355" i="2"/>
  <c r="AD355" i="2"/>
  <c r="AC355" i="2"/>
  <c r="AB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H354" i="2"/>
  <c r="AE354" i="2"/>
  <c r="AD354" i="2"/>
  <c r="AC354" i="2"/>
  <c r="AB354" i="2"/>
  <c r="W354" i="2"/>
  <c r="V354" i="2"/>
  <c r="S354" i="2"/>
  <c r="R354" i="2"/>
  <c r="Q354" i="2"/>
  <c r="P354" i="2"/>
  <c r="O354" i="2"/>
  <c r="N354" i="2"/>
  <c r="M354" i="2"/>
  <c r="L354" i="2"/>
  <c r="K354" i="2"/>
  <c r="J354" i="2"/>
  <c r="I354" i="2"/>
  <c r="H354" i="2"/>
  <c r="G354" i="2"/>
  <c r="F354" i="2"/>
  <c r="E354" i="2"/>
  <c r="D354" i="2"/>
  <c r="C354" i="2"/>
  <c r="B354" i="2"/>
  <c r="A354" i="2"/>
  <c r="AH353" i="2"/>
  <c r="AG353" i="2"/>
  <c r="AF353" i="2"/>
  <c r="AE353" i="2"/>
  <c r="AD353" i="2"/>
  <c r="AC353" i="2"/>
  <c r="AB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H352" i="2"/>
  <c r="AF352" i="2"/>
  <c r="AE352" i="2"/>
  <c r="AD352" i="2"/>
  <c r="AC352" i="2"/>
  <c r="AB352" i="2"/>
  <c r="Z352" i="2"/>
  <c r="W352" i="2"/>
  <c r="V352" i="2"/>
  <c r="U352" i="2"/>
  <c r="T352" i="2"/>
  <c r="S352" i="2"/>
  <c r="R352" i="2"/>
  <c r="Q352" i="2"/>
  <c r="P352" i="2"/>
  <c r="O352" i="2"/>
  <c r="N352" i="2"/>
  <c r="M352" i="2"/>
  <c r="L352" i="2"/>
  <c r="K352" i="2"/>
  <c r="J352" i="2"/>
  <c r="I352" i="2"/>
  <c r="H352" i="2"/>
  <c r="G352" i="2"/>
  <c r="F352" i="2"/>
  <c r="E352" i="2"/>
  <c r="D352" i="2"/>
  <c r="C352" i="2"/>
  <c r="B352" i="2"/>
  <c r="A352" i="2"/>
  <c r="AH351" i="2"/>
  <c r="AF351" i="2"/>
  <c r="AE351" i="2"/>
  <c r="AD351" i="2"/>
  <c r="AC351" i="2"/>
  <c r="AB351" i="2"/>
  <c r="Z351" i="2"/>
  <c r="W351" i="2"/>
  <c r="V351" i="2"/>
  <c r="U351" i="2"/>
  <c r="T351" i="2"/>
  <c r="S351" i="2"/>
  <c r="R351" i="2"/>
  <c r="Q351" i="2"/>
  <c r="P351" i="2"/>
  <c r="O351" i="2"/>
  <c r="N351" i="2"/>
  <c r="M351" i="2"/>
  <c r="L351" i="2"/>
  <c r="K351" i="2"/>
  <c r="J351" i="2"/>
  <c r="I351" i="2"/>
  <c r="H351" i="2"/>
  <c r="G351" i="2"/>
  <c r="F351" i="2"/>
  <c r="E351" i="2"/>
  <c r="D351" i="2"/>
  <c r="C351" i="2"/>
  <c r="B351" i="2"/>
  <c r="A351" i="2"/>
  <c r="AH350" i="2"/>
  <c r="AG350" i="2"/>
  <c r="AF350" i="2"/>
  <c r="AD350" i="2"/>
  <c r="AC350" i="2"/>
  <c r="AB350" i="2"/>
  <c r="Z350" i="2"/>
  <c r="Y350" i="2"/>
  <c r="W350" i="2"/>
  <c r="V350" i="2"/>
  <c r="U350" i="2"/>
  <c r="T350" i="2"/>
  <c r="S350" i="2"/>
  <c r="R350" i="2"/>
  <c r="Q350" i="2"/>
  <c r="P350" i="2"/>
  <c r="O350" i="2"/>
  <c r="N350" i="2"/>
  <c r="M350" i="2"/>
  <c r="L350" i="2"/>
  <c r="K350" i="2"/>
  <c r="J350" i="2"/>
  <c r="I350" i="2"/>
  <c r="H350" i="2"/>
  <c r="G350" i="2"/>
  <c r="F350" i="2"/>
  <c r="E350" i="2"/>
  <c r="D350" i="2"/>
  <c r="C350" i="2"/>
  <c r="B350" i="2"/>
  <c r="A350" i="2"/>
  <c r="AD349" i="2"/>
  <c r="X349" i="2"/>
  <c r="W349" i="2"/>
  <c r="V349" i="2"/>
  <c r="U349" i="2"/>
  <c r="T349" i="2"/>
  <c r="S349" i="2"/>
  <c r="R349" i="2"/>
  <c r="Q349" i="2"/>
  <c r="P349" i="2"/>
  <c r="O349" i="2"/>
  <c r="N349" i="2"/>
  <c r="M349" i="2"/>
  <c r="L349" i="2"/>
  <c r="K349" i="2"/>
  <c r="J349" i="2"/>
  <c r="I349" i="2"/>
  <c r="H349" i="2"/>
  <c r="G349" i="2"/>
  <c r="F349" i="2"/>
  <c r="E349" i="2"/>
  <c r="D349" i="2"/>
  <c r="C349" i="2"/>
  <c r="B349" i="2"/>
  <c r="A349" i="2"/>
  <c r="AH348" i="2"/>
  <c r="AF348" i="2"/>
  <c r="AE348" i="2"/>
  <c r="AD348" i="2"/>
  <c r="AC348" i="2"/>
  <c r="AB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H347" i="2"/>
  <c r="AG347" i="2"/>
  <c r="AF347" i="2"/>
  <c r="AE347" i="2"/>
  <c r="AD347" i="2"/>
  <c r="AC347" i="2"/>
  <c r="AB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H346" i="2"/>
  <c r="AF346" i="2"/>
  <c r="AE346" i="2"/>
  <c r="AD346" i="2"/>
  <c r="AC346" i="2"/>
  <c r="AB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H345" i="2"/>
  <c r="AG345" i="2"/>
  <c r="AF345" i="2"/>
  <c r="AD345" i="2"/>
  <c r="AC345" i="2"/>
  <c r="AB345" i="2"/>
  <c r="Y345" i="2"/>
  <c r="X345" i="2"/>
  <c r="W345" i="2"/>
  <c r="V345" i="2"/>
  <c r="S345" i="2"/>
  <c r="Q345" i="2"/>
  <c r="P345" i="2"/>
  <c r="N345" i="2"/>
  <c r="M345" i="2"/>
  <c r="L345" i="2"/>
  <c r="K345" i="2"/>
  <c r="I345" i="2"/>
  <c r="H345" i="2"/>
  <c r="G345" i="2"/>
  <c r="F345" i="2"/>
  <c r="E345" i="2"/>
  <c r="D345" i="2"/>
  <c r="C345" i="2"/>
  <c r="B345" i="2"/>
  <c r="A345" i="2"/>
  <c r="AH344" i="2"/>
  <c r="AF344" i="2"/>
  <c r="AE344" i="2"/>
  <c r="AD344" i="2"/>
  <c r="AC344" i="2"/>
  <c r="AB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H342" i="2"/>
  <c r="AF342" i="2"/>
  <c r="AE342" i="2"/>
  <c r="AD342" i="2"/>
  <c r="AC342" i="2"/>
  <c r="AB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H341" i="2"/>
  <c r="AG341" i="2"/>
  <c r="AF341" i="2"/>
  <c r="AE341" i="2"/>
  <c r="AD341" i="2"/>
  <c r="AC341" i="2"/>
  <c r="AB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H340" i="2"/>
  <c r="AE340" i="2"/>
  <c r="AD340" i="2"/>
  <c r="AC340" i="2"/>
  <c r="AB340" i="2"/>
  <c r="Y340" i="2"/>
  <c r="W340" i="2"/>
  <c r="V340" i="2"/>
  <c r="U340" i="2"/>
  <c r="T340" i="2"/>
  <c r="S340" i="2"/>
  <c r="R340" i="2"/>
  <c r="Q340" i="2"/>
  <c r="P340" i="2"/>
  <c r="O340" i="2"/>
  <c r="N340" i="2"/>
  <c r="M340" i="2"/>
  <c r="L340" i="2"/>
  <c r="K340" i="2"/>
  <c r="J340" i="2"/>
  <c r="I340" i="2"/>
  <c r="H340" i="2"/>
  <c r="G340" i="2"/>
  <c r="F340" i="2"/>
  <c r="E340" i="2"/>
  <c r="D340" i="2"/>
  <c r="C340" i="2"/>
  <c r="B340" i="2"/>
  <c r="A340" i="2"/>
  <c r="AH339" i="2"/>
  <c r="AF339" i="2"/>
  <c r="AD339" i="2"/>
  <c r="AC339" i="2"/>
  <c r="AB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H338" i="2"/>
  <c r="AG338" i="2"/>
  <c r="AF338" i="2"/>
  <c r="AE338" i="2"/>
  <c r="AD338" i="2"/>
  <c r="AC338" i="2"/>
  <c r="AB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H337" i="2"/>
  <c r="AG337" i="2"/>
  <c r="AF337" i="2"/>
  <c r="AE337" i="2"/>
  <c r="AD337" i="2"/>
  <c r="AC337" i="2"/>
  <c r="AB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H336" i="2"/>
  <c r="AG336" i="2"/>
  <c r="AF336" i="2"/>
  <c r="AE336" i="2"/>
  <c r="AD336" i="2"/>
  <c r="AC336" i="2"/>
  <c r="AB336" i="2"/>
  <c r="Z336" i="2"/>
  <c r="Y336" i="2"/>
  <c r="W336" i="2"/>
  <c r="V336" i="2"/>
  <c r="U336" i="2"/>
  <c r="T336" i="2"/>
  <c r="S336" i="2"/>
  <c r="R336" i="2"/>
  <c r="Q336" i="2"/>
  <c r="P336" i="2"/>
  <c r="O336" i="2"/>
  <c r="N336" i="2"/>
  <c r="M336" i="2"/>
  <c r="L336" i="2"/>
  <c r="K336" i="2"/>
  <c r="J336" i="2"/>
  <c r="I336" i="2"/>
  <c r="H336" i="2"/>
  <c r="G336" i="2"/>
  <c r="F336" i="2"/>
  <c r="E336" i="2"/>
  <c r="D336" i="2"/>
  <c r="C336" i="2"/>
  <c r="B336" i="2"/>
  <c r="A336" i="2"/>
  <c r="AH335" i="2"/>
  <c r="AG335" i="2"/>
  <c r="AF335" i="2"/>
  <c r="AE335" i="2"/>
  <c r="AD335" i="2"/>
  <c r="AC335" i="2"/>
  <c r="AB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H334" i="2"/>
  <c r="AG334" i="2"/>
  <c r="AF334" i="2"/>
  <c r="AE334" i="2"/>
  <c r="AD334" i="2"/>
  <c r="AC334" i="2"/>
  <c r="AB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H333" i="2"/>
  <c r="AG333" i="2"/>
  <c r="AF333" i="2"/>
  <c r="AE333" i="2"/>
  <c r="AD333" i="2"/>
  <c r="AC333" i="2"/>
  <c r="AB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H332" i="2"/>
  <c r="AG332" i="2"/>
  <c r="AF332" i="2"/>
  <c r="AE332" i="2"/>
  <c r="AD332" i="2"/>
  <c r="AC332" i="2"/>
  <c r="AB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H331" i="2"/>
  <c r="AG331" i="2"/>
  <c r="AF331" i="2"/>
  <c r="AE331" i="2"/>
  <c r="AD331" i="2"/>
  <c r="AC331" i="2"/>
  <c r="AB331" i="2"/>
  <c r="Z331" i="2"/>
  <c r="Y331" i="2"/>
  <c r="X331" i="2"/>
  <c r="W331" i="2"/>
  <c r="V331" i="2"/>
  <c r="U331" i="2"/>
  <c r="S331" i="2"/>
  <c r="R331" i="2"/>
  <c r="Q331" i="2"/>
  <c r="P331" i="2"/>
  <c r="O331" i="2"/>
  <c r="N331" i="2"/>
  <c r="M331" i="2"/>
  <c r="L331" i="2"/>
  <c r="K331" i="2"/>
  <c r="J331" i="2"/>
  <c r="I331" i="2"/>
  <c r="H331" i="2"/>
  <c r="G331" i="2"/>
  <c r="F331" i="2"/>
  <c r="E331" i="2"/>
  <c r="D331" i="2"/>
  <c r="C331" i="2"/>
  <c r="B331" i="2"/>
  <c r="A331" i="2"/>
  <c r="AH330" i="2"/>
  <c r="AF330" i="2"/>
  <c r="AE330" i="2"/>
  <c r="AD330" i="2"/>
  <c r="AC330" i="2"/>
  <c r="AB330" i="2"/>
  <c r="Z330" i="2"/>
  <c r="W330" i="2"/>
  <c r="V330" i="2"/>
  <c r="U330" i="2"/>
  <c r="T330" i="2"/>
  <c r="S330" i="2"/>
  <c r="R330" i="2"/>
  <c r="Q330" i="2"/>
  <c r="P330" i="2"/>
  <c r="O330" i="2"/>
  <c r="N330" i="2"/>
  <c r="M330" i="2"/>
  <c r="L330" i="2"/>
  <c r="K330" i="2"/>
  <c r="J330" i="2"/>
  <c r="I330" i="2"/>
  <c r="H330" i="2"/>
  <c r="G330" i="2"/>
  <c r="F330" i="2"/>
  <c r="E330" i="2"/>
  <c r="D330" i="2"/>
  <c r="C330" i="2"/>
  <c r="B330" i="2"/>
  <c r="A330" i="2"/>
  <c r="AH329" i="2"/>
  <c r="AG329" i="2"/>
  <c r="AF329" i="2"/>
  <c r="AE329" i="2"/>
  <c r="AD329" i="2"/>
  <c r="AC329" i="2"/>
  <c r="AB329" i="2"/>
  <c r="W329" i="2"/>
  <c r="V329" i="2"/>
  <c r="U329" i="2"/>
  <c r="T329" i="2"/>
  <c r="S329" i="2"/>
  <c r="R329" i="2"/>
  <c r="Q329" i="2"/>
  <c r="P329" i="2"/>
  <c r="O329" i="2"/>
  <c r="N329" i="2"/>
  <c r="M329" i="2"/>
  <c r="L329" i="2"/>
  <c r="K329" i="2"/>
  <c r="J329" i="2"/>
  <c r="I329" i="2"/>
  <c r="H329" i="2"/>
  <c r="G329" i="2"/>
  <c r="F329" i="2"/>
  <c r="E329" i="2"/>
  <c r="D329" i="2"/>
  <c r="C329" i="2"/>
  <c r="B329" i="2"/>
  <c r="A329" i="2"/>
  <c r="AH328" i="2"/>
  <c r="AF328" i="2"/>
  <c r="AE328" i="2"/>
  <c r="AD328" i="2"/>
  <c r="AC328" i="2"/>
  <c r="AB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H327" i="2"/>
  <c r="AG327" i="2"/>
  <c r="AF327" i="2"/>
  <c r="AE327" i="2"/>
  <c r="AD327" i="2"/>
  <c r="AC327" i="2"/>
  <c r="AB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H326" i="2"/>
  <c r="AF326" i="2"/>
  <c r="AE326" i="2"/>
  <c r="AD326" i="2"/>
  <c r="AC326" i="2"/>
  <c r="AB326" i="2"/>
  <c r="Z326" i="2"/>
  <c r="Y326" i="2"/>
  <c r="W326" i="2"/>
  <c r="V326" i="2"/>
  <c r="U326" i="2"/>
  <c r="T326" i="2"/>
  <c r="S326" i="2"/>
  <c r="R326" i="2"/>
  <c r="Q326" i="2"/>
  <c r="P326" i="2"/>
  <c r="O326" i="2"/>
  <c r="N326" i="2"/>
  <c r="M326" i="2"/>
  <c r="L326" i="2"/>
  <c r="K326" i="2"/>
  <c r="J326" i="2"/>
  <c r="I326" i="2"/>
  <c r="H326" i="2"/>
  <c r="G326" i="2"/>
  <c r="F326" i="2"/>
  <c r="E326" i="2"/>
  <c r="D326" i="2"/>
  <c r="C326" i="2"/>
  <c r="B326" i="2"/>
  <c r="A326" i="2"/>
  <c r="AH325" i="2"/>
  <c r="AF325" i="2"/>
  <c r="AE325" i="2"/>
  <c r="AD325" i="2"/>
  <c r="AC325" i="2"/>
  <c r="AB325" i="2"/>
  <c r="Z325" i="2"/>
  <c r="Y325" i="2"/>
  <c r="W325" i="2"/>
  <c r="V325" i="2"/>
  <c r="U325" i="2"/>
  <c r="T325" i="2"/>
  <c r="S325" i="2"/>
  <c r="R325" i="2"/>
  <c r="Q325" i="2"/>
  <c r="P325" i="2"/>
  <c r="O325" i="2"/>
  <c r="N325" i="2"/>
  <c r="M325" i="2"/>
  <c r="L325" i="2"/>
  <c r="K325" i="2"/>
  <c r="J325" i="2"/>
  <c r="I325" i="2"/>
  <c r="H325" i="2"/>
  <c r="G325" i="2"/>
  <c r="F325" i="2"/>
  <c r="E325" i="2"/>
  <c r="D325" i="2"/>
  <c r="C325" i="2"/>
  <c r="B325" i="2"/>
  <c r="A325" i="2"/>
  <c r="AH324" i="2"/>
  <c r="AG324" i="2"/>
  <c r="AF324" i="2"/>
  <c r="AD324" i="2"/>
  <c r="AC324" i="2"/>
  <c r="AB324" i="2"/>
  <c r="Y324" i="2"/>
  <c r="W324" i="2"/>
  <c r="V324" i="2"/>
  <c r="U324" i="2"/>
  <c r="T324" i="2"/>
  <c r="S324" i="2"/>
  <c r="R324" i="2"/>
  <c r="Q324" i="2"/>
  <c r="P324" i="2"/>
  <c r="O324" i="2"/>
  <c r="N324" i="2"/>
  <c r="M324" i="2"/>
  <c r="L324" i="2"/>
  <c r="K324" i="2"/>
  <c r="J324" i="2"/>
  <c r="I324" i="2"/>
  <c r="H324" i="2"/>
  <c r="G324" i="2"/>
  <c r="F324" i="2"/>
  <c r="E324" i="2"/>
  <c r="D324" i="2"/>
  <c r="C324" i="2"/>
  <c r="B324" i="2"/>
  <c r="A324" i="2"/>
  <c r="AH323" i="2"/>
  <c r="AG323" i="2"/>
  <c r="AF323" i="2"/>
  <c r="AE323" i="2"/>
  <c r="AD323" i="2"/>
  <c r="AC323" i="2"/>
  <c r="AB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H321" i="2"/>
  <c r="AF321" i="2"/>
  <c r="AE321" i="2"/>
  <c r="AD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H320" i="2"/>
  <c r="AG320" i="2"/>
  <c r="AF320" i="2"/>
  <c r="AE320" i="2"/>
  <c r="AD320" i="2"/>
  <c r="AC320" i="2"/>
  <c r="AB320" i="2"/>
  <c r="Z320" i="2"/>
  <c r="Y320" i="2"/>
  <c r="X320" i="2"/>
  <c r="W320" i="2"/>
  <c r="V320" i="2"/>
  <c r="T320" i="2"/>
  <c r="S320" i="2"/>
  <c r="R320" i="2"/>
  <c r="Q320" i="2"/>
  <c r="P320" i="2"/>
  <c r="O320" i="2"/>
  <c r="N320" i="2"/>
  <c r="M320" i="2"/>
  <c r="L320" i="2"/>
  <c r="K320" i="2"/>
  <c r="J320" i="2"/>
  <c r="I320" i="2"/>
  <c r="H320" i="2"/>
  <c r="G320" i="2"/>
  <c r="F320" i="2"/>
  <c r="E320" i="2"/>
  <c r="D320" i="2"/>
  <c r="C320" i="2"/>
  <c r="B320" i="2"/>
  <c r="A320" i="2"/>
  <c r="AH319" i="2"/>
  <c r="AF319" i="2"/>
  <c r="AE319" i="2"/>
  <c r="AD319" i="2"/>
  <c r="AC319" i="2"/>
  <c r="AB319" i="2"/>
  <c r="Z319" i="2"/>
  <c r="Y319" i="2"/>
  <c r="W319" i="2"/>
  <c r="V319" i="2"/>
  <c r="U319" i="2"/>
  <c r="T319" i="2"/>
  <c r="S319" i="2"/>
  <c r="R319" i="2"/>
  <c r="Q319" i="2"/>
  <c r="P319" i="2"/>
  <c r="O319" i="2"/>
  <c r="N319" i="2"/>
  <c r="M319" i="2"/>
  <c r="L319" i="2"/>
  <c r="K319" i="2"/>
  <c r="J319" i="2"/>
  <c r="I319" i="2"/>
  <c r="H319" i="2"/>
  <c r="G319" i="2"/>
  <c r="F319" i="2"/>
  <c r="E319" i="2"/>
  <c r="D319" i="2"/>
  <c r="C319" i="2"/>
  <c r="B319" i="2"/>
  <c r="A319" i="2"/>
  <c r="AH318" i="2"/>
  <c r="AF318" i="2"/>
  <c r="AE318" i="2"/>
  <c r="AD318" i="2"/>
  <c r="AC318" i="2"/>
  <c r="AB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H317" i="2"/>
  <c r="AG317" i="2"/>
  <c r="AF317" i="2"/>
  <c r="AE317" i="2"/>
  <c r="AD317" i="2"/>
  <c r="AC317" i="2"/>
  <c r="AB317" i="2"/>
  <c r="Z317" i="2"/>
  <c r="Y317" i="2"/>
  <c r="X317" i="2"/>
  <c r="W317" i="2"/>
  <c r="V317" i="2"/>
  <c r="U317" i="2"/>
  <c r="T317" i="2"/>
  <c r="S317" i="2"/>
  <c r="R317" i="2"/>
  <c r="Q317" i="2"/>
  <c r="P317" i="2"/>
  <c r="N317" i="2"/>
  <c r="M317" i="2"/>
  <c r="L317" i="2"/>
  <c r="K317" i="2"/>
  <c r="J317" i="2"/>
  <c r="I317" i="2"/>
  <c r="H317" i="2"/>
  <c r="G317" i="2"/>
  <c r="F317" i="2"/>
  <c r="E317" i="2"/>
  <c r="D317" i="2"/>
  <c r="C317" i="2"/>
  <c r="B317" i="2"/>
  <c r="A317" i="2"/>
  <c r="AH316" i="2"/>
  <c r="AF316" i="2"/>
  <c r="AE316" i="2"/>
  <c r="AD316" i="2"/>
  <c r="AC316" i="2"/>
  <c r="AB316" i="2"/>
  <c r="Z316" i="2"/>
  <c r="Y316" i="2"/>
  <c r="W316" i="2"/>
  <c r="V316" i="2"/>
  <c r="U316" i="2"/>
  <c r="T316" i="2"/>
  <c r="S316" i="2"/>
  <c r="R316" i="2"/>
  <c r="Q316" i="2"/>
  <c r="P316" i="2"/>
  <c r="O316" i="2"/>
  <c r="N316" i="2"/>
  <c r="M316" i="2"/>
  <c r="L316" i="2"/>
  <c r="K316" i="2"/>
  <c r="J316" i="2"/>
  <c r="I316" i="2"/>
  <c r="H316" i="2"/>
  <c r="G316" i="2"/>
  <c r="F316" i="2"/>
  <c r="E316" i="2"/>
  <c r="D316" i="2"/>
  <c r="C316" i="2"/>
  <c r="B316" i="2"/>
  <c r="A316" i="2"/>
  <c r="AH315" i="2"/>
  <c r="AG315" i="2"/>
  <c r="AF315" i="2"/>
  <c r="AE315" i="2"/>
  <c r="AD315" i="2"/>
  <c r="AC315" i="2"/>
  <c r="AB315" i="2"/>
  <c r="Z315" i="2"/>
  <c r="Y315" i="2"/>
  <c r="W315" i="2"/>
  <c r="V315" i="2"/>
  <c r="U315" i="2"/>
  <c r="T315" i="2"/>
  <c r="S315" i="2"/>
  <c r="R315" i="2"/>
  <c r="Q315" i="2"/>
  <c r="P315" i="2"/>
  <c r="O315" i="2"/>
  <c r="N315" i="2"/>
  <c r="M315" i="2"/>
  <c r="L315" i="2"/>
  <c r="K315" i="2"/>
  <c r="J315" i="2"/>
  <c r="I315" i="2"/>
  <c r="H315" i="2"/>
  <c r="G315" i="2"/>
  <c r="F315" i="2"/>
  <c r="E315" i="2"/>
  <c r="D315" i="2"/>
  <c r="C315" i="2"/>
  <c r="B315" i="2"/>
  <c r="A315" i="2"/>
  <c r="AH314" i="2"/>
  <c r="AF314" i="2"/>
  <c r="AE314" i="2"/>
  <c r="AD314" i="2"/>
  <c r="AC314" i="2"/>
  <c r="AB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H313" i="2"/>
  <c r="AG313" i="2"/>
  <c r="AF313" i="2"/>
  <c r="AE313" i="2"/>
  <c r="AD313" i="2"/>
  <c r="AC313" i="2"/>
  <c r="AB313" i="2"/>
  <c r="AA313" i="2"/>
  <c r="Z313" i="2"/>
  <c r="Y313" i="2"/>
  <c r="X313" i="2"/>
  <c r="W313" i="2"/>
  <c r="V313" i="2"/>
  <c r="T313" i="2"/>
  <c r="S313" i="2"/>
  <c r="R313" i="2"/>
  <c r="Q313" i="2"/>
  <c r="P313" i="2"/>
  <c r="O313" i="2"/>
  <c r="N313" i="2"/>
  <c r="M313" i="2"/>
  <c r="L313" i="2"/>
  <c r="K313" i="2"/>
  <c r="I313" i="2"/>
  <c r="H313" i="2"/>
  <c r="G313" i="2"/>
  <c r="F313" i="2"/>
  <c r="E313" i="2"/>
  <c r="D313" i="2"/>
  <c r="C313" i="2"/>
  <c r="B313" i="2"/>
  <c r="A313" i="2"/>
  <c r="AH312" i="2"/>
  <c r="AG312" i="2"/>
  <c r="AF312" i="2"/>
  <c r="AE312" i="2"/>
  <c r="AD312" i="2"/>
  <c r="AC312" i="2"/>
  <c r="AB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H311" i="2"/>
  <c r="AF311" i="2"/>
  <c r="AE311" i="2"/>
  <c r="AD311" i="2"/>
  <c r="AC311" i="2"/>
  <c r="AB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H310" i="2"/>
  <c r="AG310" i="2"/>
  <c r="AF310" i="2"/>
  <c r="AE310" i="2"/>
  <c r="AD310" i="2"/>
  <c r="AC310" i="2"/>
  <c r="AB310" i="2"/>
  <c r="Z310" i="2"/>
  <c r="Y310" i="2"/>
  <c r="X310" i="2"/>
  <c r="W310" i="2"/>
  <c r="V310" i="2"/>
  <c r="U310" i="2"/>
  <c r="T310" i="2"/>
  <c r="S310" i="2"/>
  <c r="R310" i="2"/>
  <c r="Q310" i="2"/>
  <c r="P310" i="2"/>
  <c r="O310" i="2"/>
  <c r="N310" i="2"/>
  <c r="M310" i="2"/>
  <c r="L310" i="2"/>
  <c r="K310" i="2"/>
  <c r="J310" i="2"/>
  <c r="I310" i="2"/>
  <c r="H310" i="2"/>
  <c r="G310" i="2"/>
  <c r="F310" i="2"/>
  <c r="E310" i="2"/>
  <c r="D310" i="2"/>
  <c r="C310" i="2"/>
  <c r="B310" i="2"/>
  <c r="A310" i="2"/>
  <c r="AH309" i="2"/>
  <c r="AF309" i="2"/>
  <c r="AE309" i="2"/>
  <c r="AD309" i="2"/>
  <c r="AC309" i="2"/>
  <c r="AB309" i="2"/>
  <c r="AA309" i="2"/>
  <c r="Z309" i="2"/>
  <c r="Y309" i="2"/>
  <c r="W309" i="2"/>
  <c r="V309" i="2"/>
  <c r="U309" i="2"/>
  <c r="T309" i="2"/>
  <c r="S309" i="2"/>
  <c r="R309" i="2"/>
  <c r="Q309" i="2"/>
  <c r="P309" i="2"/>
  <c r="O309" i="2"/>
  <c r="N309" i="2"/>
  <c r="M309" i="2"/>
  <c r="L309" i="2"/>
  <c r="K309" i="2"/>
  <c r="J309" i="2"/>
  <c r="I309" i="2"/>
  <c r="H309" i="2"/>
  <c r="G309" i="2"/>
  <c r="F309" i="2"/>
  <c r="E309" i="2"/>
  <c r="D309" i="2"/>
  <c r="C309" i="2"/>
  <c r="B309" i="2"/>
  <c r="A309" i="2"/>
  <c r="AH308" i="2"/>
  <c r="AF308" i="2"/>
  <c r="AE308" i="2"/>
  <c r="AD308" i="2"/>
  <c r="AC308" i="2"/>
  <c r="AB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H307" i="2"/>
  <c r="AF307" i="2"/>
  <c r="AE307" i="2"/>
  <c r="AD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H306" i="2"/>
  <c r="AG306" i="2"/>
  <c r="AF306" i="2"/>
  <c r="AE306" i="2"/>
  <c r="AD306" i="2"/>
  <c r="AC306" i="2"/>
  <c r="AB306" i="2"/>
  <c r="Y306" i="2"/>
  <c r="X306" i="2"/>
  <c r="W306" i="2"/>
  <c r="V306" i="2"/>
  <c r="U306" i="2"/>
  <c r="T306" i="2"/>
  <c r="S306" i="2"/>
  <c r="R306" i="2"/>
  <c r="Q306" i="2"/>
  <c r="P306" i="2"/>
  <c r="O306" i="2"/>
  <c r="N306" i="2"/>
  <c r="M306" i="2"/>
  <c r="K306" i="2"/>
  <c r="J306" i="2"/>
  <c r="I306" i="2"/>
  <c r="H306" i="2"/>
  <c r="G306" i="2"/>
  <c r="F306" i="2"/>
  <c r="E306" i="2"/>
  <c r="D306" i="2"/>
  <c r="C306" i="2"/>
  <c r="B306" i="2"/>
  <c r="A306" i="2"/>
  <c r="AH305" i="2"/>
  <c r="AG305" i="2"/>
  <c r="AF305" i="2"/>
  <c r="AE305" i="2"/>
  <c r="AD305" i="2"/>
  <c r="AC305" i="2"/>
  <c r="AB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H304" i="2"/>
  <c r="AF304" i="2"/>
  <c r="AE304" i="2"/>
  <c r="AD304" i="2"/>
  <c r="AC304" i="2"/>
  <c r="AB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H303" i="2"/>
  <c r="AG303" i="2"/>
  <c r="AF303" i="2"/>
  <c r="AE303" i="2"/>
  <c r="AD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H302" i="2"/>
  <c r="AG302" i="2"/>
  <c r="AF302" i="2"/>
  <c r="AE302" i="2"/>
  <c r="AD302" i="2"/>
  <c r="AC302" i="2"/>
  <c r="AB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H301" i="2"/>
  <c r="AF301" i="2"/>
  <c r="AE301" i="2"/>
  <c r="AD301" i="2"/>
  <c r="AC301" i="2"/>
  <c r="AB301" i="2"/>
  <c r="AA301" i="2"/>
  <c r="Z301" i="2"/>
  <c r="Y301" i="2"/>
  <c r="W301" i="2"/>
  <c r="V301" i="2"/>
  <c r="U301" i="2"/>
  <c r="T301" i="2"/>
  <c r="S301" i="2"/>
  <c r="R301" i="2"/>
  <c r="Q301" i="2"/>
  <c r="P301" i="2"/>
  <c r="O301" i="2"/>
  <c r="N301" i="2"/>
  <c r="M301" i="2"/>
  <c r="L301" i="2"/>
  <c r="K301" i="2"/>
  <c r="J301" i="2"/>
  <c r="I301" i="2"/>
  <c r="H301" i="2"/>
  <c r="G301" i="2"/>
  <c r="F301" i="2"/>
  <c r="E301" i="2"/>
  <c r="D301" i="2"/>
  <c r="C301" i="2"/>
  <c r="B301" i="2"/>
  <c r="A301" i="2"/>
  <c r="AH300" i="2"/>
  <c r="AF300" i="2"/>
  <c r="AE300" i="2"/>
  <c r="AD300" i="2"/>
  <c r="AC300" i="2"/>
  <c r="AB300" i="2"/>
  <c r="Z300" i="2"/>
  <c r="W300" i="2"/>
  <c r="V300" i="2"/>
  <c r="U300" i="2"/>
  <c r="T300" i="2"/>
  <c r="S300" i="2"/>
  <c r="R300" i="2"/>
  <c r="Q300" i="2"/>
  <c r="P300" i="2"/>
  <c r="O300" i="2"/>
  <c r="N300" i="2"/>
  <c r="M300" i="2"/>
  <c r="L300" i="2"/>
  <c r="K300" i="2"/>
  <c r="J300" i="2"/>
  <c r="I300" i="2"/>
  <c r="H300" i="2"/>
  <c r="G300" i="2"/>
  <c r="F300" i="2"/>
  <c r="E300" i="2"/>
  <c r="D300" i="2"/>
  <c r="C300" i="2"/>
  <c r="B300" i="2"/>
  <c r="A300" i="2"/>
  <c r="AH299" i="2"/>
  <c r="AG299" i="2"/>
  <c r="AF299" i="2"/>
  <c r="AE299" i="2"/>
  <c r="AD299" i="2"/>
  <c r="AC299" i="2"/>
  <c r="AB299" i="2"/>
  <c r="Z299" i="2"/>
  <c r="Y299" i="2"/>
  <c r="W299" i="2"/>
  <c r="V299" i="2"/>
  <c r="U299" i="2"/>
  <c r="T299" i="2"/>
  <c r="S299" i="2"/>
  <c r="R299" i="2"/>
  <c r="Q299" i="2"/>
  <c r="P299" i="2"/>
  <c r="O299" i="2"/>
  <c r="N299" i="2"/>
  <c r="M299" i="2"/>
  <c r="L299" i="2"/>
  <c r="K299" i="2"/>
  <c r="J299" i="2"/>
  <c r="I299" i="2"/>
  <c r="H299" i="2"/>
  <c r="G299" i="2"/>
  <c r="F299" i="2"/>
  <c r="E299" i="2"/>
  <c r="D299" i="2"/>
  <c r="C299" i="2"/>
  <c r="B299" i="2"/>
  <c r="A299" i="2"/>
  <c r="AH298" i="2"/>
  <c r="AG298" i="2"/>
  <c r="AF298" i="2"/>
  <c r="AE298" i="2"/>
  <c r="AD298" i="2"/>
  <c r="AC298" i="2"/>
  <c r="AB298" i="2"/>
  <c r="W298" i="2"/>
  <c r="V298" i="2"/>
  <c r="S298" i="2"/>
  <c r="R298" i="2"/>
  <c r="Q298" i="2"/>
  <c r="P298" i="2"/>
  <c r="O298" i="2"/>
  <c r="N298" i="2"/>
  <c r="M298" i="2"/>
  <c r="L298" i="2"/>
  <c r="K298" i="2"/>
  <c r="J298" i="2"/>
  <c r="I298" i="2"/>
  <c r="H298" i="2"/>
  <c r="G298" i="2"/>
  <c r="F298" i="2"/>
  <c r="E298" i="2"/>
  <c r="D298" i="2"/>
  <c r="C298" i="2"/>
  <c r="B298" i="2"/>
  <c r="A298" i="2"/>
  <c r="AH297" i="2"/>
  <c r="AF297" i="2"/>
  <c r="AE297" i="2"/>
  <c r="AD297" i="2"/>
  <c r="AC297" i="2"/>
  <c r="AB297" i="2"/>
  <c r="Z297" i="2"/>
  <c r="Y297" i="2"/>
  <c r="W297" i="2"/>
  <c r="V297" i="2"/>
  <c r="U297" i="2"/>
  <c r="T297" i="2"/>
  <c r="S297" i="2"/>
  <c r="R297" i="2"/>
  <c r="Q297" i="2"/>
  <c r="P297" i="2"/>
  <c r="O297" i="2"/>
  <c r="N297" i="2"/>
  <c r="M297" i="2"/>
  <c r="L297" i="2"/>
  <c r="K297" i="2"/>
  <c r="J297" i="2"/>
  <c r="I297" i="2"/>
  <c r="H297" i="2"/>
  <c r="G297" i="2"/>
  <c r="F297" i="2"/>
  <c r="E297" i="2"/>
  <c r="D297" i="2"/>
  <c r="C297" i="2"/>
  <c r="B297" i="2"/>
  <c r="A297" i="2"/>
  <c r="AH296" i="2"/>
  <c r="AG296" i="2"/>
  <c r="AF296" i="2"/>
  <c r="AE296" i="2"/>
  <c r="AD296" i="2"/>
  <c r="AC296" i="2"/>
  <c r="AB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H295" i="2"/>
  <c r="AF295" i="2"/>
  <c r="AE295" i="2"/>
  <c r="AD295" i="2"/>
  <c r="AC295" i="2"/>
  <c r="AB295" i="2"/>
  <c r="Z295" i="2"/>
  <c r="W295" i="2"/>
  <c r="V295" i="2"/>
  <c r="U295" i="2"/>
  <c r="T295" i="2"/>
  <c r="S295" i="2"/>
  <c r="R295" i="2"/>
  <c r="Q295" i="2"/>
  <c r="P295" i="2"/>
  <c r="O295" i="2"/>
  <c r="N295" i="2"/>
  <c r="M295" i="2"/>
  <c r="L295" i="2"/>
  <c r="K295" i="2"/>
  <c r="J295" i="2"/>
  <c r="I295" i="2"/>
  <c r="H295" i="2"/>
  <c r="G295" i="2"/>
  <c r="F295" i="2"/>
  <c r="E295" i="2"/>
  <c r="D295" i="2"/>
  <c r="C295" i="2"/>
  <c r="B295" i="2"/>
  <c r="A295" i="2"/>
  <c r="AH294" i="2"/>
  <c r="AF294" i="2"/>
  <c r="AE294" i="2"/>
  <c r="AD294" i="2"/>
  <c r="AC294" i="2"/>
  <c r="AB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H293" i="2"/>
  <c r="AF293" i="2"/>
  <c r="AE293" i="2"/>
  <c r="AD293" i="2"/>
  <c r="AC293" i="2"/>
  <c r="AB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H292" i="2"/>
  <c r="AF292" i="2"/>
  <c r="AE292" i="2"/>
  <c r="AD292" i="2"/>
  <c r="AC292" i="2"/>
  <c r="AB292" i="2"/>
  <c r="Z292" i="2"/>
  <c r="X292" i="2"/>
  <c r="W292" i="2"/>
  <c r="V292" i="2"/>
  <c r="U292" i="2"/>
  <c r="T292" i="2"/>
  <c r="S292" i="2"/>
  <c r="R292" i="2"/>
  <c r="Q292" i="2"/>
  <c r="P292" i="2"/>
  <c r="O292" i="2"/>
  <c r="N292" i="2"/>
  <c r="M292" i="2"/>
  <c r="L292" i="2"/>
  <c r="K292" i="2"/>
  <c r="J292" i="2"/>
  <c r="I292" i="2"/>
  <c r="H292" i="2"/>
  <c r="G292" i="2"/>
  <c r="F292" i="2"/>
  <c r="E292" i="2"/>
  <c r="D292" i="2"/>
  <c r="C292" i="2"/>
  <c r="B292" i="2"/>
  <c r="A292" i="2"/>
  <c r="AH291" i="2"/>
  <c r="AF291" i="2"/>
  <c r="AE291" i="2"/>
  <c r="AD291" i="2"/>
  <c r="AC291" i="2"/>
  <c r="AB291" i="2"/>
  <c r="Z291" i="2"/>
  <c r="W291" i="2"/>
  <c r="V291" i="2"/>
  <c r="U291" i="2"/>
  <c r="T291" i="2"/>
  <c r="S291" i="2"/>
  <c r="R291" i="2"/>
  <c r="Q291" i="2"/>
  <c r="P291" i="2"/>
  <c r="O291" i="2"/>
  <c r="N291" i="2"/>
  <c r="M291" i="2"/>
  <c r="L291" i="2"/>
  <c r="K291" i="2"/>
  <c r="J291" i="2"/>
  <c r="I291" i="2"/>
  <c r="H291" i="2"/>
  <c r="G291" i="2"/>
  <c r="F291" i="2"/>
  <c r="E291" i="2"/>
  <c r="D291" i="2"/>
  <c r="C291" i="2"/>
  <c r="B291" i="2"/>
  <c r="A291" i="2"/>
  <c r="AH290" i="2"/>
  <c r="AG290" i="2"/>
  <c r="AF290" i="2"/>
  <c r="AE290" i="2"/>
  <c r="AD290" i="2"/>
  <c r="AC290" i="2"/>
  <c r="AB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H289" i="2"/>
  <c r="AF289" i="2"/>
  <c r="AE289" i="2"/>
  <c r="AD289" i="2"/>
  <c r="AC289" i="2"/>
  <c r="AB289" i="2"/>
  <c r="Z289" i="2"/>
  <c r="Y289" i="2"/>
  <c r="W289" i="2"/>
  <c r="V289" i="2"/>
  <c r="U289" i="2"/>
  <c r="T289" i="2"/>
  <c r="S289" i="2"/>
  <c r="R289" i="2"/>
  <c r="Q289" i="2"/>
  <c r="P289" i="2"/>
  <c r="O289" i="2"/>
  <c r="N289" i="2"/>
  <c r="M289" i="2"/>
  <c r="L289" i="2"/>
  <c r="K289" i="2"/>
  <c r="J289" i="2"/>
  <c r="I289" i="2"/>
  <c r="H289" i="2"/>
  <c r="G289" i="2"/>
  <c r="F289" i="2"/>
  <c r="E289" i="2"/>
  <c r="D289" i="2"/>
  <c r="C289" i="2"/>
  <c r="B289" i="2"/>
  <c r="A289" i="2"/>
  <c r="AH288" i="2"/>
  <c r="AF288" i="2"/>
  <c r="AE288" i="2"/>
  <c r="AD288" i="2"/>
  <c r="AC288" i="2"/>
  <c r="AB288" i="2"/>
  <c r="AA288" i="2"/>
  <c r="Z288" i="2"/>
  <c r="W288" i="2"/>
  <c r="V288" i="2"/>
  <c r="U288" i="2"/>
  <c r="T288" i="2"/>
  <c r="S288" i="2"/>
  <c r="R288" i="2"/>
  <c r="Q288" i="2"/>
  <c r="P288" i="2"/>
  <c r="O288" i="2"/>
  <c r="N288" i="2"/>
  <c r="M288" i="2"/>
  <c r="L288" i="2"/>
  <c r="K288" i="2"/>
  <c r="J288" i="2"/>
  <c r="I288" i="2"/>
  <c r="H288" i="2"/>
  <c r="G288" i="2"/>
  <c r="F288" i="2"/>
  <c r="E288" i="2"/>
  <c r="D288" i="2"/>
  <c r="C288" i="2"/>
  <c r="B288" i="2"/>
  <c r="A288" i="2"/>
  <c r="AH287" i="2"/>
  <c r="AF287" i="2"/>
  <c r="AE287" i="2"/>
  <c r="AD287" i="2"/>
  <c r="AC287" i="2"/>
  <c r="AB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H286" i="2"/>
  <c r="AG286" i="2"/>
  <c r="AF286" i="2"/>
  <c r="AE286" i="2"/>
  <c r="AD286" i="2"/>
  <c r="AC286" i="2"/>
  <c r="AB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H285" i="2"/>
  <c r="AG285" i="2"/>
  <c r="AF285" i="2"/>
  <c r="AE285" i="2"/>
  <c r="AD285" i="2"/>
  <c r="AC285" i="2"/>
  <c r="AB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H284" i="2"/>
  <c r="AG284" i="2"/>
  <c r="AF284" i="2"/>
  <c r="AE284" i="2"/>
  <c r="AD284" i="2"/>
  <c r="AC284" i="2"/>
  <c r="AB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H283" i="2"/>
  <c r="AG283" i="2"/>
  <c r="AF283" i="2"/>
  <c r="AE283" i="2"/>
  <c r="AD283" i="2"/>
  <c r="AC283" i="2"/>
  <c r="AB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H282" i="2"/>
  <c r="AF282" i="2"/>
  <c r="AE282" i="2"/>
  <c r="AD282" i="2"/>
  <c r="AC282" i="2"/>
  <c r="AB282" i="2"/>
  <c r="Z282" i="2"/>
  <c r="Y282" i="2"/>
  <c r="W282" i="2"/>
  <c r="V282" i="2"/>
  <c r="U282" i="2"/>
  <c r="T282" i="2"/>
  <c r="S282" i="2"/>
  <c r="R282" i="2"/>
  <c r="Q282" i="2"/>
  <c r="P282" i="2"/>
  <c r="O282" i="2"/>
  <c r="N282" i="2"/>
  <c r="M282" i="2"/>
  <c r="L282" i="2"/>
  <c r="K282" i="2"/>
  <c r="J282" i="2"/>
  <c r="I282" i="2"/>
  <c r="H282" i="2"/>
  <c r="G282" i="2"/>
  <c r="F282" i="2"/>
  <c r="E282" i="2"/>
  <c r="D282" i="2"/>
  <c r="C282" i="2"/>
  <c r="B282" i="2"/>
  <c r="A282" i="2"/>
  <c r="AH281" i="2"/>
  <c r="AF281" i="2"/>
  <c r="AE281" i="2"/>
  <c r="AD281" i="2"/>
  <c r="AC281" i="2"/>
  <c r="AB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H280" i="2"/>
  <c r="AF280" i="2"/>
  <c r="AE280" i="2"/>
  <c r="AD280" i="2"/>
  <c r="AC280" i="2"/>
  <c r="AB280" i="2"/>
  <c r="Z280" i="2"/>
  <c r="W280" i="2"/>
  <c r="V280" i="2"/>
  <c r="U280" i="2"/>
  <c r="T280" i="2"/>
  <c r="S280" i="2"/>
  <c r="R280" i="2"/>
  <c r="Q280" i="2"/>
  <c r="P280" i="2"/>
  <c r="O280" i="2"/>
  <c r="N280" i="2"/>
  <c r="M280" i="2"/>
  <c r="L280" i="2"/>
  <c r="K280" i="2"/>
  <c r="J280" i="2"/>
  <c r="I280" i="2"/>
  <c r="H280" i="2"/>
  <c r="G280" i="2"/>
  <c r="F280" i="2"/>
  <c r="E280" i="2"/>
  <c r="D280" i="2"/>
  <c r="C280" i="2"/>
  <c r="B280" i="2"/>
  <c r="A280" i="2"/>
  <c r="AH279" i="2"/>
  <c r="AG279" i="2"/>
  <c r="AF279" i="2"/>
  <c r="AE279" i="2"/>
  <c r="AD279" i="2"/>
  <c r="AC279" i="2"/>
  <c r="AB279" i="2"/>
  <c r="Z279" i="2"/>
  <c r="Y279" i="2"/>
  <c r="X279" i="2"/>
  <c r="W279" i="2"/>
  <c r="V279" i="2"/>
  <c r="U279" i="2"/>
  <c r="S279" i="2"/>
  <c r="R279" i="2"/>
  <c r="Q279" i="2"/>
  <c r="P279" i="2"/>
  <c r="O279" i="2"/>
  <c r="N279" i="2"/>
  <c r="M279" i="2"/>
  <c r="L279" i="2"/>
  <c r="K279" i="2"/>
  <c r="J279" i="2"/>
  <c r="I279" i="2"/>
  <c r="H279" i="2"/>
  <c r="G279" i="2"/>
  <c r="F279" i="2"/>
  <c r="E279" i="2"/>
  <c r="D279" i="2"/>
  <c r="C279" i="2"/>
  <c r="B279" i="2"/>
  <c r="A279" i="2"/>
  <c r="AH278" i="2"/>
  <c r="AG278" i="2"/>
  <c r="AF278" i="2"/>
  <c r="AE278" i="2"/>
  <c r="AD278" i="2"/>
  <c r="AC278" i="2"/>
  <c r="AB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H277" i="2"/>
  <c r="AF277" i="2"/>
  <c r="AE277" i="2"/>
  <c r="AD277" i="2"/>
  <c r="AC277" i="2"/>
  <c r="AB277" i="2"/>
  <c r="Z277" i="2"/>
  <c r="Y277" i="2"/>
  <c r="W277" i="2"/>
  <c r="V277" i="2"/>
  <c r="U277" i="2"/>
  <c r="T277" i="2"/>
  <c r="S277" i="2"/>
  <c r="R277" i="2"/>
  <c r="Q277" i="2"/>
  <c r="P277" i="2"/>
  <c r="O277" i="2"/>
  <c r="N277" i="2"/>
  <c r="M277" i="2"/>
  <c r="L277" i="2"/>
  <c r="K277" i="2"/>
  <c r="J277" i="2"/>
  <c r="I277" i="2"/>
  <c r="H277" i="2"/>
  <c r="G277" i="2"/>
  <c r="F277" i="2"/>
  <c r="E277" i="2"/>
  <c r="D277" i="2"/>
  <c r="C277" i="2"/>
  <c r="B277" i="2"/>
  <c r="A277" i="2"/>
  <c r="AH276" i="2"/>
  <c r="AG276" i="2"/>
  <c r="AF276" i="2"/>
  <c r="AE276" i="2"/>
  <c r="AD276" i="2"/>
  <c r="AC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H275" i="2"/>
  <c r="AF275" i="2"/>
  <c r="AE275" i="2"/>
  <c r="AD275" i="2"/>
  <c r="AC275" i="2"/>
  <c r="AB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H274" i="2"/>
  <c r="AG274" i="2"/>
  <c r="AF274" i="2"/>
  <c r="AD274" i="2"/>
  <c r="AC274" i="2"/>
  <c r="AB274" i="2"/>
  <c r="Z274" i="2"/>
  <c r="W274" i="2"/>
  <c r="V274" i="2"/>
  <c r="T274" i="2"/>
  <c r="S274" i="2"/>
  <c r="R274" i="2"/>
  <c r="Q274" i="2"/>
  <c r="P274" i="2"/>
  <c r="O274" i="2"/>
  <c r="N274" i="2"/>
  <c r="M274" i="2"/>
  <c r="L274" i="2"/>
  <c r="K274" i="2"/>
  <c r="J274" i="2"/>
  <c r="I274" i="2"/>
  <c r="H274" i="2"/>
  <c r="G274" i="2"/>
  <c r="F274" i="2"/>
  <c r="E274" i="2"/>
  <c r="D274" i="2"/>
  <c r="C274" i="2"/>
  <c r="B274" i="2"/>
  <c r="A274" i="2"/>
  <c r="AH273" i="2"/>
  <c r="AG273" i="2"/>
  <c r="AF273" i="2"/>
  <c r="AE273" i="2"/>
  <c r="AD273" i="2"/>
  <c r="AC273" i="2"/>
  <c r="AB273" i="2"/>
  <c r="Z273" i="2"/>
  <c r="Y273" i="2"/>
  <c r="W273" i="2"/>
  <c r="V273" i="2"/>
  <c r="U273" i="2"/>
  <c r="T273" i="2"/>
  <c r="S273" i="2"/>
  <c r="R273" i="2"/>
  <c r="Q273" i="2"/>
  <c r="P273" i="2"/>
  <c r="O273" i="2"/>
  <c r="N273" i="2"/>
  <c r="M273" i="2"/>
  <c r="L273" i="2"/>
  <c r="K273" i="2"/>
  <c r="J273" i="2"/>
  <c r="I273" i="2"/>
  <c r="H273" i="2"/>
  <c r="G273" i="2"/>
  <c r="F273" i="2"/>
  <c r="E273" i="2"/>
  <c r="D273" i="2"/>
  <c r="C273" i="2"/>
  <c r="B273" i="2"/>
  <c r="A273" i="2"/>
  <c r="AH272" i="2"/>
  <c r="AG272" i="2"/>
  <c r="AF272" i="2"/>
  <c r="AE272" i="2"/>
  <c r="AD272" i="2"/>
  <c r="AC272" i="2"/>
  <c r="AB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H271" i="2"/>
  <c r="AG271" i="2"/>
  <c r="AF271" i="2"/>
  <c r="AE271" i="2"/>
  <c r="AD271" i="2"/>
  <c r="AC271" i="2"/>
  <c r="AB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H270" i="2"/>
  <c r="AF270" i="2"/>
  <c r="AD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H269" i="2"/>
  <c r="AF269" i="2"/>
  <c r="AE269" i="2"/>
  <c r="AD269" i="2"/>
  <c r="AC269" i="2"/>
  <c r="AB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H268" i="2"/>
  <c r="AF268" i="2"/>
  <c r="AE268" i="2"/>
  <c r="AD268" i="2"/>
  <c r="AC268" i="2"/>
  <c r="AB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H267" i="2"/>
  <c r="AG267" i="2"/>
  <c r="AF267" i="2"/>
  <c r="AE267" i="2"/>
  <c r="AD267" i="2"/>
  <c r="AC267" i="2"/>
  <c r="AB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H266" i="2"/>
  <c r="AF266" i="2"/>
  <c r="AE266" i="2"/>
  <c r="AD266" i="2"/>
  <c r="AC266" i="2"/>
  <c r="AB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H265" i="2"/>
  <c r="AG265" i="2"/>
  <c r="AF265" i="2"/>
  <c r="AE265" i="2"/>
  <c r="AD265" i="2"/>
  <c r="AC265" i="2"/>
  <c r="AB265" i="2"/>
  <c r="AA265" i="2"/>
  <c r="Z265" i="2"/>
  <c r="Y265" i="2"/>
  <c r="X265" i="2"/>
  <c r="W265" i="2"/>
  <c r="V265" i="2"/>
  <c r="T265" i="2"/>
  <c r="S265" i="2"/>
  <c r="R265" i="2"/>
  <c r="Q265" i="2"/>
  <c r="P265" i="2"/>
  <c r="O265" i="2"/>
  <c r="N265" i="2"/>
  <c r="M265" i="2"/>
  <c r="L265" i="2"/>
  <c r="K265" i="2"/>
  <c r="J265" i="2"/>
  <c r="I265" i="2"/>
  <c r="H265" i="2"/>
  <c r="G265" i="2"/>
  <c r="F265" i="2"/>
  <c r="E265" i="2"/>
  <c r="D265" i="2"/>
  <c r="C265" i="2"/>
  <c r="B265" i="2"/>
  <c r="A265" i="2"/>
  <c r="AH264" i="2"/>
  <c r="AF264" i="2"/>
  <c r="AE264" i="2"/>
  <c r="AD264" i="2"/>
  <c r="AC264" i="2"/>
  <c r="AB264" i="2"/>
  <c r="W264" i="2"/>
  <c r="V264" i="2"/>
  <c r="U264" i="2"/>
  <c r="Q264" i="2"/>
  <c r="P264" i="2"/>
  <c r="O264" i="2"/>
  <c r="N264" i="2"/>
  <c r="M264" i="2"/>
  <c r="L264" i="2"/>
  <c r="K264" i="2"/>
  <c r="J264" i="2"/>
  <c r="I264" i="2"/>
  <c r="H264" i="2"/>
  <c r="G264" i="2"/>
  <c r="F264" i="2"/>
  <c r="E264" i="2"/>
  <c r="D264" i="2"/>
  <c r="C264" i="2"/>
  <c r="B264" i="2"/>
  <c r="A264" i="2"/>
  <c r="AH263" i="2"/>
  <c r="AG263" i="2"/>
  <c r="AF263" i="2"/>
  <c r="AE263" i="2"/>
  <c r="AD263" i="2"/>
  <c r="AC263" i="2"/>
  <c r="AB263" i="2"/>
  <c r="Z263" i="2"/>
  <c r="Y263" i="2"/>
  <c r="X263" i="2"/>
  <c r="W263" i="2"/>
  <c r="V263" i="2"/>
  <c r="R263" i="2"/>
  <c r="Q263" i="2"/>
  <c r="P263" i="2"/>
  <c r="O263" i="2"/>
  <c r="N263" i="2"/>
  <c r="M263" i="2"/>
  <c r="L263" i="2"/>
  <c r="K263" i="2"/>
  <c r="J263" i="2"/>
  <c r="I263" i="2"/>
  <c r="H263" i="2"/>
  <c r="G263" i="2"/>
  <c r="F263" i="2"/>
  <c r="E263" i="2"/>
  <c r="D263" i="2"/>
  <c r="C263" i="2"/>
  <c r="B263" i="2"/>
  <c r="A263" i="2"/>
  <c r="AH262" i="2"/>
  <c r="AF262" i="2"/>
  <c r="AE262" i="2"/>
  <c r="AD262" i="2"/>
  <c r="AC262" i="2"/>
  <c r="AB262" i="2"/>
  <c r="Z262" i="2"/>
  <c r="W262" i="2"/>
  <c r="V262" i="2"/>
  <c r="U262" i="2"/>
  <c r="T262" i="2"/>
  <c r="S262" i="2"/>
  <c r="R262" i="2"/>
  <c r="Q262" i="2"/>
  <c r="P262" i="2"/>
  <c r="O262" i="2"/>
  <c r="N262" i="2"/>
  <c r="M262" i="2"/>
  <c r="L262" i="2"/>
  <c r="K262" i="2"/>
  <c r="J262" i="2"/>
  <c r="I262" i="2"/>
  <c r="H262" i="2"/>
  <c r="G262" i="2"/>
  <c r="F262" i="2"/>
  <c r="E262" i="2"/>
  <c r="D262" i="2"/>
  <c r="C262" i="2"/>
  <c r="B262" i="2"/>
  <c r="A262" i="2"/>
  <c r="AH261" i="2"/>
  <c r="AG261" i="2"/>
  <c r="AE261" i="2"/>
  <c r="AD261" i="2"/>
  <c r="AC261" i="2"/>
  <c r="AB261" i="2"/>
  <c r="Z261" i="2"/>
  <c r="Y261" i="2"/>
  <c r="W261" i="2"/>
  <c r="V261" i="2"/>
  <c r="U261" i="2"/>
  <c r="T261" i="2"/>
  <c r="S261" i="2"/>
  <c r="R261" i="2"/>
  <c r="Q261" i="2"/>
  <c r="P261" i="2"/>
  <c r="O261" i="2"/>
  <c r="N261" i="2"/>
  <c r="M261" i="2"/>
  <c r="L261" i="2"/>
  <c r="K261" i="2"/>
  <c r="J261" i="2"/>
  <c r="I261" i="2"/>
  <c r="H261" i="2"/>
  <c r="G261" i="2"/>
  <c r="F261" i="2"/>
  <c r="E261" i="2"/>
  <c r="D261" i="2"/>
  <c r="C261" i="2"/>
  <c r="B261" i="2"/>
  <c r="A261" i="2"/>
  <c r="AH260" i="2"/>
  <c r="AF260" i="2"/>
  <c r="AE260" i="2"/>
  <c r="AD260" i="2"/>
  <c r="AC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H259" i="2"/>
  <c r="AG259" i="2"/>
  <c r="AF259" i="2"/>
  <c r="AD259" i="2"/>
  <c r="AC259" i="2"/>
  <c r="AB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H258" i="2"/>
  <c r="AG258" i="2"/>
  <c r="AF258" i="2"/>
  <c r="AE258" i="2"/>
  <c r="AD258" i="2"/>
  <c r="AC258" i="2"/>
  <c r="AB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H257" i="2"/>
  <c r="AF257" i="2"/>
  <c r="AE257" i="2"/>
  <c r="AD257" i="2"/>
  <c r="AC257" i="2"/>
  <c r="AB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H256" i="2"/>
  <c r="AG256" i="2"/>
  <c r="AF256" i="2"/>
  <c r="AE256" i="2"/>
  <c r="AD256" i="2"/>
  <c r="AC256" i="2"/>
  <c r="AB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H255" i="2"/>
  <c r="AF255" i="2"/>
  <c r="AE255" i="2"/>
  <c r="AD255" i="2"/>
  <c r="AC255" i="2"/>
  <c r="AB255" i="2"/>
  <c r="Y255" i="2"/>
  <c r="X255" i="2"/>
  <c r="W255" i="2"/>
  <c r="V255" i="2"/>
  <c r="U255" i="2"/>
  <c r="S255" i="2"/>
  <c r="R255" i="2"/>
  <c r="Q255" i="2"/>
  <c r="P255" i="2"/>
  <c r="O255" i="2"/>
  <c r="N255" i="2"/>
  <c r="M255" i="2"/>
  <c r="L255" i="2"/>
  <c r="K255" i="2"/>
  <c r="J255" i="2"/>
  <c r="I255" i="2"/>
  <c r="H255" i="2"/>
  <c r="G255" i="2"/>
  <c r="F255" i="2"/>
  <c r="E255" i="2"/>
  <c r="D255" i="2"/>
  <c r="C255" i="2"/>
  <c r="B255" i="2"/>
  <c r="A255" i="2"/>
  <c r="AH254" i="2"/>
  <c r="AG254" i="2"/>
  <c r="AF254" i="2"/>
  <c r="AE254" i="2"/>
  <c r="AD254" i="2"/>
  <c r="AC254" i="2"/>
  <c r="AB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H253" i="2"/>
  <c r="AG253" i="2"/>
  <c r="AF253" i="2"/>
  <c r="AE253" i="2"/>
  <c r="AD253" i="2"/>
  <c r="AC253" i="2"/>
  <c r="AB253" i="2"/>
  <c r="Z253" i="2"/>
  <c r="Y253" i="2"/>
  <c r="W253" i="2"/>
  <c r="V253" i="2"/>
  <c r="U253" i="2"/>
  <c r="T253" i="2"/>
  <c r="S253" i="2"/>
  <c r="R253" i="2"/>
  <c r="Q253" i="2"/>
  <c r="P253" i="2"/>
  <c r="O253" i="2"/>
  <c r="N253" i="2"/>
  <c r="M253" i="2"/>
  <c r="L253" i="2"/>
  <c r="K253" i="2"/>
  <c r="J253" i="2"/>
  <c r="I253" i="2"/>
  <c r="H253" i="2"/>
  <c r="G253" i="2"/>
  <c r="F253" i="2"/>
  <c r="E253" i="2"/>
  <c r="D253" i="2"/>
  <c r="C253" i="2"/>
  <c r="B253" i="2"/>
  <c r="A253" i="2"/>
  <c r="AH252" i="2"/>
  <c r="AF252" i="2"/>
  <c r="AE252" i="2"/>
  <c r="AD252" i="2"/>
  <c r="AC252" i="2"/>
  <c r="AB252" i="2"/>
  <c r="Z252" i="2"/>
  <c r="W252" i="2"/>
  <c r="V252" i="2"/>
  <c r="U252" i="2"/>
  <c r="T252" i="2"/>
  <c r="S252" i="2"/>
  <c r="R252" i="2"/>
  <c r="Q252" i="2"/>
  <c r="P252" i="2"/>
  <c r="O252" i="2"/>
  <c r="N252" i="2"/>
  <c r="M252" i="2"/>
  <c r="L252" i="2"/>
  <c r="K252" i="2"/>
  <c r="J252" i="2"/>
  <c r="I252" i="2"/>
  <c r="H252" i="2"/>
  <c r="G252" i="2"/>
  <c r="F252" i="2"/>
  <c r="E252" i="2"/>
  <c r="D252" i="2"/>
  <c r="C252" i="2"/>
  <c r="B252" i="2"/>
  <c r="A252" i="2"/>
  <c r="AH251" i="2"/>
  <c r="AF251" i="2"/>
  <c r="AE251" i="2"/>
  <c r="AD251" i="2"/>
  <c r="AC251" i="2"/>
  <c r="AB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H250" i="2"/>
  <c r="AF250" i="2"/>
  <c r="AE250" i="2"/>
  <c r="AD250" i="2"/>
  <c r="AC250" i="2"/>
  <c r="AB250" i="2"/>
  <c r="Z250" i="2"/>
  <c r="Y250" i="2"/>
  <c r="W250" i="2"/>
  <c r="V250" i="2"/>
  <c r="U250" i="2"/>
  <c r="T250" i="2"/>
  <c r="S250" i="2"/>
  <c r="R250" i="2"/>
  <c r="Q250" i="2"/>
  <c r="P250" i="2"/>
  <c r="O250" i="2"/>
  <c r="N250" i="2"/>
  <c r="M250" i="2"/>
  <c r="L250" i="2"/>
  <c r="K250" i="2"/>
  <c r="J250" i="2"/>
  <c r="I250" i="2"/>
  <c r="H250" i="2"/>
  <c r="G250" i="2"/>
  <c r="F250" i="2"/>
  <c r="E250" i="2"/>
  <c r="D250" i="2"/>
  <c r="C250" i="2"/>
  <c r="B250" i="2"/>
  <c r="A250" i="2"/>
  <c r="AH249" i="2"/>
  <c r="AF249" i="2"/>
  <c r="AE249" i="2"/>
  <c r="AD249" i="2"/>
  <c r="AC249" i="2"/>
  <c r="AB249" i="2"/>
  <c r="Z249" i="2"/>
  <c r="Y249" i="2"/>
  <c r="W249" i="2"/>
  <c r="V249" i="2"/>
  <c r="U249" i="2"/>
  <c r="T249" i="2"/>
  <c r="S249" i="2"/>
  <c r="R249" i="2"/>
  <c r="Q249" i="2"/>
  <c r="P249" i="2"/>
  <c r="O249" i="2"/>
  <c r="N249" i="2"/>
  <c r="M249" i="2"/>
  <c r="L249" i="2"/>
  <c r="K249" i="2"/>
  <c r="J249" i="2"/>
  <c r="I249" i="2"/>
  <c r="H249" i="2"/>
  <c r="G249" i="2"/>
  <c r="F249" i="2"/>
  <c r="E249" i="2"/>
  <c r="D249" i="2"/>
  <c r="C249" i="2"/>
  <c r="B249" i="2"/>
  <c r="A249" i="2"/>
  <c r="AH248" i="2"/>
  <c r="AG248" i="2"/>
  <c r="AF248" i="2"/>
  <c r="AE248" i="2"/>
  <c r="AD248" i="2"/>
  <c r="AC248" i="2"/>
  <c r="AB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H247" i="2"/>
  <c r="AF247" i="2"/>
  <c r="AE247" i="2"/>
  <c r="AD247" i="2"/>
  <c r="AC247" i="2"/>
  <c r="AB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H246" i="2"/>
  <c r="AG246" i="2"/>
  <c r="AF246" i="2"/>
  <c r="AE246" i="2"/>
  <c r="AD246" i="2"/>
  <c r="AC246" i="2"/>
  <c r="AB246" i="2"/>
  <c r="AA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H245" i="2"/>
  <c r="AF245" i="2"/>
  <c r="AE245" i="2"/>
  <c r="AD245" i="2"/>
  <c r="AC245" i="2"/>
  <c r="AB245" i="2"/>
  <c r="Z245" i="2"/>
  <c r="Y245" i="2"/>
  <c r="W245" i="2"/>
  <c r="V245" i="2"/>
  <c r="U245" i="2"/>
  <c r="T245" i="2"/>
  <c r="S245" i="2"/>
  <c r="R245" i="2"/>
  <c r="Q245" i="2"/>
  <c r="P245" i="2"/>
  <c r="O245" i="2"/>
  <c r="N245" i="2"/>
  <c r="M245" i="2"/>
  <c r="L245" i="2"/>
  <c r="K245" i="2"/>
  <c r="J245" i="2"/>
  <c r="I245" i="2"/>
  <c r="H245" i="2"/>
  <c r="G245" i="2"/>
  <c r="F245" i="2"/>
  <c r="E245" i="2"/>
  <c r="D245" i="2"/>
  <c r="C245" i="2"/>
  <c r="B245" i="2"/>
  <c r="A245" i="2"/>
  <c r="AH244" i="2"/>
  <c r="AF244" i="2"/>
  <c r="AE244" i="2"/>
  <c r="AD244" i="2"/>
  <c r="AC244" i="2"/>
  <c r="AB244" i="2"/>
  <c r="AA244" i="2"/>
  <c r="Z244" i="2"/>
  <c r="Y244" i="2"/>
  <c r="W244" i="2"/>
  <c r="V244" i="2"/>
  <c r="U244" i="2"/>
  <c r="T244" i="2"/>
  <c r="S244" i="2"/>
  <c r="R244" i="2"/>
  <c r="Q244" i="2"/>
  <c r="P244" i="2"/>
  <c r="O244" i="2"/>
  <c r="N244" i="2"/>
  <c r="M244" i="2"/>
  <c r="K244" i="2"/>
  <c r="J244" i="2"/>
  <c r="I244" i="2"/>
  <c r="H244" i="2"/>
  <c r="G244" i="2"/>
  <c r="F244" i="2"/>
  <c r="E244" i="2"/>
  <c r="D244" i="2"/>
  <c r="C244" i="2"/>
  <c r="B244" i="2"/>
  <c r="A244" i="2"/>
  <c r="AH243" i="2"/>
  <c r="AG243" i="2"/>
  <c r="AF243" i="2"/>
  <c r="AE243" i="2"/>
  <c r="AD243" i="2"/>
  <c r="AC243" i="2"/>
  <c r="AB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H242" i="2"/>
  <c r="AG242" i="2"/>
  <c r="AF242" i="2"/>
  <c r="AE242" i="2"/>
  <c r="AD242" i="2"/>
  <c r="AC242" i="2"/>
  <c r="AB242" i="2"/>
  <c r="Z242" i="2"/>
  <c r="Y242" i="2"/>
  <c r="X242" i="2"/>
  <c r="W242" i="2"/>
  <c r="V242" i="2"/>
  <c r="U242" i="2"/>
  <c r="T242" i="2"/>
  <c r="S242" i="2"/>
  <c r="R242" i="2"/>
  <c r="Q242" i="2"/>
  <c r="P242" i="2"/>
  <c r="O242" i="2"/>
  <c r="N242" i="2"/>
  <c r="M242" i="2"/>
  <c r="K242" i="2"/>
  <c r="J242" i="2"/>
  <c r="I242" i="2"/>
  <c r="H242" i="2"/>
  <c r="G242" i="2"/>
  <c r="F242" i="2"/>
  <c r="E242" i="2"/>
  <c r="D242" i="2"/>
  <c r="C242" i="2"/>
  <c r="B242" i="2"/>
  <c r="A242" i="2"/>
  <c r="AH241" i="2"/>
  <c r="AF241" i="2"/>
  <c r="AE241" i="2"/>
  <c r="AD241" i="2"/>
  <c r="AC241" i="2"/>
  <c r="AB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H240" i="2"/>
  <c r="AG240" i="2"/>
  <c r="AF240" i="2"/>
  <c r="AE240" i="2"/>
  <c r="AD240" i="2"/>
  <c r="AC240" i="2"/>
  <c r="AB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H239" i="2"/>
  <c r="AG239" i="2"/>
  <c r="AF239" i="2"/>
  <c r="AE239" i="2"/>
  <c r="AD239" i="2"/>
  <c r="AC239" i="2"/>
  <c r="AB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H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H237" i="2"/>
  <c r="AG237" i="2"/>
  <c r="AF237" i="2"/>
  <c r="AE237" i="2"/>
  <c r="AD237" i="2"/>
  <c r="AC237" i="2"/>
  <c r="AB237" i="2"/>
  <c r="Z237" i="2"/>
  <c r="Y237" i="2"/>
  <c r="X237" i="2"/>
  <c r="W237" i="2"/>
  <c r="V237" i="2"/>
  <c r="U237" i="2"/>
  <c r="T237" i="2"/>
  <c r="S237" i="2"/>
  <c r="R237" i="2"/>
  <c r="Q237" i="2"/>
  <c r="P237" i="2"/>
  <c r="O237" i="2"/>
  <c r="N237" i="2"/>
  <c r="M237" i="2"/>
  <c r="K237" i="2"/>
  <c r="J237" i="2"/>
  <c r="I237" i="2"/>
  <c r="H237" i="2"/>
  <c r="G237" i="2"/>
  <c r="F237" i="2"/>
  <c r="E237" i="2"/>
  <c r="D237" i="2"/>
  <c r="C237" i="2"/>
  <c r="B237" i="2"/>
  <c r="A237" i="2"/>
  <c r="AH236" i="2"/>
  <c r="AG236" i="2"/>
  <c r="AF236" i="2"/>
  <c r="AE236" i="2"/>
  <c r="AD236" i="2"/>
  <c r="AC236" i="2"/>
  <c r="AB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H235" i="2"/>
  <c r="AF235" i="2"/>
  <c r="AE235" i="2"/>
  <c r="AD235" i="2"/>
  <c r="AC235" i="2"/>
  <c r="AB235" i="2"/>
  <c r="Z235" i="2"/>
  <c r="Y235" i="2"/>
  <c r="X235" i="2"/>
  <c r="W235" i="2"/>
  <c r="V235" i="2"/>
  <c r="U235" i="2"/>
  <c r="T235" i="2"/>
  <c r="S235" i="2"/>
  <c r="R235" i="2"/>
  <c r="Q235" i="2"/>
  <c r="P235" i="2"/>
  <c r="O235" i="2"/>
  <c r="N235" i="2"/>
  <c r="M235" i="2"/>
  <c r="L235" i="2"/>
  <c r="K235" i="2"/>
  <c r="J235" i="2"/>
  <c r="I235" i="2"/>
  <c r="H235" i="2"/>
  <c r="G235" i="2"/>
  <c r="F235" i="2"/>
  <c r="E235" i="2"/>
  <c r="D235" i="2"/>
  <c r="C235" i="2"/>
  <c r="B235" i="2"/>
  <c r="A235" i="2"/>
  <c r="AH234" i="2"/>
  <c r="AG234" i="2"/>
  <c r="AF234" i="2"/>
  <c r="AE234" i="2"/>
  <c r="AD234" i="2"/>
  <c r="AC234" i="2"/>
  <c r="AB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H231" i="2"/>
  <c r="AF231" i="2"/>
  <c r="AE231" i="2"/>
  <c r="AD231" i="2"/>
  <c r="AC231" i="2"/>
  <c r="AB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H230" i="2"/>
  <c r="AF230" i="2"/>
  <c r="AE230" i="2"/>
  <c r="AD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H229" i="2"/>
  <c r="AG229" i="2"/>
  <c r="AF229" i="2"/>
  <c r="AE229" i="2"/>
  <c r="AD229" i="2"/>
  <c r="AC229" i="2"/>
  <c r="AB229" i="2"/>
  <c r="Z229" i="2"/>
  <c r="Y229" i="2"/>
  <c r="X229" i="2"/>
  <c r="W229" i="2"/>
  <c r="V229" i="2"/>
  <c r="U229" i="2"/>
  <c r="T229" i="2"/>
  <c r="S229" i="2"/>
  <c r="R229" i="2"/>
  <c r="Q229" i="2"/>
  <c r="P229" i="2"/>
  <c r="N229" i="2"/>
  <c r="M229" i="2"/>
  <c r="L229" i="2"/>
  <c r="K229" i="2"/>
  <c r="J229" i="2"/>
  <c r="I229" i="2"/>
  <c r="H229" i="2"/>
  <c r="G229" i="2"/>
  <c r="F229" i="2"/>
  <c r="E229" i="2"/>
  <c r="D229" i="2"/>
  <c r="C229" i="2"/>
  <c r="B229" i="2"/>
  <c r="A229" i="2"/>
  <c r="AH228" i="2"/>
  <c r="AF228" i="2"/>
  <c r="AE228" i="2"/>
  <c r="AD228" i="2"/>
  <c r="AC228" i="2"/>
  <c r="AB228" i="2"/>
  <c r="Z228" i="2"/>
  <c r="W228" i="2"/>
  <c r="V228" i="2"/>
  <c r="U228" i="2"/>
  <c r="T228" i="2"/>
  <c r="S228" i="2"/>
  <c r="R228" i="2"/>
  <c r="Q228" i="2"/>
  <c r="P228" i="2"/>
  <c r="O228" i="2"/>
  <c r="N228" i="2"/>
  <c r="M228" i="2"/>
  <c r="L228" i="2"/>
  <c r="K228" i="2"/>
  <c r="J228" i="2"/>
  <c r="I228" i="2"/>
  <c r="H228" i="2"/>
  <c r="G228" i="2"/>
  <c r="F228" i="2"/>
  <c r="E228" i="2"/>
  <c r="D228" i="2"/>
  <c r="C228" i="2"/>
  <c r="B228" i="2"/>
  <c r="A228" i="2"/>
  <c r="AH227" i="2"/>
  <c r="AG227" i="2"/>
  <c r="AF227" i="2"/>
  <c r="AE227" i="2"/>
  <c r="AD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H226" i="2"/>
  <c r="AF226" i="2"/>
  <c r="AE226" i="2"/>
  <c r="AD226" i="2"/>
  <c r="AC226" i="2"/>
  <c r="AB226" i="2"/>
  <c r="Y226" i="2"/>
  <c r="W226" i="2"/>
  <c r="V226" i="2"/>
  <c r="U226" i="2"/>
  <c r="T226" i="2"/>
  <c r="S226" i="2"/>
  <c r="R226" i="2"/>
  <c r="Q226" i="2"/>
  <c r="P226" i="2"/>
  <c r="N226" i="2"/>
  <c r="M226" i="2"/>
  <c r="L226" i="2"/>
  <c r="K226" i="2"/>
  <c r="J226" i="2"/>
  <c r="I226" i="2"/>
  <c r="H226" i="2"/>
  <c r="G226" i="2"/>
  <c r="F226" i="2"/>
  <c r="E226" i="2"/>
  <c r="D226" i="2"/>
  <c r="C226" i="2"/>
  <c r="B226" i="2"/>
  <c r="A226" i="2"/>
  <c r="AH225" i="2"/>
  <c r="AF225" i="2"/>
  <c r="AE225" i="2"/>
  <c r="AD225" i="2"/>
  <c r="AC225" i="2"/>
  <c r="AB225" i="2"/>
  <c r="Z225" i="2"/>
  <c r="Y225" i="2"/>
  <c r="W225" i="2"/>
  <c r="V225" i="2"/>
  <c r="U225" i="2"/>
  <c r="T225" i="2"/>
  <c r="S225" i="2"/>
  <c r="R225" i="2"/>
  <c r="Q225" i="2"/>
  <c r="P225" i="2"/>
  <c r="O225" i="2"/>
  <c r="N225" i="2"/>
  <c r="M225" i="2"/>
  <c r="L225" i="2"/>
  <c r="K225" i="2"/>
  <c r="J225" i="2"/>
  <c r="I225" i="2"/>
  <c r="H225" i="2"/>
  <c r="G225" i="2"/>
  <c r="F225" i="2"/>
  <c r="E225" i="2"/>
  <c r="D225" i="2"/>
  <c r="C225" i="2"/>
  <c r="B225" i="2"/>
  <c r="A225" i="2"/>
  <c r="AH223" i="2"/>
  <c r="AF223" i="2"/>
  <c r="AE223" i="2"/>
  <c r="AD223" i="2"/>
  <c r="AC223" i="2"/>
  <c r="AB223" i="2"/>
  <c r="AA223" i="2"/>
  <c r="Z223" i="2"/>
  <c r="Y223" i="2"/>
  <c r="X223" i="2"/>
  <c r="W223" i="2"/>
  <c r="V223" i="2"/>
  <c r="U223" i="2"/>
  <c r="T223" i="2"/>
  <c r="Q223" i="2"/>
  <c r="P223" i="2"/>
  <c r="O223" i="2"/>
  <c r="N223" i="2"/>
  <c r="M223" i="2"/>
  <c r="L223" i="2"/>
  <c r="K223" i="2"/>
  <c r="J223" i="2"/>
  <c r="I223" i="2"/>
  <c r="H223" i="2"/>
  <c r="G223" i="2"/>
  <c r="F223" i="2"/>
  <c r="E223" i="2"/>
  <c r="D223" i="2"/>
  <c r="C223" i="2"/>
  <c r="B223" i="2"/>
  <c r="A223" i="2"/>
  <c r="AH224" i="2"/>
  <c r="AE224" i="2"/>
  <c r="AD224" i="2"/>
  <c r="AC224" i="2"/>
  <c r="AB224" i="2"/>
  <c r="Y224" i="2"/>
  <c r="W224" i="2"/>
  <c r="V224" i="2"/>
  <c r="U224" i="2"/>
  <c r="T224" i="2"/>
  <c r="S224" i="2"/>
  <c r="R224" i="2"/>
  <c r="Q224" i="2"/>
  <c r="P224" i="2"/>
  <c r="O224" i="2"/>
  <c r="N224" i="2"/>
  <c r="M224" i="2"/>
  <c r="L224" i="2"/>
  <c r="K224" i="2"/>
  <c r="J224" i="2"/>
  <c r="I224" i="2"/>
  <c r="H224" i="2"/>
  <c r="G224" i="2"/>
  <c r="F224" i="2"/>
  <c r="E224" i="2"/>
  <c r="D224" i="2"/>
  <c r="C224" i="2"/>
  <c r="B224" i="2"/>
  <c r="A224" i="2"/>
  <c r="AH222" i="2"/>
  <c r="AG222" i="2"/>
  <c r="AF222" i="2"/>
  <c r="AE222" i="2"/>
  <c r="AD222" i="2"/>
  <c r="AC222" i="2"/>
  <c r="AB222" i="2"/>
  <c r="Z222" i="2"/>
  <c r="Y222" i="2"/>
  <c r="X222" i="2"/>
  <c r="W222" i="2"/>
  <c r="V222" i="2"/>
  <c r="U222" i="2"/>
  <c r="T222" i="2"/>
  <c r="S222" i="2"/>
  <c r="R222" i="2"/>
  <c r="Q222" i="2"/>
  <c r="P222" i="2"/>
  <c r="N222" i="2"/>
  <c r="M222" i="2"/>
  <c r="L222" i="2"/>
  <c r="K222" i="2"/>
  <c r="J222" i="2"/>
  <c r="I222" i="2"/>
  <c r="H222" i="2"/>
  <c r="G222" i="2"/>
  <c r="F222" i="2"/>
  <c r="E222" i="2"/>
  <c r="D222" i="2"/>
  <c r="C222" i="2"/>
  <c r="B222" i="2"/>
  <c r="A222" i="2"/>
  <c r="AH221" i="2"/>
  <c r="AF221" i="2"/>
  <c r="AE221" i="2"/>
  <c r="AD221" i="2"/>
  <c r="AC221" i="2"/>
  <c r="AB221" i="2"/>
  <c r="Z221" i="2"/>
  <c r="W221" i="2"/>
  <c r="V221" i="2"/>
  <c r="U221" i="2"/>
  <c r="T221" i="2"/>
  <c r="S221" i="2"/>
  <c r="R221" i="2"/>
  <c r="Q221" i="2"/>
  <c r="P221" i="2"/>
  <c r="O221" i="2"/>
  <c r="N221" i="2"/>
  <c r="M221" i="2"/>
  <c r="L221" i="2"/>
  <c r="K221" i="2"/>
  <c r="J221" i="2"/>
  <c r="I221" i="2"/>
  <c r="H221" i="2"/>
  <c r="G221" i="2"/>
  <c r="F221" i="2"/>
  <c r="E221" i="2"/>
  <c r="D221" i="2"/>
  <c r="C221" i="2"/>
  <c r="B221" i="2"/>
  <c r="A221" i="2"/>
  <c r="AH232" i="2"/>
  <c r="AG232" i="2"/>
  <c r="AF232" i="2"/>
  <c r="AD232" i="2"/>
  <c r="AC232" i="2"/>
  <c r="AB232" i="2"/>
  <c r="W232" i="2"/>
  <c r="V232" i="2"/>
  <c r="U232" i="2"/>
  <c r="S232" i="2"/>
  <c r="R232" i="2"/>
  <c r="Q232" i="2"/>
  <c r="P232" i="2"/>
  <c r="O232" i="2"/>
  <c r="N232" i="2"/>
  <c r="M232" i="2"/>
  <c r="L232" i="2"/>
  <c r="K232" i="2"/>
  <c r="J232" i="2"/>
  <c r="I232" i="2"/>
  <c r="H232" i="2"/>
  <c r="G232" i="2"/>
  <c r="F232" i="2"/>
  <c r="E232" i="2"/>
  <c r="D232" i="2"/>
  <c r="C232" i="2"/>
  <c r="B232" i="2"/>
  <c r="A232" i="2"/>
  <c r="AH220" i="2"/>
  <c r="AF220" i="2"/>
  <c r="AE220" i="2"/>
  <c r="AD220" i="2"/>
  <c r="AC220" i="2"/>
  <c r="AB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H219" i="2"/>
  <c r="AG219" i="2"/>
  <c r="AF219" i="2"/>
  <c r="AD219" i="2"/>
  <c r="AC219" i="2"/>
  <c r="AB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H218" i="2"/>
  <c r="AF218" i="2"/>
  <c r="AE218" i="2"/>
  <c r="AD218" i="2"/>
  <c r="AC218" i="2"/>
  <c r="AB218" i="2"/>
  <c r="Z218" i="2"/>
  <c r="W218" i="2"/>
  <c r="V218" i="2"/>
  <c r="U218" i="2"/>
  <c r="T218" i="2"/>
  <c r="S218" i="2"/>
  <c r="R218" i="2"/>
  <c r="Q218" i="2"/>
  <c r="P218" i="2"/>
  <c r="O218" i="2"/>
  <c r="N218" i="2"/>
  <c r="M218" i="2"/>
  <c r="L218" i="2"/>
  <c r="K218" i="2"/>
  <c r="J218" i="2"/>
  <c r="I218" i="2"/>
  <c r="H218" i="2"/>
  <c r="G218" i="2"/>
  <c r="F218" i="2"/>
  <c r="E218" i="2"/>
  <c r="D218" i="2"/>
  <c r="C218" i="2"/>
  <c r="B218" i="2"/>
  <c r="A218" i="2"/>
  <c r="AH217" i="2"/>
  <c r="AG217" i="2"/>
  <c r="AF217" i="2"/>
  <c r="AE217" i="2"/>
  <c r="AD217" i="2"/>
  <c r="AC217" i="2"/>
  <c r="AB217" i="2"/>
  <c r="Z217" i="2"/>
  <c r="Y217" i="2"/>
  <c r="X217" i="2"/>
  <c r="W217" i="2"/>
  <c r="V217" i="2"/>
  <c r="U217" i="2"/>
  <c r="T217" i="2"/>
  <c r="S217" i="2"/>
  <c r="R217" i="2"/>
  <c r="Q217" i="2"/>
  <c r="P217" i="2"/>
  <c r="N217" i="2"/>
  <c r="M217" i="2"/>
  <c r="L217" i="2"/>
  <c r="K217" i="2"/>
  <c r="J217" i="2"/>
  <c r="I217" i="2"/>
  <c r="H217" i="2"/>
  <c r="G217" i="2"/>
  <c r="F217" i="2"/>
  <c r="E217" i="2"/>
  <c r="D217" i="2"/>
  <c r="C217" i="2"/>
  <c r="B217" i="2"/>
  <c r="A217" i="2"/>
  <c r="AH216" i="2"/>
  <c r="AG216" i="2"/>
  <c r="AF216" i="2"/>
  <c r="AD216" i="2"/>
  <c r="AC216" i="2"/>
  <c r="AB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H215" i="2"/>
  <c r="AG215" i="2"/>
  <c r="AF215" i="2"/>
  <c r="AE215" i="2"/>
  <c r="AD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H214" i="2"/>
  <c r="AF214" i="2"/>
  <c r="AE214" i="2"/>
  <c r="AD214" i="2"/>
  <c r="AC214" i="2"/>
  <c r="AB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H213" i="2"/>
  <c r="AG213" i="2"/>
  <c r="AF213" i="2"/>
  <c r="AE213" i="2"/>
  <c r="AD213" i="2"/>
  <c r="AC213" i="2"/>
  <c r="AB213" i="2"/>
  <c r="Z213" i="2"/>
  <c r="Y213" i="2"/>
  <c r="X213" i="2"/>
  <c r="W213" i="2"/>
  <c r="V213" i="2"/>
  <c r="U213" i="2"/>
  <c r="T213" i="2"/>
  <c r="S213" i="2"/>
  <c r="R213" i="2"/>
  <c r="Q213" i="2"/>
  <c r="P213" i="2"/>
  <c r="O213" i="2"/>
  <c r="N213" i="2"/>
  <c r="M213" i="2"/>
  <c r="L213" i="2"/>
  <c r="K213" i="2"/>
  <c r="J213" i="2"/>
  <c r="H213" i="2"/>
  <c r="G213" i="2"/>
  <c r="F213" i="2"/>
  <c r="E213" i="2"/>
  <c r="D213" i="2"/>
  <c r="C213" i="2"/>
  <c r="B213" i="2"/>
  <c r="A213" i="2"/>
  <c r="AH212" i="2"/>
  <c r="AF212" i="2"/>
  <c r="AD212" i="2"/>
  <c r="AC212" i="2"/>
  <c r="AB212" i="2"/>
  <c r="Z212" i="2"/>
  <c r="Y212" i="2"/>
  <c r="W212" i="2"/>
  <c r="V212" i="2"/>
  <c r="U212" i="2"/>
  <c r="T212" i="2"/>
  <c r="S212" i="2"/>
  <c r="R212" i="2"/>
  <c r="Q212" i="2"/>
  <c r="P212" i="2"/>
  <c r="O212" i="2"/>
  <c r="N212" i="2"/>
  <c r="M212" i="2"/>
  <c r="L212" i="2"/>
  <c r="K212" i="2"/>
  <c r="J212" i="2"/>
  <c r="I212" i="2"/>
  <c r="H212" i="2"/>
  <c r="G212" i="2"/>
  <c r="F212" i="2"/>
  <c r="E212" i="2"/>
  <c r="D212" i="2"/>
  <c r="C212" i="2"/>
  <c r="B212" i="2"/>
  <c r="A212" i="2"/>
  <c r="AH211" i="2"/>
  <c r="AG211" i="2"/>
  <c r="AF211" i="2"/>
  <c r="AE211" i="2"/>
  <c r="AD211" i="2"/>
  <c r="AC211" i="2"/>
  <c r="AB211" i="2"/>
  <c r="Z211" i="2"/>
  <c r="Y211" i="2"/>
  <c r="X211" i="2"/>
  <c r="W211" i="2"/>
  <c r="V211" i="2"/>
  <c r="U211" i="2"/>
  <c r="T211" i="2"/>
  <c r="S211" i="2"/>
  <c r="R211" i="2"/>
  <c r="Q211" i="2"/>
  <c r="P211" i="2"/>
  <c r="O211" i="2"/>
  <c r="N211" i="2"/>
  <c r="M211" i="2"/>
  <c r="L211" i="2"/>
  <c r="K211" i="2"/>
  <c r="J211" i="2"/>
  <c r="I211" i="2"/>
  <c r="H211" i="2"/>
  <c r="G211" i="2"/>
  <c r="F211" i="2"/>
  <c r="E211" i="2"/>
  <c r="D211" i="2"/>
  <c r="C211" i="2"/>
  <c r="B211" i="2"/>
  <c r="A211" i="2"/>
  <c r="AH210" i="2"/>
  <c r="AE210" i="2"/>
  <c r="AD210" i="2"/>
  <c r="AC210" i="2"/>
  <c r="AB210" i="2"/>
  <c r="AA210" i="2"/>
  <c r="Z210" i="2"/>
  <c r="Y210" i="2"/>
  <c r="W210" i="2"/>
  <c r="V210" i="2"/>
  <c r="U210" i="2"/>
  <c r="T210" i="2"/>
  <c r="S210" i="2"/>
  <c r="R210" i="2"/>
  <c r="Q210" i="2"/>
  <c r="P210" i="2"/>
  <c r="O210" i="2"/>
  <c r="N210" i="2"/>
  <c r="M210" i="2"/>
  <c r="L210" i="2"/>
  <c r="K210" i="2"/>
  <c r="J210" i="2"/>
  <c r="I210" i="2"/>
  <c r="H210" i="2"/>
  <c r="G210" i="2"/>
  <c r="F210" i="2"/>
  <c r="E210" i="2"/>
  <c r="D210" i="2"/>
  <c r="C210" i="2"/>
  <c r="B210" i="2"/>
  <c r="A210" i="2"/>
  <c r="AH209" i="2"/>
  <c r="AF209" i="2"/>
  <c r="AD209" i="2"/>
  <c r="AC209" i="2"/>
  <c r="AB209" i="2"/>
  <c r="AA209" i="2"/>
  <c r="Z209" i="2"/>
  <c r="Y209" i="2"/>
  <c r="W209" i="2"/>
  <c r="V209" i="2"/>
  <c r="U209" i="2"/>
  <c r="T209" i="2"/>
  <c r="S209" i="2"/>
  <c r="R209" i="2"/>
  <c r="Q209" i="2"/>
  <c r="P209" i="2"/>
  <c r="O209" i="2"/>
  <c r="N209" i="2"/>
  <c r="M209" i="2"/>
  <c r="L209" i="2"/>
  <c r="K209" i="2"/>
  <c r="J209" i="2"/>
  <c r="I209" i="2"/>
  <c r="H209" i="2"/>
  <c r="G209" i="2"/>
  <c r="F209" i="2"/>
  <c r="E209" i="2"/>
  <c r="D209" i="2"/>
  <c r="C209" i="2"/>
  <c r="B209" i="2"/>
  <c r="A209" i="2"/>
  <c r="AH208" i="2"/>
  <c r="AF208" i="2"/>
  <c r="AE208" i="2"/>
  <c r="AD208" i="2"/>
  <c r="AC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H207" i="2"/>
  <c r="AE207" i="2"/>
  <c r="AD207" i="2"/>
  <c r="AC207" i="2"/>
  <c r="AB207" i="2"/>
  <c r="Y207" i="2"/>
  <c r="W207" i="2"/>
  <c r="V207" i="2"/>
  <c r="U207" i="2"/>
  <c r="T207" i="2"/>
  <c r="S207" i="2"/>
  <c r="R207" i="2"/>
  <c r="Q207" i="2"/>
  <c r="P207" i="2"/>
  <c r="O207" i="2"/>
  <c r="N207" i="2"/>
  <c r="M207" i="2"/>
  <c r="L207" i="2"/>
  <c r="K207" i="2"/>
  <c r="J207" i="2"/>
  <c r="I207" i="2"/>
  <c r="H207" i="2"/>
  <c r="G207" i="2"/>
  <c r="F207" i="2"/>
  <c r="E207" i="2"/>
  <c r="D207" i="2"/>
  <c r="C207" i="2"/>
  <c r="B207" i="2"/>
  <c r="A207" i="2"/>
  <c r="AH206" i="2"/>
  <c r="AF206" i="2"/>
  <c r="AE206" i="2"/>
  <c r="AD206" i="2"/>
  <c r="AC206" i="2"/>
  <c r="AB206" i="2"/>
  <c r="W206" i="2"/>
  <c r="V206" i="2"/>
  <c r="U206" i="2"/>
  <c r="T206" i="2"/>
  <c r="S206" i="2"/>
  <c r="R206" i="2"/>
  <c r="Q206" i="2"/>
  <c r="P206" i="2"/>
  <c r="O206" i="2"/>
  <c r="N206" i="2"/>
  <c r="M206" i="2"/>
  <c r="L206" i="2"/>
  <c r="K206" i="2"/>
  <c r="J206" i="2"/>
  <c r="I206" i="2"/>
  <c r="H206" i="2"/>
  <c r="G206" i="2"/>
  <c r="F206" i="2"/>
  <c r="E206" i="2"/>
  <c r="D206" i="2"/>
  <c r="C206" i="2"/>
  <c r="B206" i="2"/>
  <c r="A206" i="2"/>
  <c r="AH205" i="2"/>
  <c r="AG205" i="2"/>
  <c r="AF205" i="2"/>
  <c r="AE205" i="2"/>
  <c r="AD205" i="2"/>
  <c r="AC205" i="2"/>
  <c r="AB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H204" i="2"/>
  <c r="AG204" i="2"/>
  <c r="AF204" i="2"/>
  <c r="AE204" i="2"/>
  <c r="AD204" i="2"/>
  <c r="AC204" i="2"/>
  <c r="AB204" i="2"/>
  <c r="AA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H203" i="2"/>
  <c r="AG203" i="2"/>
  <c r="AF203" i="2"/>
  <c r="AE203" i="2"/>
  <c r="AD203" i="2"/>
  <c r="AC203" i="2"/>
  <c r="AB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H202" i="2"/>
  <c r="AE202" i="2"/>
  <c r="AD202" i="2"/>
  <c r="AC202" i="2"/>
  <c r="AB202" i="2"/>
  <c r="Z202" i="2"/>
  <c r="Y202" i="2"/>
  <c r="W202" i="2"/>
  <c r="V202" i="2"/>
  <c r="U202" i="2"/>
  <c r="T202" i="2"/>
  <c r="S202" i="2"/>
  <c r="R202" i="2"/>
  <c r="Q202" i="2"/>
  <c r="P202" i="2"/>
  <c r="O202" i="2"/>
  <c r="N202" i="2"/>
  <c r="M202" i="2"/>
  <c r="L202" i="2"/>
  <c r="K202" i="2"/>
  <c r="J202" i="2"/>
  <c r="I202" i="2"/>
  <c r="H202" i="2"/>
  <c r="G202" i="2"/>
  <c r="F202" i="2"/>
  <c r="E202" i="2"/>
  <c r="D202" i="2"/>
  <c r="C202" i="2"/>
  <c r="B202" i="2"/>
  <c r="A202" i="2"/>
  <c r="AH201" i="2"/>
  <c r="AG201" i="2"/>
  <c r="AF201" i="2"/>
  <c r="AE201" i="2"/>
  <c r="AD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H200" i="2"/>
  <c r="AG200" i="2"/>
  <c r="AF200" i="2"/>
  <c r="AE200" i="2"/>
  <c r="AD200" i="2"/>
  <c r="AC200" i="2"/>
  <c r="AB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H199" i="2"/>
  <c r="AF199" i="2"/>
  <c r="AE199" i="2"/>
  <c r="AD199" i="2"/>
  <c r="AC199" i="2"/>
  <c r="AB199" i="2"/>
  <c r="Z199" i="2"/>
  <c r="W199" i="2"/>
  <c r="V199" i="2"/>
  <c r="U199" i="2"/>
  <c r="T199" i="2"/>
  <c r="S199" i="2"/>
  <c r="R199" i="2"/>
  <c r="Q199" i="2"/>
  <c r="P199" i="2"/>
  <c r="O199" i="2"/>
  <c r="N199" i="2"/>
  <c r="M199" i="2"/>
  <c r="L199" i="2"/>
  <c r="K199" i="2"/>
  <c r="J199" i="2"/>
  <c r="I199" i="2"/>
  <c r="H199" i="2"/>
  <c r="G199" i="2"/>
  <c r="F199" i="2"/>
  <c r="E199" i="2"/>
  <c r="D199" i="2"/>
  <c r="C199" i="2"/>
  <c r="B199" i="2"/>
  <c r="A199" i="2"/>
  <c r="AH198" i="2"/>
  <c r="AG198" i="2"/>
  <c r="AF198" i="2"/>
  <c r="AE198" i="2"/>
  <c r="AD198" i="2"/>
  <c r="AC198" i="2"/>
  <c r="AB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H197" i="2"/>
  <c r="AG197" i="2"/>
  <c r="AF197" i="2"/>
  <c r="AE197" i="2"/>
  <c r="AD197" i="2"/>
  <c r="AC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H196" i="2"/>
  <c r="AF196" i="2"/>
  <c r="AE196" i="2"/>
  <c r="AD196" i="2"/>
  <c r="AC196" i="2"/>
  <c r="AB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H195" i="2"/>
  <c r="AF195" i="2"/>
  <c r="AE195" i="2"/>
  <c r="AD195" i="2"/>
  <c r="AC195" i="2"/>
  <c r="AB195" i="2"/>
  <c r="Z195" i="2"/>
  <c r="W195" i="2"/>
  <c r="V195" i="2"/>
  <c r="U195" i="2"/>
  <c r="T195" i="2"/>
  <c r="S195" i="2"/>
  <c r="R195" i="2"/>
  <c r="Q195" i="2"/>
  <c r="P195" i="2"/>
  <c r="O195" i="2"/>
  <c r="N195" i="2"/>
  <c r="M195" i="2"/>
  <c r="L195" i="2"/>
  <c r="K195" i="2"/>
  <c r="J195" i="2"/>
  <c r="I195" i="2"/>
  <c r="H195" i="2"/>
  <c r="G195" i="2"/>
  <c r="F195" i="2"/>
  <c r="E195" i="2"/>
  <c r="D195" i="2"/>
  <c r="C195" i="2"/>
  <c r="B195" i="2"/>
  <c r="A195" i="2"/>
  <c r="AH194" i="2"/>
  <c r="AF194" i="2"/>
  <c r="AD194" i="2"/>
  <c r="AC194" i="2"/>
  <c r="AB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H193" i="2"/>
  <c r="AG193" i="2"/>
  <c r="AF193" i="2"/>
  <c r="AE193" i="2"/>
  <c r="AD193" i="2"/>
  <c r="AC193" i="2"/>
  <c r="AB193" i="2"/>
  <c r="AA193" i="2"/>
  <c r="Z193" i="2"/>
  <c r="Y193" i="2"/>
  <c r="X193" i="2"/>
  <c r="V193" i="2"/>
  <c r="U193" i="2"/>
  <c r="T193" i="2"/>
  <c r="S193" i="2"/>
  <c r="R193" i="2"/>
  <c r="Q193" i="2"/>
  <c r="P193" i="2"/>
  <c r="O193" i="2"/>
  <c r="N193" i="2"/>
  <c r="M193" i="2"/>
  <c r="L193" i="2"/>
  <c r="K193" i="2"/>
  <c r="J193" i="2"/>
  <c r="I193" i="2"/>
  <c r="H193" i="2"/>
  <c r="G193" i="2"/>
  <c r="F193" i="2"/>
  <c r="E193" i="2"/>
  <c r="D193" i="2"/>
  <c r="C193" i="2"/>
  <c r="B193" i="2"/>
  <c r="A193" i="2"/>
  <c r="AH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H191" i="2"/>
  <c r="AG191" i="2"/>
  <c r="AF191" i="2"/>
  <c r="AE191" i="2"/>
  <c r="AD191" i="2"/>
  <c r="AC191" i="2"/>
  <c r="AB191" i="2"/>
  <c r="Z191" i="2"/>
  <c r="W191" i="2"/>
  <c r="V191" i="2"/>
  <c r="U191" i="2"/>
  <c r="T191" i="2"/>
  <c r="S191" i="2"/>
  <c r="R191" i="2"/>
  <c r="Q191" i="2"/>
  <c r="P191" i="2"/>
  <c r="N191" i="2"/>
  <c r="M191" i="2"/>
  <c r="L191" i="2"/>
  <c r="K191" i="2"/>
  <c r="J191" i="2"/>
  <c r="I191" i="2"/>
  <c r="H191" i="2"/>
  <c r="G191" i="2"/>
  <c r="F191" i="2"/>
  <c r="E191" i="2"/>
  <c r="D191" i="2"/>
  <c r="C191" i="2"/>
  <c r="B191" i="2"/>
  <c r="A191" i="2"/>
  <c r="AH190" i="2"/>
  <c r="AG190" i="2"/>
  <c r="AF190" i="2"/>
  <c r="AE190" i="2"/>
  <c r="AD190" i="2"/>
  <c r="AC190" i="2"/>
  <c r="AB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H189" i="2"/>
  <c r="AG189" i="2"/>
  <c r="AF189" i="2"/>
  <c r="AE189" i="2"/>
  <c r="AD189" i="2"/>
  <c r="AC189" i="2"/>
  <c r="AB189" i="2"/>
  <c r="AA189" i="2"/>
  <c r="Z189" i="2"/>
  <c r="Y189" i="2"/>
  <c r="W189" i="2"/>
  <c r="V189" i="2"/>
  <c r="U189" i="2"/>
  <c r="T189" i="2"/>
  <c r="S189" i="2"/>
  <c r="R189" i="2"/>
  <c r="Q189" i="2"/>
  <c r="P189" i="2"/>
  <c r="O189" i="2"/>
  <c r="N189" i="2"/>
  <c r="M189" i="2"/>
  <c r="L189" i="2"/>
  <c r="K189" i="2"/>
  <c r="J189" i="2"/>
  <c r="I189" i="2"/>
  <c r="H189" i="2"/>
  <c r="G189" i="2"/>
  <c r="F189" i="2"/>
  <c r="E189" i="2"/>
  <c r="D189" i="2"/>
  <c r="C189" i="2"/>
  <c r="B189" i="2"/>
  <c r="A189" i="2"/>
  <c r="AH188" i="2"/>
  <c r="AF188" i="2"/>
  <c r="AE188" i="2"/>
  <c r="AD188" i="2"/>
  <c r="AC188" i="2"/>
  <c r="AB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H187" i="2"/>
  <c r="AF187" i="2"/>
  <c r="AE187" i="2"/>
  <c r="AD187" i="2"/>
  <c r="AC187" i="2"/>
  <c r="AB187" i="2"/>
  <c r="Z187" i="2"/>
  <c r="W187" i="2"/>
  <c r="V187" i="2"/>
  <c r="U187" i="2"/>
  <c r="T187" i="2"/>
  <c r="S187" i="2"/>
  <c r="R187" i="2"/>
  <c r="Q187" i="2"/>
  <c r="P187" i="2"/>
  <c r="O187" i="2"/>
  <c r="N187" i="2"/>
  <c r="M187" i="2"/>
  <c r="L187" i="2"/>
  <c r="K187" i="2"/>
  <c r="J187" i="2"/>
  <c r="I187" i="2"/>
  <c r="H187" i="2"/>
  <c r="G187" i="2"/>
  <c r="F187" i="2"/>
  <c r="E187" i="2"/>
  <c r="D187" i="2"/>
  <c r="C187" i="2"/>
  <c r="B187" i="2"/>
  <c r="A187" i="2"/>
  <c r="AH186" i="2"/>
  <c r="AG186" i="2"/>
  <c r="AF186" i="2"/>
  <c r="AE186" i="2"/>
  <c r="AD186" i="2"/>
  <c r="AC186" i="2"/>
  <c r="AB186" i="2"/>
  <c r="Z186" i="2"/>
  <c r="X186" i="2"/>
  <c r="W186" i="2"/>
  <c r="V186" i="2"/>
  <c r="U186" i="2"/>
  <c r="T186" i="2"/>
  <c r="S186" i="2"/>
  <c r="R186" i="2"/>
  <c r="Q186" i="2"/>
  <c r="P186" i="2"/>
  <c r="O186" i="2"/>
  <c r="N186" i="2"/>
  <c r="M186" i="2"/>
  <c r="L186" i="2"/>
  <c r="K186" i="2"/>
  <c r="J186" i="2"/>
  <c r="H186" i="2"/>
  <c r="G186" i="2"/>
  <c r="F186" i="2"/>
  <c r="E186" i="2"/>
  <c r="D186" i="2"/>
  <c r="C186" i="2"/>
  <c r="B186" i="2"/>
  <c r="A186" i="2"/>
  <c r="AH185" i="2"/>
  <c r="AG185" i="2"/>
  <c r="AF185" i="2"/>
  <c r="AE185" i="2"/>
  <c r="AD185" i="2"/>
  <c r="AC185" i="2"/>
  <c r="AB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H184" i="2"/>
  <c r="AF184" i="2"/>
  <c r="AE184" i="2"/>
  <c r="AD184" i="2"/>
  <c r="AC184" i="2"/>
  <c r="AB184" i="2"/>
  <c r="Z184" i="2"/>
  <c r="Y184" i="2"/>
  <c r="W184" i="2"/>
  <c r="V184" i="2"/>
  <c r="U184" i="2"/>
  <c r="T184" i="2"/>
  <c r="S184" i="2"/>
  <c r="R184" i="2"/>
  <c r="Q184" i="2"/>
  <c r="P184" i="2"/>
  <c r="O184" i="2"/>
  <c r="N184" i="2"/>
  <c r="M184" i="2"/>
  <c r="L184" i="2"/>
  <c r="K184" i="2"/>
  <c r="J184" i="2"/>
  <c r="I184" i="2"/>
  <c r="H184" i="2"/>
  <c r="G184" i="2"/>
  <c r="F184" i="2"/>
  <c r="E184" i="2"/>
  <c r="D184" i="2"/>
  <c r="C184" i="2"/>
  <c r="B184" i="2"/>
  <c r="A184" i="2"/>
  <c r="AH183" i="2"/>
  <c r="AG183" i="2"/>
  <c r="AF183" i="2"/>
  <c r="AE183" i="2"/>
  <c r="AD183" i="2"/>
  <c r="AC183" i="2"/>
  <c r="AB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H182" i="2"/>
  <c r="AF182" i="2"/>
  <c r="AE182" i="2"/>
  <c r="AD182" i="2"/>
  <c r="AC182" i="2"/>
  <c r="AB182" i="2"/>
  <c r="AA182" i="2"/>
  <c r="Z182" i="2"/>
  <c r="Y182" i="2"/>
  <c r="W182" i="2"/>
  <c r="V182" i="2"/>
  <c r="U182" i="2"/>
  <c r="T182" i="2"/>
  <c r="S182" i="2"/>
  <c r="R182" i="2"/>
  <c r="Q182" i="2"/>
  <c r="P182" i="2"/>
  <c r="O182" i="2"/>
  <c r="N182" i="2"/>
  <c r="M182" i="2"/>
  <c r="L182" i="2"/>
  <c r="K182" i="2"/>
  <c r="J182" i="2"/>
  <c r="I182" i="2"/>
  <c r="H182" i="2"/>
  <c r="G182" i="2"/>
  <c r="F182" i="2"/>
  <c r="E182" i="2"/>
  <c r="D182" i="2"/>
  <c r="C182" i="2"/>
  <c r="B182" i="2"/>
  <c r="A182" i="2"/>
  <c r="AH181" i="2"/>
  <c r="AF181" i="2"/>
  <c r="AE181" i="2"/>
  <c r="AD181" i="2"/>
  <c r="AC181" i="2"/>
  <c r="AB181" i="2"/>
  <c r="AA181" i="2"/>
  <c r="Z181" i="2"/>
  <c r="Y181" i="2"/>
  <c r="W181" i="2"/>
  <c r="V181" i="2"/>
  <c r="U181" i="2"/>
  <c r="T181" i="2"/>
  <c r="S181" i="2"/>
  <c r="R181" i="2"/>
  <c r="Q181" i="2"/>
  <c r="P181" i="2"/>
  <c r="O181" i="2"/>
  <c r="N181" i="2"/>
  <c r="M181" i="2"/>
  <c r="L181" i="2"/>
  <c r="K181" i="2"/>
  <c r="J181" i="2"/>
  <c r="I181" i="2"/>
  <c r="H181" i="2"/>
  <c r="G181" i="2"/>
  <c r="F181" i="2"/>
  <c r="E181" i="2"/>
  <c r="D181" i="2"/>
  <c r="C181" i="2"/>
  <c r="B181" i="2"/>
  <c r="A181" i="2"/>
  <c r="AH180" i="2"/>
  <c r="AF180" i="2"/>
  <c r="AE180" i="2"/>
  <c r="AD180" i="2"/>
  <c r="AC180" i="2"/>
  <c r="AB180" i="2"/>
  <c r="Z180" i="2"/>
  <c r="X180" i="2"/>
  <c r="W180" i="2"/>
  <c r="V180" i="2"/>
  <c r="U180" i="2"/>
  <c r="T180" i="2"/>
  <c r="S180" i="2"/>
  <c r="R180" i="2"/>
  <c r="Q180" i="2"/>
  <c r="P180" i="2"/>
  <c r="O180" i="2"/>
  <c r="N180" i="2"/>
  <c r="M180" i="2"/>
  <c r="L180" i="2"/>
  <c r="K180" i="2"/>
  <c r="J180" i="2"/>
  <c r="I180" i="2"/>
  <c r="H180" i="2"/>
  <c r="G180" i="2"/>
  <c r="F180" i="2"/>
  <c r="E180" i="2"/>
  <c r="D180" i="2"/>
  <c r="C180" i="2"/>
  <c r="B180" i="2"/>
  <c r="A180" i="2"/>
  <c r="AH179" i="2"/>
  <c r="AF179" i="2"/>
  <c r="AE179" i="2"/>
  <c r="AD179" i="2"/>
  <c r="AC179" i="2"/>
  <c r="AB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H178" i="2"/>
  <c r="AF178" i="2"/>
  <c r="AE178" i="2"/>
  <c r="AD178" i="2"/>
  <c r="AC178" i="2"/>
  <c r="AB178" i="2"/>
  <c r="Z178" i="2"/>
  <c r="Y178" i="2"/>
  <c r="W178" i="2"/>
  <c r="V178" i="2"/>
  <c r="U178" i="2"/>
  <c r="T178" i="2"/>
  <c r="S178" i="2"/>
  <c r="R178" i="2"/>
  <c r="Q178" i="2"/>
  <c r="P178" i="2"/>
  <c r="O178" i="2"/>
  <c r="N178" i="2"/>
  <c r="M178" i="2"/>
  <c r="L178" i="2"/>
  <c r="K178" i="2"/>
  <c r="J178" i="2"/>
  <c r="I178" i="2"/>
  <c r="H178" i="2"/>
  <c r="G178" i="2"/>
  <c r="F178" i="2"/>
  <c r="E178" i="2"/>
  <c r="D178" i="2"/>
  <c r="C178" i="2"/>
  <c r="B178" i="2"/>
  <c r="A178" i="2"/>
  <c r="AH177" i="2"/>
  <c r="AF177" i="2"/>
  <c r="AE177" i="2"/>
  <c r="AD177" i="2"/>
  <c r="AC177" i="2"/>
  <c r="AB177" i="2"/>
  <c r="Z177" i="2"/>
  <c r="Y177" i="2"/>
  <c r="W177" i="2"/>
  <c r="V177" i="2"/>
  <c r="U177" i="2"/>
  <c r="T177" i="2"/>
  <c r="S177" i="2"/>
  <c r="R177" i="2"/>
  <c r="Q177" i="2"/>
  <c r="P177" i="2"/>
  <c r="O177" i="2"/>
  <c r="N177" i="2"/>
  <c r="M177" i="2"/>
  <c r="L177" i="2"/>
  <c r="K177" i="2"/>
  <c r="J177" i="2"/>
  <c r="I177" i="2"/>
  <c r="H177" i="2"/>
  <c r="G177" i="2"/>
  <c r="F177" i="2"/>
  <c r="E177" i="2"/>
  <c r="D177" i="2"/>
  <c r="C177" i="2"/>
  <c r="B177" i="2"/>
  <c r="A177" i="2"/>
  <c r="AH176" i="2"/>
  <c r="AG176" i="2"/>
  <c r="AF176" i="2"/>
  <c r="AE176" i="2"/>
  <c r="AD176" i="2"/>
  <c r="AC176" i="2"/>
  <c r="AB176" i="2"/>
  <c r="AA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H175" i="2"/>
  <c r="AG175" i="2"/>
  <c r="AF175" i="2"/>
  <c r="AE175" i="2"/>
  <c r="AD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H174" i="2"/>
  <c r="AF174" i="2"/>
  <c r="AE174" i="2"/>
  <c r="AD174" i="2"/>
  <c r="AC174" i="2"/>
  <c r="AB174" i="2"/>
  <c r="Z174" i="2"/>
  <c r="Y174" i="2"/>
  <c r="W174" i="2"/>
  <c r="V174" i="2"/>
  <c r="U174" i="2"/>
  <c r="T174" i="2"/>
  <c r="S174" i="2"/>
  <c r="R174" i="2"/>
  <c r="Q174" i="2"/>
  <c r="P174" i="2"/>
  <c r="O174" i="2"/>
  <c r="N174" i="2"/>
  <c r="M174" i="2"/>
  <c r="L174" i="2"/>
  <c r="K174" i="2"/>
  <c r="J174" i="2"/>
  <c r="I174" i="2"/>
  <c r="H174" i="2"/>
  <c r="G174" i="2"/>
  <c r="F174" i="2"/>
  <c r="E174" i="2"/>
  <c r="D174" i="2"/>
  <c r="C174" i="2"/>
  <c r="B174" i="2"/>
  <c r="A174" i="2"/>
  <c r="AH173" i="2"/>
  <c r="AF173" i="2"/>
  <c r="AE173" i="2"/>
  <c r="AD173" i="2"/>
  <c r="AC173" i="2"/>
  <c r="AB173" i="2"/>
  <c r="Z173" i="2"/>
  <c r="Y173" i="2"/>
  <c r="W173" i="2"/>
  <c r="V173" i="2"/>
  <c r="U173" i="2"/>
  <c r="T173" i="2"/>
  <c r="S173" i="2"/>
  <c r="R173" i="2"/>
  <c r="Q173" i="2"/>
  <c r="P173" i="2"/>
  <c r="O173" i="2"/>
  <c r="N173" i="2"/>
  <c r="M173" i="2"/>
  <c r="L173" i="2"/>
  <c r="K173" i="2"/>
  <c r="J173" i="2"/>
  <c r="I173" i="2"/>
  <c r="H173" i="2"/>
  <c r="G173" i="2"/>
  <c r="F173" i="2"/>
  <c r="E173" i="2"/>
  <c r="D173" i="2"/>
  <c r="C173" i="2"/>
  <c r="B173" i="2"/>
  <c r="A173" i="2"/>
  <c r="AH172" i="2"/>
  <c r="AG172" i="2"/>
  <c r="AF172" i="2"/>
  <c r="AE172" i="2"/>
  <c r="AD172" i="2"/>
  <c r="AC172" i="2"/>
  <c r="AB172" i="2"/>
  <c r="AA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H171" i="2"/>
  <c r="AF171" i="2"/>
  <c r="AE171" i="2"/>
  <c r="AD171" i="2"/>
  <c r="AC171" i="2"/>
  <c r="AB171" i="2"/>
  <c r="Z171" i="2"/>
  <c r="W171" i="2"/>
  <c r="V171" i="2"/>
  <c r="U171" i="2"/>
  <c r="T171" i="2"/>
  <c r="S171" i="2"/>
  <c r="R171" i="2"/>
  <c r="Q171" i="2"/>
  <c r="P171" i="2"/>
  <c r="O171" i="2"/>
  <c r="N171" i="2"/>
  <c r="M171" i="2"/>
  <c r="L171" i="2"/>
  <c r="K171" i="2"/>
  <c r="J171" i="2"/>
  <c r="I171" i="2"/>
  <c r="H171" i="2"/>
  <c r="G171" i="2"/>
  <c r="F171" i="2"/>
  <c r="E171" i="2"/>
  <c r="D171" i="2"/>
  <c r="C171" i="2"/>
  <c r="B171" i="2"/>
  <c r="A171" i="2"/>
  <c r="AH170" i="2"/>
  <c r="AG170" i="2"/>
  <c r="AF170" i="2"/>
  <c r="AE170" i="2"/>
  <c r="AD170" i="2"/>
  <c r="AC170" i="2"/>
  <c r="AB170" i="2"/>
  <c r="Z170" i="2"/>
  <c r="Y170" i="2"/>
  <c r="X170" i="2"/>
  <c r="W170" i="2"/>
  <c r="V170" i="2"/>
  <c r="U170" i="2"/>
  <c r="T170" i="2"/>
  <c r="S170" i="2"/>
  <c r="R170" i="2"/>
  <c r="Q170" i="2"/>
  <c r="P170" i="2"/>
  <c r="O170" i="2"/>
  <c r="N170" i="2"/>
  <c r="M170" i="2"/>
  <c r="L170" i="2"/>
  <c r="K170" i="2"/>
  <c r="J170" i="2"/>
  <c r="I170" i="2"/>
  <c r="H170" i="2"/>
  <c r="G170" i="2"/>
  <c r="F170" i="2"/>
  <c r="E170" i="2"/>
  <c r="D170" i="2"/>
  <c r="C170" i="2"/>
  <c r="B170" i="2"/>
  <c r="A170" i="2"/>
  <c r="AH169" i="2"/>
  <c r="AG169" i="2"/>
  <c r="AF169" i="2"/>
  <c r="AE169" i="2"/>
  <c r="AD169" i="2"/>
  <c r="AC169" i="2"/>
  <c r="AB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H168" i="2"/>
  <c r="AG168" i="2"/>
  <c r="AF168" i="2"/>
  <c r="AE168" i="2"/>
  <c r="AD168" i="2"/>
  <c r="AC168" i="2"/>
  <c r="AB168" i="2"/>
  <c r="Z168" i="2"/>
  <c r="W168" i="2"/>
  <c r="V168" i="2"/>
  <c r="U168" i="2"/>
  <c r="T168" i="2"/>
  <c r="S168" i="2"/>
  <c r="R168" i="2"/>
  <c r="Q168" i="2"/>
  <c r="P168" i="2"/>
  <c r="O168" i="2"/>
  <c r="N168" i="2"/>
  <c r="M168" i="2"/>
  <c r="L168" i="2"/>
  <c r="K168" i="2"/>
  <c r="J168" i="2"/>
  <c r="I168" i="2"/>
  <c r="H168" i="2"/>
  <c r="G168" i="2"/>
  <c r="F168" i="2"/>
  <c r="E168" i="2"/>
  <c r="D168" i="2"/>
  <c r="C168" i="2"/>
  <c r="B168" i="2"/>
  <c r="A168" i="2"/>
  <c r="AH167" i="2"/>
  <c r="AF167" i="2"/>
  <c r="AE167" i="2"/>
  <c r="AD167" i="2"/>
  <c r="AC167" i="2"/>
  <c r="AB167" i="2"/>
  <c r="Z167" i="2"/>
  <c r="Y167" i="2"/>
  <c r="W167" i="2"/>
  <c r="V167" i="2"/>
  <c r="U167" i="2"/>
  <c r="T167" i="2"/>
  <c r="S167" i="2"/>
  <c r="R167" i="2"/>
  <c r="Q167" i="2"/>
  <c r="P167" i="2"/>
  <c r="O167" i="2"/>
  <c r="N167" i="2"/>
  <c r="M167" i="2"/>
  <c r="L167" i="2"/>
  <c r="K167" i="2"/>
  <c r="J167" i="2"/>
  <c r="I167" i="2"/>
  <c r="H167" i="2"/>
  <c r="G167" i="2"/>
  <c r="F167" i="2"/>
  <c r="E167" i="2"/>
  <c r="D167" i="2"/>
  <c r="C167" i="2"/>
  <c r="B167" i="2"/>
  <c r="A167" i="2"/>
  <c r="AH166" i="2"/>
  <c r="AG166" i="2"/>
  <c r="AF166" i="2"/>
  <c r="AE166" i="2"/>
  <c r="AD166" i="2"/>
  <c r="AC166" i="2"/>
  <c r="AB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H165" i="2"/>
  <c r="AF165" i="2"/>
  <c r="AE165" i="2"/>
  <c r="AD165" i="2"/>
  <c r="AC165" i="2"/>
  <c r="AB165" i="2"/>
  <c r="Z165" i="2"/>
  <c r="Y165" i="2"/>
  <c r="W165" i="2"/>
  <c r="V165" i="2"/>
  <c r="U165" i="2"/>
  <c r="T165" i="2"/>
  <c r="S165" i="2"/>
  <c r="R165" i="2"/>
  <c r="Q165" i="2"/>
  <c r="P165" i="2"/>
  <c r="O165" i="2"/>
  <c r="N165" i="2"/>
  <c r="M165" i="2"/>
  <c r="L165" i="2"/>
  <c r="K165" i="2"/>
  <c r="J165" i="2"/>
  <c r="I165" i="2"/>
  <c r="H165" i="2"/>
  <c r="G165" i="2"/>
  <c r="F165" i="2"/>
  <c r="E165" i="2"/>
  <c r="D165" i="2"/>
  <c r="C165" i="2"/>
  <c r="B165" i="2"/>
  <c r="A165" i="2"/>
  <c r="AH164" i="2"/>
  <c r="AF164" i="2"/>
  <c r="AE164" i="2"/>
  <c r="AD164" i="2"/>
  <c r="AC164" i="2"/>
  <c r="AB164" i="2"/>
  <c r="Z164" i="2"/>
  <c r="X164" i="2"/>
  <c r="W164" i="2"/>
  <c r="V164" i="2"/>
  <c r="U164" i="2"/>
  <c r="T164" i="2"/>
  <c r="S164" i="2"/>
  <c r="R164" i="2"/>
  <c r="Q164" i="2"/>
  <c r="P164" i="2"/>
  <c r="O164" i="2"/>
  <c r="N164" i="2"/>
  <c r="M164" i="2"/>
  <c r="L164" i="2"/>
  <c r="K164" i="2"/>
  <c r="J164" i="2"/>
  <c r="I164" i="2"/>
  <c r="H164" i="2"/>
  <c r="G164" i="2"/>
  <c r="F164" i="2"/>
  <c r="E164" i="2"/>
  <c r="D164" i="2"/>
  <c r="C164" i="2"/>
  <c r="B164" i="2"/>
  <c r="A164" i="2"/>
  <c r="AH163" i="2"/>
  <c r="AF163" i="2"/>
  <c r="AE163" i="2"/>
  <c r="AD163" i="2"/>
  <c r="AC163" i="2"/>
  <c r="AB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H162" i="2"/>
  <c r="AF162" i="2"/>
  <c r="AE162" i="2"/>
  <c r="AD162" i="2"/>
  <c r="AC162" i="2"/>
  <c r="AB162" i="2"/>
  <c r="AA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H161" i="2"/>
  <c r="AF161" i="2"/>
  <c r="AE161" i="2"/>
  <c r="AD161" i="2"/>
  <c r="AC161" i="2"/>
  <c r="AB161" i="2"/>
  <c r="W161" i="2"/>
  <c r="V161" i="2"/>
  <c r="U161" i="2"/>
  <c r="T161" i="2"/>
  <c r="S161" i="2"/>
  <c r="R161" i="2"/>
  <c r="Q161" i="2"/>
  <c r="P161" i="2"/>
  <c r="O161" i="2"/>
  <c r="N161" i="2"/>
  <c r="M161" i="2"/>
  <c r="L161" i="2"/>
  <c r="K161" i="2"/>
  <c r="J161" i="2"/>
  <c r="I161" i="2"/>
  <c r="H161" i="2"/>
  <c r="G161" i="2"/>
  <c r="F161" i="2"/>
  <c r="E161" i="2"/>
  <c r="D161" i="2"/>
  <c r="C161" i="2"/>
  <c r="B161" i="2"/>
  <c r="A161" i="2"/>
  <c r="AH160" i="2"/>
  <c r="AG160" i="2"/>
  <c r="AF160" i="2"/>
  <c r="AE160" i="2"/>
  <c r="AD160" i="2"/>
  <c r="AC160" i="2"/>
  <c r="AB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H159" i="2"/>
  <c r="AG159" i="2"/>
  <c r="AF159" i="2"/>
  <c r="AE159" i="2"/>
  <c r="AD159" i="2"/>
  <c r="AC159" i="2"/>
  <c r="AB159" i="2"/>
  <c r="Z159" i="2"/>
  <c r="Y159" i="2"/>
  <c r="X159" i="2"/>
  <c r="W159" i="2"/>
  <c r="V159" i="2"/>
  <c r="U159" i="2"/>
  <c r="T159" i="2"/>
  <c r="S159" i="2"/>
  <c r="R159" i="2"/>
  <c r="Q159" i="2"/>
  <c r="P159" i="2"/>
  <c r="O159" i="2"/>
  <c r="N159" i="2"/>
  <c r="M159" i="2"/>
  <c r="L159" i="2"/>
  <c r="K159" i="2"/>
  <c r="J159" i="2"/>
  <c r="I159" i="2"/>
  <c r="H159" i="2"/>
  <c r="G159" i="2"/>
  <c r="F159" i="2"/>
  <c r="E159" i="2"/>
  <c r="D159" i="2"/>
  <c r="C159" i="2"/>
  <c r="B159" i="2"/>
  <c r="A159" i="2"/>
  <c r="AH158" i="2"/>
  <c r="AG158" i="2"/>
  <c r="AF158" i="2"/>
  <c r="AE158" i="2"/>
  <c r="AD158" i="2"/>
  <c r="AC158" i="2"/>
  <c r="AB158" i="2"/>
  <c r="AA158" i="2"/>
  <c r="Z158" i="2"/>
  <c r="Y158" i="2"/>
  <c r="X158" i="2"/>
  <c r="W158" i="2"/>
  <c r="V158" i="2"/>
  <c r="U158" i="2"/>
  <c r="T158" i="2"/>
  <c r="S158" i="2"/>
  <c r="R158" i="2"/>
  <c r="Q158" i="2"/>
  <c r="P158" i="2"/>
  <c r="O158" i="2"/>
  <c r="N158" i="2"/>
  <c r="M158" i="2"/>
  <c r="L158" i="2"/>
  <c r="K158" i="2"/>
  <c r="J158" i="2"/>
  <c r="I158" i="2"/>
  <c r="H158" i="2"/>
  <c r="G158" i="2"/>
  <c r="F158" i="2"/>
  <c r="E158" i="2"/>
  <c r="D158" i="2"/>
  <c r="C158" i="2"/>
  <c r="B158" i="2"/>
  <c r="A158" i="2"/>
  <c r="AH157" i="2"/>
  <c r="AE157" i="2"/>
  <c r="AD157" i="2"/>
  <c r="AC157" i="2"/>
  <c r="AB157" i="2"/>
  <c r="Z157" i="2"/>
  <c r="W157" i="2"/>
  <c r="V157" i="2"/>
  <c r="U157" i="2"/>
  <c r="T157" i="2"/>
  <c r="S157" i="2"/>
  <c r="R157" i="2"/>
  <c r="Q157" i="2"/>
  <c r="P157" i="2"/>
  <c r="O157" i="2"/>
  <c r="N157" i="2"/>
  <c r="M157" i="2"/>
  <c r="L157" i="2"/>
  <c r="K157" i="2"/>
  <c r="J157" i="2"/>
  <c r="I157" i="2"/>
  <c r="H157" i="2"/>
  <c r="G157" i="2"/>
  <c r="F157" i="2"/>
  <c r="E157" i="2"/>
  <c r="D157" i="2"/>
  <c r="C157" i="2"/>
  <c r="B157" i="2"/>
  <c r="A157" i="2"/>
  <c r="AH156" i="2"/>
  <c r="AF156" i="2"/>
  <c r="AE156" i="2"/>
  <c r="AD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H155" i="2"/>
  <c r="AG155" i="2"/>
  <c r="AF155" i="2"/>
  <c r="AE155" i="2"/>
  <c r="AD155" i="2"/>
  <c r="AC155" i="2"/>
  <c r="AB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H154" i="2"/>
  <c r="AF154" i="2"/>
  <c r="AE154" i="2"/>
  <c r="AD154" i="2"/>
  <c r="AC154" i="2"/>
  <c r="AB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D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H152" i="2"/>
  <c r="AG152" i="2"/>
  <c r="AF152" i="2"/>
  <c r="AE152" i="2"/>
  <c r="AD152" i="2"/>
  <c r="AC152" i="2"/>
  <c r="AB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H151" i="2"/>
  <c r="AG151" i="2"/>
  <c r="AF151" i="2"/>
  <c r="AE151" i="2"/>
  <c r="AD151" i="2"/>
  <c r="AC151" i="2"/>
  <c r="AB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H150" i="2"/>
  <c r="AG150" i="2"/>
  <c r="AF150" i="2"/>
  <c r="AE150" i="2"/>
  <c r="AD150" i="2"/>
  <c r="AC150" i="2"/>
  <c r="AB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H149" i="2"/>
  <c r="AG149" i="2"/>
  <c r="AF149" i="2"/>
  <c r="AE149" i="2"/>
  <c r="AD149" i="2"/>
  <c r="AC149" i="2"/>
  <c r="AB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H148" i="2"/>
  <c r="AF148" i="2"/>
  <c r="AE148" i="2"/>
  <c r="AD148" i="2"/>
  <c r="AC148" i="2"/>
  <c r="AB148" i="2"/>
  <c r="Z148" i="2"/>
  <c r="Y148" i="2"/>
  <c r="W148" i="2"/>
  <c r="V148" i="2"/>
  <c r="U148" i="2"/>
  <c r="T148" i="2"/>
  <c r="S148" i="2"/>
  <c r="R148" i="2"/>
  <c r="Q148" i="2"/>
  <c r="P148" i="2"/>
  <c r="O148" i="2"/>
  <c r="N148" i="2"/>
  <c r="M148" i="2"/>
  <c r="L148" i="2"/>
  <c r="K148" i="2"/>
  <c r="J148" i="2"/>
  <c r="I148" i="2"/>
  <c r="H148" i="2"/>
  <c r="G148" i="2"/>
  <c r="F148" i="2"/>
  <c r="E148" i="2"/>
  <c r="D148" i="2"/>
  <c r="C148" i="2"/>
  <c r="B148" i="2"/>
  <c r="A148" i="2"/>
  <c r="AH147" i="2"/>
  <c r="AF147" i="2"/>
  <c r="AE147" i="2"/>
  <c r="AD147" i="2"/>
  <c r="AC147" i="2"/>
  <c r="AB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H146" i="2"/>
  <c r="AG146" i="2"/>
  <c r="AF146" i="2"/>
  <c r="AE146" i="2"/>
  <c r="AD146" i="2"/>
  <c r="AC146" i="2"/>
  <c r="AB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H145" i="2"/>
  <c r="AG145" i="2"/>
  <c r="AF145" i="2"/>
  <c r="AE145" i="2"/>
  <c r="AD145" i="2"/>
  <c r="AC145" i="2"/>
  <c r="AB145" i="2"/>
  <c r="Z145" i="2"/>
  <c r="Y145" i="2"/>
  <c r="X145" i="2"/>
  <c r="W145" i="2"/>
  <c r="V145" i="2"/>
  <c r="U145" i="2"/>
  <c r="T145" i="2"/>
  <c r="S145" i="2"/>
  <c r="R145" i="2"/>
  <c r="Q145" i="2"/>
  <c r="P145" i="2"/>
  <c r="O145" i="2"/>
  <c r="N145" i="2"/>
  <c r="M145" i="2"/>
  <c r="L145" i="2"/>
  <c r="K145" i="2"/>
  <c r="J145" i="2"/>
  <c r="I145" i="2"/>
  <c r="H145" i="2"/>
  <c r="G145" i="2"/>
  <c r="F145" i="2"/>
  <c r="E145" i="2"/>
  <c r="D145" i="2"/>
  <c r="C145" i="2"/>
  <c r="B145" i="2"/>
  <c r="A145" i="2"/>
  <c r="AH144" i="2"/>
  <c r="AG144" i="2"/>
  <c r="AF144" i="2"/>
  <c r="AE144" i="2"/>
  <c r="AD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H143" i="2"/>
  <c r="AF143" i="2"/>
  <c r="AE143" i="2"/>
  <c r="AD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H142" i="2"/>
  <c r="AF142" i="2"/>
  <c r="AE142" i="2"/>
  <c r="AD142" i="2"/>
  <c r="AC142" i="2"/>
  <c r="AB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H141" i="2"/>
  <c r="AG141" i="2"/>
  <c r="AF141" i="2"/>
  <c r="AE141" i="2"/>
  <c r="AD141" i="2"/>
  <c r="AC141" i="2"/>
  <c r="AB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H140" i="2"/>
  <c r="AG140" i="2"/>
  <c r="AF140" i="2"/>
  <c r="AE140" i="2"/>
  <c r="AD140" i="2"/>
  <c r="AC140" i="2"/>
  <c r="AB140" i="2"/>
  <c r="Z140" i="2"/>
  <c r="Y140" i="2"/>
  <c r="W140" i="2"/>
  <c r="V140" i="2"/>
  <c r="U140" i="2"/>
  <c r="T140" i="2"/>
  <c r="S140" i="2"/>
  <c r="R140" i="2"/>
  <c r="Q140" i="2"/>
  <c r="P140" i="2"/>
  <c r="O140" i="2"/>
  <c r="N140" i="2"/>
  <c r="M140" i="2"/>
  <c r="L140" i="2"/>
  <c r="K140" i="2"/>
  <c r="J140" i="2"/>
  <c r="I140" i="2"/>
  <c r="H140" i="2"/>
  <c r="G140" i="2"/>
  <c r="F140" i="2"/>
  <c r="E140" i="2"/>
  <c r="D140" i="2"/>
  <c r="C140" i="2"/>
  <c r="B140" i="2"/>
  <c r="A140" i="2"/>
  <c r="AH139" i="2"/>
  <c r="AF139" i="2"/>
  <c r="AE139" i="2"/>
  <c r="AD139" i="2"/>
  <c r="AC139" i="2"/>
  <c r="AB139" i="2"/>
  <c r="Z139" i="2"/>
  <c r="Y139" i="2"/>
  <c r="W139" i="2"/>
  <c r="V139" i="2"/>
  <c r="U139" i="2"/>
  <c r="T139" i="2"/>
  <c r="S139" i="2"/>
  <c r="R139" i="2"/>
  <c r="Q139" i="2"/>
  <c r="P139" i="2"/>
  <c r="O139" i="2"/>
  <c r="N139" i="2"/>
  <c r="M139" i="2"/>
  <c r="L139" i="2"/>
  <c r="K139" i="2"/>
  <c r="J139" i="2"/>
  <c r="I139" i="2"/>
  <c r="H139" i="2"/>
  <c r="G139" i="2"/>
  <c r="F139" i="2"/>
  <c r="E139" i="2"/>
  <c r="D139" i="2"/>
  <c r="C139" i="2"/>
  <c r="B139" i="2"/>
  <c r="A139" i="2"/>
  <c r="AH138" i="2"/>
  <c r="AG138" i="2"/>
  <c r="AF138" i="2"/>
  <c r="AE138" i="2"/>
  <c r="AD138" i="2"/>
  <c r="AC138" i="2"/>
  <c r="AB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H137" i="2"/>
  <c r="AF137" i="2"/>
  <c r="AE137" i="2"/>
  <c r="AD137" i="2"/>
  <c r="AC137" i="2"/>
  <c r="AB137" i="2"/>
  <c r="Z137" i="2"/>
  <c r="Y137" i="2"/>
  <c r="X137" i="2"/>
  <c r="W137" i="2"/>
  <c r="V137" i="2"/>
  <c r="U137" i="2"/>
  <c r="T137" i="2"/>
  <c r="S137" i="2"/>
  <c r="R137" i="2"/>
  <c r="Q137" i="2"/>
  <c r="P137" i="2"/>
  <c r="O137" i="2"/>
  <c r="N137" i="2"/>
  <c r="M137" i="2"/>
  <c r="L137" i="2"/>
  <c r="K137" i="2"/>
  <c r="J137" i="2"/>
  <c r="I137" i="2"/>
  <c r="H137" i="2"/>
  <c r="G137" i="2"/>
  <c r="F137" i="2"/>
  <c r="E137" i="2"/>
  <c r="D137" i="2"/>
  <c r="C137" i="2"/>
  <c r="B137" i="2"/>
  <c r="A137" i="2"/>
  <c r="AH136" i="2"/>
  <c r="AG136" i="2"/>
  <c r="AF136" i="2"/>
  <c r="AE136" i="2"/>
  <c r="AD136" i="2"/>
  <c r="AC136" i="2"/>
  <c r="AB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H135" i="2"/>
  <c r="AG135" i="2"/>
  <c r="AF135" i="2"/>
  <c r="AE135" i="2"/>
  <c r="AD135" i="2"/>
  <c r="AC135" i="2"/>
  <c r="AB135" i="2"/>
  <c r="AA135" i="2"/>
  <c r="Z135" i="2"/>
  <c r="Y135" i="2"/>
  <c r="X135" i="2"/>
  <c r="W135" i="2"/>
  <c r="V135" i="2"/>
  <c r="U135" i="2"/>
  <c r="R135" i="2"/>
  <c r="Q135" i="2"/>
  <c r="P135" i="2"/>
  <c r="O135" i="2"/>
  <c r="N135" i="2"/>
  <c r="M135" i="2"/>
  <c r="L135" i="2"/>
  <c r="K135" i="2"/>
  <c r="J135" i="2"/>
  <c r="I135" i="2"/>
  <c r="H135" i="2"/>
  <c r="G135" i="2"/>
  <c r="F135" i="2"/>
  <c r="E135" i="2"/>
  <c r="D135" i="2"/>
  <c r="C135" i="2"/>
  <c r="B135" i="2"/>
  <c r="A135" i="2"/>
  <c r="AH134" i="2"/>
  <c r="AF134" i="2"/>
  <c r="AE134" i="2"/>
  <c r="AD134" i="2"/>
  <c r="AC134" i="2"/>
  <c r="AB134" i="2"/>
  <c r="Z134" i="2"/>
  <c r="W134" i="2"/>
  <c r="V134" i="2"/>
  <c r="U134" i="2"/>
  <c r="S134" i="2"/>
  <c r="R134" i="2"/>
  <c r="Q134" i="2"/>
  <c r="P134" i="2"/>
  <c r="O134" i="2"/>
  <c r="N134" i="2"/>
  <c r="M134" i="2"/>
  <c r="L134" i="2"/>
  <c r="K134" i="2"/>
  <c r="J134" i="2"/>
  <c r="I134" i="2"/>
  <c r="H134" i="2"/>
  <c r="G134" i="2"/>
  <c r="F134" i="2"/>
  <c r="E134" i="2"/>
  <c r="D134" i="2"/>
  <c r="C134" i="2"/>
  <c r="B134" i="2"/>
  <c r="A134" i="2"/>
  <c r="AH133" i="2"/>
  <c r="AG133" i="2"/>
  <c r="AF133" i="2"/>
  <c r="AE133" i="2"/>
  <c r="AD133" i="2"/>
  <c r="AC133" i="2"/>
  <c r="AA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H132" i="2"/>
  <c r="AG132" i="2"/>
  <c r="AF132" i="2"/>
  <c r="AE132" i="2"/>
  <c r="AD132" i="2"/>
  <c r="AC132" i="2"/>
  <c r="AB132" i="2"/>
  <c r="Z132" i="2"/>
  <c r="X132" i="2"/>
  <c r="W132" i="2"/>
  <c r="V132" i="2"/>
  <c r="U132" i="2"/>
  <c r="S132" i="2"/>
  <c r="R132" i="2"/>
  <c r="Q132" i="2"/>
  <c r="P132" i="2"/>
  <c r="O132" i="2"/>
  <c r="N132" i="2"/>
  <c r="M132" i="2"/>
  <c r="L132" i="2"/>
  <c r="K132" i="2"/>
  <c r="J132" i="2"/>
  <c r="I132" i="2"/>
  <c r="H132" i="2"/>
  <c r="G132" i="2"/>
  <c r="F132" i="2"/>
  <c r="E132" i="2"/>
  <c r="D132" i="2"/>
  <c r="C132" i="2"/>
  <c r="B132" i="2"/>
  <c r="A132" i="2"/>
  <c r="AH131" i="2"/>
  <c r="AF131" i="2"/>
  <c r="AE131" i="2"/>
  <c r="AD131" i="2"/>
  <c r="AC131" i="2"/>
  <c r="AB131" i="2"/>
  <c r="AA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H130" i="2"/>
  <c r="AF130" i="2"/>
  <c r="AE130" i="2"/>
  <c r="AD130" i="2"/>
  <c r="AC130" i="2"/>
  <c r="AB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H129" i="2"/>
  <c r="AG129" i="2"/>
  <c r="AF129" i="2"/>
  <c r="AE129" i="2"/>
  <c r="AD129" i="2"/>
  <c r="AC129" i="2"/>
  <c r="AB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H128" i="2"/>
  <c r="AG128" i="2"/>
  <c r="AF128" i="2"/>
  <c r="AE128" i="2"/>
  <c r="AD128" i="2"/>
  <c r="AC128" i="2"/>
  <c r="AB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H127" i="2"/>
  <c r="AG127" i="2"/>
  <c r="AF127" i="2"/>
  <c r="AE127" i="2"/>
  <c r="AD127" i="2"/>
  <c r="AC127" i="2"/>
  <c r="AB127" i="2"/>
  <c r="Z127" i="2"/>
  <c r="W127" i="2"/>
  <c r="V127" i="2"/>
  <c r="U127" i="2"/>
  <c r="T127" i="2"/>
  <c r="S127" i="2"/>
  <c r="R127" i="2"/>
  <c r="Q127" i="2"/>
  <c r="P127" i="2"/>
  <c r="O127" i="2"/>
  <c r="N127" i="2"/>
  <c r="M127" i="2"/>
  <c r="L127" i="2"/>
  <c r="K127" i="2"/>
  <c r="J127" i="2"/>
  <c r="I127" i="2"/>
  <c r="H127" i="2"/>
  <c r="G127" i="2"/>
  <c r="F127" i="2"/>
  <c r="E127" i="2"/>
  <c r="D127" i="2"/>
  <c r="C127" i="2"/>
  <c r="B127" i="2"/>
  <c r="A127" i="2"/>
  <c r="AH126" i="2"/>
  <c r="AG126" i="2"/>
  <c r="AF126" i="2"/>
  <c r="AE126" i="2"/>
  <c r="AD126" i="2"/>
  <c r="AC126" i="2"/>
  <c r="AB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H125" i="2"/>
  <c r="AG125" i="2"/>
  <c r="AF125" i="2"/>
  <c r="AE125" i="2"/>
  <c r="AD125" i="2"/>
  <c r="AC125" i="2"/>
  <c r="AB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H124" i="2"/>
  <c r="AG124" i="2"/>
  <c r="AF124" i="2"/>
  <c r="AE124" i="2"/>
  <c r="AD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H123" i="2"/>
  <c r="AG123" i="2"/>
  <c r="AF123" i="2"/>
  <c r="AE123" i="2"/>
  <c r="AD123" i="2"/>
  <c r="AC123" i="2"/>
  <c r="AB123" i="2"/>
  <c r="Z123" i="2"/>
  <c r="Y123" i="2"/>
  <c r="X123" i="2"/>
  <c r="W123" i="2"/>
  <c r="V123" i="2"/>
  <c r="U123" i="2"/>
  <c r="T123" i="2"/>
  <c r="S123" i="2"/>
  <c r="R123" i="2"/>
  <c r="Q123" i="2"/>
  <c r="P123" i="2"/>
  <c r="O123" i="2"/>
  <c r="N123" i="2"/>
  <c r="M123" i="2"/>
  <c r="L123" i="2"/>
  <c r="K123" i="2"/>
  <c r="J123" i="2"/>
  <c r="I123" i="2"/>
  <c r="H123" i="2"/>
  <c r="G123" i="2"/>
  <c r="F123" i="2"/>
  <c r="E123" i="2"/>
  <c r="D123" i="2"/>
  <c r="C123" i="2"/>
  <c r="B123" i="2"/>
  <c r="A123" i="2"/>
  <c r="AH122" i="2"/>
  <c r="AG122" i="2"/>
  <c r="AF122" i="2"/>
  <c r="AE122" i="2"/>
  <c r="AD122" i="2"/>
  <c r="AC122" i="2"/>
  <c r="AB122" i="2"/>
  <c r="Z122" i="2"/>
  <c r="Y122" i="2"/>
  <c r="W122" i="2"/>
  <c r="V122" i="2"/>
  <c r="U122" i="2"/>
  <c r="T122" i="2"/>
  <c r="S122" i="2"/>
  <c r="R122" i="2"/>
  <c r="Q122" i="2"/>
  <c r="P122" i="2"/>
  <c r="O122" i="2"/>
  <c r="N122" i="2"/>
  <c r="M122" i="2"/>
  <c r="L122" i="2"/>
  <c r="K122" i="2"/>
  <c r="J122" i="2"/>
  <c r="I122" i="2"/>
  <c r="H122" i="2"/>
  <c r="G122" i="2"/>
  <c r="F122" i="2"/>
  <c r="E122" i="2"/>
  <c r="D122" i="2"/>
  <c r="C122" i="2"/>
  <c r="B122" i="2"/>
  <c r="A122" i="2"/>
  <c r="AH121" i="2"/>
  <c r="AG121" i="2"/>
  <c r="AF121" i="2"/>
  <c r="AE121" i="2"/>
  <c r="AD121" i="2"/>
  <c r="AC121" i="2"/>
  <c r="AB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H120" i="2"/>
  <c r="AF120" i="2"/>
  <c r="AE120" i="2"/>
  <c r="AD120" i="2"/>
  <c r="AC120" i="2"/>
  <c r="AB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H119" i="2"/>
  <c r="AG119" i="2"/>
  <c r="AF119" i="2"/>
  <c r="AE119" i="2"/>
  <c r="AD119" i="2"/>
  <c r="AC119" i="2"/>
  <c r="AB119" i="2"/>
  <c r="Z119" i="2"/>
  <c r="Y119" i="2"/>
  <c r="X119" i="2"/>
  <c r="W119" i="2"/>
  <c r="V119" i="2"/>
  <c r="U119" i="2"/>
  <c r="T119" i="2"/>
  <c r="S119" i="2"/>
  <c r="R119" i="2"/>
  <c r="Q119" i="2"/>
  <c r="P119" i="2"/>
  <c r="O119" i="2"/>
  <c r="N119" i="2"/>
  <c r="M119" i="2"/>
  <c r="L119" i="2"/>
  <c r="K119" i="2"/>
  <c r="J119" i="2"/>
  <c r="I119" i="2"/>
  <c r="H119" i="2"/>
  <c r="G119" i="2"/>
  <c r="F119" i="2"/>
  <c r="E119" i="2"/>
  <c r="D119" i="2"/>
  <c r="C119" i="2"/>
  <c r="B119" i="2"/>
  <c r="A119" i="2"/>
  <c r="AH118" i="2"/>
  <c r="AG118" i="2"/>
  <c r="AF118" i="2"/>
  <c r="AE118" i="2"/>
  <c r="AD118" i="2"/>
  <c r="AC118" i="2"/>
  <c r="AB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H117" i="2"/>
  <c r="AF117" i="2"/>
  <c r="AE117" i="2"/>
  <c r="AD117" i="2"/>
  <c r="AC117" i="2"/>
  <c r="AB117" i="2"/>
  <c r="Z117" i="2"/>
  <c r="Y117" i="2"/>
  <c r="W117" i="2"/>
  <c r="V117" i="2"/>
  <c r="U117" i="2"/>
  <c r="T117" i="2"/>
  <c r="S117" i="2"/>
  <c r="R117" i="2"/>
  <c r="Q117" i="2"/>
  <c r="P117" i="2"/>
  <c r="O117" i="2"/>
  <c r="N117" i="2"/>
  <c r="M117" i="2"/>
  <c r="L117" i="2"/>
  <c r="K117" i="2"/>
  <c r="J117" i="2"/>
  <c r="I117" i="2"/>
  <c r="H117" i="2"/>
  <c r="G117" i="2"/>
  <c r="F117" i="2"/>
  <c r="E117" i="2"/>
  <c r="D117" i="2"/>
  <c r="C117" i="2"/>
  <c r="B117" i="2"/>
  <c r="A117" i="2"/>
  <c r="AH116" i="2"/>
  <c r="AG116" i="2"/>
  <c r="AF116" i="2"/>
  <c r="AE116" i="2"/>
  <c r="AD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H115" i="2"/>
  <c r="AF115" i="2"/>
  <c r="AE115" i="2"/>
  <c r="AD115" i="2"/>
  <c r="AC115" i="2"/>
  <c r="AB115" i="2"/>
  <c r="Z115" i="2"/>
  <c r="Y115" i="2"/>
  <c r="X115" i="2"/>
  <c r="W115" i="2"/>
  <c r="V115" i="2"/>
  <c r="U115" i="2"/>
  <c r="S115" i="2"/>
  <c r="R115" i="2"/>
  <c r="Q115" i="2"/>
  <c r="P115" i="2"/>
  <c r="O115" i="2"/>
  <c r="N115" i="2"/>
  <c r="M115" i="2"/>
  <c r="L115" i="2"/>
  <c r="K115" i="2"/>
  <c r="J115" i="2"/>
  <c r="I115" i="2"/>
  <c r="H115" i="2"/>
  <c r="G115" i="2"/>
  <c r="F115" i="2"/>
  <c r="E115" i="2"/>
  <c r="D115" i="2"/>
  <c r="C115" i="2"/>
  <c r="B115" i="2"/>
  <c r="A115"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H113" i="2"/>
  <c r="AG113" i="2"/>
  <c r="AF113" i="2"/>
  <c r="AE113" i="2"/>
  <c r="AD113" i="2"/>
  <c r="AC113" i="2"/>
  <c r="AB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H112" i="2"/>
  <c r="AG112" i="2"/>
  <c r="AF112" i="2"/>
  <c r="AE112" i="2"/>
  <c r="AD112" i="2"/>
  <c r="AC112" i="2"/>
  <c r="AB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H111" i="2"/>
  <c r="AG111" i="2"/>
  <c r="AF111" i="2"/>
  <c r="AE111" i="2"/>
  <c r="AD111" i="2"/>
  <c r="AC111" i="2"/>
  <c r="AB111" i="2"/>
  <c r="Z111" i="2"/>
  <c r="X111" i="2"/>
  <c r="W111" i="2"/>
  <c r="V111" i="2"/>
  <c r="U111" i="2"/>
  <c r="T111" i="2"/>
  <c r="S111" i="2"/>
  <c r="R111" i="2"/>
  <c r="Q111" i="2"/>
  <c r="P111" i="2"/>
  <c r="O111" i="2"/>
  <c r="N111" i="2"/>
  <c r="M111" i="2"/>
  <c r="L111" i="2"/>
  <c r="K111" i="2"/>
  <c r="J111" i="2"/>
  <c r="I111" i="2"/>
  <c r="H111" i="2"/>
  <c r="G111" i="2"/>
  <c r="F111" i="2"/>
  <c r="E111" i="2"/>
  <c r="D111" i="2"/>
  <c r="C111" i="2"/>
  <c r="B111" i="2"/>
  <c r="A111" i="2"/>
  <c r="AH110" i="2"/>
  <c r="AD110" i="2"/>
  <c r="X110" i="2"/>
  <c r="W110" i="2"/>
  <c r="V110" i="2"/>
  <c r="U110" i="2"/>
  <c r="T110" i="2"/>
  <c r="S110" i="2"/>
  <c r="R110" i="2"/>
  <c r="Q110" i="2"/>
  <c r="P110" i="2"/>
  <c r="O110" i="2"/>
  <c r="N110" i="2"/>
  <c r="M110" i="2"/>
  <c r="L110" i="2"/>
  <c r="K110" i="2"/>
  <c r="J110" i="2"/>
  <c r="I110" i="2"/>
  <c r="H110" i="2"/>
  <c r="G110" i="2"/>
  <c r="F110" i="2"/>
  <c r="E110" i="2"/>
  <c r="D110" i="2"/>
  <c r="C110" i="2"/>
  <c r="B110" i="2"/>
  <c r="A110" i="2"/>
  <c r="AH109" i="2"/>
  <c r="AG109" i="2"/>
  <c r="AF109" i="2"/>
  <c r="AE109" i="2"/>
  <c r="AD109" i="2"/>
  <c r="AC109" i="2"/>
  <c r="AB109" i="2"/>
  <c r="Z109" i="2"/>
  <c r="Y109" i="2"/>
  <c r="W109" i="2"/>
  <c r="V109" i="2"/>
  <c r="U109" i="2"/>
  <c r="T109" i="2"/>
  <c r="S109" i="2"/>
  <c r="R109" i="2"/>
  <c r="Q109" i="2"/>
  <c r="P109" i="2"/>
  <c r="O109" i="2"/>
  <c r="N109" i="2"/>
  <c r="M109" i="2"/>
  <c r="L109" i="2"/>
  <c r="K109" i="2"/>
  <c r="J109" i="2"/>
  <c r="I109" i="2"/>
  <c r="H109" i="2"/>
  <c r="G109" i="2"/>
  <c r="F109" i="2"/>
  <c r="E109" i="2"/>
  <c r="D109" i="2"/>
  <c r="C109" i="2"/>
  <c r="B109" i="2"/>
  <c r="A109" i="2"/>
  <c r="AH108" i="2"/>
  <c r="AG108" i="2"/>
  <c r="AF108" i="2"/>
  <c r="AE108" i="2"/>
  <c r="AD108" i="2"/>
  <c r="AC108" i="2"/>
  <c r="AB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H107" i="2"/>
  <c r="AG107" i="2"/>
  <c r="AF107" i="2"/>
  <c r="AE107" i="2"/>
  <c r="AD107" i="2"/>
  <c r="AC107" i="2"/>
  <c r="AB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H106" i="2"/>
  <c r="AG106" i="2"/>
  <c r="AF106" i="2"/>
  <c r="AE106" i="2"/>
  <c r="AD106" i="2"/>
  <c r="AC106" i="2"/>
  <c r="AB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H105" i="2"/>
  <c r="AG105" i="2"/>
  <c r="AF105" i="2"/>
  <c r="AD105" i="2"/>
  <c r="AC105" i="2"/>
  <c r="AB105" i="2"/>
  <c r="Z105" i="2"/>
  <c r="Y105" i="2"/>
  <c r="W105" i="2"/>
  <c r="V105" i="2"/>
  <c r="U105" i="2"/>
  <c r="T105" i="2"/>
  <c r="S105" i="2"/>
  <c r="R105" i="2"/>
  <c r="Q105" i="2"/>
  <c r="P105" i="2"/>
  <c r="O105" i="2"/>
  <c r="N105" i="2"/>
  <c r="M105" i="2"/>
  <c r="L105" i="2"/>
  <c r="K105" i="2"/>
  <c r="J105" i="2"/>
  <c r="I105" i="2"/>
  <c r="H105" i="2"/>
  <c r="G105" i="2"/>
  <c r="F105" i="2"/>
  <c r="E105" i="2"/>
  <c r="D105" i="2"/>
  <c r="C105" i="2"/>
  <c r="B105" i="2"/>
  <c r="A105" i="2"/>
  <c r="AH104" i="2"/>
  <c r="AF104" i="2"/>
  <c r="AE104" i="2"/>
  <c r="AD104" i="2"/>
  <c r="AC104" i="2"/>
  <c r="AB104" i="2"/>
  <c r="Z104" i="2"/>
  <c r="Y104" i="2"/>
  <c r="X104" i="2"/>
  <c r="W104" i="2"/>
  <c r="V104" i="2"/>
  <c r="U104" i="2"/>
  <c r="T104" i="2"/>
  <c r="S104" i="2"/>
  <c r="R104" i="2"/>
  <c r="Q104" i="2"/>
  <c r="P104" i="2"/>
  <c r="O104" i="2"/>
  <c r="N104" i="2"/>
  <c r="M104" i="2"/>
  <c r="L104" i="2"/>
  <c r="K104" i="2"/>
  <c r="J104" i="2"/>
  <c r="I104" i="2"/>
  <c r="H104" i="2"/>
  <c r="G104" i="2"/>
  <c r="F104" i="2"/>
  <c r="E104" i="2"/>
  <c r="D104" i="2"/>
  <c r="C104" i="2"/>
  <c r="B104" i="2"/>
  <c r="A104" i="2"/>
  <c r="AH103" i="2"/>
  <c r="AF103" i="2"/>
  <c r="AD103" i="2"/>
  <c r="AC103" i="2"/>
  <c r="AB103" i="2"/>
  <c r="Z103" i="2"/>
  <c r="Y103" i="2"/>
  <c r="W103" i="2"/>
  <c r="V103" i="2"/>
  <c r="U103" i="2"/>
  <c r="T103" i="2"/>
  <c r="S103" i="2"/>
  <c r="R103" i="2"/>
  <c r="Q103" i="2"/>
  <c r="P103" i="2"/>
  <c r="O103" i="2"/>
  <c r="N103" i="2"/>
  <c r="M103" i="2"/>
  <c r="L103" i="2"/>
  <c r="K103" i="2"/>
  <c r="J103" i="2"/>
  <c r="I103" i="2"/>
  <c r="H103" i="2"/>
  <c r="G103" i="2"/>
  <c r="F103" i="2"/>
  <c r="E103" i="2"/>
  <c r="D103" i="2"/>
  <c r="C103" i="2"/>
  <c r="B103" i="2"/>
  <c r="A103" i="2"/>
  <c r="AH102" i="2"/>
  <c r="AF102" i="2"/>
  <c r="AE102" i="2"/>
  <c r="AD102" i="2"/>
  <c r="AC102" i="2"/>
  <c r="AB102" i="2"/>
  <c r="Z102" i="2"/>
  <c r="Y102" i="2"/>
  <c r="W102" i="2"/>
  <c r="V102" i="2"/>
  <c r="U102" i="2"/>
  <c r="T102" i="2"/>
  <c r="S102" i="2"/>
  <c r="R102" i="2"/>
  <c r="Q102" i="2"/>
  <c r="P102" i="2"/>
  <c r="O102" i="2"/>
  <c r="N102" i="2"/>
  <c r="M102" i="2"/>
  <c r="L102" i="2"/>
  <c r="K102" i="2"/>
  <c r="J102" i="2"/>
  <c r="I102" i="2"/>
  <c r="H102" i="2"/>
  <c r="G102" i="2"/>
  <c r="F102" i="2"/>
  <c r="E102" i="2"/>
  <c r="D102" i="2"/>
  <c r="C102" i="2"/>
  <c r="B102" i="2"/>
  <c r="A102"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H100" i="2"/>
  <c r="AG100" i="2"/>
  <c r="AF100" i="2"/>
  <c r="AD100" i="2"/>
  <c r="AC100" i="2"/>
  <c r="AB100" i="2"/>
  <c r="AA100" i="2"/>
  <c r="Z100" i="2"/>
  <c r="Y100" i="2"/>
  <c r="W100" i="2"/>
  <c r="V100" i="2"/>
  <c r="U100" i="2"/>
  <c r="T100" i="2"/>
  <c r="S100" i="2"/>
  <c r="R100" i="2"/>
  <c r="Q100" i="2"/>
  <c r="P100" i="2"/>
  <c r="O100" i="2"/>
  <c r="N100" i="2"/>
  <c r="M100" i="2"/>
  <c r="L100" i="2"/>
  <c r="K100" i="2"/>
  <c r="J100" i="2"/>
  <c r="I100" i="2"/>
  <c r="H100" i="2"/>
  <c r="G100" i="2"/>
  <c r="F100" i="2"/>
  <c r="E100" i="2"/>
  <c r="D100" i="2"/>
  <c r="C100" i="2"/>
  <c r="B100" i="2"/>
  <c r="A100" i="2"/>
  <c r="AH99" i="2"/>
  <c r="AF99" i="2"/>
  <c r="AE99" i="2"/>
  <c r="AD99" i="2"/>
  <c r="AC99" i="2"/>
  <c r="AB99" i="2"/>
  <c r="Z99" i="2"/>
  <c r="Y99" i="2"/>
  <c r="W99" i="2"/>
  <c r="V99" i="2"/>
  <c r="U99" i="2"/>
  <c r="T99" i="2"/>
  <c r="S99" i="2"/>
  <c r="R99" i="2"/>
  <c r="Q99" i="2"/>
  <c r="P99" i="2"/>
  <c r="O99" i="2"/>
  <c r="N99" i="2"/>
  <c r="M99" i="2"/>
  <c r="L99" i="2"/>
  <c r="K99" i="2"/>
  <c r="J99" i="2"/>
  <c r="I99" i="2"/>
  <c r="H99" i="2"/>
  <c r="G99" i="2"/>
  <c r="F99" i="2"/>
  <c r="E99" i="2"/>
  <c r="D99" i="2"/>
  <c r="C99" i="2"/>
  <c r="B99" i="2"/>
  <c r="A99" i="2"/>
  <c r="AH98" i="2"/>
  <c r="AF98" i="2"/>
  <c r="AE98" i="2"/>
  <c r="AD98" i="2"/>
  <c r="AC98" i="2"/>
  <c r="AB98" i="2"/>
  <c r="Z98" i="2"/>
  <c r="W98" i="2"/>
  <c r="V98" i="2"/>
  <c r="U98" i="2"/>
  <c r="T98" i="2"/>
  <c r="S98" i="2"/>
  <c r="R98" i="2"/>
  <c r="Q98" i="2"/>
  <c r="P98" i="2"/>
  <c r="O98" i="2"/>
  <c r="N98" i="2"/>
  <c r="M98" i="2"/>
  <c r="L98" i="2"/>
  <c r="K98" i="2"/>
  <c r="J98" i="2"/>
  <c r="I98" i="2"/>
  <c r="H98" i="2"/>
  <c r="G98" i="2"/>
  <c r="F98" i="2"/>
  <c r="E98" i="2"/>
  <c r="D98" i="2"/>
  <c r="C98" i="2"/>
  <c r="B98" i="2"/>
  <c r="A98" i="2"/>
  <c r="AH97" i="2"/>
  <c r="AG97" i="2"/>
  <c r="AF97" i="2"/>
  <c r="AD97" i="2"/>
  <c r="AC97" i="2"/>
  <c r="AB97" i="2"/>
  <c r="Z97" i="2"/>
  <c r="Y97" i="2"/>
  <c r="W97" i="2"/>
  <c r="V97" i="2"/>
  <c r="U97" i="2"/>
  <c r="T97" i="2"/>
  <c r="S97" i="2"/>
  <c r="R97" i="2"/>
  <c r="Q97" i="2"/>
  <c r="P97" i="2"/>
  <c r="O97" i="2"/>
  <c r="N97" i="2"/>
  <c r="M97" i="2"/>
  <c r="L97" i="2"/>
  <c r="K97" i="2"/>
  <c r="J97" i="2"/>
  <c r="I97" i="2"/>
  <c r="H97" i="2"/>
  <c r="G97" i="2"/>
  <c r="F97" i="2"/>
  <c r="E97" i="2"/>
  <c r="D97" i="2"/>
  <c r="C97" i="2"/>
  <c r="B97" i="2"/>
  <c r="A97" i="2"/>
  <c r="AH96" i="2"/>
  <c r="AG96" i="2"/>
  <c r="AF96" i="2"/>
  <c r="AE96" i="2"/>
  <c r="AD96" i="2"/>
  <c r="AC96" i="2"/>
  <c r="AB96" i="2"/>
  <c r="AA96" i="2"/>
  <c r="Z96" i="2"/>
  <c r="Y96" i="2"/>
  <c r="X96" i="2"/>
  <c r="W96" i="2"/>
  <c r="V96" i="2"/>
  <c r="U96" i="2"/>
  <c r="T96" i="2"/>
  <c r="S96" i="2"/>
  <c r="R96" i="2"/>
  <c r="Q96" i="2"/>
  <c r="P96" i="2"/>
  <c r="O96" i="2"/>
  <c r="N96" i="2"/>
  <c r="M96" i="2"/>
  <c r="L96" i="2"/>
  <c r="K96" i="2"/>
  <c r="J96" i="2"/>
  <c r="I96" i="2"/>
  <c r="H96" i="2"/>
  <c r="G96" i="2"/>
  <c r="F96" i="2"/>
  <c r="E96" i="2"/>
  <c r="D96" i="2"/>
  <c r="C96" i="2"/>
  <c r="B96" i="2"/>
  <c r="A96" i="2"/>
  <c r="AH95" i="2"/>
  <c r="AG95" i="2"/>
  <c r="AF95" i="2"/>
  <c r="AE95" i="2"/>
  <c r="AD95" i="2"/>
  <c r="AC95" i="2"/>
  <c r="AB95" i="2"/>
  <c r="Z95" i="2"/>
  <c r="Y95" i="2"/>
  <c r="X95" i="2"/>
  <c r="W95" i="2"/>
  <c r="V95" i="2"/>
  <c r="U95" i="2"/>
  <c r="T95" i="2"/>
  <c r="S95" i="2"/>
  <c r="R95" i="2"/>
  <c r="Q95" i="2"/>
  <c r="P95" i="2"/>
  <c r="O95" i="2"/>
  <c r="N95" i="2"/>
  <c r="M95" i="2"/>
  <c r="L95" i="2"/>
  <c r="K95" i="2"/>
  <c r="J95" i="2"/>
  <c r="I95" i="2"/>
  <c r="H95" i="2"/>
  <c r="G95" i="2"/>
  <c r="F95" i="2"/>
  <c r="E95" i="2"/>
  <c r="D95" i="2"/>
  <c r="C95" i="2"/>
  <c r="B95" i="2"/>
  <c r="A95" i="2"/>
  <c r="AH94" i="2"/>
  <c r="AE94" i="2"/>
  <c r="AD94" i="2"/>
  <c r="AC94" i="2"/>
  <c r="AB94" i="2"/>
  <c r="Z94" i="2"/>
  <c r="W94" i="2"/>
  <c r="V94" i="2"/>
  <c r="U94" i="2"/>
  <c r="T94" i="2"/>
  <c r="S94" i="2"/>
  <c r="R94" i="2"/>
  <c r="Q94" i="2"/>
  <c r="P94" i="2"/>
  <c r="O94" i="2"/>
  <c r="N94" i="2"/>
  <c r="M94" i="2"/>
  <c r="L94" i="2"/>
  <c r="K94" i="2"/>
  <c r="J94" i="2"/>
  <c r="I94" i="2"/>
  <c r="H94" i="2"/>
  <c r="G94" i="2"/>
  <c r="F94" i="2"/>
  <c r="E94" i="2"/>
  <c r="D94" i="2"/>
  <c r="C94" i="2"/>
  <c r="B94" i="2"/>
  <c r="A94" i="2"/>
  <c r="AH93" i="2"/>
  <c r="X93" i="2"/>
  <c r="W93" i="2"/>
  <c r="V93" i="2"/>
  <c r="U93" i="2"/>
  <c r="T93" i="2"/>
  <c r="S93" i="2"/>
  <c r="R93" i="2"/>
  <c r="Q93" i="2"/>
  <c r="P93" i="2"/>
  <c r="O93" i="2"/>
  <c r="N93" i="2"/>
  <c r="M93" i="2"/>
  <c r="L93" i="2"/>
  <c r="K93" i="2"/>
  <c r="J93" i="2"/>
  <c r="I93" i="2"/>
  <c r="H93" i="2"/>
  <c r="G93" i="2"/>
  <c r="F93" i="2"/>
  <c r="E93" i="2"/>
  <c r="D93" i="2"/>
  <c r="C93" i="2"/>
  <c r="B93" i="2"/>
  <c r="A93" i="2"/>
  <c r="AH92" i="2"/>
  <c r="AG92" i="2"/>
  <c r="AF92" i="2"/>
  <c r="AE92" i="2"/>
  <c r="AD92" i="2"/>
  <c r="AC92" i="2"/>
  <c r="AB92" i="2"/>
  <c r="Y92" i="2"/>
  <c r="W92" i="2"/>
  <c r="V92" i="2"/>
  <c r="U92" i="2"/>
  <c r="T92" i="2"/>
  <c r="S92" i="2"/>
  <c r="R92" i="2"/>
  <c r="Q92" i="2"/>
  <c r="P92" i="2"/>
  <c r="O92" i="2"/>
  <c r="N92" i="2"/>
  <c r="M92" i="2"/>
  <c r="L92" i="2"/>
  <c r="K92" i="2"/>
  <c r="J92" i="2"/>
  <c r="I92" i="2"/>
  <c r="H92" i="2"/>
  <c r="G92" i="2"/>
  <c r="F92" i="2"/>
  <c r="E92" i="2"/>
  <c r="D92" i="2"/>
  <c r="C92" i="2"/>
  <c r="B92" i="2"/>
  <c r="A92" i="2"/>
  <c r="AH91" i="2"/>
  <c r="AG91" i="2"/>
  <c r="AF91" i="2"/>
  <c r="AD91" i="2"/>
  <c r="AC91" i="2"/>
  <c r="AB91" i="2"/>
  <c r="Z91" i="2"/>
  <c r="Y91" i="2"/>
  <c r="X91" i="2"/>
  <c r="W91" i="2"/>
  <c r="V91" i="2"/>
  <c r="U91" i="2"/>
  <c r="T91" i="2"/>
  <c r="S91" i="2"/>
  <c r="R91" i="2"/>
  <c r="Q91" i="2"/>
  <c r="P91" i="2"/>
  <c r="O91" i="2"/>
  <c r="N91" i="2"/>
  <c r="M91" i="2"/>
  <c r="L91" i="2"/>
  <c r="K91" i="2"/>
  <c r="J91" i="2"/>
  <c r="I91" i="2"/>
  <c r="H91" i="2"/>
  <c r="G91" i="2"/>
  <c r="F91" i="2"/>
  <c r="E91" i="2"/>
  <c r="D91" i="2"/>
  <c r="C91" i="2"/>
  <c r="B91" i="2"/>
  <c r="A91" i="2"/>
  <c r="AH90" i="2"/>
  <c r="AF90" i="2"/>
  <c r="AE90" i="2"/>
  <c r="AD90" i="2"/>
  <c r="AC90" i="2"/>
  <c r="AB90" i="2"/>
  <c r="Z90" i="2"/>
  <c r="W90" i="2"/>
  <c r="V90" i="2"/>
  <c r="U90" i="2"/>
  <c r="T90" i="2"/>
  <c r="S90" i="2"/>
  <c r="R90" i="2"/>
  <c r="Q90" i="2"/>
  <c r="P90" i="2"/>
  <c r="O90" i="2"/>
  <c r="N90" i="2"/>
  <c r="M90" i="2"/>
  <c r="L90" i="2"/>
  <c r="K90" i="2"/>
  <c r="J90" i="2"/>
  <c r="I90" i="2"/>
  <c r="H90" i="2"/>
  <c r="G90" i="2"/>
  <c r="F90" i="2"/>
  <c r="E90" i="2"/>
  <c r="D90" i="2"/>
  <c r="C90" i="2"/>
  <c r="B90" i="2"/>
  <c r="A90" i="2"/>
  <c r="AH89" i="2"/>
  <c r="AF89" i="2"/>
  <c r="AE89" i="2"/>
  <c r="AD89" i="2"/>
  <c r="AC89" i="2"/>
  <c r="AB89" i="2"/>
  <c r="AA89" i="2"/>
  <c r="Z89" i="2"/>
  <c r="Y89" i="2"/>
  <c r="X89" i="2"/>
  <c r="W89" i="2"/>
  <c r="V89" i="2"/>
  <c r="U89" i="2"/>
  <c r="T89" i="2"/>
  <c r="S89" i="2"/>
  <c r="R89" i="2"/>
  <c r="Q89" i="2"/>
  <c r="P89" i="2"/>
  <c r="O89" i="2"/>
  <c r="N89" i="2"/>
  <c r="M89" i="2"/>
  <c r="L89" i="2"/>
  <c r="K89" i="2"/>
  <c r="J89" i="2"/>
  <c r="I89" i="2"/>
  <c r="H89" i="2"/>
  <c r="G89" i="2"/>
  <c r="F89" i="2"/>
  <c r="E89" i="2"/>
  <c r="D89" i="2"/>
  <c r="C89" i="2"/>
  <c r="B89" i="2"/>
  <c r="A89" i="2"/>
  <c r="AH88" i="2"/>
  <c r="AG88" i="2"/>
  <c r="AF88" i="2"/>
  <c r="AE88" i="2"/>
  <c r="AD88" i="2"/>
  <c r="AC88" i="2"/>
  <c r="AB88" i="2"/>
  <c r="Z88" i="2"/>
  <c r="Y88" i="2"/>
  <c r="X88" i="2"/>
  <c r="W88" i="2"/>
  <c r="V88" i="2"/>
  <c r="U88" i="2"/>
  <c r="T88" i="2"/>
  <c r="S88" i="2"/>
  <c r="R88" i="2"/>
  <c r="Q88" i="2"/>
  <c r="P88" i="2"/>
  <c r="O88" i="2"/>
  <c r="N88" i="2"/>
  <c r="M88" i="2"/>
  <c r="L88" i="2"/>
  <c r="K88" i="2"/>
  <c r="J88" i="2"/>
  <c r="I88" i="2"/>
  <c r="H88" i="2"/>
  <c r="G88" i="2"/>
  <c r="F88" i="2"/>
  <c r="E88" i="2"/>
  <c r="D88" i="2"/>
  <c r="C88" i="2"/>
  <c r="B88" i="2"/>
  <c r="A88" i="2"/>
  <c r="AH87" i="2"/>
  <c r="AF87" i="2"/>
  <c r="AE87" i="2"/>
  <c r="AD87" i="2"/>
  <c r="AC87" i="2"/>
  <c r="AB87" i="2"/>
  <c r="AA87" i="2"/>
  <c r="Z87" i="2"/>
  <c r="Y87" i="2"/>
  <c r="X87" i="2"/>
  <c r="W87" i="2"/>
  <c r="V87" i="2"/>
  <c r="U87" i="2"/>
  <c r="T87" i="2"/>
  <c r="S87" i="2"/>
  <c r="R87" i="2"/>
  <c r="Q87" i="2"/>
  <c r="P87" i="2"/>
  <c r="O87" i="2"/>
  <c r="N87" i="2"/>
  <c r="M87" i="2"/>
  <c r="L87" i="2"/>
  <c r="K87" i="2"/>
  <c r="J87" i="2"/>
  <c r="I87" i="2"/>
  <c r="H87" i="2"/>
  <c r="G87" i="2"/>
  <c r="F87" i="2"/>
  <c r="E87" i="2"/>
  <c r="D87" i="2"/>
  <c r="C87" i="2"/>
  <c r="B87" i="2"/>
  <c r="A87" i="2"/>
  <c r="AH86" i="2"/>
  <c r="AF86" i="2"/>
  <c r="AE86" i="2"/>
  <c r="AD86" i="2"/>
  <c r="AC86" i="2"/>
  <c r="AB86" i="2"/>
  <c r="Z86" i="2"/>
  <c r="Y86" i="2"/>
  <c r="W86" i="2"/>
  <c r="V86" i="2"/>
  <c r="U86" i="2"/>
  <c r="T86" i="2"/>
  <c r="S86" i="2"/>
  <c r="R86" i="2"/>
  <c r="Q86" i="2"/>
  <c r="P86" i="2"/>
  <c r="O86" i="2"/>
  <c r="N86" i="2"/>
  <c r="M86" i="2"/>
  <c r="L86" i="2"/>
  <c r="K86" i="2"/>
  <c r="J86" i="2"/>
  <c r="I86" i="2"/>
  <c r="H86" i="2"/>
  <c r="G86" i="2"/>
  <c r="F86" i="2"/>
  <c r="E86" i="2"/>
  <c r="D86" i="2"/>
  <c r="C86" i="2"/>
  <c r="B86" i="2"/>
  <c r="A86" i="2"/>
  <c r="AH85" i="2"/>
  <c r="AG85" i="2"/>
  <c r="AF85" i="2"/>
  <c r="AD85" i="2"/>
  <c r="AC85" i="2"/>
  <c r="AB85" i="2"/>
  <c r="Z85" i="2"/>
  <c r="Y85" i="2"/>
  <c r="X85" i="2"/>
  <c r="W85" i="2"/>
  <c r="V85" i="2"/>
  <c r="U85" i="2"/>
  <c r="T85" i="2"/>
  <c r="S85" i="2"/>
  <c r="R85" i="2"/>
  <c r="Q85" i="2"/>
  <c r="P85" i="2"/>
  <c r="O85" i="2"/>
  <c r="N85" i="2"/>
  <c r="M85" i="2"/>
  <c r="L85" i="2"/>
  <c r="K85" i="2"/>
  <c r="J85" i="2"/>
  <c r="I85" i="2"/>
  <c r="H85" i="2"/>
  <c r="G85" i="2"/>
  <c r="F85" i="2"/>
  <c r="E85" i="2"/>
  <c r="D85" i="2"/>
  <c r="C85" i="2"/>
  <c r="B85" i="2"/>
  <c r="A85" i="2"/>
  <c r="AH84" i="2"/>
  <c r="AG84" i="2"/>
  <c r="AF84" i="2"/>
  <c r="AD84" i="2"/>
  <c r="AC84" i="2"/>
  <c r="AB84" i="2"/>
  <c r="Z84" i="2"/>
  <c r="Y84" i="2"/>
  <c r="X84" i="2"/>
  <c r="W84" i="2"/>
  <c r="V84" i="2"/>
  <c r="U84" i="2"/>
  <c r="T84" i="2"/>
  <c r="S84" i="2"/>
  <c r="R84" i="2"/>
  <c r="Q84" i="2"/>
  <c r="P84" i="2"/>
  <c r="O84" i="2"/>
  <c r="N84" i="2"/>
  <c r="M84" i="2"/>
  <c r="L84" i="2"/>
  <c r="K84" i="2"/>
  <c r="J84" i="2"/>
  <c r="I84" i="2"/>
  <c r="H84" i="2"/>
  <c r="G84" i="2"/>
  <c r="F84" i="2"/>
  <c r="E84" i="2"/>
  <c r="D84" i="2"/>
  <c r="C84" i="2"/>
  <c r="B84" i="2"/>
  <c r="A84" i="2"/>
  <c r="AD83" i="2"/>
  <c r="X83" i="2"/>
  <c r="W83" i="2"/>
  <c r="V83" i="2"/>
  <c r="U83" i="2"/>
  <c r="T83" i="2"/>
  <c r="S83" i="2"/>
  <c r="R83" i="2"/>
  <c r="Q83" i="2"/>
  <c r="P83" i="2"/>
  <c r="O83" i="2"/>
  <c r="N83" i="2"/>
  <c r="M83" i="2"/>
  <c r="L83" i="2"/>
  <c r="K83" i="2"/>
  <c r="J83" i="2"/>
  <c r="I83" i="2"/>
  <c r="H83" i="2"/>
  <c r="G83" i="2"/>
  <c r="F83" i="2"/>
  <c r="E83" i="2"/>
  <c r="D83" i="2"/>
  <c r="C83" i="2"/>
  <c r="B83" i="2"/>
  <c r="A83" i="2"/>
  <c r="AH82" i="2"/>
  <c r="AG82" i="2"/>
  <c r="AF82" i="2"/>
  <c r="AE82" i="2"/>
  <c r="AD82" i="2"/>
  <c r="AC82" i="2"/>
  <c r="AB82" i="2"/>
  <c r="Z82" i="2"/>
  <c r="Y82" i="2"/>
  <c r="X82" i="2"/>
  <c r="W82" i="2"/>
  <c r="V82" i="2"/>
  <c r="U82" i="2"/>
  <c r="T82" i="2"/>
  <c r="S82" i="2"/>
  <c r="R82" i="2"/>
  <c r="Q82" i="2"/>
  <c r="P82" i="2"/>
  <c r="O82" i="2"/>
  <c r="N82" i="2"/>
  <c r="M82" i="2"/>
  <c r="L82" i="2"/>
  <c r="K82" i="2"/>
  <c r="J82" i="2"/>
  <c r="I82" i="2"/>
  <c r="H82" i="2"/>
  <c r="G82" i="2"/>
  <c r="F82" i="2"/>
  <c r="E82" i="2"/>
  <c r="D82" i="2"/>
  <c r="C82" i="2"/>
  <c r="B82" i="2"/>
  <c r="A82" i="2"/>
  <c r="AH81" i="2"/>
  <c r="AE81" i="2"/>
  <c r="AD81" i="2"/>
  <c r="AC81" i="2"/>
  <c r="AB81" i="2"/>
  <c r="Y81" i="2"/>
  <c r="W81" i="2"/>
  <c r="V81" i="2"/>
  <c r="U81" i="2"/>
  <c r="T81" i="2"/>
  <c r="S81" i="2"/>
  <c r="R81" i="2"/>
  <c r="Q81" i="2"/>
  <c r="P81" i="2"/>
  <c r="O81" i="2"/>
  <c r="N81" i="2"/>
  <c r="M81" i="2"/>
  <c r="L81" i="2"/>
  <c r="K81" i="2"/>
  <c r="J81" i="2"/>
  <c r="I81" i="2"/>
  <c r="H81" i="2"/>
  <c r="G81" i="2"/>
  <c r="F81" i="2"/>
  <c r="E81" i="2"/>
  <c r="D81" i="2"/>
  <c r="C81" i="2"/>
  <c r="B81" i="2"/>
  <c r="A81" i="2"/>
  <c r="AH80" i="2"/>
  <c r="AG80" i="2"/>
  <c r="AF80" i="2"/>
  <c r="AE80" i="2"/>
  <c r="AD80" i="2"/>
  <c r="AC80" i="2"/>
  <c r="AB80" i="2"/>
  <c r="Z80" i="2"/>
  <c r="Y80" i="2"/>
  <c r="X80" i="2"/>
  <c r="W80" i="2"/>
  <c r="V80" i="2"/>
  <c r="U80" i="2"/>
  <c r="T80" i="2"/>
  <c r="S80" i="2"/>
  <c r="R80" i="2"/>
  <c r="Q80" i="2"/>
  <c r="P80" i="2"/>
  <c r="O80" i="2"/>
  <c r="N80" i="2"/>
  <c r="M80" i="2"/>
  <c r="L80" i="2"/>
  <c r="K80" i="2"/>
  <c r="J80" i="2"/>
  <c r="I80" i="2"/>
  <c r="H80" i="2"/>
  <c r="G80" i="2"/>
  <c r="F80" i="2"/>
  <c r="E80" i="2"/>
  <c r="D80" i="2"/>
  <c r="C80" i="2"/>
  <c r="B80" i="2"/>
  <c r="A80" i="2"/>
  <c r="AH79" i="2"/>
  <c r="AF79" i="2"/>
  <c r="AE79" i="2"/>
  <c r="AD79" i="2"/>
  <c r="AC79" i="2"/>
  <c r="AB79" i="2"/>
  <c r="Y79" i="2"/>
  <c r="X79" i="2"/>
  <c r="W79" i="2"/>
  <c r="V79" i="2"/>
  <c r="U79" i="2"/>
  <c r="T79" i="2"/>
  <c r="S79" i="2"/>
  <c r="R79" i="2"/>
  <c r="Q79" i="2"/>
  <c r="P79" i="2"/>
  <c r="O79" i="2"/>
  <c r="N79" i="2"/>
  <c r="M79" i="2"/>
  <c r="L79" i="2"/>
  <c r="K79" i="2"/>
  <c r="J79" i="2"/>
  <c r="I79" i="2"/>
  <c r="H79" i="2"/>
  <c r="G79" i="2"/>
  <c r="F79" i="2"/>
  <c r="E79" i="2"/>
  <c r="D79" i="2"/>
  <c r="C79" i="2"/>
  <c r="B79" i="2"/>
  <c r="A79" i="2"/>
  <c r="AH78" i="2"/>
  <c r="AG78" i="2"/>
  <c r="AF78" i="2"/>
  <c r="AE78" i="2"/>
  <c r="AD78" i="2"/>
  <c r="AC78" i="2"/>
  <c r="AB78" i="2"/>
  <c r="Z78" i="2"/>
  <c r="Y78" i="2"/>
  <c r="X78" i="2"/>
  <c r="W78" i="2"/>
  <c r="V78" i="2"/>
  <c r="U78" i="2"/>
  <c r="T78" i="2"/>
  <c r="S78" i="2"/>
  <c r="R78" i="2"/>
  <c r="Q78" i="2"/>
  <c r="P78" i="2"/>
  <c r="O78" i="2"/>
  <c r="N78" i="2"/>
  <c r="M78" i="2"/>
  <c r="L78" i="2"/>
  <c r="K78" i="2"/>
  <c r="J78" i="2"/>
  <c r="I78" i="2"/>
  <c r="H78" i="2"/>
  <c r="G78" i="2"/>
  <c r="F78" i="2"/>
  <c r="E78" i="2"/>
  <c r="D78" i="2"/>
  <c r="C78" i="2"/>
  <c r="B78" i="2"/>
  <c r="A78" i="2"/>
  <c r="AH77" i="2"/>
  <c r="AG77" i="2"/>
  <c r="AF77" i="2"/>
  <c r="AD77" i="2"/>
  <c r="AC77" i="2"/>
  <c r="AB77" i="2"/>
  <c r="Z77" i="2"/>
  <c r="Y77" i="2"/>
  <c r="X77" i="2"/>
  <c r="W77" i="2"/>
  <c r="V77" i="2"/>
  <c r="U77" i="2"/>
  <c r="T77" i="2"/>
  <c r="S77" i="2"/>
  <c r="R77" i="2"/>
  <c r="Q77" i="2"/>
  <c r="P77" i="2"/>
  <c r="O77" i="2"/>
  <c r="N77" i="2"/>
  <c r="M77" i="2"/>
  <c r="L77" i="2"/>
  <c r="K77" i="2"/>
  <c r="J77" i="2"/>
  <c r="I77" i="2"/>
  <c r="H77" i="2"/>
  <c r="G77" i="2"/>
  <c r="F77" i="2"/>
  <c r="E77" i="2"/>
  <c r="D77" i="2"/>
  <c r="C77" i="2"/>
  <c r="B77" i="2"/>
  <c r="A77" i="2"/>
  <c r="AH76" i="2"/>
  <c r="AG76" i="2"/>
  <c r="AF76" i="2"/>
  <c r="AE76" i="2"/>
  <c r="AD76" i="2"/>
  <c r="AC76" i="2"/>
  <c r="AB76" i="2"/>
  <c r="Z76" i="2"/>
  <c r="Y76" i="2"/>
  <c r="W76" i="2"/>
  <c r="V76" i="2"/>
  <c r="U76" i="2"/>
  <c r="T76" i="2"/>
  <c r="S76" i="2"/>
  <c r="R76" i="2"/>
  <c r="Q76" i="2"/>
  <c r="P76" i="2"/>
  <c r="O76" i="2"/>
  <c r="N76" i="2"/>
  <c r="M76" i="2"/>
  <c r="L76" i="2"/>
  <c r="K76" i="2"/>
  <c r="J76" i="2"/>
  <c r="I76" i="2"/>
  <c r="H76" i="2"/>
  <c r="G76" i="2"/>
  <c r="F76" i="2"/>
  <c r="E76" i="2"/>
  <c r="D76" i="2"/>
  <c r="C76" i="2"/>
  <c r="B76" i="2"/>
  <c r="A76" i="2"/>
  <c r="AH75" i="2"/>
  <c r="AF75" i="2"/>
  <c r="AE75" i="2"/>
  <c r="AD75" i="2"/>
  <c r="AC75" i="2"/>
  <c r="AB75" i="2"/>
  <c r="AA75" i="2"/>
  <c r="Z75" i="2"/>
  <c r="Y75" i="2"/>
  <c r="X75" i="2"/>
  <c r="W75" i="2"/>
  <c r="V75" i="2"/>
  <c r="U75" i="2"/>
  <c r="T75" i="2"/>
  <c r="S75" i="2"/>
  <c r="R75" i="2"/>
  <c r="Q75" i="2"/>
  <c r="P75" i="2"/>
  <c r="O75" i="2"/>
  <c r="N75" i="2"/>
  <c r="M75" i="2"/>
  <c r="L75" i="2"/>
  <c r="K75" i="2"/>
  <c r="J75" i="2"/>
  <c r="I75" i="2"/>
  <c r="H75" i="2"/>
  <c r="G75" i="2"/>
  <c r="F75" i="2"/>
  <c r="E75" i="2"/>
  <c r="D75" i="2"/>
  <c r="C75" i="2"/>
  <c r="B75" i="2"/>
  <c r="A75" i="2"/>
  <c r="AH74" i="2"/>
  <c r="AF74" i="2"/>
  <c r="AE74" i="2"/>
  <c r="AD74" i="2"/>
  <c r="AC74" i="2"/>
  <c r="AB74" i="2"/>
  <c r="Z74" i="2"/>
  <c r="Y74" i="2"/>
  <c r="X74" i="2"/>
  <c r="W74" i="2"/>
  <c r="V74" i="2"/>
  <c r="U74" i="2"/>
  <c r="T74" i="2"/>
  <c r="S74" i="2"/>
  <c r="R74" i="2"/>
  <c r="Q74" i="2"/>
  <c r="P74" i="2"/>
  <c r="O74" i="2"/>
  <c r="N74" i="2"/>
  <c r="M74" i="2"/>
  <c r="L74" i="2"/>
  <c r="K74" i="2"/>
  <c r="J74" i="2"/>
  <c r="I74" i="2"/>
  <c r="H74" i="2"/>
  <c r="G74" i="2"/>
  <c r="F74" i="2"/>
  <c r="E74" i="2"/>
  <c r="D74" i="2"/>
  <c r="C74" i="2"/>
  <c r="B74" i="2"/>
  <c r="A74" i="2"/>
  <c r="AH73" i="2"/>
  <c r="AG73" i="2"/>
  <c r="AF73" i="2"/>
  <c r="AE73" i="2"/>
  <c r="AD73" i="2"/>
  <c r="AC73" i="2"/>
  <c r="AB73" i="2"/>
  <c r="Z73" i="2"/>
  <c r="Y73" i="2"/>
  <c r="X73" i="2"/>
  <c r="W73" i="2"/>
  <c r="V73" i="2"/>
  <c r="U73" i="2"/>
  <c r="T73" i="2"/>
  <c r="S73" i="2"/>
  <c r="R73" i="2"/>
  <c r="Q73" i="2"/>
  <c r="P73" i="2"/>
  <c r="O73" i="2"/>
  <c r="N73" i="2"/>
  <c r="M73" i="2"/>
  <c r="L73" i="2"/>
  <c r="K73" i="2"/>
  <c r="J73" i="2"/>
  <c r="I73" i="2"/>
  <c r="H73" i="2"/>
  <c r="G73" i="2"/>
  <c r="F73" i="2"/>
  <c r="E73" i="2"/>
  <c r="D73" i="2"/>
  <c r="C73" i="2"/>
  <c r="B73" i="2"/>
  <c r="A73" i="2"/>
  <c r="AH72" i="2"/>
  <c r="AF72" i="2"/>
  <c r="AE72" i="2"/>
  <c r="AD72" i="2"/>
  <c r="AC72" i="2"/>
  <c r="AB72" i="2"/>
  <c r="AA72" i="2"/>
  <c r="Z72" i="2"/>
  <c r="Y72" i="2"/>
  <c r="W72" i="2"/>
  <c r="V72" i="2"/>
  <c r="U72" i="2"/>
  <c r="T72" i="2"/>
  <c r="S72" i="2"/>
  <c r="R72" i="2"/>
  <c r="Q72" i="2"/>
  <c r="P72" i="2"/>
  <c r="O72" i="2"/>
  <c r="N72" i="2"/>
  <c r="M72" i="2"/>
  <c r="L72" i="2"/>
  <c r="K72" i="2"/>
  <c r="J72" i="2"/>
  <c r="I72" i="2"/>
  <c r="H72" i="2"/>
  <c r="G72" i="2"/>
  <c r="F72" i="2"/>
  <c r="E72" i="2"/>
  <c r="D72" i="2"/>
  <c r="C72" i="2"/>
  <c r="B72" i="2"/>
  <c r="A72" i="2"/>
  <c r="AH71" i="2"/>
  <c r="AD71" i="2"/>
  <c r="X71" i="2"/>
  <c r="W71" i="2"/>
  <c r="V71" i="2"/>
  <c r="U71" i="2"/>
  <c r="T71" i="2"/>
  <c r="S71" i="2"/>
  <c r="R71" i="2"/>
  <c r="Q71" i="2"/>
  <c r="P71" i="2"/>
  <c r="O71" i="2"/>
  <c r="N71" i="2"/>
  <c r="M71" i="2"/>
  <c r="L71" i="2"/>
  <c r="K71" i="2"/>
  <c r="J71" i="2"/>
  <c r="I71" i="2"/>
  <c r="H71" i="2"/>
  <c r="G71" i="2"/>
  <c r="F71" i="2"/>
  <c r="E71" i="2"/>
  <c r="D71" i="2"/>
  <c r="C71" i="2"/>
  <c r="B71" i="2"/>
  <c r="A71" i="2"/>
  <c r="AH70" i="2"/>
  <c r="AF70" i="2"/>
  <c r="AE70" i="2"/>
  <c r="AD70" i="2"/>
  <c r="AC70" i="2"/>
  <c r="AB70" i="2"/>
  <c r="W70" i="2"/>
  <c r="V70" i="2"/>
  <c r="U70" i="2"/>
  <c r="T70" i="2"/>
  <c r="S70" i="2"/>
  <c r="R70" i="2"/>
  <c r="Q70" i="2"/>
  <c r="P70" i="2"/>
  <c r="O70" i="2"/>
  <c r="N70" i="2"/>
  <c r="M70" i="2"/>
  <c r="L70" i="2"/>
  <c r="K70" i="2"/>
  <c r="J70" i="2"/>
  <c r="I70" i="2"/>
  <c r="H70" i="2"/>
  <c r="G70" i="2"/>
  <c r="F70" i="2"/>
  <c r="E70" i="2"/>
  <c r="D70" i="2"/>
  <c r="C70" i="2"/>
  <c r="B70" i="2"/>
  <c r="A70" i="2"/>
  <c r="AH69" i="2"/>
  <c r="AF69" i="2"/>
  <c r="AE69" i="2"/>
  <c r="AD69" i="2"/>
  <c r="AC69" i="2"/>
  <c r="AB69" i="2"/>
  <c r="Z69" i="2"/>
  <c r="Y69" i="2"/>
  <c r="W69" i="2"/>
  <c r="V69" i="2"/>
  <c r="U69" i="2"/>
  <c r="T69" i="2"/>
  <c r="S69" i="2"/>
  <c r="R69" i="2"/>
  <c r="Q69" i="2"/>
  <c r="P69" i="2"/>
  <c r="O69" i="2"/>
  <c r="N69" i="2"/>
  <c r="M69" i="2"/>
  <c r="L69" i="2"/>
  <c r="K69" i="2"/>
  <c r="J69" i="2"/>
  <c r="I69" i="2"/>
  <c r="H69" i="2"/>
  <c r="G69" i="2"/>
  <c r="F69" i="2"/>
  <c r="E69" i="2"/>
  <c r="D69" i="2"/>
  <c r="C69" i="2"/>
  <c r="B69" i="2"/>
  <c r="A69" i="2"/>
  <c r="AH68" i="2"/>
  <c r="AG68" i="2"/>
  <c r="AF68" i="2"/>
  <c r="AE68" i="2"/>
  <c r="AD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H67" i="2"/>
  <c r="AF67" i="2"/>
  <c r="AE67" i="2"/>
  <c r="AD67" i="2"/>
  <c r="AC67" i="2"/>
  <c r="AB67" i="2"/>
  <c r="W67" i="2"/>
  <c r="V67" i="2"/>
  <c r="U67" i="2"/>
  <c r="T67" i="2"/>
  <c r="S67" i="2"/>
  <c r="R67" i="2"/>
  <c r="Q67" i="2"/>
  <c r="P67" i="2"/>
  <c r="O67" i="2"/>
  <c r="N67" i="2"/>
  <c r="M67" i="2"/>
  <c r="L67" i="2"/>
  <c r="K67" i="2"/>
  <c r="J67" i="2"/>
  <c r="I67" i="2"/>
  <c r="H67" i="2"/>
  <c r="G67" i="2"/>
  <c r="F67" i="2"/>
  <c r="E67" i="2"/>
  <c r="D67" i="2"/>
  <c r="C67" i="2"/>
  <c r="B67" i="2"/>
  <c r="A67" i="2"/>
  <c r="AH66" i="2"/>
  <c r="AF66" i="2"/>
  <c r="AE66" i="2"/>
  <c r="AD66" i="2"/>
  <c r="AC66" i="2"/>
  <c r="AB66" i="2"/>
  <c r="Z66" i="2"/>
  <c r="Y66" i="2"/>
  <c r="X66" i="2"/>
  <c r="W66" i="2"/>
  <c r="V66" i="2"/>
  <c r="U66" i="2"/>
  <c r="T66" i="2"/>
  <c r="S66" i="2"/>
  <c r="R66" i="2"/>
  <c r="Q66" i="2"/>
  <c r="P66" i="2"/>
  <c r="O66" i="2"/>
  <c r="N66" i="2"/>
  <c r="M66" i="2"/>
  <c r="L66" i="2"/>
  <c r="K66" i="2"/>
  <c r="J66" i="2"/>
  <c r="I66" i="2"/>
  <c r="H66" i="2"/>
  <c r="G66" i="2"/>
  <c r="F66" i="2"/>
  <c r="E66" i="2"/>
  <c r="D66" i="2"/>
  <c r="C66" i="2"/>
  <c r="B66" i="2"/>
  <c r="A66" i="2"/>
  <c r="AH65" i="2"/>
  <c r="AG65" i="2"/>
  <c r="AF65" i="2"/>
  <c r="AE65" i="2"/>
  <c r="AD65" i="2"/>
  <c r="AC65" i="2"/>
  <c r="AB65" i="2"/>
  <c r="Z65" i="2"/>
  <c r="Y65" i="2"/>
  <c r="X65" i="2"/>
  <c r="W65" i="2"/>
  <c r="V65" i="2"/>
  <c r="U65" i="2"/>
  <c r="T65" i="2"/>
  <c r="S65" i="2"/>
  <c r="R65" i="2"/>
  <c r="Q65" i="2"/>
  <c r="P65" i="2"/>
  <c r="O65" i="2"/>
  <c r="N65" i="2"/>
  <c r="M65" i="2"/>
  <c r="L65" i="2"/>
  <c r="K65" i="2"/>
  <c r="J65" i="2"/>
  <c r="I65" i="2"/>
  <c r="H65" i="2"/>
  <c r="G65" i="2"/>
  <c r="F65" i="2"/>
  <c r="E65" i="2"/>
  <c r="D65" i="2"/>
  <c r="C65" i="2"/>
  <c r="B65" i="2"/>
  <c r="A65" i="2"/>
  <c r="AH64" i="2"/>
  <c r="AF64" i="2"/>
  <c r="AE64" i="2"/>
  <c r="AD64" i="2"/>
  <c r="AC64" i="2"/>
  <c r="AB64" i="2"/>
  <c r="Z64" i="2"/>
  <c r="Y64" i="2"/>
  <c r="X64" i="2"/>
  <c r="W64" i="2"/>
  <c r="V64" i="2"/>
  <c r="U64" i="2"/>
  <c r="T64" i="2"/>
  <c r="S64" i="2"/>
  <c r="R64" i="2"/>
  <c r="Q64" i="2"/>
  <c r="P64" i="2"/>
  <c r="O64" i="2"/>
  <c r="N64" i="2"/>
  <c r="M64" i="2"/>
  <c r="L64" i="2"/>
  <c r="K64" i="2"/>
  <c r="J64" i="2"/>
  <c r="I64" i="2"/>
  <c r="H64" i="2"/>
  <c r="G64" i="2"/>
  <c r="F64" i="2"/>
  <c r="E64" i="2"/>
  <c r="D64" i="2"/>
  <c r="C64" i="2"/>
  <c r="B64" i="2"/>
  <c r="A64" i="2"/>
  <c r="AH63" i="2"/>
  <c r="AF63" i="2"/>
  <c r="AE63" i="2"/>
  <c r="AD63" i="2"/>
  <c r="AC63" i="2"/>
  <c r="AB63" i="2"/>
  <c r="Z63" i="2"/>
  <c r="Y63" i="2"/>
  <c r="X63" i="2"/>
  <c r="W63" i="2"/>
  <c r="V63" i="2"/>
  <c r="U63" i="2"/>
  <c r="T63" i="2"/>
  <c r="S63" i="2"/>
  <c r="R63" i="2"/>
  <c r="Q63" i="2"/>
  <c r="P63" i="2"/>
  <c r="O63" i="2"/>
  <c r="N63" i="2"/>
  <c r="M63" i="2"/>
  <c r="L63" i="2"/>
  <c r="K63" i="2"/>
  <c r="J63" i="2"/>
  <c r="I63" i="2"/>
  <c r="H63" i="2"/>
  <c r="G63" i="2"/>
  <c r="F63" i="2"/>
  <c r="E63" i="2"/>
  <c r="D63" i="2"/>
  <c r="C63" i="2"/>
  <c r="B63" i="2"/>
  <c r="A63" i="2"/>
  <c r="AH62" i="2"/>
  <c r="AG62" i="2"/>
  <c r="AF62" i="2"/>
  <c r="AE62" i="2"/>
  <c r="AD62" i="2"/>
  <c r="AC62" i="2"/>
  <c r="AB62" i="2"/>
  <c r="Z62" i="2"/>
  <c r="Y62" i="2"/>
  <c r="X62" i="2"/>
  <c r="W62" i="2"/>
  <c r="V62" i="2"/>
  <c r="U62" i="2"/>
  <c r="T62" i="2"/>
  <c r="S62" i="2"/>
  <c r="R62" i="2"/>
  <c r="Q62" i="2"/>
  <c r="P62" i="2"/>
  <c r="O62" i="2"/>
  <c r="N62" i="2"/>
  <c r="M62" i="2"/>
  <c r="L62" i="2"/>
  <c r="K62" i="2"/>
  <c r="J62" i="2"/>
  <c r="I62" i="2"/>
  <c r="H62" i="2"/>
  <c r="G62" i="2"/>
  <c r="F62" i="2"/>
  <c r="E62" i="2"/>
  <c r="D62" i="2"/>
  <c r="C62" i="2"/>
  <c r="B62" i="2"/>
  <c r="A62" i="2"/>
  <c r="AH61" i="2"/>
  <c r="AF61" i="2"/>
  <c r="AE61" i="2"/>
  <c r="AD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H60" i="2"/>
  <c r="AF60" i="2"/>
  <c r="AE60" i="2"/>
  <c r="AD60" i="2"/>
  <c r="AC60" i="2"/>
  <c r="AB60" i="2"/>
  <c r="Z60" i="2"/>
  <c r="Y60" i="2"/>
  <c r="X60" i="2"/>
  <c r="W60" i="2"/>
  <c r="V60" i="2"/>
  <c r="U60" i="2"/>
  <c r="T60" i="2"/>
  <c r="S60" i="2"/>
  <c r="R60" i="2"/>
  <c r="Q60" i="2"/>
  <c r="P60" i="2"/>
  <c r="O60" i="2"/>
  <c r="N60" i="2"/>
  <c r="M60" i="2"/>
  <c r="L60" i="2"/>
  <c r="K60" i="2"/>
  <c r="J60" i="2"/>
  <c r="I60" i="2"/>
  <c r="H60" i="2"/>
  <c r="G60" i="2"/>
  <c r="F60" i="2"/>
  <c r="E60" i="2"/>
  <c r="D60" i="2"/>
  <c r="C60" i="2"/>
  <c r="B60" i="2"/>
  <c r="A60" i="2"/>
  <c r="AH59" i="2"/>
  <c r="AG59" i="2"/>
  <c r="AF59" i="2"/>
  <c r="AE59" i="2"/>
  <c r="AD59" i="2"/>
  <c r="AC59" i="2"/>
  <c r="AB59" i="2"/>
  <c r="Z59" i="2"/>
  <c r="Y59" i="2"/>
  <c r="X59" i="2"/>
  <c r="W59" i="2"/>
  <c r="V59" i="2"/>
  <c r="U59" i="2"/>
  <c r="T59" i="2"/>
  <c r="S59" i="2"/>
  <c r="R59" i="2"/>
  <c r="Q59" i="2"/>
  <c r="P59" i="2"/>
  <c r="O59" i="2"/>
  <c r="N59" i="2"/>
  <c r="M59" i="2"/>
  <c r="L59" i="2"/>
  <c r="K59" i="2"/>
  <c r="J59" i="2"/>
  <c r="I59" i="2"/>
  <c r="H59" i="2"/>
  <c r="G59" i="2"/>
  <c r="F59" i="2"/>
  <c r="E59" i="2"/>
  <c r="D59" i="2"/>
  <c r="C59" i="2"/>
  <c r="B59" i="2"/>
  <c r="A59" i="2"/>
  <c r="AH58" i="2"/>
  <c r="AG58" i="2"/>
  <c r="AF58" i="2"/>
  <c r="AE58" i="2"/>
  <c r="AD58" i="2"/>
  <c r="AC58" i="2"/>
  <c r="AB58" i="2"/>
  <c r="Z58" i="2"/>
  <c r="Y58" i="2"/>
  <c r="X58" i="2"/>
  <c r="W58" i="2"/>
  <c r="V58" i="2"/>
  <c r="U58" i="2"/>
  <c r="T58" i="2"/>
  <c r="S58" i="2"/>
  <c r="R58" i="2"/>
  <c r="Q58" i="2"/>
  <c r="P58" i="2"/>
  <c r="O58" i="2"/>
  <c r="N58" i="2"/>
  <c r="M58" i="2"/>
  <c r="L58" i="2"/>
  <c r="K58" i="2"/>
  <c r="J58" i="2"/>
  <c r="I58" i="2"/>
  <c r="H58" i="2"/>
  <c r="G58" i="2"/>
  <c r="F58" i="2"/>
  <c r="E58" i="2"/>
  <c r="D58" i="2"/>
  <c r="C58" i="2"/>
  <c r="B58" i="2"/>
  <c r="A58" i="2"/>
  <c r="AH57" i="2"/>
  <c r="AG57" i="2"/>
  <c r="AF57" i="2"/>
  <c r="AE57" i="2"/>
  <c r="AD57" i="2"/>
  <c r="AC57" i="2"/>
  <c r="AB57" i="2"/>
  <c r="Z57" i="2"/>
  <c r="Y57" i="2"/>
  <c r="W57" i="2"/>
  <c r="V57" i="2"/>
  <c r="U57" i="2"/>
  <c r="T57" i="2"/>
  <c r="S57" i="2"/>
  <c r="R57" i="2"/>
  <c r="Q57" i="2"/>
  <c r="P57" i="2"/>
  <c r="O57" i="2"/>
  <c r="N57" i="2"/>
  <c r="M57" i="2"/>
  <c r="L57" i="2"/>
  <c r="K57" i="2"/>
  <c r="J57" i="2"/>
  <c r="I57" i="2"/>
  <c r="H57" i="2"/>
  <c r="G57" i="2"/>
  <c r="F57" i="2"/>
  <c r="E57" i="2"/>
  <c r="D57" i="2"/>
  <c r="C57" i="2"/>
  <c r="B57" i="2"/>
  <c r="A57" i="2"/>
  <c r="AH56" i="2"/>
  <c r="AE56" i="2"/>
  <c r="AD56" i="2"/>
  <c r="AC56" i="2"/>
  <c r="AB56" i="2"/>
  <c r="Z56" i="2"/>
  <c r="Y56" i="2"/>
  <c r="W56" i="2"/>
  <c r="V56" i="2"/>
  <c r="U56" i="2"/>
  <c r="T56" i="2"/>
  <c r="S56" i="2"/>
  <c r="R56" i="2"/>
  <c r="Q56" i="2"/>
  <c r="P56" i="2"/>
  <c r="O56" i="2"/>
  <c r="N56" i="2"/>
  <c r="M56" i="2"/>
  <c r="L56" i="2"/>
  <c r="K56" i="2"/>
  <c r="J56" i="2"/>
  <c r="I56" i="2"/>
  <c r="H56" i="2"/>
  <c r="G56" i="2"/>
  <c r="F56" i="2"/>
  <c r="E56" i="2"/>
  <c r="D56" i="2"/>
  <c r="C56" i="2"/>
  <c r="B56" i="2"/>
  <c r="A56" i="2"/>
  <c r="AH55" i="2"/>
  <c r="AF55" i="2"/>
  <c r="AD55" i="2"/>
  <c r="AC55" i="2"/>
  <c r="AB55" i="2"/>
  <c r="Z55" i="2"/>
  <c r="Y55" i="2"/>
  <c r="W55" i="2"/>
  <c r="V55" i="2"/>
  <c r="U55" i="2"/>
  <c r="T55" i="2"/>
  <c r="S55" i="2"/>
  <c r="R55" i="2"/>
  <c r="Q55" i="2"/>
  <c r="P55" i="2"/>
  <c r="O55" i="2"/>
  <c r="N55" i="2"/>
  <c r="M55" i="2"/>
  <c r="L55" i="2"/>
  <c r="K55" i="2"/>
  <c r="J55" i="2"/>
  <c r="I55" i="2"/>
  <c r="H55" i="2"/>
  <c r="G55" i="2"/>
  <c r="F55" i="2"/>
  <c r="E55" i="2"/>
  <c r="D55" i="2"/>
  <c r="C55" i="2"/>
  <c r="B55" i="2"/>
  <c r="A55" i="2"/>
  <c r="AH54" i="2"/>
  <c r="AF54" i="2"/>
  <c r="AE54" i="2"/>
  <c r="AD54" i="2"/>
  <c r="AC54" i="2"/>
  <c r="AB54" i="2"/>
  <c r="Y54" i="2"/>
  <c r="X54" i="2"/>
  <c r="W54" i="2"/>
  <c r="V54" i="2"/>
  <c r="U54" i="2"/>
  <c r="T54" i="2"/>
  <c r="S54" i="2"/>
  <c r="R54" i="2"/>
  <c r="Q54" i="2"/>
  <c r="P54" i="2"/>
  <c r="O54" i="2"/>
  <c r="N54" i="2"/>
  <c r="M54" i="2"/>
  <c r="L54" i="2"/>
  <c r="K54" i="2"/>
  <c r="J54" i="2"/>
  <c r="I54" i="2"/>
  <c r="H54" i="2"/>
  <c r="G54" i="2"/>
  <c r="F54" i="2"/>
  <c r="E54" i="2"/>
  <c r="D54" i="2"/>
  <c r="C54" i="2"/>
  <c r="B54" i="2"/>
  <c r="A54" i="2"/>
  <c r="AH53" i="2"/>
  <c r="AF53" i="2"/>
  <c r="AE53" i="2"/>
  <c r="AD53" i="2"/>
  <c r="AC53" i="2"/>
  <c r="AB53" i="2"/>
  <c r="Z53" i="2"/>
  <c r="Y53" i="2"/>
  <c r="X53" i="2"/>
  <c r="W53" i="2"/>
  <c r="V53" i="2"/>
  <c r="U53" i="2"/>
  <c r="T53" i="2"/>
  <c r="S53" i="2"/>
  <c r="R53" i="2"/>
  <c r="Q53" i="2"/>
  <c r="P53" i="2"/>
  <c r="O53" i="2"/>
  <c r="N53" i="2"/>
  <c r="M53" i="2"/>
  <c r="L53" i="2"/>
  <c r="K53" i="2"/>
  <c r="J53" i="2"/>
  <c r="I53" i="2"/>
  <c r="H53" i="2"/>
  <c r="G53" i="2"/>
  <c r="F53" i="2"/>
  <c r="E53" i="2"/>
  <c r="D53" i="2"/>
  <c r="C53" i="2"/>
  <c r="B53" i="2"/>
  <c r="A53" i="2"/>
  <c r="AH52" i="2"/>
  <c r="AG52" i="2"/>
  <c r="AD52" i="2"/>
  <c r="AC52" i="2"/>
  <c r="AB52" i="2"/>
  <c r="Z52" i="2"/>
  <c r="Y52" i="2"/>
  <c r="X52" i="2"/>
  <c r="W52" i="2"/>
  <c r="V52" i="2"/>
  <c r="U52" i="2"/>
  <c r="T52" i="2"/>
  <c r="S52" i="2"/>
  <c r="R52" i="2"/>
  <c r="Q52" i="2"/>
  <c r="P52" i="2"/>
  <c r="O52" i="2"/>
  <c r="N52" i="2"/>
  <c r="M52" i="2"/>
  <c r="L52" i="2"/>
  <c r="K52" i="2"/>
  <c r="J52" i="2"/>
  <c r="I52" i="2"/>
  <c r="H52" i="2"/>
  <c r="G52" i="2"/>
  <c r="F52" i="2"/>
  <c r="E52" i="2"/>
  <c r="D52" i="2"/>
  <c r="C52" i="2"/>
  <c r="B52" i="2"/>
  <c r="A52" i="2"/>
  <c r="AH51" i="2"/>
  <c r="AF51" i="2"/>
  <c r="AD51" i="2"/>
  <c r="AC51" i="2"/>
  <c r="AB51" i="2"/>
  <c r="Z51" i="2"/>
  <c r="X51" i="2"/>
  <c r="W51" i="2"/>
  <c r="V51" i="2"/>
  <c r="U51" i="2"/>
  <c r="T51" i="2"/>
  <c r="S51" i="2"/>
  <c r="R51" i="2"/>
  <c r="Q51" i="2"/>
  <c r="P51" i="2"/>
  <c r="O51" i="2"/>
  <c r="N51" i="2"/>
  <c r="M51" i="2"/>
  <c r="L51" i="2"/>
  <c r="K51" i="2"/>
  <c r="J51" i="2"/>
  <c r="I51" i="2"/>
  <c r="H51" i="2"/>
  <c r="G51" i="2"/>
  <c r="F51" i="2"/>
  <c r="E51" i="2"/>
  <c r="D51" i="2"/>
  <c r="C51" i="2"/>
  <c r="B51" i="2"/>
  <c r="A51" i="2"/>
  <c r="AH50" i="2"/>
  <c r="AG50" i="2"/>
  <c r="AF50" i="2"/>
  <c r="AE50" i="2"/>
  <c r="AD50" i="2"/>
  <c r="AC50" i="2"/>
  <c r="AB50" i="2"/>
  <c r="Z50" i="2"/>
  <c r="Y50" i="2"/>
  <c r="X50" i="2"/>
  <c r="W50" i="2"/>
  <c r="V50" i="2"/>
  <c r="U50" i="2"/>
  <c r="S50" i="2"/>
  <c r="R50" i="2"/>
  <c r="Q50" i="2"/>
  <c r="P50" i="2"/>
  <c r="O50" i="2"/>
  <c r="N50" i="2"/>
  <c r="M50" i="2"/>
  <c r="L50" i="2"/>
  <c r="K50" i="2"/>
  <c r="J50" i="2"/>
  <c r="I50" i="2"/>
  <c r="H50" i="2"/>
  <c r="G50" i="2"/>
  <c r="F50" i="2"/>
  <c r="E50" i="2"/>
  <c r="D50" i="2"/>
  <c r="C50" i="2"/>
  <c r="B50" i="2"/>
  <c r="A50" i="2"/>
  <c r="AH49" i="2"/>
  <c r="AE49" i="2"/>
  <c r="AD49" i="2"/>
  <c r="AC49" i="2"/>
  <c r="AB49" i="2"/>
  <c r="Y49" i="2"/>
  <c r="W49" i="2"/>
  <c r="V49" i="2"/>
  <c r="U49" i="2"/>
  <c r="T49" i="2"/>
  <c r="S49" i="2"/>
  <c r="R49" i="2"/>
  <c r="Q49" i="2"/>
  <c r="P49" i="2"/>
  <c r="O49" i="2"/>
  <c r="N49" i="2"/>
  <c r="M49" i="2"/>
  <c r="L49" i="2"/>
  <c r="K49" i="2"/>
  <c r="J49" i="2"/>
  <c r="I49" i="2"/>
  <c r="H49" i="2"/>
  <c r="G49" i="2"/>
  <c r="F49" i="2"/>
  <c r="E49" i="2"/>
  <c r="D49" i="2"/>
  <c r="C49" i="2"/>
  <c r="B49" i="2"/>
  <c r="A49" i="2"/>
  <c r="AH48" i="2"/>
  <c r="AG48" i="2"/>
  <c r="AF48" i="2"/>
  <c r="AE48" i="2"/>
  <c r="AD48" i="2"/>
  <c r="AC48" i="2"/>
  <c r="AB48" i="2"/>
  <c r="Z48" i="2"/>
  <c r="Y48" i="2"/>
  <c r="X48" i="2"/>
  <c r="W48" i="2"/>
  <c r="V48" i="2"/>
  <c r="U48" i="2"/>
  <c r="T48" i="2"/>
  <c r="S48" i="2"/>
  <c r="R48" i="2"/>
  <c r="Q48" i="2"/>
  <c r="P48" i="2"/>
  <c r="O48" i="2"/>
  <c r="N48" i="2"/>
  <c r="M48" i="2"/>
  <c r="L48" i="2"/>
  <c r="K48" i="2"/>
  <c r="J48" i="2"/>
  <c r="I48" i="2"/>
  <c r="H48" i="2"/>
  <c r="G48" i="2"/>
  <c r="F48" i="2"/>
  <c r="E48" i="2"/>
  <c r="D48" i="2"/>
  <c r="C48" i="2"/>
  <c r="B48" i="2"/>
  <c r="A48" i="2"/>
  <c r="AH47" i="2"/>
  <c r="AF47" i="2"/>
  <c r="AE47" i="2"/>
  <c r="AD47" i="2"/>
  <c r="AC47" i="2"/>
  <c r="AB47" i="2"/>
  <c r="AA47" i="2"/>
  <c r="Z47" i="2"/>
  <c r="Y47" i="2"/>
  <c r="X47" i="2"/>
  <c r="W47" i="2"/>
  <c r="V47" i="2"/>
  <c r="U47" i="2"/>
  <c r="T47" i="2"/>
  <c r="S47" i="2"/>
  <c r="R47" i="2"/>
  <c r="Q47" i="2"/>
  <c r="P47" i="2"/>
  <c r="O47" i="2"/>
  <c r="N47" i="2"/>
  <c r="M47" i="2"/>
  <c r="L47" i="2"/>
  <c r="K47" i="2"/>
  <c r="J47" i="2"/>
  <c r="I47" i="2"/>
  <c r="H47" i="2"/>
  <c r="G47" i="2"/>
  <c r="F47" i="2"/>
  <c r="E47" i="2"/>
  <c r="D47" i="2"/>
  <c r="C47" i="2"/>
  <c r="B47" i="2"/>
  <c r="A47" i="2"/>
  <c r="AH46" i="2"/>
  <c r="AF46" i="2"/>
  <c r="AE46" i="2"/>
  <c r="AD46" i="2"/>
  <c r="AC46" i="2"/>
  <c r="AB46" i="2"/>
  <c r="Z46" i="2"/>
  <c r="Y46" i="2"/>
  <c r="W46" i="2"/>
  <c r="V46" i="2"/>
  <c r="U46" i="2"/>
  <c r="T46" i="2"/>
  <c r="S46" i="2"/>
  <c r="R46" i="2"/>
  <c r="Q46" i="2"/>
  <c r="P46" i="2"/>
  <c r="O46" i="2"/>
  <c r="N46" i="2"/>
  <c r="M46" i="2"/>
  <c r="L46" i="2"/>
  <c r="K46" i="2"/>
  <c r="J46" i="2"/>
  <c r="I46" i="2"/>
  <c r="H46" i="2"/>
  <c r="G46" i="2"/>
  <c r="F46" i="2"/>
  <c r="E46" i="2"/>
  <c r="D46" i="2"/>
  <c r="C46" i="2"/>
  <c r="B46" i="2"/>
  <c r="A46" i="2"/>
  <c r="AH45" i="2"/>
  <c r="AG45" i="2"/>
  <c r="AF45" i="2"/>
  <c r="AE45" i="2"/>
  <c r="AD45" i="2"/>
  <c r="AC45" i="2"/>
  <c r="AB45" i="2"/>
  <c r="Z45" i="2"/>
  <c r="Y45" i="2"/>
  <c r="X45" i="2"/>
  <c r="W45" i="2"/>
  <c r="V45" i="2"/>
  <c r="U45" i="2"/>
  <c r="T45" i="2"/>
  <c r="S45" i="2"/>
  <c r="R45" i="2"/>
  <c r="Q45" i="2"/>
  <c r="P45" i="2"/>
  <c r="O45" i="2"/>
  <c r="N45" i="2"/>
  <c r="M45" i="2"/>
  <c r="L45" i="2"/>
  <c r="K45" i="2"/>
  <c r="J45" i="2"/>
  <c r="I45" i="2"/>
  <c r="H45" i="2"/>
  <c r="G45" i="2"/>
  <c r="F45" i="2"/>
  <c r="E45" i="2"/>
  <c r="D45" i="2"/>
  <c r="C45" i="2"/>
  <c r="B45" i="2"/>
  <c r="A45" i="2"/>
  <c r="AH44" i="2"/>
  <c r="AG44" i="2"/>
  <c r="AF44" i="2"/>
  <c r="AE44" i="2"/>
  <c r="AD44" i="2"/>
  <c r="AC44" i="2"/>
  <c r="AB44" i="2"/>
  <c r="Z44" i="2"/>
  <c r="Y44" i="2"/>
  <c r="X44" i="2"/>
  <c r="W44" i="2"/>
  <c r="V44" i="2"/>
  <c r="U44" i="2"/>
  <c r="T44" i="2"/>
  <c r="S44" i="2"/>
  <c r="R44" i="2"/>
  <c r="Q44" i="2"/>
  <c r="P44" i="2"/>
  <c r="O44" i="2"/>
  <c r="N44" i="2"/>
  <c r="M44" i="2"/>
  <c r="L44" i="2"/>
  <c r="K44" i="2"/>
  <c r="J44" i="2"/>
  <c r="I44" i="2"/>
  <c r="H44" i="2"/>
  <c r="G44" i="2"/>
  <c r="F44" i="2"/>
  <c r="E44" i="2"/>
  <c r="D44" i="2"/>
  <c r="C44" i="2"/>
  <c r="B44" i="2"/>
  <c r="A44" i="2"/>
  <c r="AH43" i="2"/>
  <c r="AF43" i="2"/>
  <c r="AE43" i="2"/>
  <c r="AD43" i="2"/>
  <c r="AC43" i="2"/>
  <c r="AB43" i="2"/>
  <c r="Y43" i="2"/>
  <c r="X43" i="2"/>
  <c r="W43" i="2"/>
  <c r="V43" i="2"/>
  <c r="U43" i="2"/>
  <c r="T43" i="2"/>
  <c r="S43" i="2"/>
  <c r="R43" i="2"/>
  <c r="Q43" i="2"/>
  <c r="P43" i="2"/>
  <c r="O43" i="2"/>
  <c r="N43" i="2"/>
  <c r="M43" i="2"/>
  <c r="L43" i="2"/>
  <c r="K43" i="2"/>
  <c r="J43" i="2"/>
  <c r="I43" i="2"/>
  <c r="H43" i="2"/>
  <c r="G43" i="2"/>
  <c r="F43" i="2"/>
  <c r="E43" i="2"/>
  <c r="D43" i="2"/>
  <c r="C43" i="2"/>
  <c r="B43" i="2"/>
  <c r="A43" i="2"/>
  <c r="AH42" i="2"/>
  <c r="AF42" i="2"/>
  <c r="AE42" i="2"/>
  <c r="AD42" i="2"/>
  <c r="AC42" i="2"/>
  <c r="AB42" i="2"/>
  <c r="W42" i="2"/>
  <c r="V42" i="2"/>
  <c r="U42" i="2"/>
  <c r="T42" i="2"/>
  <c r="S42" i="2"/>
  <c r="R42" i="2"/>
  <c r="Q42" i="2"/>
  <c r="P42" i="2"/>
  <c r="O42" i="2"/>
  <c r="N42" i="2"/>
  <c r="M42" i="2"/>
  <c r="L42" i="2"/>
  <c r="K42" i="2"/>
  <c r="J42" i="2"/>
  <c r="I42" i="2"/>
  <c r="H42" i="2"/>
  <c r="G42" i="2"/>
  <c r="F42" i="2"/>
  <c r="E42" i="2"/>
  <c r="D42" i="2"/>
  <c r="C42" i="2"/>
  <c r="B42" i="2"/>
  <c r="A42" i="2"/>
  <c r="AH41" i="2"/>
  <c r="AF41" i="2"/>
  <c r="AE41" i="2"/>
  <c r="AD41" i="2"/>
  <c r="AC41" i="2"/>
  <c r="AB41" i="2"/>
  <c r="Y41" i="2"/>
  <c r="W41" i="2"/>
  <c r="V41" i="2"/>
  <c r="U41" i="2"/>
  <c r="T41" i="2"/>
  <c r="S41" i="2"/>
  <c r="R41" i="2"/>
  <c r="Q41" i="2"/>
  <c r="P41" i="2"/>
  <c r="O41" i="2"/>
  <c r="N41" i="2"/>
  <c r="M41" i="2"/>
  <c r="L41" i="2"/>
  <c r="K41" i="2"/>
  <c r="J41" i="2"/>
  <c r="I41" i="2"/>
  <c r="H41" i="2"/>
  <c r="G41" i="2"/>
  <c r="F41" i="2"/>
  <c r="E41" i="2"/>
  <c r="D41" i="2"/>
  <c r="C41" i="2"/>
  <c r="B41" i="2"/>
  <c r="A41" i="2"/>
  <c r="AH40" i="2"/>
  <c r="X40" i="2"/>
  <c r="W40" i="2"/>
  <c r="V40" i="2"/>
  <c r="U40" i="2"/>
  <c r="T40" i="2"/>
  <c r="S40" i="2"/>
  <c r="R40" i="2"/>
  <c r="Q40" i="2"/>
  <c r="P40" i="2"/>
  <c r="O40" i="2"/>
  <c r="N40" i="2"/>
  <c r="M40" i="2"/>
  <c r="L40" i="2"/>
  <c r="K40" i="2"/>
  <c r="J40" i="2"/>
  <c r="I40" i="2"/>
  <c r="H40" i="2"/>
  <c r="G40" i="2"/>
  <c r="F40" i="2"/>
  <c r="E40" i="2"/>
  <c r="D40" i="2"/>
  <c r="C40" i="2"/>
  <c r="B40" i="2"/>
  <c r="A40" i="2"/>
  <c r="AH39" i="2"/>
  <c r="AF39" i="2"/>
  <c r="AE39" i="2"/>
  <c r="AD39" i="2"/>
  <c r="AC39" i="2"/>
  <c r="AB39" i="2"/>
  <c r="Y39" i="2"/>
  <c r="X39" i="2"/>
  <c r="W39" i="2"/>
  <c r="V39" i="2"/>
  <c r="U39" i="2"/>
  <c r="T39" i="2"/>
  <c r="S39" i="2"/>
  <c r="R39" i="2"/>
  <c r="Q39" i="2"/>
  <c r="P39" i="2"/>
  <c r="O39" i="2"/>
  <c r="N39" i="2"/>
  <c r="M39" i="2"/>
  <c r="L39" i="2"/>
  <c r="K39" i="2"/>
  <c r="J39" i="2"/>
  <c r="I39" i="2"/>
  <c r="H39" i="2"/>
  <c r="G39" i="2"/>
  <c r="F39" i="2"/>
  <c r="E39" i="2"/>
  <c r="D39" i="2"/>
  <c r="C39" i="2"/>
  <c r="B39" i="2"/>
  <c r="A39" i="2"/>
  <c r="AH38" i="2"/>
  <c r="AF38" i="2"/>
  <c r="AE38" i="2"/>
  <c r="AD38" i="2"/>
  <c r="AC38" i="2"/>
  <c r="AB38" i="2"/>
  <c r="Z38" i="2"/>
  <c r="Y38" i="2"/>
  <c r="X38" i="2"/>
  <c r="W38" i="2"/>
  <c r="V38" i="2"/>
  <c r="U38" i="2"/>
  <c r="T38" i="2"/>
  <c r="S38" i="2"/>
  <c r="R38" i="2"/>
  <c r="Q38" i="2"/>
  <c r="P38" i="2"/>
  <c r="O38" i="2"/>
  <c r="N38" i="2"/>
  <c r="M38" i="2"/>
  <c r="L38" i="2"/>
  <c r="K38" i="2"/>
  <c r="J38" i="2"/>
  <c r="I38" i="2"/>
  <c r="H38" i="2"/>
  <c r="G38" i="2"/>
  <c r="F38" i="2"/>
  <c r="E38" i="2"/>
  <c r="D38" i="2"/>
  <c r="C38" i="2"/>
  <c r="B38" i="2"/>
  <c r="A38" i="2"/>
  <c r="AH37" i="2"/>
  <c r="AF37" i="2"/>
  <c r="AE37" i="2"/>
  <c r="AD37" i="2"/>
  <c r="AC37" i="2"/>
  <c r="AB37" i="2"/>
  <c r="Z37" i="2"/>
  <c r="Y37" i="2"/>
  <c r="W37" i="2"/>
  <c r="V37" i="2"/>
  <c r="U37" i="2"/>
  <c r="T37" i="2"/>
  <c r="S37" i="2"/>
  <c r="R37" i="2"/>
  <c r="Q37" i="2"/>
  <c r="P37" i="2"/>
  <c r="O37" i="2"/>
  <c r="N37" i="2"/>
  <c r="M37" i="2"/>
  <c r="L37" i="2"/>
  <c r="K37" i="2"/>
  <c r="J37" i="2"/>
  <c r="I37" i="2"/>
  <c r="H37" i="2"/>
  <c r="G37" i="2"/>
  <c r="F37" i="2"/>
  <c r="E37" i="2"/>
  <c r="D37" i="2"/>
  <c r="C37" i="2"/>
  <c r="B37" i="2"/>
  <c r="A37" i="2"/>
  <c r="AH36" i="2"/>
  <c r="AG36" i="2"/>
  <c r="AF36" i="2"/>
  <c r="AE36" i="2"/>
  <c r="AD36" i="2"/>
  <c r="AC36" i="2"/>
  <c r="AB36" i="2"/>
  <c r="AA36" i="2"/>
  <c r="Z36" i="2"/>
  <c r="Y36" i="2"/>
  <c r="X36" i="2"/>
  <c r="W36" i="2"/>
  <c r="V36" i="2"/>
  <c r="U36" i="2"/>
  <c r="T36" i="2"/>
  <c r="S36" i="2"/>
  <c r="R36" i="2"/>
  <c r="Q36" i="2"/>
  <c r="P36" i="2"/>
  <c r="O36" i="2"/>
  <c r="N36" i="2"/>
  <c r="M36" i="2"/>
  <c r="L36" i="2"/>
  <c r="K36" i="2"/>
  <c r="J36" i="2"/>
  <c r="I36" i="2"/>
  <c r="H36" i="2"/>
  <c r="G36" i="2"/>
  <c r="F36" i="2"/>
  <c r="E36" i="2"/>
  <c r="D36" i="2"/>
  <c r="C36" i="2"/>
  <c r="B36" i="2"/>
  <c r="A36" i="2"/>
  <c r="AH35" i="2"/>
  <c r="AF35" i="2"/>
  <c r="AE35" i="2"/>
  <c r="AD35" i="2"/>
  <c r="AC35" i="2"/>
  <c r="AB35" i="2"/>
  <c r="Z35" i="2"/>
  <c r="Y35" i="2"/>
  <c r="X35" i="2"/>
  <c r="W35" i="2"/>
  <c r="V35" i="2"/>
  <c r="U35" i="2"/>
  <c r="T35" i="2"/>
  <c r="S35" i="2"/>
  <c r="R35" i="2"/>
  <c r="Q35" i="2"/>
  <c r="P35" i="2"/>
  <c r="O35" i="2"/>
  <c r="N35" i="2"/>
  <c r="M35" i="2"/>
  <c r="L35" i="2"/>
  <c r="K35" i="2"/>
  <c r="J35" i="2"/>
  <c r="I35" i="2"/>
  <c r="H35" i="2"/>
  <c r="G35" i="2"/>
  <c r="F35" i="2"/>
  <c r="E35" i="2"/>
  <c r="D35" i="2"/>
  <c r="C35" i="2"/>
  <c r="B35" i="2"/>
  <c r="A35" i="2"/>
  <c r="AH34" i="2"/>
  <c r="AG34" i="2"/>
  <c r="AF34" i="2"/>
  <c r="AE34" i="2"/>
  <c r="AD34" i="2"/>
  <c r="AC34" i="2"/>
  <c r="AB34" i="2"/>
  <c r="Z34" i="2"/>
  <c r="Y34" i="2"/>
  <c r="X34" i="2"/>
  <c r="W34" i="2"/>
  <c r="V34" i="2"/>
  <c r="U34" i="2"/>
  <c r="T34" i="2"/>
  <c r="S34" i="2"/>
  <c r="R34" i="2"/>
  <c r="Q34" i="2"/>
  <c r="P34" i="2"/>
  <c r="O34" i="2"/>
  <c r="N34" i="2"/>
  <c r="M34" i="2"/>
  <c r="L34" i="2"/>
  <c r="K34" i="2"/>
  <c r="J34" i="2"/>
  <c r="I34" i="2"/>
  <c r="H34" i="2"/>
  <c r="G34" i="2"/>
  <c r="F34" i="2"/>
  <c r="E34" i="2"/>
  <c r="D34" i="2"/>
  <c r="C34" i="2"/>
  <c r="B34" i="2"/>
  <c r="A34" i="2"/>
  <c r="AH33" i="2"/>
  <c r="AF33" i="2"/>
  <c r="AE33" i="2"/>
  <c r="AD33" i="2"/>
  <c r="AC33" i="2"/>
  <c r="AB33" i="2"/>
  <c r="Z33" i="2"/>
  <c r="W33" i="2"/>
  <c r="V33" i="2"/>
  <c r="U33" i="2"/>
  <c r="T33" i="2"/>
  <c r="S33" i="2"/>
  <c r="R33" i="2"/>
  <c r="Q33" i="2"/>
  <c r="P33" i="2"/>
  <c r="O33" i="2"/>
  <c r="N33" i="2"/>
  <c r="M33" i="2"/>
  <c r="L33" i="2"/>
  <c r="K33" i="2"/>
  <c r="J33" i="2"/>
  <c r="I33" i="2"/>
  <c r="H33" i="2"/>
  <c r="G33" i="2"/>
  <c r="F33" i="2"/>
  <c r="E33" i="2"/>
  <c r="D33" i="2"/>
  <c r="C33" i="2"/>
  <c r="B33" i="2"/>
  <c r="A33" i="2"/>
  <c r="AH32" i="2"/>
  <c r="AG32" i="2"/>
  <c r="AF32" i="2"/>
  <c r="AE32" i="2"/>
  <c r="AD32" i="2"/>
  <c r="AC32" i="2"/>
  <c r="AB32" i="2"/>
  <c r="AA32" i="2"/>
  <c r="Z32" i="2"/>
  <c r="Y32" i="2"/>
  <c r="X32" i="2"/>
  <c r="W32" i="2"/>
  <c r="V32" i="2"/>
  <c r="U32" i="2"/>
  <c r="T32" i="2"/>
  <c r="S32" i="2"/>
  <c r="R32" i="2"/>
  <c r="Q32" i="2"/>
  <c r="P32" i="2"/>
  <c r="O32" i="2"/>
  <c r="N32" i="2"/>
  <c r="M32" i="2"/>
  <c r="L32" i="2"/>
  <c r="K32" i="2"/>
  <c r="J32" i="2"/>
  <c r="I32" i="2"/>
  <c r="H32" i="2"/>
  <c r="G32" i="2"/>
  <c r="F32" i="2"/>
  <c r="E32" i="2"/>
  <c r="D32" i="2"/>
  <c r="C32" i="2"/>
  <c r="B32" i="2"/>
  <c r="A32" i="2"/>
  <c r="AH31" i="2"/>
  <c r="AF31" i="2"/>
  <c r="AE31" i="2"/>
  <c r="AD31" i="2"/>
  <c r="AC31" i="2"/>
  <c r="AB31" i="2"/>
  <c r="Z31" i="2"/>
  <c r="W31" i="2"/>
  <c r="V31" i="2"/>
  <c r="U31" i="2"/>
  <c r="T31" i="2"/>
  <c r="S31" i="2"/>
  <c r="R31" i="2"/>
  <c r="Q31" i="2"/>
  <c r="P31" i="2"/>
  <c r="O31" i="2"/>
  <c r="N31" i="2"/>
  <c r="M31" i="2"/>
  <c r="L31" i="2"/>
  <c r="K31" i="2"/>
  <c r="J31" i="2"/>
  <c r="I31" i="2"/>
  <c r="H31" i="2"/>
  <c r="G31" i="2"/>
  <c r="F31" i="2"/>
  <c r="E31" i="2"/>
  <c r="D31" i="2"/>
  <c r="C31" i="2"/>
  <c r="B31" i="2"/>
  <c r="A31" i="2"/>
  <c r="AH30" i="2"/>
  <c r="AG30" i="2"/>
  <c r="AF30" i="2"/>
  <c r="AE30" i="2"/>
  <c r="AD30" i="2"/>
  <c r="AC30" i="2"/>
  <c r="AB30" i="2"/>
  <c r="Z30" i="2"/>
  <c r="Y30" i="2"/>
  <c r="X30" i="2"/>
  <c r="W30" i="2"/>
  <c r="V30" i="2"/>
  <c r="U30" i="2"/>
  <c r="T30" i="2"/>
  <c r="S30" i="2"/>
  <c r="R30" i="2"/>
  <c r="Q30" i="2"/>
  <c r="P30" i="2"/>
  <c r="O30" i="2"/>
  <c r="N30" i="2"/>
  <c r="M30" i="2"/>
  <c r="L30" i="2"/>
  <c r="K30" i="2"/>
  <c r="J30" i="2"/>
  <c r="I30" i="2"/>
  <c r="H30" i="2"/>
  <c r="G30" i="2"/>
  <c r="F30" i="2"/>
  <c r="E30" i="2"/>
  <c r="D30" i="2"/>
  <c r="C30" i="2"/>
  <c r="B30" i="2"/>
  <c r="A30" i="2"/>
  <c r="AH29" i="2"/>
  <c r="AG29" i="2"/>
  <c r="AF29" i="2"/>
  <c r="AE29" i="2"/>
  <c r="AD29" i="2"/>
  <c r="AC29" i="2"/>
  <c r="AB29" i="2"/>
  <c r="Z29" i="2"/>
  <c r="Y29" i="2"/>
  <c r="X29" i="2"/>
  <c r="W29" i="2"/>
  <c r="V29" i="2"/>
  <c r="U29" i="2"/>
  <c r="T29" i="2"/>
  <c r="S29" i="2"/>
  <c r="R29" i="2"/>
  <c r="Q29" i="2"/>
  <c r="P29" i="2"/>
  <c r="O29" i="2"/>
  <c r="N29" i="2"/>
  <c r="M29" i="2"/>
  <c r="L29" i="2"/>
  <c r="K29" i="2"/>
  <c r="J29" i="2"/>
  <c r="I29" i="2"/>
  <c r="H29" i="2"/>
  <c r="G29" i="2"/>
  <c r="F29" i="2"/>
  <c r="E29" i="2"/>
  <c r="D29" i="2"/>
  <c r="C29" i="2"/>
  <c r="B29" i="2"/>
  <c r="A29" i="2"/>
  <c r="AH28" i="2"/>
  <c r="AG28" i="2"/>
  <c r="AF28" i="2"/>
  <c r="AE28" i="2"/>
  <c r="AD28" i="2"/>
  <c r="AC28" i="2"/>
  <c r="AB28" i="2"/>
  <c r="Z28" i="2"/>
  <c r="Y28" i="2"/>
  <c r="X28" i="2"/>
  <c r="W28" i="2"/>
  <c r="V28" i="2"/>
  <c r="U28" i="2"/>
  <c r="T28" i="2"/>
  <c r="S28" i="2"/>
  <c r="R28" i="2"/>
  <c r="Q28" i="2"/>
  <c r="P28" i="2"/>
  <c r="O28" i="2"/>
  <c r="N28" i="2"/>
  <c r="M28" i="2"/>
  <c r="L28" i="2"/>
  <c r="K28" i="2"/>
  <c r="J28" i="2"/>
  <c r="I28" i="2"/>
  <c r="H28" i="2"/>
  <c r="G28" i="2"/>
  <c r="F28" i="2"/>
  <c r="E28" i="2"/>
  <c r="D28" i="2"/>
  <c r="C28" i="2"/>
  <c r="B28" i="2"/>
  <c r="A28" i="2"/>
  <c r="AH27" i="2"/>
  <c r="AF27" i="2"/>
  <c r="AE27" i="2"/>
  <c r="AD27" i="2"/>
  <c r="AC27" i="2"/>
  <c r="AB27" i="2"/>
  <c r="Z27" i="2"/>
  <c r="Y27" i="2"/>
  <c r="W27" i="2"/>
  <c r="V27" i="2"/>
  <c r="U27" i="2"/>
  <c r="S27" i="2"/>
  <c r="R27" i="2"/>
  <c r="Q27" i="2"/>
  <c r="P27" i="2"/>
  <c r="O27" i="2"/>
  <c r="N27" i="2"/>
  <c r="M27" i="2"/>
  <c r="L27" i="2"/>
  <c r="K27" i="2"/>
  <c r="J27" i="2"/>
  <c r="I27" i="2"/>
  <c r="H27" i="2"/>
  <c r="G27" i="2"/>
  <c r="F27" i="2"/>
  <c r="E27" i="2"/>
  <c r="D27" i="2"/>
  <c r="C27" i="2"/>
  <c r="B27" i="2"/>
  <c r="A27" i="2"/>
  <c r="AH26" i="2"/>
  <c r="AF26" i="2"/>
  <c r="AE26" i="2"/>
  <c r="AD26" i="2"/>
  <c r="AC26" i="2"/>
  <c r="AB26" i="2"/>
  <c r="Z26" i="2"/>
  <c r="Y26" i="2"/>
  <c r="X26" i="2"/>
  <c r="W26" i="2"/>
  <c r="V26" i="2"/>
  <c r="U26" i="2"/>
  <c r="T26" i="2"/>
  <c r="S26" i="2"/>
  <c r="R26" i="2"/>
  <c r="Q26" i="2"/>
  <c r="P26" i="2"/>
  <c r="O26" i="2"/>
  <c r="N26" i="2"/>
  <c r="M26" i="2"/>
  <c r="L26" i="2"/>
  <c r="K26" i="2"/>
  <c r="J26" i="2"/>
  <c r="I26" i="2"/>
  <c r="H26" i="2"/>
  <c r="G26" i="2"/>
  <c r="F26" i="2"/>
  <c r="E26" i="2"/>
  <c r="D26" i="2"/>
  <c r="C26" i="2"/>
  <c r="B26" i="2"/>
  <c r="A26" i="2"/>
  <c r="AH25" i="2"/>
  <c r="AF25" i="2"/>
  <c r="AE25" i="2"/>
  <c r="AD25" i="2"/>
  <c r="AC25" i="2"/>
  <c r="AB25" i="2"/>
  <c r="Z25" i="2"/>
  <c r="Y25" i="2"/>
  <c r="W25" i="2"/>
  <c r="V25" i="2"/>
  <c r="U25" i="2"/>
  <c r="T25" i="2"/>
  <c r="S25" i="2"/>
  <c r="R25" i="2"/>
  <c r="Q25" i="2"/>
  <c r="P25" i="2"/>
  <c r="O25" i="2"/>
  <c r="N25" i="2"/>
  <c r="M25" i="2"/>
  <c r="L25" i="2"/>
  <c r="K25" i="2"/>
  <c r="J25" i="2"/>
  <c r="I25" i="2"/>
  <c r="H25" i="2"/>
  <c r="G25" i="2"/>
  <c r="F25" i="2"/>
  <c r="E25" i="2"/>
  <c r="D25" i="2"/>
  <c r="C25" i="2"/>
  <c r="B25" i="2"/>
  <c r="A25" i="2"/>
  <c r="AH24" i="2"/>
  <c r="AF24" i="2"/>
  <c r="AE24" i="2"/>
  <c r="AD24" i="2"/>
  <c r="AC24" i="2"/>
  <c r="AB24" i="2"/>
  <c r="Z24" i="2"/>
  <c r="Y24" i="2"/>
  <c r="W24" i="2"/>
  <c r="V24" i="2"/>
  <c r="U24" i="2"/>
  <c r="T24" i="2"/>
  <c r="S24" i="2"/>
  <c r="R24" i="2"/>
  <c r="Q24" i="2"/>
  <c r="P24" i="2"/>
  <c r="O24" i="2"/>
  <c r="N24" i="2"/>
  <c r="M24" i="2"/>
  <c r="L24" i="2"/>
  <c r="K24" i="2"/>
  <c r="J24" i="2"/>
  <c r="I24" i="2"/>
  <c r="H24" i="2"/>
  <c r="G24" i="2"/>
  <c r="F24" i="2"/>
  <c r="E24" i="2"/>
  <c r="D24" i="2"/>
  <c r="C24" i="2"/>
  <c r="B24" i="2"/>
  <c r="A24" i="2"/>
  <c r="AH23" i="2"/>
  <c r="AG23" i="2"/>
  <c r="AF23" i="2"/>
  <c r="AE23" i="2"/>
  <c r="AD23" i="2"/>
  <c r="AC23" i="2"/>
  <c r="AB23" i="2"/>
  <c r="Z23" i="2"/>
  <c r="Y23" i="2"/>
  <c r="X23" i="2"/>
  <c r="W23" i="2"/>
  <c r="V23" i="2"/>
  <c r="U23" i="2"/>
  <c r="T23" i="2"/>
  <c r="S23" i="2"/>
  <c r="R23" i="2"/>
  <c r="Q23" i="2"/>
  <c r="P23" i="2"/>
  <c r="O23" i="2"/>
  <c r="N23" i="2"/>
  <c r="M23" i="2"/>
  <c r="L23" i="2"/>
  <c r="K23" i="2"/>
  <c r="J23" i="2"/>
  <c r="I23" i="2"/>
  <c r="H23" i="2"/>
  <c r="G23" i="2"/>
  <c r="F23" i="2"/>
  <c r="E23" i="2"/>
  <c r="D23" i="2"/>
  <c r="C23" i="2"/>
  <c r="B23" i="2"/>
  <c r="A23" i="2"/>
  <c r="AH22" i="2"/>
  <c r="AF22" i="2"/>
  <c r="AE22" i="2"/>
  <c r="AD22" i="2"/>
  <c r="AC22" i="2"/>
  <c r="AB22" i="2"/>
  <c r="Z22" i="2"/>
  <c r="W22" i="2"/>
  <c r="V22" i="2"/>
  <c r="U22" i="2"/>
  <c r="T22" i="2"/>
  <c r="S22" i="2"/>
  <c r="R22" i="2"/>
  <c r="Q22" i="2"/>
  <c r="P22" i="2"/>
  <c r="O22" i="2"/>
  <c r="N22" i="2"/>
  <c r="M22" i="2"/>
  <c r="L22" i="2"/>
  <c r="K22" i="2"/>
  <c r="J22" i="2"/>
  <c r="I22" i="2"/>
  <c r="H22" i="2"/>
  <c r="G22" i="2"/>
  <c r="F22" i="2"/>
  <c r="E22" i="2"/>
  <c r="D22" i="2"/>
  <c r="C22" i="2"/>
  <c r="B22" i="2"/>
  <c r="A22" i="2"/>
  <c r="AH21" i="2"/>
  <c r="AG21" i="2"/>
  <c r="AF21" i="2"/>
  <c r="AE21" i="2"/>
  <c r="AD21" i="2"/>
  <c r="AC21" i="2"/>
  <c r="AB21" i="2"/>
  <c r="Z21" i="2"/>
  <c r="Y21" i="2"/>
  <c r="X21" i="2"/>
  <c r="W21" i="2"/>
  <c r="V21" i="2"/>
  <c r="U21" i="2"/>
  <c r="T21" i="2"/>
  <c r="S21" i="2"/>
  <c r="R21" i="2"/>
  <c r="Q21" i="2"/>
  <c r="P21" i="2"/>
  <c r="O21" i="2"/>
  <c r="N21" i="2"/>
  <c r="M21" i="2"/>
  <c r="L21" i="2"/>
  <c r="K21" i="2"/>
  <c r="J21" i="2"/>
  <c r="I21" i="2"/>
  <c r="H21" i="2"/>
  <c r="G21" i="2"/>
  <c r="F21" i="2"/>
  <c r="E21" i="2"/>
  <c r="D21" i="2"/>
  <c r="C21" i="2"/>
  <c r="B21" i="2"/>
  <c r="A21" i="2"/>
  <c r="AH20" i="2"/>
  <c r="AE20" i="2"/>
  <c r="AD20" i="2"/>
  <c r="AC20" i="2"/>
  <c r="AB20" i="2"/>
  <c r="Z20" i="2"/>
  <c r="Y20" i="2"/>
  <c r="X20" i="2"/>
  <c r="W20" i="2"/>
  <c r="V20" i="2"/>
  <c r="U20" i="2"/>
  <c r="T20" i="2"/>
  <c r="S20" i="2"/>
  <c r="R20" i="2"/>
  <c r="Q20" i="2"/>
  <c r="P20" i="2"/>
  <c r="O20" i="2"/>
  <c r="N20" i="2"/>
  <c r="M20" i="2"/>
  <c r="L20" i="2"/>
  <c r="K20" i="2"/>
  <c r="J20" i="2"/>
  <c r="I20" i="2"/>
  <c r="H20" i="2"/>
  <c r="G20" i="2"/>
  <c r="F20" i="2"/>
  <c r="E20" i="2"/>
  <c r="D20" i="2"/>
  <c r="C20" i="2"/>
  <c r="B20" i="2"/>
  <c r="A20" i="2"/>
  <c r="AH19" i="2"/>
  <c r="AF19" i="2"/>
  <c r="AE19" i="2"/>
  <c r="AD19" i="2"/>
  <c r="AC19" i="2"/>
  <c r="AB19" i="2"/>
  <c r="Z19" i="2"/>
  <c r="W19" i="2"/>
  <c r="V19" i="2"/>
  <c r="U19" i="2"/>
  <c r="T19" i="2"/>
  <c r="S19" i="2"/>
  <c r="R19" i="2"/>
  <c r="Q19" i="2"/>
  <c r="P19" i="2"/>
  <c r="O19" i="2"/>
  <c r="N19" i="2"/>
  <c r="M19" i="2"/>
  <c r="L19" i="2"/>
  <c r="K19" i="2"/>
  <c r="J19" i="2"/>
  <c r="I19" i="2"/>
  <c r="H19" i="2"/>
  <c r="G19" i="2"/>
  <c r="F19" i="2"/>
  <c r="E19" i="2"/>
  <c r="D19" i="2"/>
  <c r="C19" i="2"/>
  <c r="B19" i="2"/>
  <c r="A19" i="2"/>
  <c r="AH18" i="2"/>
  <c r="AF18" i="2"/>
  <c r="AE18" i="2"/>
  <c r="AD18" i="2"/>
  <c r="AC18" i="2"/>
  <c r="AB18" i="2"/>
  <c r="Z18" i="2"/>
  <c r="W18" i="2"/>
  <c r="V18" i="2"/>
  <c r="U18" i="2"/>
  <c r="T18" i="2"/>
  <c r="S18" i="2"/>
  <c r="R18" i="2"/>
  <c r="Q18" i="2"/>
  <c r="P18" i="2"/>
  <c r="O18" i="2"/>
  <c r="N18" i="2"/>
  <c r="M18" i="2"/>
  <c r="L18" i="2"/>
  <c r="K18" i="2"/>
  <c r="J18" i="2"/>
  <c r="I18" i="2"/>
  <c r="H18" i="2"/>
  <c r="G18" i="2"/>
  <c r="F18" i="2"/>
  <c r="E18" i="2"/>
  <c r="D18" i="2"/>
  <c r="C18" i="2"/>
  <c r="B18" i="2"/>
  <c r="A18" i="2"/>
  <c r="AH17" i="2"/>
  <c r="AF17" i="2"/>
  <c r="AD17" i="2"/>
  <c r="AC17" i="2"/>
  <c r="AB17" i="2"/>
  <c r="Z17" i="2"/>
  <c r="X17" i="2"/>
  <c r="W17" i="2"/>
  <c r="V17" i="2"/>
  <c r="U17" i="2"/>
  <c r="T17" i="2"/>
  <c r="S17" i="2"/>
  <c r="R17" i="2"/>
  <c r="Q17" i="2"/>
  <c r="P17" i="2"/>
  <c r="O17" i="2"/>
  <c r="N17" i="2"/>
  <c r="M17" i="2"/>
  <c r="L17" i="2"/>
  <c r="K17" i="2"/>
  <c r="J17" i="2"/>
  <c r="I17" i="2"/>
  <c r="H17" i="2"/>
  <c r="G17" i="2"/>
  <c r="F17" i="2"/>
  <c r="E17" i="2"/>
  <c r="D17" i="2"/>
  <c r="C17" i="2"/>
  <c r="B17" i="2"/>
  <c r="A17" i="2"/>
  <c r="AH16" i="2"/>
  <c r="AF16" i="2"/>
  <c r="AE16" i="2"/>
  <c r="AD16" i="2"/>
  <c r="AC16" i="2"/>
  <c r="AB16" i="2"/>
  <c r="Z16" i="2"/>
  <c r="Y16" i="2"/>
  <c r="X16" i="2"/>
  <c r="W16" i="2"/>
  <c r="V16" i="2"/>
  <c r="U16" i="2"/>
  <c r="T16" i="2"/>
  <c r="S16" i="2"/>
  <c r="R16" i="2"/>
  <c r="Q16" i="2"/>
  <c r="P16" i="2"/>
  <c r="O16" i="2"/>
  <c r="N16" i="2"/>
  <c r="M16" i="2"/>
  <c r="L16" i="2"/>
  <c r="K16" i="2"/>
  <c r="J16" i="2"/>
  <c r="I16" i="2"/>
  <c r="H16" i="2"/>
  <c r="G16" i="2"/>
  <c r="F16" i="2"/>
  <c r="E16" i="2"/>
  <c r="D16" i="2"/>
  <c r="C16" i="2"/>
  <c r="B16" i="2"/>
  <c r="A16" i="2"/>
  <c r="AH15" i="2"/>
  <c r="AF15" i="2"/>
  <c r="AD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H14" i="2"/>
  <c r="AF14" i="2"/>
  <c r="AE14" i="2"/>
  <c r="AD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H13" i="2"/>
  <c r="AG13" i="2"/>
  <c r="AF13" i="2"/>
  <c r="AE13" i="2"/>
  <c r="AD13" i="2"/>
  <c r="AC13" i="2"/>
  <c r="AB13" i="2"/>
  <c r="AA13" i="2"/>
  <c r="Z13" i="2"/>
  <c r="Y13" i="2"/>
  <c r="X13" i="2"/>
  <c r="W13" i="2"/>
  <c r="V13" i="2"/>
  <c r="U13" i="2"/>
  <c r="T13" i="2"/>
  <c r="S13" i="2"/>
  <c r="R13" i="2"/>
  <c r="Q13" i="2"/>
  <c r="P13" i="2"/>
  <c r="O13" i="2"/>
  <c r="N13" i="2"/>
  <c r="M13" i="2"/>
  <c r="L13" i="2"/>
  <c r="K13" i="2"/>
  <c r="J13" i="2"/>
  <c r="I13" i="2"/>
  <c r="H13" i="2"/>
  <c r="G13" i="2"/>
  <c r="F13" i="2"/>
  <c r="E13" i="2"/>
  <c r="D13" i="2"/>
  <c r="C13" i="2"/>
  <c r="B13" i="2"/>
  <c r="A13" i="2"/>
  <c r="AH12" i="2"/>
  <c r="AG12" i="2"/>
  <c r="AD12" i="2"/>
  <c r="AC12" i="2"/>
  <c r="AB12" i="2"/>
  <c r="Z12" i="2"/>
  <c r="Y12" i="2"/>
  <c r="X12" i="2"/>
  <c r="W12" i="2"/>
  <c r="V12" i="2"/>
  <c r="U12" i="2"/>
  <c r="T12" i="2"/>
  <c r="S12" i="2"/>
  <c r="R12" i="2"/>
  <c r="Q12" i="2"/>
  <c r="P12" i="2"/>
  <c r="O12" i="2"/>
  <c r="N12" i="2"/>
  <c r="M12" i="2"/>
  <c r="L12" i="2"/>
  <c r="K12" i="2"/>
  <c r="J12" i="2"/>
  <c r="I12" i="2"/>
  <c r="H12" i="2"/>
  <c r="G12" i="2"/>
  <c r="F12" i="2"/>
  <c r="E12" i="2"/>
  <c r="D12" i="2"/>
  <c r="C12" i="2"/>
  <c r="B12" i="2"/>
  <c r="A12" i="2"/>
  <c r="AH11" i="2"/>
  <c r="AG11" i="2"/>
  <c r="AF11" i="2"/>
  <c r="AE11" i="2"/>
  <c r="AD11" i="2"/>
  <c r="AC11" i="2"/>
  <c r="AB11" i="2"/>
  <c r="Z11" i="2"/>
  <c r="Y11" i="2"/>
  <c r="X11" i="2"/>
  <c r="W11" i="2"/>
  <c r="V11" i="2"/>
  <c r="U11" i="2"/>
  <c r="T11" i="2"/>
  <c r="S11" i="2"/>
  <c r="R11" i="2"/>
  <c r="Q11" i="2"/>
  <c r="P11" i="2"/>
  <c r="O11" i="2"/>
  <c r="N11" i="2"/>
  <c r="M11" i="2"/>
  <c r="L11" i="2"/>
  <c r="K11" i="2"/>
  <c r="J11" i="2"/>
  <c r="I11" i="2"/>
  <c r="H11" i="2"/>
  <c r="G11" i="2"/>
  <c r="F11" i="2"/>
  <c r="E11" i="2"/>
  <c r="D11" i="2"/>
  <c r="C11" i="2"/>
  <c r="B11" i="2"/>
  <c r="A11" i="2"/>
  <c r="AH10" i="2"/>
  <c r="AG10" i="2"/>
  <c r="AF10" i="2"/>
  <c r="AE10" i="2"/>
  <c r="AD10" i="2"/>
  <c r="AC10" i="2"/>
  <c r="AB10" i="2"/>
  <c r="Z10" i="2"/>
  <c r="Y10" i="2"/>
  <c r="X10" i="2"/>
  <c r="W10" i="2"/>
  <c r="V10" i="2"/>
  <c r="U10" i="2"/>
  <c r="T10" i="2"/>
  <c r="S10" i="2"/>
  <c r="R10" i="2"/>
  <c r="Q10" i="2"/>
  <c r="P10" i="2"/>
  <c r="O10" i="2"/>
  <c r="N10" i="2"/>
  <c r="M10" i="2"/>
  <c r="L10" i="2"/>
  <c r="K10" i="2"/>
  <c r="J10" i="2"/>
  <c r="I10" i="2"/>
  <c r="H10" i="2"/>
  <c r="G10" i="2"/>
  <c r="F10" i="2"/>
  <c r="E10" i="2"/>
  <c r="D10" i="2"/>
  <c r="C10" i="2"/>
  <c r="B10" i="2"/>
  <c r="A10" i="2"/>
  <c r="AH9" i="2"/>
  <c r="AF9" i="2"/>
  <c r="AE9" i="2"/>
  <c r="AD9" i="2"/>
  <c r="AC9" i="2"/>
  <c r="AB9" i="2"/>
  <c r="Z9" i="2"/>
  <c r="Y9" i="2"/>
  <c r="X9" i="2"/>
  <c r="W9" i="2"/>
  <c r="V9" i="2"/>
  <c r="U9" i="2"/>
  <c r="T9" i="2"/>
  <c r="S9" i="2"/>
  <c r="R9" i="2"/>
  <c r="Q9" i="2"/>
  <c r="P9" i="2"/>
  <c r="O9" i="2"/>
  <c r="N9" i="2"/>
  <c r="M9" i="2"/>
  <c r="L9" i="2"/>
  <c r="K9" i="2"/>
  <c r="J9" i="2"/>
  <c r="I9" i="2"/>
  <c r="H9" i="2"/>
  <c r="G9" i="2"/>
  <c r="F9" i="2"/>
  <c r="E9" i="2"/>
  <c r="D9" i="2"/>
  <c r="C9" i="2"/>
  <c r="B9" i="2"/>
  <c r="A9" i="2"/>
  <c r="AH8" i="2"/>
  <c r="AF8" i="2"/>
  <c r="AE8" i="2"/>
  <c r="AD8" i="2"/>
  <c r="AC8" i="2"/>
  <c r="AB8" i="2"/>
  <c r="Z8" i="2"/>
  <c r="Y8" i="2"/>
  <c r="X8" i="2"/>
  <c r="W8" i="2"/>
  <c r="V8" i="2"/>
  <c r="U8" i="2"/>
  <c r="T8" i="2"/>
  <c r="S8" i="2"/>
  <c r="R8" i="2"/>
  <c r="Q8" i="2"/>
  <c r="P8" i="2"/>
  <c r="O8" i="2"/>
  <c r="N8" i="2"/>
  <c r="M8" i="2"/>
  <c r="L8" i="2"/>
  <c r="K8" i="2"/>
  <c r="J8" i="2"/>
  <c r="I8" i="2"/>
  <c r="H8" i="2"/>
  <c r="G8" i="2"/>
  <c r="F8" i="2"/>
  <c r="E8" i="2"/>
  <c r="D8" i="2"/>
  <c r="C8" i="2"/>
  <c r="B8" i="2"/>
  <c r="A8" i="2"/>
  <c r="AH7" i="2"/>
  <c r="AF7" i="2"/>
  <c r="AD7" i="2"/>
  <c r="AC7" i="2"/>
  <c r="AB7" i="2"/>
  <c r="Z7" i="2"/>
  <c r="Y7" i="2"/>
  <c r="X7" i="2"/>
  <c r="W7" i="2"/>
  <c r="V7" i="2"/>
  <c r="U7" i="2"/>
  <c r="T7" i="2"/>
  <c r="S7" i="2"/>
  <c r="R7" i="2"/>
  <c r="Q7" i="2"/>
  <c r="P7" i="2"/>
  <c r="O7" i="2"/>
  <c r="N7" i="2"/>
  <c r="M7" i="2"/>
  <c r="L7" i="2"/>
  <c r="K7" i="2"/>
  <c r="J7" i="2"/>
  <c r="I7" i="2"/>
  <c r="H7" i="2"/>
  <c r="G7" i="2"/>
  <c r="F7" i="2"/>
  <c r="E7" i="2"/>
  <c r="D7" i="2"/>
  <c r="C7" i="2"/>
  <c r="B7" i="2"/>
  <c r="A7" i="2"/>
  <c r="AH6" i="2"/>
  <c r="AF6" i="2"/>
  <c r="AE6" i="2"/>
  <c r="AD6" i="2"/>
  <c r="AC6" i="2"/>
  <c r="AB6" i="2"/>
  <c r="Z6" i="2"/>
  <c r="Y6" i="2"/>
  <c r="W6" i="2"/>
  <c r="V6" i="2"/>
  <c r="U6" i="2"/>
  <c r="T6" i="2"/>
  <c r="S6" i="2"/>
  <c r="R6" i="2"/>
  <c r="Q6" i="2"/>
  <c r="P6" i="2"/>
  <c r="O6" i="2"/>
  <c r="N6" i="2"/>
  <c r="M6" i="2"/>
  <c r="L6" i="2"/>
  <c r="K6" i="2"/>
  <c r="J6" i="2"/>
  <c r="I6" i="2"/>
  <c r="H6" i="2"/>
  <c r="G6" i="2"/>
  <c r="F6" i="2"/>
  <c r="E6" i="2"/>
  <c r="D6" i="2"/>
  <c r="C6" i="2"/>
  <c r="B6" i="2"/>
  <c r="A6" i="2"/>
  <c r="AH5" i="2"/>
  <c r="AF5" i="2"/>
  <c r="AD5" i="2"/>
  <c r="AC5" i="2"/>
  <c r="AB5" i="2"/>
  <c r="W5" i="2"/>
  <c r="V5" i="2"/>
  <c r="U5" i="2"/>
  <c r="T5" i="2"/>
  <c r="S5" i="2"/>
  <c r="R5" i="2"/>
  <c r="Q5" i="2"/>
  <c r="P5" i="2"/>
  <c r="O5" i="2"/>
  <c r="N5" i="2"/>
  <c r="M5" i="2"/>
  <c r="L5" i="2"/>
  <c r="K5" i="2"/>
  <c r="J5" i="2"/>
  <c r="I5" i="2"/>
  <c r="H5" i="2"/>
  <c r="G5" i="2"/>
  <c r="F5" i="2"/>
  <c r="E5" i="2"/>
  <c r="D5" i="2"/>
  <c r="C5" i="2"/>
  <c r="B5" i="2"/>
  <c r="A5" i="2"/>
  <c r="AH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4" i="2"/>
  <c r="AH3" i="2"/>
  <c r="AF3" i="2"/>
  <c r="AE3" i="2"/>
  <c r="AD3" i="2"/>
  <c r="AC3" i="2"/>
  <c r="AB3" i="2"/>
  <c r="Z3" i="2"/>
  <c r="Y3" i="2"/>
  <c r="X3" i="2"/>
  <c r="W3" i="2"/>
  <c r="V3" i="2"/>
  <c r="U3" i="2"/>
  <c r="T3" i="2"/>
  <c r="S3" i="2"/>
  <c r="R3" i="2"/>
  <c r="Q3" i="2"/>
  <c r="P3" i="2"/>
  <c r="O3" i="2"/>
  <c r="N3" i="2"/>
  <c r="M3" i="2"/>
  <c r="L3" i="2"/>
  <c r="K3" i="2"/>
  <c r="J3" i="2"/>
  <c r="I3" i="2"/>
  <c r="H3" i="2"/>
  <c r="G3" i="2"/>
  <c r="F3" i="2"/>
  <c r="E3" i="2"/>
  <c r="D3" i="2"/>
  <c r="C3" i="2"/>
  <c r="B3" i="2"/>
  <c r="A3" i="2"/>
  <c r="AH2" i="2"/>
  <c r="AF2" i="2"/>
  <c r="AE2" i="2"/>
  <c r="AD2" i="2"/>
  <c r="AC2" i="2"/>
  <c r="AB2" i="2"/>
  <c r="Z2" i="2"/>
  <c r="Y2" i="2"/>
  <c r="X2" i="2"/>
  <c r="W2" i="2"/>
  <c r="V2" i="2"/>
  <c r="U2" i="2"/>
  <c r="T2" i="2"/>
  <c r="S2" i="2"/>
  <c r="R2" i="2"/>
  <c r="Q2" i="2"/>
  <c r="P2" i="2"/>
  <c r="O2" i="2"/>
  <c r="N2" i="2"/>
  <c r="M2" i="2"/>
  <c r="L2" i="2"/>
  <c r="K2" i="2"/>
  <c r="J2" i="2"/>
  <c r="I2" i="2"/>
  <c r="H2" i="2"/>
  <c r="G2" i="2"/>
  <c r="F2" i="2"/>
  <c r="E2" i="2"/>
  <c r="D2" i="2"/>
  <c r="C2" i="2"/>
  <c r="B2" i="2"/>
  <c r="A2"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2">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wN7zCl5EfzqbFytRZlzObj_4XWbUqpujG6vOPvAvxvM/edit?usp=sharin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https://www.postandcourier.com/news/berkeley-county-detention-officers-slaying-in-school-parking-lot-remains-a-mystery/article_14da3fac-0932-11ed-a50f-bb8eb3384a30.html" TargetMode="External"/><Relationship Id="rId170" Type="http://schemas.openxmlformats.org/officeDocument/2006/relationships/hyperlink" Target="https://www.13abc.com/content/news/Juvenile-shot-on-Central-Catholic-grounds-after-altercation-following-football-game-558889751.html" TargetMode="External"/><Relationship Id="rId268" Type="http://schemas.openxmlformats.org/officeDocument/2006/relationships/hyperlink" Target="https://www.nola.com/crime/index.ssf/2017/01/algiers_double_shooting.html" TargetMode="External"/><Relationship Id="rId475" Type="http://schemas.openxmlformats.org/officeDocument/2006/relationships/hyperlink" Target="https://www.modbee.com/latest-news/article3115798.html" TargetMode="External"/><Relationship Id="rId682" Type="http://schemas.openxmlformats.org/officeDocument/2006/relationships/hyperlink" Target="https://azdailysun.com/teen-shoots-himself-in-principal-s-office/article_4262b5f6-0d4a-536c-9859-fb77384f957a.html" TargetMode="External"/><Relationship Id="rId128" Type="http://schemas.openxmlformats.org/officeDocument/2006/relationships/hyperlink" Target="http://www.bradfordera.com/news/local/no-injuries-when-school-bus-shot-by-bb-gun-wednesday/article_5e809a44-23b0-5f69-a54c-b2ae8799785b.html" TargetMode="External"/><Relationship Id="rId335" Type="http://schemas.openxmlformats.org/officeDocument/2006/relationships/hyperlink" Target="http://www.delcotimes.com/general-news/20160222/cops-chester-probes-source-of-gun-teen-used-in-shooting" TargetMode="External"/><Relationship Id="rId542" Type="http://schemas.openxmlformats.org/officeDocument/2006/relationships/hyperlink" Target="https://www.washingtonexaminer.com/third-grader-at-grove-park-brings-gun-to-city-school" TargetMode="External"/><Relationship Id="rId987" Type="http://schemas.openxmlformats.org/officeDocument/2006/relationships/hyperlink" Target="https://news.google.com/newspapers?id=uSEVAAAAIBAJ&amp;sjid=UwYEAAAAIBAJ&amp;pg=3636,1012288&amp;dq=" TargetMode="External"/><Relationship Id="rId1172" Type="http://schemas.openxmlformats.org/officeDocument/2006/relationships/hyperlink" Target="https://www.newspapers.com/image/18059538/?terms=school%2Bshooting" TargetMode="External"/><Relationship Id="rId402" Type="http://schemas.openxmlformats.org/officeDocument/2006/relationships/hyperlink" Target="https://www.nbclosangeles.com/news/local/Chino-Newman-Elementary-School-Safety-Demonstration-Weapon-Gun-Misfires-Injures-228984301.html" TargetMode="External"/><Relationship Id="rId847" Type="http://schemas.openxmlformats.org/officeDocument/2006/relationships/hyperlink" Target="https://www.newspapers.com/image/106780083/?terms=Michael%2BJackson%2BJr" TargetMode="External"/><Relationship Id="rId1032" Type="http://schemas.openxmlformats.org/officeDocument/2006/relationships/hyperlink" Target="https://www.newspapers.com/image/266962735/?terms=Central%2BHigh%2BSchool%2Btuscaloosa%2Bshooting" TargetMode="External"/><Relationship Id="rId707" Type="http://schemas.openxmlformats.org/officeDocument/2006/relationships/hyperlink" Target="http://www.enquirer.com/editions/2001/09/14/loc_children_who_saw.html" TargetMode="External"/><Relationship Id="rId914" Type="http://schemas.openxmlformats.org/officeDocument/2006/relationships/hyperlink" Target="https://www.newspapers.com/image/299882814/?terms=Lincoln%2BHigh%2BSchool%2Bdallas%2Bpep%2Brally" TargetMode="External"/><Relationship Id="rId43" Type="http://schemas.openxmlformats.org/officeDocument/2006/relationships/hyperlink" Target="https://www.wdbj7.com/2022/03/22/school-bus-shot-nw-roanoke/" TargetMode="External"/><Relationship Id="rId192" Type="http://schemas.openxmlformats.org/officeDocument/2006/relationships/hyperlink" Target="https://mynews4.com/news/local/2019-shooting-of-man-near-reno-high-school-by-reno-police-ruled-justified-by-washoe-da" TargetMode="External"/><Relationship Id="rId497" Type="http://schemas.openxmlformats.org/officeDocument/2006/relationships/hyperlink" Target="https://www.newspapers.com/image/243658015/?terms=student%2Bshot" TargetMode="External"/><Relationship Id="rId357" Type="http://schemas.openxmlformats.org/officeDocument/2006/relationships/hyperlink" Target="https://www.ksat.com/news/school-official-seguin-high-school-student-shoots-kills-self" TargetMode="External"/><Relationship Id="rId217" Type="http://schemas.openxmlformats.org/officeDocument/2006/relationships/hyperlink" Target="https://www.nbcbayarea.com/news/local/Suspect-Arrested-After-Officer-Involved-Shooting-Chase-at-Gilroy-High-School--492815721.html" TargetMode="External"/><Relationship Id="rId564" Type="http://schemas.openxmlformats.org/officeDocument/2006/relationships/hyperlink" Target="https://www.washingtonpost.com/archive/business/technology/2006/04/05/shooting-at-roosevelt-high-injures-19-year-old-student/5e198f72-616c-4f3e-8b06-25cdc4162735/?utm_term=.0b3f619eca63" TargetMode="External"/><Relationship Id="rId771" Type="http://schemas.openxmlformats.org/officeDocument/2006/relationships/hyperlink" Target="https://www.newspapers.com/image/186768947/?terms=student%2Bshoots" TargetMode="External"/><Relationship Id="rId869" Type="http://schemas.openxmlformats.org/officeDocument/2006/relationships/hyperlink" Target="https://www.newspapers.com/image/176460783/?terms=Dorsey%2BHigh%2BSchool%2Bshooting" TargetMode="External"/><Relationship Id="rId424" Type="http://schemas.openxmlformats.org/officeDocument/2006/relationships/hyperlink" Target="https://www.wxyz.com/news/region/detroit/16-year-old-boy-shot-at-after-basketball-game-in-detroit" TargetMode="External"/><Relationship Id="rId631" Type="http://schemas.openxmlformats.org/officeDocument/2006/relationships/hyperlink" Target="https://www.nwitimes.com/news/local/suspect-in-school-shooting-in-custody/article_45dbc46d-b19d-5eda-a4e0-8823c211e6cd.html" TargetMode="External"/><Relationship Id="rId729" Type="http://schemas.openxmlformats.org/officeDocument/2006/relationships/hyperlink" Target="https://www.newspapers.com/image/324100036/?terms=Mount%2BHealthy%2C%2BOhio%2Bschool%2Bgun" TargetMode="External"/><Relationship Id="rId1054" Type="http://schemas.openxmlformats.org/officeDocument/2006/relationships/hyperlink" Target="https://stltoday.newspapers.com/clip/7051030/3_wounded_in_university_city_high/" TargetMode="External"/><Relationship Id="rId936" Type="http://schemas.openxmlformats.org/officeDocument/2006/relationships/hyperlink" Target="https://www.newspapers.com/image/174030895/?terms=student%2Bshoots" TargetMode="External"/><Relationship Id="rId1121" Type="http://schemas.openxmlformats.org/officeDocument/2006/relationships/hyperlink" Target="https://www.newspapers.com/image/37911464/?terms=school%2Bshooting" TargetMode="External"/><Relationship Id="rId65" Type="http://schemas.openxmlformats.org/officeDocument/2006/relationships/hyperlink" Target="https://www.khou.com/article/news/crime/armed-robbery-sam-rayburn-high-school/285-06becca9-eb0b-46ce-85e6-b710d108e7dc" TargetMode="External"/><Relationship Id="rId281" Type="http://schemas.openxmlformats.org/officeDocument/2006/relationships/hyperlink" Target="https://www.wktv.com/content/news/453482573.html" TargetMode="External"/><Relationship Id="rId141" Type="http://schemas.openxmlformats.org/officeDocument/2006/relationships/hyperlink" Target="https://abc17news.com/news/crime/shooting/2020/08/25/one-person-shot-near-west-middle-school-in-columbia/" TargetMode="External"/><Relationship Id="rId379" Type="http://schemas.openxmlformats.org/officeDocument/2006/relationships/hyperlink" Target="http://www.newsofmillcreek.com/content/weekend-shooting-horizon-elementary-school" TargetMode="External"/><Relationship Id="rId586" Type="http://schemas.openxmlformats.org/officeDocument/2006/relationships/hyperlink" Target="http://www.kxii.com/home/headlines/1978757.html" TargetMode="External"/><Relationship Id="rId793" Type="http://schemas.openxmlformats.org/officeDocument/2006/relationships/hyperlink" Target="http://community.seattletimes.nwsource.com/archive/?date=19950118&amp;slug=2100074" TargetMode="External"/><Relationship Id="rId7" Type="http://schemas.openxmlformats.org/officeDocument/2006/relationships/hyperlink" Target="https://sports.yahoo.com/shots-ring-serrano-high-school-050531605.html" TargetMode="External"/><Relationship Id="rId239" Type="http://schemas.openxmlformats.org/officeDocument/2006/relationships/hyperlink" Target="https://www.kshb.com/news/crime/man-charged-in-shooting-at-center-high-school-graduation" TargetMode="External"/><Relationship Id="rId446" Type="http://schemas.openxmlformats.org/officeDocument/2006/relationships/hyperlink" Target="https://www.newspapers.com/image/310759931/?terms=school%2B%2Bbus%2Bshooting" TargetMode="External"/><Relationship Id="rId653" Type="http://schemas.openxmlformats.org/officeDocument/2006/relationships/hyperlink" Target="http://www.foxnews.com/story/2006/03/16/two-guilty-in-slaying-philadelphia-boy.html" TargetMode="External"/><Relationship Id="rId1076" Type="http://schemas.openxmlformats.org/officeDocument/2006/relationships/hyperlink" Target="https://www.newspapers.com/image/26422860/?terms=school%2Bshooting" TargetMode="External"/><Relationship Id="rId306" Type="http://schemas.openxmlformats.org/officeDocument/2006/relationships/hyperlink" Target="https://www.twincities.com/2017/02/18/man-kidnaps-ex-fiancee-kills-himself-in-middle-school-parking-lot/" TargetMode="External"/><Relationship Id="rId860" Type="http://schemas.openxmlformats.org/officeDocument/2006/relationships/hyperlink" Target="https://newsok.com/article/2384331/city-campuses-close-after-shooting-death-security-searches-stepped-up" TargetMode="External"/><Relationship Id="rId958" Type="http://schemas.openxmlformats.org/officeDocument/2006/relationships/hyperlink" Target="https://www.newspapers.com/image/337579716/?terms=David%2BMancuso" TargetMode="External"/><Relationship Id="rId1143" Type="http://schemas.openxmlformats.org/officeDocument/2006/relationships/hyperlink" Target="https://www.newspapers.com/image/377096935/" TargetMode="External"/><Relationship Id="rId87" Type="http://schemas.openxmlformats.org/officeDocument/2006/relationships/hyperlink" Target="https://www.thesussireport.com/reports/car-windows-shot-out-at-high-school-football-game" TargetMode="External"/><Relationship Id="rId513" Type="http://schemas.openxmlformats.org/officeDocument/2006/relationships/hyperlink" Target="http://www.wistv.com/story/6297864/student-shoots-himself-in-leg-at-myrtle-beach-high-school?clienttype=printable" TargetMode="External"/><Relationship Id="rId720" Type="http://schemas.openxmlformats.org/officeDocument/2006/relationships/hyperlink" Target="https://www.sfgate.com/news/article/Security-Review-After-Accident-Student-shot-2968986.php" TargetMode="External"/><Relationship Id="rId818" Type="http://schemas.openxmlformats.org/officeDocument/2006/relationships/hyperlink" Target="https://www.newspapers.com/image/156503737/?terms=Dover%2BHigh%2BSchool%2Bsuicide" TargetMode="External"/><Relationship Id="rId1003" Type="http://schemas.openxmlformats.org/officeDocument/2006/relationships/hyperlink" Target="https://www.newspapers.com/image/112306526/?terms=troy%2Bhale" TargetMode="External"/><Relationship Id="rId14" Type="http://schemas.openxmlformats.org/officeDocument/2006/relationships/hyperlink" Target="https://www.kctv5.com/2022/07/27/police-man-involved-shooting-incident-with-gardner-police-wounded-himself/" TargetMode="External"/><Relationship Id="rId163" Type="http://schemas.openxmlformats.org/officeDocument/2006/relationships/hyperlink" Target="https://dailyvoice.com/new-jersey/ocean/police-fire/asbury-park-teen-idd-charged-with-shooting-near-brick-high-school/794032/" TargetMode="External"/><Relationship Id="rId370" Type="http://schemas.openxmlformats.org/officeDocument/2006/relationships/hyperlink" Target="http://archive.commercialappeal.com/news/crime/student-shoots-himself-in-leg-at-a-maceo-walker-middle-memphis-police-say-ep-692582895-324312081.html/" TargetMode="External"/><Relationship Id="rId230" Type="http://schemas.openxmlformats.org/officeDocument/2006/relationships/hyperlink" Target="https://wchstv.com/news/local/man-accused-of-firing-gun-at-hurricane-high-school-during-agrument" TargetMode="External"/><Relationship Id="rId468" Type="http://schemas.openxmlformats.org/officeDocument/2006/relationships/hyperlink" Target="http://archive.longislandpress.com/2010/02/26/mastic-man-pleads-guilty-to-school-shooting/" TargetMode="External"/><Relationship Id="rId675" Type="http://schemas.openxmlformats.org/officeDocument/2006/relationships/hyperlink" Target="http://obits.dallasnews.com/obituaries/dallasmorningnews/obituary.aspx?page=lifestory&amp;pid=950952" TargetMode="External"/><Relationship Id="rId882" Type="http://schemas.openxmlformats.org/officeDocument/2006/relationships/hyperlink" Target="https://www.newspapers.com/image/300370142/?terms=Naaman%2BForest%2BHigh%2BSchool" TargetMode="External"/><Relationship Id="rId1098" Type="http://schemas.openxmlformats.org/officeDocument/2006/relationships/hyperlink" Target="https://www.newspapers.com/newspage/139614437/" TargetMode="External"/><Relationship Id="rId328" Type="http://schemas.openxmlformats.org/officeDocument/2006/relationships/hyperlink" Target="http://www.kwch.com/content/news/One-seriously-hurt-at-possible-shooting-at-Augusta-high-school-379583611.html" TargetMode="External"/><Relationship Id="rId535" Type="http://schemas.openxmlformats.org/officeDocument/2006/relationships/hyperlink" Target="https://www.newspapers.com/image/232079346/?terms=Northwest%2BHigh%2BSchool%2Bgun%2Bpocket" TargetMode="External"/><Relationship Id="rId742" Type="http://schemas.openxmlformats.org/officeDocument/2006/relationships/hyperlink" Target="https://www.newspapers.com/image/13325920/?terms=Dickinson%2BHigh%2BSchool%2Bshooting" TargetMode="External"/><Relationship Id="rId1165" Type="http://schemas.openxmlformats.org/officeDocument/2006/relationships/hyperlink" Target="https://www.newspapers.com/image/43039004/?terms=school%2Bshooting" TargetMode="External"/><Relationship Id="rId602" Type="http://schemas.openxmlformats.org/officeDocument/2006/relationships/hyperlink" Target="https://www.columbine-angels.com/School_Violence_2004-2005.htm" TargetMode="External"/><Relationship Id="rId1025" Type="http://schemas.openxmlformats.org/officeDocument/2006/relationships/hyperlink" Target="https://www.newspapers.com/image/235456423/?terms=dillard%2Bhigh%2Bschool%2Bshooting" TargetMode="External"/><Relationship Id="rId907" Type="http://schemas.openxmlformats.org/officeDocument/2006/relationships/hyperlink" Target="https://www.upi.com/Archives/1988/11/22/High-school-student-shoots-history-teacher-in-face/3742596178000/" TargetMode="External"/><Relationship Id="rId36" Type="http://schemas.openxmlformats.org/officeDocument/2006/relationships/hyperlink" Target="https://krcrtv.com/news/local/video-reports-of-shots-fired-near-middle-school" TargetMode="External"/><Relationship Id="rId185" Type="http://schemas.openxmlformats.org/officeDocument/2006/relationships/hyperlink" Target="https://www.wfla.com/news/pasco-county/deputies-pasco-school-officer-s-gun-discharges-in-cafeteria-no-one-injured/1966758072" TargetMode="External"/><Relationship Id="rId392" Type="http://schemas.openxmlformats.org/officeDocument/2006/relationships/hyperlink" Target="http://www.kfvs12.com/story/24557239/1-injured-in-shooting-on-carbondale-school-parking-lot" TargetMode="External"/><Relationship Id="rId697" Type="http://schemas.openxmlformats.org/officeDocument/2006/relationships/hyperlink" Target="http://articles.latimes.com/2002/feb/07/local/me-shot7" TargetMode="External"/><Relationship Id="rId252" Type="http://schemas.openxmlformats.org/officeDocument/2006/relationships/hyperlink" Target="http://www.wsaz.com/content/news/Reported-gunfire-at-Frederick-Douglas-High-School-in-Lexington-476375083.html" TargetMode="External"/><Relationship Id="rId112" Type="http://schemas.openxmlformats.org/officeDocument/2006/relationships/hyperlink" Target="https://www.wgal.com/article/man-found-shot-in-columbia/36709512" TargetMode="External"/><Relationship Id="rId557" Type="http://schemas.openxmlformats.org/officeDocument/2006/relationships/hyperlink" Target="https://www.nwitimes.com/news/local/eskew-guilty-in-wirt-high-school-shooting/article_c43a6d4c-8921-5a4a-8e1a-8af4f3506ca2.html" TargetMode="External"/><Relationship Id="rId764" Type="http://schemas.openxmlformats.org/officeDocument/2006/relationships/hyperlink" Target="https://www.washingtonpost.com/nation/2022/08/28/school-shooting-paducah-kentucky-michael-carneal-parole/" TargetMode="External"/><Relationship Id="rId971" Type="http://schemas.openxmlformats.org/officeDocument/2006/relationships/hyperlink" Target="https://www.newspapers.com/image/140853530" TargetMode="External"/><Relationship Id="rId417" Type="http://schemas.openxmlformats.org/officeDocument/2006/relationships/hyperlink" Target="https://www.cbsnews.com/news/la-salle-high-school-shooting-update-gun-used-in-ohio-classroom-came-from-home-police-say/" TargetMode="External"/><Relationship Id="rId624" Type="http://schemas.openxmlformats.org/officeDocument/2006/relationships/hyperlink" Target="http://www.philadelphiaweekly.com/news/state-of-disgrace/article_86c2a06b-190d-5781-ab53-23c8fb71c94c.html" TargetMode="External"/><Relationship Id="rId831" Type="http://schemas.openxmlformats.org/officeDocument/2006/relationships/hyperlink" Target="https://www.newspapers.com/image/384227902/?terms=Vodrick%2BJohnson" TargetMode="External"/><Relationship Id="rId1047" Type="http://schemas.openxmlformats.org/officeDocument/2006/relationships/hyperlink" Target="https://www.newspapers.com/image/281107557/?terms=eastern%2Bhigh%2Bschool%2Bshooting%2Bbaltimore" TargetMode="External"/><Relationship Id="rId929" Type="http://schemas.openxmlformats.org/officeDocument/2006/relationships/hyperlink" Target="https://www.newspapers.com/image/321411477/?terms=student%2Bshoots%2Bdean%2Bcar" TargetMode="External"/><Relationship Id="rId1114" Type="http://schemas.openxmlformats.org/officeDocument/2006/relationships/hyperlink" Target="https://www.newspapers.com/image/25814105/?terms=school%2Bshooting" TargetMode="External"/><Relationship Id="rId58" Type="http://schemas.openxmlformats.org/officeDocument/2006/relationships/hyperlink" Target="https://www.khou.com/article/news/crime/deadly-shooting-pyburn-elementary-peppertree-lane-houston/285-c7d1292b-a102-4d22-953f-69636db73539" TargetMode="External"/><Relationship Id="rId274" Type="http://schemas.openxmlformats.org/officeDocument/2006/relationships/hyperlink" Target="https://www.news-gazette.com/news/update-potential-fight-might-have-sparked-gunfire/article_644ff6c6-f9f5-5327-b078-630facba2e9b.html" TargetMode="External"/><Relationship Id="rId481" Type="http://schemas.openxmlformats.org/officeDocument/2006/relationships/hyperlink" Target="https://bangordailynews.com/2008/10/31/news/5th-graders-safe-after-police-arrest-armed-fugitive/" TargetMode="External"/><Relationship Id="rId702" Type="http://schemas.openxmlformats.org/officeDocument/2006/relationships/hyperlink" Target="https://www.michigandaily.com/content/17-year-old-takes-hostages-school-commits-suicide" TargetMode="External"/><Relationship Id="rId1125" Type="http://schemas.openxmlformats.org/officeDocument/2006/relationships/hyperlink" Target="https://www.newspapers.com/image/133686805/?terms=STUDENT%2BSHOT" TargetMode="External"/><Relationship Id="rId69" Type="http://schemas.openxmlformats.org/officeDocument/2006/relationships/hyperlink" Target="https://fox8.com/news/cleveland-school-bus-driver-robbed-at-gunpoint/" TargetMode="External"/><Relationship Id="rId134" Type="http://schemas.openxmlformats.org/officeDocument/2006/relationships/hyperlink" Target="https://newschannel20.com/news/local/man-elementary-school-window-shot-by-bb-gun" TargetMode="External"/><Relationship Id="rId579" Type="http://schemas.openxmlformats.org/officeDocument/2006/relationships/hyperlink" Target="https://www.cbsnews.com/news/parents-we-told-police-gun-was-fake/" TargetMode="External"/><Relationship Id="rId786" Type="http://schemas.openxmlformats.org/officeDocument/2006/relationships/hyperlink" Target="https://www.newspapers.com/image/106718796/?terms=student%2Bshot" TargetMode="External"/><Relationship Id="rId993" Type="http://schemas.openxmlformats.org/officeDocument/2006/relationships/hyperlink" Target="https://www.newspapers.com/image/369822289" TargetMode="External"/><Relationship Id="rId341" Type="http://schemas.openxmlformats.org/officeDocument/2006/relationships/hyperlink" Target="http://www.doverpost.com/news/20160112/update-students-arrested-after-shot-fired-at-central-middle-school" TargetMode="External"/><Relationship Id="rId439" Type="http://schemas.openxmlformats.org/officeDocument/2006/relationships/hyperlink" Target="https://www.wbtv.com/story/15592235/man-shot-twice-at-garinger-high-school-police-say/" TargetMode="External"/><Relationship Id="rId646" Type="http://schemas.openxmlformats.org/officeDocument/2006/relationships/hyperlink" Target="https://www.newspapers.com/image/285023326/?terms=East%2BCampus%2BEducational%2BCenter%2BJulio%2BNajar" TargetMode="External"/><Relationship Id="rId1069" Type="http://schemas.openxmlformats.org/officeDocument/2006/relationships/hyperlink" Target="https://www.newspapers.com/image/139488488/?terms=school%2Bshooting" TargetMode="External"/><Relationship Id="rId201" Type="http://schemas.openxmlformats.org/officeDocument/2006/relationships/hyperlink" Target="https://wtkr.com/2018/11/20/shot-fired-by-portsmouth-elementary-school-police-investigate/" TargetMode="External"/><Relationship Id="rId285" Type="http://schemas.openxmlformats.org/officeDocument/2006/relationships/hyperlink" Target="https://triblive.com/local/regional/12794212-74/woman-shoots-boyfriend-in-indiana-county-school-parking-lot" TargetMode="External"/><Relationship Id="rId506" Type="http://schemas.openxmlformats.org/officeDocument/2006/relationships/hyperlink" Target="https://www.brownsvilleherald.com/news/local/parents-remove-children-after-student-fires-gun-at-school/article_10ab2498-9eb9-5db8-97fd-9bed18dcdc95.html" TargetMode="External"/><Relationship Id="rId853" Type="http://schemas.openxmlformats.org/officeDocument/2006/relationships/hyperlink" Target="https://www.newspapers.com/image/300277708/?terms=Huntsville%2BJunior%2BHigh%2BSchool%2Bshooting" TargetMode="External"/><Relationship Id="rId1136" Type="http://schemas.openxmlformats.org/officeDocument/2006/relationships/hyperlink" Target="https://www.newspapers.com/image/340859194/?terms=school%2Bshooting" TargetMode="External"/><Relationship Id="rId492" Type="http://schemas.openxmlformats.org/officeDocument/2006/relationships/hyperlink" Target="https://www.nytimes.com/2008/02/12/us/12memphis.html" TargetMode="External"/><Relationship Id="rId713" Type="http://schemas.openxmlformats.org/officeDocument/2006/relationships/hyperlink" Target="http://edition.cnn.com/2001/US/03/31/school.shooting/" TargetMode="External"/><Relationship Id="rId797" Type="http://schemas.openxmlformats.org/officeDocument/2006/relationships/hyperlink" Target="http://articles.chicagotribune.com/1994-10-18/news/9410180247_1_female-student-was-shot-christ-hospital-flesh-wound" TargetMode="External"/><Relationship Id="rId920" Type="http://schemas.openxmlformats.org/officeDocument/2006/relationships/hyperlink" Target="https://www.newspapers.com/image/363969550/?terms=school%2Bbus%2Bshooting" TargetMode="External"/><Relationship Id="rId145" Type="http://schemas.openxmlformats.org/officeDocument/2006/relationships/hyperlink" Target="https://www.fox10tv.com/news/mpd-makes-arrest-in-overnight-robbery-and-shooting-in-school-parking-lot/article_711aa7e0-9fa6-11ea-ac6c-ef149a798701.html" TargetMode="External"/><Relationship Id="rId352" Type="http://schemas.openxmlformats.org/officeDocument/2006/relationships/hyperlink" Target="http://archive.naplesnews.com/news/crime/everglades-city-man-charged-in-shooting-ep-1109639680-337933051.html" TargetMode="External"/><Relationship Id="rId212" Type="http://schemas.openxmlformats.org/officeDocument/2006/relationships/hyperlink" Target="https://www.ksfy.com/content/news/High-school-football-game-evacuated-following-gunshot-494669791.html" TargetMode="External"/><Relationship Id="rId657" Type="http://schemas.openxmlformats.org/officeDocument/2006/relationships/hyperlink" Target="https://lasvegassun.com/news/2004/feb/27/inquest-begins-in-shooting-at-elementary-school/" TargetMode="External"/><Relationship Id="rId864" Type="http://schemas.openxmlformats.org/officeDocument/2006/relationships/hyperlink" Target="https://www.newspapers.com/image/17145244/?terms=Milby%2BHIgh%2BSchool%2Bshot" TargetMode="External"/><Relationship Id="rId296" Type="http://schemas.openxmlformats.org/officeDocument/2006/relationships/hyperlink" Target="https://www.wbtw.com/news/1-arrested-hospitalized-after-accidental-shooting-at-wilson-high-school/868539676" TargetMode="External"/><Relationship Id="rId517" Type="http://schemas.openxmlformats.org/officeDocument/2006/relationships/hyperlink" Target="http://www.heraldbanner.com/archives/shooting-shocks-ghs/article_411a3183-9998-56eb-9c2a-ed8b1c9788c2.html" TargetMode="External"/><Relationship Id="rId724" Type="http://schemas.openxmlformats.org/officeDocument/2006/relationships/hyperlink" Target="http://articles.latimes.com/2000/dec/02/local/me-60380" TargetMode="External"/><Relationship Id="rId931" Type="http://schemas.openxmlformats.org/officeDocument/2006/relationships/hyperlink" Target="https://www.newspapers.com/image/322900608/?terms=student%2Bshot" TargetMode="External"/><Relationship Id="rId1147" Type="http://schemas.openxmlformats.org/officeDocument/2006/relationships/hyperlink" Target="https://www.newspapers.com/image/190388672/?terms=school%2Bshooting" TargetMode="External"/><Relationship Id="rId60" Type="http://schemas.openxmlformats.org/officeDocument/2006/relationships/hyperlink" Target="https://www.10tv.com/article/news/local/columbus-school-bus-hit-gunfire-i-670/530-4688dd7c-6ed3-4e46-9ac9-284f273997c6" TargetMode="External"/><Relationship Id="rId156" Type="http://schemas.openxmlformats.org/officeDocument/2006/relationships/hyperlink" Target="https://www.wptv.com/news/region-the-glades/belle-glade/lockdown-lifted-at-glades-central-high-school-following-shooting" TargetMode="External"/><Relationship Id="rId363" Type="http://schemas.openxmlformats.org/officeDocument/2006/relationships/hyperlink" Target="http://archive.jsonline.com/news/crime/milwaukee-man-charged-in-wisconsin-lutheran-high-school-shooting-b99431381z1-289512441.html/" TargetMode="External"/><Relationship Id="rId570" Type="http://schemas.openxmlformats.org/officeDocument/2006/relationships/hyperlink" Target="https://www.newspapers.com/image/192748872/?terms=Longfellow%2BElementary%2BSchool%2Belbow%2Bbus" TargetMode="External"/><Relationship Id="rId1007" Type="http://schemas.openxmlformats.org/officeDocument/2006/relationships/hyperlink" Target="https://www.newspapers.com/image/397000389/?terms=student%2Bshot" TargetMode="External"/><Relationship Id="rId223" Type="http://schemas.openxmlformats.org/officeDocument/2006/relationships/hyperlink" Target="https://www.ksdk.com/article/news/local/metro-east-football-team-forced-to-cancel-game-after-shooting-in-chicago/63-587675552" TargetMode="External"/><Relationship Id="rId430" Type="http://schemas.openxmlformats.org/officeDocument/2006/relationships/hyperlink" Target="https://921wlhr.com/banks-county-hs-students-mourn-loss-of-two-classmates/" TargetMode="External"/><Relationship Id="rId668" Type="http://schemas.openxmlformats.org/officeDocument/2006/relationships/hyperlink" Target="http://www.the-daily-record.com/news/20070723/kenmore-grad-remembers-every-detail-of-2003-school-shooting" TargetMode="External"/><Relationship Id="rId875" Type="http://schemas.openxmlformats.org/officeDocument/2006/relationships/hyperlink" Target="https://www.newspapers.com/image/176951271/?terms=Robert%2BA.%2BMillikan%2BJunior%2BHigh%2BSchool%2Bshooting" TargetMode="External"/><Relationship Id="rId1060" Type="http://schemas.openxmlformats.org/officeDocument/2006/relationships/hyperlink" Target="https://www.newspapers.com/image/98660556/?terms=school%2Bshooting" TargetMode="External"/><Relationship Id="rId18" Type="http://schemas.openxmlformats.org/officeDocument/2006/relationships/hyperlink" Target="https://www.mercedsunstar.com/news/local/crime/article263063843.html" TargetMode="External"/><Relationship Id="rId528" Type="http://schemas.openxmlformats.org/officeDocument/2006/relationships/hyperlink" Target="http://articles.latimes.com/2007/jan/10/local/me-grant10" TargetMode="External"/><Relationship Id="rId735" Type="http://schemas.openxmlformats.org/officeDocument/2006/relationships/hyperlink" Target="https://www.newspapers.com/image/454563845/?terms=Hugo%2BHigh%2BSchool%2Bshooting" TargetMode="External"/><Relationship Id="rId942" Type="http://schemas.openxmlformats.org/officeDocument/2006/relationships/hyperlink" Target="https://www.newspapers.com/image/99552670/?terms=redford%2Bhigh%2Bschool" TargetMode="External"/><Relationship Id="rId1158" Type="http://schemas.openxmlformats.org/officeDocument/2006/relationships/hyperlink" Target="https://www.newspapers.com/image/246856502/?terms=xavier%2Bhigh%2Bschool%2Bshooting%2Bappleton" TargetMode="External"/><Relationship Id="rId167" Type="http://schemas.openxmlformats.org/officeDocument/2006/relationships/hyperlink" Target="https://dfw.cbslocal.com/2019/09/14/dispute-pee-wee-football-game-shooting-2-injured-fort-worth/" TargetMode="External"/><Relationship Id="rId374" Type="http://schemas.openxmlformats.org/officeDocument/2006/relationships/hyperlink" Target="https://manchesterinklink.com/man-gun-knife-arrested-inside-west-hs-lockdown/" TargetMode="External"/><Relationship Id="rId581" Type="http://schemas.openxmlformats.org/officeDocument/2006/relationships/hyperlink" Target="https://www.newspapers.com/image/343443050/?terms=girl%2Bshot%2Bschool%2Bplayground" TargetMode="External"/><Relationship Id="rId1018" Type="http://schemas.openxmlformats.org/officeDocument/2006/relationships/hyperlink" Target="https://www.newspapers.com/image/209382299/?terms=student%2BshoT" TargetMode="External"/><Relationship Id="rId71" Type="http://schemas.openxmlformats.org/officeDocument/2006/relationships/hyperlink" Target="https://www.firstcoastnews.com/article/news/crime/jso-2-critically-wounded-after-moncrief-area-shooting-school-bus-hit-by-gunfire-jacksonville/77-3869f63b-d473-4a45-9724-e3fb6b7ba011" TargetMode="External"/><Relationship Id="rId234" Type="http://schemas.openxmlformats.org/officeDocument/2006/relationships/hyperlink" Target="https://krld.radio.com/articles/suspect-arrested-after-16-yr-old-found-shot-near-skyline-high-school" TargetMode="External"/><Relationship Id="rId679" Type="http://schemas.openxmlformats.org/officeDocument/2006/relationships/hyperlink" Target="https://www.washingtontimes.com/news/2003/apr/4/20030404-090538-6902r/" TargetMode="External"/><Relationship Id="rId802" Type="http://schemas.openxmlformats.org/officeDocument/2006/relationships/hyperlink" Target="https://www.newspapers.com/image/166926358/?terms=Amy%2BGamarello" TargetMode="External"/><Relationship Id="rId886" Type="http://schemas.openxmlformats.org/officeDocument/2006/relationships/hyperlink" Target="https://www.upi.com/Archives/1990/09/11/Three-shot-wounded-in-confrontation-on-school-grounds/4334653025600/" TargetMode="External"/><Relationship Id="rId2" Type="http://schemas.openxmlformats.org/officeDocument/2006/relationships/hyperlink" Target="https://www.baltimoresun.com/news/crime/bs-md-ci-cr-shooting-near-mervo-high-20220902-7vkk6gckhbdzrgodfepcdyjj6m-story.html" TargetMode="External"/><Relationship Id="rId29" Type="http://schemas.openxmlformats.org/officeDocument/2006/relationships/hyperlink" Target="https://wgxa.tv/news/local/friday-shooting-macon-school" TargetMode="External"/><Relationship Id="rId441" Type="http://schemas.openxmlformats.org/officeDocument/2006/relationships/hyperlink" Target="https://abc13.com/archive/8044190/" TargetMode="External"/><Relationship Id="rId539" Type="http://schemas.openxmlformats.org/officeDocument/2006/relationships/hyperlink" Target="https://www.eastbaytimes.com/2006/11/13/man-killed-at-oakland-school-party/" TargetMode="External"/><Relationship Id="rId746" Type="http://schemas.openxmlformats.org/officeDocument/2006/relationships/hyperlink" Target="https://lasvegassun.com/news/1999/oct/12/security-increased-after-shooting-at-clark-high/" TargetMode="External"/><Relationship Id="rId1071" Type="http://schemas.openxmlformats.org/officeDocument/2006/relationships/hyperlink" Target="https://www.newspapers.com/image/86275915/?terms=school%2Bshooting" TargetMode="External"/><Relationship Id="rId1169" Type="http://schemas.openxmlformats.org/officeDocument/2006/relationships/hyperlink" Target="https://www.newspapers.com/image/154804412/?terms=school%2Bshooting" TargetMode="External"/><Relationship Id="rId178" Type="http://schemas.openxmlformats.org/officeDocument/2006/relationships/hyperlink" Target="https://www.denverpost.com/2019/07/04/colorado-springs-shooting-victims/" TargetMode="External"/><Relationship Id="rId301" Type="http://schemas.openxmlformats.org/officeDocument/2006/relationships/hyperlink" Target="http://www.americanpress.com/news/local/year-old-shot-at-moss-bluff-school/article_bf746d62-ee60-11e7-ad5c-7b6da485d0a4.html" TargetMode="External"/><Relationship Id="rId953" Type="http://schemas.openxmlformats.org/officeDocument/2006/relationships/hyperlink" Target="https://www.newspapers.com/image/321178464/?terms=McCauley%2BCharles%2BDrew%2BMiddle%2BSchool" TargetMode="External"/><Relationship Id="rId1029" Type="http://schemas.openxmlformats.org/officeDocument/2006/relationships/hyperlink" Target="https://www.upi.com/Archives/1981/01/21/A-science-teacher-was-shot-and-wounded-Wednesday-by/6947348901200/" TargetMode="External"/><Relationship Id="rId82" Type="http://schemas.openxmlformats.org/officeDocument/2006/relationships/hyperlink" Target="https://www.fox29.com/news/15-year-old-boy-shot-outside-school-in-north-philadelphia-police-say" TargetMode="External"/><Relationship Id="rId385" Type="http://schemas.openxmlformats.org/officeDocument/2006/relationships/hyperlink" Target="https://www.myarklamiss.com/crime/update-17-year-old-arrested-in-connection-with-friday-nights-shooting-in-madison-parish/166472643" TargetMode="External"/><Relationship Id="rId592" Type="http://schemas.openxmlformats.org/officeDocument/2006/relationships/hyperlink" Target="https://nypost.com/2005/10/15/teen-shot-in-hs-madness-leg-hurt-by-punk-at-school/" TargetMode="External"/><Relationship Id="rId606" Type="http://schemas.openxmlformats.org/officeDocument/2006/relationships/hyperlink" Target="http://articles.chicagotribune.com/2005-05-26/news/0505260268_1_hallman-pupils-soft-air-gun" TargetMode="External"/><Relationship Id="rId813" Type="http://schemas.openxmlformats.org/officeDocument/2006/relationships/hyperlink" Target="https://www.newspapers.com/image/195155455/?terms=Harold%2BPage%2BIII" TargetMode="External"/><Relationship Id="rId245" Type="http://schemas.openxmlformats.org/officeDocument/2006/relationships/hyperlink" Target="http://www.leaderherald.com/news/local-news/2018/04/student-shot-with-bb-gun-at-school/" TargetMode="External"/><Relationship Id="rId452" Type="http://schemas.openxmlformats.org/officeDocument/2006/relationships/hyperlink" Target="http://www.wsaw.com/home/headlines/44225502.html" TargetMode="External"/><Relationship Id="rId897" Type="http://schemas.openxmlformats.org/officeDocument/2006/relationships/hyperlink" Target="https://www.newspapers.com/image/410785023/?terms=W.%2BW.%2BSamuell%2BHigh%2BSchool" TargetMode="External"/><Relationship Id="rId1082" Type="http://schemas.openxmlformats.org/officeDocument/2006/relationships/hyperlink" Target="https://news.google.com/newspapers?id=gblHAAAAIBAJ&amp;pg=3465,1557281" TargetMode="External"/><Relationship Id="rId105" Type="http://schemas.openxmlformats.org/officeDocument/2006/relationships/hyperlink" Target="https://wpde.com/news/local/school-bus-windows-shot-out-with-bb-pellet-gun-in-hartsville" TargetMode="External"/><Relationship Id="rId312" Type="http://schemas.openxmlformats.org/officeDocument/2006/relationships/hyperlink" Target="https://www.denverpost.com/2016/11/04/authorities-id-joshua-francis-berthoud-high-school-suicide/" TargetMode="External"/><Relationship Id="rId757" Type="http://schemas.openxmlformats.org/officeDocument/2006/relationships/hyperlink" Target="https://www.newspapers.com/image/13671024/" TargetMode="External"/><Relationship Id="rId964" Type="http://schemas.openxmlformats.org/officeDocument/2006/relationships/hyperlink" Target="https://www.newspapers.com/image/372547711/?terms=Lake%2BClifton%2BHigh%2BSchool%2Bshooting" TargetMode="External"/><Relationship Id="rId93" Type="http://schemas.openxmlformats.org/officeDocument/2006/relationships/hyperlink" Target="https://whdh.com/news/police-2-teens-facing-charges-after-shooting-bar-school-bus-more-than-40-cars-with-bb-guns-on-north-shore/" TargetMode="External"/><Relationship Id="rId189" Type="http://schemas.openxmlformats.org/officeDocument/2006/relationships/hyperlink" Target="https://www.news4jax.com/news/2019/03/28/12-year-old-hurt-after-metal-projectile-hits-school-bus/" TargetMode="External"/><Relationship Id="rId396" Type="http://schemas.openxmlformats.org/officeDocument/2006/relationships/hyperlink" Target="https://www.nhregister.com/connecticut/article/New-Haven-teen-to-serve-6-years-in-two-shooting-11351580.php" TargetMode="External"/><Relationship Id="rId617" Type="http://schemas.openxmlformats.org/officeDocument/2006/relationships/hyperlink" Target="https://www.bgfalconmedia.com/fourth-grader-injured-after-toting-gun-to-school/article_b41044bf-61db-5b3a-a623-89b6ca62a191.html" TargetMode="External"/><Relationship Id="rId824" Type="http://schemas.openxmlformats.org/officeDocument/2006/relationships/hyperlink" Target="https://www.newspapers.com/image/1005267/?terms=Junction%2BCity%2BHigh%2BSchool%2Bshooting" TargetMode="External"/><Relationship Id="rId256" Type="http://schemas.openxmlformats.org/officeDocument/2006/relationships/hyperlink" Target="http://www.wsmv.com/story/37500077/14-year-old-suspect-wanted-in-shooting-outside-pearl-cohn-high-school" TargetMode="External"/><Relationship Id="rId463" Type="http://schemas.openxmlformats.org/officeDocument/2006/relationships/hyperlink" Target="http://www.cnn.com/2009/CRIME/01/10/school.shooting/index.html" TargetMode="External"/><Relationship Id="rId670" Type="http://schemas.openxmlformats.org/officeDocument/2006/relationships/hyperlink" Target="http://www.spokesman.com/stories/2004/sep/04/father-says-police-too-aggressive-high-school-shoo/" TargetMode="External"/><Relationship Id="rId1093" Type="http://schemas.openxmlformats.org/officeDocument/2006/relationships/hyperlink" Target="https://www.newspapers.com/image/382147136/?terms=teacher%2Bshot" TargetMode="External"/><Relationship Id="rId1107" Type="http://schemas.openxmlformats.org/officeDocument/2006/relationships/hyperlink" Target="https://www.newspapers.com/image/236492101/?terms=school%2Bshooting" TargetMode="External"/><Relationship Id="rId116" Type="http://schemas.openxmlformats.org/officeDocument/2006/relationships/hyperlink" Target="https://abc30.com/visalia-shooting-houston-elementary-school-police-man-shot/10361223/" TargetMode="External"/><Relationship Id="rId323" Type="http://schemas.openxmlformats.org/officeDocument/2006/relationships/hyperlink" Target="https://www.local10.com/news/2016/08/20/shots-fired-at-southridge-vs-south-plantation-football-game-police-say/" TargetMode="External"/><Relationship Id="rId530" Type="http://schemas.openxmlformats.org/officeDocument/2006/relationships/hyperlink" Target="https://www.columbine-angels.com/School_Violence_2006-2007.htm" TargetMode="External"/><Relationship Id="rId768" Type="http://schemas.openxmlformats.org/officeDocument/2006/relationships/hyperlink" Target="http://articles.chicagotribune.com/1997-10-12/news/9710120311_1_fatal-shooting-wallace-high-school-police" TargetMode="External"/><Relationship Id="rId975" Type="http://schemas.openxmlformats.org/officeDocument/2006/relationships/hyperlink" Target="https://www.newspapers.com/newspage/5937341/" TargetMode="External"/><Relationship Id="rId1160" Type="http://schemas.openxmlformats.org/officeDocument/2006/relationships/hyperlink" Target="https://www.newspapers.com/image/284280856/?terms=school%2Bshooting" TargetMode="External"/><Relationship Id="rId20" Type="http://schemas.openxmlformats.org/officeDocument/2006/relationships/hyperlink" Target="https://www.q13fox.com/news/deputies-arrest-15-year-old-accused-of-firing-shots-outside-everett-high-school-causing-a-lockdown" TargetMode="External"/><Relationship Id="rId628" Type="http://schemas.openxmlformats.org/officeDocument/2006/relationships/hyperlink" Target="https://www.questia.com/newspaper/1G1-125515131/student-accidentally-shot-1-charged-terry-parker" TargetMode="External"/><Relationship Id="rId835" Type="http://schemas.openxmlformats.org/officeDocument/2006/relationships/hyperlink" Target="https://www.newspapers.com/image/402779742/?terms=North%2BClayton%2BHigh%2BSchool%2Bshooting" TargetMode="External"/><Relationship Id="rId267" Type="http://schemas.openxmlformats.org/officeDocument/2006/relationships/hyperlink" Target="https://www.heraldnet.com/news/police-say-they-shot-up-the-school-then-bragged-about-it/" TargetMode="External"/><Relationship Id="rId474" Type="http://schemas.openxmlformats.org/officeDocument/2006/relationships/hyperlink" Target="https://www.eastbaytimes.com/2008/11/24/oaklands-cole-middle-school-to-use-metal-detectors-after-recent-gun-scare/" TargetMode="External"/><Relationship Id="rId1020" Type="http://schemas.openxmlformats.org/officeDocument/2006/relationships/hyperlink" Target="https://www.newspapers.com/image/371656005" TargetMode="External"/><Relationship Id="rId1118" Type="http://schemas.openxmlformats.org/officeDocument/2006/relationships/hyperlink" Target="https://www.newspapers.com/image/94426366/?terms=school%2Bshooting" TargetMode="External"/><Relationship Id="rId127" Type="http://schemas.openxmlformats.org/officeDocument/2006/relationships/hyperlink" Target="https://www.stamfordadvocate.com/policereports/article/Police-Man-shot-early-Tuesday-in-Stamford-15678594.php" TargetMode="External"/><Relationship Id="rId681" Type="http://schemas.openxmlformats.org/officeDocument/2006/relationships/hyperlink" Target="https://www.franklincountytimes.com/2003/03/26/northeast-high-school-begins-healing-process/" TargetMode="External"/><Relationship Id="rId779" Type="http://schemas.openxmlformats.org/officeDocument/2006/relationships/hyperlink" Target="http://www.psychceu.com/school_violence/savd.pdf" TargetMode="External"/><Relationship Id="rId902" Type="http://schemas.openxmlformats.org/officeDocument/2006/relationships/hyperlink" Target="https://www.newspapers.com/image/300055668/?terms=Oliver%2BWendell%2BHolmes%2BMiddle%2BSchool%2Bshooting" TargetMode="External"/><Relationship Id="rId986" Type="http://schemas.openxmlformats.org/officeDocument/2006/relationships/hyperlink" Target="https://www.newspapers.com/image/109675401/?terms=student%2Bshot" TargetMode="External"/><Relationship Id="rId31" Type="http://schemas.openxmlformats.org/officeDocument/2006/relationships/hyperlink" Target="https://triblive.com/local/westmoreland/no-one-reported-hurt-after-shot-fired-during-fight-at-mckee-stadium-in-jeannette/" TargetMode="External"/><Relationship Id="rId334" Type="http://schemas.openxmlformats.org/officeDocument/2006/relationships/hyperlink" Target="http://www.wbrc.com/story/31487356/birmingham-police-identify-suspect-arrested-charged-in-huffman-high-school-shooting" TargetMode="External"/><Relationship Id="rId541" Type="http://schemas.openxmlformats.org/officeDocument/2006/relationships/hyperlink" Target="https://www.chron.com/news/houston-texas/article/Katy-student-shoots-himself-at-high-school-1862524.php" TargetMode="External"/><Relationship Id="rId639" Type="http://schemas.openxmlformats.org/officeDocument/2006/relationships/hyperlink" Target="https://www.nwitimes.com/news/local/lake-county-news-briefs/article_cc5c39db-4f11-5fc4-8024-c813bc7b21f9.html" TargetMode="External"/><Relationship Id="rId1171" Type="http://schemas.openxmlformats.org/officeDocument/2006/relationships/hyperlink" Target="https://www.vvdailypress.com/story/news/crime/2021/04/03/man-killed-police-perpetrated-1979-barstow-high-school-shooting-wounded-3-students/7078487002/" TargetMode="External"/><Relationship Id="rId180" Type="http://schemas.openxmlformats.org/officeDocument/2006/relationships/hyperlink" Target="https://www.mcall.com/news/police/mc-nws-emmaus-shooting-conspiracy-prelim-20200110-2setspazpzapxmcnt7ljuyvfx4-story.html" TargetMode="External"/><Relationship Id="rId278" Type="http://schemas.openxmlformats.org/officeDocument/2006/relationships/hyperlink" Target="http://www.unionrecorder.com/news/update-gun-discharges-in-third-grader-s-book-bag/article_12323ddc-c65b-11e7-a275-f77a9d106f20.html" TargetMode="External"/><Relationship Id="rId401" Type="http://schemas.openxmlformats.org/officeDocument/2006/relationships/hyperlink" Target="https://whotv.com/2013/11/01/schools-closed-body-found-at-algona-school/" TargetMode="External"/><Relationship Id="rId846" Type="http://schemas.openxmlformats.org/officeDocument/2006/relationships/hyperlink" Target="https://www.newspapers.com/image/389765443" TargetMode="External"/><Relationship Id="rId1031" Type="http://schemas.openxmlformats.org/officeDocument/2006/relationships/hyperlink" Target="https://www.newspapers.com/newspage/106527312/" TargetMode="External"/><Relationship Id="rId1129" Type="http://schemas.openxmlformats.org/officeDocument/2006/relationships/hyperlink" Target="https://www.newspapers.com/image/294173364/?terms=teacher%2Bshot%2Band%2Bbeaten" TargetMode="External"/><Relationship Id="rId485" Type="http://schemas.openxmlformats.org/officeDocument/2006/relationships/hyperlink" Target="http://www.foxnews.com/story/2008/10/16/teen-killed-in-shooting-near-detroit-high-school.html" TargetMode="External"/><Relationship Id="rId692" Type="http://schemas.openxmlformats.org/officeDocument/2006/relationships/hyperlink" Target="https://www.theguardian.com/world/2002/oct/08/usgunviolence.usa" TargetMode="External"/><Relationship Id="rId706" Type="http://schemas.openxmlformats.org/officeDocument/2006/relationships/hyperlink" Target="http://articles.baltimoresun.com/2001-09-21/news/0109210200_1_lake-clifton-neighborhood-dispute-inside-the-school" TargetMode="External"/><Relationship Id="rId913" Type="http://schemas.openxmlformats.org/officeDocument/2006/relationships/hyperlink" Target="http://articles.latimes.com/1988-10-04/news/mn-3503_1_elementary-school" TargetMode="External"/><Relationship Id="rId42" Type="http://schemas.openxmlformats.org/officeDocument/2006/relationships/hyperlink" Target="https://www.actionnews5.com/2022/03/26/shots-fired-during-candlelight-vigil-brighton-high-school/" TargetMode="External"/><Relationship Id="rId138" Type="http://schemas.openxmlformats.org/officeDocument/2006/relationships/hyperlink" Target="https://www.heraldonline.com/news/local/crime/article245774640.html" TargetMode="External"/><Relationship Id="rId345" Type="http://schemas.openxmlformats.org/officeDocument/2006/relationships/hyperlink" Target="https://www.mysanantonio.com/news/local/article/Man-fatally-shot-in-middle-school-parking-lot-6588994.php" TargetMode="External"/><Relationship Id="rId552" Type="http://schemas.openxmlformats.org/officeDocument/2006/relationships/hyperlink" Target="http://www.vindy.com/news/2009/jul/27/trial-under-way-for-man-accused-of-shooting-death/" TargetMode="External"/><Relationship Id="rId997" Type="http://schemas.openxmlformats.org/officeDocument/2006/relationships/hyperlink" Target="https://www.newspapers.com/image/296835492/?terms=mansfield%2Bsenior%2Bhigh%2Bschool" TargetMode="External"/><Relationship Id="rId191" Type="http://schemas.openxmlformats.org/officeDocument/2006/relationships/hyperlink" Target="https://kdvr.com/2019/02/18/man-shot-in-neighbor-dispute-idd-as-former-cu-football-player-assistant-high-school-principal/" TargetMode="External"/><Relationship Id="rId205" Type="http://schemas.openxmlformats.org/officeDocument/2006/relationships/hyperlink" Target="https://www.wbtw.com/crime/grand-strand-crime/12-year-old-issued-summons-after-bringing-bb-gun-to-conway-school-shooting-13-year-old-report-says/1579188190" TargetMode="External"/><Relationship Id="rId412" Type="http://schemas.openxmlformats.org/officeDocument/2006/relationships/hyperlink" Target="https://www.cbsnews.com/news/two-custodians-found-shot-to-death-at-fla-high-school-police-name-person-of-interest-report-says/" TargetMode="External"/><Relationship Id="rId857" Type="http://schemas.openxmlformats.org/officeDocument/2006/relationships/hyperlink" Target="https://www.newspapers.com/image/296856537/?terms=Hamilton%2BMiddle%2BSchool%2Bshooting" TargetMode="External"/><Relationship Id="rId1042" Type="http://schemas.openxmlformats.org/officeDocument/2006/relationships/hyperlink" Target="https://www.newspapers.com/image/107593168/?terms=DANIEL%2BPEREZ%2BARSENAL%2BTECHNICAL%2BHIGH%2BSCHOOL" TargetMode="External"/><Relationship Id="rId289" Type="http://schemas.openxmlformats.org/officeDocument/2006/relationships/hyperlink" Target="http://www.dispatch.com/news/20170912/counselor-describes-how-he-defused-columbus-scioto-school-shooter" TargetMode="External"/><Relationship Id="rId496" Type="http://schemas.openxmlformats.org/officeDocument/2006/relationships/hyperlink" Target="https://www.newspapers.com/image/282229204/?terms=markees%2Bsmith" TargetMode="External"/><Relationship Id="rId717" Type="http://schemas.openxmlformats.org/officeDocument/2006/relationships/hyperlink" Target="http://edition.cnn.com/2001/US/02/02/detroit.shooting/index.html" TargetMode="External"/><Relationship Id="rId924" Type="http://schemas.openxmlformats.org/officeDocument/2006/relationships/hyperlink" Target="https://www.newspapers.com/image/364030604/?terms=consuela%2Breed" TargetMode="External"/><Relationship Id="rId53" Type="http://schemas.openxmlformats.org/officeDocument/2006/relationships/hyperlink" Target="https://www.wusa9.com/article/news/local/dc/police-man-injured-shooting-parking-lot-dc-charter-school/65-f3074dfc-06a1-49b2-9051-45f4b25befdb" TargetMode="External"/><Relationship Id="rId149" Type="http://schemas.openxmlformats.org/officeDocument/2006/relationships/hyperlink" Target="https://www.wsmv.com/news/sro-accidentally-fires-gun-inside-elementary-school/article_37ac76fe-654b-11ea-88b9-3fd9db99f2ae.html" TargetMode="External"/><Relationship Id="rId356" Type="http://schemas.openxmlformats.org/officeDocument/2006/relationships/hyperlink" Target="https://www.cbsnews.com/news/boy-11-arrested-after-accidentally-firing-handgun-at-school/" TargetMode="External"/><Relationship Id="rId563" Type="http://schemas.openxmlformats.org/officeDocument/2006/relationships/hyperlink" Target="https://www.chron.com/news/houston-texas/article/Two-cut-by-glass-after-HISD-bus-shot-1908192.php" TargetMode="External"/><Relationship Id="rId770" Type="http://schemas.openxmlformats.org/officeDocument/2006/relationships/hyperlink" Target="https://www.newspapers.com/image/295695332/?terms=student%2Bshoots" TargetMode="External"/><Relationship Id="rId216" Type="http://schemas.openxmlformats.org/officeDocument/2006/relationships/hyperlink" Target="https://q13fox.com/2018/09/14/reports-of-shots-fired-outside-mariner-high-school-football-stadium-evacuated/" TargetMode="External"/><Relationship Id="rId423" Type="http://schemas.openxmlformats.org/officeDocument/2006/relationships/hyperlink" Target="https://www.cbsnews.com/news/police-teen-shot-by-fellow-student-at-ga-school/" TargetMode="External"/><Relationship Id="rId868" Type="http://schemas.openxmlformats.org/officeDocument/2006/relationships/hyperlink" Target="https://www.nytimes.com/1991/10/09/nyregion/a-bronx-youth-is-shot-to-death-outside-a-school.html" TargetMode="External"/><Relationship Id="rId1053" Type="http://schemas.openxmlformats.org/officeDocument/2006/relationships/hyperlink" Target="https://www.newspapers.com/image/396100647/?terms=school%2Bshooting" TargetMode="External"/><Relationship Id="rId630" Type="http://schemas.openxmlformats.org/officeDocument/2006/relationships/hyperlink" Target="http://www.wtoc.com/story/2578224/gunman-sought-in-battery-creek-high-shooting" TargetMode="External"/><Relationship Id="rId728" Type="http://schemas.openxmlformats.org/officeDocument/2006/relationships/hyperlink" Target="http://abcnews.go.com/US/story?id=95621&amp;page=1" TargetMode="External"/><Relationship Id="rId935" Type="http://schemas.openxmlformats.org/officeDocument/2006/relationships/hyperlink" Target="https://www.newspapers.com/image/388845031/?terms=Dale%2BBruck" TargetMode="External"/><Relationship Id="rId64" Type="http://schemas.openxmlformats.org/officeDocument/2006/relationships/hyperlink" Target="https://www.kait8.com/2021/12/06/man-arrested-following-school-parking-lot-shooting/" TargetMode="External"/><Relationship Id="rId367" Type="http://schemas.openxmlformats.org/officeDocument/2006/relationships/hyperlink" Target="http://www.oregonlive.com/portland/index.ssf/2015/05/teen_who_shot_four_outside_ros.html" TargetMode="External"/><Relationship Id="rId574" Type="http://schemas.openxmlformats.org/officeDocument/2006/relationships/hyperlink" Target="https://www.newspapers.com/image/102780485/?terms=Withrow%2BHigh%2BSchool%2Bshooting" TargetMode="External"/><Relationship Id="rId1120" Type="http://schemas.openxmlformats.org/officeDocument/2006/relationships/hyperlink" Target="https://www.newspapers.com/image/43038797/?terms=student%2Bshot" TargetMode="External"/><Relationship Id="rId227" Type="http://schemas.openxmlformats.org/officeDocument/2006/relationships/hyperlink" Target="https://www.thedailyjournal.com/story/news/crime/2018/08/09/man-critically-wounded-shooting-school-parking-lot-millville/953855002/" TargetMode="External"/><Relationship Id="rId781" Type="http://schemas.openxmlformats.org/officeDocument/2006/relationships/hyperlink" Target="https://www.columbine-angels.com/School_Violence_1995-1996.htm" TargetMode="External"/><Relationship Id="rId879" Type="http://schemas.openxmlformats.org/officeDocument/2006/relationships/hyperlink" Target="https://www.newspapers.com/image/200149579/?terms=Garinger%2BHigh%2BSchool%2Bshooting" TargetMode="External"/><Relationship Id="rId434" Type="http://schemas.openxmlformats.org/officeDocument/2006/relationships/hyperlink" Target="https://www.cbsnews.com/news/14-year-old-shoots-self-in-nh-school-cafeteria/" TargetMode="External"/><Relationship Id="rId641" Type="http://schemas.openxmlformats.org/officeDocument/2006/relationships/hyperlink" Target="http://articles.chicagotribune.com/2004-08-31/news/0408310214_1_gang-related-shooting-proviso-east-high-school-student-parking-lot" TargetMode="External"/><Relationship Id="rId739" Type="http://schemas.openxmlformats.org/officeDocument/2006/relationships/hyperlink" Target="http://www.tbo.com/pasco-county/teen-who-accidentally-shot-friend-lands-in-jail-as-adult-87255" TargetMode="External"/><Relationship Id="rId1064" Type="http://schemas.openxmlformats.org/officeDocument/2006/relationships/hyperlink" Target="https://www.wvgazettemail.com/news/cops_and_courts/before-school-shooting-became-a-common-term-junior-high-killing/article_6db5ead9-22c2-5c2c-8b56-32a110e4df26.html" TargetMode="External"/><Relationship Id="rId280" Type="http://schemas.openxmlformats.org/officeDocument/2006/relationships/hyperlink" Target="https://rumble.com/v3x6k9-documents-reveal-what-police-think-happened-outside-pattengill-academy.html" TargetMode="External"/><Relationship Id="rId501" Type="http://schemas.openxmlformats.org/officeDocument/2006/relationships/hyperlink" Target="https://www.pressreader.com/usa/the-dallas-morning-news/20070629/282364035265089" TargetMode="External"/><Relationship Id="rId946" Type="http://schemas.openxmlformats.org/officeDocument/2006/relationships/hyperlink" Target="https://www.newspapers.com/image/64897451/?terms=Monrovia%2BHigh%2BSchool%2Bshooting" TargetMode="External"/><Relationship Id="rId1131" Type="http://schemas.openxmlformats.org/officeDocument/2006/relationships/hyperlink" Target="https://www.newspapers.com/image/105768941/" TargetMode="External"/><Relationship Id="rId75" Type="http://schemas.openxmlformats.org/officeDocument/2006/relationships/hyperlink" Target="https://www.santafenewmexican.com/news/local_news/suspect-in-shooting-spree-near-santa-fe-indian-school-charged-with-murder/article_29ff33f0-5e89-11ec-b003-9f6af4c814ff.html" TargetMode="External"/><Relationship Id="rId140" Type="http://schemas.openxmlformats.org/officeDocument/2006/relationships/hyperlink" Target="https://www.centralillinoisproud.com/news/local-news/peoria-public-schools-emphasizing-student-safety-after-school-bus-was-struck-by-stray-bullet-thursday/" TargetMode="External"/><Relationship Id="rId378" Type="http://schemas.openxmlformats.org/officeDocument/2006/relationships/hyperlink" Target="https://www.nbcbayarea.com/news/local/Student-Shot-Kennedy-High-School-in-Richmond-on-Lockdown-259238751.html" TargetMode="External"/><Relationship Id="rId585" Type="http://schemas.openxmlformats.org/officeDocument/2006/relationships/hyperlink" Target="http://archive.boston.com/news/local/articles/2005/12/07/a_mattapan_teen_gets_stiff_bail_terms/" TargetMode="External"/><Relationship Id="rId792" Type="http://schemas.openxmlformats.org/officeDocument/2006/relationships/hyperlink" Target="http://articles.latimes.com/1995-01-25/news/mn-24213_1_attitude-problem" TargetMode="External"/><Relationship Id="rId806" Type="http://schemas.openxmlformats.org/officeDocument/2006/relationships/hyperlink" Target="http://www.goupstate.com/article/NC/19940219/News/605198620/SJ/" TargetMode="External"/><Relationship Id="rId6" Type="http://schemas.openxmlformats.org/officeDocument/2006/relationships/hyperlink" Target="https://www.recordnet.com/story/news/2022/08/15/student-gun-arrested-lincoln-high-school-stockton-california/10333624002/" TargetMode="External"/><Relationship Id="rId238" Type="http://schemas.openxmlformats.org/officeDocument/2006/relationships/hyperlink" Target="https://www.wsbtv.com/news/local/breaking-personshot-in-elementary-school-parking-lot/753941792" TargetMode="External"/><Relationship Id="rId445" Type="http://schemas.openxmlformats.org/officeDocument/2006/relationships/hyperlink" Target="https://journalstar.com/news/state-and-regional/nebraska/the-millard-south-shooting-timeline/article_ef16c15d-c67e-54b5-b4fa-0742edc6085d.html" TargetMode="External"/><Relationship Id="rId652" Type="http://schemas.openxmlformats.org/officeDocument/2006/relationships/hyperlink" Target="https://www.newspapers.com/image/410611502/" TargetMode="External"/><Relationship Id="rId1075" Type="http://schemas.openxmlformats.org/officeDocument/2006/relationships/hyperlink" Target="https://www.newspapers.com/image/347216054/?terms=school%2Bshooting" TargetMode="External"/><Relationship Id="rId291" Type="http://schemas.openxmlformats.org/officeDocument/2006/relationships/hyperlink" Target="https://www.sbsun.com/2017/09/01/shooting-cuts-arroyo-valley-high-school-football-game-short/" TargetMode="External"/><Relationship Id="rId305" Type="http://schemas.openxmlformats.org/officeDocument/2006/relationships/hyperlink" Target="https://www.thecalifornian.com/story/news/my-safety/2017/03/21/authorities-hunt-king-city-school-shooting-suspect/99464446/" TargetMode="External"/><Relationship Id="rId512" Type="http://schemas.openxmlformats.org/officeDocument/2006/relationships/hyperlink" Target="http://articles.chicagotribune.com/2007-04-12/news/0704110994_1_school-shooting-city-school-leaders-schools-chief-arne-duncan" TargetMode="External"/><Relationship Id="rId957" Type="http://schemas.openxmlformats.org/officeDocument/2006/relationships/hyperlink" Target="https://www.newspapers.com/image/401857837/?terms=Vanguard%2BJunior%2BHigh%2BSchool%2Bshooting" TargetMode="External"/><Relationship Id="rId1142" Type="http://schemas.openxmlformats.org/officeDocument/2006/relationships/hyperlink" Target="https://www.newspapers.com/image/310892698/?terms=Grove%2BElementary%2BSchool%2Bshooting" TargetMode="External"/><Relationship Id="rId86" Type="http://schemas.openxmlformats.org/officeDocument/2006/relationships/hyperlink" Target="https://www.nbc15.com/2021/09/16/reports-shots-fired-near-orchard-ridge-elementary-school/" TargetMode="External"/><Relationship Id="rId151" Type="http://schemas.openxmlformats.org/officeDocument/2006/relationships/hyperlink" Target="https://abc13.com/shooting-at-hicks-elementary-leaves-man-injured/5897932/" TargetMode="External"/><Relationship Id="rId389" Type="http://schemas.openxmlformats.org/officeDocument/2006/relationships/hyperlink" Target="http://www.kcci.com/article/police-investigate-shooting-outside-north-high-school/6888652" TargetMode="External"/><Relationship Id="rId596" Type="http://schemas.openxmlformats.org/officeDocument/2006/relationships/hyperlink" Target="https://www.questia.com/newspaper/1G1-136174022/student-shot-at-school-police-say-the-shooting-was" TargetMode="External"/><Relationship Id="rId817" Type="http://schemas.openxmlformats.org/officeDocument/2006/relationships/hyperlink" Target="https://www.newspapers.com/image/241267382/?terms=Sullivan%2BHigh%2BSchool%2Bshooting" TargetMode="External"/><Relationship Id="rId1002" Type="http://schemas.openxmlformats.org/officeDocument/2006/relationships/hyperlink" Target="https://www.newspapers.com/image/157419087/?terms=student%2Bshot" TargetMode="External"/><Relationship Id="rId249" Type="http://schemas.openxmlformats.org/officeDocument/2006/relationships/hyperlink" Target="http://missoulian.com/news/local/report-gunshots-at-missoula-s-big-sky-high-fired-by/article_f14cb7f4-ee52-58e2-abda-afb0f8f33421.html" TargetMode="External"/><Relationship Id="rId456" Type="http://schemas.openxmlformats.org/officeDocument/2006/relationships/hyperlink" Target="https://www.wral.com/news/local/story/4689449/" TargetMode="External"/><Relationship Id="rId663" Type="http://schemas.openxmlformats.org/officeDocument/2006/relationships/hyperlink" Target="https://newsok.com/article/1961014/arrest-warrant-issued-in-high-school-shooting" TargetMode="External"/><Relationship Id="rId870" Type="http://schemas.openxmlformats.org/officeDocument/2006/relationships/hyperlink" Target="https://www.newspapers.com/image/176460783/?terms=Dorsey%2BHigh%2BSchool%2Bshooting" TargetMode="External"/><Relationship Id="rId1086" Type="http://schemas.openxmlformats.org/officeDocument/2006/relationships/hyperlink" Target="https://www.newspapers.com/image/29580657/?terms=school%2Bshooting" TargetMode="External"/><Relationship Id="rId13" Type="http://schemas.openxmlformats.org/officeDocument/2006/relationships/hyperlink" Target="https://connecticut.news12.com/hempstead-school-officials-to-speak-following-2-shootings-near-schools" TargetMode="External"/><Relationship Id="rId109" Type="http://schemas.openxmlformats.org/officeDocument/2006/relationships/hyperlink" Target="https://www.kark.com/news/local-news/little-rock-police-investigating-shooting-near-elementary-school-no-injuries-reported/" TargetMode="External"/><Relationship Id="rId316" Type="http://schemas.openxmlformats.org/officeDocument/2006/relationships/hyperlink" Target="http://www.dispatch.com/content/stories/local/2016/10/20/Two-charged-in-Linden-McKinley-shooting.html" TargetMode="External"/><Relationship Id="rId523" Type="http://schemas.openxmlformats.org/officeDocument/2006/relationships/hyperlink" Target="https://www.columbine-angels.com/School_Violence_2006-2007.htm" TargetMode="External"/><Relationship Id="rId968" Type="http://schemas.openxmlformats.org/officeDocument/2006/relationships/hyperlink" Target="https://www.newspapers.com/image/320585636/?terms=school%2Bshooting" TargetMode="External"/><Relationship Id="rId1153" Type="http://schemas.openxmlformats.org/officeDocument/2006/relationships/hyperlink" Target="https://www.newspapers.com/image/48704588/" TargetMode="External"/><Relationship Id="rId97" Type="http://schemas.openxmlformats.org/officeDocument/2006/relationships/hyperlink" Target="https://www.wmar2news.com/news/local-news/police-investigating-shots-fired-in-owings-mills-monday-afternoon" TargetMode="External"/><Relationship Id="rId730" Type="http://schemas.openxmlformats.org/officeDocument/2006/relationships/hyperlink" Target="http://enquirer.com/editions/2000/11/14/loc_driver_in_fatal.html" TargetMode="External"/><Relationship Id="rId828" Type="http://schemas.openxmlformats.org/officeDocument/2006/relationships/hyperlink" Target="http://articles.mcall.com/1993-05-25/news/2916043_1_michael-swann-upper-perkiomen-high-school-jason-michael-smith" TargetMode="External"/><Relationship Id="rId1013" Type="http://schemas.openxmlformats.org/officeDocument/2006/relationships/hyperlink" Target="https://www.newspapers.com/image/155231508/?terms=STUDENT%2BSHOOTS" TargetMode="External"/><Relationship Id="rId162" Type="http://schemas.openxmlformats.org/officeDocument/2006/relationships/hyperlink" Target="https://www.kcra.com/article/shooting-scare-prompts-panic-at-stockton-football-game/29745486" TargetMode="External"/><Relationship Id="rId467" Type="http://schemas.openxmlformats.org/officeDocument/2006/relationships/hyperlink" Target="https://www.postandcourier.com/news/teen-wounded-at-summerville-high/article_e9e8740e-ac4b-54fe-bf85-d2756db7f1cc.html" TargetMode="External"/><Relationship Id="rId1097" Type="http://schemas.openxmlformats.org/officeDocument/2006/relationships/hyperlink" Target="https://www.newspapers.com/image/405249949/?terms=NICHOLAS%2BSUTTLES%2BTEACHER" TargetMode="External"/><Relationship Id="rId674" Type="http://schemas.openxmlformats.org/officeDocument/2006/relationships/hyperlink" Target="https://newspaperarchive.com/altoona-mirror-may-14-2003-p-11/" TargetMode="External"/><Relationship Id="rId881" Type="http://schemas.openxmlformats.org/officeDocument/2006/relationships/hyperlink" Target="https://www.newspapers.com/image/16849683/?terms=%22shot%20high%20school%20football%22&amp;match=1" TargetMode="External"/><Relationship Id="rId979" Type="http://schemas.openxmlformats.org/officeDocument/2006/relationships/hyperlink" Target="https://www.newspapers.com/image/153645072/?terms=michael%2Bbrody" TargetMode="External"/><Relationship Id="rId24" Type="http://schemas.openxmlformats.org/officeDocument/2006/relationships/hyperlink" Target="https://www.insidenova.com/headlines/potomac-high-school-student-charged-after-bathroom-brandishing/article_f3fa326e-d86d-11ec-bd21-f36cea08fd4d.html" TargetMode="External"/><Relationship Id="rId327" Type="http://schemas.openxmlformats.org/officeDocument/2006/relationships/hyperlink" Target="http://boston.cbslocal.com/2016/06/22/raekwon-brown-murder-arrests-jeremiah-burke-high-school-shooting-boston-police/" TargetMode="External"/><Relationship Id="rId534" Type="http://schemas.openxmlformats.org/officeDocument/2006/relationships/hyperlink" Target="http://www.foxnews.com/story/2006/12/12/teen-commits-suicide-in-hallway-pennsylvania-school.html" TargetMode="External"/><Relationship Id="rId741" Type="http://schemas.openxmlformats.org/officeDocument/2006/relationships/hyperlink" Target="https://www.abqjournal.com/news/state/apteen10-12-04.htm" TargetMode="External"/><Relationship Id="rId839" Type="http://schemas.openxmlformats.org/officeDocument/2006/relationships/hyperlink" Target="http://articles.latimes.com/1993-01-29/local/me-2165_1_student-body" TargetMode="External"/><Relationship Id="rId1164" Type="http://schemas.openxmlformats.org/officeDocument/2006/relationships/hyperlink" Target="https://www.newspapers.com/image/25156350/?terms=school%2Bshooting" TargetMode="External"/><Relationship Id="rId173" Type="http://schemas.openxmlformats.org/officeDocument/2006/relationships/hyperlink" Target="https://www.stltoday.com/news/kristina-curry-found-dead-with-gunshot-wounds-at-roosevelt-high/article_965e67bc-9a38-577b-8346-2cb10be3843a.html" TargetMode="External"/><Relationship Id="rId380" Type="http://schemas.openxmlformats.org/officeDocument/2006/relationships/hyperlink" Target="https://www.cbsnews.com/news/cops-fatal-shooting-outside-detroit-high-school-gang-related/" TargetMode="External"/><Relationship Id="rId601" Type="http://schemas.openxmlformats.org/officeDocument/2006/relationships/hyperlink" Target="https://www.nytimes.com/2005/07/20/nyregion/2-men-charged-in-slaying-of-officer-at-newark-school.html" TargetMode="External"/><Relationship Id="rId1024" Type="http://schemas.openxmlformats.org/officeDocument/2006/relationships/hyperlink" Target="https://www.newspapers.com/image/278826646/?terms=student%2Bshot" TargetMode="External"/><Relationship Id="rId240" Type="http://schemas.openxmlformats.org/officeDocument/2006/relationships/hyperlink" Target="https://www.wxyz.com/news/off-duty-officer-accidentally-discharges-gun-during-wrestling-meet-at-michigan-high-school" TargetMode="External"/><Relationship Id="rId478" Type="http://schemas.openxmlformats.org/officeDocument/2006/relationships/hyperlink" Target="http://www.gainesville.com/news/20091210/teenage-girl-16-convicted-of-shooting-girlfriend-after-break-up" TargetMode="External"/><Relationship Id="rId685" Type="http://schemas.openxmlformats.org/officeDocument/2006/relationships/hyperlink" Target="https://www.newspapers.com/image/362208049/?terms=Olive%2BHill%2Bschool%2Bhostage" TargetMode="External"/><Relationship Id="rId892" Type="http://schemas.openxmlformats.org/officeDocument/2006/relationships/hyperlink" Target="https://www.newspapers.com/image/13852014/?terms=Skyline%2BHigh%2BSchool%2Bshooting" TargetMode="External"/><Relationship Id="rId906" Type="http://schemas.openxmlformats.org/officeDocument/2006/relationships/hyperlink" Target="https://www.deseretnews.com/article/34103/OFFICERS-SEEKING-ANSWERS-AFTER-JUNIOR-HIGH-SHOOTING.html" TargetMode="External"/><Relationship Id="rId35" Type="http://schemas.openxmlformats.org/officeDocument/2006/relationships/hyperlink" Target="https://www.kptv.com/2022/04/23/teen-arrested-after-shooting-near-salem-middle-school/" TargetMode="External"/><Relationship Id="rId100" Type="http://schemas.openxmlformats.org/officeDocument/2006/relationships/hyperlink" Target="https://www.wcax.com/2021/08/27/burlington-schools-canceled-due-police-incident/" TargetMode="External"/><Relationship Id="rId338" Type="http://schemas.openxmlformats.org/officeDocument/2006/relationships/hyperlink" Target="https://www.indystar.com/story/news/crime/2016/01/25/teen-charged-shooting-lawrence-central-high-school/79319130/" TargetMode="External"/><Relationship Id="rId545" Type="http://schemas.openxmlformats.org/officeDocument/2006/relationships/hyperlink" Target="https://www.newspapers.com/image/151778408/?terms=westminster%2Bchristian%2Bacademy" TargetMode="External"/><Relationship Id="rId752" Type="http://schemas.openxmlformats.org/officeDocument/2006/relationships/hyperlink" Target="https://www.history.com/topics/columbine-high-school-shootings" TargetMode="External"/><Relationship Id="rId184" Type="http://schemas.openxmlformats.org/officeDocument/2006/relationships/hyperlink" Target="https://www.kgw.com/article/news/local/police-id-student-accused-of-bringing-shotgun-to-parkrose-high-school/283-6998e18d-8460-4ab4-87bd-aab49b4082a8" TargetMode="External"/><Relationship Id="rId391" Type="http://schemas.openxmlformats.org/officeDocument/2006/relationships/hyperlink" Target="http://articles.chicagotribune.com/keyword/roosevelt-high-school" TargetMode="External"/><Relationship Id="rId405" Type="http://schemas.openxmlformats.org/officeDocument/2006/relationships/hyperlink" Target="https://boston.cbslocal.com/2013/10/04/police-nh-man-fired-pellet-gun-at-school-bus-over-students-obscene-gesture/" TargetMode="External"/><Relationship Id="rId612" Type="http://schemas.openxmlformats.org/officeDocument/2006/relationships/hyperlink" Target="https://www.columbine-angels.com/School_Violence_2004-2005.htm" TargetMode="External"/><Relationship Id="rId1035" Type="http://schemas.openxmlformats.org/officeDocument/2006/relationships/hyperlink" Target="https://www.washingtonpost.com/archive/local/1980/09/11/spingarn-high-student-fatally-shot-at-school-assembly/92b6d5ba-12ec-406d-9b40-92cbc30665c0/?utm_term=.a461da45a849" TargetMode="External"/><Relationship Id="rId251" Type="http://schemas.openxmlformats.org/officeDocument/2006/relationships/hyperlink" Target="http://www.ksbw.com/article/seaside-high-teacher-accidentally-fires-gun-in-class/19426017" TargetMode="External"/><Relationship Id="rId489" Type="http://schemas.openxmlformats.org/officeDocument/2006/relationships/hyperlink" Target="https://www.columbine-angels.com/School_Violence_2008-2009.htm" TargetMode="External"/><Relationship Id="rId696" Type="http://schemas.openxmlformats.org/officeDocument/2006/relationships/hyperlink" Target="https://www.newspapers.com/image/390065452/?terms=Roosevelt%2BHigh%2BSchool%2Bshooting%2BJose%2BVela" TargetMode="External"/><Relationship Id="rId917" Type="http://schemas.openxmlformats.org/officeDocument/2006/relationships/hyperlink" Target="https://news.google.com/newspapers?id=zWcaAAAAIBAJ&amp;pg=4608,2375219" TargetMode="External"/><Relationship Id="rId1102" Type="http://schemas.openxmlformats.org/officeDocument/2006/relationships/hyperlink" Target="https://www.newspapers.com/image/31485570/?terms=school%2Bshooting" TargetMode="External"/><Relationship Id="rId46" Type="http://schemas.openxmlformats.org/officeDocument/2006/relationships/hyperlink" Target="https://www.fox5atlanta.com/news/gunshot-fired-in-clayton-county-middle-school-district-says" TargetMode="External"/><Relationship Id="rId349" Type="http://schemas.openxmlformats.org/officeDocument/2006/relationships/hyperlink" Target="https://www.mysanantonio.com/news/local/article/Suspect-killed-by-polcie-during-chase-identified-6355557.php" TargetMode="External"/><Relationship Id="rId556" Type="http://schemas.openxmlformats.org/officeDocument/2006/relationships/hyperlink" Target="https://www.newspapers.com/image/363378271/?terms=Pershing%2BHigh%2BSchool%2Bshooting" TargetMode="External"/><Relationship Id="rId763" Type="http://schemas.openxmlformats.org/officeDocument/2006/relationships/hyperlink" Target="http://www.cnn.com/US/9712/19/school.shooting/" TargetMode="External"/><Relationship Id="rId111" Type="http://schemas.openxmlformats.org/officeDocument/2006/relationships/hyperlink" Target="https://6abc.com/young-man-shot-and-killed-near-philadelphia-school/10787708/" TargetMode="External"/><Relationship Id="rId195" Type="http://schemas.openxmlformats.org/officeDocument/2006/relationships/hyperlink" Target="https://www.delawareonline.com/story/news/crime/2018/12/18/shots-fired-ai-dupont-high-school/2358011002/" TargetMode="External"/><Relationship Id="rId209" Type="http://schemas.openxmlformats.org/officeDocument/2006/relationships/hyperlink" Target="https://wwmt.com/news/local/battle-creek-academy-locked-down-after-building-shot" TargetMode="External"/><Relationship Id="rId416" Type="http://schemas.openxmlformats.org/officeDocument/2006/relationships/hyperlink" Target="https://www.abqjournal.com/253495/grand-jury-shooting-outside-school-was-justified.html" TargetMode="External"/><Relationship Id="rId970" Type="http://schemas.openxmlformats.org/officeDocument/2006/relationships/hyperlink" Target="https://www.newspapers.com/image/437414203/?terms=school%2Bshooting" TargetMode="External"/><Relationship Id="rId1046" Type="http://schemas.openxmlformats.org/officeDocument/2006/relationships/hyperlink" Target="https://www.newspapers.com/image/139639371/?terms=school%2Bshooting" TargetMode="External"/><Relationship Id="rId623" Type="http://schemas.openxmlformats.org/officeDocument/2006/relationships/hyperlink" Target="http://www.pjstar.com/article/20131215/news/131219398" TargetMode="External"/><Relationship Id="rId830" Type="http://schemas.openxmlformats.org/officeDocument/2006/relationships/hyperlink" Target="http://www.southcoasttoday.com/article/20150617/NEWS/150619469" TargetMode="External"/><Relationship Id="rId928" Type="http://schemas.openxmlformats.org/officeDocument/2006/relationships/hyperlink" Target="https://www.newspapers.com/image/406009908/?terms=STUDENT%2BSHOT" TargetMode="External"/><Relationship Id="rId57" Type="http://schemas.openxmlformats.org/officeDocument/2006/relationships/hyperlink" Target="https://www.wusa9.com/article/news/crime/shooting-outside-anacostia-high-school-caught-on-camera/65-2ad8c323-8d37-4f4d-9ee6-dc8adcd8bc46" TargetMode="External"/><Relationship Id="rId262" Type="http://schemas.openxmlformats.org/officeDocument/2006/relationships/hyperlink" Target="https://www.freep.com/story/news/local/michigan/wayne/2018/01/27/dearborn-high-school-shooting/1071836001/" TargetMode="External"/><Relationship Id="rId567" Type="http://schemas.openxmlformats.org/officeDocument/2006/relationships/hyperlink" Target="http://www.post-gazette.com/local/city/2007/02/28/Rifle-used-to-shoot-teen-outside-school-tied-to-2nd-shooting/stories/200702280235" TargetMode="External"/><Relationship Id="rId1113" Type="http://schemas.openxmlformats.org/officeDocument/2006/relationships/hyperlink" Target="https://www.newspapers.com/image/81731406/?terms=Student%2Bshot" TargetMode="External"/><Relationship Id="rId122" Type="http://schemas.openxmlformats.org/officeDocument/2006/relationships/hyperlink" Target="https://www.krtv.com/news/crime-and-courts/ledford-charged-with-shooting-out-windows-at-great-falls-high-school" TargetMode="External"/><Relationship Id="rId774" Type="http://schemas.openxmlformats.org/officeDocument/2006/relationships/hyperlink" Target="https://www.nytimes.com/1997/02/14/nyregion/gunfire-injures-2-students-at-high-schools-in-bronx.html?auth=login-google" TargetMode="External"/><Relationship Id="rId981" Type="http://schemas.openxmlformats.org/officeDocument/2006/relationships/hyperlink" Target="https://www.newspapers.com/image/240845256/?terms=STUDENT%2BSHOOTS" TargetMode="External"/><Relationship Id="rId1057" Type="http://schemas.openxmlformats.org/officeDocument/2006/relationships/hyperlink" Target="https://www.newspapers.com/image/160873897/?terms=Adams%2BElementary%2BSchool%2Bshooting" TargetMode="External"/><Relationship Id="rId427"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634" Type="http://schemas.openxmlformats.org/officeDocument/2006/relationships/hyperlink" Target="http://articles.baltimoresun.com/2004-10-23/news/0410230240_1_thurgood-marshall-high-school-violence-city-schools" TargetMode="External"/><Relationship Id="rId841" Type="http://schemas.openxmlformats.org/officeDocument/2006/relationships/hyperlink" Target="https://www.newspapers.com/image/510596731/?terms=shot%20at%20school&amp;match=1" TargetMode="External"/><Relationship Id="rId273" Type="http://schemas.openxmlformats.org/officeDocument/2006/relationships/hyperlink" Target="http://www.hpenews.com/free/shot-fired-at-central-high-school-no-one-injured/article_574ce5ba-dea8-11e7-b849-5ffd746bf19a.html" TargetMode="External"/><Relationship Id="rId480" Type="http://schemas.openxmlformats.org/officeDocument/2006/relationships/hyperlink" Target="http://homicide.latimes.com/post/luis-rosas/" TargetMode="External"/><Relationship Id="rId701" Type="http://schemas.openxmlformats.org/officeDocument/2006/relationships/hyperlink" Target="https://www.chron.com/news/houston-texas/article/Friendswood-teacher-indicted-over-gunfire-2059926.php" TargetMode="External"/><Relationship Id="rId939" Type="http://schemas.openxmlformats.org/officeDocument/2006/relationships/hyperlink" Target="https://www.newspapers.com/image/430983332/?terms=student%2Bshot" TargetMode="External"/><Relationship Id="rId1124" Type="http://schemas.openxmlformats.org/officeDocument/2006/relationships/hyperlink" Target="https://www.newspapers.com/image/18141346/?terms=school%2Bshooting" TargetMode="External"/><Relationship Id="rId68" Type="http://schemas.openxmlformats.org/officeDocument/2006/relationships/hyperlink" Target="https://www.chicagotribune.com/suburbs/daily-southtown/ct-sta-thornton-high-school-shots-fired-st-1125-20211124-23o46c2tavacvn4g6agtukzej4-story.html" TargetMode="External"/><Relationship Id="rId133" Type="http://schemas.openxmlformats.org/officeDocument/2006/relationships/hyperlink" Target="https://www.kwqc.com/2020/09/27/police-man-found-in-school-stairwell-and-arrested-after-shooting-friday-night/" TargetMode="External"/><Relationship Id="rId340" Type="http://schemas.openxmlformats.org/officeDocument/2006/relationships/hyperlink" Target="http://www.arkansasonline.com/news/2016/jan/14/student-accidentally-shot-outside-high-school-ouac/" TargetMode="External"/><Relationship Id="rId578" Type="http://schemas.openxmlformats.org/officeDocument/2006/relationships/hyperlink" Target="https://www.columbine-angels.com/School_Violence_2005-2006.htm" TargetMode="External"/><Relationship Id="rId785" Type="http://schemas.openxmlformats.org/officeDocument/2006/relationships/hyperlink" Target="https://www.columbine-angels.com/School_Violence_1995-1996.htm" TargetMode="External"/><Relationship Id="rId992" Type="http://schemas.openxmlformats.org/officeDocument/2006/relationships/hyperlink" Target="https://www.newspapers.com/image/379323248/?terms=temple%2Bhigh%2Bschool%2Bshooting" TargetMode="External"/><Relationship Id="rId200" Type="http://schemas.openxmlformats.org/officeDocument/2006/relationships/hyperlink" Target="https://www.mlive.com/news/muskegon/index.ssf/2018/11/man_suspected_of_shooting_out.html" TargetMode="External"/><Relationship Id="rId438" Type="http://schemas.openxmlformats.org/officeDocument/2006/relationships/hyperlink" Target="https://www.kgw.com/article/news/4-arrested-for-shots-fired-outside-wilson-high/283-73396732" TargetMode="External"/><Relationship Id="rId645" Type="http://schemas.openxmlformats.org/officeDocument/2006/relationships/hyperlink" Target="https://www.deseretnews.com/article/595065631/Man-kills-wife-self-at-West-High.html" TargetMode="External"/><Relationship Id="rId852" Type="http://schemas.openxmlformats.org/officeDocument/2006/relationships/hyperlink" Target="https://www.newspapers.com/image/177465085" TargetMode="External"/><Relationship Id="rId1068" Type="http://schemas.openxmlformats.org/officeDocument/2006/relationships/hyperlink" Target="https://www.newspapers.com/image/295122036/?terms=school%2Bshooting" TargetMode="External"/><Relationship Id="rId284" Type="http://schemas.openxmlformats.org/officeDocument/2006/relationships/hyperlink" Target="https://newsmaven.io/charlottealerts/news/video-drug-dispute-erupts-into-shootout-at-gas-station-school-bus-gets-hit-ffkja5HUBEKh-yZn1VMiVQ" TargetMode="External"/><Relationship Id="rId491" Type="http://schemas.openxmlformats.org/officeDocument/2006/relationships/hyperlink" Target="https://abcnews.go.com/US/eighth-grade-shooting-larry-king-brandon-mcinerney-boys/story?id=14666577" TargetMode="External"/><Relationship Id="rId505" Type="http://schemas.openxmlformats.org/officeDocument/2006/relationships/hyperlink" Target="https://www.columbine-angels.com/School_Violence_2006-2007.htm" TargetMode="External"/><Relationship Id="rId712" Type="http://schemas.openxmlformats.org/officeDocument/2006/relationships/hyperlink" Target="https://www.chron.com/news/houston-texas/article/Eighth-grade-girl-dies-after-shooting-herself-at-2012069.php" TargetMode="External"/><Relationship Id="rId1135" Type="http://schemas.openxmlformats.org/officeDocument/2006/relationships/hyperlink" Target="https://www.newspapers.com/image/238598927/?terms=school%2Bshooting" TargetMode="External"/><Relationship Id="rId79" Type="http://schemas.openxmlformats.org/officeDocument/2006/relationships/hyperlink" Target="https://www.baltimoresun.com/maryland/baltimore-city/bs-md-ci-wildwood-parkway-shooting-20210925-foif3yhuzjahniqo7u35vophv4-story.html" TargetMode="External"/><Relationship Id="rId144" Type="http://schemas.openxmlformats.org/officeDocument/2006/relationships/hyperlink" Target="https://www.cleveland.com/metro/2020/05/man-shot-to-death-in-school-parking-lot-in-clevelands-tremont-neighborhood.html" TargetMode="External"/><Relationship Id="rId589" Type="http://schemas.openxmlformats.org/officeDocument/2006/relationships/hyperlink" Target="http://articles.baltimoresun.com/2005-10-30/news/0510300052_1_annapolis-shooting-was-accidental-charged-in-shooting" TargetMode="External"/><Relationship Id="rId796" Type="http://schemas.openxmlformats.org/officeDocument/2006/relationships/hyperlink" Target="http://articles.latimes.com/1994-11-01/local/me-57381_1_aliso-niguel-high-student" TargetMode="External"/><Relationship Id="rId351" Type="http://schemas.openxmlformats.org/officeDocument/2006/relationships/hyperlink" Target="https://www.citizen-times.com/story/news/crime/2015/06/04/armed-suspects-found-macon-county-school-custody/28467377/" TargetMode="External"/><Relationship Id="rId449" Type="http://schemas.openxmlformats.org/officeDocument/2006/relationships/hyperlink" Target="https://www.ktbs.com/news/police-btw-shooter-was-spurned-lover/article_655e08f3-5404-5896-a955-81611d1a56b3.html" TargetMode="External"/><Relationship Id="rId656" Type="http://schemas.openxmlformats.org/officeDocument/2006/relationships/hyperlink" Target="http://www.washingtonpost.com/wp-dyn/articles/A13630-2004Feb4.html" TargetMode="External"/><Relationship Id="rId863" Type="http://schemas.openxmlformats.org/officeDocument/2006/relationships/hyperlink" Target="https://www.nytimes.com/1991/11/26/nyregion/16-year-old-is-shot-to-death-in-a-high-school-in-brooklyn.html" TargetMode="External"/><Relationship Id="rId1079" Type="http://schemas.openxmlformats.org/officeDocument/2006/relationships/hyperlink" Target="https://www.newspapers.com/image/127972205/?terms=school%2Bshooting" TargetMode="External"/><Relationship Id="rId211" Type="http://schemas.openxmlformats.org/officeDocument/2006/relationships/hyperlink" Target="https://www.arkansasonline.com/news/2018/oct/02/shots-fired-near-little-rock-elementary-school-pol/" TargetMode="External"/><Relationship Id="rId295" Type="http://schemas.openxmlformats.org/officeDocument/2006/relationships/hyperlink" Target="https://fox6now.com/2017/07/19/police-32-year-old-shot-multiple-times-inside-school-gym-in-milwaukee-during-basketball-game/" TargetMode="External"/><Relationship Id="rId309" Type="http://schemas.openxmlformats.org/officeDocument/2006/relationships/hyperlink" Target="http://www.alexcityoutlook.com/2017/01/09/two-students-taken-into-custody-after-gun-goes-off-at-middle-school/" TargetMode="External"/><Relationship Id="rId516" Type="http://schemas.openxmlformats.org/officeDocument/2006/relationships/hyperlink" Target="https://www.newspapers.com/image/284085985/?terms=east%2Bridge%2Bhigh%2Bschool" TargetMode="External"/><Relationship Id="rId1146" Type="http://schemas.openxmlformats.org/officeDocument/2006/relationships/hyperlink" Target="https://www.newspapers.com/image/378657230/?terms=school%2Bshooting" TargetMode="External"/><Relationship Id="rId723" Type="http://schemas.openxmlformats.org/officeDocument/2006/relationships/hyperlink" Target="http://www.berkeleydailyplanet.com/issue/2000-12-06/article/2518" TargetMode="External"/><Relationship Id="rId930" Type="http://schemas.openxmlformats.org/officeDocument/2006/relationships/hyperlink" Target="https://www.newspapers.com/image/322419384/?terms=MARIA%2BSOLIS" TargetMode="External"/><Relationship Id="rId1006" Type="http://schemas.openxmlformats.org/officeDocument/2006/relationships/hyperlink" Target="http://articles.baltimoresun.com/1999-05-02/topic/9905040373_1_senti-firecracker-beneath" TargetMode="External"/><Relationship Id="rId155" Type="http://schemas.openxmlformats.org/officeDocument/2006/relationships/hyperlink" Target="https://www.wapt.com/article/australia-turns-from-defense-to-offense-in-wildfire-battle/30485441" TargetMode="External"/><Relationship Id="rId362" Type="http://schemas.openxmlformats.org/officeDocument/2006/relationships/hyperlink" Target="http://www.ocalapost.com/shooting-at-vanguard-high-injured-2/" TargetMode="External"/><Relationship Id="rId222" Type="http://schemas.openxmlformats.org/officeDocument/2006/relationships/hyperlink" Target="https://www.nbcphiladelphia.com/news/local/Towne-Point-Elementary-School-Dover-Deadly-Shooting-491979251.html" TargetMode="External"/><Relationship Id="rId667" Type="http://schemas.openxmlformats.org/officeDocument/2006/relationships/hyperlink" Target="https://www.newspapers.com/image/226188784/" TargetMode="External"/><Relationship Id="rId874" Type="http://schemas.openxmlformats.org/officeDocument/2006/relationships/hyperlink" Target="https://www.newspapers.com/image/176655612/?terms=Westchester%2BHigh%2BSchool%2Bshooting" TargetMode="External"/><Relationship Id="rId17" Type="http://schemas.openxmlformats.org/officeDocument/2006/relationships/hyperlink" Target="https://www.msn.com/en-us/news/crime/shots-fired-near-john-finney-cause-lockdown/ar-AAZNJZH?ocid=hplocalnews&amp;srcref=rss" TargetMode="External"/><Relationship Id="rId527" Type="http://schemas.openxmlformats.org/officeDocument/2006/relationships/hyperlink" Target="https://www.lasvegasnow.com/news/shooter-in-western-high-school-case-in-custody/81454838" TargetMode="External"/><Relationship Id="rId734" Type="http://schemas.openxmlformats.org/officeDocument/2006/relationships/hyperlink" Target="https://www.cbsnews.com/news/fear-turns-to-outrage-at-tucson-school/" TargetMode="External"/><Relationship Id="rId941" Type="http://schemas.openxmlformats.org/officeDocument/2006/relationships/hyperlink" Target="https://www.newspapers.com/image/203093088/?terms=roger%2Bjoe%2Bedward%2Bjenkins" TargetMode="External"/><Relationship Id="rId1157" Type="http://schemas.openxmlformats.org/officeDocument/2006/relationships/hyperlink" Target="https://www.newspapers.com/image/179956712" TargetMode="External"/><Relationship Id="rId70" Type="http://schemas.openxmlformats.org/officeDocument/2006/relationships/hyperlink" Target="https://nypost.com/2021/11/18/cops-arrest-gunman-who-fired-outside-nyc-school-police-say/" TargetMode="External"/><Relationship Id="rId166" Type="http://schemas.openxmlformats.org/officeDocument/2006/relationships/hyperlink" Target="https://www.wbtv.com/2019/09/28/arrested-after-multiple-fights-high-school-football-game-charlotte/" TargetMode="External"/><Relationship Id="rId373" Type="http://schemas.openxmlformats.org/officeDocument/2006/relationships/hyperlink" Target="http://www.wdrb.com/story/31888475/teen-sentenced-for-shooting-fern-creek-high-school-student-in-2014" TargetMode="External"/><Relationship Id="rId580" Type="http://schemas.openxmlformats.org/officeDocument/2006/relationships/hyperlink" Target="http://www.gadsdentimes.com/lifestyle/20060116/student-charged-in-fatal-shooting-after-game" TargetMode="External"/><Relationship Id="rId801" Type="http://schemas.openxmlformats.org/officeDocument/2006/relationships/hyperlink" Target="https://www.publicsource.org/most-of-pennsylvanias-juvenile-lifers-are-still-awaiting-their-new-day-in-court/" TargetMode="External"/><Relationship Id="rId1017" Type="http://schemas.openxmlformats.org/officeDocument/2006/relationships/hyperlink" Target="https://www.nytimes.com/1981/12/24/nyregion/wrong-kid-is-fatally-shot-in-fight-at-brooklyn-school.html" TargetMode="External"/><Relationship Id="rId1" Type="http://schemas.openxmlformats.org/officeDocument/2006/relationships/hyperlink" Target="https://www.local10.com/news/local/2022/09/05/adult-gambling-causes-shooting-injuring-3-teens-during-broward-little-league-football-game-police-say/" TargetMode="External"/><Relationship Id="rId233" Type="http://schemas.openxmlformats.org/officeDocument/2006/relationships/hyperlink" Target="https://www.springfieldnewssun.com/news/crime--law/update-teens-arrested-after-alleged-attempted-shooting-truck-strike-outside-springfield-school/Kv3diPzfq35me2wa7OrdBI/" TargetMode="External"/><Relationship Id="rId440" Type="http://schemas.openxmlformats.org/officeDocument/2006/relationships/hyperlink" Target="https://www.heraldnet.com/news/marysville-teen-sentenced-to-10-years-for-shooting-outside-everett-school/" TargetMode="External"/><Relationship Id="rId678" Type="http://schemas.openxmlformats.org/officeDocument/2006/relationships/hyperlink" Target="https://web.archive.org/web/20050211181322/https:/www.nbc4.tv/news/2104581/detail.html" TargetMode="External"/><Relationship Id="rId885" Type="http://schemas.openxmlformats.org/officeDocument/2006/relationships/hyperlink" Target="https://www.newspapers.com/image/106533912/?terms=shot%2Bat%2Bfootball%2Bgame" TargetMode="External"/><Relationship Id="rId1070" Type="http://schemas.openxmlformats.org/officeDocument/2006/relationships/hyperlink" Target="https://www.newspapers.com/image/139128319/?terms=school%2Bshooting" TargetMode="External"/><Relationship Id="rId28" Type="http://schemas.openxmlformats.org/officeDocument/2006/relationships/hyperlink" Target="https://www.laconiadailysun.com/news/local/belmont-police-investigate-pellet-gun-shooting-targeted-at-children/article_19c3bb5e-d608-11ec-879e-5bb5cf440fe6.html" TargetMode="External"/><Relationship Id="rId300" Type="http://schemas.openxmlformats.org/officeDocument/2006/relationships/hyperlink" Target="http://www.ktre.com/story/35506610/kirbyville-high-school-principal-resigns-then-shoots-kills-self-in-parking-lot" TargetMode="External"/><Relationship Id="rId538" Type="http://schemas.openxmlformats.org/officeDocument/2006/relationships/hyperlink" Target="https://www.newspapers.com/image/422972655/?terms=Atlanta%2BMiddle%2BSchool%2BRicardo%2BAlexander" TargetMode="External"/><Relationship Id="rId745" Type="http://schemas.openxmlformats.org/officeDocument/2006/relationships/hyperlink" Target="http://articles.latimes.com/1999/oct/22/local/me-24932" TargetMode="External"/><Relationship Id="rId952" Type="http://schemas.openxmlformats.org/officeDocument/2006/relationships/hyperlink" Target="http://articles.chicagotribune.com/1986-05-01/news/8601310677_1_science-class-elliott-student" TargetMode="External"/><Relationship Id="rId1168" Type="http://schemas.openxmlformats.org/officeDocument/2006/relationships/hyperlink" Target="https://www.newspapers.com/image/129716948/?terms=school%2Bshooting" TargetMode="External"/><Relationship Id="rId81" Type="http://schemas.openxmlformats.org/officeDocument/2006/relationships/hyperlink" Target="https://newyork.cbslocal.com/2021/09/22/teen-shot-near-brooklyn-schools/" TargetMode="External"/><Relationship Id="rId177" Type="http://schemas.openxmlformats.org/officeDocument/2006/relationships/hyperlink" Target="https://whdh.com/news/2-charged-in-fatal-shooting-of-man-found-behind-high-school/" TargetMode="External"/><Relationship Id="rId384" Type="http://schemas.openxmlformats.org/officeDocument/2006/relationships/hyperlink" Target="http://miami.cbslocal.com/2014/03/14/man-accused-of-murdering-wife-near-miami-dade-preschool/" TargetMode="External"/><Relationship Id="rId591" Type="http://schemas.openxmlformats.org/officeDocument/2006/relationships/hyperlink" Target="http://articles.latimes.com/2005/oct/20/local/me-iebrief20" TargetMode="External"/><Relationship Id="rId605" Type="http://schemas.openxmlformats.org/officeDocument/2006/relationships/hyperlink" Target="https://www.denverpost.com/2005/05/24/pellets-strike-2-adults-on-busy-school-playground/" TargetMode="External"/><Relationship Id="rId812" Type="http://schemas.openxmlformats.org/officeDocument/2006/relationships/hyperlink" Target="http://journaltimes.com/news/former-student-arrested-in-tosa-west-slaying/article_dfb15b1e-986c-5b2b-ba06-76388109b2cf.html" TargetMode="External"/><Relationship Id="rId1028" Type="http://schemas.openxmlformats.org/officeDocument/2006/relationships/hyperlink" Target="https://www.newspapers.com/image/377747566/?terms=student%2Bshot" TargetMode="External"/><Relationship Id="rId244" Type="http://schemas.openxmlformats.org/officeDocument/2006/relationships/hyperlink" Target="http://www.kansascity.com/news/local/crime/article208770464.html" TargetMode="External"/><Relationship Id="rId689" Type="http://schemas.openxmlformats.org/officeDocument/2006/relationships/hyperlink" Target="http://articles.latimes.com/2002/nov/15/local/me-carson15" TargetMode="External"/><Relationship Id="rId896" Type="http://schemas.openxmlformats.org/officeDocument/2006/relationships/hyperlink" Target="https://www.newspapers.com/image/192086573/?terms=STUDENT%2BSHOT" TargetMode="External"/><Relationship Id="rId1081" Type="http://schemas.openxmlformats.org/officeDocument/2006/relationships/hyperlink" Target="https://www.newspapers.com/image/165856618/?terms=school%2Bshooting" TargetMode="External"/><Relationship Id="rId39" Type="http://schemas.openxmlformats.org/officeDocument/2006/relationships/hyperlink" Target="https://www.mi-reporter.com/news/island-police-investigating-possible-pellet-gun-shooting-on-school-playfield/" TargetMode="External"/><Relationship Id="rId451" Type="http://schemas.openxmlformats.org/officeDocument/2006/relationships/hyperlink" Target="https://www.wral.com/teen-charged-with-firing-handgun-at-westover-high/5885748/" TargetMode="External"/><Relationship Id="rId549" Type="http://schemas.openxmlformats.org/officeDocument/2006/relationships/hyperlink" Target="https://www.washingtonpost.com/archive/local/2006/08/30/teen-held-after-shot-is-fired-outside-se-school/a1d30f03-8e66-47af-a999-d43629af535b/?utm_term=.37a883ef0fca" TargetMode="External"/><Relationship Id="rId756" Type="http://schemas.openxmlformats.org/officeDocument/2006/relationships/hyperlink" Target="http://articles.chicagotribune.com/1999-02-12/news/9902120139_1_shooting-gunman-gang" TargetMode="External"/><Relationship Id="rId104" Type="http://schemas.openxmlformats.org/officeDocument/2006/relationships/hyperlink" Target="https://www.insidenova.com/news/crime_police/police-investigate-shots-fired-in-dale-city-school-parking-lot/article_ffda50d0-0061-11ec-945a-9343d5248cec.html" TargetMode="External"/><Relationship Id="rId188" Type="http://schemas.openxmlformats.org/officeDocument/2006/relationships/hyperlink" Target="https://www.sentinelcolorado.com/0trending/aurora-high-school-dean-accused-of-bringing-loaded-concealed-weapon-to-campus-making-threats/" TargetMode="External"/><Relationship Id="rId311" Type="http://schemas.openxmlformats.org/officeDocument/2006/relationships/hyperlink" Target="http://www.mlive.com/news/bay-city/index.ssf/2016/12/deputy_who_fired_gun_in_school.html" TargetMode="External"/><Relationship Id="rId395" Type="http://schemas.openxmlformats.org/officeDocument/2006/relationships/hyperlink" Target="https://www.wbrz.com/news/man-sentenced-to-15-years-for-2014-drive-by-shooting-outside-of-st-james-high-school/" TargetMode="External"/><Relationship Id="rId409" Type="http://schemas.openxmlformats.org/officeDocument/2006/relationships/hyperlink" Target="http://blog.gulflive.com/mississippi-press-news/2013/08/3_gang_members_arrested_after.html" TargetMode="External"/><Relationship Id="rId963" Type="http://schemas.openxmlformats.org/officeDocument/2006/relationships/hyperlink" Target="https://www.upi.com/Archives/1985/10/18/A-gunman-stepped-out-of-a-car-and-sprayed/5334498456000/" TargetMode="External"/><Relationship Id="rId1039" Type="http://schemas.openxmlformats.org/officeDocument/2006/relationships/hyperlink" Target="https://www.newspapers.com/image/281071758/?terms=Capeville%2BElementary%2BSchool%2Bshooting" TargetMode="External"/><Relationship Id="rId92" Type="http://schemas.openxmlformats.org/officeDocument/2006/relationships/hyperlink" Target="https://bringmethenews.com/minnesota-news/brooklyn-park-school-hit-by-bullets-cancels-classes-thursday" TargetMode="External"/><Relationship Id="rId616" Type="http://schemas.openxmlformats.org/officeDocument/2006/relationships/hyperlink" Target="http://www.post-gazette.com/local/city/2007/05/02/Dueling-snitches-muddy-trial-in-Carrick-High-School-killing/stories/200705020345" TargetMode="External"/><Relationship Id="rId823" Type="http://schemas.openxmlformats.org/officeDocument/2006/relationships/hyperlink" Target="https://www.newspapers.com/image/89590422/?terms=%22shot%20high%20school%20football%22&amp;match=1" TargetMode="External"/><Relationship Id="rId255" Type="http://schemas.openxmlformats.org/officeDocument/2006/relationships/hyperlink" Target="https://www.cnn.com/2022/07/18/us/nikolas-cruz-parkland-shooter-penalty-phase/index.html" TargetMode="External"/><Relationship Id="rId462" Type="http://schemas.openxmlformats.org/officeDocument/2006/relationships/hyperlink" Target="https://www.mlive.com/news/flint/index.ssf/2009/01/four_shot_outside_beecher_high.html" TargetMode="External"/><Relationship Id="rId1092" Type="http://schemas.openxmlformats.org/officeDocument/2006/relationships/hyperlink" Target="https://www.newspapers.com/image/140719112/?terms=school%2Bshooting" TargetMode="External"/><Relationship Id="rId1106" Type="http://schemas.openxmlformats.org/officeDocument/2006/relationships/hyperlink" Target="https://www.newspapers.com/image/252161775/?terms=school%2Bshooting" TargetMode="External"/><Relationship Id="rId115" Type="http://schemas.openxmlformats.org/officeDocument/2006/relationships/hyperlink" Target="https://www.chicagotribune.com/suburbs/post-tribune/ct-ptb-courts-riley-murder-st-0407-20210406-iuwci7kygfet5iwmiwcxasuwfa-story.html" TargetMode="External"/><Relationship Id="rId322" Type="http://schemas.openxmlformats.org/officeDocument/2006/relationships/hyperlink" Target="http://detroit.cbslocal.com/2016/09/07/detroit-principals-vehicle-reportedly-shot-up-in-parking-lot-on-second-day-of-school/" TargetMode="External"/><Relationship Id="rId767" Type="http://schemas.openxmlformats.org/officeDocument/2006/relationships/hyperlink" Target="https://ssristories.org/21-year-old-woman-shoots-herself/" TargetMode="External"/><Relationship Id="rId974" Type="http://schemas.openxmlformats.org/officeDocument/2006/relationships/hyperlink" Target="https://www.newspapers.com/image/426484373/?terms=student%2Bshot" TargetMode="External"/><Relationship Id="rId199" Type="http://schemas.openxmlformats.org/officeDocument/2006/relationships/hyperlink" Target="https://abc6onyourside.com/news/local/police-investigating-double-shooting-at-africentric-high-school" TargetMode="External"/><Relationship Id="rId627" Type="http://schemas.openxmlformats.org/officeDocument/2006/relationships/hyperlink" Target="http://www.spokesman.com/stories/2004/dec/11/skyler-cullitan-remembered-as-caring-outgoing/" TargetMode="External"/><Relationship Id="rId834" Type="http://schemas.openxmlformats.org/officeDocument/2006/relationships/hyperlink" Target="https://mnmarshallus.genweb.io/people/obituaries/melby-eric-john-1979-1993/" TargetMode="External"/><Relationship Id="rId266" Type="http://schemas.openxmlformats.org/officeDocument/2006/relationships/hyperlink" Target="https://q13fox.com/2018/01/04/bullet-fired-into-window-at-highlines-new-start-high-school-but-no-injuries/" TargetMode="External"/><Relationship Id="rId473" Type="http://schemas.openxmlformats.org/officeDocument/2006/relationships/hyperlink" Target="https://www.columbine-angels.com/School_Violence_2008-2009.htm" TargetMode="External"/><Relationship Id="rId680" Type="http://schemas.openxmlformats.org/officeDocument/2006/relationships/hyperlink" Target="http://www.santacruzsentinel.com/article/zz/20080625/NEWS/806259869" TargetMode="External"/><Relationship Id="rId901" Type="http://schemas.openxmlformats.org/officeDocument/2006/relationships/hyperlink" Target="https://www.newspapers.com/image/112524612/?terms=Alfred%2BE.%2BSmith%2BHigh%2BSchool" TargetMode="External"/><Relationship Id="rId1117" Type="http://schemas.openxmlformats.org/officeDocument/2006/relationships/hyperlink" Target="https://www.newspapers.com/image/152290612/?terms=a%2Bsingle%2Btragic%2Bincident" TargetMode="External"/><Relationship Id="rId30" Type="http://schemas.openxmlformats.org/officeDocument/2006/relationships/hyperlink" Target="https://www.sbsun.com/2022/05/03/gunfire-in-san-bernardino-causes-car-to-crash-leaves-bullet-holes-in-school/" TargetMode="External"/><Relationship Id="rId126" Type="http://schemas.openxmlformats.org/officeDocument/2006/relationships/hyperlink" Target="https://spectrumlocalnews.com/nys/rochester/public-safety/2020/10/29/rpd--bullet-hits-rochester-prep-charter-school-in-apparent-drive-by-shooting-" TargetMode="External"/><Relationship Id="rId333" Type="http://schemas.openxmlformats.org/officeDocument/2006/relationships/hyperlink" Target="http://www.kktv.com/home/headlines/PD-East-High-School-Staff-Hurt-In-Drive-By-Shooting-Near-School-378173411.html" TargetMode="External"/><Relationship Id="rId540" Type="http://schemas.openxmlformats.org/officeDocument/2006/relationships/hyperlink" Target="http://www.wvlt.tv/home/headlines/4542511.html" TargetMode="External"/><Relationship Id="rId778" Type="http://schemas.openxmlformats.org/officeDocument/2006/relationships/hyperlink" Target="https://www.upi.com/Archives/1996/10/10/Teen-charged-in-school-bus-slaying/5274844920000/" TargetMode="External"/><Relationship Id="rId985" Type="http://schemas.openxmlformats.org/officeDocument/2006/relationships/hyperlink" Target="https://www.newspapers.com/image/439511158/?terms=sharpstown%2Bhigh%2Bschool%2Bteacher" TargetMode="External"/><Relationship Id="rId1170" Type="http://schemas.openxmlformats.org/officeDocument/2006/relationships/hyperlink" Target="https://www.newspapers.com/image/23768017/?terms=school%2Bshooting" TargetMode="External"/><Relationship Id="rId638" Type="http://schemas.openxmlformats.org/officeDocument/2006/relationships/hyperlink" Target="https://www.theindependent.com/news/man-charged-with-shooting-at-jefferson-school/article_3665f3f8-7aea-525c-b6a2-1d6de44bd561.html" TargetMode="External"/><Relationship Id="rId845" Type="http://schemas.openxmlformats.org/officeDocument/2006/relationships/hyperlink" Target="https://www.newspapers.com/image/389789093/?terms=laroyal%2Bcrowley" TargetMode="External"/><Relationship Id="rId1030" Type="http://schemas.openxmlformats.org/officeDocument/2006/relationships/hyperlink" Target="https://www.newspapers.com/image/262419526/?terms=Parker%2BHigh%2BSchool%2Bshooting%2Bbirmingham" TargetMode="External"/><Relationship Id="rId277" Type="http://schemas.openxmlformats.org/officeDocument/2006/relationships/hyperlink" Target="https://www.wbbjtv.com/2017/11/18/shots-fired-north-side-high-school-school-placed-brief-lockdown/" TargetMode="External"/><Relationship Id="rId400" Type="http://schemas.openxmlformats.org/officeDocument/2006/relationships/hyperlink" Target="https://patch.com/georgia/stonemountain/stephenson-high-student-shot-at-school" TargetMode="External"/><Relationship Id="rId484" Type="http://schemas.openxmlformats.org/officeDocument/2006/relationships/hyperlink" Target="https://www.newspapers.com/image/193364114/?terms=jeremiah%2Blasater" TargetMode="External"/><Relationship Id="rId705" Type="http://schemas.openxmlformats.org/officeDocument/2006/relationships/hyperlink" Target="https://www.deseretnews.com/article/868847/Boy-shoots-self-at-school.html" TargetMode="External"/><Relationship Id="rId1128" Type="http://schemas.openxmlformats.org/officeDocument/2006/relationships/hyperlink" Target="https://www.newspapers.com/image/271348834/?terms=school%2Bshooting" TargetMode="External"/><Relationship Id="rId137" Type="http://schemas.openxmlformats.org/officeDocument/2006/relationships/hyperlink" Target="https://www.kiro7.com/news/local/man-injured-gig-harbor-shooting/AMXZMA2TLZC53LAN53PMT5GNAE/" TargetMode="External"/><Relationship Id="rId344" Type="http://schemas.openxmlformats.org/officeDocument/2006/relationships/hyperlink" Target="http://www.moultrieobserver.com/news/local_news/student-fires-gun-during-struggle/article_149e02cc-84db-11e5-8369-ef294cd8fd87.html" TargetMode="External"/><Relationship Id="rId691" Type="http://schemas.openxmlformats.org/officeDocument/2006/relationships/hyperlink" Target="http://www.cnn.com/2002/US/Northeast/10/29/school.shooting/" TargetMode="External"/><Relationship Id="rId789" Type="http://schemas.openxmlformats.org/officeDocument/2006/relationships/hyperlink" Target="https://apnews.com/a07c45ae91ad4f448d560abb24e292f1" TargetMode="External"/><Relationship Id="rId912" Type="http://schemas.openxmlformats.org/officeDocument/2006/relationships/hyperlink" Target="https://www.newspapers.com/image/229988989/?terms=J.%2BE.%2BB.%2BStuart%2BJunior%2BHigh%2BSchool%2Bbus%2Bshooting" TargetMode="External"/><Relationship Id="rId996" Type="http://schemas.openxmlformats.org/officeDocument/2006/relationships/hyperlink" Target="https://www.newspapers.com/image/89740743/?terms=student%2Bshot" TargetMode="External"/><Relationship Id="rId41" Type="http://schemas.openxmlformats.org/officeDocument/2006/relationships/hyperlink" Target="https://www.fox13now.com/news/local-news/utah-parent-says-tiktok-challenge-caused-son-to-be-shot-at-with-toy-gun-then-real-gun" TargetMode="External"/><Relationship Id="rId551" Type="http://schemas.openxmlformats.org/officeDocument/2006/relationships/hyperlink" Target="http://www.savannahnow.com/article/20060821/NEWS/308219914" TargetMode="External"/><Relationship Id="rId649" Type="http://schemas.openxmlformats.org/officeDocument/2006/relationships/hyperlink" Target="http://community.seattletimes.nwsource.com/archive/?date=20040319&amp;slug=boyshot19m" TargetMode="External"/><Relationship Id="rId856" Type="http://schemas.openxmlformats.org/officeDocument/2006/relationships/hyperlink" Target="https://www.nola.com/crime/index.ssf/2017/09/25_years_after_walker_students.html" TargetMode="External"/><Relationship Id="rId190" Type="http://schemas.openxmlformats.org/officeDocument/2006/relationships/hyperlink" Target="https://www.orlandosentinel.com/news/breaking-news/os-ne-lake-mary-lockdown-code-red-20190313-story.html" TargetMode="External"/><Relationship Id="rId204" Type="http://schemas.openxmlformats.org/officeDocument/2006/relationships/hyperlink" Target="https://ksby.com/news/2018/12/03/suspects-arrested-in-santa-barbara-elementary-school-shooting-linked-to-other-crimes" TargetMode="External"/><Relationship Id="rId288" Type="http://schemas.openxmlformats.org/officeDocument/2006/relationships/hyperlink" Target="https://www.spokesman.com/stories/2022/aug/19/the-true-cost-of-evil-freeman-high-school-shooter-/" TargetMode="External"/><Relationship Id="rId411" Type="http://schemas.openxmlformats.org/officeDocument/2006/relationships/hyperlink" Target="https://www.theleafchronicle.com/story/news/2017/03/10/one-familys-emotional-trial-ends-without-answers/98871314/" TargetMode="External"/><Relationship Id="rId509" Type="http://schemas.openxmlformats.org/officeDocument/2006/relationships/hyperlink" Target="https://www.highbeam.com/doc/1G1-163016802.html" TargetMode="External"/><Relationship Id="rId1041" Type="http://schemas.openxmlformats.org/officeDocument/2006/relationships/hyperlink" Target="https://www.newspapers.com/image/318405620/?terms=sandra%2Bviser%2Bmccomb" TargetMode="External"/><Relationship Id="rId1139" Type="http://schemas.openxmlformats.org/officeDocument/2006/relationships/hyperlink" Target="https://www.newspapers.com/image/377397441/?terms=school%2Bshooting" TargetMode="External"/><Relationship Id="rId495" Type="http://schemas.openxmlformats.org/officeDocument/2006/relationships/hyperlink" Target="https://www.newspapers.com/image/432388038/?terms=student%2Bshot" TargetMode="External"/><Relationship Id="rId716" Type="http://schemas.openxmlformats.org/officeDocument/2006/relationships/hyperlink" Target="https://www.deseretnews.com/article/831817/School-hopes-suicide-doesnt-put-it-in-spotlight.html" TargetMode="External"/><Relationship Id="rId923" Type="http://schemas.openxmlformats.org/officeDocument/2006/relationships/hyperlink" Target="https://www.newspapers.com/image/399821731/?terms=West%2BEnd%2BChristian%2BElementary%2BSchool" TargetMode="External"/><Relationship Id="rId52" Type="http://schemas.openxmlformats.org/officeDocument/2006/relationships/hyperlink" Target="https://www.krqe.com/sports/high-school-sports/del-norte-school-bus-shot-with-paintballs-after-espanola-game/" TargetMode="External"/><Relationship Id="rId148" Type="http://schemas.openxmlformats.org/officeDocument/2006/relationships/hyperlink" Target="https://www.newsobserver.com/news/local/crime/article256631386.html" TargetMode="External"/><Relationship Id="rId355" Type="http://schemas.openxmlformats.org/officeDocument/2006/relationships/hyperlink" Target="https://www.theolympian.com/news/local/education/article74949547.html" TargetMode="External"/><Relationship Id="rId562" Type="http://schemas.openxmlformats.org/officeDocument/2006/relationships/hyperlink" Target="https://www.wral.com/news/local/story/157302/" TargetMode="External"/><Relationship Id="rId215" Type="http://schemas.openxmlformats.org/officeDocument/2006/relationships/hyperlink" Target="https://www.dailybulletin.com/2018/09/20/body-found-at-pomona-high-school/" TargetMode="External"/><Relationship Id="rId422" Type="http://schemas.openxmlformats.org/officeDocument/2006/relationships/hyperlink" Target="https://www.wxyz.com/news/man-shot-near-martin-luther-king-jr-high-school-in-detroit" TargetMode="External"/><Relationship Id="rId867" Type="http://schemas.openxmlformats.org/officeDocument/2006/relationships/hyperlink" Target="https://www.newspapers.com/image/191964993/?terms=Woodruff%2BHigh%2BSchool%2Bshooting" TargetMode="External"/><Relationship Id="rId1052" Type="http://schemas.openxmlformats.org/officeDocument/2006/relationships/hyperlink" Target="https://www.newspapers.com/image/273435847/?terms=Wisconsin%2BLutheran%2BHigh%2BSchool%2Bjanitor%2Bshot%2Brocks" TargetMode="External"/><Relationship Id="rId299" Type="http://schemas.openxmlformats.org/officeDocument/2006/relationships/hyperlink" Target="http://abc3340.com/news/local/greensboro-hs-student-in-police-custody-after-shooting-at-another-student" TargetMode="External"/><Relationship Id="rId727" Type="http://schemas.openxmlformats.org/officeDocument/2006/relationships/hyperlink" Target="https://www.newspapers.com/image/195721847/?terms=shooting%2Bhomecoming%2BMinneapolis" TargetMode="External"/><Relationship Id="rId934" Type="http://schemas.openxmlformats.org/officeDocument/2006/relationships/hyperlink" Target="http://articles.chicagotribune.com/1987-09-30/news/8703130825_1_second-floor-classroom-shooting-smoking-on-school-grounds" TargetMode="External"/><Relationship Id="rId63" Type="http://schemas.openxmlformats.org/officeDocument/2006/relationships/hyperlink" Target="https://www.wave3.com/2021/12/08/shooting-near-st-matthews-elementary-school-under-investigation/" TargetMode="External"/><Relationship Id="rId159" Type="http://schemas.openxmlformats.org/officeDocument/2006/relationships/hyperlink" Target="https://www.wvtm13.com/article/mountain-brook-homicide-woman-found-dead-parking-lot-megan-montgomery/30065595" TargetMode="External"/><Relationship Id="rId366" Type="http://schemas.openxmlformats.org/officeDocument/2006/relationships/hyperlink" Target="https://pittsburgh.cbslocal.com/2014/12/17/shooting-at-stanton-heights-elementary-school/" TargetMode="External"/><Relationship Id="rId573" Type="http://schemas.openxmlformats.org/officeDocument/2006/relationships/hyperlink" Target="http://www.thereporter.com/article/zz/20060124/NEWS/601249925" TargetMode="External"/><Relationship Id="rId780" Type="http://schemas.openxmlformats.org/officeDocument/2006/relationships/hyperlink" Target="http://www.psychceu.com/school_violence/savd.pdf" TargetMode="External"/><Relationship Id="rId226" Type="http://schemas.openxmlformats.org/officeDocument/2006/relationships/hyperlink" Target="https://www.wsmv.com/news/police-identify-man-accused-of-shooting-youth-football-coach-on/article_f8653b71-1014-5896-bc31-37c289db30f9.html" TargetMode="External"/><Relationship Id="rId433" Type="http://schemas.openxmlformats.org/officeDocument/2006/relationships/hyperlink" Target="http://www.dailytarheel.com/article/2014/10/man-pleads-guilty-of-murder-in-scroggs-elementary-shooting" TargetMode="External"/><Relationship Id="rId878" Type="http://schemas.openxmlformats.org/officeDocument/2006/relationships/hyperlink" Target="http://articles.latimes.com/1991-04-25/news/mn-828_1_school-district" TargetMode="External"/><Relationship Id="rId1063" Type="http://schemas.openxmlformats.org/officeDocument/2006/relationships/hyperlink" Target="https://www.newspapers.com/newspage/207607604/" TargetMode="External"/><Relationship Id="rId640" Type="http://schemas.openxmlformats.org/officeDocument/2006/relationships/hyperlink" Target="https://en.wikipedia.org/wiki/List_of_school_shootings_in_the_United_States" TargetMode="External"/><Relationship Id="rId738" Type="http://schemas.openxmlformats.org/officeDocument/2006/relationships/hyperlink" Target="https://www.newspapers.com/image/197812875/?terms=Erwin%2BHigh%2BSchool%2Bshooting" TargetMode="External"/><Relationship Id="rId945" Type="http://schemas.openxmlformats.org/officeDocument/2006/relationships/hyperlink" Target="https://www.newspapers.com/image/195486648/?terms=South%2BOak%2BCliff%2BHigh%2BSchool%2Bshooting" TargetMode="External"/><Relationship Id="rId74" Type="http://schemas.openxmlformats.org/officeDocument/2006/relationships/hyperlink" Target="https://wgntv.com/news/chicagocrime/separate-shooting-incidents-outside-cps-schools-has-parents-on-edge/" TargetMode="External"/><Relationship Id="rId377" Type="http://schemas.openxmlformats.org/officeDocument/2006/relationships/hyperlink" Target="https://www.fredericknewspost.com/news/crime_and_justice/cops_and_crime/two-face-charges-in-wednesday-gunfire-at-heather-ridge-school/article_737ade83-ddbb-5d49-af29-7f18d962e3a3.html" TargetMode="External"/><Relationship Id="rId500" Type="http://schemas.openxmlformats.org/officeDocument/2006/relationships/hyperlink" Target="https://www.columbine-angels.com/School_Violence_2006-2007.htm" TargetMode="External"/><Relationship Id="rId584" Type="http://schemas.openxmlformats.org/officeDocument/2006/relationships/hyperlink" Target="https://www.ocregister.com/2005/12/08/five-arrests-made-in-santiago-high-shooting-death/" TargetMode="External"/><Relationship Id="rId805" Type="http://schemas.openxmlformats.org/officeDocument/2006/relationships/hyperlink" Target="http://www.columbine-angels.com/School_Violence_1993-1994.htm" TargetMode="External"/><Relationship Id="rId1130" Type="http://schemas.openxmlformats.org/officeDocument/2006/relationships/hyperlink" Target="https://www.newspapers.com/image/205331514/?terms=school%2Bshooting" TargetMode="External"/><Relationship Id="rId5" Type="http://schemas.openxmlformats.org/officeDocument/2006/relationships/hyperlink" Target="https://www.wfla.com/news/hillsborough-county/no-active-shooter-at-lennard-high-school-sheriff-says/" TargetMode="External"/><Relationship Id="rId237" Type="http://schemas.openxmlformats.org/officeDocument/2006/relationships/hyperlink" Target="https://www.indystar.com/story/news/crime/2018/05/29/noblesville-indiana-middle-school-shooting-unanswered-questions-shooter-weapons-victims/650866002/" TargetMode="External"/><Relationship Id="rId791" Type="http://schemas.openxmlformats.org/officeDocument/2006/relationships/hyperlink" Target="https://www.washingtonpost.com/archive/local/1995/01/25/student-wounded-in-school-shooting/43b9c1ae-244d-40ed-8bc7-18fec6c338f3/" TargetMode="External"/><Relationship Id="rId889" Type="http://schemas.openxmlformats.org/officeDocument/2006/relationships/hyperlink" Target="https://www.newspapers.com/image/400340582/?terms=Myers%2BPark%2BHigh%2BSchool%2Bshooting" TargetMode="External"/><Relationship Id="rId1074" Type="http://schemas.openxmlformats.org/officeDocument/2006/relationships/hyperlink" Target="https://www.newspapers.com/image/112439487/?terms=school%2Bshooting" TargetMode="External"/><Relationship Id="rId444" Type="http://schemas.openxmlformats.org/officeDocument/2006/relationships/hyperlink" Target="https://www.dailybreeze.com/2011/04/11/gardena-high-student-gets-9-months-for-having-gun-that-discharged/" TargetMode="External"/><Relationship Id="rId651" Type="http://schemas.openxmlformats.org/officeDocument/2006/relationships/hyperlink" Target="https://www.iberianet.com/news/two-dead-in-friday-murder-suicide/article_6e2281d6-1558-5273-b883-8aa0132a8b2e.html" TargetMode="External"/><Relationship Id="rId749" Type="http://schemas.openxmlformats.org/officeDocument/2006/relationships/hyperlink" Target="https://www.sfgate.com/bayarea/article/San-Jose-Boy-16-Fatally-Shoots-Himself-at-High-2909269.php" TargetMode="External"/><Relationship Id="rId290" Type="http://schemas.openxmlformats.org/officeDocument/2006/relationships/hyperlink" Target="https://www.thv11.com/article/news/local/after-shooting-north-little-rock-high-to-increase-security-at-football-games/473815136" TargetMode="External"/><Relationship Id="rId304" Type="http://schemas.openxmlformats.org/officeDocument/2006/relationships/hyperlink" Target="https://www.cnn.com/2017/04/10/us/san-bernardino-school-shooting/index.html" TargetMode="External"/><Relationship Id="rId388" Type="http://schemas.openxmlformats.org/officeDocument/2006/relationships/hyperlink" Target="https://www.bendbulletin.com/home/1790423-151/details-emerge-in-bend-high-suicide" TargetMode="External"/><Relationship Id="rId511" Type="http://schemas.openxmlformats.org/officeDocument/2006/relationships/hyperlink" Target="http://blog.oregonlive.com/breakingnews/2007/04/gresham_teen_indicted_in_sprin.html" TargetMode="External"/><Relationship Id="rId609" Type="http://schemas.openxmlformats.org/officeDocument/2006/relationships/hyperlink" Target="https://www.columbine-angels.com/School_Violence_2004-2005.htm" TargetMode="External"/><Relationship Id="rId956" Type="http://schemas.openxmlformats.org/officeDocument/2006/relationships/hyperlink" Target="https://www.newspapers.com/image/377738432/?terms=Lake%2BClifton%2BHigh%2BSchool%2Bshooting" TargetMode="External"/><Relationship Id="rId1141" Type="http://schemas.openxmlformats.org/officeDocument/2006/relationships/hyperlink" Target="https://www.newspapers.com/image/372317689/?terms=school%2Bshooting" TargetMode="External"/><Relationship Id="rId85" Type="http://schemas.openxmlformats.org/officeDocument/2006/relationships/hyperlink" Target="https://www.news5cleveland.com/news/local-news/cleveland-metro/teens-shot-near-k-6-school-in-clevelands-broadway-slavic-village-neighborhood" TargetMode="External"/><Relationship Id="rId150" Type="http://schemas.openxmlformats.org/officeDocument/2006/relationships/hyperlink" Target="https://www.abqjournal.com/1424911/apd-drive-by-sent-bullets-flying-into-abq-school.html" TargetMode="External"/><Relationship Id="rId595" Type="http://schemas.openxmlformats.org/officeDocument/2006/relationships/hyperlink" Target="http://articles.chicagotribune.com/2005-09-14/news/0509140261_1_student-chicago-public-schools-initial-fight" TargetMode="External"/><Relationship Id="rId816" Type="http://schemas.openxmlformats.org/officeDocument/2006/relationships/hyperlink" Target="http://articles.courant.com/1995-07-21/news/9507210401_1_latin-king-rival-gang-gang-war" TargetMode="External"/><Relationship Id="rId1001" Type="http://schemas.openxmlformats.org/officeDocument/2006/relationships/hyperlink" Target="https://www.newspapers.com/image/277257866/?terms=Santa%2BMaria%2BInCornata-Santa%2BLucia%2BSchool%2Bshooting" TargetMode="External"/><Relationship Id="rId248" Type="http://schemas.openxmlformats.org/officeDocument/2006/relationships/hyperlink" Target="https://pilotonline.com/news/local/crime/article_32543292-2bcc-11e8-a262-877b86c9daad.html" TargetMode="External"/><Relationship Id="rId455" Type="http://schemas.openxmlformats.org/officeDocument/2006/relationships/hyperlink" Target="http://www.jacksonville.com/news/metro/crime/2009-03-10/story/police_responding_to_shots_fired_at_ribault_high_school" TargetMode="External"/><Relationship Id="rId662" Type="http://schemas.openxmlformats.org/officeDocument/2006/relationships/hyperlink" Target="https://dailyegyptian.com/27496/archives/man-shot-in-leg-cchs-game/" TargetMode="External"/><Relationship Id="rId1085" Type="http://schemas.openxmlformats.org/officeDocument/2006/relationships/hyperlink" Target="https://www.newspapers.com/image/133980815/?terms=palm%2Bbeach%2Bgarden%2Bschool%2Bshooting" TargetMode="External"/><Relationship Id="rId12" Type="http://schemas.openxmlformats.org/officeDocument/2006/relationships/hyperlink" Target="https://www.walb.com/2022/08/06/shots-fired-near-johnson-co-football-game/" TargetMode="External"/><Relationship Id="rId108" Type="http://schemas.openxmlformats.org/officeDocument/2006/relationships/hyperlink" Target="https://www.oregonlive.com/portland/2021/08/man-found-dead-after-shooting-in-portlands-powellhurst-gilbert-neighborhood-police-say.html" TargetMode="External"/><Relationship Id="rId315" Type="http://schemas.openxmlformats.org/officeDocument/2006/relationships/hyperlink" Target="http://usatodayhss.com/2016/student-shot-outside-atlanta-high-school-after-football-game" TargetMode="External"/><Relationship Id="rId522" Type="http://schemas.openxmlformats.org/officeDocument/2006/relationships/hyperlink" Target="https://portlandtribune.com/component/content/article?id=187719" TargetMode="External"/><Relationship Id="rId967" Type="http://schemas.openxmlformats.org/officeDocument/2006/relationships/hyperlink" Target="https://www.apnews.com/2230ba54081db004aff5288eb8885c96" TargetMode="External"/><Relationship Id="rId1152" Type="http://schemas.openxmlformats.org/officeDocument/2006/relationships/hyperlink" Target="https://www.newspapers.com/image/365033298/?terms=school%2Bshooting" TargetMode="External"/><Relationship Id="rId96" Type="http://schemas.openxmlformats.org/officeDocument/2006/relationships/hyperlink" Target="https://arktimes.com/arkansas-blog/2021/09/02/a-gun-brandished-at-little-rock-central-high-this-morning-but-no-shots-fired" TargetMode="External"/><Relationship Id="rId161" Type="http://schemas.openxmlformats.org/officeDocument/2006/relationships/hyperlink" Target="https://abc7chicago.com/rich-central-student-charged-after-pellet-hits-school-bus-injuring-another-student/5713973/" TargetMode="External"/><Relationship Id="rId399" Type="http://schemas.openxmlformats.org/officeDocument/2006/relationships/hyperlink" Target="https://www.clickorlando.com/news/student-shot-in-face-at-west-orange-high-school-_2015110710074418" TargetMode="External"/><Relationship Id="rId827" Type="http://schemas.openxmlformats.org/officeDocument/2006/relationships/hyperlink" Target="https://www.newspapers.com/image/278618494/?terms=Francis%2BT.%2BNicholls%2BHigh%2BSchool%2Bshooting" TargetMode="External"/><Relationship Id="rId1012" Type="http://schemas.openxmlformats.org/officeDocument/2006/relationships/hyperlink" Target="https://www.newspapers.com/image/377444331/?terms=TEACHER%2BSHOT" TargetMode="External"/><Relationship Id="rId259" Type="http://schemas.openxmlformats.org/officeDocument/2006/relationships/hyperlink" Target="http://pgpolice.blogspot.ca/2018/02/two-teenage-suspects-in-custody-for-non.html" TargetMode="External"/><Relationship Id="rId466" Type="http://schemas.openxmlformats.org/officeDocument/2006/relationships/hyperlink" Target="https://www.columbine-angels.com/School_Violence_2008-2009.htm" TargetMode="External"/><Relationship Id="rId673" Type="http://schemas.openxmlformats.org/officeDocument/2006/relationships/hyperlink" Target="https://www.vicksburgpost.com/2003/09/11/former-vhs-student-shot-dead/" TargetMode="External"/><Relationship Id="rId880" Type="http://schemas.openxmlformats.org/officeDocument/2006/relationships/hyperlink" Target="https://www.newspapers.com/image/216895876/?terms=Booker%2BT.%2BWashington%2BHigh%2BSchool%2Bshooting" TargetMode="External"/><Relationship Id="rId1096" Type="http://schemas.openxmlformats.org/officeDocument/2006/relationships/hyperlink" Target="https://www.newspapers.com/image/29775822/?terms=pupil%2Bshot" TargetMode="External"/><Relationship Id="rId23" Type="http://schemas.openxmlformats.org/officeDocument/2006/relationships/hyperlink" Target="https://www.tmj4.com/news/local-news/mpd-police-respond-to-riverside-high-school-twice-for-reports-of-shots-fired-fight" TargetMode="External"/><Relationship Id="rId119" Type="http://schemas.openxmlformats.org/officeDocument/2006/relationships/hyperlink" Target="https://www.nbc4i.com/news/local-news/cpd-school-fight-leads-to-shooting/" TargetMode="External"/><Relationship Id="rId326" Type="http://schemas.openxmlformats.org/officeDocument/2006/relationships/hyperlink" Target="http://abc7chicago.com/news/cps-employee-fatally-shot-outside-mcnair-elementary-school/1388692/" TargetMode="External"/><Relationship Id="rId533" Type="http://schemas.openxmlformats.org/officeDocument/2006/relationships/hyperlink" Target="https://www.columbine-angels.com/School_Violence_2006-2007.htm" TargetMode="External"/><Relationship Id="rId978" Type="http://schemas.openxmlformats.org/officeDocument/2006/relationships/hyperlink" Target="https://www.newspapers.com/image/99155324/?terms=student%2Bshot" TargetMode="External"/><Relationship Id="rId1163" Type="http://schemas.openxmlformats.org/officeDocument/2006/relationships/hyperlink" Target="https://www.newspapers.com/image/571585288/?terms=shot%2Bin%2Bschool%2Bparking%2Blot" TargetMode="External"/><Relationship Id="rId740" Type="http://schemas.openxmlformats.org/officeDocument/2006/relationships/hyperlink" Target="https://www.newspapers.com/image/342081991/?terms=Albuquerque%2BHigh%2BSchool%2Bshooting" TargetMode="External"/><Relationship Id="rId838" Type="http://schemas.openxmlformats.org/officeDocument/2006/relationships/hyperlink" Target="https://people.com/archive/roll-call-of-the-dead-vol-39-no-23/" TargetMode="External"/><Relationship Id="rId1023" Type="http://schemas.openxmlformats.org/officeDocument/2006/relationships/hyperlink" Target="https://www.newspapers.com/image/216284765/?terms=new%2BIberia%2Bteacher%2Bshot" TargetMode="External"/><Relationship Id="rId172" Type="http://schemas.openxmlformats.org/officeDocument/2006/relationships/hyperlink" Target="https://patch.com/new-york/merrick/shooting-long-island-school-causes-lockdown" TargetMode="External"/><Relationship Id="rId477" Type="http://schemas.openxmlformats.org/officeDocument/2006/relationships/hyperlink" Target="http://www.reporterherald.com/ci_18289600" TargetMode="External"/><Relationship Id="rId600" Type="http://schemas.openxmlformats.org/officeDocument/2006/relationships/hyperlink" Target="https://www.columbine-angels.com/School_Violence_2005-2006.htm" TargetMode="External"/><Relationship Id="rId684" Type="http://schemas.openxmlformats.org/officeDocument/2006/relationships/hyperlink" Target="https://www.tulsaworld.com/archives/jenks-student-yields-after-standoff/article_df79f378-452f-5400-9568-28cd4a828fdf.html" TargetMode="External"/><Relationship Id="rId337" Type="http://schemas.openxmlformats.org/officeDocument/2006/relationships/hyperlink" Target="https://www.nbcphiladelphia.com/news/local/BREAKING-Benjamin-Franklin-High-School-on-Lockdown-After-Shell-Casing-Found-in-Stairwell--366996461.html" TargetMode="External"/><Relationship Id="rId891" Type="http://schemas.openxmlformats.org/officeDocument/2006/relationships/hyperlink" Target="https://www.newspapers.com/image/462261165/?terms=Mount%2BPleasant%2BHigh%2BSchool%2Bshooting" TargetMode="External"/><Relationship Id="rId905" Type="http://schemas.openxmlformats.org/officeDocument/2006/relationships/hyperlink" Target="https://www.newspapers.com/image/129470000/?terms=%22shot%20high%20school%20football%22&amp;match=1" TargetMode="External"/><Relationship Id="rId989" Type="http://schemas.openxmlformats.org/officeDocument/2006/relationships/hyperlink" Target="https://www.newspapers.com/image/388094016/?terms=school%2Bshooting" TargetMode="External"/><Relationship Id="rId34" Type="http://schemas.openxmlformats.org/officeDocument/2006/relationships/hyperlink" Target="https://www.fox5atlanta.com/news/marietta-school-buses-windshield-shot" TargetMode="External"/><Relationship Id="rId544" Type="http://schemas.openxmlformats.org/officeDocument/2006/relationships/hyperlink" Target="http://www.washingtonpost.com/wp-dyn/content/article/2006/09/23/AR2006092301174.html" TargetMode="External"/><Relationship Id="rId751" Type="http://schemas.openxmlformats.org/officeDocument/2006/relationships/hyperlink" Target="https://www.newspapers.com/image/403219735/?terms=Geno%2BThomas%2Bshooting" TargetMode="External"/><Relationship Id="rId849" Type="http://schemas.openxmlformats.org/officeDocument/2006/relationships/hyperlink" Target="https://www.nytimes.com/1992/10/20/nyregion/3-teen-agers-shot-in-bronx-near-a-school.html" TargetMode="External"/><Relationship Id="rId1174" Type="http://schemas.openxmlformats.org/officeDocument/2006/relationships/hyperlink" Target="https://news.google.com/newspapers?id=AfRYAAAAIBAJ&amp;pg=3025,1894998" TargetMode="External"/><Relationship Id="rId183" Type="http://schemas.openxmlformats.org/officeDocument/2006/relationships/hyperlink" Target="https://wjla.com/news/local/dc-elementary-school-shot-again" TargetMode="External"/><Relationship Id="rId390" Type="http://schemas.openxmlformats.org/officeDocument/2006/relationships/hyperlink" Target="https://www.azcentral.com/story/news/local/phoenix/2014/04/03/phoenix-police-make-arrests-chavez-high-school-shooting-abrk/7264833/" TargetMode="External"/><Relationship Id="rId404" Type="http://schemas.openxmlformats.org/officeDocument/2006/relationships/hyperlink" Target="https://www.wftv.com/news/local/teen-shot-agape-christian-academy-pine-hills/270794978" TargetMode="External"/><Relationship Id="rId611" Type="http://schemas.openxmlformats.org/officeDocument/2006/relationships/hyperlink" Target="http://www.nbcnews.com/id/7420306/ns/us_news-crime_and_courts/t/wounded-coach-upset-some-players-parents/" TargetMode="External"/><Relationship Id="rId1034" Type="http://schemas.openxmlformats.org/officeDocument/2006/relationships/hyperlink" Target="https://www.newspapers.com/image/265350967/?terms=marian%2Bgreen" TargetMode="External"/><Relationship Id="rId250" Type="http://schemas.openxmlformats.org/officeDocument/2006/relationships/hyperlink" Target="http://www.alexandrianews.org/2018/05/gw-school-resource-officer-charged-after-discharge-of-weapon/" TargetMode="External"/><Relationship Id="rId488" Type="http://schemas.openxmlformats.org/officeDocument/2006/relationships/hyperlink" Target="https://www.seattletimes.com/seattle-news/suspect-arrested-in-fatal-shooting-last-week-outside-federal-way-middle-school/" TargetMode="External"/><Relationship Id="rId695" Type="http://schemas.openxmlformats.org/officeDocument/2006/relationships/hyperlink" Target="https://www.newspapers.com/image/4986183/" TargetMode="External"/><Relationship Id="rId709" Type="http://schemas.openxmlformats.org/officeDocument/2006/relationships/hyperlink" Target="https://www.deseretnews.com/article/843018/Texas-teen-kills-himself-at-school.html" TargetMode="External"/><Relationship Id="rId916" Type="http://schemas.openxmlformats.org/officeDocument/2006/relationships/hyperlink" Target="https://www.newspapers.com/image/99828797/?terms=student%2Bshot" TargetMode="External"/><Relationship Id="rId1101" Type="http://schemas.openxmlformats.org/officeDocument/2006/relationships/hyperlink" Target="https://www.newspapers.com/image/68536508/?terms=school%2Bshooting" TargetMode="External"/><Relationship Id="rId45" Type="http://schemas.openxmlformats.org/officeDocument/2006/relationships/hyperlink" Target="https://www.alaskasnewssource.com/2022/03/18/charges-forwarded-student-shooting-investigation-redington-jrsr-high-school/" TargetMode="External"/><Relationship Id="rId110" Type="http://schemas.openxmlformats.org/officeDocument/2006/relationships/hyperlink" Target="https://www.yourcentralvalley.com/news/local-news/driver-crashes-into-central-fresno-school-fence-after-being-shot-police-say/" TargetMode="External"/><Relationship Id="rId348" Type="http://schemas.openxmlformats.org/officeDocument/2006/relationships/hyperlink" Target="http://www.wrdw.com/home/headlines/BREAKING-Student-at-Hornsby-School-shot-and-taken-to-hospital-322826461.html" TargetMode="External"/><Relationship Id="rId555" Type="http://schemas.openxmlformats.org/officeDocument/2006/relationships/hyperlink" Target="https://www.newspapers.com/image/330166745/" TargetMode="External"/><Relationship Id="rId762" Type="http://schemas.openxmlformats.org/officeDocument/2006/relationships/hyperlink" Target="https://cmuhistory.cmich.edu/?a=d&amp;d=IsabellaCML19980227.1.2&amp;" TargetMode="External"/><Relationship Id="rId194" Type="http://schemas.openxmlformats.org/officeDocument/2006/relationships/hyperlink" Target="https://fox2now.com/2019/01/18/gunfire-exchanged-in-hazelwood-east-parking-lot/" TargetMode="External"/><Relationship Id="rId208" Type="http://schemas.openxmlformats.org/officeDocument/2006/relationships/hyperlink" Target="https://fox61.com/2018/10/22/shot-fired-through-window-in-bridgeport-school/" TargetMode="External"/><Relationship Id="rId415" Type="http://schemas.openxmlformats.org/officeDocument/2006/relationships/hyperlink" Target="http://www.wbrc.com/story/22251179/parent-allegedly-fires-gun-when-daughters-fight-at-school" TargetMode="External"/><Relationship Id="rId622" Type="http://schemas.openxmlformats.org/officeDocument/2006/relationships/hyperlink" Target="https://www.columbine-angels.com/School_Violence_2005-2006.htm" TargetMode="External"/><Relationship Id="rId1045" Type="http://schemas.openxmlformats.org/officeDocument/2006/relationships/hyperlink" Target="https://www.newspapers.com/image/234200567/?terms=student%2Bwho%2Bshot%2Bself" TargetMode="External"/><Relationship Id="rId261" Type="http://schemas.openxmlformats.org/officeDocument/2006/relationships/hyperlink" Target="http://6abc.com/man-32-killed-outside-lincoln-high-school-in-mayfair-idd/3013312/" TargetMode="External"/><Relationship Id="rId499" Type="http://schemas.openxmlformats.org/officeDocument/2006/relationships/hyperlink" Target="https://www.nj.com/news/index.ssf/2010/09/newark_schoolyard_slaying_susp_1.html" TargetMode="External"/><Relationship Id="rId927" Type="http://schemas.openxmlformats.org/officeDocument/2006/relationships/hyperlink" Target="https://www.newspapers.com/image/6664149/?terms=student%2Bshot" TargetMode="External"/><Relationship Id="rId1112" Type="http://schemas.openxmlformats.org/officeDocument/2006/relationships/hyperlink" Target="https://www.newspapers.com/image/104353084/?terms=school%2Bshooting" TargetMode="External"/><Relationship Id="rId56" Type="http://schemas.openxmlformats.org/officeDocument/2006/relationships/hyperlink" Target="https://kstp.com/kstp-news/top-news/trial-scheduled-for-man-accused-of-murder-in-shooting-outside-richfield-school/" TargetMode="External"/><Relationship Id="rId359" Type="http://schemas.openxmlformats.org/officeDocument/2006/relationships/hyperlink" Target="https://www.fredericknewspost.com/subjects/crime_and_justice/updated-two-students-wounded-in-frederick-high-school-shooting/article_153b667f-90c2-5c8c-b4ed-9c4ba869e442.html" TargetMode="External"/><Relationship Id="rId566" Type="http://schemas.openxmlformats.org/officeDocument/2006/relationships/hyperlink" Target="https://www.usatoday.com/story/news/2015/10/01/roseburg-had-school-shooting-2006/73168186/" TargetMode="External"/><Relationship Id="rId773" Type="http://schemas.openxmlformats.org/officeDocument/2006/relationships/hyperlink" Target="https://m.lasvegassun.com/news/1997/feb/21/rival-gangs-blamed-in-rancho-shooting/" TargetMode="External"/><Relationship Id="rId121" Type="http://schemas.openxmlformats.org/officeDocument/2006/relationships/hyperlink" Target="https://wsvn.com/news/special-reports/bso-investigating-shooting-incident-outside-holiday-party-hosted-by-pompano-beach-school-for-at-risk-youth/" TargetMode="External"/><Relationship Id="rId219" Type="http://schemas.openxmlformats.org/officeDocument/2006/relationships/hyperlink" Target="http://www.nydailynews.com/new-york/nyc-crime/ny-metro-man-shot-outside-bronx-school-20180904-story.html" TargetMode="External"/><Relationship Id="rId426" Type="http://schemas.openxmlformats.org/officeDocument/2006/relationships/hyperlink" Target="https://abc13.com/archive/8915159/" TargetMode="External"/><Relationship Id="rId633" Type="http://schemas.openxmlformats.org/officeDocument/2006/relationships/hyperlink" Target="https://www.sfgate.com/bayarea/article/HAYWARD-Man-fatally-shot-at-school-no-arrest-2679598.php" TargetMode="External"/><Relationship Id="rId980" Type="http://schemas.openxmlformats.org/officeDocument/2006/relationships/hyperlink" Target="https://www.newspapers.com/image/368938109/?terms=Norco%2BHigh%2BSchool%2Bshooting" TargetMode="External"/><Relationship Id="rId1056" Type="http://schemas.openxmlformats.org/officeDocument/2006/relationships/hyperlink" Target="https://www.newspapers.com/image/72988843/?terms=Weymouth%2BSouth%2BHigh%2BSchool%2Bshooting" TargetMode="External"/><Relationship Id="rId840" Type="http://schemas.openxmlformats.org/officeDocument/2006/relationships/hyperlink" Target="https://www.newspapers.com/image/238950794/?terms=Norland%2BSenior%2BHigh%2BSchool%2Bshooting" TargetMode="External"/><Relationship Id="rId938" Type="http://schemas.openxmlformats.org/officeDocument/2006/relationships/hyperlink" Target="https://www.newspapers.com/image/404237062/?terms=Panorama%2BElementary%2BSchool%2Bshooting" TargetMode="External"/><Relationship Id="rId67" Type="http://schemas.openxmlformats.org/officeDocument/2006/relationships/hyperlink" Target="https://www.wifr.com/2021/11/29/shots-fired-behind-west-middle-school/" TargetMode="External"/><Relationship Id="rId272" Type="http://schemas.openxmlformats.org/officeDocument/2006/relationships/hyperlink" Target="https://abc13.com/2-wounded-when-gun-goes-off-in-car-at-sam-rayburn-hs/2774679/" TargetMode="External"/><Relationship Id="rId577" Type="http://schemas.openxmlformats.org/officeDocument/2006/relationships/hyperlink" Target="https://mtstandard.com/news/local/anaconda-students-expelled-after-air-gun-shooting-incident/article_846a24e2-3d18-5764-a1a7-ccfb3bb8e820.html" TargetMode="External"/><Relationship Id="rId700" Type="http://schemas.openxmlformats.org/officeDocument/2006/relationships/hyperlink" Target="https://www.cbsnews.com/news/arrest-in-nyc-school-shooting/" TargetMode="External"/><Relationship Id="rId1123" Type="http://schemas.openxmlformats.org/officeDocument/2006/relationships/hyperlink" Target="https://www.newspapers.com/image/53558183/?terms=school%2Bshooting" TargetMode="External"/><Relationship Id="rId132" Type="http://schemas.openxmlformats.org/officeDocument/2006/relationships/hyperlink" Target="https://www.mainlinemedianews.com/mainlinesuburbanlife/radnor-police-reports-shots-from-pellet-gun-hit-school-bus/article_a0646684-0c76-11eb-bae3-0702efefe48f.html" TargetMode="External"/><Relationship Id="rId784" Type="http://schemas.openxmlformats.org/officeDocument/2006/relationships/hyperlink" Target="https://www.columbine-angels.com/School_Violence_1995-1996.htm" TargetMode="External"/><Relationship Id="rId991" Type="http://schemas.openxmlformats.org/officeDocument/2006/relationships/hyperlink" Target="https://www.newspapers.com/image/390896596/?terms=Compton%2BHigh%2BSchool%2Bshooting" TargetMode="External"/><Relationship Id="rId1067" Type="http://schemas.openxmlformats.org/officeDocument/2006/relationships/hyperlink" Target="https://www.newspapers.com/image/303108537/?terms=school%2Bshooting" TargetMode="External"/><Relationship Id="rId437" Type="http://schemas.openxmlformats.org/officeDocument/2006/relationships/hyperlink" Target="http://www.fayobserver.com/news/20180817/cape-fear-high-shooting-lawsuit-settled-for-2-million" TargetMode="External"/><Relationship Id="rId644" Type="http://schemas.openxmlformats.org/officeDocument/2006/relationships/hyperlink" Target="https://www.eastbaytimes.com/2004/06/10/castlemont-pupils-shot-in-drive-by/" TargetMode="External"/><Relationship Id="rId851" Type="http://schemas.openxmlformats.org/officeDocument/2006/relationships/hyperlink" Target="https://www.washingtonpost.com/archive/politics/1992/06/01/9-are-slain-in-dc-area-in-2-days/32b3c46c-27dc-45f4-9f60-14ce403dbad5/" TargetMode="External"/><Relationship Id="rId283" Type="http://schemas.openxmlformats.org/officeDocument/2006/relationships/hyperlink" Target="https://www.journalnow.com/news/crime/man-charged-after-gun-fired-at-kernersville-youth-football-game/article_18fb0bef-80e1-530a-bc1f-b6b61ce4d8fd.html" TargetMode="External"/><Relationship Id="rId490" Type="http://schemas.openxmlformats.org/officeDocument/2006/relationships/hyperlink" Target="https://www.ktbs.com/news/student-found-shot-at-madison-high/article_0cdc830b-bca1-5acc-857b-e08b04bff7b2.html" TargetMode="External"/><Relationship Id="rId504" Type="http://schemas.openxmlformats.org/officeDocument/2006/relationships/hyperlink" Target="https://www.columbine-angels.com/School_Violence_2006-2007.htm" TargetMode="External"/><Relationship Id="rId711" Type="http://schemas.openxmlformats.org/officeDocument/2006/relationships/hyperlink" Target="https://products.kitsapsun.com/archive/2001/04-21/0043_in_the_headlines.html" TargetMode="External"/><Relationship Id="rId949" Type="http://schemas.openxmlformats.org/officeDocument/2006/relationships/hyperlink" Target="https://www.newspapers.com/image/321065578/?terms=KERRY%2BDICKENS" TargetMode="External"/><Relationship Id="rId1134" Type="http://schemas.openxmlformats.org/officeDocument/2006/relationships/hyperlink" Target="https://www.newspapers.com/image/6263611/?terms=school%2Bshooting" TargetMode="External"/><Relationship Id="rId78" Type="http://schemas.openxmlformats.org/officeDocument/2006/relationships/hyperlink" Target="https://www.lakemchenryscanner.com/2021/09/24/police-arrest-juvenile-who-brought-bb-gun-to-crystal-lake-elementary-school-shot-other-kids/" TargetMode="External"/><Relationship Id="rId143" Type="http://schemas.openxmlformats.org/officeDocument/2006/relationships/hyperlink" Target="https://www.dailyherald.com/news/20200714/prospect-heights-man-charged-after-shooting-near-frost-elementary-school" TargetMode="External"/><Relationship Id="rId350" Type="http://schemas.openxmlformats.org/officeDocument/2006/relationships/hyperlink" Target="https://www.ibtimes.com/hartford-shooting-leaves-four-injured-rawson-elementary-school-basketball-tournament-1986922" TargetMode="External"/><Relationship Id="rId588" Type="http://schemas.openxmlformats.org/officeDocument/2006/relationships/hyperlink" Target="http://plainedgechat.proboards.com/thread/23" TargetMode="External"/><Relationship Id="rId795" Type="http://schemas.openxmlformats.org/officeDocument/2006/relationships/hyperlink" Target="https://www.sfgate.com/bayarea/article/SAN-LEANDRO-Suspect-named-in-1994-slaying-2596999.php" TargetMode="External"/><Relationship Id="rId809" Type="http://schemas.openxmlformats.org/officeDocument/2006/relationships/hyperlink" Target="https://www.mlive.com/politics/index.ssf/2013/04/chelsea_school_shooter_gun_con.html" TargetMode="External"/><Relationship Id="rId9" Type="http://schemas.openxmlformats.org/officeDocument/2006/relationships/hyperlink" Target="https://www.11alive.com/article/news/local/henry-county-high-lockdown/85-3fef23a6-d1b9-47e3-8f26-4e97e6cd9ed5" TargetMode="External"/><Relationship Id="rId210" Type="http://schemas.openxmlformats.org/officeDocument/2006/relationships/hyperlink" Target="https://www.wavy.com/news/local-news/norfolk/police-respond-to-shooting-after-football-game-at-lake-taylor-high-school/1501979731" TargetMode="External"/><Relationship Id="rId448" Type="http://schemas.openxmlformats.org/officeDocument/2006/relationships/hyperlink" Target="https://madison.com/wsj/news/local/crime_and_courts/no-clues-found-in-marinette-school-standoff-that-ended-in/article_62c3dbb3-1712-52ec-b275-d599eff149de.html" TargetMode="External"/><Relationship Id="rId655" Type="http://schemas.openxmlformats.org/officeDocument/2006/relationships/hyperlink" Target="https://www.chron.com/news/houston-texas/article/Fifth-grader-accidentally-shoots-himself-at-school-1979500.php" TargetMode="External"/><Relationship Id="rId862" Type="http://schemas.openxmlformats.org/officeDocument/2006/relationships/hyperlink" Target="https://www.newspapers.com/image/218234824/?terms=Francis%2BW.%2BGregory%2BJunior%2BHigh%2BSchool%2Bshooting" TargetMode="External"/><Relationship Id="rId1078" Type="http://schemas.openxmlformats.org/officeDocument/2006/relationships/hyperlink" Target="https://www.newspapers.com/image/139488488/?terms=school%2Bshooting" TargetMode="External"/><Relationship Id="rId294" Type="http://schemas.openxmlformats.org/officeDocument/2006/relationships/hyperlink" Target="https://fox13now.com/2017/07/21/19-year-old-shoots-teen-at-spanish-fork-high-before-taking-own-life/" TargetMode="External"/><Relationship Id="rId308" Type="http://schemas.openxmlformats.org/officeDocument/2006/relationships/hyperlink" Target="http://www.wtxl.com/news/gun-goes-off-at-franklin-county-school/article_5f86d63a-ddb1-11e6-b2c8-b722f449d29e.html" TargetMode="External"/><Relationship Id="rId515" Type="http://schemas.openxmlformats.org/officeDocument/2006/relationships/hyperlink" Target="https://www.columbine-angels.com/School_Violence_2006-2007.htm" TargetMode="External"/><Relationship Id="rId722" Type="http://schemas.openxmlformats.org/officeDocument/2006/relationships/hyperlink" Target="https://www.sfgate.com/bayarea/article/Drive-by-Shooter-Kills-Teen-2692458.php" TargetMode="External"/><Relationship Id="rId1145" Type="http://schemas.openxmlformats.org/officeDocument/2006/relationships/hyperlink" Target="https://www.newspapers.com/image/377094051/?terms=school%2Bshooting" TargetMode="External"/><Relationship Id="rId89" Type="http://schemas.openxmlformats.org/officeDocument/2006/relationships/hyperlink" Target="https://sanfrancisco.cbslocal.com/2021/09/03/palo-alto-man-arrested-shooting-child-school-air-rifle/" TargetMode="External"/><Relationship Id="rId154" Type="http://schemas.openxmlformats.org/officeDocument/2006/relationships/hyperlink" Target="https://chicago.cbslocal.com/2020/01/22/lindblom-high-school-shooting-robbery-swim-team-members/" TargetMode="External"/><Relationship Id="rId361" Type="http://schemas.openxmlformats.org/officeDocument/2006/relationships/hyperlink" Target="https://www.al.com/news/mobile/index.ssf/2015/01/one_shot_in_the_buttock_after.html" TargetMode="External"/><Relationship Id="rId599" Type="http://schemas.openxmlformats.org/officeDocument/2006/relationships/hyperlink" Target="https://www.columbine-angels.com/School_Violence_2005-2006.htm" TargetMode="External"/><Relationship Id="rId1005" Type="http://schemas.openxmlformats.org/officeDocument/2006/relationships/hyperlink" Target="https://www.newspapers.com/image/372294245/?terms=lemmel%2Bmiddle%2Bschool" TargetMode="External"/><Relationship Id="rId459" Type="http://schemas.openxmlformats.org/officeDocument/2006/relationships/hyperlink" Target="https://www.newspapers.com/image/362815804/?terms=central%2Bhigh%2Bschool%2Bshooting%2Bdetroit" TargetMode="External"/><Relationship Id="rId666" Type="http://schemas.openxmlformats.org/officeDocument/2006/relationships/hyperlink" Target="https://www.washingtonpost.com/archive/politics/2003/10/31/anacostia-high-student-is-fatally-shot-at-school/a36cda4b-5726-44b6-8658-07f7b3d2c499/?utm_term=.9b19cef0c21d" TargetMode="External"/><Relationship Id="rId873" Type="http://schemas.openxmlformats.org/officeDocument/2006/relationships/hyperlink" Target="https://www.newspapers.com/image/176991255/?terms=Enterprise%2BMiddle%2BSchool%2Bshot%2Bcompton" TargetMode="External"/><Relationship Id="rId1089" Type="http://schemas.openxmlformats.org/officeDocument/2006/relationships/hyperlink" Target="https://www.newspapers.com/image/117994783/?terms=school%2Bshooting" TargetMode="External"/><Relationship Id="rId16" Type="http://schemas.openxmlformats.org/officeDocument/2006/relationships/hyperlink" Target="https://www.fox44news.com/news/local-news/brazos/shots-fired-at-college-station-high-school-suspect-sought/" TargetMode="External"/><Relationship Id="rId221" Type="http://schemas.openxmlformats.org/officeDocument/2006/relationships/hyperlink" Target="https://www.woodtv.com/news/grand-rapids/shooting-outside-ottawa-hills-hs-leads-to-lockdowns/1406788527" TargetMode="External"/><Relationship Id="rId319" Type="http://schemas.openxmlformats.org/officeDocument/2006/relationships/hyperlink" Target="https://www.wcpo.com/news/local-news/hamilton-county/cincinnati/three-people-shot-after-elder-high-soccer-game" TargetMode="External"/><Relationship Id="rId526" Type="http://schemas.openxmlformats.org/officeDocument/2006/relationships/hyperlink" Target="http://www.philly.com/philly/news/20070119_dn_M_SAYR.html" TargetMode="External"/><Relationship Id="rId1156" Type="http://schemas.openxmlformats.org/officeDocument/2006/relationships/hyperlink" Target="https://www.newspapers.com/image/20769968/?terms=school%2Bshooting" TargetMode="External"/><Relationship Id="rId733" Type="http://schemas.openxmlformats.org/officeDocument/2006/relationships/hyperlink" Target="https://www.newspapers.com/image/340040843/?terms=high%2Bschool%2Bsuicide%2Bdenver" TargetMode="External"/><Relationship Id="rId940" Type="http://schemas.openxmlformats.org/officeDocument/2006/relationships/hyperlink" Target="https://www.upi.com/Archives/1987/03/03/Death-of-unsung-hero-allows-classmates-to-escape/3177541746000/" TargetMode="External"/><Relationship Id="rId1016" Type="http://schemas.openxmlformats.org/officeDocument/2006/relationships/hyperlink" Target="https://www.newspapers.com/image/279068651/?terms=teacher%2Bshot" TargetMode="External"/><Relationship Id="rId165" Type="http://schemas.openxmlformats.org/officeDocument/2006/relationships/hyperlink" Target="https://www.katc.com/news/acadia-parish/police-confirm-arrest-of-second-suspect-in-shooting-near-rayne-hs-stadium" TargetMode="External"/><Relationship Id="rId372" Type="http://schemas.openxmlformats.org/officeDocument/2006/relationships/hyperlink" Target="https://www.usatoday.com/story/news/2014/09/30/police-1-shot-at-albemarle-high-school-1-in-custody/16469203/" TargetMode="External"/><Relationship Id="rId677" Type="http://schemas.openxmlformats.org/officeDocument/2006/relationships/hyperlink" Target="https://www.newspapers.com/image/220871722/?terms=Fair%2BPark%2BHigh%2BSchool%2BSteven%2BGreen" TargetMode="External"/><Relationship Id="rId800" Type="http://schemas.openxmlformats.org/officeDocument/2006/relationships/hyperlink" Target="http://ottumwaradio.com/coffman-get-new-sentence-1994-murder-ottumwa-high-school/" TargetMode="External"/><Relationship Id="rId232" Type="http://schemas.openxmlformats.org/officeDocument/2006/relationships/hyperlink" Target="https://wreg.com/2018/07/02/man-slams-car-into-boarded-up-school-building-after-being-shot/" TargetMode="External"/><Relationship Id="rId884" Type="http://schemas.openxmlformats.org/officeDocument/2006/relationships/hyperlink" Target="https://www.columbine-angels.com/School_Violence_1990-1991.htm" TargetMode="External"/><Relationship Id="rId27" Type="http://schemas.openxmlformats.org/officeDocument/2006/relationships/hyperlink" Target="https://www.cbsnews.com/sanfrancisco/news/school-bus-in-san-francisco-hit-by-gunfire/" TargetMode="External"/><Relationship Id="rId537" Type="http://schemas.openxmlformats.org/officeDocument/2006/relationships/hyperlink" Target="http://www.witn.com/home/headlines/35382409.html" TargetMode="External"/><Relationship Id="rId744" Type="http://schemas.openxmlformats.org/officeDocument/2006/relationships/hyperlink" Target="https://www.newspapers.com/image/184629441/?terms=shooting%2BDonald%2BMcNeil" TargetMode="External"/><Relationship Id="rId951" Type="http://schemas.openxmlformats.org/officeDocument/2006/relationships/hyperlink" Target="https://www.upi.com/Archives/1986/05/09/A-17-year-old-student-opened-fire-with-a-pistol-in/5107515995200/" TargetMode="External"/><Relationship Id="rId1167" Type="http://schemas.openxmlformats.org/officeDocument/2006/relationships/hyperlink" Target="https://www.newspapers.com/image/8204825/?terms=school%2Bshooting" TargetMode="External"/><Relationship Id="rId80" Type="http://schemas.openxmlformats.org/officeDocument/2006/relationships/hyperlink" Target="https://www.postregister.com/star/news/jefferson-joint-school-dist-moving-forward-after-another-gun-incident/article_e7b6f146-3426-5c60-a8c7-4668519062a5.html" TargetMode="External"/><Relationship Id="rId176" Type="http://schemas.openxmlformats.org/officeDocument/2006/relationships/hyperlink" Target="https://fox5sandiego.com/2019/07/19/mid-city-school-locks-down-over-bb-gun-shooting/" TargetMode="External"/><Relationship Id="rId383" Type="http://schemas.openxmlformats.org/officeDocument/2006/relationships/hyperlink" Target="https://www.ajc.com/news/local/fourth-person-arrested-after-shots-fired-outside-banneker-high-school/E7iAqMZysw5q4XheUNHn9K/" TargetMode="External"/><Relationship Id="rId590" Type="http://schemas.openxmlformats.org/officeDocument/2006/relationships/hyperlink" Target="https://www.michigandaily.com/content/school-shooting-injures-student" TargetMode="External"/><Relationship Id="rId604" Type="http://schemas.openxmlformats.org/officeDocument/2006/relationships/hyperlink" Target="https://www.newspapers.com/image/219341527/" TargetMode="External"/><Relationship Id="rId811" Type="http://schemas.openxmlformats.org/officeDocument/2006/relationships/hyperlink" Target="https://www.newspapers.com/image/175645669/?terms=New%2BBritain%2BHigh%2BSchool%2Bshooting" TargetMode="External"/><Relationship Id="rId1027" Type="http://schemas.openxmlformats.org/officeDocument/2006/relationships/hyperlink" Target="https://www.newspapers.com/image/378838711/?terms=Manuel%2BArts%2BHigh%2BSchool%2Bshooting" TargetMode="External"/><Relationship Id="rId243" Type="http://schemas.openxmlformats.org/officeDocument/2006/relationships/hyperlink" Target="https://www.mlive.com/news/jackson/index.ssf/2018/04/no_arrests_made_yet_after_jack.html" TargetMode="External"/><Relationship Id="rId450" Type="http://schemas.openxmlformats.org/officeDocument/2006/relationships/hyperlink" Target="http://www.wistv.com/story/23589594/school-shootings-in-south-carolina" TargetMode="External"/><Relationship Id="rId688" Type="http://schemas.openxmlformats.org/officeDocument/2006/relationships/hyperlink" Target="https://www.myplainview.com/news/article/Scurry-Rosser-faculty-students-subdue-gunman-8787426.php" TargetMode="External"/><Relationship Id="rId895" Type="http://schemas.openxmlformats.org/officeDocument/2006/relationships/hyperlink" Target="https://www.upi.com/Archives/1990/01/16/Two-wounded-in-school-shooting-racial-tensions-blamed/1799632466000/" TargetMode="External"/><Relationship Id="rId909" Type="http://schemas.openxmlformats.org/officeDocument/2006/relationships/hyperlink" Target="https://www.newspapers.com/image/177559696/?terms=jacksonville%2Bhigh%2Bschool%2Bshooting" TargetMode="External"/><Relationship Id="rId1080" Type="http://schemas.openxmlformats.org/officeDocument/2006/relationships/hyperlink" Target="https://www.newspapers.com/image/18233056/?terms=Old%2BMain%2BEisenhower%2BHigh%2BSchool%2Bshooting" TargetMode="External"/><Relationship Id="rId38" Type="http://schemas.openxmlformats.org/officeDocument/2006/relationships/hyperlink" Target="https://www.clickondetroit.com/news/local/2022/04/13/11-year-old-shoots-fellow-student-with-bb-gun-during-recess-at-elementary-school-in-southgate/" TargetMode="External"/><Relationship Id="rId103" Type="http://schemas.openxmlformats.org/officeDocument/2006/relationships/hyperlink" Target="https://bronx.news12.com/police-suspect-arrested-for-firing-shots-during-dispute-on-grounds-of-hauppauge-middle-school" TargetMode="External"/><Relationship Id="rId310" Type="http://schemas.openxmlformats.org/officeDocument/2006/relationships/hyperlink" Target="http://www.standard.net/Police-Fire/2017/02/13/Teen-accused-of-shooting-gun-in-Mueller-Park-Jr-High-pleads-guilty" TargetMode="External"/><Relationship Id="rId548" Type="http://schemas.openxmlformats.org/officeDocument/2006/relationships/hyperlink" Target="https://www.newspapers.com/image/106551825/?terms=Oxford%2BHigh%2BSchool%2BHawkins%2Bshot" TargetMode="External"/><Relationship Id="rId755" Type="http://schemas.openxmlformats.org/officeDocument/2006/relationships/hyperlink" Target="https://www.deseretnews.com/article/679792/News-capsules.html" TargetMode="External"/><Relationship Id="rId962" Type="http://schemas.openxmlformats.org/officeDocument/2006/relationships/hyperlink" Target="https://www.newspapers.com/image/292865629/?terms=Southern%2BHills%2BJoint%2BVocational%2BHigh%2BSchool%2Bshooting" TargetMode="External"/><Relationship Id="rId91" Type="http://schemas.openxmlformats.org/officeDocument/2006/relationships/hyperlink" Target="https://www.detroitnews.com/story/news/local/oakland-county/2021/09/09/2-teens-arrested-school-parking-lot-shooting-royal-oak-twp/5781664001/" TargetMode="External"/><Relationship Id="rId187" Type="http://schemas.openxmlformats.org/officeDocument/2006/relationships/hyperlink" Target="https://www.kxro.com/montesano-police-arrest-student-after-school-shooting-statements/" TargetMode="External"/><Relationship Id="rId394" Type="http://schemas.openxmlformats.org/officeDocument/2006/relationships/hyperlink" Target="https://www.wgal.com/article/police-shot-fired-at-elementary-school-playground/6229898" TargetMode="External"/><Relationship Id="rId408" Type="http://schemas.openxmlformats.org/officeDocument/2006/relationships/hyperlink" Target="https://www.journalnow.com/news/local/update--year-old-charged-in-shooting-at-carver/article_247ee7d0-11a4-11e3-b183-001a4bcf6878.html" TargetMode="External"/><Relationship Id="rId615" Type="http://schemas.openxmlformats.org/officeDocument/2006/relationships/hyperlink" Target="https://www.newspapers.com/image/321630892/?terms=o.%2Bperry%2Bhigh%2Bschool" TargetMode="External"/><Relationship Id="rId822" Type="http://schemas.openxmlformats.org/officeDocument/2006/relationships/hyperlink" Target="https://www.newspapers.com/image/241417531/?terms=Roosevelt%2BHigh%2BSchool%2Bshooting" TargetMode="External"/><Relationship Id="rId1038" Type="http://schemas.openxmlformats.org/officeDocument/2006/relationships/hyperlink" Target="https://www.newspapers.com/image/335123478/?terms=student%2Bshoots%2Bself" TargetMode="External"/><Relationship Id="rId254" Type="http://schemas.openxmlformats.org/officeDocument/2006/relationships/hyperlink" Target="https://www.thenewstribune.com/news/local/crime/article202366859.html" TargetMode="External"/><Relationship Id="rId699" Type="http://schemas.openxmlformats.org/officeDocument/2006/relationships/hyperlink" Target="http://articles.mcall.com/2003-09-24/news/3482461_1_berks-christian-school-otto-nuss-bus-driver" TargetMode="External"/><Relationship Id="rId1091" Type="http://schemas.openxmlformats.org/officeDocument/2006/relationships/hyperlink" Target="https://www.newspapers.com/image/398982633/" TargetMode="External"/><Relationship Id="rId1105" Type="http://schemas.openxmlformats.org/officeDocument/2006/relationships/hyperlink" Target="https://www.newspapers.com/image/30473026/?terms=school%2Bshooting" TargetMode="External"/><Relationship Id="rId49" Type="http://schemas.openxmlformats.org/officeDocument/2006/relationships/hyperlink" Target="https://www.wsaz.com/2022/03/11/school-lockdown-lifted-following-robbery-shots-fired-lawrence-county-fairgrounds/" TargetMode="External"/><Relationship Id="rId114" Type="http://schemas.openxmlformats.org/officeDocument/2006/relationships/hyperlink" Target="https://chicago.cbslocal.com/2021/05/03/near-west-side-shooting-2/" TargetMode="External"/><Relationship Id="rId461" Type="http://schemas.openxmlformats.org/officeDocument/2006/relationships/hyperlink" Target="https://www.columbine-angels.com/School_Violence_2008-2009.htm" TargetMode="External"/><Relationship Id="rId559" Type="http://schemas.openxmlformats.org/officeDocument/2006/relationships/hyperlink" Target="http://articles.mcall.com/2006-05-26/news/3667295_1_students-or-teachers-district-s-zero-tolerance-senior-prom" TargetMode="External"/><Relationship Id="rId766" Type="http://schemas.openxmlformats.org/officeDocument/2006/relationships/hyperlink" Target="https://www.questia.com/newspaper/1G1-57464504/two-students-shot-1-dead-teens-attacked-near-ribault" TargetMode="External"/><Relationship Id="rId198" Type="http://schemas.openxmlformats.org/officeDocument/2006/relationships/hyperlink" Target="https://www.nbcphiladelphia.com/news/local/Stray-Bullet-Strawberry-Mansion-High-School-Lockdown-Shooting--501474831.html" TargetMode="External"/><Relationship Id="rId321" Type="http://schemas.openxmlformats.org/officeDocument/2006/relationships/hyperlink" Target="https://www.ydr.com/story/news/2016/09/09/shooting-reported-small-athletic-field-911-says/90154006/" TargetMode="External"/><Relationship Id="rId419" Type="http://schemas.openxmlformats.org/officeDocument/2006/relationships/hyperlink" Target="https://www.usatoday.com/story/news/nation/2013/03/21/michigan-student-13-commits-suicide/2006643/" TargetMode="External"/><Relationship Id="rId626" Type="http://schemas.openxmlformats.org/officeDocument/2006/relationships/hyperlink" Target="https://www.columbine-angels.com/School_Violence_2004-2005.htm" TargetMode="External"/><Relationship Id="rId973" Type="http://schemas.openxmlformats.org/officeDocument/2006/relationships/hyperlink" Target="https://www.newspapers.com/image/190761964/?terms=teacher%2Bshot" TargetMode="External"/><Relationship Id="rId1049" Type="http://schemas.openxmlformats.org/officeDocument/2006/relationships/hyperlink" Target="https://www.newspapers.com/image/307812073/?terms=school%2Bshooting" TargetMode="External"/><Relationship Id="rId833" Type="http://schemas.openxmlformats.org/officeDocument/2006/relationships/hyperlink" Target="https://www.highbeam.com/doc/1P2-8216829.html" TargetMode="External"/><Relationship Id="rId1116" Type="http://schemas.openxmlformats.org/officeDocument/2006/relationships/hyperlink" Target="https://www.newspapers.com/image/186814707/?terms=school%2Bshooting" TargetMode="External"/><Relationship Id="rId265" Type="http://schemas.openxmlformats.org/officeDocument/2006/relationships/hyperlink" Target="http://www.tucsonnewsnow.com/story/37226015/school-shooting-cochise-county-coronado-elementary-lockdown-suicide-sierra-vista" TargetMode="External"/><Relationship Id="rId472" Type="http://schemas.openxmlformats.org/officeDocument/2006/relationships/hyperlink" Target="https://www.columbine-angels.com/School_Violence_2008-2009.htm" TargetMode="External"/><Relationship Id="rId900" Type="http://schemas.openxmlformats.org/officeDocument/2006/relationships/hyperlink" Target="http://articles.latimes.com/1990-06-15/local/me-106_1_rival-gang-member" TargetMode="External"/><Relationship Id="rId125" Type="http://schemas.openxmlformats.org/officeDocument/2006/relationships/hyperlink" Target="https://www.mywabashvalley.com/top-news/thpd-shots-fired-at-terre-haute-high-school-no-injuries/" TargetMode="External"/><Relationship Id="rId332" Type="http://schemas.openxmlformats.org/officeDocument/2006/relationships/hyperlink" Target="https://www.nbcwashington.com/news/local/Shooting-High-Point-High-School-378322341.html" TargetMode="External"/><Relationship Id="rId777" Type="http://schemas.openxmlformats.org/officeDocument/2006/relationships/hyperlink" Target="http://www.psychceu.com/school_violence/savd.pdf" TargetMode="External"/><Relationship Id="rId984" Type="http://schemas.openxmlformats.org/officeDocument/2006/relationships/hyperlink" Target="https://www.newspapers.com/image/216585063/?terms=student%2Bshot" TargetMode="External"/><Relationship Id="rId637" Type="http://schemas.openxmlformats.org/officeDocument/2006/relationships/hyperlink" Target="https://www.upi.com/Distraught-teen-kills-himself-at-school/59631097364281/" TargetMode="External"/><Relationship Id="rId844" Type="http://schemas.openxmlformats.org/officeDocument/2006/relationships/hyperlink" Target="https://www.newspapers.com/image/389807433/" TargetMode="External"/><Relationship Id="rId276" Type="http://schemas.openxmlformats.org/officeDocument/2006/relationships/hyperlink" Target="https://www.denverpost.com/2017/11/23/shooting-near-manual-high-school-denver/" TargetMode="External"/><Relationship Id="rId483" Type="http://schemas.openxmlformats.org/officeDocument/2006/relationships/hyperlink" Target="http://www.wsfa.com/story/9234390/wsfa-12-news-update-suspect-charged-with-attempted-murder-in-prattville-shooting" TargetMode="External"/><Relationship Id="rId690" Type="http://schemas.openxmlformats.org/officeDocument/2006/relationships/hyperlink" Target="https://www.semissourian.com/story/152973.html" TargetMode="External"/><Relationship Id="rId704" Type="http://schemas.openxmlformats.org/officeDocument/2006/relationships/hyperlink" Target="http://articles.latimes.com/2001/oct/27/local/me-62198" TargetMode="External"/><Relationship Id="rId911" Type="http://schemas.openxmlformats.org/officeDocument/2006/relationships/hyperlink" Target="https://www.newspapers.com/image/378123968/?terms=anita%2Bmoore" TargetMode="External"/><Relationship Id="rId1127" Type="http://schemas.openxmlformats.org/officeDocument/2006/relationships/hyperlink" Target="https://www.newspapers.com/image/208385082/?terms=boy+who+shot+students+may+have+stopped+riots" TargetMode="External"/><Relationship Id="rId40" Type="http://schemas.openxmlformats.org/officeDocument/2006/relationships/hyperlink" Target="https://www.koin.com/news/crime/portland-police-investigate-shooting-near-roosevelt-high-school/" TargetMode="External"/><Relationship Id="rId136" Type="http://schemas.openxmlformats.org/officeDocument/2006/relationships/hyperlink" Target="https://www.wkyt.com/2020/09/19/one-shot-near-lexington-school/" TargetMode="External"/><Relationship Id="rId343" Type="http://schemas.openxmlformats.org/officeDocument/2006/relationships/hyperlink" Target="https://www.kait8.com/story/30492261/gun-goes-off-in-school-parking-lot-hitting-junior-high-student/" TargetMode="External"/><Relationship Id="rId550" Type="http://schemas.openxmlformats.org/officeDocument/2006/relationships/hyperlink" Target="http://www.14news.com/story/5306020/funeral-set-for-castle-suicide-victim?clienttype=printable&amp;redirected=true" TargetMode="External"/><Relationship Id="rId788" Type="http://schemas.openxmlformats.org/officeDocument/2006/relationships/hyperlink" Target="http://www.columbine-angels.com/School_Violence_1995-1996.htm" TargetMode="External"/><Relationship Id="rId995" Type="http://schemas.openxmlformats.org/officeDocument/2006/relationships/hyperlink" Target="https://www.newspapers.com/image/381958766/?terms=student%2Bshot" TargetMode="External"/><Relationship Id="rId203" Type="http://schemas.openxmlformats.org/officeDocument/2006/relationships/hyperlink" Target="https://www.mdjonline.com/news/gun-fired-in-garrett-middle-school-bathroom-students-charged/article_3efeedb6-e481-11e8-b800-e38d6827d46f.html" TargetMode="External"/><Relationship Id="rId648" Type="http://schemas.openxmlformats.org/officeDocument/2006/relationships/hyperlink" Target="https://www.chron.com/news/houston-texas/article/Gunfire-but-no-injuries-at-Kashmere-High-School-1651100.php" TargetMode="External"/><Relationship Id="rId855" Type="http://schemas.openxmlformats.org/officeDocument/2006/relationships/hyperlink" Target="http://sacramento.cbslocal.com/2012/08/02/state-supreme-court-upholds-death-penalty-for-houston-in-lindhurst-high-rampage/" TargetMode="External"/><Relationship Id="rId1040" Type="http://schemas.openxmlformats.org/officeDocument/2006/relationships/hyperlink" Target="https://www.newspapers.com/image/377692610/?terms=Frederick%2BDouglass%2BSenior%2BHigh%2BSchool%2Bshooting" TargetMode="External"/><Relationship Id="rId287" Type="http://schemas.openxmlformats.org/officeDocument/2006/relationships/hyperlink" Target="http://abc7.com/5-injured-in-bb-gun-shooting-at-sun-valley-high-school/2469755/" TargetMode="External"/><Relationship Id="rId410" Type="http://schemas.openxmlformats.org/officeDocument/2006/relationships/hyperlink" Target="http://www.wmcactionnews5.com/story/23229636/5-year-old-fires-gun-in-school-cafeteria" TargetMode="External"/><Relationship Id="rId494" Type="http://schemas.openxmlformats.org/officeDocument/2006/relationships/hyperlink" Target="http://www.uticaod.com/article/20071127/news/311279895" TargetMode="External"/><Relationship Id="rId508" Type="http://schemas.openxmlformats.org/officeDocument/2006/relationships/hyperlink" Target="https://www.columbine-angels.com/School_Violence_2006-2007.htm" TargetMode="External"/><Relationship Id="rId715" Type="http://schemas.openxmlformats.org/officeDocument/2006/relationships/hyperlink" Target="https://www.washingtontimes.com/news/2001/mar/8/20010308-021529-7742r/" TargetMode="External"/><Relationship Id="rId922" Type="http://schemas.openxmlformats.org/officeDocument/2006/relationships/hyperlink" Target="https://www.newspapers.com/image/99777421/?terms=lessenger" TargetMode="External"/><Relationship Id="rId1138" Type="http://schemas.openxmlformats.org/officeDocument/2006/relationships/hyperlink" Target="https://www.newspapers.com/image/377397441/?terms=school%2Bshooting" TargetMode="External"/><Relationship Id="rId147" Type="http://schemas.openxmlformats.org/officeDocument/2006/relationships/hyperlink" Target="https://abc11.com/nc-man-shoots-at-couple-after-mistaking-them-for-russian-mafia-/6196277/" TargetMode="External"/><Relationship Id="rId354" Type="http://schemas.openxmlformats.org/officeDocument/2006/relationships/hyperlink" Target="https://smnewsnet.com/archives/283458/man-shot-behind-school/" TargetMode="External"/><Relationship Id="rId799" Type="http://schemas.openxmlformats.org/officeDocument/2006/relationships/hyperlink" Target="https://www.newspapers.com/image/159244311/?terms=Hollywood%2BHigh%2BSchool%2Bshooting" TargetMode="External"/><Relationship Id="rId51" Type="http://schemas.openxmlformats.org/officeDocument/2006/relationships/hyperlink" Target="https://kdvr.com/news/local/student-brings-pellet-type-gun-to-rock-canyon-hs/" TargetMode="External"/><Relationship Id="rId561" Type="http://schemas.openxmlformats.org/officeDocument/2006/relationships/hyperlink" Target="http://articles.sun-sentinel.com/2006-05-07/news/0605060367_1_charter-school-parking-lot-office-bill-robertson" TargetMode="External"/><Relationship Id="rId659" Type="http://schemas.openxmlformats.org/officeDocument/2006/relationships/hyperlink" Target="https://www.news4jax.com/news/two-brothers-arrested-for-school-lot-shooting" TargetMode="External"/><Relationship Id="rId866" Type="http://schemas.openxmlformats.org/officeDocument/2006/relationships/hyperlink" Target="https://www.newspapers.com/image/300231582/?terms=Genevieve%2BSparks%2BElementary%2BSchool" TargetMode="External"/><Relationship Id="rId214" Type="http://schemas.openxmlformats.org/officeDocument/2006/relationships/hyperlink" Target="https://www.wsav.com/news/local-news/update-student-found-shot-at-appling-co-hs-declared-dead-coroner-says/" TargetMode="External"/><Relationship Id="rId298" Type="http://schemas.openxmlformats.org/officeDocument/2006/relationships/hyperlink" Target="https://www.fox23.com/news/tulsa-police-respond-to-reports-of-shots-fired-at-mcclain-high-school/436311154" TargetMode="External"/><Relationship Id="rId421" Type="http://schemas.openxmlformats.org/officeDocument/2006/relationships/hyperlink" Target="https://patch.com/california/sanleandro/man-sentenced-to-prison-for-fatal-2013-shooting-at-hillside-elementary" TargetMode="External"/><Relationship Id="rId519" Type="http://schemas.openxmlformats.org/officeDocument/2006/relationships/hyperlink" Target="https://www.columbine-angels.com/School_Violence_2006-2007.htm" TargetMode="External"/><Relationship Id="rId1051" Type="http://schemas.openxmlformats.org/officeDocument/2006/relationships/hyperlink" Target="https://www.newspapers.com/image/407944749/?terms=school%2Bshooting" TargetMode="External"/><Relationship Id="rId1149" Type="http://schemas.openxmlformats.org/officeDocument/2006/relationships/hyperlink" Target="https://www.newspapers.com/image/9122502/?terms=school%2Bshooting" TargetMode="External"/><Relationship Id="rId158" Type="http://schemas.openxmlformats.org/officeDocument/2006/relationships/hyperlink" Target="https://www.kshb.com/news/local-news/no-injuries-reported-after-school-bus-struck-by-gunfire-near-j-c-harmon-high-school" TargetMode="External"/><Relationship Id="rId726" Type="http://schemas.openxmlformats.org/officeDocument/2006/relationships/hyperlink" Target="http://tucsoncitizen.com/morgue2/2000/10/25/84611-teen-holds-class-teacher-hostage-at-his-former-glendale-school/" TargetMode="External"/><Relationship Id="rId933" Type="http://schemas.openxmlformats.org/officeDocument/2006/relationships/hyperlink" Target="https://www.newspapers.com/image/196275731/?terms=SOUTHWOOD%2BELEMENTARY%2BSCHOOL%2BSHOOTING" TargetMode="External"/><Relationship Id="rId1009" Type="http://schemas.openxmlformats.org/officeDocument/2006/relationships/hyperlink" Target="https://www.newspapers.com/image/365939621/?terms=Lake%2BBraddock%2BSecondary%2BSchool%2Bshooting" TargetMode="External"/><Relationship Id="rId62" Type="http://schemas.openxmlformats.org/officeDocument/2006/relationships/hyperlink" Target="https://www.wbtv.com/2021/12/09/shots-hit-cars-high-school-parking-lot-rowan-county-prompting-lockdown/" TargetMode="External"/><Relationship Id="rId365" Type="http://schemas.openxmlformats.org/officeDocument/2006/relationships/hyperlink" Target="https://www.centralmaine.com/2014/12/18/man-who-shot-himself-at-school-was-suspected-in-waterville-rape-police-say/" TargetMode="External"/><Relationship Id="rId572" Type="http://schemas.openxmlformats.org/officeDocument/2006/relationships/hyperlink" Target="https://www.statesman.com/news/state--regional/santa-school-shooting-the-deadliest-texas-since-tower-shooting/pdX1aBkUi4kR3NUVqxdbJP/" TargetMode="External"/><Relationship Id="rId225" Type="http://schemas.openxmlformats.org/officeDocument/2006/relationships/hyperlink" Target="https://www.montgomeryadvertiser.com/story/sports/high-school/football/2018/08/23/shooting-outside-asu-stadium-brings-halt-g-w-carver-jeff-davis-game/1081209002/" TargetMode="External"/><Relationship Id="rId432" Type="http://schemas.openxmlformats.org/officeDocument/2006/relationships/hyperlink" Target="https://www.abc6.com/story/18962837/pawtucket-police-investigate-shooting-behind-fire-station" TargetMode="External"/><Relationship Id="rId877" Type="http://schemas.openxmlformats.org/officeDocument/2006/relationships/hyperlink" Target="https://www.newspapers.com/image/289233212/?terms=Franklin%2BAlternative%2BMiddle%2BSchool%2Bshooting" TargetMode="External"/><Relationship Id="rId1062" Type="http://schemas.openxmlformats.org/officeDocument/2006/relationships/hyperlink" Target="https://www.newspapers.com/image/295196725/" TargetMode="External"/><Relationship Id="rId737" Type="http://schemas.openxmlformats.org/officeDocument/2006/relationships/hyperlink" Target="http://articles.chicagotribune.com/2000-03-30/news/0003300274_1_metal-detectors-elementary-schools-west-side-school" TargetMode="External"/><Relationship Id="rId944" Type="http://schemas.openxmlformats.org/officeDocument/2006/relationships/hyperlink" Target="https://www.nytimes.com/1986/12/06/us/failing-grade-is-linked-to-shooting-of-teacher.html" TargetMode="External"/><Relationship Id="rId73" Type="http://schemas.openxmlformats.org/officeDocument/2006/relationships/hyperlink" Target="https://blockclubchicago.org/2021/10/26/shots-fired-during-fight-outside-west-town-school/" TargetMode="External"/><Relationship Id="rId169" Type="http://schemas.openxmlformats.org/officeDocument/2006/relationships/hyperlink" Target="https://www.wmar2news.com/news/crime-checker/baltimore-city-crime/triple-shooting-near-elementary-school-leaves-one-man-dead-on-monday" TargetMode="External"/><Relationship Id="rId376" Type="http://schemas.openxmlformats.org/officeDocument/2006/relationships/hyperlink" Target="https://www.local10.com/news/florida/miami-dade/5-in-custody-after-shooting-outside-northwest-miami-dade-county-school" TargetMode="External"/><Relationship Id="rId583" Type="http://schemas.openxmlformats.org/officeDocument/2006/relationships/hyperlink" Target="https://www.nytimes.com/2006/01/05/nyregion/gangs-tied-to-violence-near-jersey-city-school.html" TargetMode="External"/><Relationship Id="rId790" Type="http://schemas.openxmlformats.org/officeDocument/2006/relationships/hyperlink" Target="https://www.presstelegram.com/2015/10/16/javiers-dream-of-helping-people-lives-on-rich-archbold/" TargetMode="External"/><Relationship Id="rId804" Type="http://schemas.openxmlformats.org/officeDocument/2006/relationships/hyperlink" Target="http://www.wistv.com/story/23589594/school-shootings-in-south-carolina" TargetMode="External"/><Relationship Id="rId4" Type="http://schemas.openxmlformats.org/officeDocument/2006/relationships/hyperlink" Target="https://www.fox29.com/news/police-3-people-hospitalized-after-being-shot-on-elementary-school-playground-in-kensington" TargetMode="External"/><Relationship Id="rId236" Type="http://schemas.openxmlformats.org/officeDocument/2006/relationships/hyperlink" Target="https://www.whio.com/news/local/report-shot-possibly-fired-during-altercation-basketball-court-beavercreek-school/pik2z70Vnp3YXYCS9M5YKN/" TargetMode="External"/><Relationship Id="rId443" Type="http://schemas.openxmlformats.org/officeDocument/2006/relationships/hyperlink" Target="https://sacramento.cbslocal.com/2012/04/24/verdict-reached-in-placerville-principal-slaying/" TargetMode="External"/><Relationship Id="rId650" Type="http://schemas.openxmlformats.org/officeDocument/2006/relationships/hyperlink" Target="https://www.newspapers.com/image/192854243/?terms=Los%2BAngeles%2Bhigh%2Bschool%2Bshooting" TargetMode="External"/><Relationship Id="rId888" Type="http://schemas.openxmlformats.org/officeDocument/2006/relationships/hyperlink" Target="https://lasvegassun.com/news/1998/jun/20/memories-linger-for-victims-mother/" TargetMode="External"/><Relationship Id="rId1073" Type="http://schemas.openxmlformats.org/officeDocument/2006/relationships/hyperlink" Target="https://www.newspapers.com/image/124954684/?terms=school%2Bshooting" TargetMode="External"/><Relationship Id="rId303" Type="http://schemas.openxmlformats.org/officeDocument/2006/relationships/hyperlink" Target="https://www.tulsaworld.com/homepagelatest/man-shot-in-chest-at-booker-t-washington-high-school/article_f6b588e9-926b-5c04-a9c5-aee4dc5c7ee8.html" TargetMode="External"/><Relationship Id="rId748" Type="http://schemas.openxmlformats.org/officeDocument/2006/relationships/hyperlink" Target="https://www.newspapers.com/image/327236803/?terms=Lauren%2BKlingensmith" TargetMode="External"/><Relationship Id="rId955" Type="http://schemas.openxmlformats.org/officeDocument/2006/relationships/hyperlink" Target="https://www.newspapers.com/image/216501029/?terms=Boyet%2BJunior%2BHigh%2BSchool%2Bshooting" TargetMode="External"/><Relationship Id="rId1140" Type="http://schemas.openxmlformats.org/officeDocument/2006/relationships/hyperlink" Target="https://www.newspapers.com/image/377430624/?terms=husband%2Bkills%2Bteacher" TargetMode="External"/><Relationship Id="rId84" Type="http://schemas.openxmlformats.org/officeDocument/2006/relationships/hyperlink" Target="https://decaturish.com/2021/09/argument-outside-toomer-elementary-leads-to-shots-fired-temporary-lockdown/" TargetMode="External"/><Relationship Id="rId387" Type="http://schemas.openxmlformats.org/officeDocument/2006/relationships/hyperlink" Target="http://www.wbtv.com/story/24683911/student-shot-at-salisbury-high-school" TargetMode="External"/><Relationship Id="rId510" Type="http://schemas.openxmlformats.org/officeDocument/2006/relationships/hyperlink" Target="https://www.newspapers.com/image/411133269/?terms=school%2Bbus%2B313" TargetMode="External"/><Relationship Id="rId594" Type="http://schemas.openxmlformats.org/officeDocument/2006/relationships/hyperlink" Target="https://www.newspapers.com/image/442838812/?terms=SAGINAW%2BDRIVE-BY%2BSHOOTING" TargetMode="External"/><Relationship Id="rId608" Type="http://schemas.openxmlformats.org/officeDocument/2006/relationships/hyperlink" Target="http://www.freerepublic.com/focus/news/1404328/posts" TargetMode="External"/><Relationship Id="rId815" Type="http://schemas.openxmlformats.org/officeDocument/2006/relationships/hyperlink" Target="https://www.newspapers.com/image/179150239/?terms=Richard%2BJefferson%2BMitchell" TargetMode="External"/><Relationship Id="rId247" Type="http://schemas.openxmlformats.org/officeDocument/2006/relationships/hyperlink" Target="https://www.clarionledger.com/story/news/local/2018/05/31/school-shooting-suspect-detained-trial-authorities-advise-educators/628988002/" TargetMode="External"/><Relationship Id="rId899" Type="http://schemas.openxmlformats.org/officeDocument/2006/relationships/hyperlink" Target="https://www.newspapers.com/image/228504621/?terms=student%2Bshot" TargetMode="External"/><Relationship Id="rId1000" Type="http://schemas.openxmlformats.org/officeDocument/2006/relationships/hyperlink" Target="https://www.newspapers.com/image/139911306/?terms=student%2Bshot" TargetMode="External"/><Relationship Id="rId1084" Type="http://schemas.openxmlformats.org/officeDocument/2006/relationships/hyperlink" Target="https://www.newspapers.com/image/12568764/?terms=school%2Bshooting" TargetMode="External"/><Relationship Id="rId107" Type="http://schemas.openxmlformats.org/officeDocument/2006/relationships/hyperlink" Target="https://www.pe.com/2021/08/12/early-morning-gunshot-locks-down-san-jacintos-north-mountain-middle-school/" TargetMode="External"/><Relationship Id="rId454" Type="http://schemas.openxmlformats.org/officeDocument/2006/relationships/hyperlink" Target="https://abc13.com/archive/6704811/" TargetMode="External"/><Relationship Id="rId661" Type="http://schemas.openxmlformats.org/officeDocument/2006/relationships/hyperlink" Target="http://articles.baltimoresun.com/2003-12-18/news/0312180341_1_two-middle-schools-school-officials-mill-high" TargetMode="External"/><Relationship Id="rId759" Type="http://schemas.openxmlformats.org/officeDocument/2006/relationships/hyperlink" Target="https://www.cbsnews.com/news/2-teens-shot-at-georgia-school/" TargetMode="External"/><Relationship Id="rId966" Type="http://schemas.openxmlformats.org/officeDocument/2006/relationships/hyperlink" Target="https://www.newspapers.com/image/310187745/?terms=Wheatley%2BHigh%2BSchool%2Bshooting" TargetMode="External"/><Relationship Id="rId11" Type="http://schemas.openxmlformats.org/officeDocument/2006/relationships/hyperlink" Target="https://www.nbcboston.com/news/local/shooting-breaks-out-during-basketball-game-in-lynn-mass/2801412/" TargetMode="External"/><Relationship Id="rId314" Type="http://schemas.openxmlformats.org/officeDocument/2006/relationships/hyperlink" Target="https://www.sfgate.com/crime/article/Two-arrested-in-SF-school-shooting-that-injured-4-10005290.php" TargetMode="External"/><Relationship Id="rId398" Type="http://schemas.openxmlformats.org/officeDocument/2006/relationships/hyperlink" Target="https://kmph.com/archive/fresno-police-arrest-four-teens-related-to-edison-high-school-shooting" TargetMode="External"/><Relationship Id="rId521" Type="http://schemas.openxmlformats.org/officeDocument/2006/relationships/hyperlink" Target="https://www.columbine-angels.com/School_Violence_2006-2007.htm" TargetMode="External"/><Relationship Id="rId619" Type="http://schemas.openxmlformats.org/officeDocument/2006/relationships/hyperlink" Target="https://www.columbine-angels.com/School_Violence_2004-2005.htm" TargetMode="External"/><Relationship Id="rId1151" Type="http://schemas.openxmlformats.org/officeDocument/2006/relationships/hyperlink" Target="https://www.newspapers.com/image/255572230/?terms=school%2Bshooting" TargetMode="External"/><Relationship Id="rId95" Type="http://schemas.openxmlformats.org/officeDocument/2006/relationships/hyperlink" Target="https://www.ajc.com/news/breaking-3-henry-schools-on-lockdown-due-to-suspicious-person/J6LSPTV7XVALNDGZOJVBSZJK2E/" TargetMode="External"/><Relationship Id="rId160" Type="http://schemas.openxmlformats.org/officeDocument/2006/relationships/hyperlink" Target="https://abc7chicago.com/1-shot-outside-school-in-austin/5717900/" TargetMode="External"/><Relationship Id="rId826" Type="http://schemas.openxmlformats.org/officeDocument/2006/relationships/hyperlink" Target="https://www.nytimes.com/1993/08/03/nyregion/student-shot-during-class-in-bronx-high-school.html" TargetMode="External"/><Relationship Id="rId1011" Type="http://schemas.openxmlformats.org/officeDocument/2006/relationships/hyperlink" Target="https://www.newspapers.com/image/399546733/?terms=student%2Bshot&amp;match=3" TargetMode="External"/><Relationship Id="rId1109" Type="http://schemas.openxmlformats.org/officeDocument/2006/relationships/hyperlink" Target="https://www.newspapers.com/image/63455706/?terms=school%2Bshooting" TargetMode="External"/><Relationship Id="rId258" Type="http://schemas.openxmlformats.org/officeDocument/2006/relationships/hyperlink" Target="https://www.twincities.com/2018/02/05/maplewood-police-officers-gun-fires-at-school-no-injuries-reported/" TargetMode="External"/><Relationship Id="rId465" Type="http://schemas.openxmlformats.org/officeDocument/2006/relationships/hyperlink" Target="https://www.columbine-angels.com/School_Violence_2008-2009.htm" TargetMode="External"/><Relationship Id="rId672" Type="http://schemas.openxmlformats.org/officeDocument/2006/relationships/hyperlink" Target="http://archive.boston.com/news/local/articles/2003/09/18/teen_shot_near_charlestown_high/" TargetMode="External"/><Relationship Id="rId1095" Type="http://schemas.openxmlformats.org/officeDocument/2006/relationships/hyperlink" Target="https://www.newspapers.com/image/140698558/?terms=school%2Bshooting" TargetMode="External"/><Relationship Id="rId22" Type="http://schemas.openxmlformats.org/officeDocument/2006/relationships/hyperlink" Target="https://www.chicagocatholic.com/chicagoland/-/article/2022/06/01/five-windows-at-st-margaret-of-scotland-school-shot-out" TargetMode="External"/><Relationship Id="rId118" Type="http://schemas.openxmlformats.org/officeDocument/2006/relationships/hyperlink" Target="https://www.newson6.com/story/600ba2d50247a70bc6e22b8a/parent-accidentally-shoots-themself-while-picking-up-student-at-grove-lower-elementary" TargetMode="External"/><Relationship Id="rId325" Type="http://schemas.openxmlformats.org/officeDocument/2006/relationships/hyperlink" Target="https://hanfordsentinel.com/news/local/crime/police-woman-shot-at-hanford-junior-high-school/article_e202ea04-65e0-5150-ad82-cea69301fb51.html" TargetMode="External"/><Relationship Id="rId532" Type="http://schemas.openxmlformats.org/officeDocument/2006/relationships/hyperlink" Target="https://triblive.com/x/pittsburghtrib/news/regional/s_484514.html" TargetMode="External"/><Relationship Id="rId977" Type="http://schemas.openxmlformats.org/officeDocument/2006/relationships/hyperlink" Target="https://www.newspapers.com/image/217311653/?terms=student%2Bshot" TargetMode="External"/><Relationship Id="rId1162" Type="http://schemas.openxmlformats.org/officeDocument/2006/relationships/hyperlink" Target="https://www.newspapers.com/image/338873635/?terms=school%2Bshooting" TargetMode="External"/><Relationship Id="rId171" Type="http://schemas.openxmlformats.org/officeDocument/2006/relationships/hyperlink" Target="https://www.wnct.com/news/2-arrested-in-connection-to-a-shooting-at-a-kinston-football-game/" TargetMode="External"/><Relationship Id="rId837" Type="http://schemas.openxmlformats.org/officeDocument/2006/relationships/hyperlink" Target="https://www.newspapers.com/image/752371201/?terms=shot%20at%20school&amp;match=1" TargetMode="External"/><Relationship Id="rId1022" Type="http://schemas.openxmlformats.org/officeDocument/2006/relationships/hyperlink" Target="https://www.newspapers.com/image/174012189/?terms=William%2BLongstreth%2BElementary%2BSchool%2Bshooting" TargetMode="External"/><Relationship Id="rId269" Type="http://schemas.openxmlformats.org/officeDocument/2006/relationships/hyperlink" Target="https://www.dailynews.com/2017/12/28/man-arguing-with-girlfriend-in-lancaster-school-parking-lot-is-shot-by-another-man/" TargetMode="External"/><Relationship Id="rId476" Type="http://schemas.openxmlformats.org/officeDocument/2006/relationships/hyperlink" Target="https://www.deseretnews.com/article/865556503/High-court-No-immunity-in-case-of-15-year-old-killed-by-prop-gun-used-in-school-play.html" TargetMode="External"/><Relationship Id="rId683" Type="http://schemas.openxmlformats.org/officeDocument/2006/relationships/hyperlink" Target="https://trib.com/news/state-and-regional/shots-fired-outside-colorado-high-school/article_6fc1cc83-9e5a-5600-ba1a-d3044ce97ab7.html" TargetMode="External"/><Relationship Id="rId890" Type="http://schemas.openxmlformats.org/officeDocument/2006/relationships/hyperlink" Target="https://news.google.com/newspapers?nid=1310&amp;dat=19900521&amp;id=wcJWAAAAIBAJ&amp;sjid=0eoDAAAAIBAJ&amp;pg=6655,5338612," TargetMode="External"/><Relationship Id="rId904" Type="http://schemas.openxmlformats.org/officeDocument/2006/relationships/hyperlink" Target="https://www.newspapers.com/image/121870781/?terms=student%2Bshot" TargetMode="External"/><Relationship Id="rId33" Type="http://schemas.openxmlformats.org/officeDocument/2006/relationships/hyperlink" Target="https://www.wndu.com/2022/04/27/investigation-underway-after-student-shoots-school-bus-window-with-bb-gun/" TargetMode="External"/><Relationship Id="rId129"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336" Type="http://schemas.openxmlformats.org/officeDocument/2006/relationships/hyperlink" Target="https://www.wfla.com/news/local-news/loaded-gun-discharges-at-citrus-co-elementary-school/1051971907" TargetMode="External"/><Relationship Id="rId543" Type="http://schemas.openxmlformats.org/officeDocument/2006/relationships/hyperlink" Target="https://www.newspapers.com/image/166180631/?terms=POMONA%2BMIDDLE%2BSCHOOL" TargetMode="External"/><Relationship Id="rId988" Type="http://schemas.openxmlformats.org/officeDocument/2006/relationships/hyperlink" Target="https://www.newspapers.com/image/178928817/?terms=student%2Bshot" TargetMode="External"/><Relationship Id="rId1173" Type="http://schemas.openxmlformats.org/officeDocument/2006/relationships/hyperlink" Target="https://www.newspapers.com/image/156467116/?terms=school%2Bshooting" TargetMode="External"/><Relationship Id="rId182" Type="http://schemas.openxmlformats.org/officeDocument/2006/relationships/hyperlink" Target="https://chicago.suntimes.com/crime/2019/6/6/18656020/genevieve-melody-school-court-shooting" TargetMode="External"/><Relationship Id="rId403" Type="http://schemas.openxmlformats.org/officeDocument/2006/relationships/hyperlink" Target="http://www.foxnews.com/world/2013/10/17/texas-student-kills-himself-in-front-high-school-classmates.html" TargetMode="External"/><Relationship Id="rId750" Type="http://schemas.openxmlformats.org/officeDocument/2006/relationships/hyperlink" Target="https://www.cbsnews.com/news/ga-teen-found-dead-in-truck/" TargetMode="External"/><Relationship Id="rId848" Type="http://schemas.openxmlformats.org/officeDocument/2006/relationships/hyperlink" Target="https://www.newspapers.com/image/389728711/?terms=Willie%2BClayborn" TargetMode="External"/><Relationship Id="rId1033" Type="http://schemas.openxmlformats.org/officeDocument/2006/relationships/hyperlink" Target="https://www.newspapers.com/image/242933436/?terms=student%2Bshot" TargetMode="External"/><Relationship Id="rId487" Type="http://schemas.openxmlformats.org/officeDocument/2006/relationships/hyperlink" Target="https://www.mcclatchydc.com/news/nation-world/national/article24600571.html" TargetMode="External"/><Relationship Id="rId610" Type="http://schemas.openxmlformats.org/officeDocument/2006/relationships/hyperlink" Target="https://www.lobservateur.com/2005/05/02/godchaux-student-fires-handgun-in-class/" TargetMode="External"/><Relationship Id="rId694" Type="http://schemas.openxmlformats.org/officeDocument/2006/relationships/hyperlink" Target="https://www.newspapers.com/image/229238117/?terms=Toran%2BJoseph%2BRichard%2BAntoine%2Bschool%2Bdance" TargetMode="External"/><Relationship Id="rId708" Type="http://schemas.openxmlformats.org/officeDocument/2006/relationships/hyperlink" Target="http://www.ladowntownnews.com/news/lockdown-at-belmont-high/article_cc919569-fc0c-5517-be27-6e7adfd7e46a.html" TargetMode="External"/><Relationship Id="rId915" Type="http://schemas.openxmlformats.org/officeDocument/2006/relationships/hyperlink" Target="https://www.newspapers.com/image/69768900/?terms=Dennis%2BRay%2BHepler" TargetMode="External"/><Relationship Id="rId347" Type="http://schemas.openxmlformats.org/officeDocument/2006/relationships/hyperlink" Target="https://www.statesmanjournal.com/story/news/2015/09/04/man-arrested-after-shots-fired-near-newberg-high-school/71699392/" TargetMode="External"/><Relationship Id="rId999" Type="http://schemas.openxmlformats.org/officeDocument/2006/relationships/hyperlink" Target="https://www.nytimes.com/1983/05/17/nyregion/hostages-at-li-school-are-freed-and-gunman-then-kills-himself.html" TargetMode="External"/><Relationship Id="rId1100" Type="http://schemas.openxmlformats.org/officeDocument/2006/relationships/hyperlink" Target="https://www.newspapers.com/image/246204936/?terms=school%2Bshooting" TargetMode="External"/><Relationship Id="rId44" Type="http://schemas.openxmlformats.org/officeDocument/2006/relationships/hyperlink" Target="https://www.chicagotribune.com/news/breaking/ct-barrington-high-school-pellet-guns-shot-at-lgbtq-students-20220318-ans632prmngx3fxixmgzaq3vbu-story.html" TargetMode="External"/><Relationship Id="rId554" Type="http://schemas.openxmlformats.org/officeDocument/2006/relationships/hyperlink" Target="https://www.newspapers.com/image/379718672/?terms=J.%2BT.%2BAlton%2BMiddle%2BSchool%2Bbullet%2Bceiling" TargetMode="External"/><Relationship Id="rId761" Type="http://schemas.openxmlformats.org/officeDocument/2006/relationships/hyperlink" Target="http://articles.sun-sentinel.com/1998-09-30/news/9809300032_1_school-cafeteria-school-officials-high-school" TargetMode="External"/><Relationship Id="rId859" Type="http://schemas.openxmlformats.org/officeDocument/2006/relationships/hyperlink" Target="http://articles.dailypress.com/1992-02-08/news/9202080051_1_place-on-school-property-critical-condition-school-officials" TargetMode="External"/><Relationship Id="rId193" Type="http://schemas.openxmlformats.org/officeDocument/2006/relationships/hyperlink" Target="https://www.wral.com/durham-school-bus-hit-by-stray-bullet/18133535/" TargetMode="External"/><Relationship Id="rId207" Type="http://schemas.openxmlformats.org/officeDocument/2006/relationships/hyperlink" Target="https://www.wmur.com/amp/article/manchester-after-school-volunteer-shot-by-pellet-gun-at-elementary-school/24089076" TargetMode="External"/><Relationship Id="rId414" Type="http://schemas.openxmlformats.org/officeDocument/2006/relationships/hyperlink" Target="https://www.nbcmiami.com/news/local/Redland-Middle-School-Student-Injured-After-Bullet-Thrown-on-Floor-Exploded-Official-208862711.html" TargetMode="External"/><Relationship Id="rId498" Type="http://schemas.openxmlformats.org/officeDocument/2006/relationships/hyperlink" Target="https://www.newspapers.com/image/126118804/?terms=SS%3E%2BSImon%2Band%2BJude%2BCatholic%2Bschool" TargetMode="External"/><Relationship Id="rId621" Type="http://schemas.openxmlformats.org/officeDocument/2006/relationships/hyperlink" Target="http://articles.chicagotribune.com/2005-02-09/news/0502090400_1_chicago-public-schools-students-exits" TargetMode="External"/><Relationship Id="rId1044" Type="http://schemas.openxmlformats.org/officeDocument/2006/relationships/hyperlink" Target="https://www.washingtonpost.com/archive/local/1980/02/02/proving-gun-is-real-2nd-grader-at-langdon-school-is-shot/f83c3b73-ed9d-4a79-a529-984a01675142/?noredirect=on&amp;utm_term=.d238a08a83ec" TargetMode="External"/><Relationship Id="rId260" Type="http://schemas.openxmlformats.org/officeDocument/2006/relationships/hyperlink" Target="http://abc7.com/charges-filed-against-12-year-old-girl-in-westlake-school-shooting/3023846/" TargetMode="External"/><Relationship Id="rId719" Type="http://schemas.openxmlformats.org/officeDocument/2006/relationships/hyperlink" Target="http://articles.latimes.com/2001/jan/11/local/me-11081" TargetMode="External"/><Relationship Id="rId926" Type="http://schemas.openxmlformats.org/officeDocument/2006/relationships/hyperlink" Target="https://www.newspapers.com/image/169515600/?terms=charles%2Bmincey%2Bridley%2Bhigh%2Bschool" TargetMode="External"/><Relationship Id="rId1111" Type="http://schemas.openxmlformats.org/officeDocument/2006/relationships/hyperlink" Target="https://www.newspapers.com/image/287719212/?terms=school%2Bshooting" TargetMode="External"/><Relationship Id="rId55" Type="http://schemas.openxmlformats.org/officeDocument/2006/relationships/hyperlink" Target="https://www.wnky.com/sheriffs-office-investigating-several-shots-fired-incidences-including-one-at-a-school-no-injuries/" TargetMode="External"/><Relationship Id="rId120" Type="http://schemas.openxmlformats.org/officeDocument/2006/relationships/hyperlink" Target="https://www.timesunion.com/news/article/Town-of-Perth-man-charged-for-alleged-animal-16084406.php" TargetMode="External"/><Relationship Id="rId358" Type="http://schemas.openxmlformats.org/officeDocument/2006/relationships/hyperlink" Target="http://www.mercedsunstar.com/news/local/crime/article11963273.html" TargetMode="External"/><Relationship Id="rId565" Type="http://schemas.openxmlformats.org/officeDocument/2006/relationships/hyperlink" Target="http://www.downtownexpress.com/de_149/bbgunshotingatis89.html" TargetMode="External"/><Relationship Id="rId772" Type="http://schemas.openxmlformats.org/officeDocument/2006/relationships/hyperlink" Target="http://www.psychceu.com/school_violence/savd.pdf" TargetMode="External"/><Relationship Id="rId218" Type="http://schemas.openxmlformats.org/officeDocument/2006/relationships/hyperlink" Target="https://www.desmoinesregister.com/story/news/2018/09/07/des-moines-hoover-north-homecoming-game-shooting-football-des-moines-police-mcgrane-stadium/1234471002/" TargetMode="External"/><Relationship Id="rId425" Type="http://schemas.openxmlformats.org/officeDocument/2006/relationships/hyperlink" Target="https://www.usatoday.com/story/news/nation/2013/01/08/school-shooting-florida/1817149/" TargetMode="External"/><Relationship Id="rId632" Type="http://schemas.openxmlformats.org/officeDocument/2006/relationships/hyperlink" Target="http://blog.al.com/spotnews/2009/04/suspect_in_drugrelated_titusvi.html" TargetMode="External"/><Relationship Id="rId1055" Type="http://schemas.openxmlformats.org/officeDocument/2006/relationships/hyperlink" Target="https://www.newspapers.com/newspage/107532734/" TargetMode="External"/><Relationship Id="rId271" Type="http://schemas.openxmlformats.org/officeDocument/2006/relationships/hyperlink" Target="https://www.nbcdfw.com/news/local/Dallas-ISD-Gun-Accidentally-Goes-Off-in-3rd-Grade-Classroom-464473823.html" TargetMode="External"/><Relationship Id="rId937" Type="http://schemas.openxmlformats.org/officeDocument/2006/relationships/hyperlink" Target="https://www.upi.com/Archives/1987/04/16/Gunshots-fired-in-a-high-school-gymnasium-killed-a/4536545544000/" TargetMode="External"/><Relationship Id="rId1122" Type="http://schemas.openxmlformats.org/officeDocument/2006/relationships/hyperlink" Target="https://www.newspapers.com/image/256798541/?terms=school%2Bshooting" TargetMode="External"/><Relationship Id="rId66" Type="http://schemas.openxmlformats.org/officeDocument/2006/relationships/hyperlink" Target="https://losangeles.cbslocal.com/video/6166005-school-bus-hit-by-bb-gun/" TargetMode="External"/><Relationship Id="rId131" Type="http://schemas.openxmlformats.org/officeDocument/2006/relationships/hyperlink" Target="https://www.klkntv.com/shots-fired-at-a-lincoln-elementary-school-officers-say-its-alarming/" TargetMode="External"/><Relationship Id="rId369" Type="http://schemas.openxmlformats.org/officeDocument/2006/relationships/hyperlink" Target="https://www.wsbtv.com/news/shots-fired-lakewood-stadium/137231817" TargetMode="External"/><Relationship Id="rId576" Type="http://schemas.openxmlformats.org/officeDocument/2006/relationships/hyperlink" Target="https://www.chron.com/news/houston-texas/article/Alvin-6th-grader-shoots-himself-in-the-leg-in-1939399.php" TargetMode="External"/><Relationship Id="rId783" Type="http://schemas.openxmlformats.org/officeDocument/2006/relationships/hyperlink" Target="https://www.columbine-angels.com/School_Violence_1995-1996.htm" TargetMode="External"/><Relationship Id="rId990" Type="http://schemas.openxmlformats.org/officeDocument/2006/relationships/hyperlink" Target="https://www.newspapers.com/image/371003589/?terms=student%2Bshot&amp;match=10" TargetMode="External"/><Relationship Id="rId229" Type="http://schemas.openxmlformats.org/officeDocument/2006/relationships/hyperlink" Target="https://www.yakimaherald.com/news/crime_and_courts/shooting-victim-found-near-west-valley-school-identified/article_486a9ff4-8c56-11e8-886e-3bb30443843b.html" TargetMode="External"/><Relationship Id="rId436" Type="http://schemas.openxmlformats.org/officeDocument/2006/relationships/hyperlink" Target="https://www.mysanantonio.com/news/local_news/article/Deadly-day-in-Brownsville-2440652.php" TargetMode="External"/><Relationship Id="rId643" Type="http://schemas.openxmlformats.org/officeDocument/2006/relationships/hyperlink" Target="http://www.gadsdentimes.com/article/DA/20040804/News/603205688/GT/" TargetMode="External"/><Relationship Id="rId1066" Type="http://schemas.openxmlformats.org/officeDocument/2006/relationships/hyperlink" Target="https://www.newspapers.com/image/342698296/?terms=school%2Bshooting" TargetMode="External"/><Relationship Id="rId850" Type="http://schemas.openxmlformats.org/officeDocument/2006/relationships/hyperlink" Target="https://www.newspapers.com/image/384174219/?terms=Hiram%2BJohnson%2BHigh%2BSchool%2Bshooting" TargetMode="External"/><Relationship Id="rId948" Type="http://schemas.openxmlformats.org/officeDocument/2006/relationships/hyperlink" Target="https://www.newspapers.com/image/404657287/?terms=Fairfax%2BHigh%2BSchool%2Bshooting" TargetMode="External"/><Relationship Id="rId1133" Type="http://schemas.openxmlformats.org/officeDocument/2006/relationships/hyperlink" Target="https://www.newspapers.com/image/227849615/?terms=husband%2Bkills%2Bteacher" TargetMode="External"/><Relationship Id="rId77" Type="http://schemas.openxmlformats.org/officeDocument/2006/relationships/hyperlink" Target="https://www.cleveland19.com/2021/09/30/shot-fired-after-middle-school-football-game-east-cleveland/" TargetMode="External"/><Relationship Id="rId282" Type="http://schemas.openxmlformats.org/officeDocument/2006/relationships/hyperlink" Target="https://www.wtol.com/article/text/news/police-shots-fired-in-parking-lot-area-of-start-high-school/512-4f7360d6-2e3f-434a-a6e6-0067351b41f4" TargetMode="External"/><Relationship Id="rId503" Type="http://schemas.openxmlformats.org/officeDocument/2006/relationships/hyperlink" Target="https://www.columbine-angels.com/School_Violence_2006-2007.htm" TargetMode="External"/><Relationship Id="rId587" Type="http://schemas.openxmlformats.org/officeDocument/2006/relationships/hyperlink" Target="http://www.cnn.com/2005/US/11/15/florida.shooting/index.html" TargetMode="External"/><Relationship Id="rId710" Type="http://schemas.openxmlformats.org/officeDocument/2006/relationships/hyperlink" Target="https://nthfmemorial.org/mystery-in-ohio-demetrius-minifee/" TargetMode="External"/><Relationship Id="rId808" Type="http://schemas.openxmlformats.org/officeDocument/2006/relationships/hyperlink" Target="https://www.newspapers.com/image/159190089/?terms=Los%2BAltos%2BHigh%2BSchool" TargetMode="External"/><Relationship Id="rId8" Type="http://schemas.openxmlformats.org/officeDocument/2006/relationships/hyperlink" Target="https://gbi.georgia.gov/press-releases/2022-08-12/gbi-investigates-union-county-school-shooting-incident" TargetMode="External"/><Relationship Id="rId142" Type="http://schemas.openxmlformats.org/officeDocument/2006/relationships/hyperlink" Target="https://www.detroitnews.com/story/news/local/macomb-county/2020/07/14/sterling-heights-police-fight-shot-fired-school-grounds/5435977002/" TargetMode="External"/><Relationship Id="rId447" Type="http://schemas.openxmlformats.org/officeDocument/2006/relationships/hyperlink" Target="https://www.denverpost.com/2015/11/19/court-reverses-conviction-in-2010-aurora-shooting-that-paralyzed-victim/" TargetMode="External"/><Relationship Id="rId794" Type="http://schemas.openxmlformats.org/officeDocument/2006/relationships/hyperlink" Target="http://articles.sun-sentinel.com/1995-01-12/news/9501120169_1_high-schools-gun-school-administrators" TargetMode="External"/><Relationship Id="rId1077" Type="http://schemas.openxmlformats.org/officeDocument/2006/relationships/hyperlink" Target="https://www.newspapers.com/image/29839915/?terms=school%2Bshooting" TargetMode="External"/><Relationship Id="rId654" Type="http://schemas.openxmlformats.org/officeDocument/2006/relationships/hyperlink" Target="https://www.shreveporttimes.com/story/news/2017/11/07/times-files-officer-fires-shot-fair-park-high/841429001/" TargetMode="External"/><Relationship Id="rId861" Type="http://schemas.openxmlformats.org/officeDocument/2006/relationships/hyperlink" Target="https://www.newspapers.com/image/218234824/?terms=Francis%2BW.%2BGregory%2BJunior%2BHigh%2BSchool%2Bshooting" TargetMode="External"/><Relationship Id="rId959" Type="http://schemas.openxmlformats.org/officeDocument/2006/relationships/hyperlink" Target="https://www.newspapers.com/image/182776909/?terms=Archbishop%2BRyan%2BHigh%2BSchool%2Bfor%2Bboys%2Bshooting" TargetMode="External"/><Relationship Id="rId293" Type="http://schemas.openxmlformats.org/officeDocument/2006/relationships/hyperlink" Target="https://www.wctv.tv/content/news/Shots-fired-during-Valdosta-Highs-Midnight-Madness-practice-437798503.html" TargetMode="External"/><Relationship Id="rId307" Type="http://schemas.openxmlformats.org/officeDocument/2006/relationships/hyperlink" Target="http://www.theadvocate.com/baton_rouge/news/crime_police/article_c0f86974-ed92-11e6-98ec-1fec7cb6253b.html" TargetMode="External"/><Relationship Id="rId514" Type="http://schemas.openxmlformats.org/officeDocument/2006/relationships/hyperlink" Target="https://www.newspapers.com/image/243778502/?terms=Sarah%2BJ.%2BRawson%2BElementary%2BSchool%2Bshot" TargetMode="External"/><Relationship Id="rId721" Type="http://schemas.openxmlformats.org/officeDocument/2006/relationships/hyperlink" Target="http://articles.sun-sentinel.com/2000-12-21/news/0012210472_1_armored-car-armored-guard-routine-pickup" TargetMode="External"/><Relationship Id="rId1144" Type="http://schemas.openxmlformats.org/officeDocument/2006/relationships/hyperlink" Target="https://www.newspapers.com/image/377096935/" TargetMode="External"/><Relationship Id="rId88" Type="http://schemas.openxmlformats.org/officeDocument/2006/relationships/hyperlink" Target="https://www.ksdk.com/article/news/local/hazelwood-parents-bring-gun-school/63-858a7bac-0311-4c92-8471-c2770c2c7716" TargetMode="External"/><Relationship Id="rId153" Type="http://schemas.openxmlformats.org/officeDocument/2006/relationships/hyperlink" Target="https://www.klkntv.com/story/41605181/car-breakins-occur-at-a-lincoln-middle-school" TargetMode="External"/><Relationship Id="rId360" Type="http://schemas.openxmlformats.org/officeDocument/2006/relationships/hyperlink" Target="https://minnesota.cbslocal.com/2015/01/26/police-man-fires-shot-at-school-before-shooting-himself/" TargetMode="External"/><Relationship Id="rId598" Type="http://schemas.openxmlformats.org/officeDocument/2006/relationships/hyperlink" Target="http://www.foxnews.com/story/2005/11/09/principal-praised-as-hero-in-tenn-school-shooting.html" TargetMode="External"/><Relationship Id="rId819" Type="http://schemas.openxmlformats.org/officeDocument/2006/relationships/hyperlink" Target="https://www.newspapers.com/image/276635826/?terms=Weatherless%2BElementary%2BSchool%2Bshooting" TargetMode="External"/><Relationship Id="rId1004" Type="http://schemas.openxmlformats.org/officeDocument/2006/relationships/hyperlink" Target="https://www.newspapers.com/image/227592168/?terms=student%2Bshoots" TargetMode="External"/><Relationship Id="rId220" Type="http://schemas.openxmlformats.org/officeDocument/2006/relationships/hyperlink" Target="https://abc7news.com/3-students-in-custody-1-hurt-after-police-find-gun-on-sf-campus/4100641/" TargetMode="External"/><Relationship Id="rId458" Type="http://schemas.openxmlformats.org/officeDocument/2006/relationships/hyperlink" Target="https://www.columbine-angels.com/School_Violence_2008-2009.htm" TargetMode="External"/><Relationship Id="rId665" Type="http://schemas.openxmlformats.org/officeDocument/2006/relationships/hyperlink" Target="https://www.chron.com/news/houston-texas/article/Man-convicted-of-killing-student-outside-stadium-1624934.php" TargetMode="External"/><Relationship Id="rId872" Type="http://schemas.openxmlformats.org/officeDocument/2006/relationships/hyperlink" Target="https://www.newspapers.com/image/300249662/?terms=Madison%2BHigh%2BSchool%2Bshooting%2Bhouston" TargetMode="External"/><Relationship Id="rId1088" Type="http://schemas.openxmlformats.org/officeDocument/2006/relationships/hyperlink" Target="https://www.newspapers.com/image/293916124/?terms=school%2Bshooting" TargetMode="External"/><Relationship Id="rId15" Type="http://schemas.openxmlformats.org/officeDocument/2006/relationships/hyperlink" Target="https://local21news.com/news/local/man-wanted-by-police-for-discharging-firearm" TargetMode="External"/><Relationship Id="rId318" Type="http://schemas.openxmlformats.org/officeDocument/2006/relationships/hyperlink" Target="https://www.nbcchicago.com/news/local/chicago-school-bus-driver-shot-395469231.html" TargetMode="External"/><Relationship Id="rId525" Type="http://schemas.openxmlformats.org/officeDocument/2006/relationships/hyperlink" Target="http://www.wmcactionnews5.com/story/5984007/17-year-old-in-critical-condition-at-the-med-after-school-shooting" TargetMode="External"/><Relationship Id="rId732" Type="http://schemas.openxmlformats.org/officeDocument/2006/relationships/hyperlink" Target="http://tucsoncitizen.com/morgue2/2000/05/11/58653-sierra-vista-shootings-prompt-safety-review/" TargetMode="External"/><Relationship Id="rId1155" Type="http://schemas.openxmlformats.org/officeDocument/2006/relationships/hyperlink" Target="https://www.newspapers.com/image/296262312/?terms=school%2Bshooting" TargetMode="External"/><Relationship Id="rId99" Type="http://schemas.openxmlformats.org/officeDocument/2006/relationships/hyperlink" Target="https://keyt.com/news/crime/2021/08/28/police-investigating-shots-fired-at-santa-maria-high-school/" TargetMode="External"/><Relationship Id="rId164" Type="http://schemas.openxmlformats.org/officeDocument/2006/relationships/hyperlink" Target="https://www.13abc.com/content/news/Shots-fired-at-Woodward-High-School-football-game-against-Rogers-563419051.html" TargetMode="External"/><Relationship Id="rId371" Type="http://schemas.openxmlformats.org/officeDocument/2006/relationships/hyperlink" Target="https://www.wsbtv.com/news/17-year-old-shot-killed-after-high-school-football/137193168" TargetMode="External"/><Relationship Id="rId1015" Type="http://schemas.openxmlformats.org/officeDocument/2006/relationships/hyperlink" Target="https://www.newspapers.com/image/305864381/?terms=student%2Bshot" TargetMode="External"/><Relationship Id="rId469" Type="http://schemas.openxmlformats.org/officeDocument/2006/relationships/hyperlink" Target="https://www.greensboro.com/news/a-playground-fight-turned-deadly/article_0aadff61-c881-5944-99d3-e81ee3468277.html" TargetMode="External"/><Relationship Id="rId676" Type="http://schemas.openxmlformats.org/officeDocument/2006/relationships/hyperlink" Target="https://www.washingtonpost.com/archive/politics/2003/04/15/youth-15-dies-in-shooting-at-new-orleans-high-school/a2b1c00e-b101-4b41-ae45-a150abc01ada/?utm_term=.0ec08f1f82f8" TargetMode="External"/><Relationship Id="rId883" Type="http://schemas.openxmlformats.org/officeDocument/2006/relationships/hyperlink" Target="https://www.upi.com/Archives/1990/10/29/Teenager-holds-hostages-at-high-school-for-more-than-8-hours/6921657176400/" TargetMode="External"/><Relationship Id="rId1099" Type="http://schemas.openxmlformats.org/officeDocument/2006/relationships/hyperlink" Target="https://www.newspapers.com/image/431914265/?terms=william%2Bgund" TargetMode="External"/><Relationship Id="rId26" Type="http://schemas.openxmlformats.org/officeDocument/2006/relationships/hyperlink" Target="https://www.myjournalcourier.com/news/article/Hallucinating-woman-arrested-after-shot-fired-17188158.php" TargetMode="External"/><Relationship Id="rId231" Type="http://schemas.openxmlformats.org/officeDocument/2006/relationships/hyperlink" Target="https://abcnews.go.com/US/critical-condition-shooting-kansas-elementary-school-police/story?id=56340440" TargetMode="External"/><Relationship Id="rId329" Type="http://schemas.openxmlformats.org/officeDocument/2006/relationships/hyperlink" Target="http://www.wyff4.com/article/2-more-teens-charged-shooting-at-southside-high-school/7022388" TargetMode="External"/><Relationship Id="rId536" Type="http://schemas.openxmlformats.org/officeDocument/2006/relationships/hyperlink" Target="https://www.columbine-angels.com/School_Violence_2006-2007.htm" TargetMode="External"/><Relationship Id="rId1166" Type="http://schemas.openxmlformats.org/officeDocument/2006/relationships/hyperlink" Target="https://www.newspapers.com/image/435429470/?terms=school%2Bshooting" TargetMode="External"/><Relationship Id="rId175" Type="http://schemas.openxmlformats.org/officeDocument/2006/relationships/hyperlink" Target="https://www.wsmv.com/news/three-in-custody-after-shots-fired-at-east-high-school/article_9f788d58-bfcf-11e9-bdda-c788cc06a4b1.html" TargetMode="External"/><Relationship Id="rId743" Type="http://schemas.openxmlformats.org/officeDocument/2006/relationships/hyperlink" Target="https://www.newspapers.com/image/220395374/?terms=Guyan%2BValley%2BHigh%2BSchool" TargetMode="External"/><Relationship Id="rId950" Type="http://schemas.openxmlformats.org/officeDocument/2006/relationships/hyperlink" Target="https://www.newspapers.com/image/399571341/?terms=tammy%2Bfowler%2Bcarver" TargetMode="External"/><Relationship Id="rId1026" Type="http://schemas.openxmlformats.org/officeDocument/2006/relationships/hyperlink" Target="https://www.newspapers.com/image/312662676/?terms=student%2Bshot" TargetMode="External"/><Relationship Id="rId382" Type="http://schemas.openxmlformats.org/officeDocument/2006/relationships/hyperlink" Target="https://www.nbcnewyork.com/news/local/Newark-Shooting-Man-Wounded-School-Bus-Bullet-Hole-253840881.html" TargetMode="External"/><Relationship Id="rId603" Type="http://schemas.openxmlformats.org/officeDocument/2006/relationships/hyperlink" Target="https://www.columbine-angels.com/School_Violence_2004-2005.htm" TargetMode="External"/><Relationship Id="rId687" Type="http://schemas.openxmlformats.org/officeDocument/2006/relationships/hyperlink" Target="https://www.newspapers.com/image/205047710/?terms=student%2Bshoots" TargetMode="External"/><Relationship Id="rId810" Type="http://schemas.openxmlformats.org/officeDocument/2006/relationships/hyperlink" Target="https://www.newspapers.com/image/403544801/?terms=Aron%2BGilliam" TargetMode="External"/><Relationship Id="rId908" Type="http://schemas.openxmlformats.org/officeDocument/2006/relationships/hyperlink" Target="https://www.deseretnews.com/article/34103/OFFICERS-SEEKING-ANSWERS-AFTER-JUNIOR-HIGH-SHOOTING.html" TargetMode="External"/><Relationship Id="rId242" Type="http://schemas.openxmlformats.org/officeDocument/2006/relationships/hyperlink" Target="http://www.cbs46.com/story/38020869/us-marshals-suspect-involved-in-mays-high-school-shooting-apprehended" TargetMode="External"/><Relationship Id="rId894" Type="http://schemas.openxmlformats.org/officeDocument/2006/relationships/hyperlink" Target="https://www.newspapers.com/image/101597966/?terms=Taft%2BHigh%2BSchool%2Bshooting" TargetMode="External"/><Relationship Id="rId37" Type="http://schemas.openxmlformats.org/officeDocument/2006/relationships/hyperlink" Target="https://www.wtok.com/2022/04/15/three-students-shot-with-high-powered-air-rifles-neshoba-central/" TargetMode="External"/><Relationship Id="rId102" Type="http://schemas.openxmlformats.org/officeDocument/2006/relationships/hyperlink" Target="https://www.wtol.com/article/news/local/fight-shots-fired-during-youth-football-game-at-northpointe-academy-elementary/512-86c1c571-4188-43c4-898e-3930ac7721aa" TargetMode="External"/><Relationship Id="rId547" Type="http://schemas.openxmlformats.org/officeDocument/2006/relationships/hyperlink" Target="https://www.columbine-angels.com/School_Violence_2006-2007.htm" TargetMode="External"/><Relationship Id="rId754" Type="http://schemas.openxmlformats.org/officeDocument/2006/relationships/hyperlink" Target="http://articles.chicagotribune.com/1999-03-06/news/9903060113_1_hennessy-police-skokie" TargetMode="External"/><Relationship Id="rId961" Type="http://schemas.openxmlformats.org/officeDocument/2006/relationships/hyperlink" Target="http://www.apnewsarchive.com/1985/Distraught-Over-Losing-Boyfriend-Girl-Kills-Two-Then-Herself/id-075d33aa6600d2e6b30d969ba3edaf0d" TargetMode="External"/><Relationship Id="rId90" Type="http://schemas.openxmlformats.org/officeDocument/2006/relationships/hyperlink" Target="https://www.wavy.com/news/crime/shooting-shatters-windows-at-elizabeth-city-elementary-school/" TargetMode="External"/><Relationship Id="rId186" Type="http://schemas.openxmlformats.org/officeDocument/2006/relationships/hyperlink" Target="http://www.fox5atlanta.com/news/police-release-vehicle-description-in-fulton-county-school-bus-shooting" TargetMode="External"/><Relationship Id="rId393" Type="http://schemas.openxmlformats.org/officeDocument/2006/relationships/hyperlink" Target="http://www.philly.com/philly/news/2nd_teen_charged_in_Delaware_Valley_Charter_High_School_shooting.html" TargetMode="External"/><Relationship Id="rId407" Type="http://schemas.openxmlformats.org/officeDocument/2006/relationships/hyperlink" Target="https://www.dnainfo.com/chicago/20130927/albany-park/teen-arrested-for-shooting-student-near-roosevelt-high-school/slideshow/443194/" TargetMode="External"/><Relationship Id="rId614" Type="http://schemas.openxmlformats.org/officeDocument/2006/relationships/hyperlink" Target="http://www.nydailynews.com/archives/news/b-klyn-hs-panic-boy-shoots-leg-article-1.589241" TargetMode="External"/><Relationship Id="rId821" Type="http://schemas.openxmlformats.org/officeDocument/2006/relationships/hyperlink" Target="http://www.mysuburbanlife.com/2011/12/20/philip-powell-who-murdered-hinsdale-teen-barrett-modisette-after-downers-grove-south-high-school-football-game-released-early-from-prison/za3xo73/" TargetMode="External"/><Relationship Id="rId1037" Type="http://schemas.openxmlformats.org/officeDocument/2006/relationships/hyperlink" Target="https://www.newspapers.com/image/63246339/?terms=Whittier%2BHigh%2BSchool%2Bshooting" TargetMode="External"/><Relationship Id="rId253" Type="http://schemas.openxmlformats.org/officeDocument/2006/relationships/hyperlink" Target="https://fox2now.com/2018/03/05/students-sent-home-after-suicide-at-washington-county-school/" TargetMode="External"/><Relationship Id="rId460" Type="http://schemas.openxmlformats.org/officeDocument/2006/relationships/hyperlink" Target="https://abc7.com/archive/6651899/" TargetMode="External"/><Relationship Id="rId698" Type="http://schemas.openxmlformats.org/officeDocument/2006/relationships/hyperlink" Target="https://www.newspapers.com/image/434313780/?terms=thomas%2Bmcadams%2Barrested" TargetMode="External"/><Relationship Id="rId919" Type="http://schemas.openxmlformats.org/officeDocument/2006/relationships/hyperlink" Target="https://www.newspapers.com/image/388885712/?terms=martin%2Bluther%2Bking%2Bhigh%2Bschool" TargetMode="External"/><Relationship Id="rId1090" Type="http://schemas.openxmlformats.org/officeDocument/2006/relationships/hyperlink" Target="https://www.newspapers.com/image/86248524/?terms=school%2Bshooting" TargetMode="External"/><Relationship Id="rId1104" Type="http://schemas.openxmlformats.org/officeDocument/2006/relationships/hyperlink" Target="https://www.newspapers.com/image/377591998/?terms=school%2Bshooting" TargetMode="External"/><Relationship Id="rId48" Type="http://schemas.openxmlformats.org/officeDocument/2006/relationships/hyperlink" Target="https://www.cbs58.com/news/weapon-fired-inside-jerstad-agerholm-elementary-school-in-racine" TargetMode="External"/><Relationship Id="rId113" Type="http://schemas.openxmlformats.org/officeDocument/2006/relationships/hyperlink" Target="https://www.nbcnews.com/news/us-news/16-year-old-critical-condition-after-getting-shot-outside-texas-n1269945" TargetMode="External"/><Relationship Id="rId320" Type="http://schemas.openxmlformats.org/officeDocument/2006/relationships/hyperlink" Target="http://www.mlive.com/news/jackson/index.ssf/2016/09/student_shot_on_school_bus_out.html" TargetMode="External"/><Relationship Id="rId558" Type="http://schemas.openxmlformats.org/officeDocument/2006/relationships/hyperlink" Target="http://articles.latimes.com/2006/jun/07/local/me-venice7" TargetMode="External"/><Relationship Id="rId765" Type="http://schemas.openxmlformats.org/officeDocument/2006/relationships/hyperlink" Target="https://www.apnews.com/4875a8815b27a22d306a61ab83a97d26" TargetMode="External"/><Relationship Id="rId972" Type="http://schemas.openxmlformats.org/officeDocument/2006/relationships/hyperlink" Target="https://www.nytimes.com/1994/11/10/nyregion/student-is-shot-at-a-high-school-in-new-haven.html" TargetMode="External"/><Relationship Id="rId197" Type="http://schemas.openxmlformats.org/officeDocument/2006/relationships/hyperlink" Target="https://democratherald.com/news/local/sheriff-death-of-teen-in-jefferson-apparently-suicide/article_3eb0d660-a01e-55d9-8d38-076025be56cb.html" TargetMode="External"/><Relationship Id="rId418" Type="http://schemas.openxmlformats.org/officeDocument/2006/relationships/hyperlink" Target="http://ktemnews.com/student-who-shot-himself-at-temple-high-school-has-died/" TargetMode="External"/><Relationship Id="rId625" Type="http://schemas.openxmlformats.org/officeDocument/2006/relationships/hyperlink" Target="https://www.chron.com/news/houston-texas/article/1-dead-1-hurt-in-Richmond-State-School-shooting-1938319.php" TargetMode="External"/><Relationship Id="rId832" Type="http://schemas.openxmlformats.org/officeDocument/2006/relationships/hyperlink" Target="https://www.newspapers.com/image/141626514/?terms=Sumner%2BHigh%2BSchool" TargetMode="External"/><Relationship Id="rId1048" Type="http://schemas.openxmlformats.org/officeDocument/2006/relationships/hyperlink" Target="https://www.newspapers.com/image/107586036/?terms=school%2Bshooting" TargetMode="External"/><Relationship Id="rId264" Type="http://schemas.openxmlformats.org/officeDocument/2006/relationships/hyperlink" Target="http://www.nola.com/crime/index.ssf/2018/02/how_many_school_shootings_2018.html" TargetMode="External"/><Relationship Id="rId471" Type="http://schemas.openxmlformats.org/officeDocument/2006/relationships/hyperlink" Target="https://www.ksbw.com/article/king-city-high-school-soccer-game-murderer-sentenced/1048897" TargetMode="External"/><Relationship Id="rId1115" Type="http://schemas.openxmlformats.org/officeDocument/2006/relationships/hyperlink" Target="https://www.newspapers.com/image/305635210/?terms=school%2Bshooting" TargetMode="External"/><Relationship Id="rId59" Type="http://schemas.openxmlformats.org/officeDocument/2006/relationships/hyperlink" Target="https://www.fox5dc.com/news/man-found-with-gun-at-gaithersburg-high-school-is-second-incident-in-montgomery-county-this-month" TargetMode="External"/><Relationship Id="rId124" Type="http://schemas.openxmlformats.org/officeDocument/2006/relationships/hyperlink" Target="https://www.sgvtribune.com/2020/11/09/body-of-man-who-had-been-fatally-shot-is-found-at-school-near-la-puente/" TargetMode="External"/><Relationship Id="rId569" Type="http://schemas.openxmlformats.org/officeDocument/2006/relationships/hyperlink" Target="https://www.newspapers.com/image/164693932/?terms=William%2BPenn%2BHigh%2BSchool%2Bshooting" TargetMode="External"/><Relationship Id="rId776" Type="http://schemas.openxmlformats.org/officeDocument/2006/relationships/hyperlink" Target="http://www.psychceu.com/school_violence/savd.pdf" TargetMode="External"/><Relationship Id="rId983" Type="http://schemas.openxmlformats.org/officeDocument/2006/relationships/hyperlink" Target="https://www.newspapers.com/newspage/99072089/" TargetMode="External"/><Relationship Id="rId331" Type="http://schemas.openxmlformats.org/officeDocument/2006/relationships/hyperlink" Target="http://www.newsherald.com/news/20160509/probe-into-detention-officers-accidental-shooting-near-oscar-patterson-underway" TargetMode="External"/><Relationship Id="rId429" Type="http://schemas.openxmlformats.org/officeDocument/2006/relationships/hyperlink" Target="http://www.pantagraph.com/news/local/crime-and-courts/boy-gets-juvenile-prison-term-for-nchs-shooting/article_6ddfd6ea-85e1-11e2-aff0-0019bb2963f4.html" TargetMode="External"/><Relationship Id="rId636" Type="http://schemas.openxmlformats.org/officeDocument/2006/relationships/hyperlink" Target="https://www.sfgate.com/bayarea/article/SUNNYVALE-2-killings-at-school-bring-murder-2641374.php" TargetMode="External"/><Relationship Id="rId1059" Type="http://schemas.openxmlformats.org/officeDocument/2006/relationships/hyperlink" Target="https://www.newspapers.com/image/385395737/?terms=Ridgewood%2BHigh%2BSchool%2Bdance" TargetMode="External"/><Relationship Id="rId843" Type="http://schemas.openxmlformats.org/officeDocument/2006/relationships/hyperlink" Target="https://www.newspapers.com/image/257172973/?terms=Virginia%2BWilcox" TargetMode="External"/><Relationship Id="rId1126" Type="http://schemas.openxmlformats.org/officeDocument/2006/relationships/hyperlink" Target="https://www.newspapers.com/image/125303713/?terms=school%2Bshooting" TargetMode="External"/><Relationship Id="rId275" Type="http://schemas.openxmlformats.org/officeDocument/2006/relationships/hyperlink" Target="https://www.limaohio.com/news/273390/lima-man-arrested-after-gun-goes-off-accidentally-at-bath-high-school" TargetMode="External"/><Relationship Id="rId482" Type="http://schemas.openxmlformats.org/officeDocument/2006/relationships/hyperlink" Target="https://www.columbine-angels.com/School_Violence_2008-2009.htm" TargetMode="External"/><Relationship Id="rId703" Type="http://schemas.openxmlformats.org/officeDocument/2006/relationships/hyperlink" Target="https://www.newspapers.com/image/220634008/?terms=High%2BSchool%2BSaginaw%2Bgun%2Bjacket" TargetMode="External"/><Relationship Id="rId910" Type="http://schemas.openxmlformats.org/officeDocument/2006/relationships/hyperlink" Target="https://www.newspapers.com/image/200956524/?terms=arilyn%2Bjean%2BLelande" TargetMode="External"/><Relationship Id="rId135" Type="http://schemas.openxmlformats.org/officeDocument/2006/relationships/hyperlink" Target="https://www.news4jax.com/news/local/2020/09/23/police-1-detained-after-shot-fired-at-duval-county-school-bus/" TargetMode="External"/><Relationship Id="rId342" Type="http://schemas.openxmlformats.org/officeDocument/2006/relationships/hyperlink" Target="https://www.miamiherald.com/news/local/community/miami-dade/article45747750.html" TargetMode="External"/><Relationship Id="rId787" Type="http://schemas.openxmlformats.org/officeDocument/2006/relationships/hyperlink" Target="https://www.columbine-angels.com/School_Violence_1995-1996.htm" TargetMode="External"/><Relationship Id="rId994" Type="http://schemas.openxmlformats.org/officeDocument/2006/relationships/hyperlink" Target="https://www.newspapers.com/image/97839646" TargetMode="External"/><Relationship Id="rId202" Type="http://schemas.openxmlformats.org/officeDocument/2006/relationships/hyperlink" Target="https://baltimore.cbslocal.com/2018/11/12/school-resource-officer-suicide/" TargetMode="External"/><Relationship Id="rId647" Type="http://schemas.openxmlformats.org/officeDocument/2006/relationships/hyperlink" Target="http://www.baltimoresun.com/bal-te.randallstown28jan28-story.html" TargetMode="External"/><Relationship Id="rId854" Type="http://schemas.openxmlformats.org/officeDocument/2006/relationships/hyperlink" Target="https://www.upi.com/Archives/1992/05/14/Student-opens-fire-in-school/6395705816000/" TargetMode="External"/><Relationship Id="rId286" Type="http://schemas.openxmlformats.org/officeDocument/2006/relationships/hyperlink" Target="https://fox4kc.com/2017/09/29/lees-summit-north-high-school-dismissing-students-early-due-to-an-incident/" TargetMode="External"/><Relationship Id="rId493" Type="http://schemas.openxmlformats.org/officeDocument/2006/relationships/hyperlink" Target="http://www.wmcactionnews5.com/story/7818497/police-investigate-shooting-inside-classroom-at-hamilton-high" TargetMode="External"/><Relationship Id="rId507" Type="http://schemas.openxmlformats.org/officeDocument/2006/relationships/hyperlink" Target="http://starlocalmedia.com/mesquitenews/news/arrests-made-in-west-mesquite-shooting/article_c1de2b11-1f0a-5ac7-8ea4-807789bd19bc.html" TargetMode="External"/><Relationship Id="rId714" Type="http://schemas.openxmlformats.org/officeDocument/2006/relationships/hyperlink" Target="http://community.seattletimes.nwsource.com/archive/?date=20010308&amp;slug=kent08m0" TargetMode="External"/><Relationship Id="rId921" Type="http://schemas.openxmlformats.org/officeDocument/2006/relationships/hyperlink" Target="https://www.newspapers.com/image/67975492/?terms=school%2Bbus%2Bshooting" TargetMode="External"/><Relationship Id="rId1137" Type="http://schemas.openxmlformats.org/officeDocument/2006/relationships/hyperlink" Target="https://www.newspapers.com/image/340859194/?terms=school%2Bshooting" TargetMode="External"/><Relationship Id="rId50" Type="http://schemas.openxmlformats.org/officeDocument/2006/relationships/hyperlink" Target="https://www.actionnews5.com/2022/03/11/memphis-mother-accused-pointing-gun-5-children-outside-school/" TargetMode="External"/><Relationship Id="rId146" Type="http://schemas.openxmlformats.org/officeDocument/2006/relationships/hyperlink" Target="https://fox8.com/news/man-killed-in-shooting-near-miles-elementary-school-in-cleveland/" TargetMode="External"/><Relationship Id="rId353" Type="http://schemas.openxmlformats.org/officeDocument/2006/relationships/hyperlink" Target="http://www.jacksonville.com/breaking-news/2015-05-14/story/two-students-shot-school-bus-jacksonvilles-westside-police-searching" TargetMode="External"/><Relationship Id="rId560" Type="http://schemas.openxmlformats.org/officeDocument/2006/relationships/hyperlink" Target="http://www.wistv.com/story/4933127/officer-shoots-at-intruder-at-dutch-fork-hs" TargetMode="External"/><Relationship Id="rId798" Type="http://schemas.openxmlformats.org/officeDocument/2006/relationships/hyperlink" Target="https://www.gazettetimes.com/news/local/a-history-of-violence/article_54ce32a6-d4e3-5d34-8aa6-09d9437a0439.html" TargetMode="External"/><Relationship Id="rId213" Type="http://schemas.openxmlformats.org/officeDocument/2006/relationships/hyperlink" Target="http://www.baltimoresun.com/news/maryland/crime/bs-md-ci-guns-fired-elementary-school-20180926-story.html" TargetMode="External"/><Relationship Id="rId420" Type="http://schemas.openxmlformats.org/officeDocument/2006/relationships/hyperlink" Target="https://www.ajc.com/news/local/student-who-shot-herself-grady-high-due-court/2tFBhv5vj4RC2VqPUjIIxH/?icmp=np_inform_variation-control" TargetMode="External"/><Relationship Id="rId658" Type="http://schemas.openxmlformats.org/officeDocument/2006/relationships/hyperlink" Target="https://www.newspapers.com/image/192733466/?terms=Pomona%2BHigh%2BSchool%2Bstudent%2Bshot" TargetMode="External"/><Relationship Id="rId865" Type="http://schemas.openxmlformats.org/officeDocument/2006/relationships/hyperlink" Target="https://www.newspapers.com/image/300241588/?terms=Spring%2BWoods%2BHigh%2BSchool%2Bstudent%2Bshot" TargetMode="External"/><Relationship Id="rId1050" Type="http://schemas.openxmlformats.org/officeDocument/2006/relationships/hyperlink" Target="https://www.newspapers.com/image/362214425/?terms=school%2Bshooting" TargetMode="External"/><Relationship Id="rId297" Type="http://schemas.openxmlformats.org/officeDocument/2006/relationships/hyperlink" Target="https://chicago.suntimes.com/crime/2-boys-man-charged-with-warren-elementary-school-shooting/" TargetMode="External"/><Relationship Id="rId518" Type="http://schemas.openxmlformats.org/officeDocument/2006/relationships/hyperlink" Target="https://www.ourmidland.com/news/article/One-dead-one-hurt-in-Dow-High-shooting-7037728.php" TargetMode="External"/><Relationship Id="rId725" Type="http://schemas.openxmlformats.org/officeDocument/2006/relationships/hyperlink" Target="https://www.deseretnews.com/article/791173/Student-takes-class-hostage.html" TargetMode="External"/><Relationship Id="rId932" Type="http://schemas.openxmlformats.org/officeDocument/2006/relationships/hyperlink" Target="https://www.newspapers.com/image/99920647/?terms=STUDENT%2BSHOT" TargetMode="External"/><Relationship Id="rId1148" Type="http://schemas.openxmlformats.org/officeDocument/2006/relationships/hyperlink" Target="https://www.newspapers.com/image/346849918/?terms=school%2Bshooting" TargetMode="External"/><Relationship Id="rId157" Type="http://schemas.openxmlformats.org/officeDocument/2006/relationships/hyperlink" Target="https://www.14news.com/2019/12/11/dispatch-police-called-evans-elem-after-gunshots-reported/" TargetMode="External"/><Relationship Id="rId364" Type="http://schemas.openxmlformats.org/officeDocument/2006/relationships/hyperlink" Target="https://fox17online.com/2014/12/17/basketball-player-shot-outside-godfrey-lee-high-school/" TargetMode="External"/><Relationship Id="rId1008" Type="http://schemas.openxmlformats.org/officeDocument/2006/relationships/hyperlink" Target="https://www.newspapers.com/image/356116122/?terms=STUDENT%2BSHOOTS" TargetMode="External"/><Relationship Id="rId61" Type="http://schemas.openxmlformats.org/officeDocument/2006/relationships/hyperlink" Target="https://bronx.news12.com/nypd-shots-fired-outside-of-p-s-26-in-brooklyn-no-injuries-reported" TargetMode="External"/><Relationship Id="rId571" Type="http://schemas.openxmlformats.org/officeDocument/2006/relationships/hyperlink" Target="https://mtstandard.com/news/state-and-regional/student-dies-in-suicide-at-c-m-russell/article_6b906cf5-ad30-5bc9-87cd-1929be726a82.html" TargetMode="External"/><Relationship Id="rId669" Type="http://schemas.openxmlformats.org/officeDocument/2006/relationships/hyperlink" Target="http://articles.latimes.com/2003/oct/02/local/me-shooting2" TargetMode="External"/><Relationship Id="rId876" Type="http://schemas.openxmlformats.org/officeDocument/2006/relationships/hyperlink" Target="https://www.newspapers.com/image/424939665/?terms=Coronado%2BMiddle%2BSchool" TargetMode="External"/><Relationship Id="rId19" Type="http://schemas.openxmlformats.org/officeDocument/2006/relationships/hyperlink" Target="https://www.cbsnews.com/chicago/news/woman-and-2-teenagers-injured-after-shooting-near-school-gresham/" TargetMode="External"/><Relationship Id="rId224" Type="http://schemas.openxmlformats.org/officeDocument/2006/relationships/hyperlink" Target="https://www.news4jax.com/news/2018/08/25/police-gang-shooting-after-raines-high-school-football-game-kills-1-injures-2/" TargetMode="External"/><Relationship Id="rId431" Type="http://schemas.openxmlformats.org/officeDocument/2006/relationships/hyperlink" Target="http://www.wmcactionnews5.com/story/19307558/students-shot-at-outside-memphis-high-school" TargetMode="External"/><Relationship Id="rId529" Type="http://schemas.openxmlformats.org/officeDocument/2006/relationships/hyperlink" Target="https://www.newspapers.com/image/286391925/?terms=High%2BSchool%2BDixon%2BEdwards" TargetMode="External"/><Relationship Id="rId736" Type="http://schemas.openxmlformats.org/officeDocument/2006/relationships/hyperlink" Target="https://www.cbsnews.com/news/boy-charged-in-school-gun-scare/" TargetMode="External"/><Relationship Id="rId1061" Type="http://schemas.openxmlformats.org/officeDocument/2006/relationships/hyperlink" Target="https://www.newspapers.com/image/111103679/?terms=school%2Bshooting" TargetMode="External"/><Relationship Id="rId1159" Type="http://schemas.openxmlformats.org/officeDocument/2006/relationships/hyperlink" Target="https://www.newspapers.com/image/294129677/?terms=school%2Bshooting" TargetMode="External"/><Relationship Id="rId168" Type="http://schemas.openxmlformats.org/officeDocument/2006/relationships/hyperlink" Target="https://www.al.com/news/birmingham/2019/09/shots-fired-near-alabama-high-school-football-game-temporarily-stop-play-no-injures.html" TargetMode="External"/><Relationship Id="rId943" Type="http://schemas.openxmlformats.org/officeDocument/2006/relationships/hyperlink" Target="https://www.newspapers.com/image/229316333/?terms=oscar%2Bmartinez" TargetMode="External"/><Relationship Id="rId1019" Type="http://schemas.openxmlformats.org/officeDocument/2006/relationships/hyperlink" Target="https://www.nytimes.com/1981/12/24/nyregion/wrong-kid-is-fatally-shot-in-fight-at-brooklyn-school.html" TargetMode="External"/><Relationship Id="rId72" Type="http://schemas.openxmlformats.org/officeDocument/2006/relationships/hyperlink" Target="https://www.wltx.com/article/news/crime/calhoun-county-gunfire-teen-arrested/101-f7c8bca9-d90a-4583-a83e-0ceb27a6bd67" TargetMode="External"/><Relationship Id="rId375" Type="http://schemas.openxmlformats.org/officeDocument/2006/relationships/hyperlink" Target="https://www.desmoinesregister.com/story/news/crime-and-courts/2014/12/22/teen-arrested-shooting-north-high-school/20767421/" TargetMode="External"/><Relationship Id="rId582" Type="http://schemas.openxmlformats.org/officeDocument/2006/relationships/hyperlink" Target="https://www.newspapers.com/image/164693932/?terms=Mount%2BPleasant%2BHigh%2BSchool%2Bshooting" TargetMode="External"/><Relationship Id="rId803" Type="http://schemas.openxmlformats.org/officeDocument/2006/relationships/hyperlink" Target="https://www.washingtonpost.com/archive/local/1994/04/20/man-found-slain-at-dc-school/64a705c4-ab7a-43d0-b027-dd0b21ec008b/?utm_term=.21348ca8fd4b" TargetMode="External"/><Relationship Id="rId3" Type="http://schemas.openxmlformats.org/officeDocument/2006/relationships/hyperlink" Target="https://www.wusa9.com/article/news/local/dc/northeast-dc-double-shooting-near-idea-charter-school/65-5f5a72d3-526e-4e68-9e6d-e7cd9194384f" TargetMode="External"/><Relationship Id="rId235" Type="http://schemas.openxmlformats.org/officeDocument/2006/relationships/hyperlink" Target="http://katu.com/news/local/police-man-found-shot-killed-on-se-portland-grant-high-school-track" TargetMode="External"/><Relationship Id="rId442" Type="http://schemas.openxmlformats.org/officeDocument/2006/relationships/hyperlink" Target="https://www.courtlistener.com/pdf/2012/06/11/michael_phelps_v._state_of_indiana.pdf" TargetMode="External"/><Relationship Id="rId887" Type="http://schemas.openxmlformats.org/officeDocument/2006/relationships/hyperlink" Target="https://www.columbine-angels.com/School_Violence_1990-1991.htm" TargetMode="External"/><Relationship Id="rId1072" Type="http://schemas.openxmlformats.org/officeDocument/2006/relationships/hyperlink" Target="https://www.newspapers.com/image/131852835/?terms=school%2Bshooting" TargetMode="External"/><Relationship Id="rId302" Type="http://schemas.openxmlformats.org/officeDocument/2006/relationships/hyperlink" Target="https://www.kptv.com/news/crime-stoppers-2017-deadly-shooting-near-menlo-park-elementary-school-remains-unsolved/article_c6c7f520-9dfd-11eb-90de-33d857869811.html" TargetMode="External"/><Relationship Id="rId747" Type="http://schemas.openxmlformats.org/officeDocument/2006/relationships/hyperlink" Target="https://www.cbsnews.com/news/vice-principal-shot-in-scuffle/" TargetMode="External"/><Relationship Id="rId954" Type="http://schemas.openxmlformats.org/officeDocument/2006/relationships/hyperlink" Target="http://articles.chicagotribune.com/1986-03-07/news/8601170427_1_second-teacher-third-period-classes-cap-gun" TargetMode="External"/><Relationship Id="rId83" Type="http://schemas.openxmlformats.org/officeDocument/2006/relationships/hyperlink" Target="https://www.fox19.com/2021/09/22/middletown-school-bus-hit-with-bb-gun-fire/" TargetMode="External"/><Relationship Id="rId179" Type="http://schemas.openxmlformats.org/officeDocument/2006/relationships/hyperlink" Target="https://6abc.com/police-del-man-found-holding-loaded-gun-outside-nj-elementary-school/5346847/" TargetMode="External"/><Relationship Id="rId386" Type="http://schemas.openxmlformats.org/officeDocument/2006/relationships/hyperlink" Target="http://www.kansascity.com/news/local/crime/article9772547.html" TargetMode="External"/><Relationship Id="rId593" Type="http://schemas.openxmlformats.org/officeDocument/2006/relationships/hyperlink" Target="https://dailyjournalonline.com/news/local/farmington-youth-is-headed-for-prison/article_c56ed328-1d5d-5ef6-82a8-d88ae950e9e3.html" TargetMode="External"/><Relationship Id="rId607" Type="http://schemas.openxmlformats.org/officeDocument/2006/relationships/hyperlink" Target="https://cumberlink.com/news/murder-suicide-shocks-school/article_f20ad9ba-ef8b-5fc1-bf1e-2507ab486715.html" TargetMode="External"/><Relationship Id="rId814" Type="http://schemas.openxmlformats.org/officeDocument/2006/relationships/hyperlink" Target="https://www.newspapers.com/image/278601708/?terms=Bay%2BSprings%2BHigh%2BSchool%2Bshooting" TargetMode="External"/><Relationship Id="rId246" Type="http://schemas.openxmlformats.org/officeDocument/2006/relationships/hyperlink" Target="https://www.cbsnews.com/news/kentucky-police-suspect-in-wifes-death-shot-behind-school/" TargetMode="External"/><Relationship Id="rId453" Type="http://schemas.openxmlformats.org/officeDocument/2006/relationships/hyperlink" Target="http://www.latimes.com/la-me-locke01_ki20l0nc-photo.html" TargetMode="External"/><Relationship Id="rId660" Type="http://schemas.openxmlformats.org/officeDocument/2006/relationships/hyperlink" Target="https://www.newspapers.com/image/225032236/?terms=Colonia%2BHigh%2BSchool%2Bhandgun" TargetMode="External"/><Relationship Id="rId898"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1083" Type="http://schemas.openxmlformats.org/officeDocument/2006/relationships/hyperlink" Target="https://www.newspapers.com/image/43183929/?terms=school%2Bshooting" TargetMode="External"/><Relationship Id="rId106" Type="http://schemas.openxmlformats.org/officeDocument/2006/relationships/hyperlink" Target="https://chicago.cbslocal.com/2021/08/14/15-year-old-boy-shot-near-elementary-school-calumet-heights/" TargetMode="External"/><Relationship Id="rId313" Type="http://schemas.openxmlformats.org/officeDocument/2006/relationships/hyperlink" Target="https://www.ksl.com/?sid=42051617&amp;nid=148&amp;title=14-year-old-charged-with-attempted-murder-in-union-middle-school-shooting" TargetMode="External"/><Relationship Id="rId758" Type="http://schemas.openxmlformats.org/officeDocument/2006/relationships/hyperlink" Target="https://www.nytimes.com/1999/01/15/nyregion/2-students-shot-outside-bronx-high-school.html" TargetMode="External"/><Relationship Id="rId965" Type="http://schemas.openxmlformats.org/officeDocument/2006/relationships/hyperlink" Target="https://www.newspapers.com/image/395559841/?terms=TROTWOOD%2BMADISON%2BSCHOOL%2BSHOOTING" TargetMode="External"/><Relationship Id="rId1150" Type="http://schemas.openxmlformats.org/officeDocument/2006/relationships/hyperlink" Target="https://www.newspapers.com/image/72973348/?terms=school%2Bshooting" TargetMode="External"/><Relationship Id="rId10" Type="http://schemas.openxmlformats.org/officeDocument/2006/relationships/hyperlink" Target="https://hudsonvalleypost.com/hudson-valley-man-fatally-shot-outside-new-york-school-poughkeepsie-dutchess-county/" TargetMode="External"/><Relationship Id="rId94" Type="http://schemas.openxmlformats.org/officeDocument/2006/relationships/hyperlink" Target="https://www.fox32chicago.com/news/gary-students-to-return-to-class-after-classmate-shot" TargetMode="External"/><Relationship Id="rId397" Type="http://schemas.openxmlformats.org/officeDocument/2006/relationships/hyperlink" Target="http://www.wbbjtv.com/2014/01/10/police-charge-suspect-in-liberty-tech-shooting/" TargetMode="External"/><Relationship Id="rId520" Type="http://schemas.openxmlformats.org/officeDocument/2006/relationships/hyperlink" Target="https://www.columbine-angels.com/School_Violence_2006-2007.htm" TargetMode="External"/><Relationship Id="rId618" Type="http://schemas.openxmlformats.org/officeDocument/2006/relationships/hyperlink" Target="https://www.columbine-angels.com/School_Violence_2004-2005.htm" TargetMode="External"/><Relationship Id="rId825" Type="http://schemas.openxmlformats.org/officeDocument/2006/relationships/hyperlink" Target="https://www.newspapers.com/image/403198507/?terms=Marcus%2BTaylor%2Bdied" TargetMode="External"/><Relationship Id="rId257" Type="http://schemas.openxmlformats.org/officeDocument/2006/relationships/hyperlink" Target="https://abc7ny.com/teen-in-custody-after-shot-fired-inside-bronx-high-school/3054112/" TargetMode="External"/><Relationship Id="rId464" Type="http://schemas.openxmlformats.org/officeDocument/2006/relationships/hyperlink" Target="https://www.columbine-angels.com/School_Violence_2008-2009.htm" TargetMode="External"/><Relationship Id="rId1010" Type="http://schemas.openxmlformats.org/officeDocument/2006/relationships/hyperlink" Target="https://www.newspapers.com/image/283184637/?terms=student%2Bshot" TargetMode="External"/><Relationship Id="rId1094" Type="http://schemas.openxmlformats.org/officeDocument/2006/relationships/hyperlink" Target="https://www.newspapers.com/image/98347062/?terms=school%2Bshooting" TargetMode="External"/><Relationship Id="rId1108" Type="http://schemas.openxmlformats.org/officeDocument/2006/relationships/hyperlink" Target="https://www.newspapers.com/image/60655345/?terms=school%2Bshooting" TargetMode="External"/><Relationship Id="rId117" Type="http://schemas.openxmlformats.org/officeDocument/2006/relationships/hyperlink" Target="https://www.wate.com/news/local-news/dispatch-knoxville-police-respond-to-reported-shooting-in-north-knoxville/" TargetMode="External"/><Relationship Id="rId671" Type="http://schemas.openxmlformats.org/officeDocument/2006/relationships/hyperlink" Target="https://en.wikipedia.org/wiki/List_of_school_shootings_in_the_United_States" TargetMode="External"/><Relationship Id="rId769" Type="http://schemas.openxmlformats.org/officeDocument/2006/relationships/hyperlink" Target="https://www.newspapers.com/image/455228173/?terms=shot%2Bin%2Bschool%2Bparking%2Blot" TargetMode="External"/><Relationship Id="rId976" Type="http://schemas.openxmlformats.org/officeDocument/2006/relationships/hyperlink" Target="https://www.newspapers.com/image/218042406/?terms=student%2Bshot" TargetMode="External"/><Relationship Id="rId324" Type="http://schemas.openxmlformats.org/officeDocument/2006/relationships/hyperlink" Target="http://www.nbc4i.com/news/one-shot-at-west-side-middle-school-police-looking-for-group-of-males-as-suspects/1114333465" TargetMode="External"/><Relationship Id="rId531" Type="http://schemas.openxmlformats.org/officeDocument/2006/relationships/hyperlink" Target="http://www.keystosaferschools.com/2007startswithabang.htm" TargetMode="External"/><Relationship Id="rId629" Type="http://schemas.openxmlformats.org/officeDocument/2006/relationships/hyperlink" Target="http://articles.orlandosentinel.com/keyword/gun-to-school/recent/3" TargetMode="External"/><Relationship Id="rId1161" Type="http://schemas.openxmlformats.org/officeDocument/2006/relationships/hyperlink" Target="https://www.newspapers.com/image/284280856/?terms=school%2Bshooting" TargetMode="External"/><Relationship Id="rId836" Type="http://schemas.openxmlformats.org/officeDocument/2006/relationships/hyperlink" Target="https://www.newspapers.com/image/752371201/?terms=shot%20at%20school&amp;match=1" TargetMode="External"/><Relationship Id="rId1021" Type="http://schemas.openxmlformats.org/officeDocument/2006/relationships/hyperlink" Target="https://www.newspapers.com/image/130082201/?terms=student%2Bshoots" TargetMode="External"/><Relationship Id="rId1119" Type="http://schemas.openxmlformats.org/officeDocument/2006/relationships/hyperlink" Target="https://www.newspapers.com/image/381696060/?terms=school%2Bshooting" TargetMode="External"/><Relationship Id="rId903"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32" Type="http://schemas.openxmlformats.org/officeDocument/2006/relationships/hyperlink" Target="https://news4sanantonio.com/news/local/police-shot-suspect-after-attempting-to-break-in-school" TargetMode="External"/><Relationship Id="rId181" Type="http://schemas.openxmlformats.org/officeDocument/2006/relationships/hyperlink" Target="https://www.chicagotribune.com/suburbs/lake-county-news-sun/news/ct-lns-waukegan-shooting-arrests-blotter-st-0612-story.html" TargetMode="External"/><Relationship Id="rId279" Type="http://schemas.openxmlformats.org/officeDocument/2006/relationships/hyperlink" Target="http://www.fox5atlanta.com/news/two-students-accidentally-shot-at-banneker-high-school-according-to-principal" TargetMode="External"/><Relationship Id="rId486" Type="http://schemas.openxmlformats.org/officeDocument/2006/relationships/hyperlink" Target="http://www.latimes.com/local/la-me-shoot21-2008sep21-story.html" TargetMode="External"/><Relationship Id="rId693" Type="http://schemas.openxmlformats.org/officeDocument/2006/relationships/hyperlink" Target="http://ssristories.drugawareness.org/archive/showa5f5.html?item=224" TargetMode="External"/><Relationship Id="rId139" Type="http://schemas.openxmlformats.org/officeDocument/2006/relationships/hyperlink" Target="https://www.10tv.com/article/news/local/no-one-hurt-when-columbus-city-schools-bus-shot-in-northeast-columbus/530-16a8f216-efe8-4e7a-922d-4a9ba1c21493" TargetMode="External"/><Relationship Id="rId346" Type="http://schemas.openxmlformats.org/officeDocument/2006/relationships/hyperlink" Target="http://news4sanantonio.com/news/local/deputies-arrest-wagner-high-school-shooting-suspect" TargetMode="External"/><Relationship Id="rId553" Type="http://schemas.openxmlformats.org/officeDocument/2006/relationships/hyperlink" Target="http://www.pressreader.com/usa/austin-american-statesman/20060822/281908768618808" TargetMode="External"/><Relationship Id="rId760" Type="http://schemas.openxmlformats.org/officeDocument/2006/relationships/hyperlink" Target="https://www.newspapers.com/image/156830644/?terms=student%2Bshot" TargetMode="External"/><Relationship Id="rId998" Type="http://schemas.openxmlformats.org/officeDocument/2006/relationships/hyperlink" Target="https://lakehighlands.advocatemag.com/2014/03/history-shooting-lake-highlands-cafeteria-worker-remembered/" TargetMode="External"/><Relationship Id="rId206" Type="http://schemas.openxmlformats.org/officeDocument/2006/relationships/hyperlink" Target="https://www.wxyz.com/news/detroit-police-confirm-shooting-on-cody-high-school-property" TargetMode="External"/><Relationship Id="rId413" Type="http://schemas.openxmlformats.org/officeDocument/2006/relationships/hyperlink" Target="https://www.wsoctv.com/news/local/gunfire-school-campus-part-undercover-drug-operati/335014423" TargetMode="External"/><Relationship Id="rId858" Type="http://schemas.openxmlformats.org/officeDocument/2006/relationships/hyperlink" Target="https://www.nytimes.com/1992/02/27/nyregion/2-teen-agers-shot-to-death-in-a-brooklyn-school.html" TargetMode="External"/><Relationship Id="rId1043" Type="http://schemas.openxmlformats.org/officeDocument/2006/relationships/hyperlink" Target="https://www.newspapers.com/image/217265072/?terms=10-year%2Bold%2Bboy%2Baccidentally%2Bshot" TargetMode="External"/><Relationship Id="rId620" Type="http://schemas.openxmlformats.org/officeDocument/2006/relationships/hyperlink" Target="https://www.cbsnews.com/news/school-bus-driver-shot-to-death/" TargetMode="External"/><Relationship Id="rId718" Type="http://schemas.openxmlformats.org/officeDocument/2006/relationships/hyperlink" Target="http://articles.baltimoresun.com/2001-01-19/news/0101190243_1_sanders-inside-the-school-school-shooting" TargetMode="External"/><Relationship Id="rId925" Type="http://schemas.openxmlformats.org/officeDocument/2006/relationships/hyperlink" Target="https://www.newspapers.com/image/33621001/?terms=crawford%2Bcounty%2Bjoint%2Bvocational" TargetMode="External"/><Relationship Id="rId1110" Type="http://schemas.openxmlformats.org/officeDocument/2006/relationships/hyperlink" Target="https://www.newspapers.com/image/382020739/?terms=school%2Bshooting" TargetMode="External"/><Relationship Id="rId54" Type="http://schemas.openxmlformats.org/officeDocument/2006/relationships/hyperlink" Target="https://www.fox5atlanta.com/news/southwest-dekalb-high-school-student-accidentally-shot" TargetMode="External"/><Relationship Id="rId270" Type="http://schemas.openxmlformats.org/officeDocument/2006/relationships/hyperlink" Target="http://www.wnem.com/story/37105109/breaking-police-investigate-shooting-at-beecher-high-school" TargetMode="External"/><Relationship Id="rId130" Type="http://schemas.openxmlformats.org/officeDocument/2006/relationships/hyperlink" Target="https://www.fox9.com/news/target-shooter-fires-accidental-shots-near-shakopee-sports-stadium" TargetMode="External"/><Relationship Id="rId368" Type="http://schemas.openxmlformats.org/officeDocument/2006/relationships/hyperlink" Target="https://www.miamiherald.com/news/local/crime/article4139118.html" TargetMode="External"/><Relationship Id="rId575" Type="http://schemas.openxmlformats.org/officeDocument/2006/relationships/hyperlink" Target="https://pilotonline.com/news/article_91bd4bea-b9dc-5c30-bff7-43f583e1f7a9.html" TargetMode="External"/><Relationship Id="rId782" Type="http://schemas.openxmlformats.org/officeDocument/2006/relationships/hyperlink" Target="https://pepperbough.com/features/2012/08/17/who-mourns-for-sexy-x/" TargetMode="External"/><Relationship Id="rId228" Type="http://schemas.openxmlformats.org/officeDocument/2006/relationships/hyperlink" Target="https://foxbaltimore.com/news/local/teen-fatally-shot-in-edgewood-high-school-parking-lot" TargetMode="External"/><Relationship Id="rId435" Type="http://schemas.openxmlformats.org/officeDocument/2006/relationships/hyperlink" Target="https://www.chron.com/news/houston-texas/article/Teen-shot-at-North-Forest-High-School-2457718.php" TargetMode="External"/><Relationship Id="rId642" Type="http://schemas.openxmlformats.org/officeDocument/2006/relationships/hyperlink" Target="http://www.wmcactionnews5.com/story/7818497/police-investigate-shooting-inside-classroom-at-hamilton-high/" TargetMode="External"/><Relationship Id="rId1065" Type="http://schemas.openxmlformats.org/officeDocument/2006/relationships/hyperlink" Target="https://news.google.com/newspapers?id=xeUrAAAAIBAJ&amp;pg=1382,878132" TargetMode="External"/><Relationship Id="rId502" Type="http://schemas.openxmlformats.org/officeDocument/2006/relationships/hyperlink" Target="https://www.columbine-angels.com/School_Violence_2006-2007.htm" TargetMode="External"/><Relationship Id="rId947" Type="http://schemas.openxmlformats.org/officeDocument/2006/relationships/hyperlink" Target="https://www.newspapers.com/image/71348642/?terms=Benicia%2BHigh%2BSchool%2Bshooting" TargetMode="External"/><Relationship Id="rId1132" Type="http://schemas.openxmlformats.org/officeDocument/2006/relationships/hyperlink" Target="https://www.newspapers.com/image/151050501/?terms=principal%2Bof%2BLibby%2BC.%2BBooth%2BElementary%2BSchool%2Bwho%2Bwas%2Bshot%2Bto%2Bdeath" TargetMode="External"/><Relationship Id="rId76" Type="http://schemas.openxmlformats.org/officeDocument/2006/relationships/hyperlink" Target="https://chicago.cbslocal.com/video/6072449-video-of-shooting-outside-lakeview-high-school/" TargetMode="External"/><Relationship Id="rId807" Type="http://schemas.openxmlformats.org/officeDocument/2006/relationships/hyperlink" Target="https://www.newspapers.com/image/219396903/?terms=Kennard%2BHigh%2BSchool%2Bsuicide" TargetMode="External"/><Relationship Id="rId292" Type="http://schemas.openxmlformats.org/officeDocument/2006/relationships/hyperlink" Target="https://www.ajc.com/news/crime--law/veteran-lithia-springs-high-teacher-shoots-self-school-classes-canceled/ySkZFldVAcQEqaXTYrihbK/" TargetMode="External"/><Relationship Id="rId597" Type="http://schemas.openxmlformats.org/officeDocument/2006/relationships/hyperlink" Target="https://www.columbine-angels.com/School_Violence_2005-2006.htm" TargetMode="External"/><Relationship Id="rId152" Type="http://schemas.openxmlformats.org/officeDocument/2006/relationships/hyperlink" Target="https://kimatv.com/news/local/police-yakima-teen-arrested-for-threatening-woman-girl-at-and-elementary-school" TargetMode="External"/><Relationship Id="rId457" Type="http://schemas.openxmlformats.org/officeDocument/2006/relationships/hyperlink" Target="https://www.newspapers.com/image/243883968/?terms=robert%2Bfrost%2Belementary%2BSCHOOL" TargetMode="External"/><Relationship Id="rId1087" Type="http://schemas.openxmlformats.org/officeDocument/2006/relationships/hyperlink" Target="https://news.google.com/newspapers?id=LQ9PAAAAIBAJ&amp;pg=3947,2156747" TargetMode="External"/><Relationship Id="rId664" Type="http://schemas.openxmlformats.org/officeDocument/2006/relationships/hyperlink" Target="https://www.columbine-angels.com/School_Violence_2003-2004.htm" TargetMode="External"/><Relationship Id="rId871" Type="http://schemas.openxmlformats.org/officeDocument/2006/relationships/hyperlink" Target="https://www.newspapers.com/image/389496363/?terms=Woodson%2BHigh%2BSchool%2Bshooting" TargetMode="External"/><Relationship Id="rId969" Type="http://schemas.openxmlformats.org/officeDocument/2006/relationships/hyperlink" Target="https://www.newspapers.com/image/245510114/?terms=Prince%2BTechnical%2BHigh%2BSchool" TargetMode="External"/><Relationship Id="rId317" Type="http://schemas.openxmlformats.org/officeDocument/2006/relationships/hyperlink" Target="https://www.al.com/news/mobile/index.ssf/2016/10/teen_injured_in_high_school_sh.html" TargetMode="External"/><Relationship Id="rId524" Type="http://schemas.openxmlformats.org/officeDocument/2006/relationships/hyperlink" Target="https://www.newspapers.com/image/231615256/?terms=Hillcrest%2BHigh%2BSchool%2Bshooting%2BDwight%2BWelch" TargetMode="External"/><Relationship Id="rId731" Type="http://schemas.openxmlformats.org/officeDocument/2006/relationships/hyperlink" Target="https://products.kitsapsun.com/archive/2000/10-19/0036_cafeteria__teen_pleads_guilty_to_.html" TargetMode="External"/><Relationship Id="rId1154" Type="http://schemas.openxmlformats.org/officeDocument/2006/relationships/hyperlink" Target="https://www.newspapers.com/image/164611095/?terms=school%2Bshooting" TargetMode="External"/><Relationship Id="rId98" Type="http://schemas.openxmlformats.org/officeDocument/2006/relationships/hyperlink" Target="https://cbs12.com/news/local/pbc-mom-complains-about-safety-on-buses-after-her-daughter-was-shot-with-a-pellet-gun" TargetMode="External"/><Relationship Id="rId829" Type="http://schemas.openxmlformats.org/officeDocument/2006/relationships/hyperlink" Target="https://people.com/archive/roll-call-of-the-dead-vol-39-no-23/" TargetMode="External"/><Relationship Id="rId1014" Type="http://schemas.openxmlformats.org/officeDocument/2006/relationships/hyperlink" Target="https://www.newspapers.com/image/199055882/?terms=STUDENT%2BSHOOTS" TargetMode="External"/><Relationship Id="rId25" Type="http://schemas.openxmlformats.org/officeDocument/2006/relationships/hyperlink" Target="https://newschannel9.com/news/local/25-year-old-man-shot-to-death-in-chattanooga-near-school-early-friday-morning-east-lake-elementary-murder-homicide" TargetMode="External"/><Relationship Id="rId174" Type="http://schemas.openxmlformats.org/officeDocument/2006/relationships/hyperlink" Target="https://cumberlink.com/news/local/crime-and-courts/school-saint-patrick-parent-accidentally-fires-gun-injures-self-in/article_d58b284e-fd55-5d1f-bf83-91de12e5302d.html" TargetMode="External"/><Relationship Id="rId381" Type="http://schemas.openxmlformats.org/officeDocument/2006/relationships/hyperlink" Target="https://wcti12.com/archive/two-j-h-rose-students-arrested-for-shooting-near-d-h-conley-1" TargetMode="External"/><Relationship Id="rId241" Type="http://schemas.openxmlformats.org/officeDocument/2006/relationships/hyperlink" Target="https://www.mlive.com/news/jackson/index.ssf/2018/04/no_arrests_made_yet_after_jack.html" TargetMode="External"/><Relationship Id="rId479" Type="http://schemas.openxmlformats.org/officeDocument/2006/relationships/hyperlink" Target="http://archive.vcstar.com/news/352401581.html/" TargetMode="External"/><Relationship Id="rId686" Type="http://schemas.openxmlformats.org/officeDocument/2006/relationships/hyperlink" Target="http://articles.chicagotribune.com/2002-12-17/news/0212180098_1_chicago-public-schools-chicago-police-alleged" TargetMode="External"/><Relationship Id="rId893" Type="http://schemas.openxmlformats.org/officeDocument/2006/relationships/hyperlink" Target="https://www.nytimes.com/1990/03/28/nyregion/a-black-is-shot-in-a-high-school-in-bensonshurst.html" TargetMode="External"/><Relationship Id="rId339" Type="http://schemas.openxmlformats.org/officeDocument/2006/relationships/hyperlink" Target="https://www.theindychannel.com/news/local-news/gun-goes-off-outside-northwest-community-hs" TargetMode="External"/><Relationship Id="rId546" Type="http://schemas.openxmlformats.org/officeDocument/2006/relationships/hyperlink" Target="https://www.amazon.com/WIN-Memoir-Shooting-Gabe-Medrano/dp/1432793624" TargetMode="External"/><Relationship Id="rId753" Type="http://schemas.openxmlformats.org/officeDocument/2006/relationships/hyperlink" Target="https://www.deseretnews.com/article/691987/Did-teen-in-school-shooting-have-hit-list.html" TargetMode="External"/><Relationship Id="rId101" Type="http://schemas.openxmlformats.org/officeDocument/2006/relationships/hyperlink" Target="https://www.seattletimes.com/seattle-news/crime/14-year-old-in-critical-condition-teen-in-custody-after-gunfire-erupts-outside-seattle-middle-school/" TargetMode="External"/><Relationship Id="rId406" Type="http://schemas.openxmlformats.org/officeDocument/2006/relationships/hyperlink" Target="https://www.pressherald.com/2013/09/28/19-year-old-kills-himself-at-gray-new-gloucester-high-school/" TargetMode="External"/><Relationship Id="rId960" Type="http://schemas.openxmlformats.org/officeDocument/2006/relationships/hyperlink" Target="https://people.com/archive/a-16-year-old-alabama-boy-points-a-gun-shoots-a-friend-and-kills-himself-in-remorse-vol-25-no-2/" TargetMode="External"/><Relationship Id="rId1036" Type="http://schemas.openxmlformats.org/officeDocument/2006/relationships/hyperlink" Target="https://www.newspapers.com/image/437154147/?terms=jim%2BScherny" TargetMode="External"/><Relationship Id="rId613" Type="http://schemas.openxmlformats.org/officeDocument/2006/relationships/hyperlink" Target="https://www.columbine-angels.com/School_Violence_2004-2005.htm" TargetMode="External"/><Relationship Id="rId820" Type="http://schemas.openxmlformats.org/officeDocument/2006/relationships/hyperlink" Target="http://buffalonews.com/1993/09/18/gunman-wounds-4-at-school-kills-self-shooting-takes-place-on-football-field/" TargetMode="External"/><Relationship Id="rId918" Type="http://schemas.openxmlformats.org/officeDocument/2006/relationships/hyperlink" Target="https://www.newspapers.com/image/145067165/?terms=bridget%2Bisaacs" TargetMode="External"/><Relationship Id="rId1103" Type="http://schemas.openxmlformats.org/officeDocument/2006/relationships/hyperlink" Target="https://www.newspapers.com/image/68536508/?terms=school%2Bshooting" TargetMode="External"/><Relationship Id="rId47" Type="http://schemas.openxmlformats.org/officeDocument/2006/relationships/hyperlink" Target="https://6abc.com/new-foundations-charter-high-school-bullet-classroom-philadelphia-shooting-torresdale-ave/11651217/" TargetMode="External"/><Relationship Id="rId196" Type="http://schemas.openxmlformats.org/officeDocument/2006/relationships/hyperlink" Target="https://fox4kc.com/2018/12/14/police-investigating-reports-of-shot-fired-into-air-and-shooting-at-2-metro-high-schools/" TargetMode="External"/><Relationship Id="rId263" Type="http://schemas.openxmlformats.org/officeDocument/2006/relationships/hyperlink" Target="https://lagniappemobile.com/police-student-fired-weapon-indiscriminately-campus/" TargetMode="External"/><Relationship Id="rId470" Type="http://schemas.openxmlformats.org/officeDocument/2006/relationships/hyperlink" Target="http://www.startribune.com/shattuck-st-mary-s-school-under-fire-on-2008-case/173333511/" TargetMode="External"/><Relationship Id="rId123" Type="http://schemas.openxmlformats.org/officeDocument/2006/relationships/hyperlink" Target="https://www.eastbaytimes.com/2020/11/13/union-city-man-shot-near-cesar-chavez-middle-school/" TargetMode="External"/><Relationship Id="rId330" Type="http://schemas.openxmlformats.org/officeDocument/2006/relationships/hyperlink" Target="https://magicvalley.com/news/local/education/update-school-district-students-in-custody-after-gun-fired-at/article_f23be68f-936b-51ce-847a-f0a02e99f3a0.html" TargetMode="External"/><Relationship Id="rId568" Type="http://schemas.openxmlformats.org/officeDocument/2006/relationships/hyperlink" Target="https://www.ydr.com/story/news/local/blogs/teen-takeover/2006/02/24/school-censoring-student-writi/31691051/" TargetMode="External"/><Relationship Id="rId775" Type="http://schemas.openxmlformats.org/officeDocument/2006/relationships/hyperlink" Target="https://www.nytimes.com/1997/02/14/nyregion/gunfire-injures-2-students-at-high-schools-in-bronx.html?auth=login-google" TargetMode="External"/><Relationship Id="rId982" Type="http://schemas.openxmlformats.org/officeDocument/2006/relationships/hyperlink" Target="https://www.newspapers.com/image/337840295/?terms=STUDENT%2BSHOOTS" TargetMode="External"/><Relationship Id="rId428" Type="http://schemas.openxmlformats.org/officeDocument/2006/relationships/hyperlink" Target="https://www.newspapers.com/image/452822197" TargetMode="External"/><Relationship Id="rId635" Type="http://schemas.openxmlformats.org/officeDocument/2006/relationships/hyperlink" Target="http://articles.latimes.com/2004/oct/17/local/me-sbriefs17.2" TargetMode="External"/><Relationship Id="rId842" Type="http://schemas.openxmlformats.org/officeDocument/2006/relationships/hyperlink" Target="https://www.nytimes.com/1993/01/07/nyregion/school-upset-by-shooting-of-teen-ager-during-game.html" TargetMode="External"/><Relationship Id="rId1058" Type="http://schemas.openxmlformats.org/officeDocument/2006/relationships/hyperlink" Target="https://www.newspapers.com/image/178054448/?terms=school%2Bshoot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tabSelected="1" workbookViewId="0"/>
  </sheetViews>
  <sheetFormatPr defaultColWidth="12.5703125" defaultRowHeight="15.75" customHeight="1"/>
  <cols>
    <col min="1" max="1" width="114" customWidth="1"/>
  </cols>
  <sheetData>
    <row r="1" spans="1:1" ht="14.25">
      <c r="A1" s="1" t="str">
        <f ca="1">IFERROR(__xludf.DUMMYFUNCTION("IMPORTRANGE(""https://docs.google.com/spreadsheets/d/13by1rx0kMN24Sm2nKqqR6GsRtIyhgOO8U6IyuCHwhEU/edit#gid=1519919770"", ""Cover!A1:A25"")"),"K-12 School Shooting Database")</f>
        <v>K-12 School Shooting Database</v>
      </c>
    </row>
    <row r="2" spans="1:1" ht="25.5">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2.75">
      <c r="A4" s="3" t="str">
        <f ca="1">IFERROR(__xludf.DUMMYFUNCTION("""COMPUTED_VALUE"""),"Research Methods: https://docs.google.com/document/d/1wN7zCl5EfzqbFytRZlzObj_4XWbUqpujG6vOPvAvxvM/edit?usp=sharing")</f>
        <v>Research Methods: https://docs.google.com/document/d/1wN7zCl5EfzqbFytRZlzObj_4XWbUqpujG6vOPvAvxvM/edit?usp=sharing</v>
      </c>
    </row>
    <row r="5" spans="1:1" ht="12.75">
      <c r="A5" s="2"/>
    </row>
    <row r="6" spans="1:1" ht="63.75">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2.75">
      <c r="A7" s="2" t="str">
        <f ca="1">IFERROR(__xludf.DUMMYFUNCTION("""COMPUTED_VALUE"""),"Use of this data must be cited with: Riedman, David. ""K-12 School Shooting Database"" (2022). [date downloaded]")</f>
        <v>Use of this data must be cited with: Riedman, David. "K-12 School Shooting Database" (2022). [date downloaded]</v>
      </c>
    </row>
    <row r="8" spans="1:1" ht="12.75">
      <c r="A8" s="4" t="str">
        <f ca="1">IFERROR(__xludf.DUMMYFUNCTION("""COMPUTED_VALUE"""),"To request an excel copy of the raw data, email k12ssdb@gmail.com ")</f>
        <v xml:space="preserve">To request an excel copy of the raw data, email k12ssdb@gmail.com </v>
      </c>
    </row>
    <row r="9" spans="1:1" ht="12.75">
      <c r="A9" s="2"/>
    </row>
    <row r="10" spans="1:1" ht="12.75">
      <c r="A10" s="2" t="str">
        <f ca="1">IFERROR(__xludf.DUMMYFUNCTION("""COMPUTED_VALUE"""),"If you find errors or have information about missing incidents, please email k12ssdb@gmail.com")</f>
        <v>If you find errors or have information about missing incidents, please email k12ssdb@gmail.com</v>
      </c>
    </row>
    <row r="11" spans="1:1" ht="12.75">
      <c r="A11" s="2"/>
    </row>
    <row r="12" spans="1:1" ht="12.75">
      <c r="A12" s="2" t="str">
        <f ca="1">IFERROR(__xludf.DUMMYFUNCTION("""COMPUTED_VALUE"""),"Sheet Details:")</f>
        <v>Sheet Details:</v>
      </c>
    </row>
    <row r="13" spans="1:1" ht="25.5">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2.75">
      <c r="A14" s="2" t="str">
        <f ca="1">IFERROR(__xludf.DUMMYFUNCTION("""COMPUTED_VALUE"""),"Incident Tab: Incident ID number and the details of what, where, and when the shooting happened.")</f>
        <v>Incident Tab: Incident ID number and the details of what, where, and when the shooting happened.</v>
      </c>
    </row>
    <row r="15" spans="1:1" ht="25.5">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5.5">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5.5">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2.75">
      <c r="A18" s="5"/>
    </row>
    <row r="19" spans="1:1" ht="12.75">
      <c r="A19" s="5"/>
    </row>
    <row r="20" spans="1:1" ht="12.75">
      <c r="A20" s="5"/>
    </row>
    <row r="21" spans="1:1" ht="12.75">
      <c r="A21" s="5"/>
    </row>
    <row r="22" spans="1:1" ht="12.75">
      <c r="A22" s="5"/>
    </row>
    <row r="23" spans="1:1" ht="12.75">
      <c r="A23" s="5"/>
    </row>
    <row r="24" spans="1:1" ht="12.75">
      <c r="A24" s="5"/>
    </row>
    <row r="25" spans="1:1" ht="12.75">
      <c r="A25" s="5"/>
    </row>
  </sheetData>
  <hyperlinks>
    <hyperlink ref="A4" r:id="rId1" display="https://docs.google.com/document/d/1wN7zCl5EfzqbFytRZlzObj_4XWbUqpujG6vOPvAvxvM/edit?usp=sharing"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M2571"/>
  <sheetViews>
    <sheetView workbookViewId="0">
      <pane xSplit="3" ySplit="1" topLeftCell="D2" activePane="bottomRight" state="frozen"/>
      <selection pane="topRight" activeCell="G1" sqref="G1"/>
      <selection pane="bottomLeft" activeCell="A2" sqref="A2"/>
      <selection pane="bottomRight"/>
    </sheetView>
  </sheetViews>
  <sheetFormatPr defaultColWidth="12.5703125" defaultRowHeight="15.75" customHeight="1"/>
  <cols>
    <col min="2" max="2" width="9.85546875" customWidth="1"/>
    <col min="3" max="3" width="23.140625" customWidth="1"/>
    <col min="4" max="4" width="10.42578125" customWidth="1"/>
    <col min="9" max="9" width="9.85546875" customWidth="1"/>
    <col min="11" max="11" width="9.28515625" customWidth="1"/>
  </cols>
  <sheetData>
    <row r="1" spans="1:39" ht="15.75" customHeight="1">
      <c r="A1" s="6" t="str">
        <f ca="1">IFERROR(__xludf.DUMMYFUNCTION("IMPORTRANGE(""https://docs.google.com/spreadsheets/d/13by1rx0kMN24Sm2nKqqR6GsRtIyhgOO8U6IyuCHwhEU/edit#gid=1519919770"", ""Incident!A1:AL3000"")"),"Incident_ID")</f>
        <v>Incident_ID</v>
      </c>
      <c r="B1" s="7" t="str">
        <f ca="1">IFERROR(__xludf.DUMMYFUNCTION("""COMPUTED_VALUE"""),"Date")</f>
        <v>Date</v>
      </c>
      <c r="C1" s="7" t="str">
        <f ca="1">IFERROR(__xludf.DUMMYFUNCTION("""COMPUTED_VALUE"""),"School")</f>
        <v>School</v>
      </c>
      <c r="D1" s="7" t="str">
        <f ca="1">IFERROR(__xludf.DUMMYFUNCTION("""COMPUTED_VALUE"""),"Victims_Killed")</f>
        <v>Victims_Killed</v>
      </c>
      <c r="E1" s="7" t="str">
        <f ca="1">IFERROR(__xludf.DUMMYFUNCTION("""COMPUTED_VALUE"""),"Victims_Wounded")</f>
        <v>Victims_Wounded</v>
      </c>
      <c r="F1" s="7" t="str">
        <f ca="1">IFERROR(__xludf.DUMMYFUNCTION("""COMPUTED_VALUE"""),"Number_Victims")</f>
        <v>Number_Victims</v>
      </c>
      <c r="G1" s="7" t="str">
        <f ca="1">IFERROR(__xludf.DUMMYFUNCTION("""COMPUTED_VALUE"""),"Shooter_Killed")</f>
        <v>Shooter_Killed</v>
      </c>
      <c r="H1" s="7" t="str">
        <f ca="1">IFERROR(__xludf.DUMMYFUNCTION("""COMPUTED_VALUE"""),"Source")</f>
        <v>Source</v>
      </c>
      <c r="I1" s="7" t="str">
        <f ca="1">IFERROR(__xludf.DUMMYFUNCTION("""COMPUTED_VALUE"""),"Number_News")</f>
        <v>Number_News</v>
      </c>
      <c r="J1" s="7" t="str">
        <f ca="1">IFERROR(__xludf.DUMMYFUNCTION("""COMPUTED_VALUE"""),"Media_Attention")</f>
        <v>Media_Attention</v>
      </c>
      <c r="K1" s="7" t="str">
        <f ca="1">IFERROR(__xludf.DUMMYFUNCTION("""COMPUTED_VALUE"""),"Reliability")</f>
        <v>Reliability</v>
      </c>
      <c r="L1" s="7" t="str">
        <f ca="1">IFERROR(__xludf.DUMMYFUNCTION("""COMPUTED_VALUE"""),"Quarter")</f>
        <v>Quarter</v>
      </c>
      <c r="M1" s="7" t="str">
        <f ca="1">IFERROR(__xludf.DUMMYFUNCTION("""COMPUTED_VALUE"""),"City")</f>
        <v>City</v>
      </c>
      <c r="N1" s="7" t="str">
        <f ca="1">IFERROR(__xludf.DUMMYFUNCTION("""COMPUTED_VALUE"""),"State")</f>
        <v>State</v>
      </c>
      <c r="O1" s="7" t="str">
        <f ca="1">IFERROR(__xludf.DUMMYFUNCTION("""COMPUTED_VALUE"""),"School_Level")</f>
        <v>School_Level</v>
      </c>
      <c r="P1" s="7" t="str">
        <f ca="1">IFERROR(__xludf.DUMMYFUNCTION("""COMPUTED_VALUE"""),"Location")</f>
        <v>Location</v>
      </c>
      <c r="Q1" s="7" t="str">
        <f ca="1">IFERROR(__xludf.DUMMYFUNCTION("""COMPUTED_VALUE"""),"Location_Type")</f>
        <v>Location_Type</v>
      </c>
      <c r="R1" s="7" t="str">
        <f ca="1">IFERROR(__xludf.DUMMYFUNCTION("""COMPUTED_VALUE"""),"During_School")</f>
        <v>During_School</v>
      </c>
      <c r="S1" s="7" t="str">
        <f ca="1">IFERROR(__xludf.DUMMYFUNCTION("""COMPUTED_VALUE"""),"Time_Period")</f>
        <v>Time_Period</v>
      </c>
      <c r="T1" s="7" t="str">
        <f ca="1">IFERROR(__xludf.DUMMYFUNCTION("""COMPUTED_VALUE"""),"First_Shot")</f>
        <v>First_Shot</v>
      </c>
      <c r="U1" s="7" t="str">
        <f ca="1">IFERROR(__xludf.DUMMYFUNCTION("""COMPUTED_VALUE"""),"Duration_min")</f>
        <v>Duration_min</v>
      </c>
      <c r="V1" s="7" t="str">
        <f ca="1">IFERROR(__xludf.DUMMYFUNCTION("""COMPUTED_VALUE"""),"Summary")</f>
        <v>Summary</v>
      </c>
      <c r="W1" s="7" t="str">
        <f ca="1">IFERROR(__xludf.DUMMYFUNCTION("""COMPUTED_VALUE"""),"Narrative")</f>
        <v>Narrative</v>
      </c>
      <c r="X1" s="7" t="str">
        <f ca="1">IFERROR(__xludf.DUMMYFUNCTION("""COMPUTED_VALUE"""),"Situation")</f>
        <v>Situation</v>
      </c>
      <c r="Y1" s="7" t="str">
        <f ca="1">IFERROR(__xludf.DUMMYFUNCTION("""COMPUTED_VALUE"""),"Targets")</f>
        <v>Targets</v>
      </c>
      <c r="Z1" s="7" t="str">
        <f ca="1">IFERROR(__xludf.DUMMYFUNCTION("""COMPUTED_VALUE"""),"Accomplice")</f>
        <v>Accomplice</v>
      </c>
      <c r="AA1" s="7" t="str">
        <f ca="1">IFERROR(__xludf.DUMMYFUNCTION("""COMPUTED_VALUE"""),"Accomplice_Narrative")</f>
        <v>Accomplice_Narrative</v>
      </c>
      <c r="AB1" s="7" t="str">
        <f ca="1">IFERROR(__xludf.DUMMYFUNCTION("""COMPUTED_VALUE"""),"Hostages")</f>
        <v>Hostages</v>
      </c>
      <c r="AC1" s="7" t="str">
        <f ca="1">IFERROR(__xludf.DUMMYFUNCTION("""COMPUTED_VALUE"""),"Barricade")</f>
        <v>Barricade</v>
      </c>
      <c r="AD1" s="7" t="str">
        <f ca="1">IFERROR(__xludf.DUMMYFUNCTION("""COMPUTED_VALUE"""),"Officer_Involved")</f>
        <v>Officer_Involved</v>
      </c>
      <c r="AE1" s="7" t="str">
        <f ca="1">IFERROR(__xludf.DUMMYFUNCTION("""COMPUTED_VALUE"""),"Bullied")</f>
        <v>Bullied</v>
      </c>
      <c r="AF1" s="7" t="str">
        <f ca="1">IFERROR(__xludf.DUMMYFUNCTION("""COMPUTED_VALUE"""),"Domestic_Violence")</f>
        <v>Domestic_Violence</v>
      </c>
      <c r="AG1" s="7" t="str">
        <f ca="1">IFERROR(__xludf.DUMMYFUNCTION("""COMPUTED_VALUE"""),"Gang_Related")</f>
        <v>Gang_Related</v>
      </c>
      <c r="AH1" s="7" t="str">
        <f ca="1">IFERROR(__xludf.DUMMYFUNCTION("""COMPUTED_VALUE"""),"Active_Shooter_FBI")</f>
        <v>Active_Shooter_FBI</v>
      </c>
      <c r="AI1" s="7"/>
      <c r="AJ1" s="7"/>
      <c r="AK1" s="7"/>
      <c r="AL1" s="7"/>
      <c r="AM1" s="7"/>
    </row>
    <row r="2" spans="1:39" ht="12.75">
      <c r="A2" s="5" t="str">
        <f ca="1">IFERROR(__xludf.DUMMYFUNCTION("""COMPUTED_VALUE"""),"20220904FLBOL")</f>
        <v>20220904FLBOL</v>
      </c>
      <c r="B2" s="8">
        <f ca="1">IFERROR(__xludf.DUMMYFUNCTION("""COMPUTED_VALUE"""),44808)</f>
        <v>44808</v>
      </c>
      <c r="C2" s="5" t="str">
        <f ca="1">IFERROR(__xludf.DUMMYFUNCTION("""COMPUTED_VALUE"""),"Boyd H. Anderson High School")</f>
        <v>Boyd H. Anderson High School</v>
      </c>
      <c r="D2" s="5">
        <f ca="1">IFERROR(__xludf.DUMMYFUNCTION("""COMPUTED_VALUE"""),0)</f>
        <v>0</v>
      </c>
      <c r="E2" s="5">
        <f ca="1">IFERROR(__xludf.DUMMYFUNCTION("""COMPUTED_VALUE"""),4)</f>
        <v>4</v>
      </c>
      <c r="F2" s="5">
        <f ca="1">IFERROR(__xludf.DUMMYFUNCTION("""COMPUTED_VALUE"""),4)</f>
        <v>4</v>
      </c>
      <c r="G2" s="5">
        <f ca="1">IFERROR(__xludf.DUMMYFUNCTION("""COMPUTED_VALUE"""),0)</f>
        <v>0</v>
      </c>
      <c r="H2"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I2" s="5">
        <f ca="1">IFERROR(__xludf.DUMMYFUNCTION("""COMPUTED_VALUE"""),10)</f>
        <v>10</v>
      </c>
      <c r="J2" s="5" t="str">
        <f ca="1">IFERROR(__xludf.DUMMYFUNCTION("""COMPUTED_VALUE"""),"Regional")</f>
        <v>Regional</v>
      </c>
      <c r="K2" s="5">
        <f ca="1">IFERROR(__xludf.DUMMYFUNCTION("""COMPUTED_VALUE"""),4)</f>
        <v>4</v>
      </c>
      <c r="L2" s="5" t="str">
        <f ca="1">IFERROR(__xludf.DUMMYFUNCTION("""COMPUTED_VALUE"""),"Fall")</f>
        <v>Fall</v>
      </c>
      <c r="M2" s="5" t="str">
        <f ca="1">IFERROR(__xludf.DUMMYFUNCTION("""COMPUTED_VALUE"""),"Lauderdale Lakes")</f>
        <v>Lauderdale Lakes</v>
      </c>
      <c r="N2" s="5" t="str">
        <f ca="1">IFERROR(__xludf.DUMMYFUNCTION("""COMPUTED_VALUE"""),"FL")</f>
        <v>FL</v>
      </c>
      <c r="O2" s="5" t="str">
        <f ca="1">IFERROR(__xludf.DUMMYFUNCTION("""COMPUTED_VALUE"""),"High")</f>
        <v>High</v>
      </c>
      <c r="P2" s="5" t="str">
        <f ca="1">IFERROR(__xludf.DUMMYFUNCTION("""COMPUTED_VALUE"""),"Football Field/Track")</f>
        <v>Football Field/Track</v>
      </c>
      <c r="Q2" s="5" t="str">
        <f ca="1">IFERROR(__xludf.DUMMYFUNCTION("""COMPUTED_VALUE"""),"Outside on School Property")</f>
        <v>Outside on School Property</v>
      </c>
      <c r="R2" s="5" t="str">
        <f ca="1">IFERROR(__xludf.DUMMYFUNCTION("""COMPUTED_VALUE"""),"No")</f>
        <v>No</v>
      </c>
      <c r="S2" s="5" t="str">
        <f ca="1">IFERROR(__xludf.DUMMYFUNCTION("""COMPUTED_VALUE"""),"School Event")</f>
        <v>School Event</v>
      </c>
      <c r="T2" s="10">
        <f ca="1">IFERROR(__xludf.DUMMYFUNCTION("""COMPUTED_VALUE"""),0.854166666666666)</f>
        <v>0.85416666666666596</v>
      </c>
      <c r="U2" s="5">
        <f ca="1">IFERROR(__xludf.DUMMYFUNCTION("""COMPUTED_VALUE"""),1)</f>
        <v>1</v>
      </c>
      <c r="V2" s="5" t="str">
        <f ca="1">IFERROR(__xludf.DUMMYFUNCTION("""COMPUTED_VALUE"""),"Four juveniles shot at youth football game")</f>
        <v>Four juveniles shot at youth football game</v>
      </c>
      <c r="W2"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X2" s="5" t="str">
        <f ca="1">IFERROR(__xludf.DUMMYFUNCTION("""COMPUTED_VALUE"""),"Escalation of Dispute")</f>
        <v>Escalation of Dispute</v>
      </c>
      <c r="Y2" s="5" t="str">
        <f ca="1">IFERROR(__xludf.DUMMYFUNCTION("""COMPUTED_VALUE"""),"Both")</f>
        <v>Both</v>
      </c>
      <c r="Z2" s="5" t="str">
        <f ca="1">IFERROR(__xludf.DUMMYFUNCTION("""COMPUTED_VALUE"""),"No")</f>
        <v>No</v>
      </c>
      <c r="AA2" s="5"/>
      <c r="AB2" s="5" t="str">
        <f ca="1">IFERROR(__xludf.DUMMYFUNCTION("""COMPUTED_VALUE"""),"No")</f>
        <v>No</v>
      </c>
      <c r="AC2" s="5" t="str">
        <f ca="1">IFERROR(__xludf.DUMMYFUNCTION("""COMPUTED_VALUE"""),"No")</f>
        <v>No</v>
      </c>
      <c r="AD2" s="5" t="str">
        <f ca="1">IFERROR(__xludf.DUMMYFUNCTION("""COMPUTED_VALUE"""),"No")</f>
        <v>No</v>
      </c>
      <c r="AE2" s="5" t="str">
        <f ca="1">IFERROR(__xludf.DUMMYFUNCTION("""COMPUTED_VALUE"""),"No")</f>
        <v>No</v>
      </c>
      <c r="AF2" s="5" t="str">
        <f ca="1">IFERROR(__xludf.DUMMYFUNCTION("""COMPUTED_VALUE"""),"No")</f>
        <v>No</v>
      </c>
      <c r="AG2" s="5"/>
      <c r="AH2" s="5" t="str">
        <f ca="1">IFERROR(__xludf.DUMMYFUNCTION("""COMPUTED_VALUE"""),"No")</f>
        <v>No</v>
      </c>
    </row>
    <row r="3" spans="1:39" ht="12.75">
      <c r="A3" s="5" t="str">
        <f ca="1">IFERROR(__xludf.DUMMYFUNCTION("""COMPUTED_VALUE"""),"20220902MDMEB")</f>
        <v>20220902MDMEB</v>
      </c>
      <c r="B3" s="8">
        <f ca="1">IFERROR(__xludf.DUMMYFUNCTION("""COMPUTED_VALUE"""),44806)</f>
        <v>44806</v>
      </c>
      <c r="C3" s="5" t="str">
        <f ca="1">IFERROR(__xludf.DUMMYFUNCTION("""COMPUTED_VALUE"""),"Mergenthaler Vocational-Technical High School")</f>
        <v>Mergenthaler Vocational-Technical High School</v>
      </c>
      <c r="D3" s="5">
        <f ca="1">IFERROR(__xludf.DUMMYFUNCTION("""COMPUTED_VALUE"""),1)</f>
        <v>1</v>
      </c>
      <c r="E3" s="5">
        <f ca="1">IFERROR(__xludf.DUMMYFUNCTION("""COMPUTED_VALUE"""),0)</f>
        <v>0</v>
      </c>
      <c r="F3" s="5">
        <f ca="1">IFERROR(__xludf.DUMMYFUNCTION("""COMPUTED_VALUE"""),1)</f>
        <v>1</v>
      </c>
      <c r="G3" s="5">
        <f ca="1">IFERROR(__xludf.DUMMYFUNCTION("""COMPUTED_VALUE"""),0)</f>
        <v>0</v>
      </c>
      <c r="H3"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I3" s="5">
        <f ca="1">IFERROR(__xludf.DUMMYFUNCTION("""COMPUTED_VALUE"""),10)</f>
        <v>10</v>
      </c>
      <c r="J3" s="5" t="str">
        <f ca="1">IFERROR(__xludf.DUMMYFUNCTION("""COMPUTED_VALUE"""),"Regional")</f>
        <v>Regional</v>
      </c>
      <c r="K3" s="5">
        <f ca="1">IFERROR(__xludf.DUMMYFUNCTION("""COMPUTED_VALUE"""),4)</f>
        <v>4</v>
      </c>
      <c r="L3" s="5" t="str">
        <f ca="1">IFERROR(__xludf.DUMMYFUNCTION("""COMPUTED_VALUE"""),"Fall")</f>
        <v>Fall</v>
      </c>
      <c r="M3" s="5" t="str">
        <f ca="1">IFERROR(__xludf.DUMMYFUNCTION("""COMPUTED_VALUE"""),"Baltimore")</f>
        <v>Baltimore</v>
      </c>
      <c r="N3" s="5" t="str">
        <f ca="1">IFERROR(__xludf.DUMMYFUNCTION("""COMPUTED_VALUE"""),"MD")</f>
        <v>MD</v>
      </c>
      <c r="O3" s="5" t="str">
        <f ca="1">IFERROR(__xludf.DUMMYFUNCTION("""COMPUTED_VALUE"""),"High")</f>
        <v>High</v>
      </c>
      <c r="P3" s="5" t="str">
        <f ca="1">IFERROR(__xludf.DUMMYFUNCTION("""COMPUTED_VALUE"""),"Parking Lot")</f>
        <v>Parking Lot</v>
      </c>
      <c r="Q3" s="5" t="str">
        <f ca="1">IFERROR(__xludf.DUMMYFUNCTION("""COMPUTED_VALUE"""),"Outside on School Property")</f>
        <v>Outside on School Property</v>
      </c>
      <c r="R3" s="5" t="str">
        <f ca="1">IFERROR(__xludf.DUMMYFUNCTION("""COMPUTED_VALUE"""),"Yes")</f>
        <v>Yes</v>
      </c>
      <c r="S3" s="5" t="str">
        <f ca="1">IFERROR(__xludf.DUMMYFUNCTION("""COMPUTED_VALUE"""),"Dismissal")</f>
        <v>Dismissal</v>
      </c>
      <c r="T3" s="10">
        <f ca="1">IFERROR(__xludf.DUMMYFUNCTION("""COMPUTED_VALUE"""),0.621527777777777)</f>
        <v>0.62152777777777701</v>
      </c>
      <c r="U3" s="5">
        <f ca="1">IFERROR(__xludf.DUMMYFUNCTION("""COMPUTED_VALUE"""),1)</f>
        <v>1</v>
      </c>
      <c r="V3" s="5" t="str">
        <f ca="1">IFERROR(__xludf.DUMMYFUNCTION("""COMPUTED_VALUE"""),"Student from another school fatally shot a student in the parking lot at dismissal")</f>
        <v>Student from another school fatally shot a student in the parking lot at dismissal</v>
      </c>
      <c r="W3"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X3" s="5" t="str">
        <f ca="1">IFERROR(__xludf.DUMMYFUNCTION("""COMPUTED_VALUE"""),"Escalation of Dispute")</f>
        <v>Escalation of Dispute</v>
      </c>
      <c r="Y3" s="5" t="str">
        <f ca="1">IFERROR(__xludf.DUMMYFUNCTION("""COMPUTED_VALUE"""),"Victims Targeted")</f>
        <v>Victims Targeted</v>
      </c>
      <c r="Z3" s="5" t="str">
        <f ca="1">IFERROR(__xludf.DUMMYFUNCTION("""COMPUTED_VALUE"""),"No")</f>
        <v>No</v>
      </c>
      <c r="AA3" s="5"/>
      <c r="AB3" s="5" t="str">
        <f ca="1">IFERROR(__xludf.DUMMYFUNCTION("""COMPUTED_VALUE"""),"No")</f>
        <v>No</v>
      </c>
      <c r="AC3" s="5" t="str">
        <f ca="1">IFERROR(__xludf.DUMMYFUNCTION("""COMPUTED_VALUE"""),"No")</f>
        <v>No</v>
      </c>
      <c r="AD3" s="5" t="str">
        <f ca="1">IFERROR(__xludf.DUMMYFUNCTION("""COMPUTED_VALUE"""),"No")</f>
        <v>No</v>
      </c>
      <c r="AE3" s="5" t="str">
        <f ca="1">IFERROR(__xludf.DUMMYFUNCTION("""COMPUTED_VALUE"""),"No")</f>
        <v>No</v>
      </c>
      <c r="AF3" s="5" t="str">
        <f ca="1">IFERROR(__xludf.DUMMYFUNCTION("""COMPUTED_VALUE"""),"No")</f>
        <v>No</v>
      </c>
      <c r="AG3" s="5"/>
      <c r="AH3" s="5" t="str">
        <f ca="1">IFERROR(__xludf.DUMMYFUNCTION("""COMPUTED_VALUE"""),"No")</f>
        <v>No</v>
      </c>
    </row>
    <row r="4" spans="1:39" ht="12.75">
      <c r="A4" s="5" t="str">
        <f ca="1">IFERROR(__xludf.DUMMYFUNCTION("""COMPUTED_VALUE"""),"20220831DCIDW")</f>
        <v>20220831DCIDW</v>
      </c>
      <c r="B4" s="8">
        <f ca="1">IFERROR(__xludf.DUMMYFUNCTION("""COMPUTED_VALUE"""),44804)</f>
        <v>44804</v>
      </c>
      <c r="C4" s="5" t="str">
        <f ca="1">IFERROR(__xludf.DUMMYFUNCTION("""COMPUTED_VALUE"""),"IDEA Public Charter School")</f>
        <v>IDEA Public Charter School</v>
      </c>
      <c r="D4" s="5">
        <f ca="1">IFERROR(__xludf.DUMMYFUNCTION("""COMPUTED_VALUE"""),0)</f>
        <v>0</v>
      </c>
      <c r="E4" s="5">
        <f ca="1">IFERROR(__xludf.DUMMYFUNCTION("""COMPUTED_VALUE"""),2)</f>
        <v>2</v>
      </c>
      <c r="F4" s="5">
        <f ca="1">IFERROR(__xludf.DUMMYFUNCTION("""COMPUTED_VALUE"""),2)</f>
        <v>2</v>
      </c>
      <c r="G4" s="5">
        <f ca="1">IFERROR(__xludf.DUMMYFUNCTION("""COMPUTED_VALUE"""),0)</f>
        <v>0</v>
      </c>
      <c r="H4"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I4" s="5">
        <f ca="1">IFERROR(__xludf.DUMMYFUNCTION("""COMPUTED_VALUE"""),10)</f>
        <v>10</v>
      </c>
      <c r="J4" s="5" t="str">
        <f ca="1">IFERROR(__xludf.DUMMYFUNCTION("""COMPUTED_VALUE"""),"Regional")</f>
        <v>Regional</v>
      </c>
      <c r="K4" s="5">
        <f ca="1">IFERROR(__xludf.DUMMYFUNCTION("""COMPUTED_VALUE"""),4)</f>
        <v>4</v>
      </c>
      <c r="L4" s="5" t="str">
        <f ca="1">IFERROR(__xludf.DUMMYFUNCTION("""COMPUTED_VALUE"""),"Summer")</f>
        <v>Summer</v>
      </c>
      <c r="M4" s="5" t="str">
        <f ca="1">IFERROR(__xludf.DUMMYFUNCTION("""COMPUTED_VALUE"""),"Washington")</f>
        <v>Washington</v>
      </c>
      <c r="N4" s="5" t="str">
        <f ca="1">IFERROR(__xludf.DUMMYFUNCTION("""COMPUTED_VALUE"""),"DC")</f>
        <v>DC</v>
      </c>
      <c r="O4" s="5" t="str">
        <f ca="1">IFERROR(__xludf.DUMMYFUNCTION("""COMPUTED_VALUE"""),"High")</f>
        <v>High</v>
      </c>
      <c r="P4" s="5" t="str">
        <f ca="1">IFERROR(__xludf.DUMMYFUNCTION("""COMPUTED_VALUE"""),"Front of School")</f>
        <v>Front of School</v>
      </c>
      <c r="Q4" s="5" t="str">
        <f ca="1">IFERROR(__xludf.DUMMYFUNCTION("""COMPUTED_VALUE"""),"Outside on School Property")</f>
        <v>Outside on School Property</v>
      </c>
      <c r="R4" s="5" t="str">
        <f ca="1">IFERROR(__xludf.DUMMYFUNCTION("""COMPUTED_VALUE"""),"Yes")</f>
        <v>Yes</v>
      </c>
      <c r="S4" s="5" t="str">
        <f ca="1">IFERROR(__xludf.DUMMYFUNCTION("""COMPUTED_VALUE"""),"Morning Classes")</f>
        <v>Morning Classes</v>
      </c>
      <c r="T4" s="10">
        <f ca="1">IFERROR(__xludf.DUMMYFUNCTION("""COMPUTED_VALUE"""),0.416666666666666)</f>
        <v>0.41666666666666602</v>
      </c>
      <c r="U4" s="5">
        <f ca="1">IFERROR(__xludf.DUMMYFUNCTION("""COMPUTED_VALUE"""),1)</f>
        <v>1</v>
      </c>
      <c r="V4" s="5" t="str">
        <f ca="1">IFERROR(__xludf.DUMMYFUNCTION("""COMPUTED_VALUE"""),"Student shot two classmates in front of school")</f>
        <v>Student shot two classmates in front of school</v>
      </c>
      <c r="W4"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X4" s="5" t="str">
        <f ca="1">IFERROR(__xludf.DUMMYFUNCTION("""COMPUTED_VALUE"""),"Escalation of Dispute")</f>
        <v>Escalation of Dispute</v>
      </c>
      <c r="Y4" s="5" t="str">
        <f ca="1">IFERROR(__xludf.DUMMYFUNCTION("""COMPUTED_VALUE"""),"Victims Targeted")</f>
        <v>Victims Targeted</v>
      </c>
      <c r="Z4" s="5" t="str">
        <f ca="1">IFERROR(__xludf.DUMMYFUNCTION("""COMPUTED_VALUE"""),"Yes")</f>
        <v>Yes</v>
      </c>
      <c r="AA4" s="5" t="str">
        <f ca="1">IFERROR(__xludf.DUMMYFUNCTION("""COMPUTED_VALUE"""),"Two students attempted to bypass security")</f>
        <v>Two students attempted to bypass security</v>
      </c>
      <c r="AB4" s="5" t="str">
        <f ca="1">IFERROR(__xludf.DUMMYFUNCTION("""COMPUTED_VALUE"""),"No")</f>
        <v>No</v>
      </c>
      <c r="AC4" s="5" t="str">
        <f ca="1">IFERROR(__xludf.DUMMYFUNCTION("""COMPUTED_VALUE"""),"No")</f>
        <v>No</v>
      </c>
      <c r="AD4" s="5" t="str">
        <f ca="1">IFERROR(__xludf.DUMMYFUNCTION("""COMPUTED_VALUE"""),"No")</f>
        <v>No</v>
      </c>
      <c r="AE4" s="5" t="str">
        <f ca="1">IFERROR(__xludf.DUMMYFUNCTION("""COMPUTED_VALUE"""),"No")</f>
        <v>No</v>
      </c>
      <c r="AF4" s="5" t="str">
        <f ca="1">IFERROR(__xludf.DUMMYFUNCTION("""COMPUTED_VALUE"""),"No")</f>
        <v>No</v>
      </c>
      <c r="AG4" s="5"/>
      <c r="AH4" s="5" t="str">
        <f ca="1">IFERROR(__xludf.DUMMYFUNCTION("""COMPUTED_VALUE"""),"No")</f>
        <v>No</v>
      </c>
    </row>
    <row r="5" spans="1:39" ht="12.75">
      <c r="A5" s="5" t="str">
        <f ca="1">IFERROR(__xludf.DUMMYFUNCTION("""COMPUTED_VALUE"""),"20220831NMDEA")</f>
        <v>20220831NMDEA</v>
      </c>
      <c r="B5" s="8">
        <f ca="1">IFERROR(__xludf.DUMMYFUNCTION("""COMPUTED_VALUE"""),44804)</f>
        <v>44804</v>
      </c>
      <c r="C5" s="5" t="str">
        <f ca="1">IFERROR(__xludf.DUMMYFUNCTION("""COMPUTED_VALUE"""),"Del Norte High School")</f>
        <v>Del Norte High School</v>
      </c>
      <c r="D5" s="5">
        <f ca="1">IFERROR(__xludf.DUMMYFUNCTION("""COMPUTED_VALUE"""),0)</f>
        <v>0</v>
      </c>
      <c r="E5" s="5">
        <f ca="1">IFERROR(__xludf.DUMMYFUNCTION("""COMPUTED_VALUE"""),0)</f>
        <v>0</v>
      </c>
      <c r="F5" s="5">
        <f ca="1">IFERROR(__xludf.DUMMYFUNCTION("""COMPUTED_VALUE"""),0)</f>
        <v>0</v>
      </c>
      <c r="G5" s="5">
        <f ca="1">IFERROR(__xludf.DUMMYFUNCTION("""COMPUTED_VALUE"""),0)</f>
        <v>0</v>
      </c>
      <c r="H5"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I5" s="5">
        <f ca="1">IFERROR(__xludf.DUMMYFUNCTION("""COMPUTED_VALUE"""),5)</f>
        <v>5</v>
      </c>
      <c r="J5" s="5" t="str">
        <f ca="1">IFERROR(__xludf.DUMMYFUNCTION("""COMPUTED_VALUE"""),"Local")</f>
        <v>Local</v>
      </c>
      <c r="K5" s="5">
        <f ca="1">IFERROR(__xludf.DUMMYFUNCTION("""COMPUTED_VALUE"""),4)</f>
        <v>4</v>
      </c>
      <c r="L5" s="5" t="str">
        <f ca="1">IFERROR(__xludf.DUMMYFUNCTION("""COMPUTED_VALUE"""),"Summer")</f>
        <v>Summer</v>
      </c>
      <c r="M5" s="5" t="str">
        <f ca="1">IFERROR(__xludf.DUMMYFUNCTION("""COMPUTED_VALUE"""),"Albuquerque")</f>
        <v>Albuquerque</v>
      </c>
      <c r="N5" s="5" t="str">
        <f ca="1">IFERROR(__xludf.DUMMYFUNCTION("""COMPUTED_VALUE"""),"NM")</f>
        <v>NM</v>
      </c>
      <c r="O5" s="5" t="str">
        <f ca="1">IFERROR(__xludf.DUMMYFUNCTION("""COMPUTED_VALUE"""),"High")</f>
        <v>High</v>
      </c>
      <c r="P5" s="5" t="str">
        <f ca="1">IFERROR(__xludf.DUMMYFUNCTION("""COMPUTED_VALUE"""),"Parking Lot")</f>
        <v>Parking Lot</v>
      </c>
      <c r="Q5" s="5" t="str">
        <f ca="1">IFERROR(__xludf.DUMMYFUNCTION("""COMPUTED_VALUE"""),"Outside on School Property")</f>
        <v>Outside on School Property</v>
      </c>
      <c r="R5" s="5" t="str">
        <f ca="1">IFERROR(__xludf.DUMMYFUNCTION("""COMPUTED_VALUE"""),"Yes")</f>
        <v>Yes</v>
      </c>
      <c r="S5" s="5" t="str">
        <f ca="1">IFERROR(__xludf.DUMMYFUNCTION("""COMPUTED_VALUE"""),"Lunch")</f>
        <v>Lunch</v>
      </c>
      <c r="T5" s="10">
        <f ca="1">IFERROR(__xludf.DUMMYFUNCTION("""COMPUTED_VALUE"""),0.51875)</f>
        <v>0.51875000000000004</v>
      </c>
      <c r="U5" s="5">
        <f ca="1">IFERROR(__xludf.DUMMYFUNCTION("""COMPUTED_VALUE"""),1)</f>
        <v>1</v>
      </c>
      <c r="V5" s="5" t="str">
        <f ca="1">IFERROR(__xludf.DUMMYFUNCTION("""COMPUTED_VALUE"""),"Student fired in school parking lot during lunch the fled")</f>
        <v>Student fired in school parking lot during lunch the fled</v>
      </c>
      <c r="W5"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X5" s="5"/>
      <c r="Y5" s="5"/>
      <c r="Z5" s="5"/>
      <c r="AA5" s="5"/>
      <c r="AB5" s="5" t="str">
        <f ca="1">IFERROR(__xludf.DUMMYFUNCTION("""COMPUTED_VALUE"""),"No")</f>
        <v>No</v>
      </c>
      <c r="AC5" s="5" t="str">
        <f ca="1">IFERROR(__xludf.DUMMYFUNCTION("""COMPUTED_VALUE"""),"No")</f>
        <v>No</v>
      </c>
      <c r="AD5" s="5" t="str">
        <f ca="1">IFERROR(__xludf.DUMMYFUNCTION("""COMPUTED_VALUE"""),"No")</f>
        <v>No</v>
      </c>
      <c r="AE5" s="5"/>
      <c r="AF5" s="5" t="str">
        <f ca="1">IFERROR(__xludf.DUMMYFUNCTION("""COMPUTED_VALUE"""),"No")</f>
        <v>No</v>
      </c>
      <c r="AG5" s="5"/>
      <c r="AH5" s="5" t="str">
        <f ca="1">IFERROR(__xludf.DUMMYFUNCTION("""COMPUTED_VALUE"""),"No")</f>
        <v>No</v>
      </c>
    </row>
    <row r="6" spans="1:39" ht="12.75">
      <c r="A6" s="5" t="str">
        <f ca="1">IFERROR(__xludf.DUMMYFUNCTION("""COMPUTED_VALUE"""),"20220831PAFRP")</f>
        <v>20220831PAFRP</v>
      </c>
      <c r="B6" s="8">
        <f ca="1">IFERROR(__xludf.DUMMYFUNCTION("""COMPUTED_VALUE"""),44804)</f>
        <v>44804</v>
      </c>
      <c r="C6" s="5" t="str">
        <f ca="1">IFERROR(__xludf.DUMMYFUNCTION("""COMPUTED_VALUE"""),"Frances E. Willard Elementary School")</f>
        <v>Frances E. Willard Elementary School</v>
      </c>
      <c r="D6" s="5">
        <f ca="1">IFERROR(__xludf.DUMMYFUNCTION("""COMPUTED_VALUE"""),0)</f>
        <v>0</v>
      </c>
      <c r="E6" s="5">
        <f ca="1">IFERROR(__xludf.DUMMYFUNCTION("""COMPUTED_VALUE"""),3)</f>
        <v>3</v>
      </c>
      <c r="F6" s="5">
        <f ca="1">IFERROR(__xludf.DUMMYFUNCTION("""COMPUTED_VALUE"""),3)</f>
        <v>3</v>
      </c>
      <c r="G6" s="5">
        <f ca="1">IFERROR(__xludf.DUMMYFUNCTION("""COMPUTED_VALUE"""),0)</f>
        <v>0</v>
      </c>
      <c r="H6" s="9" t="str">
        <f ca="1">IFERROR(__xludf.DUMMYFUNCTION("""COMPUTED_VALUE"""),"https://www.fox29.com/news/police-3-people-hospitalized-after-being-shot-on-elementary-school-playground-in-kensington")</f>
        <v>https://www.fox29.com/news/police-3-people-hospitalized-after-being-shot-on-elementary-school-playground-in-kensington</v>
      </c>
      <c r="I6" s="5">
        <f ca="1">IFERROR(__xludf.DUMMYFUNCTION("""COMPUTED_VALUE"""),1)</f>
        <v>1</v>
      </c>
      <c r="J6" s="5" t="str">
        <f ca="1">IFERROR(__xludf.DUMMYFUNCTION("""COMPUTED_VALUE"""),"Local")</f>
        <v>Local</v>
      </c>
      <c r="K6" s="5">
        <f ca="1">IFERROR(__xludf.DUMMYFUNCTION("""COMPUTED_VALUE"""),4)</f>
        <v>4</v>
      </c>
      <c r="L6" s="5" t="str">
        <f ca="1">IFERROR(__xludf.DUMMYFUNCTION("""COMPUTED_VALUE"""),"Summer")</f>
        <v>Summer</v>
      </c>
      <c r="M6" s="5" t="str">
        <f ca="1">IFERROR(__xludf.DUMMYFUNCTION("""COMPUTED_VALUE"""),"Philadelphia")</f>
        <v>Philadelphia</v>
      </c>
      <c r="N6" s="5" t="str">
        <f ca="1">IFERROR(__xludf.DUMMYFUNCTION("""COMPUTED_VALUE"""),"PA")</f>
        <v>PA</v>
      </c>
      <c r="O6" s="5" t="str">
        <f ca="1">IFERROR(__xludf.DUMMYFUNCTION("""COMPUTED_VALUE"""),"Elementary")</f>
        <v>Elementary</v>
      </c>
      <c r="P6" s="5" t="str">
        <f ca="1">IFERROR(__xludf.DUMMYFUNCTION("""COMPUTED_VALUE"""),"Playground")</f>
        <v>Playground</v>
      </c>
      <c r="Q6" s="5" t="str">
        <f ca="1">IFERROR(__xludf.DUMMYFUNCTION("""COMPUTED_VALUE"""),"Outside on School Property")</f>
        <v>Outside on School Property</v>
      </c>
      <c r="R6" s="5" t="str">
        <f ca="1">IFERROR(__xludf.DUMMYFUNCTION("""COMPUTED_VALUE"""),"No")</f>
        <v>No</v>
      </c>
      <c r="S6" s="5" t="str">
        <f ca="1">IFERROR(__xludf.DUMMYFUNCTION("""COMPUTED_VALUE"""),"Night")</f>
        <v>Night</v>
      </c>
      <c r="T6" s="10">
        <f ca="1">IFERROR(__xludf.DUMMYFUNCTION("""COMPUTED_VALUE"""),0.0416666666666666)</f>
        <v>4.1666666666666602E-2</v>
      </c>
      <c r="U6" s="5">
        <f ca="1">IFERROR(__xludf.DUMMYFUNCTION("""COMPUTED_VALUE"""),1)</f>
        <v>1</v>
      </c>
      <c r="V6" s="5" t="str">
        <f ca="1">IFERROR(__xludf.DUMMYFUNCTION("""COMPUTED_VALUE"""),"Three people shot on school playground")</f>
        <v>Three people shot on school playground</v>
      </c>
      <c r="W6"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X6" s="5"/>
      <c r="Y6" s="5" t="str">
        <f ca="1">IFERROR(__xludf.DUMMYFUNCTION("""COMPUTED_VALUE"""),"Both")</f>
        <v>Both</v>
      </c>
      <c r="Z6" s="5" t="str">
        <f ca="1">IFERROR(__xludf.DUMMYFUNCTION("""COMPUTED_VALUE"""),"No")</f>
        <v>No</v>
      </c>
      <c r="AA6" s="5"/>
      <c r="AB6" s="5" t="str">
        <f ca="1">IFERROR(__xludf.DUMMYFUNCTION("""COMPUTED_VALUE"""),"No")</f>
        <v>No</v>
      </c>
      <c r="AC6" s="5" t="str">
        <f ca="1">IFERROR(__xludf.DUMMYFUNCTION("""COMPUTED_VALUE"""),"No")</f>
        <v>No</v>
      </c>
      <c r="AD6" s="5" t="str">
        <f ca="1">IFERROR(__xludf.DUMMYFUNCTION("""COMPUTED_VALUE"""),"No")</f>
        <v>No</v>
      </c>
      <c r="AE6" s="5" t="str">
        <f ca="1">IFERROR(__xludf.DUMMYFUNCTION("""COMPUTED_VALUE"""),"No")</f>
        <v>No</v>
      </c>
      <c r="AF6" s="5" t="str">
        <f ca="1">IFERROR(__xludf.DUMMYFUNCTION("""COMPUTED_VALUE"""),"No")</f>
        <v>No</v>
      </c>
      <c r="AG6" s="5"/>
      <c r="AH6" s="5" t="str">
        <f ca="1">IFERROR(__xludf.DUMMYFUNCTION("""COMPUTED_VALUE"""),"No")</f>
        <v>No</v>
      </c>
    </row>
    <row r="7" spans="1:39" ht="12.75">
      <c r="A7" s="5" t="str">
        <f ca="1">IFERROR(__xludf.DUMMYFUNCTION("""COMPUTED_VALUE"""),"20220829CAMAO")</f>
        <v>20220829CAMAO</v>
      </c>
      <c r="B7" s="8">
        <f ca="1">IFERROR(__xludf.DUMMYFUNCTION("""COMPUTED_VALUE"""),44802)</f>
        <v>44802</v>
      </c>
      <c r="C7" s="5" t="str">
        <f ca="1">IFERROR(__xludf.DUMMYFUNCTION("""COMPUTED_VALUE"""),"Madison Park Academy")</f>
        <v>Madison Park Academy</v>
      </c>
      <c r="D7" s="5">
        <f ca="1">IFERROR(__xludf.DUMMYFUNCTION("""COMPUTED_VALUE"""),0)</f>
        <v>0</v>
      </c>
      <c r="E7" s="5">
        <f ca="1">IFERROR(__xludf.DUMMYFUNCTION("""COMPUTED_VALUE"""),1)</f>
        <v>1</v>
      </c>
      <c r="F7" s="5">
        <f ca="1">IFERROR(__xludf.DUMMYFUNCTION("""COMPUTED_VALUE"""),1)</f>
        <v>1</v>
      </c>
      <c r="G7" s="5">
        <f ca="1">IFERROR(__xludf.DUMMYFUNCTION("""COMPUTED_VALUE"""),0)</f>
        <v>0</v>
      </c>
      <c r="H7"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I7" s="5">
        <f ca="1">IFERROR(__xludf.DUMMYFUNCTION("""COMPUTED_VALUE"""),20)</f>
        <v>20</v>
      </c>
      <c r="J7" s="5" t="str">
        <f ca="1">IFERROR(__xludf.DUMMYFUNCTION("""COMPUTED_VALUE"""),"National")</f>
        <v>National</v>
      </c>
      <c r="K7" s="5">
        <f ca="1">IFERROR(__xludf.DUMMYFUNCTION("""COMPUTED_VALUE"""),4)</f>
        <v>4</v>
      </c>
      <c r="L7" s="5" t="str">
        <f ca="1">IFERROR(__xludf.DUMMYFUNCTION("""COMPUTED_VALUE"""),"Summer")</f>
        <v>Summer</v>
      </c>
      <c r="M7" s="5" t="str">
        <f ca="1">IFERROR(__xludf.DUMMYFUNCTION("""COMPUTED_VALUE"""),"Oakland")</f>
        <v>Oakland</v>
      </c>
      <c r="N7" s="5" t="str">
        <f ca="1">IFERROR(__xludf.DUMMYFUNCTION("""COMPUTED_VALUE"""),"CA")</f>
        <v>CA</v>
      </c>
      <c r="O7" s="5" t="str">
        <f ca="1">IFERROR(__xludf.DUMMYFUNCTION("""COMPUTED_VALUE"""),"6-12")</f>
        <v>6-12</v>
      </c>
      <c r="P7" s="5" t="str">
        <f ca="1">IFERROR(__xludf.DUMMYFUNCTION("""COMPUTED_VALUE"""),"Basketball Court")</f>
        <v>Basketball Court</v>
      </c>
      <c r="Q7" s="5" t="str">
        <f ca="1">IFERROR(__xludf.DUMMYFUNCTION("""COMPUTED_VALUE"""),"Outside on School Property")</f>
        <v>Outside on School Property</v>
      </c>
      <c r="R7" s="5" t="str">
        <f ca="1">IFERROR(__xludf.DUMMYFUNCTION("""COMPUTED_VALUE"""),"Yes")</f>
        <v>Yes</v>
      </c>
      <c r="S7" s="5" t="str">
        <f ca="1">IFERROR(__xludf.DUMMYFUNCTION("""COMPUTED_VALUE"""),"Afternoon Classes")</f>
        <v>Afternoon Classes</v>
      </c>
      <c r="T7" s="10">
        <f ca="1">IFERROR(__xludf.DUMMYFUNCTION("""COMPUTED_VALUE"""),0.5625)</f>
        <v>0.5625</v>
      </c>
      <c r="U7" s="5">
        <f ca="1">IFERROR(__xludf.DUMMYFUNCTION("""COMPUTED_VALUE"""),1)</f>
        <v>1</v>
      </c>
      <c r="V7" s="5" t="str">
        <f ca="1">IFERROR(__xludf.DUMMYFUNCTION("""COMPUTED_VALUE"""),"Student shot by another student next to volleyball court")</f>
        <v>Student shot by another student next to volleyball court</v>
      </c>
      <c r="W7"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X7" s="5" t="str">
        <f ca="1">IFERROR(__xludf.DUMMYFUNCTION("""COMPUTED_VALUE"""),"Accidental")</f>
        <v>Accidental</v>
      </c>
      <c r="Y7" s="5" t="str">
        <f ca="1">IFERROR(__xludf.DUMMYFUNCTION("""COMPUTED_VALUE"""),"Random Shooting")</f>
        <v>Random Shooting</v>
      </c>
      <c r="Z7" s="5" t="str">
        <f ca="1">IFERROR(__xludf.DUMMYFUNCTION("""COMPUTED_VALUE"""),"No")</f>
        <v>No</v>
      </c>
      <c r="AA7" s="5"/>
      <c r="AB7" s="5" t="str">
        <f ca="1">IFERROR(__xludf.DUMMYFUNCTION("""COMPUTED_VALUE"""),"No")</f>
        <v>No</v>
      </c>
      <c r="AC7" s="5" t="str">
        <f ca="1">IFERROR(__xludf.DUMMYFUNCTION("""COMPUTED_VALUE"""),"No")</f>
        <v>No</v>
      </c>
      <c r="AD7" s="5" t="str">
        <f ca="1">IFERROR(__xludf.DUMMYFUNCTION("""COMPUTED_VALUE"""),"No")</f>
        <v>No</v>
      </c>
      <c r="AE7" s="5"/>
      <c r="AF7" s="5" t="str">
        <f ca="1">IFERROR(__xludf.DUMMYFUNCTION("""COMPUTED_VALUE"""),"No")</f>
        <v>No</v>
      </c>
      <c r="AG7" s="5"/>
      <c r="AH7" s="5" t="str">
        <f ca="1">IFERROR(__xludf.DUMMYFUNCTION("""COMPUTED_VALUE"""),"No")</f>
        <v>No</v>
      </c>
    </row>
    <row r="8" spans="1:39" ht="12.75">
      <c r="A8" s="5" t="str">
        <f ca="1">IFERROR(__xludf.DUMMYFUNCTION("""COMPUTED_VALUE"""),"20220827MONOS")</f>
        <v>20220827MONOS</v>
      </c>
      <c r="B8" s="8">
        <f ca="1">IFERROR(__xludf.DUMMYFUNCTION("""COMPUTED_VALUE"""),44800)</f>
        <v>44800</v>
      </c>
      <c r="C8" s="5" t="str">
        <f ca="1">IFERROR(__xludf.DUMMYFUNCTION("""COMPUTED_VALUE"""),"Normandy High School")</f>
        <v>Normandy High School</v>
      </c>
      <c r="D8" s="5">
        <f ca="1">IFERROR(__xludf.DUMMYFUNCTION("""COMPUTED_VALUE"""),0)</f>
        <v>0</v>
      </c>
      <c r="E8" s="5">
        <f ca="1">IFERROR(__xludf.DUMMYFUNCTION("""COMPUTED_VALUE"""),0)</f>
        <v>0</v>
      </c>
      <c r="F8" s="5">
        <f ca="1">IFERROR(__xludf.DUMMYFUNCTION("""COMPUTED_VALUE"""),0)</f>
        <v>0</v>
      </c>
      <c r="G8" s="5">
        <f ca="1">IFERROR(__xludf.DUMMYFUNCTION("""COMPUTED_VALUE"""),0)</f>
        <v>0</v>
      </c>
      <c r="H8"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I8" s="5">
        <f ca="1">IFERROR(__xludf.DUMMYFUNCTION("""COMPUTED_VALUE"""),5)</f>
        <v>5</v>
      </c>
      <c r="J8" s="5" t="str">
        <f ca="1">IFERROR(__xludf.DUMMYFUNCTION("""COMPUTED_VALUE"""),"Local")</f>
        <v>Local</v>
      </c>
      <c r="K8" s="5">
        <f ca="1">IFERROR(__xludf.DUMMYFUNCTION("""COMPUTED_VALUE"""),4)</f>
        <v>4</v>
      </c>
      <c r="L8" s="5" t="str">
        <f ca="1">IFERROR(__xludf.DUMMYFUNCTION("""COMPUTED_VALUE"""),"Summer")</f>
        <v>Summer</v>
      </c>
      <c r="M8" s="5" t="str">
        <f ca="1">IFERROR(__xludf.DUMMYFUNCTION("""COMPUTED_VALUE"""),"St. Louis")</f>
        <v>St. Louis</v>
      </c>
      <c r="N8" s="5" t="str">
        <f ca="1">IFERROR(__xludf.DUMMYFUNCTION("""COMPUTED_VALUE"""),"MO")</f>
        <v>MO</v>
      </c>
      <c r="O8" s="5" t="str">
        <f ca="1">IFERROR(__xludf.DUMMYFUNCTION("""COMPUTED_VALUE"""),"High")</f>
        <v>High</v>
      </c>
      <c r="P8" s="5" t="str">
        <f ca="1">IFERROR(__xludf.DUMMYFUNCTION("""COMPUTED_VALUE"""),"Parking Lot")</f>
        <v>Parking Lot</v>
      </c>
      <c r="Q8" s="5" t="str">
        <f ca="1">IFERROR(__xludf.DUMMYFUNCTION("""COMPUTED_VALUE"""),"Outside on School Property")</f>
        <v>Outside on School Property</v>
      </c>
      <c r="R8" s="5" t="str">
        <f ca="1">IFERROR(__xludf.DUMMYFUNCTION("""COMPUTED_VALUE"""),"No")</f>
        <v>No</v>
      </c>
      <c r="S8" s="5" t="str">
        <f ca="1">IFERROR(__xludf.DUMMYFUNCTION("""COMPUTED_VALUE"""),"Sport Event")</f>
        <v>Sport Event</v>
      </c>
      <c r="T8" s="10">
        <f ca="1">IFERROR(__xludf.DUMMYFUNCTION("""COMPUTED_VALUE"""),0.5625)</f>
        <v>0.5625</v>
      </c>
      <c r="U8" s="5">
        <f ca="1">IFERROR(__xludf.DUMMYFUNCTION("""COMPUTED_VALUE"""),1)</f>
        <v>1</v>
      </c>
      <c r="V8" s="5" t="str">
        <f ca="1">IFERROR(__xludf.DUMMYFUNCTION("""COMPUTED_VALUE"""),"Shots fired during a fight in school parking lot after football game")</f>
        <v>Shots fired during a fight in school parking lot after football game</v>
      </c>
      <c r="W8"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X8" s="5" t="str">
        <f ca="1">IFERROR(__xludf.DUMMYFUNCTION("""COMPUTED_VALUE"""),"Escalation of Dispute")</f>
        <v>Escalation of Dispute</v>
      </c>
      <c r="Y8" s="5" t="str">
        <f ca="1">IFERROR(__xludf.DUMMYFUNCTION("""COMPUTED_VALUE"""),"Victims Targeted")</f>
        <v>Victims Targeted</v>
      </c>
      <c r="Z8" s="5" t="str">
        <f ca="1">IFERROR(__xludf.DUMMYFUNCTION("""COMPUTED_VALUE"""),"No")</f>
        <v>No</v>
      </c>
      <c r="AA8" s="5"/>
      <c r="AB8" s="5" t="str">
        <f ca="1">IFERROR(__xludf.DUMMYFUNCTION("""COMPUTED_VALUE"""),"No")</f>
        <v>No</v>
      </c>
      <c r="AC8" s="5" t="str">
        <f ca="1">IFERROR(__xludf.DUMMYFUNCTION("""COMPUTED_VALUE"""),"No")</f>
        <v>No</v>
      </c>
      <c r="AD8" s="5" t="str">
        <f ca="1">IFERROR(__xludf.DUMMYFUNCTION("""COMPUTED_VALUE"""),"No")</f>
        <v>No</v>
      </c>
      <c r="AE8" s="5" t="str">
        <f ca="1">IFERROR(__xludf.DUMMYFUNCTION("""COMPUTED_VALUE"""),"No")</f>
        <v>No</v>
      </c>
      <c r="AF8" s="5" t="str">
        <f ca="1">IFERROR(__xludf.DUMMYFUNCTION("""COMPUTED_VALUE"""),"No")</f>
        <v>No</v>
      </c>
      <c r="AG8" s="5"/>
      <c r="AH8" s="5" t="str">
        <f ca="1">IFERROR(__xludf.DUMMYFUNCTION("""COMPUTED_VALUE"""),"No")</f>
        <v>No</v>
      </c>
    </row>
    <row r="9" spans="1:39" ht="12.75">
      <c r="A9" s="5" t="str">
        <f ca="1">IFERROR(__xludf.DUMMYFUNCTION("""COMPUTED_VALUE"""),"20220826OHGAC")</f>
        <v>20220826OHGAC</v>
      </c>
      <c r="B9" s="8">
        <f ca="1">IFERROR(__xludf.DUMMYFUNCTION("""COMPUTED_VALUE"""),44799)</f>
        <v>44799</v>
      </c>
      <c r="C9" s="5" t="str">
        <f ca="1">IFERROR(__xludf.DUMMYFUNCTION("""COMPUTED_VALUE"""),"Garfield Heights High School")</f>
        <v>Garfield Heights High School</v>
      </c>
      <c r="D9" s="5">
        <f ca="1">IFERROR(__xludf.DUMMYFUNCTION("""COMPUTED_VALUE"""),0)</f>
        <v>0</v>
      </c>
      <c r="E9" s="5">
        <f ca="1">IFERROR(__xludf.DUMMYFUNCTION("""COMPUTED_VALUE"""),0)</f>
        <v>0</v>
      </c>
      <c r="F9" s="5">
        <f ca="1">IFERROR(__xludf.DUMMYFUNCTION("""COMPUTED_VALUE"""),0)</f>
        <v>0</v>
      </c>
      <c r="G9" s="5">
        <f ca="1">IFERROR(__xludf.DUMMYFUNCTION("""COMPUTED_VALUE"""),0)</f>
        <v>0</v>
      </c>
      <c r="H9"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I9" s="5">
        <f ca="1">IFERROR(__xludf.DUMMYFUNCTION("""COMPUTED_VALUE"""),2)</f>
        <v>2</v>
      </c>
      <c r="J9" s="5" t="str">
        <f ca="1">IFERROR(__xludf.DUMMYFUNCTION("""COMPUTED_VALUE"""),"Local")</f>
        <v>Local</v>
      </c>
      <c r="K9" s="5">
        <f ca="1">IFERROR(__xludf.DUMMYFUNCTION("""COMPUTED_VALUE"""),4)</f>
        <v>4</v>
      </c>
      <c r="L9" s="5" t="str">
        <f ca="1">IFERROR(__xludf.DUMMYFUNCTION("""COMPUTED_VALUE"""),"Summer")</f>
        <v>Summer</v>
      </c>
      <c r="M9" s="5" t="str">
        <f ca="1">IFERROR(__xludf.DUMMYFUNCTION("""COMPUTED_VALUE"""),"Cleveland")</f>
        <v>Cleveland</v>
      </c>
      <c r="N9" s="5" t="str">
        <f ca="1">IFERROR(__xludf.DUMMYFUNCTION("""COMPUTED_VALUE"""),"OH")</f>
        <v>OH</v>
      </c>
      <c r="O9" s="5" t="str">
        <f ca="1">IFERROR(__xludf.DUMMYFUNCTION("""COMPUTED_VALUE"""),"High")</f>
        <v>High</v>
      </c>
      <c r="P9" s="5" t="str">
        <f ca="1">IFERROR(__xludf.DUMMYFUNCTION("""COMPUTED_VALUE"""),"Parking Lot")</f>
        <v>Parking Lot</v>
      </c>
      <c r="Q9" s="5" t="str">
        <f ca="1">IFERROR(__xludf.DUMMYFUNCTION("""COMPUTED_VALUE"""),"Outside on School Property")</f>
        <v>Outside on School Property</v>
      </c>
      <c r="R9" s="5" t="str">
        <f ca="1">IFERROR(__xludf.DUMMYFUNCTION("""COMPUTED_VALUE"""),"No")</f>
        <v>No</v>
      </c>
      <c r="S9" s="5" t="str">
        <f ca="1">IFERROR(__xludf.DUMMYFUNCTION("""COMPUTED_VALUE"""),"Sport Event")</f>
        <v>Sport Event</v>
      </c>
      <c r="T9" s="10">
        <f ca="1">IFERROR(__xludf.DUMMYFUNCTION("""COMPUTED_VALUE"""),0.895833333333333)</f>
        <v>0.89583333333333304</v>
      </c>
      <c r="U9" s="5">
        <f ca="1">IFERROR(__xludf.DUMMYFUNCTION("""COMPUTED_VALUE"""),1)</f>
        <v>1</v>
      </c>
      <c r="V9" s="5" t="str">
        <f ca="1">IFERROR(__xludf.DUMMYFUNCTION("""COMPUTED_VALUE"""),"Shots fired in parking lot during football game")</f>
        <v>Shots fired in parking lot during football game</v>
      </c>
      <c r="W9"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X9" s="5" t="str">
        <f ca="1">IFERROR(__xludf.DUMMYFUNCTION("""COMPUTED_VALUE"""),"Escalation of Dispute")</f>
        <v>Escalation of Dispute</v>
      </c>
      <c r="Y9" s="5" t="str">
        <f ca="1">IFERROR(__xludf.DUMMYFUNCTION("""COMPUTED_VALUE"""),"Victims Targeted")</f>
        <v>Victims Targeted</v>
      </c>
      <c r="Z9" s="5" t="str">
        <f ca="1">IFERROR(__xludf.DUMMYFUNCTION("""COMPUTED_VALUE"""),"No")</f>
        <v>No</v>
      </c>
      <c r="AA9" s="5"/>
      <c r="AB9" s="5" t="str">
        <f ca="1">IFERROR(__xludf.DUMMYFUNCTION("""COMPUTED_VALUE"""),"No")</f>
        <v>No</v>
      </c>
      <c r="AC9" s="5" t="str">
        <f ca="1">IFERROR(__xludf.DUMMYFUNCTION("""COMPUTED_VALUE"""),"No")</f>
        <v>No</v>
      </c>
      <c r="AD9" s="5" t="str">
        <f ca="1">IFERROR(__xludf.DUMMYFUNCTION("""COMPUTED_VALUE"""),"No")</f>
        <v>No</v>
      </c>
      <c r="AE9" s="5" t="str">
        <f ca="1">IFERROR(__xludf.DUMMYFUNCTION("""COMPUTED_VALUE"""),"No")</f>
        <v>No</v>
      </c>
      <c r="AF9" s="5" t="str">
        <f ca="1">IFERROR(__xludf.DUMMYFUNCTION("""COMPUTED_VALUE"""),"No")</f>
        <v>No</v>
      </c>
      <c r="AG9" s="5"/>
      <c r="AH9" s="5" t="str">
        <f ca="1">IFERROR(__xludf.DUMMYFUNCTION("""COMPUTED_VALUE"""),"No")</f>
        <v>No</v>
      </c>
    </row>
    <row r="10" spans="1:39" ht="12.75">
      <c r="A10" s="5" t="str">
        <f ca="1">IFERROR(__xludf.DUMMYFUNCTION("""COMPUTED_VALUE"""),"20220823OHINC")</f>
        <v>20220823OHINC</v>
      </c>
      <c r="B10" s="8">
        <f ca="1">IFERROR(__xludf.DUMMYFUNCTION("""COMPUTED_VALUE"""),44796)</f>
        <v>44796</v>
      </c>
      <c r="C10" s="5" t="str">
        <f ca="1">IFERROR(__xludf.DUMMYFUNCTION("""COMPUTED_VALUE"""),"Indian Springs Elementary School")</f>
        <v>Indian Springs Elementary School</v>
      </c>
      <c r="D10" s="5">
        <f ca="1">IFERROR(__xludf.DUMMYFUNCTION("""COMPUTED_VALUE"""),0)</f>
        <v>0</v>
      </c>
      <c r="E10" s="5">
        <f ca="1">IFERROR(__xludf.DUMMYFUNCTION("""COMPUTED_VALUE"""),0)</f>
        <v>0</v>
      </c>
      <c r="F10" s="5">
        <f ca="1">IFERROR(__xludf.DUMMYFUNCTION("""COMPUTED_VALUE"""),0)</f>
        <v>0</v>
      </c>
      <c r="G10" s="5">
        <f ca="1">IFERROR(__xludf.DUMMYFUNCTION("""COMPUTED_VALUE"""),0)</f>
        <v>0</v>
      </c>
      <c r="H10"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I10" s="5">
        <f ca="1">IFERROR(__xludf.DUMMYFUNCTION("""COMPUTED_VALUE"""),5)</f>
        <v>5</v>
      </c>
      <c r="J10" s="5" t="str">
        <f ca="1">IFERROR(__xludf.DUMMYFUNCTION("""COMPUTED_VALUE"""),"Local")</f>
        <v>Local</v>
      </c>
      <c r="K10" s="5">
        <f ca="1">IFERROR(__xludf.DUMMYFUNCTION("""COMPUTED_VALUE"""),4)</f>
        <v>4</v>
      </c>
      <c r="L10" s="5" t="str">
        <f ca="1">IFERROR(__xludf.DUMMYFUNCTION("""COMPUTED_VALUE"""),"Summer")</f>
        <v>Summer</v>
      </c>
      <c r="M10" s="5" t="str">
        <f ca="1">IFERROR(__xludf.DUMMYFUNCTION("""COMPUTED_VALUE"""),"Columbus")</f>
        <v>Columbus</v>
      </c>
      <c r="N10" s="5" t="str">
        <f ca="1">IFERROR(__xludf.DUMMYFUNCTION("""COMPUTED_VALUE"""),"OH")</f>
        <v>OH</v>
      </c>
      <c r="O10" s="5" t="str">
        <f ca="1">IFERROR(__xludf.DUMMYFUNCTION("""COMPUTED_VALUE"""),"Elementary")</f>
        <v>Elementary</v>
      </c>
      <c r="P10" s="5" t="str">
        <f ca="1">IFERROR(__xludf.DUMMYFUNCTION("""COMPUTED_VALUE"""),"Front of School")</f>
        <v>Front of School</v>
      </c>
      <c r="Q10" s="5" t="str">
        <f ca="1">IFERROR(__xludf.DUMMYFUNCTION("""COMPUTED_VALUE"""),"Outside on School Property")</f>
        <v>Outside on School Property</v>
      </c>
      <c r="R10" s="5" t="str">
        <f ca="1">IFERROR(__xludf.DUMMYFUNCTION("""COMPUTED_VALUE"""),"Yes")</f>
        <v>Yes</v>
      </c>
      <c r="S10" s="5" t="str">
        <f ca="1">IFERROR(__xludf.DUMMYFUNCTION("""COMPUTED_VALUE"""),"Afternoon Classes")</f>
        <v>Afternoon Classes</v>
      </c>
      <c r="T10" s="10">
        <f ca="1">IFERROR(__xludf.DUMMYFUNCTION("""COMPUTED_VALUE"""),0.583333333333333)</f>
        <v>0.58333333333333304</v>
      </c>
      <c r="U10" s="5">
        <f ca="1">IFERROR(__xludf.DUMMYFUNCTION("""COMPUTED_VALUE"""),1)</f>
        <v>1</v>
      </c>
      <c r="V10" s="5" t="str">
        <f ca="1">IFERROR(__xludf.DUMMYFUNCTION("""COMPUTED_VALUE"""),"Multiple teachers shot with BBs while picketing in front of school")</f>
        <v>Multiple teachers shot with BBs while picketing in front of school</v>
      </c>
      <c r="W10"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X10" s="5" t="str">
        <f ca="1">IFERROR(__xludf.DUMMYFUNCTION("""COMPUTED_VALUE"""),"Drive-by Shooting")</f>
        <v>Drive-by Shooting</v>
      </c>
      <c r="Y10" s="5" t="str">
        <f ca="1">IFERROR(__xludf.DUMMYFUNCTION("""COMPUTED_VALUE"""),"Victims Targeted")</f>
        <v>Victims Targeted</v>
      </c>
      <c r="Z10" s="5" t="str">
        <f ca="1">IFERROR(__xludf.DUMMYFUNCTION("""COMPUTED_VALUE"""),"No")</f>
        <v>No</v>
      </c>
      <c r="AA10" s="5"/>
      <c r="AB10" s="5" t="str">
        <f ca="1">IFERROR(__xludf.DUMMYFUNCTION("""COMPUTED_VALUE"""),"No")</f>
        <v>No</v>
      </c>
      <c r="AC10" s="5" t="str">
        <f ca="1">IFERROR(__xludf.DUMMYFUNCTION("""COMPUTED_VALUE"""),"No")</f>
        <v>No</v>
      </c>
      <c r="AD10" s="5" t="str">
        <f ca="1">IFERROR(__xludf.DUMMYFUNCTION("""COMPUTED_VALUE"""),"No")</f>
        <v>No</v>
      </c>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row>
    <row r="11" spans="1:39" ht="12.75">
      <c r="A11" s="5" t="str">
        <f ca="1">IFERROR(__xludf.DUMMYFUNCTION("""COMPUTED_VALUE"""),"20220823OHART")</f>
        <v>20220823OHART</v>
      </c>
      <c r="B11" s="8">
        <f ca="1">IFERROR(__xludf.DUMMYFUNCTION("""COMPUTED_VALUE"""),44796)</f>
        <v>44796</v>
      </c>
      <c r="C11" s="5" t="str">
        <f ca="1">IFERROR(__xludf.DUMMYFUNCTION("""COMPUTED_VALUE"""),"Arlington Elementary School")</f>
        <v>Arlington Elementary School</v>
      </c>
      <c r="D11" s="5">
        <f ca="1">IFERROR(__xludf.DUMMYFUNCTION("""COMPUTED_VALUE"""),0)</f>
        <v>0</v>
      </c>
      <c r="E11" s="5">
        <f ca="1">IFERROR(__xludf.DUMMYFUNCTION("""COMPUTED_VALUE"""),0)</f>
        <v>0</v>
      </c>
      <c r="F11" s="5">
        <f ca="1">IFERROR(__xludf.DUMMYFUNCTION("""COMPUTED_VALUE"""),0)</f>
        <v>0</v>
      </c>
      <c r="G11" s="5">
        <f ca="1">IFERROR(__xludf.DUMMYFUNCTION("""COMPUTED_VALUE"""),0)</f>
        <v>0</v>
      </c>
      <c r="H11" s="5" t="str">
        <f ca="1">IFERROR(__xludf.DUMMYFUNCTION("""COMPUTED_VALUE"""),"https://www.13abc.com/2022/08/23/tps-parent-shot-gun-toledo-elementary-school-fled-scene/
https://www.wtol.com/article/news/local/arlington-elementary-locked-down-parent-fired-gun-into-air-no-injuries/512-eb3e7c9b-3ec4-4947-89fa-bc8dd34beb11")</f>
        <v>https://www.13abc.com/2022/08/23/tps-parent-shot-gun-toledo-elementary-school-fled-scene/
https://www.wtol.com/article/news/local/arlington-elementary-locked-down-parent-fired-gun-into-air-no-injuries/512-eb3e7c9b-3ec4-4947-89fa-bc8dd34beb11</v>
      </c>
      <c r="I11" s="5">
        <f ca="1">IFERROR(__xludf.DUMMYFUNCTION("""COMPUTED_VALUE"""),10)</f>
        <v>10</v>
      </c>
      <c r="J11" s="5" t="str">
        <f ca="1">IFERROR(__xludf.DUMMYFUNCTION("""COMPUTED_VALUE"""),"Local")</f>
        <v>Local</v>
      </c>
      <c r="K11" s="5">
        <f ca="1">IFERROR(__xludf.DUMMYFUNCTION("""COMPUTED_VALUE"""),4)</f>
        <v>4</v>
      </c>
      <c r="L11" s="5" t="str">
        <f ca="1">IFERROR(__xludf.DUMMYFUNCTION("""COMPUTED_VALUE"""),"Summer")</f>
        <v>Summer</v>
      </c>
      <c r="M11" s="5" t="str">
        <f ca="1">IFERROR(__xludf.DUMMYFUNCTION("""COMPUTED_VALUE"""),"Toledo")</f>
        <v>Toledo</v>
      </c>
      <c r="N11" s="5" t="str">
        <f ca="1">IFERROR(__xludf.DUMMYFUNCTION("""COMPUTED_VALUE"""),"OH")</f>
        <v>OH</v>
      </c>
      <c r="O11" s="5" t="str">
        <f ca="1">IFERROR(__xludf.DUMMYFUNCTION("""COMPUTED_VALUE"""),"Elementary")</f>
        <v>Elementary</v>
      </c>
      <c r="P11" s="5" t="str">
        <f ca="1">IFERROR(__xludf.DUMMYFUNCTION("""COMPUTED_VALUE"""),"Front of School")</f>
        <v>Front of School</v>
      </c>
      <c r="Q11" s="5" t="str">
        <f ca="1">IFERROR(__xludf.DUMMYFUNCTION("""COMPUTED_VALUE"""),"Outside on School Property")</f>
        <v>Outside on School Property</v>
      </c>
      <c r="R11" s="5" t="str">
        <f ca="1">IFERROR(__xludf.DUMMYFUNCTION("""COMPUTED_VALUE"""),"Yes")</f>
        <v>Yes</v>
      </c>
      <c r="S11" s="5" t="str">
        <f ca="1">IFERROR(__xludf.DUMMYFUNCTION("""COMPUTED_VALUE"""),"Dismissal")</f>
        <v>Dismissal</v>
      </c>
      <c r="T11" s="10">
        <f ca="1">IFERROR(__xludf.DUMMYFUNCTION("""COMPUTED_VALUE"""),0.645833333333333)</f>
        <v>0.64583333333333304</v>
      </c>
      <c r="U11" s="5">
        <f ca="1">IFERROR(__xludf.DUMMYFUNCTION("""COMPUTED_VALUE"""),1)</f>
        <v>1</v>
      </c>
      <c r="V11" s="5" t="str">
        <f ca="1">IFERROR(__xludf.DUMMYFUNCTION("""COMPUTED_VALUE"""),"Parent fired shot during fight with another parent at dismissal")</f>
        <v>Parent fired shot during fight with another parent at dismissal</v>
      </c>
      <c r="W11"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X11" s="5" t="str">
        <f ca="1">IFERROR(__xludf.DUMMYFUNCTION("""COMPUTED_VALUE"""),"Escalation of Dispute")</f>
        <v>Escalation of Dispute</v>
      </c>
      <c r="Y11" s="5" t="str">
        <f ca="1">IFERROR(__xludf.DUMMYFUNCTION("""COMPUTED_VALUE"""),"Neither")</f>
        <v>Neither</v>
      </c>
      <c r="Z11" s="5" t="str">
        <f ca="1">IFERROR(__xludf.DUMMYFUNCTION("""COMPUTED_VALUE"""),"No")</f>
        <v>No</v>
      </c>
      <c r="AA11" s="5"/>
      <c r="AB11" s="5" t="str">
        <f ca="1">IFERROR(__xludf.DUMMYFUNCTION("""COMPUTED_VALUE"""),"No")</f>
        <v>No</v>
      </c>
      <c r="AC11" s="5" t="str">
        <f ca="1">IFERROR(__xludf.DUMMYFUNCTION("""COMPUTED_VALUE"""),"No")</f>
        <v>No</v>
      </c>
      <c r="AD11" s="5" t="str">
        <f ca="1">IFERROR(__xludf.DUMMYFUNCTION("""COMPUTED_VALUE"""),"No")</f>
        <v>No</v>
      </c>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row>
    <row r="12" spans="1:39" ht="12.75">
      <c r="A12" s="5" t="str">
        <f ca="1">IFERROR(__xludf.DUMMYFUNCTION("""COMPUTED_VALUE"""),"20220819LAAKN")</f>
        <v>20220819LAAKN</v>
      </c>
      <c r="B12" s="8">
        <f ca="1">IFERROR(__xludf.DUMMYFUNCTION("""COMPUTED_VALUE"""),44792)</f>
        <v>44792</v>
      </c>
      <c r="C12" s="5" t="str">
        <f ca="1">IFERROR(__xludf.DUMMYFUNCTION("""COMPUTED_VALUE"""),"Akili Academy of New Orleans")</f>
        <v>Akili Academy of New Orleans</v>
      </c>
      <c r="D12" s="5">
        <f ca="1">IFERROR(__xludf.DUMMYFUNCTION("""COMPUTED_VALUE"""),0)</f>
        <v>0</v>
      </c>
      <c r="E12" s="5">
        <f ca="1">IFERROR(__xludf.DUMMYFUNCTION("""COMPUTED_VALUE"""),0)</f>
        <v>0</v>
      </c>
      <c r="F12" s="5">
        <f ca="1">IFERROR(__xludf.DUMMYFUNCTION("""COMPUTED_VALUE"""),0)</f>
        <v>0</v>
      </c>
      <c r="G12" s="5">
        <f ca="1">IFERROR(__xludf.DUMMYFUNCTION("""COMPUTED_VALUE"""),0)</f>
        <v>0</v>
      </c>
      <c r="H12"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I12" s="5">
        <f ca="1">IFERROR(__xludf.DUMMYFUNCTION("""COMPUTED_VALUE"""),5)</f>
        <v>5</v>
      </c>
      <c r="J12" s="5" t="str">
        <f ca="1">IFERROR(__xludf.DUMMYFUNCTION("""COMPUTED_VALUE"""),"Local")</f>
        <v>Local</v>
      </c>
      <c r="K12" s="5">
        <f ca="1">IFERROR(__xludf.DUMMYFUNCTION("""COMPUTED_VALUE"""),4)</f>
        <v>4</v>
      </c>
      <c r="L12" s="5" t="str">
        <f ca="1">IFERROR(__xludf.DUMMYFUNCTION("""COMPUTED_VALUE"""),"Summer")</f>
        <v>Summer</v>
      </c>
      <c r="M12" s="5" t="str">
        <f ca="1">IFERROR(__xludf.DUMMYFUNCTION("""COMPUTED_VALUE"""),"New Orleans")</f>
        <v>New Orleans</v>
      </c>
      <c r="N12" s="5" t="str">
        <f ca="1">IFERROR(__xludf.DUMMYFUNCTION("""COMPUTED_VALUE"""),"LA")</f>
        <v>LA</v>
      </c>
      <c r="O12" s="5" t="str">
        <f ca="1">IFERROR(__xludf.DUMMYFUNCTION("""COMPUTED_VALUE"""),"K-8")</f>
        <v>K-8</v>
      </c>
      <c r="P12" s="5" t="str">
        <f ca="1">IFERROR(__xludf.DUMMYFUNCTION("""COMPUTED_VALUE"""),"School Bus")</f>
        <v>School Bus</v>
      </c>
      <c r="Q12" s="5" t="str">
        <f ca="1">IFERROR(__xludf.DUMMYFUNCTION("""COMPUTED_VALUE"""),"School Bus")</f>
        <v>School Bus</v>
      </c>
      <c r="R12" s="5" t="str">
        <f ca="1">IFERROR(__xludf.DUMMYFUNCTION("""COMPUTED_VALUE"""),"Yes")</f>
        <v>Yes</v>
      </c>
      <c r="S12" s="5" t="str">
        <f ca="1">IFERROR(__xludf.DUMMYFUNCTION("""COMPUTED_VALUE"""),"Dismissal")</f>
        <v>Dismissal</v>
      </c>
      <c r="T12" s="10">
        <f ca="1">IFERROR(__xludf.DUMMYFUNCTION("""COMPUTED_VALUE"""),0.604166666666666)</f>
        <v>0.60416666666666596</v>
      </c>
      <c r="U12" s="5">
        <f ca="1">IFERROR(__xludf.DUMMYFUNCTION("""COMPUTED_VALUE"""),1)</f>
        <v>1</v>
      </c>
      <c r="V12" s="5" t="str">
        <f ca="1">IFERROR(__xludf.DUMMYFUNCTION("""COMPUTED_VALUE"""),"Girl pulled gun after fight on school bus")</f>
        <v>Girl pulled gun after fight on school bus</v>
      </c>
      <c r="W12"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X12" s="5" t="str">
        <f ca="1">IFERROR(__xludf.DUMMYFUNCTION("""COMPUTED_VALUE"""),"Escalation of Dispute")</f>
        <v>Escalation of Dispute</v>
      </c>
      <c r="Y12" s="5" t="str">
        <f ca="1">IFERROR(__xludf.DUMMYFUNCTION("""COMPUTED_VALUE"""),"Victims Targeted")</f>
        <v>Victims Targeted</v>
      </c>
      <c r="Z12" s="5" t="str">
        <f ca="1">IFERROR(__xludf.DUMMYFUNCTION("""COMPUTED_VALUE"""),"No")</f>
        <v>No</v>
      </c>
      <c r="AA12" s="5"/>
      <c r="AB12" s="5" t="str">
        <f ca="1">IFERROR(__xludf.DUMMYFUNCTION("""COMPUTED_VALUE"""),"No")</f>
        <v>No</v>
      </c>
      <c r="AC12" s="5" t="str">
        <f ca="1">IFERROR(__xludf.DUMMYFUNCTION("""COMPUTED_VALUE"""),"No")</f>
        <v>No</v>
      </c>
      <c r="AD12" s="5" t="str">
        <f ca="1">IFERROR(__xludf.DUMMYFUNCTION("""COMPUTED_VALUE"""),"No")</f>
        <v>No</v>
      </c>
      <c r="AE12" s="5"/>
      <c r="AF12" s="5"/>
      <c r="AG12" s="5" t="str">
        <f ca="1">IFERROR(__xludf.DUMMYFUNCTION("""COMPUTED_VALUE"""),"No")</f>
        <v>No</v>
      </c>
      <c r="AH12" s="5" t="str">
        <f ca="1">IFERROR(__xludf.DUMMYFUNCTION("""COMPUTED_VALUE"""),"No")</f>
        <v>No</v>
      </c>
    </row>
    <row r="13" spans="1:39" ht="12.75">
      <c r="A13" s="5" t="str">
        <f ca="1">IFERROR(__xludf.DUMMYFUNCTION("""COMPUTED_VALUE"""),"20220819OHGRG")</f>
        <v>20220819OHGRG</v>
      </c>
      <c r="B13" s="8">
        <f ca="1">IFERROR(__xludf.DUMMYFUNCTION("""COMPUTED_VALUE"""),44792)</f>
        <v>44792</v>
      </c>
      <c r="C13" s="5" t="str">
        <f ca="1">IFERROR(__xludf.DUMMYFUNCTION("""COMPUTED_VALUE"""),"Groveport Madison High School")</f>
        <v>Groveport Madison High School</v>
      </c>
      <c r="D13" s="5">
        <f ca="1">IFERROR(__xludf.DUMMYFUNCTION("""COMPUTED_VALUE"""),0)</f>
        <v>0</v>
      </c>
      <c r="E13" s="5">
        <f ca="1">IFERROR(__xludf.DUMMYFUNCTION("""COMPUTED_VALUE"""),0)</f>
        <v>0</v>
      </c>
      <c r="F13" s="5">
        <f ca="1">IFERROR(__xludf.DUMMYFUNCTION("""COMPUTED_VALUE"""),0)</f>
        <v>0</v>
      </c>
      <c r="G13" s="5">
        <f ca="1">IFERROR(__xludf.DUMMYFUNCTION("""COMPUTED_VALUE"""),0)</f>
        <v>0</v>
      </c>
      <c r="H13"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I13" s="5">
        <f ca="1">IFERROR(__xludf.DUMMYFUNCTION("""COMPUTED_VALUE"""),6)</f>
        <v>6</v>
      </c>
      <c r="J13" s="5" t="str">
        <f ca="1">IFERROR(__xludf.DUMMYFUNCTION("""COMPUTED_VALUE"""),"Regional")</f>
        <v>Regional</v>
      </c>
      <c r="K13" s="5">
        <f ca="1">IFERROR(__xludf.DUMMYFUNCTION("""COMPUTED_VALUE"""),4)</f>
        <v>4</v>
      </c>
      <c r="L13" s="5" t="str">
        <f ca="1">IFERROR(__xludf.DUMMYFUNCTION("""COMPUTED_VALUE"""),"Summer")</f>
        <v>Summer</v>
      </c>
      <c r="M13" s="5" t="str">
        <f ca="1">IFERROR(__xludf.DUMMYFUNCTION("""COMPUTED_VALUE"""),"Groveport")</f>
        <v>Groveport</v>
      </c>
      <c r="N13" s="5" t="str">
        <f ca="1">IFERROR(__xludf.DUMMYFUNCTION("""COMPUTED_VALUE"""),"OH")</f>
        <v>OH</v>
      </c>
      <c r="O13" s="5" t="str">
        <f ca="1">IFERROR(__xludf.DUMMYFUNCTION("""COMPUTED_VALUE"""),"High")</f>
        <v>High</v>
      </c>
      <c r="P13" s="5" t="str">
        <f ca="1">IFERROR(__xludf.DUMMYFUNCTION("""COMPUTED_VALUE"""),"Parking Lot")</f>
        <v>Parking Lot</v>
      </c>
      <c r="Q13" s="5" t="str">
        <f ca="1">IFERROR(__xludf.DUMMYFUNCTION("""COMPUTED_VALUE"""),"Outside on School Property")</f>
        <v>Outside on School Property</v>
      </c>
      <c r="R13" s="5" t="str">
        <f ca="1">IFERROR(__xludf.DUMMYFUNCTION("""COMPUTED_VALUE"""),"No")</f>
        <v>No</v>
      </c>
      <c r="S13" s="5" t="str">
        <f ca="1">IFERROR(__xludf.DUMMYFUNCTION("""COMPUTED_VALUE"""),"School Event")</f>
        <v>School Event</v>
      </c>
      <c r="T13" s="10">
        <f ca="1">IFERROR(__xludf.DUMMYFUNCTION("""COMPUTED_VALUE"""),0.881944444444444)</f>
        <v>0.88194444444444398</v>
      </c>
      <c r="U13" s="5">
        <f ca="1">IFERROR(__xludf.DUMMYFUNCTION("""COMPUTED_VALUE"""),1)</f>
        <v>1</v>
      </c>
      <c r="V13" s="5" t="str">
        <f ca="1">IFERROR(__xludf.DUMMYFUNCTION("""COMPUTED_VALUE"""),"Shots fired during fight in parking lot after people were ejected from football game")</f>
        <v>Shots fired during fight in parking lot after people were ejected from football game</v>
      </c>
      <c r="W13"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X13" s="5" t="str">
        <f ca="1">IFERROR(__xludf.DUMMYFUNCTION("""COMPUTED_VALUE"""),"Escalation of Dispute")</f>
        <v>Escalation of Dispute</v>
      </c>
      <c r="Y13" s="5" t="str">
        <f ca="1">IFERROR(__xludf.DUMMYFUNCTION("""COMPUTED_VALUE"""),"Victims Targeted")</f>
        <v>Victims Targeted</v>
      </c>
      <c r="Z13" s="5" t="str">
        <f ca="1">IFERROR(__xludf.DUMMYFUNCTION("""COMPUTED_VALUE"""),"Yes")</f>
        <v>Yes</v>
      </c>
      <c r="AA13" s="5" t="str">
        <f ca="1">IFERROR(__xludf.DUMMYFUNCTION("""COMPUTED_VALUE"""),"2 arrested")</f>
        <v>2 arrested</v>
      </c>
      <c r="AB13" s="5" t="str">
        <f ca="1">IFERROR(__xludf.DUMMYFUNCTION("""COMPUTED_VALUE"""),"No")</f>
        <v>No</v>
      </c>
      <c r="AC13" s="5" t="str">
        <f ca="1">IFERROR(__xludf.DUMMYFUNCTION("""COMPUTED_VALUE"""),"No")</f>
        <v>No</v>
      </c>
      <c r="AD13" s="5" t="str">
        <f ca="1">IFERROR(__xludf.DUMMYFUNCTION("""COMPUTED_VALUE"""),"No")</f>
        <v>No</v>
      </c>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row>
    <row r="14" spans="1:39" ht="12.75">
      <c r="A14" s="5" t="str">
        <f ca="1">IFERROR(__xludf.DUMMYFUNCTION("""COMPUTED_VALUE"""),"20220819TNWEC")</f>
        <v>20220819TNWEC</v>
      </c>
      <c r="B14" s="8">
        <f ca="1">IFERROR(__xludf.DUMMYFUNCTION("""COMPUTED_VALUE"""),44792)</f>
        <v>44792</v>
      </c>
      <c r="C14" s="5" t="str">
        <f ca="1">IFERROR(__xludf.DUMMYFUNCTION("""COMPUTED_VALUE"""),"West Creek High School")</f>
        <v>West Creek High School</v>
      </c>
      <c r="D14" s="5">
        <f ca="1">IFERROR(__xludf.DUMMYFUNCTION("""COMPUTED_VALUE"""),0)</f>
        <v>0</v>
      </c>
      <c r="E14" s="5">
        <f ca="1">IFERROR(__xludf.DUMMYFUNCTION("""COMPUTED_VALUE"""),0)</f>
        <v>0</v>
      </c>
      <c r="F14" s="5">
        <f ca="1">IFERROR(__xludf.DUMMYFUNCTION("""COMPUTED_VALUE"""),0)</f>
        <v>0</v>
      </c>
      <c r="G14" s="5">
        <f ca="1">IFERROR(__xludf.DUMMYFUNCTION("""COMPUTED_VALUE"""),0)</f>
        <v>0</v>
      </c>
      <c r="H14"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I14" s="5">
        <f ca="1">IFERROR(__xludf.DUMMYFUNCTION("""COMPUTED_VALUE"""),10)</f>
        <v>10</v>
      </c>
      <c r="J14" s="5" t="str">
        <f ca="1">IFERROR(__xludf.DUMMYFUNCTION("""COMPUTED_VALUE"""),"Regional")</f>
        <v>Regional</v>
      </c>
      <c r="K14" s="5">
        <f ca="1">IFERROR(__xludf.DUMMYFUNCTION("""COMPUTED_VALUE"""),4)</f>
        <v>4</v>
      </c>
      <c r="L14" s="5" t="str">
        <f ca="1">IFERROR(__xludf.DUMMYFUNCTION("""COMPUTED_VALUE"""),"Summer")</f>
        <v>Summer</v>
      </c>
      <c r="M14" s="5" t="str">
        <f ca="1">IFERROR(__xludf.DUMMYFUNCTION("""COMPUTED_VALUE"""),"Clarksville")</f>
        <v>Clarksville</v>
      </c>
      <c r="N14" s="5" t="str">
        <f ca="1">IFERROR(__xludf.DUMMYFUNCTION("""COMPUTED_VALUE"""),"TN")</f>
        <v>TN</v>
      </c>
      <c r="O14" s="5" t="str">
        <f ca="1">IFERROR(__xludf.DUMMYFUNCTION("""COMPUTED_VALUE"""),"High")</f>
        <v>High</v>
      </c>
      <c r="P14" s="5" t="str">
        <f ca="1">IFERROR(__xludf.DUMMYFUNCTION("""COMPUTED_VALUE"""),"Parking Lot")</f>
        <v>Parking Lot</v>
      </c>
      <c r="Q14" s="5" t="str">
        <f ca="1">IFERROR(__xludf.DUMMYFUNCTION("""COMPUTED_VALUE"""),"Outside on School Property")</f>
        <v>Outside on School Property</v>
      </c>
      <c r="R14" s="5" t="str">
        <f ca="1">IFERROR(__xludf.DUMMYFUNCTION("""COMPUTED_VALUE"""),"No")</f>
        <v>No</v>
      </c>
      <c r="S14" s="5" t="str">
        <f ca="1">IFERROR(__xludf.DUMMYFUNCTION("""COMPUTED_VALUE"""),"Sport Event")</f>
        <v>Sport Event</v>
      </c>
      <c r="T14" s="10">
        <f ca="1">IFERROR(__xludf.DUMMYFUNCTION("""COMPUTED_VALUE"""),0.875)</f>
        <v>0.875</v>
      </c>
      <c r="U14" s="5">
        <f ca="1">IFERROR(__xludf.DUMMYFUNCTION("""COMPUTED_VALUE"""),1)</f>
        <v>1</v>
      </c>
      <c r="V14" s="5" t="str">
        <f ca="1">IFERROR(__xludf.DUMMYFUNCTION("""COMPUTED_VALUE"""),"Shots fired from vehicle in the school parking lot during football game")</f>
        <v>Shots fired from vehicle in the school parking lot during football game</v>
      </c>
      <c r="W14"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X14" s="5" t="str">
        <f ca="1">IFERROR(__xludf.DUMMYFUNCTION("""COMPUTED_VALUE"""),"Drive-by Shooting")</f>
        <v>Drive-by Shooting</v>
      </c>
      <c r="Y14" s="5" t="str">
        <f ca="1">IFERROR(__xludf.DUMMYFUNCTION("""COMPUTED_VALUE"""),"Both")</f>
        <v>Both</v>
      </c>
      <c r="Z14" s="5" t="str">
        <f ca="1">IFERROR(__xludf.DUMMYFUNCTION("""COMPUTED_VALUE"""),"Yes")</f>
        <v>Yes</v>
      </c>
      <c r="AA14" s="5" t="str">
        <f ca="1">IFERROR(__xludf.DUMMYFUNCTION("""COMPUTED_VALUE"""),"3 arrested")</f>
        <v>3 arrested</v>
      </c>
      <c r="AB14" s="5" t="str">
        <f ca="1">IFERROR(__xludf.DUMMYFUNCTION("""COMPUTED_VALUE"""),"No")</f>
        <v>No</v>
      </c>
      <c r="AC14" s="5" t="str">
        <f ca="1">IFERROR(__xludf.DUMMYFUNCTION("""COMPUTED_VALUE"""),"No")</f>
        <v>No</v>
      </c>
      <c r="AD14" s="5" t="str">
        <f ca="1">IFERROR(__xludf.DUMMYFUNCTION("""COMPUTED_VALUE"""),"No")</f>
        <v>No</v>
      </c>
      <c r="AE14" s="5" t="str">
        <f ca="1">IFERROR(__xludf.DUMMYFUNCTION("""COMPUTED_VALUE"""),"No")</f>
        <v>No</v>
      </c>
      <c r="AF14" s="5" t="str">
        <f ca="1">IFERROR(__xludf.DUMMYFUNCTION("""COMPUTED_VALUE"""),"No")</f>
        <v>No</v>
      </c>
      <c r="AG14" s="5"/>
      <c r="AH14" s="5" t="str">
        <f ca="1">IFERROR(__xludf.DUMMYFUNCTION("""COMPUTED_VALUE"""),"No")</f>
        <v>No</v>
      </c>
    </row>
    <row r="15" spans="1:39" ht="12.75">
      <c r="A15" s="5" t="str">
        <f ca="1">IFERROR(__xludf.DUMMYFUNCTION("""COMPUTED_VALUE"""),"20220818FLLER")</f>
        <v>20220818FLLER</v>
      </c>
      <c r="B15" s="8">
        <f ca="1">IFERROR(__xludf.DUMMYFUNCTION("""COMPUTED_VALUE"""),44791)</f>
        <v>44791</v>
      </c>
      <c r="C15" s="5" t="str">
        <f ca="1">IFERROR(__xludf.DUMMYFUNCTION("""COMPUTED_VALUE"""),"Lennard High School")</f>
        <v>Lennard High School</v>
      </c>
      <c r="D15" s="5">
        <f ca="1">IFERROR(__xludf.DUMMYFUNCTION("""COMPUTED_VALUE"""),0)</f>
        <v>0</v>
      </c>
      <c r="E15" s="5">
        <f ca="1">IFERROR(__xludf.DUMMYFUNCTION("""COMPUTED_VALUE"""),0)</f>
        <v>0</v>
      </c>
      <c r="F15" s="5">
        <f ca="1">IFERROR(__xludf.DUMMYFUNCTION("""COMPUTED_VALUE"""),0)</f>
        <v>0</v>
      </c>
      <c r="G15" s="5">
        <f ca="1">IFERROR(__xludf.DUMMYFUNCTION("""COMPUTED_VALUE"""),0)</f>
        <v>0</v>
      </c>
      <c r="H15"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I15" s="5">
        <f ca="1">IFERROR(__xludf.DUMMYFUNCTION("""COMPUTED_VALUE"""),10)</f>
        <v>10</v>
      </c>
      <c r="J15" s="5" t="str">
        <f ca="1">IFERROR(__xludf.DUMMYFUNCTION("""COMPUTED_VALUE"""),"Regional")</f>
        <v>Regional</v>
      </c>
      <c r="K15" s="5">
        <f ca="1">IFERROR(__xludf.DUMMYFUNCTION("""COMPUTED_VALUE"""),4)</f>
        <v>4</v>
      </c>
      <c r="L15" s="5" t="str">
        <f ca="1">IFERROR(__xludf.DUMMYFUNCTION("""COMPUTED_VALUE"""),"Summer")</f>
        <v>Summer</v>
      </c>
      <c r="M15" s="5" t="str">
        <f ca="1">IFERROR(__xludf.DUMMYFUNCTION("""COMPUTED_VALUE"""),"Ruskin")</f>
        <v>Ruskin</v>
      </c>
      <c r="N15" s="5" t="str">
        <f ca="1">IFERROR(__xludf.DUMMYFUNCTION("""COMPUTED_VALUE"""),"FL")</f>
        <v>FL</v>
      </c>
      <c r="O15" s="5" t="str">
        <f ca="1">IFERROR(__xludf.DUMMYFUNCTION("""COMPUTED_VALUE"""),"High")</f>
        <v>High</v>
      </c>
      <c r="P15" s="5" t="str">
        <f ca="1">IFERROR(__xludf.DUMMYFUNCTION("""COMPUTED_VALUE"""),"Parking Lot")</f>
        <v>Parking Lot</v>
      </c>
      <c r="Q15" s="5" t="str">
        <f ca="1">IFERROR(__xludf.DUMMYFUNCTION("""COMPUTED_VALUE"""),"Outside on School Property")</f>
        <v>Outside on School Property</v>
      </c>
      <c r="R15" s="5" t="str">
        <f ca="1">IFERROR(__xludf.DUMMYFUNCTION("""COMPUTED_VALUE"""),"Yes")</f>
        <v>Yes</v>
      </c>
      <c r="S15" s="5" t="str">
        <f ca="1">IFERROR(__xludf.DUMMYFUNCTION("""COMPUTED_VALUE"""),"Morning Classes")</f>
        <v>Morning Classes</v>
      </c>
      <c r="T15" s="10">
        <f ca="1">IFERROR(__xludf.DUMMYFUNCTION("""COMPUTED_VALUE"""),0.444444444444444)</f>
        <v>0.44444444444444398</v>
      </c>
      <c r="U15" s="5">
        <f ca="1">IFERROR(__xludf.DUMMYFUNCTION("""COMPUTED_VALUE"""),1)</f>
        <v>1</v>
      </c>
      <c r="V15" s="5" t="str">
        <f ca="1">IFERROR(__xludf.DUMMYFUNCTION("""COMPUTED_VALUE"""),"Teen shot himself in the leg in the parking lot while showing off weapon")</f>
        <v>Teen shot himself in the leg in the parking lot while showing off weapon</v>
      </c>
      <c r="W15"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X15" s="5" t="str">
        <f ca="1">IFERROR(__xludf.DUMMYFUNCTION("""COMPUTED_VALUE"""),"Accidental")</f>
        <v>Accidental</v>
      </c>
      <c r="Y15" s="5" t="str">
        <f ca="1">IFERROR(__xludf.DUMMYFUNCTION("""COMPUTED_VALUE"""),"Neither")</f>
        <v>Neither</v>
      </c>
      <c r="Z15" s="5" t="str">
        <f ca="1">IFERROR(__xludf.DUMMYFUNCTION("""COMPUTED_VALUE"""),"Yes")</f>
        <v>Yes</v>
      </c>
      <c r="AA15" s="5" t="str">
        <f ca="1">IFERROR(__xludf.DUMMYFUNCTION("""COMPUTED_VALUE"""),"2 students look at a gun")</f>
        <v>2 students look at a gun</v>
      </c>
      <c r="AB15" s="5" t="str">
        <f ca="1">IFERROR(__xludf.DUMMYFUNCTION("""COMPUTED_VALUE"""),"No")</f>
        <v>No</v>
      </c>
      <c r="AC15" s="5" t="str">
        <f ca="1">IFERROR(__xludf.DUMMYFUNCTION("""COMPUTED_VALUE"""),"No")</f>
        <v>No</v>
      </c>
      <c r="AD15" s="5" t="str">
        <f ca="1">IFERROR(__xludf.DUMMYFUNCTION("""COMPUTED_VALUE"""),"No")</f>
        <v>No</v>
      </c>
      <c r="AE15" s="5"/>
      <c r="AF15" s="5" t="str">
        <f ca="1">IFERROR(__xludf.DUMMYFUNCTION("""COMPUTED_VALUE"""),"No")</f>
        <v>No</v>
      </c>
      <c r="AG15" s="5"/>
      <c r="AH15" s="5" t="str">
        <f ca="1">IFERROR(__xludf.DUMMYFUNCTION("""COMPUTED_VALUE"""),"No")</f>
        <v>No</v>
      </c>
    </row>
    <row r="16" spans="1:39" ht="12.75">
      <c r="A16" s="5" t="str">
        <f ca="1">IFERROR(__xludf.DUMMYFUNCTION("""COMPUTED_VALUE"""),"20220816TXPOB")</f>
        <v>20220816TXPOB</v>
      </c>
      <c r="B16" s="8">
        <f ca="1">IFERROR(__xludf.DUMMYFUNCTION("""COMPUTED_VALUE"""),44789)</f>
        <v>44789</v>
      </c>
      <c r="C16" s="5" t="str">
        <f ca="1">IFERROR(__xludf.DUMMYFUNCTION("""COMPUTED_VALUE"""),"Porter Early College High School")</f>
        <v>Porter Early College High School</v>
      </c>
      <c r="D16" s="5">
        <f ca="1">IFERROR(__xludf.DUMMYFUNCTION("""COMPUTED_VALUE"""),0)</f>
        <v>0</v>
      </c>
      <c r="E16" s="5">
        <f ca="1">IFERROR(__xludf.DUMMYFUNCTION("""COMPUTED_VALUE"""),0)</f>
        <v>0</v>
      </c>
      <c r="F16" s="5">
        <f ca="1">IFERROR(__xludf.DUMMYFUNCTION("""COMPUTED_VALUE"""),0)</f>
        <v>0</v>
      </c>
      <c r="G16" s="5">
        <f ca="1">IFERROR(__xludf.DUMMYFUNCTION("""COMPUTED_VALUE"""),0)</f>
        <v>0</v>
      </c>
      <c r="H16"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I16" s="5">
        <f ca="1">IFERROR(__xludf.DUMMYFUNCTION("""COMPUTED_VALUE"""),10)</f>
        <v>10</v>
      </c>
      <c r="J16" s="5" t="str">
        <f ca="1">IFERROR(__xludf.DUMMYFUNCTION("""COMPUTED_VALUE"""),"National")</f>
        <v>National</v>
      </c>
      <c r="K16" s="5">
        <f ca="1">IFERROR(__xludf.DUMMYFUNCTION("""COMPUTED_VALUE"""),4)</f>
        <v>4</v>
      </c>
      <c r="L16" s="5" t="str">
        <f ca="1">IFERROR(__xludf.DUMMYFUNCTION("""COMPUTED_VALUE"""),"Summer")</f>
        <v>Summer</v>
      </c>
      <c r="M16" s="5" t="str">
        <f ca="1">IFERROR(__xludf.DUMMYFUNCTION("""COMPUTED_VALUE"""),"Brownsville")</f>
        <v>Brownsville</v>
      </c>
      <c r="N16" s="5" t="str">
        <f ca="1">IFERROR(__xludf.DUMMYFUNCTION("""COMPUTED_VALUE"""),"TX")</f>
        <v>TX</v>
      </c>
      <c r="O16" s="5" t="str">
        <f ca="1">IFERROR(__xludf.DUMMYFUNCTION("""COMPUTED_VALUE"""),"High")</f>
        <v>High</v>
      </c>
      <c r="P16" s="5" t="str">
        <f ca="1">IFERROR(__xludf.DUMMYFUNCTION("""COMPUTED_VALUE"""),"Parking Lot")</f>
        <v>Parking Lot</v>
      </c>
      <c r="Q16" s="5" t="str">
        <f ca="1">IFERROR(__xludf.DUMMYFUNCTION("""COMPUTED_VALUE"""),"Outside on School Property")</f>
        <v>Outside on School Property</v>
      </c>
      <c r="R16" s="5" t="str">
        <f ca="1">IFERROR(__xludf.DUMMYFUNCTION("""COMPUTED_VALUE"""),"Yes")</f>
        <v>Yes</v>
      </c>
      <c r="S16" s="5" t="str">
        <f ca="1">IFERROR(__xludf.DUMMYFUNCTION("""COMPUTED_VALUE"""),"School Start")</f>
        <v>School Start</v>
      </c>
      <c r="T16" s="10">
        <f ca="1">IFERROR(__xludf.DUMMYFUNCTION("""COMPUTED_VALUE"""),0.333333333333333)</f>
        <v>0.33333333333333298</v>
      </c>
      <c r="U16" s="5">
        <f ca="1">IFERROR(__xludf.DUMMYFUNCTION("""COMPUTED_VALUE"""),1)</f>
        <v>1</v>
      </c>
      <c r="V16" s="5" t="str">
        <f ca="1">IFERROR(__xludf.DUMMYFUNCTION("""COMPUTED_VALUE"""),"Shots fired from stolen vehicle in school parking lot, SRO then fired shots at vehicle")</f>
        <v>Shots fired from stolen vehicle in school parking lot, SRO then fired shots at vehicle</v>
      </c>
      <c r="W16"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X16" s="5" t="str">
        <f ca="1">IFERROR(__xludf.DUMMYFUNCTION("""COMPUTED_VALUE"""),"Drive-by Shooting")</f>
        <v>Drive-by Shooting</v>
      </c>
      <c r="Y16" s="5" t="str">
        <f ca="1">IFERROR(__xludf.DUMMYFUNCTION("""COMPUTED_VALUE"""),"Neither")</f>
        <v>Neither</v>
      </c>
      <c r="Z16" s="5" t="str">
        <f ca="1">IFERROR(__xludf.DUMMYFUNCTION("""COMPUTED_VALUE"""),"No")</f>
        <v>No</v>
      </c>
      <c r="AA16" s="5"/>
      <c r="AB16" s="5" t="str">
        <f ca="1">IFERROR(__xludf.DUMMYFUNCTION("""COMPUTED_VALUE"""),"No")</f>
        <v>No</v>
      </c>
      <c r="AC16" s="5" t="str">
        <f ca="1">IFERROR(__xludf.DUMMYFUNCTION("""COMPUTED_VALUE"""),"No")</f>
        <v>No</v>
      </c>
      <c r="AD16" s="5" t="str">
        <f ca="1">IFERROR(__xludf.DUMMYFUNCTION("""COMPUTED_VALUE"""),"Yes")</f>
        <v>Yes</v>
      </c>
      <c r="AE16" s="5" t="str">
        <f ca="1">IFERROR(__xludf.DUMMYFUNCTION("""COMPUTED_VALUE"""),"No")</f>
        <v>No</v>
      </c>
      <c r="AF16" s="5" t="str">
        <f ca="1">IFERROR(__xludf.DUMMYFUNCTION("""COMPUTED_VALUE"""),"No")</f>
        <v>No</v>
      </c>
      <c r="AG16" s="5"/>
      <c r="AH16" s="5" t="str">
        <f ca="1">IFERROR(__xludf.DUMMYFUNCTION("""COMPUTED_VALUE"""),"No")</f>
        <v>No</v>
      </c>
    </row>
    <row r="17" spans="1:34" ht="12.75">
      <c r="A17" s="5" t="str">
        <f ca="1">IFERROR(__xludf.DUMMYFUNCTION("""COMPUTED_VALUE"""),"20220815CALIS")</f>
        <v>20220815CALIS</v>
      </c>
      <c r="B17" s="8">
        <f ca="1">IFERROR(__xludf.DUMMYFUNCTION("""COMPUTED_VALUE"""),44788)</f>
        <v>44788</v>
      </c>
      <c r="C17" s="5" t="str">
        <f ca="1">IFERROR(__xludf.DUMMYFUNCTION("""COMPUTED_VALUE"""),"Lincoln High School")</f>
        <v>Lincoln High School</v>
      </c>
      <c r="D17" s="5">
        <f ca="1">IFERROR(__xludf.DUMMYFUNCTION("""COMPUTED_VALUE"""),0)</f>
        <v>0</v>
      </c>
      <c r="E17" s="5">
        <f ca="1">IFERROR(__xludf.DUMMYFUNCTION("""COMPUTED_VALUE"""),0)</f>
        <v>0</v>
      </c>
      <c r="F17" s="5">
        <f ca="1">IFERROR(__xludf.DUMMYFUNCTION("""COMPUTED_VALUE"""),0)</f>
        <v>0</v>
      </c>
      <c r="G17" s="5">
        <f ca="1">IFERROR(__xludf.DUMMYFUNCTION("""COMPUTED_VALUE"""),0)</f>
        <v>0</v>
      </c>
      <c r="H17" s="9" t="str">
        <f ca="1">IFERROR(__xludf.DUMMYFUNCTION("""COMPUTED_VALUE"""),"https://www.kcra.com/article/stockton-school-resource-officer-disarms-student-with-a-gun-on-campus/40901821#
https://www.recordnet.com/story/news/2022/08/15/student-gun-arrested-lincoln-high-school-stockton-california/10333624002/")</f>
        <v>https://www.kcra.com/article/stockton-school-resource-officer-disarms-student-with-a-gun-on-campus/40901821#
https://www.recordnet.com/story/news/2022/08/15/student-gun-arrested-lincoln-high-school-stockton-california/10333624002/</v>
      </c>
      <c r="I17" s="5">
        <f ca="1">IFERROR(__xludf.DUMMYFUNCTION("""COMPUTED_VALUE"""),10)</f>
        <v>10</v>
      </c>
      <c r="J17" s="5" t="str">
        <f ca="1">IFERROR(__xludf.DUMMYFUNCTION("""COMPUTED_VALUE"""),"National")</f>
        <v>National</v>
      </c>
      <c r="K17" s="5">
        <f ca="1">IFERROR(__xludf.DUMMYFUNCTION("""COMPUTED_VALUE"""),4)</f>
        <v>4</v>
      </c>
      <c r="L17" s="5" t="str">
        <f ca="1">IFERROR(__xludf.DUMMYFUNCTION("""COMPUTED_VALUE"""),"Summer")</f>
        <v>Summer</v>
      </c>
      <c r="M17" s="5" t="str">
        <f ca="1">IFERROR(__xludf.DUMMYFUNCTION("""COMPUTED_VALUE"""),"Stockton")</f>
        <v>Stockton</v>
      </c>
      <c r="N17" s="5" t="str">
        <f ca="1">IFERROR(__xludf.DUMMYFUNCTION("""COMPUTED_VALUE"""),"CA")</f>
        <v>CA</v>
      </c>
      <c r="O17" s="5" t="str">
        <f ca="1">IFERROR(__xludf.DUMMYFUNCTION("""COMPUTED_VALUE"""),"High")</f>
        <v>High</v>
      </c>
      <c r="P17" s="5" t="str">
        <f ca="1">IFERROR(__xludf.DUMMYFUNCTION("""COMPUTED_VALUE"""),"Courtyard")</f>
        <v>Courtyard</v>
      </c>
      <c r="Q17" s="5" t="str">
        <f ca="1">IFERROR(__xludf.DUMMYFUNCTION("""COMPUTED_VALUE"""),"Outside on School Property")</f>
        <v>Outside on School Property</v>
      </c>
      <c r="R17" s="5" t="str">
        <f ca="1">IFERROR(__xludf.DUMMYFUNCTION("""COMPUTED_VALUE"""),"Yes")</f>
        <v>Yes</v>
      </c>
      <c r="S17" s="5" t="str">
        <f ca="1">IFERROR(__xludf.DUMMYFUNCTION("""COMPUTED_VALUE"""),"Lunch")</f>
        <v>Lunch</v>
      </c>
      <c r="T17" s="10">
        <f ca="1">IFERROR(__xludf.DUMMYFUNCTION("""COMPUTED_VALUE"""),0.513888888888888)</f>
        <v>0.51388888888888795</v>
      </c>
      <c r="U17" s="5">
        <f ca="1">IFERROR(__xludf.DUMMYFUNCTION("""COMPUTED_VALUE"""),1)</f>
        <v>1</v>
      </c>
      <c r="V17" s="5" t="str">
        <f ca="1">IFERROR(__xludf.DUMMYFUNCTION("""COMPUTED_VALUE"""),"Student pulled gun during fight, subdued by SRO")</f>
        <v>Student pulled gun during fight, subdued by SRO</v>
      </c>
      <c r="W17"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X17" s="5" t="str">
        <f ca="1">IFERROR(__xludf.DUMMYFUNCTION("""COMPUTED_VALUE"""),"Escalation of Dispute")</f>
        <v>Escalation of Dispute</v>
      </c>
      <c r="Y17" s="5"/>
      <c r="Z17" s="5" t="str">
        <f ca="1">IFERROR(__xludf.DUMMYFUNCTION("""COMPUTED_VALUE"""),"No")</f>
        <v>No</v>
      </c>
      <c r="AA17" s="5"/>
      <c r="AB17" s="5" t="str">
        <f ca="1">IFERROR(__xludf.DUMMYFUNCTION("""COMPUTED_VALUE"""),"No")</f>
        <v>No</v>
      </c>
      <c r="AC17" s="5" t="str">
        <f ca="1">IFERROR(__xludf.DUMMYFUNCTION("""COMPUTED_VALUE"""),"No")</f>
        <v>No</v>
      </c>
      <c r="AD17" s="5" t="str">
        <f ca="1">IFERROR(__xludf.DUMMYFUNCTION("""COMPUTED_VALUE"""),"No")</f>
        <v>No</v>
      </c>
      <c r="AE17" s="5"/>
      <c r="AF17" s="5" t="str">
        <f ca="1">IFERROR(__xludf.DUMMYFUNCTION("""COMPUTED_VALUE"""),"No")</f>
        <v>No</v>
      </c>
      <c r="AG17" s="5"/>
      <c r="AH17" s="5" t="str">
        <f ca="1">IFERROR(__xludf.DUMMYFUNCTION("""COMPUTED_VALUE"""),"No")</f>
        <v>No</v>
      </c>
    </row>
    <row r="18" spans="1:34" ht="12.75">
      <c r="A18" s="5" t="str">
        <f ca="1">IFERROR(__xludf.DUMMYFUNCTION("""COMPUTED_VALUE"""),"20220813ARMAL")</f>
        <v>20220813ARMAL</v>
      </c>
      <c r="B18" s="8">
        <f ca="1">IFERROR(__xludf.DUMMYFUNCTION("""COMPUTED_VALUE"""),44786)</f>
        <v>44786</v>
      </c>
      <c r="C18" s="5" t="str">
        <f ca="1">IFERROR(__xludf.DUMMYFUNCTION("""COMPUTED_VALUE"""),"Mabelvale Elementary School")</f>
        <v>Mabelvale Elementary School</v>
      </c>
      <c r="D18" s="5">
        <f ca="1">IFERROR(__xludf.DUMMYFUNCTION("""COMPUTED_VALUE"""),0)</f>
        <v>0</v>
      </c>
      <c r="E18" s="5">
        <f ca="1">IFERROR(__xludf.DUMMYFUNCTION("""COMPUTED_VALUE"""),0)</f>
        <v>0</v>
      </c>
      <c r="F18" s="5">
        <f ca="1">IFERROR(__xludf.DUMMYFUNCTION("""COMPUTED_VALUE"""),0)</f>
        <v>0</v>
      </c>
      <c r="G18" s="5">
        <f ca="1">IFERROR(__xludf.DUMMYFUNCTION("""COMPUTED_VALUE"""),0)</f>
        <v>0</v>
      </c>
      <c r="H18"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I18" s="5">
        <f ca="1">IFERROR(__xludf.DUMMYFUNCTION("""COMPUTED_VALUE"""),2)</f>
        <v>2</v>
      </c>
      <c r="J18" s="5" t="str">
        <f ca="1">IFERROR(__xludf.DUMMYFUNCTION("""COMPUTED_VALUE"""),"Local")</f>
        <v>Local</v>
      </c>
      <c r="K18" s="5">
        <f ca="1">IFERROR(__xludf.DUMMYFUNCTION("""COMPUTED_VALUE"""),3)</f>
        <v>3</v>
      </c>
      <c r="L18" s="5" t="str">
        <f ca="1">IFERROR(__xludf.DUMMYFUNCTION("""COMPUTED_VALUE"""),"Summer")</f>
        <v>Summer</v>
      </c>
      <c r="M18" s="5" t="str">
        <f ca="1">IFERROR(__xludf.DUMMYFUNCTION("""COMPUTED_VALUE"""),"Little Rock")</f>
        <v>Little Rock</v>
      </c>
      <c r="N18" s="5" t="str">
        <f ca="1">IFERROR(__xludf.DUMMYFUNCTION("""COMPUTED_VALUE"""),"AR")</f>
        <v>AR</v>
      </c>
      <c r="O18" s="5" t="str">
        <f ca="1">IFERROR(__xludf.DUMMYFUNCTION("""COMPUTED_VALUE"""),"Elementary")</f>
        <v>Elementary</v>
      </c>
      <c r="P18" s="5" t="str">
        <f ca="1">IFERROR(__xludf.DUMMYFUNCTION("""COMPUTED_VALUE"""),"Front of School")</f>
        <v>Front of School</v>
      </c>
      <c r="Q18" s="5" t="str">
        <f ca="1">IFERROR(__xludf.DUMMYFUNCTION("""COMPUTED_VALUE"""),"Outside on School Property")</f>
        <v>Outside on School Property</v>
      </c>
      <c r="R18" s="5" t="str">
        <f ca="1">IFERROR(__xludf.DUMMYFUNCTION("""COMPUTED_VALUE"""),"No")</f>
        <v>No</v>
      </c>
      <c r="S18" s="5" t="str">
        <f ca="1">IFERROR(__xludf.DUMMYFUNCTION("""COMPUTED_VALUE"""),"Not a School Day")</f>
        <v>Not a School Day</v>
      </c>
      <c r="T18" s="10">
        <f ca="1">IFERROR(__xludf.DUMMYFUNCTION("""COMPUTED_VALUE"""),0.625)</f>
        <v>0.625</v>
      </c>
      <c r="U18" s="5">
        <f ca="1">IFERROR(__xludf.DUMMYFUNCTION("""COMPUTED_VALUE"""),1)</f>
        <v>1</v>
      </c>
      <c r="V18" s="5" t="str">
        <f ca="1">IFERROR(__xludf.DUMMYFUNCTION("""COMPUTED_VALUE"""),"Shots fired in front of school and struck school building")</f>
        <v>Shots fired in front of school and struck school building</v>
      </c>
      <c r="W18" s="5" t="str">
        <f ca="1">IFERROR(__xludf.DUMMYFUNCTION("""COMPUTED_VALUE"""),"Shots fired in front of school and struck school building. Shooter fled. No injuries.")</f>
        <v>Shots fired in front of school and struck school building. Shooter fled. No injuries.</v>
      </c>
      <c r="X18" s="5"/>
      <c r="Y18" s="5"/>
      <c r="Z18" s="5" t="str">
        <f ca="1">IFERROR(__xludf.DUMMYFUNCTION("""COMPUTED_VALUE"""),"No")</f>
        <v>No</v>
      </c>
      <c r="AA18" s="5"/>
      <c r="AB18" s="5" t="str">
        <f ca="1">IFERROR(__xludf.DUMMYFUNCTION("""COMPUTED_VALUE"""),"No")</f>
        <v>No</v>
      </c>
      <c r="AC18" s="5" t="str">
        <f ca="1">IFERROR(__xludf.DUMMYFUNCTION("""COMPUTED_VALUE"""),"No")</f>
        <v>No</v>
      </c>
      <c r="AD18" s="5" t="str">
        <f ca="1">IFERROR(__xludf.DUMMYFUNCTION("""COMPUTED_VALUE"""),"No")</f>
        <v>No</v>
      </c>
      <c r="AE18" s="5" t="str">
        <f ca="1">IFERROR(__xludf.DUMMYFUNCTION("""COMPUTED_VALUE"""),"No")</f>
        <v>No</v>
      </c>
      <c r="AF18" s="5" t="str">
        <f ca="1">IFERROR(__xludf.DUMMYFUNCTION("""COMPUTED_VALUE"""),"No")</f>
        <v>No</v>
      </c>
      <c r="AG18" s="5"/>
      <c r="AH18" s="5" t="str">
        <f ca="1">IFERROR(__xludf.DUMMYFUNCTION("""COMPUTED_VALUE"""),"No")</f>
        <v>No</v>
      </c>
    </row>
    <row r="19" spans="1:34" ht="12.75">
      <c r="A19" s="5" t="str">
        <f ca="1">IFERROR(__xludf.DUMMYFUNCTION("""COMPUTED_VALUE"""),"20220812CASIV")</f>
        <v>20220812CASIV</v>
      </c>
      <c r="B19" s="8">
        <f ca="1">IFERROR(__xludf.DUMMYFUNCTION("""COMPUTED_VALUE"""),44785)</f>
        <v>44785</v>
      </c>
      <c r="C19" s="5" t="str">
        <f ca="1">IFERROR(__xludf.DUMMYFUNCTION("""COMPUTED_VALUE"""),"Silverado High School")</f>
        <v>Silverado High School</v>
      </c>
      <c r="D19" s="5">
        <f ca="1">IFERROR(__xludf.DUMMYFUNCTION("""COMPUTED_VALUE"""),0)</f>
        <v>0</v>
      </c>
      <c r="E19" s="5">
        <f ca="1">IFERROR(__xludf.DUMMYFUNCTION("""COMPUTED_VALUE"""),0)</f>
        <v>0</v>
      </c>
      <c r="F19" s="5">
        <f ca="1">IFERROR(__xludf.DUMMYFUNCTION("""COMPUTED_VALUE"""),0)</f>
        <v>0</v>
      </c>
      <c r="G19" s="5">
        <f ca="1">IFERROR(__xludf.DUMMYFUNCTION("""COMPUTED_VALUE"""),0)</f>
        <v>0</v>
      </c>
      <c r="H19"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I19" s="5">
        <f ca="1">IFERROR(__xludf.DUMMYFUNCTION("""COMPUTED_VALUE"""),2)</f>
        <v>2</v>
      </c>
      <c r="J19" s="5" t="str">
        <f ca="1">IFERROR(__xludf.DUMMYFUNCTION("""COMPUTED_VALUE"""),"Local")</f>
        <v>Local</v>
      </c>
      <c r="K19" s="5">
        <f ca="1">IFERROR(__xludf.DUMMYFUNCTION("""COMPUTED_VALUE"""),4)</f>
        <v>4</v>
      </c>
      <c r="L19" s="5" t="str">
        <f ca="1">IFERROR(__xludf.DUMMYFUNCTION("""COMPUTED_VALUE"""),"Summer")</f>
        <v>Summer</v>
      </c>
      <c r="M19" s="5" t="str">
        <f ca="1">IFERROR(__xludf.DUMMYFUNCTION("""COMPUTED_VALUE"""),"Victorville")</f>
        <v>Victorville</v>
      </c>
      <c r="N19" s="5" t="str">
        <f ca="1">IFERROR(__xludf.DUMMYFUNCTION("""COMPUTED_VALUE"""),"CA")</f>
        <v>CA</v>
      </c>
      <c r="O19" s="5" t="str">
        <f ca="1">IFERROR(__xludf.DUMMYFUNCTION("""COMPUTED_VALUE"""),"High")</f>
        <v>High</v>
      </c>
      <c r="P19" s="5" t="str">
        <f ca="1">IFERROR(__xludf.DUMMYFUNCTION("""COMPUTED_VALUE"""),"Parking Lot")</f>
        <v>Parking Lot</v>
      </c>
      <c r="Q19" s="5" t="str">
        <f ca="1">IFERROR(__xludf.DUMMYFUNCTION("""COMPUTED_VALUE"""),"Outside on School Property")</f>
        <v>Outside on School Property</v>
      </c>
      <c r="R19" s="5" t="str">
        <f ca="1">IFERROR(__xludf.DUMMYFUNCTION("""COMPUTED_VALUE"""),"No")</f>
        <v>No</v>
      </c>
      <c r="S19" s="5" t="str">
        <f ca="1">IFERROR(__xludf.DUMMYFUNCTION("""COMPUTED_VALUE"""),"Sport Event")</f>
        <v>Sport Event</v>
      </c>
      <c r="T19" s="10">
        <f ca="1">IFERROR(__xludf.DUMMYFUNCTION("""COMPUTED_VALUE"""),0.861111111111111)</f>
        <v>0.86111111111111105</v>
      </c>
      <c r="U19" s="5">
        <f ca="1">IFERROR(__xludf.DUMMYFUNCTION("""COMPUTED_VALUE"""),1)</f>
        <v>1</v>
      </c>
      <c r="V19" s="5" t="str">
        <f ca="1">IFERROR(__xludf.DUMMYFUNCTION("""COMPUTED_VALUE"""),"Shots fired in school parking lot following football game")</f>
        <v>Shots fired in school parking lot following football game</v>
      </c>
      <c r="W19"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X19" s="5"/>
      <c r="Y19" s="5"/>
      <c r="Z19" s="5" t="str">
        <f ca="1">IFERROR(__xludf.DUMMYFUNCTION("""COMPUTED_VALUE"""),"No")</f>
        <v>No</v>
      </c>
      <c r="AA19" s="5"/>
      <c r="AB19" s="5" t="str">
        <f ca="1">IFERROR(__xludf.DUMMYFUNCTION("""COMPUTED_VALUE"""),"No")</f>
        <v>No</v>
      </c>
      <c r="AC19" s="5" t="str">
        <f ca="1">IFERROR(__xludf.DUMMYFUNCTION("""COMPUTED_VALUE"""),"No")</f>
        <v>No</v>
      </c>
      <c r="AD19" s="5" t="str">
        <f ca="1">IFERROR(__xludf.DUMMYFUNCTION("""COMPUTED_VALUE"""),"No")</f>
        <v>No</v>
      </c>
      <c r="AE19" s="5" t="str">
        <f ca="1">IFERROR(__xludf.DUMMYFUNCTION("""COMPUTED_VALUE"""),"No")</f>
        <v>No</v>
      </c>
      <c r="AF19" s="5" t="str">
        <f ca="1">IFERROR(__xludf.DUMMYFUNCTION("""COMPUTED_VALUE"""),"No")</f>
        <v>No</v>
      </c>
      <c r="AG19" s="5"/>
      <c r="AH19" s="5" t="str">
        <f ca="1">IFERROR(__xludf.DUMMYFUNCTION("""COMPUTED_VALUE"""),"No")</f>
        <v>No</v>
      </c>
    </row>
    <row r="20" spans="1:34" ht="12.75">
      <c r="A20" s="5" t="str">
        <f ca="1">IFERROR(__xludf.DUMMYFUNCTION("""COMPUTED_VALUE"""),"20220811GAUCB")</f>
        <v>20220811GAUCB</v>
      </c>
      <c r="B20" s="8">
        <f ca="1">IFERROR(__xludf.DUMMYFUNCTION("""COMPUTED_VALUE"""),44784)</f>
        <v>44784</v>
      </c>
      <c r="C20" s="5" t="str">
        <f ca="1">IFERROR(__xludf.DUMMYFUNCTION("""COMPUTED_VALUE"""),"Union County Primary School")</f>
        <v>Union County Primary School</v>
      </c>
      <c r="D20" s="5">
        <f ca="1">IFERROR(__xludf.DUMMYFUNCTION("""COMPUTED_VALUE"""),0)</f>
        <v>0</v>
      </c>
      <c r="E20" s="5">
        <f ca="1">IFERROR(__xludf.DUMMYFUNCTION("""COMPUTED_VALUE"""),0)</f>
        <v>0</v>
      </c>
      <c r="F20" s="5">
        <f ca="1">IFERROR(__xludf.DUMMYFUNCTION("""COMPUTED_VALUE"""),0)</f>
        <v>0</v>
      </c>
      <c r="G20" s="5">
        <f ca="1">IFERROR(__xludf.DUMMYFUNCTION("""COMPUTED_VALUE"""),0)</f>
        <v>0</v>
      </c>
      <c r="H20"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I20" s="5">
        <f ca="1">IFERROR(__xludf.DUMMYFUNCTION("""COMPUTED_VALUE"""),10)</f>
        <v>10</v>
      </c>
      <c r="J20" s="5" t="str">
        <f ca="1">IFERROR(__xludf.DUMMYFUNCTION("""COMPUTED_VALUE"""),"Regional")</f>
        <v>Regional</v>
      </c>
      <c r="K20" s="5">
        <f ca="1">IFERROR(__xludf.DUMMYFUNCTION("""COMPUTED_VALUE"""),4)</f>
        <v>4</v>
      </c>
      <c r="L20" s="5" t="str">
        <f ca="1">IFERROR(__xludf.DUMMYFUNCTION("""COMPUTED_VALUE"""),"Summer")</f>
        <v>Summer</v>
      </c>
      <c r="M20" s="5" t="str">
        <f ca="1">IFERROR(__xludf.DUMMYFUNCTION("""COMPUTED_VALUE"""),"Blairsville")</f>
        <v>Blairsville</v>
      </c>
      <c r="N20" s="5" t="str">
        <f ca="1">IFERROR(__xludf.DUMMYFUNCTION("""COMPUTED_VALUE"""),"GA")</f>
        <v>GA</v>
      </c>
      <c r="O20" s="5" t="str">
        <f ca="1">IFERROR(__xludf.DUMMYFUNCTION("""COMPUTED_VALUE"""),"Elementary")</f>
        <v>Elementary</v>
      </c>
      <c r="P20" s="5" t="str">
        <f ca="1">IFERROR(__xludf.DUMMYFUNCTION("""COMPUTED_VALUE"""),"Parking Lot")</f>
        <v>Parking Lot</v>
      </c>
      <c r="Q20" s="5" t="str">
        <f ca="1">IFERROR(__xludf.DUMMYFUNCTION("""COMPUTED_VALUE"""),"Outside on School Property")</f>
        <v>Outside on School Property</v>
      </c>
      <c r="R20" s="5" t="str">
        <f ca="1">IFERROR(__xludf.DUMMYFUNCTION("""COMPUTED_VALUE"""),"Yes")</f>
        <v>Yes</v>
      </c>
      <c r="S20" s="5" t="str">
        <f ca="1">IFERROR(__xludf.DUMMYFUNCTION("""COMPUTED_VALUE"""),"Afternoon Classes")</f>
        <v>Afternoon Classes</v>
      </c>
      <c r="T20" s="10">
        <f ca="1">IFERROR(__xludf.DUMMYFUNCTION("""COMPUTED_VALUE"""),0.59375)</f>
        <v>0.59375</v>
      </c>
      <c r="U20" s="5">
        <f ca="1">IFERROR(__xludf.DUMMYFUNCTION("""COMPUTED_VALUE"""),1)</f>
        <v>1</v>
      </c>
      <c r="V20" s="5" t="str">
        <f ca="1">IFERROR(__xludf.DUMMYFUNCTION("""COMPUTED_VALUE"""),"Maintenance employee fired multiple shots at a car in the school parking lot")</f>
        <v>Maintenance employee fired multiple shots at a car in the school parking lot</v>
      </c>
      <c r="W20"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X20" s="5" t="str">
        <f ca="1">IFERROR(__xludf.DUMMYFUNCTION("""COMPUTED_VALUE"""),"Intentional Property Damage")</f>
        <v>Intentional Property Damage</v>
      </c>
      <c r="Y20" s="5" t="str">
        <f ca="1">IFERROR(__xludf.DUMMYFUNCTION("""COMPUTED_VALUE"""),"Neither")</f>
        <v>Neither</v>
      </c>
      <c r="Z20" s="5" t="str">
        <f ca="1">IFERROR(__xludf.DUMMYFUNCTION("""COMPUTED_VALUE"""),"No")</f>
        <v>No</v>
      </c>
      <c r="AA20" s="5"/>
      <c r="AB20" s="5" t="str">
        <f ca="1">IFERROR(__xludf.DUMMYFUNCTION("""COMPUTED_VALUE"""),"No")</f>
        <v>No</v>
      </c>
      <c r="AC20" s="5" t="str">
        <f ca="1">IFERROR(__xludf.DUMMYFUNCTION("""COMPUTED_VALUE"""),"No")</f>
        <v>No</v>
      </c>
      <c r="AD20" s="5" t="str">
        <f ca="1">IFERROR(__xludf.DUMMYFUNCTION("""COMPUTED_VALUE"""),"No")</f>
        <v>No</v>
      </c>
      <c r="AE20" s="5" t="str">
        <f ca="1">IFERROR(__xludf.DUMMYFUNCTION("""COMPUTED_VALUE"""),"No")</f>
        <v>No</v>
      </c>
      <c r="AF20" s="5"/>
      <c r="AG20" s="5"/>
      <c r="AH20" s="5" t="str">
        <f ca="1">IFERROR(__xludf.DUMMYFUNCTION("""COMPUTED_VALUE"""),"No")</f>
        <v>No</v>
      </c>
    </row>
    <row r="21" spans="1:34" ht="12.75">
      <c r="A21" s="5" t="str">
        <f ca="1">IFERROR(__xludf.DUMMYFUNCTION("""COMPUTED_VALUE"""),"20220810GAMCA")</f>
        <v>20220810GAMCA</v>
      </c>
      <c r="B21" s="8">
        <f ca="1">IFERROR(__xludf.DUMMYFUNCTION("""COMPUTED_VALUE"""),44783)</f>
        <v>44783</v>
      </c>
      <c r="C21" s="5" t="str">
        <f ca="1">IFERROR(__xludf.DUMMYFUNCTION("""COMPUTED_VALUE"""),"McDonough High School")</f>
        <v>McDonough High School</v>
      </c>
      <c r="D21" s="5">
        <f ca="1">IFERROR(__xludf.DUMMYFUNCTION("""COMPUTED_VALUE"""),0)</f>
        <v>0</v>
      </c>
      <c r="E21" s="5">
        <f ca="1">IFERROR(__xludf.DUMMYFUNCTION("""COMPUTED_VALUE"""),0)</f>
        <v>0</v>
      </c>
      <c r="F21" s="5">
        <f ca="1">IFERROR(__xludf.DUMMYFUNCTION("""COMPUTED_VALUE"""),0)</f>
        <v>0</v>
      </c>
      <c r="G21" s="5">
        <f ca="1">IFERROR(__xludf.DUMMYFUNCTION("""COMPUTED_VALUE"""),0)</f>
        <v>0</v>
      </c>
      <c r="H21"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I21" s="5">
        <f ca="1">IFERROR(__xludf.DUMMYFUNCTION("""COMPUTED_VALUE"""),5)</f>
        <v>5</v>
      </c>
      <c r="J21" s="5" t="str">
        <f ca="1">IFERROR(__xludf.DUMMYFUNCTION("""COMPUTED_VALUE"""),"Regional")</f>
        <v>Regional</v>
      </c>
      <c r="K21" s="5">
        <f ca="1">IFERROR(__xludf.DUMMYFUNCTION("""COMPUTED_VALUE"""),4)</f>
        <v>4</v>
      </c>
      <c r="L21" s="5" t="str">
        <f ca="1">IFERROR(__xludf.DUMMYFUNCTION("""COMPUTED_VALUE"""),"Summer")</f>
        <v>Summer</v>
      </c>
      <c r="M21" s="5" t="str">
        <f ca="1">IFERROR(__xludf.DUMMYFUNCTION("""COMPUTED_VALUE"""),"McDonough")</f>
        <v>McDonough</v>
      </c>
      <c r="N21" s="5" t="str">
        <f ca="1">IFERROR(__xludf.DUMMYFUNCTION("""COMPUTED_VALUE"""),"GA")</f>
        <v>GA</v>
      </c>
      <c r="O21" s="5" t="str">
        <f ca="1">IFERROR(__xludf.DUMMYFUNCTION("""COMPUTED_VALUE"""),"High")</f>
        <v>High</v>
      </c>
      <c r="P21" s="5" t="str">
        <f ca="1">IFERROR(__xludf.DUMMYFUNCTION("""COMPUTED_VALUE"""),"Gym")</f>
        <v>Gym</v>
      </c>
      <c r="Q21" s="5" t="str">
        <f ca="1">IFERROR(__xludf.DUMMYFUNCTION("""COMPUTED_VALUE"""),"Inside School Building")</f>
        <v>Inside School Building</v>
      </c>
      <c r="R21" s="5" t="str">
        <f ca="1">IFERROR(__xludf.DUMMYFUNCTION("""COMPUTED_VALUE"""),"Yes")</f>
        <v>Yes</v>
      </c>
      <c r="S21" s="5" t="str">
        <f ca="1">IFERROR(__xludf.DUMMYFUNCTION("""COMPUTED_VALUE"""),"Morning Classes")</f>
        <v>Morning Classes</v>
      </c>
      <c r="T21" s="10">
        <f ca="1">IFERROR(__xludf.DUMMYFUNCTION("""COMPUTED_VALUE"""),0.479166666666666)</f>
        <v>0.47916666666666602</v>
      </c>
      <c r="U21" s="5">
        <f ca="1">IFERROR(__xludf.DUMMYFUNCTION("""COMPUTED_VALUE"""),1)</f>
        <v>1</v>
      </c>
      <c r="V21" s="5" t="str">
        <f ca="1">IFERROR(__xludf.DUMMYFUNCTION("""COMPUTED_VALUE"""),"Gun inside backpack discharged when student dropped bag inside the gym")</f>
        <v>Gun inside backpack discharged when student dropped bag inside the gym</v>
      </c>
      <c r="W21"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X21" s="5" t="str">
        <f ca="1">IFERROR(__xludf.DUMMYFUNCTION("""COMPUTED_VALUE"""),"Accidental")</f>
        <v>Accidental</v>
      </c>
      <c r="Y21" s="5" t="str">
        <f ca="1">IFERROR(__xludf.DUMMYFUNCTION("""COMPUTED_VALUE"""),"Neither")</f>
        <v>Neither</v>
      </c>
      <c r="Z21" s="5" t="str">
        <f ca="1">IFERROR(__xludf.DUMMYFUNCTION("""COMPUTED_VALUE"""),"No")</f>
        <v>No</v>
      </c>
      <c r="AA21" s="5"/>
      <c r="AB21" s="5" t="str">
        <f ca="1">IFERROR(__xludf.DUMMYFUNCTION("""COMPUTED_VALUE"""),"No")</f>
        <v>No</v>
      </c>
      <c r="AC21" s="5" t="str">
        <f ca="1">IFERROR(__xludf.DUMMYFUNCTION("""COMPUTED_VALUE"""),"No")</f>
        <v>No</v>
      </c>
      <c r="AD21" s="5" t="str">
        <f ca="1">IFERROR(__xludf.DUMMYFUNCTION("""COMPUTED_VALUE"""),"No")</f>
        <v>No</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row>
    <row r="22" spans="1:34" ht="12.75">
      <c r="A22" s="5" t="str">
        <f ca="1">IFERROR(__xludf.DUMMYFUNCTION("""COMPUTED_VALUE"""),"20220809PACHP")</f>
        <v>20220809PACHP</v>
      </c>
      <c r="B22" s="8">
        <f ca="1">IFERROR(__xludf.DUMMYFUNCTION("""COMPUTED_VALUE"""),44781)</f>
        <v>44781</v>
      </c>
      <c r="C22" s="5" t="str">
        <f ca="1">IFERROR(__xludf.DUMMYFUNCTION("""COMPUTED_VALUE"""),"Charles B. Warring Elementary School")</f>
        <v>Charles B. Warring Elementary School</v>
      </c>
      <c r="D22" s="5">
        <f ca="1">IFERROR(__xludf.DUMMYFUNCTION("""COMPUTED_VALUE"""),1)</f>
        <v>1</v>
      </c>
      <c r="E22" s="5">
        <f ca="1">IFERROR(__xludf.DUMMYFUNCTION("""COMPUTED_VALUE"""),1)</f>
        <v>1</v>
      </c>
      <c r="F22" s="5">
        <f ca="1">IFERROR(__xludf.DUMMYFUNCTION("""COMPUTED_VALUE"""),0)</f>
        <v>0</v>
      </c>
      <c r="G22" s="5">
        <f ca="1">IFERROR(__xludf.DUMMYFUNCTION("""COMPUTED_VALUE"""),0)</f>
        <v>0</v>
      </c>
      <c r="H22" s="9" t="str">
        <f ca="1">IFERROR(__xludf.DUMMYFUNCTION("""COMPUTED_VALUE"""),"https://hudsonvalleypost.com/hudson-valley-man-fatally-shot-outside-new-york-school-poughkeepsie-dutchess-county/")</f>
        <v>https://hudsonvalleypost.com/hudson-valley-man-fatally-shot-outside-new-york-school-poughkeepsie-dutchess-county/</v>
      </c>
      <c r="I22" s="5">
        <f ca="1">IFERROR(__xludf.DUMMYFUNCTION("""COMPUTED_VALUE"""),1)</f>
        <v>1</v>
      </c>
      <c r="J22" s="5" t="str">
        <f ca="1">IFERROR(__xludf.DUMMYFUNCTION("""COMPUTED_VALUE"""),"Local")</f>
        <v>Local</v>
      </c>
      <c r="K22" s="5">
        <f ca="1">IFERROR(__xludf.DUMMYFUNCTION("""COMPUTED_VALUE"""),2)</f>
        <v>2</v>
      </c>
      <c r="L22" s="5" t="str">
        <f ca="1">IFERROR(__xludf.DUMMYFUNCTION("""COMPUTED_VALUE"""),"Summer")</f>
        <v>Summer</v>
      </c>
      <c r="M22" s="5" t="str">
        <f ca="1">IFERROR(__xludf.DUMMYFUNCTION("""COMPUTED_VALUE"""),"Poughkeepsie")</f>
        <v>Poughkeepsie</v>
      </c>
      <c r="N22" s="5" t="str">
        <f ca="1">IFERROR(__xludf.DUMMYFUNCTION("""COMPUTED_VALUE"""),"PA")</f>
        <v>PA</v>
      </c>
      <c r="O22" s="5" t="str">
        <f ca="1">IFERROR(__xludf.DUMMYFUNCTION("""COMPUTED_VALUE"""),"Elementary")</f>
        <v>Elementary</v>
      </c>
      <c r="P22" s="5" t="str">
        <f ca="1">IFERROR(__xludf.DUMMYFUNCTION("""COMPUTED_VALUE"""),"Front of School")</f>
        <v>Front of School</v>
      </c>
      <c r="Q22" s="5" t="str">
        <f ca="1">IFERROR(__xludf.DUMMYFUNCTION("""COMPUTED_VALUE"""),"Outside on School Property")</f>
        <v>Outside on School Property</v>
      </c>
      <c r="R22" s="5" t="str">
        <f ca="1">IFERROR(__xludf.DUMMYFUNCTION("""COMPUTED_VALUE"""),"No")</f>
        <v>No</v>
      </c>
      <c r="S22" s="5" t="str">
        <f ca="1">IFERROR(__xludf.DUMMYFUNCTION("""COMPUTED_VALUE"""),"Night")</f>
        <v>Night</v>
      </c>
      <c r="T22" s="10">
        <f ca="1">IFERROR(__xludf.DUMMYFUNCTION("""COMPUTED_VALUE"""),0.0722222222222222)</f>
        <v>7.2222222222222202E-2</v>
      </c>
      <c r="U22" s="5">
        <f ca="1">IFERROR(__xludf.DUMMYFUNCTION("""COMPUTED_VALUE"""),1)</f>
        <v>1</v>
      </c>
      <c r="V22" s="5" t="str">
        <f ca="1">IFERROR(__xludf.DUMMYFUNCTION("""COMPUTED_VALUE"""),"Two men shot in front of school")</f>
        <v>Two men shot in front of school</v>
      </c>
      <c r="W22"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X22" s="5"/>
      <c r="Y22" s="5"/>
      <c r="Z22" s="5" t="str">
        <f ca="1">IFERROR(__xludf.DUMMYFUNCTION("""COMPUTED_VALUE"""),"No")</f>
        <v>No</v>
      </c>
      <c r="AA22" s="5"/>
      <c r="AB22" s="5" t="str">
        <f ca="1">IFERROR(__xludf.DUMMYFUNCTION("""COMPUTED_VALUE"""),"No")</f>
        <v>No</v>
      </c>
      <c r="AC22" s="5" t="str">
        <f ca="1">IFERROR(__xludf.DUMMYFUNCTION("""COMPUTED_VALUE"""),"No")</f>
        <v>No</v>
      </c>
      <c r="AD22" s="5" t="str">
        <f ca="1">IFERROR(__xludf.DUMMYFUNCTION("""COMPUTED_VALUE"""),"No")</f>
        <v>No</v>
      </c>
      <c r="AE22" s="5" t="str">
        <f ca="1">IFERROR(__xludf.DUMMYFUNCTION("""COMPUTED_VALUE"""),"No")</f>
        <v>No</v>
      </c>
      <c r="AF22" s="5" t="str">
        <f ca="1">IFERROR(__xludf.DUMMYFUNCTION("""COMPUTED_VALUE"""),"No")</f>
        <v>No</v>
      </c>
      <c r="AG22" s="5"/>
      <c r="AH22" s="5" t="str">
        <f ca="1">IFERROR(__xludf.DUMMYFUNCTION("""COMPUTED_VALUE"""),"No")</f>
        <v>No</v>
      </c>
    </row>
    <row r="23" spans="1:34" ht="12.75">
      <c r="A23" s="5" t="str">
        <f ca="1">IFERROR(__xludf.DUMMYFUNCTION("""COMPUTED_VALUE"""),"20220805MATHL")</f>
        <v>20220805MATHL</v>
      </c>
      <c r="B23" s="8">
        <f ca="1">IFERROR(__xludf.DUMMYFUNCTION("""COMPUTED_VALUE"""),44778)</f>
        <v>44778</v>
      </c>
      <c r="C23" s="5" t="str">
        <f ca="1">IFERROR(__xludf.DUMMYFUNCTION("""COMPUTED_VALUE"""),"Thurgood Marshall Middle School")</f>
        <v>Thurgood Marshall Middle School</v>
      </c>
      <c r="D23" s="5">
        <f ca="1">IFERROR(__xludf.DUMMYFUNCTION("""COMPUTED_VALUE"""),0)</f>
        <v>0</v>
      </c>
      <c r="E23" s="5">
        <f ca="1">IFERROR(__xludf.DUMMYFUNCTION("""COMPUTED_VALUE"""),0)</f>
        <v>0</v>
      </c>
      <c r="F23" s="5">
        <f ca="1">IFERROR(__xludf.DUMMYFUNCTION("""COMPUTED_VALUE"""),0)</f>
        <v>0</v>
      </c>
      <c r="G23" s="5">
        <f ca="1">IFERROR(__xludf.DUMMYFUNCTION("""COMPUTED_VALUE"""),0)</f>
        <v>0</v>
      </c>
      <c r="H23"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I23" s="5">
        <f ca="1">IFERROR(__xludf.DUMMYFUNCTION("""COMPUTED_VALUE"""),2)</f>
        <v>2</v>
      </c>
      <c r="J23" s="5" t="str">
        <f ca="1">IFERROR(__xludf.DUMMYFUNCTION("""COMPUTED_VALUE"""),"Local")</f>
        <v>Local</v>
      </c>
      <c r="K23" s="5">
        <f ca="1">IFERROR(__xludf.DUMMYFUNCTION("""COMPUTED_VALUE"""),4)</f>
        <v>4</v>
      </c>
      <c r="L23" s="5" t="str">
        <f ca="1">IFERROR(__xludf.DUMMYFUNCTION("""COMPUTED_VALUE"""),"Summer")</f>
        <v>Summer</v>
      </c>
      <c r="M23" s="5" t="str">
        <f ca="1">IFERROR(__xludf.DUMMYFUNCTION("""COMPUTED_VALUE"""),"Lynn")</f>
        <v>Lynn</v>
      </c>
      <c r="N23" s="5" t="str">
        <f ca="1">IFERROR(__xludf.DUMMYFUNCTION("""COMPUTED_VALUE"""),"MA")</f>
        <v>MA</v>
      </c>
      <c r="O23" s="5" t="str">
        <f ca="1">IFERROR(__xludf.DUMMYFUNCTION("""COMPUTED_VALUE"""),"Middle")</f>
        <v>Middle</v>
      </c>
      <c r="P23" s="5" t="str">
        <f ca="1">IFERROR(__xludf.DUMMYFUNCTION("""COMPUTED_VALUE"""),"Parking Lot")</f>
        <v>Parking Lot</v>
      </c>
      <c r="Q23" s="5" t="str">
        <f ca="1">IFERROR(__xludf.DUMMYFUNCTION("""COMPUTED_VALUE"""),"Outside on School Property")</f>
        <v>Outside on School Property</v>
      </c>
      <c r="R23" s="5" t="str">
        <f ca="1">IFERROR(__xludf.DUMMYFUNCTION("""COMPUTED_VALUE"""),"No")</f>
        <v>No</v>
      </c>
      <c r="S23" s="5" t="str">
        <f ca="1">IFERROR(__xludf.DUMMYFUNCTION("""COMPUTED_VALUE"""),"Sport Event")</f>
        <v>Sport Event</v>
      </c>
      <c r="T23" s="10">
        <f ca="1">IFERROR(__xludf.DUMMYFUNCTION("""COMPUTED_VALUE"""),0.944444444444444)</f>
        <v>0.94444444444444398</v>
      </c>
      <c r="U23" s="5">
        <f ca="1">IFERROR(__xludf.DUMMYFUNCTION("""COMPUTED_VALUE"""),1)</f>
        <v>1</v>
      </c>
      <c r="V23" s="5" t="str">
        <f ca="1">IFERROR(__xludf.DUMMYFUNCTION("""COMPUTED_VALUE"""),"Shots fired during fight in parking lot during basketball tournament")</f>
        <v>Shots fired during fight in parking lot during basketball tournament</v>
      </c>
      <c r="W23"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X23" s="5" t="str">
        <f ca="1">IFERROR(__xludf.DUMMYFUNCTION("""COMPUTED_VALUE"""),"Escalation of Dispute")</f>
        <v>Escalation of Dispute</v>
      </c>
      <c r="Y23" s="5" t="str">
        <f ca="1">IFERROR(__xludf.DUMMYFUNCTION("""COMPUTED_VALUE"""),"Victims Targeted")</f>
        <v>Victims Targeted</v>
      </c>
      <c r="Z23" s="5" t="str">
        <f ca="1">IFERROR(__xludf.DUMMYFUNCTION("""COMPUTED_VALUE"""),"No")</f>
        <v>No</v>
      </c>
      <c r="AA23" s="5"/>
      <c r="AB23" s="5" t="str">
        <f ca="1">IFERROR(__xludf.DUMMYFUNCTION("""COMPUTED_VALUE"""),"No")</f>
        <v>No</v>
      </c>
      <c r="AC23" s="5" t="str">
        <f ca="1">IFERROR(__xludf.DUMMYFUNCTION("""COMPUTED_VALUE"""),"No")</f>
        <v>No</v>
      </c>
      <c r="AD23" s="5" t="str">
        <f ca="1">IFERROR(__xludf.DUMMYFUNCTION("""COMPUTED_VALUE"""),"No")</f>
        <v>No</v>
      </c>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row>
    <row r="24" spans="1:34" ht="12.75">
      <c r="A24" s="5" t="str">
        <f ca="1">IFERROR(__xludf.DUMMYFUNCTION("""COMPUTED_VALUE"""),"20220805GAJOJ")</f>
        <v>20220805GAJOJ</v>
      </c>
      <c r="B24" s="8">
        <f ca="1">IFERROR(__xludf.DUMMYFUNCTION("""COMPUTED_VALUE"""),44778)</f>
        <v>44778</v>
      </c>
      <c r="C24" s="5" t="str">
        <f ca="1">IFERROR(__xludf.DUMMYFUNCTION("""COMPUTED_VALUE"""),"Johnson County High School")</f>
        <v>Johnson County High School</v>
      </c>
      <c r="D24" s="5">
        <f ca="1">IFERROR(__xludf.DUMMYFUNCTION("""COMPUTED_VALUE"""),0)</f>
        <v>0</v>
      </c>
      <c r="E24" s="5">
        <f ca="1">IFERROR(__xludf.DUMMYFUNCTION("""COMPUTED_VALUE"""),0)</f>
        <v>0</v>
      </c>
      <c r="F24" s="5">
        <f ca="1">IFERROR(__xludf.DUMMYFUNCTION("""COMPUTED_VALUE"""),0)</f>
        <v>0</v>
      </c>
      <c r="G24" s="5">
        <f ca="1">IFERROR(__xludf.DUMMYFUNCTION("""COMPUTED_VALUE"""),0)</f>
        <v>0</v>
      </c>
      <c r="H24"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I24" s="5">
        <f ca="1">IFERROR(__xludf.DUMMYFUNCTION("""COMPUTED_VALUE"""),2)</f>
        <v>2</v>
      </c>
      <c r="J24" s="5" t="str">
        <f ca="1">IFERROR(__xludf.DUMMYFUNCTION("""COMPUTED_VALUE"""),"Local")</f>
        <v>Local</v>
      </c>
      <c r="K24" s="5">
        <f ca="1">IFERROR(__xludf.DUMMYFUNCTION("""COMPUTED_VALUE"""),4)</f>
        <v>4</v>
      </c>
      <c r="L24" s="5" t="str">
        <f ca="1">IFERROR(__xludf.DUMMYFUNCTION("""COMPUTED_VALUE"""),"Summer")</f>
        <v>Summer</v>
      </c>
      <c r="M24" s="5" t="str">
        <f ca="1">IFERROR(__xludf.DUMMYFUNCTION("""COMPUTED_VALUE"""),"Johnson County")</f>
        <v>Johnson County</v>
      </c>
      <c r="N24" s="5" t="str">
        <f ca="1">IFERROR(__xludf.DUMMYFUNCTION("""COMPUTED_VALUE"""),"GA")</f>
        <v>GA</v>
      </c>
      <c r="O24" s="5" t="str">
        <f ca="1">IFERROR(__xludf.DUMMYFUNCTION("""COMPUTED_VALUE"""),"High")</f>
        <v>High</v>
      </c>
      <c r="P24" s="5" t="str">
        <f ca="1">IFERROR(__xludf.DUMMYFUNCTION("""COMPUTED_VALUE"""),"Football Field/Track")</f>
        <v>Football Field/Track</v>
      </c>
      <c r="Q24" s="5" t="str">
        <f ca="1">IFERROR(__xludf.DUMMYFUNCTION("""COMPUTED_VALUE"""),"Outside on School Property")</f>
        <v>Outside on School Property</v>
      </c>
      <c r="R24" s="5" t="str">
        <f ca="1">IFERROR(__xludf.DUMMYFUNCTION("""COMPUTED_VALUE"""),"No")</f>
        <v>No</v>
      </c>
      <c r="S24" s="5" t="str">
        <f ca="1">IFERROR(__xludf.DUMMYFUNCTION("""COMPUTED_VALUE"""),"Sport Event")</f>
        <v>Sport Event</v>
      </c>
      <c r="T24" s="10">
        <f ca="1">IFERROR(__xludf.DUMMYFUNCTION("""COMPUTED_VALUE"""),0.875)</f>
        <v>0.875</v>
      </c>
      <c r="U24" s="5">
        <f ca="1">IFERROR(__xludf.DUMMYFUNCTION("""COMPUTED_VALUE"""),1)</f>
        <v>1</v>
      </c>
      <c r="V24" s="5" t="str">
        <f ca="1">IFERROR(__xludf.DUMMYFUNCTION("""COMPUTED_VALUE"""),"Man fired 12 shots into air next to stadium during football game")</f>
        <v>Man fired 12 shots into air next to stadium during football game</v>
      </c>
      <c r="W24"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X24" s="5"/>
      <c r="Y24" s="5" t="str">
        <f ca="1">IFERROR(__xludf.DUMMYFUNCTION("""COMPUTED_VALUE"""),"Neither")</f>
        <v>Neither</v>
      </c>
      <c r="Z24" s="5" t="str">
        <f ca="1">IFERROR(__xludf.DUMMYFUNCTION("""COMPUTED_VALUE"""),"No")</f>
        <v>No</v>
      </c>
      <c r="AA24" s="5"/>
      <c r="AB24" s="5" t="str">
        <f ca="1">IFERROR(__xludf.DUMMYFUNCTION("""COMPUTED_VALUE"""),"No")</f>
        <v>No</v>
      </c>
      <c r="AC24" s="5" t="str">
        <f ca="1">IFERROR(__xludf.DUMMYFUNCTION("""COMPUTED_VALUE"""),"No")</f>
        <v>No</v>
      </c>
      <c r="AD24" s="5" t="str">
        <f ca="1">IFERROR(__xludf.DUMMYFUNCTION("""COMPUTED_VALUE"""),"No")</f>
        <v>No</v>
      </c>
      <c r="AE24" s="5" t="str">
        <f ca="1">IFERROR(__xludf.DUMMYFUNCTION("""COMPUTED_VALUE"""),"No")</f>
        <v>No</v>
      </c>
      <c r="AF24" s="5" t="str">
        <f ca="1">IFERROR(__xludf.DUMMYFUNCTION("""COMPUTED_VALUE"""),"No")</f>
        <v>No</v>
      </c>
      <c r="AG24" s="5"/>
      <c r="AH24" s="5" t="str">
        <f ca="1">IFERROR(__xludf.DUMMYFUNCTION("""COMPUTED_VALUE"""),"Yes")</f>
        <v>Yes</v>
      </c>
    </row>
    <row r="25" spans="1:34" ht="12.75">
      <c r="A25" s="5" t="str">
        <f ca="1">IFERROR(__xludf.DUMMYFUNCTION("""COMPUTED_VALUE"""),"20220803PALEP")</f>
        <v>20220803PALEP</v>
      </c>
      <c r="B25" s="8">
        <f ca="1">IFERROR(__xludf.DUMMYFUNCTION("""COMPUTED_VALUE"""),44776)</f>
        <v>44776</v>
      </c>
      <c r="C25" s="5" t="str">
        <f ca="1">IFERROR(__xludf.DUMMYFUNCTION("""COMPUTED_VALUE"""),"Lewis Elkin Elementary School")</f>
        <v>Lewis Elkin Elementary School</v>
      </c>
      <c r="D25" s="5">
        <f ca="1">IFERROR(__xludf.DUMMYFUNCTION("""COMPUTED_VALUE"""),1)</f>
        <v>1</v>
      </c>
      <c r="E25" s="5">
        <f ca="1">IFERROR(__xludf.DUMMYFUNCTION("""COMPUTED_VALUE"""),1)</f>
        <v>1</v>
      </c>
      <c r="F25" s="5">
        <f ca="1">IFERROR(__xludf.DUMMYFUNCTION("""COMPUTED_VALUE"""),2)</f>
        <v>2</v>
      </c>
      <c r="G25" s="5">
        <f ca="1">IFERROR(__xludf.DUMMYFUNCTION("""COMPUTED_VALUE"""),0)</f>
        <v>0</v>
      </c>
      <c r="H25"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I25" s="5">
        <f ca="1">IFERROR(__xludf.DUMMYFUNCTION("""COMPUTED_VALUE"""),2)</f>
        <v>2</v>
      </c>
      <c r="J25" s="5" t="str">
        <f ca="1">IFERROR(__xludf.DUMMYFUNCTION("""COMPUTED_VALUE"""),"Local")</f>
        <v>Local</v>
      </c>
      <c r="K25" s="5">
        <f ca="1">IFERROR(__xludf.DUMMYFUNCTION("""COMPUTED_VALUE"""),3)</f>
        <v>3</v>
      </c>
      <c r="L25" s="5" t="str">
        <f ca="1">IFERROR(__xludf.DUMMYFUNCTION("""COMPUTED_VALUE"""),"Summer")</f>
        <v>Summer</v>
      </c>
      <c r="M25" s="5" t="str">
        <f ca="1">IFERROR(__xludf.DUMMYFUNCTION("""COMPUTED_VALUE"""),"Philadelphia")</f>
        <v>Philadelphia</v>
      </c>
      <c r="N25" s="5" t="str">
        <f ca="1">IFERROR(__xludf.DUMMYFUNCTION("""COMPUTED_VALUE"""),"PA")</f>
        <v>PA</v>
      </c>
      <c r="O25" s="5" t="str">
        <f ca="1">IFERROR(__xludf.DUMMYFUNCTION("""COMPUTED_VALUE"""),"Elementary")</f>
        <v>Elementary</v>
      </c>
      <c r="P25" s="5" t="str">
        <f ca="1">IFERROR(__xludf.DUMMYFUNCTION("""COMPUTED_VALUE"""),"Playground")</f>
        <v>Playground</v>
      </c>
      <c r="Q25" s="5" t="str">
        <f ca="1">IFERROR(__xludf.DUMMYFUNCTION("""COMPUTED_VALUE"""),"Outside on School Property")</f>
        <v>Outside on School Property</v>
      </c>
      <c r="R25" s="5" t="str">
        <f ca="1">IFERROR(__xludf.DUMMYFUNCTION("""COMPUTED_VALUE"""),"No")</f>
        <v>No</v>
      </c>
      <c r="S25" s="5" t="str">
        <f ca="1">IFERROR(__xludf.DUMMYFUNCTION("""COMPUTED_VALUE"""),"Night")</f>
        <v>Night</v>
      </c>
      <c r="T25" s="10">
        <f ca="1">IFERROR(__xludf.DUMMYFUNCTION("""COMPUTED_VALUE"""),0.916666666666666)</f>
        <v>0.91666666666666596</v>
      </c>
      <c r="U25" s="5">
        <f ca="1">IFERROR(__xludf.DUMMYFUNCTION("""COMPUTED_VALUE"""),1)</f>
        <v>1</v>
      </c>
      <c r="V25" s="5" t="str">
        <f ca="1">IFERROR(__xludf.DUMMYFUNCTION("""COMPUTED_VALUE"""),"2 men shot near school playground")</f>
        <v>2 men shot near school playground</v>
      </c>
      <c r="W25"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X25" s="5"/>
      <c r="Y25" s="5" t="str">
        <f ca="1">IFERROR(__xludf.DUMMYFUNCTION("""COMPUTED_VALUE"""),"Victims Targeted")</f>
        <v>Victims Targeted</v>
      </c>
      <c r="Z25" s="5" t="str">
        <f ca="1">IFERROR(__xludf.DUMMYFUNCTION("""COMPUTED_VALUE"""),"No")</f>
        <v>No</v>
      </c>
      <c r="AA25" s="5"/>
      <c r="AB25" s="5" t="str">
        <f ca="1">IFERROR(__xludf.DUMMYFUNCTION("""COMPUTED_VALUE"""),"No")</f>
        <v>No</v>
      </c>
      <c r="AC25" s="5" t="str">
        <f ca="1">IFERROR(__xludf.DUMMYFUNCTION("""COMPUTED_VALUE"""),"No")</f>
        <v>No</v>
      </c>
      <c r="AD25" s="5" t="str">
        <f ca="1">IFERROR(__xludf.DUMMYFUNCTION("""COMPUTED_VALUE"""),"No")</f>
        <v>No</v>
      </c>
      <c r="AE25" s="5" t="str">
        <f ca="1">IFERROR(__xludf.DUMMYFUNCTION("""COMPUTED_VALUE"""),"No")</f>
        <v>No</v>
      </c>
      <c r="AF25" s="5" t="str">
        <f ca="1">IFERROR(__xludf.DUMMYFUNCTION("""COMPUTED_VALUE"""),"No")</f>
        <v>No</v>
      </c>
      <c r="AG25" s="5"/>
      <c r="AH25" s="5" t="str">
        <f ca="1">IFERROR(__xludf.DUMMYFUNCTION("""COMPUTED_VALUE"""),"No")</f>
        <v>No</v>
      </c>
    </row>
    <row r="26" spans="1:34" ht="12.75">
      <c r="A26" s="5" t="str">
        <f ca="1">IFERROR(__xludf.DUMMYFUNCTION("""COMPUTED_VALUE"""),"20220731CAOAO")</f>
        <v>20220731CAOAO</v>
      </c>
      <c r="B26" s="8">
        <f ca="1">IFERROR(__xludf.DUMMYFUNCTION("""COMPUTED_VALUE"""),44773)</f>
        <v>44773</v>
      </c>
      <c r="C26" s="5" t="str">
        <f ca="1">IFERROR(__xludf.DUMMYFUNCTION("""COMPUTED_VALUE"""),"Oakland Technical High School")</f>
        <v>Oakland Technical High School</v>
      </c>
      <c r="D26" s="5">
        <f ca="1">IFERROR(__xludf.DUMMYFUNCTION("""COMPUTED_VALUE"""),0)</f>
        <v>0</v>
      </c>
      <c r="E26" s="5">
        <f ca="1">IFERROR(__xludf.DUMMYFUNCTION("""COMPUTED_VALUE"""),3)</f>
        <v>3</v>
      </c>
      <c r="F26" s="5">
        <f ca="1">IFERROR(__xludf.DUMMYFUNCTION("""COMPUTED_VALUE"""),3)</f>
        <v>3</v>
      </c>
      <c r="G26" s="5">
        <f ca="1">IFERROR(__xludf.DUMMYFUNCTION("""COMPUTED_VALUE"""),0)</f>
        <v>0</v>
      </c>
      <c r="H26"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I26" s="5">
        <f ca="1">IFERROR(__xludf.DUMMYFUNCTION("""COMPUTED_VALUE"""),10)</f>
        <v>10</v>
      </c>
      <c r="J26" s="5" t="str">
        <f ca="1">IFERROR(__xludf.DUMMYFUNCTION("""COMPUTED_VALUE"""),"National")</f>
        <v>National</v>
      </c>
      <c r="K26" s="5">
        <f ca="1">IFERROR(__xludf.DUMMYFUNCTION("""COMPUTED_VALUE"""),4)</f>
        <v>4</v>
      </c>
      <c r="L26" s="5" t="str">
        <f ca="1">IFERROR(__xludf.DUMMYFUNCTION("""COMPUTED_VALUE"""),"Summer")</f>
        <v>Summer</v>
      </c>
      <c r="M26" s="5" t="str">
        <f ca="1">IFERROR(__xludf.DUMMYFUNCTION("""COMPUTED_VALUE"""),"Oakland")</f>
        <v>Oakland</v>
      </c>
      <c r="N26" s="5" t="str">
        <f ca="1">IFERROR(__xludf.DUMMYFUNCTION("""COMPUTED_VALUE"""),"CA")</f>
        <v>CA</v>
      </c>
      <c r="O26" s="5" t="str">
        <f ca="1">IFERROR(__xludf.DUMMYFUNCTION("""COMPUTED_VALUE"""),"High")</f>
        <v>High</v>
      </c>
      <c r="P26" s="5" t="str">
        <f ca="1">IFERROR(__xludf.DUMMYFUNCTION("""COMPUTED_VALUE"""),"Football Field/Track")</f>
        <v>Football Field/Track</v>
      </c>
      <c r="Q26" s="5" t="str">
        <f ca="1">IFERROR(__xludf.DUMMYFUNCTION("""COMPUTED_VALUE"""),"Outside on School Property")</f>
        <v>Outside on School Property</v>
      </c>
      <c r="R26" s="5" t="str">
        <f ca="1">IFERROR(__xludf.DUMMYFUNCTION("""COMPUTED_VALUE"""),"No")</f>
        <v>No</v>
      </c>
      <c r="S26" s="5" t="str">
        <f ca="1">IFERROR(__xludf.DUMMYFUNCTION("""COMPUTED_VALUE"""),"Sport Event")</f>
        <v>Sport Event</v>
      </c>
      <c r="T26" s="10">
        <f ca="1">IFERROR(__xludf.DUMMYFUNCTION("""COMPUTED_VALUE"""),0.555555555555555)</f>
        <v>0.55555555555555503</v>
      </c>
      <c r="U26" s="5">
        <f ca="1">IFERROR(__xludf.DUMMYFUNCTION("""COMPUTED_VALUE"""),1)</f>
        <v>1</v>
      </c>
      <c r="V26" s="5" t="str">
        <f ca="1">IFERROR(__xludf.DUMMYFUNCTION("""COMPUTED_VALUE"""),"3 attendees shot in the stands during youth football game")</f>
        <v>3 attendees shot in the stands during youth football game</v>
      </c>
      <c r="W26"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X26" s="5" t="str">
        <f ca="1">IFERROR(__xludf.DUMMYFUNCTION("""COMPUTED_VALUE"""),"Escalation of Dispute")</f>
        <v>Escalation of Dispute</v>
      </c>
      <c r="Y26" s="5" t="str">
        <f ca="1">IFERROR(__xludf.DUMMYFUNCTION("""COMPUTED_VALUE"""),"Both")</f>
        <v>Both</v>
      </c>
      <c r="Z26" s="5" t="str">
        <f ca="1">IFERROR(__xludf.DUMMYFUNCTION("""COMPUTED_VALUE"""),"No")</f>
        <v>No</v>
      </c>
      <c r="AA26" s="5"/>
      <c r="AB26" s="5" t="str">
        <f ca="1">IFERROR(__xludf.DUMMYFUNCTION("""COMPUTED_VALUE"""),"No")</f>
        <v>No</v>
      </c>
      <c r="AC26" s="5" t="str">
        <f ca="1">IFERROR(__xludf.DUMMYFUNCTION("""COMPUTED_VALUE"""),"No")</f>
        <v>No</v>
      </c>
      <c r="AD26" s="5" t="str">
        <f ca="1">IFERROR(__xludf.DUMMYFUNCTION("""COMPUTED_VALUE"""),"No")</f>
        <v>No</v>
      </c>
      <c r="AE26" s="5" t="str">
        <f ca="1">IFERROR(__xludf.DUMMYFUNCTION("""COMPUTED_VALUE"""),"No")</f>
        <v>No</v>
      </c>
      <c r="AF26" s="5" t="str">
        <f ca="1">IFERROR(__xludf.DUMMYFUNCTION("""COMPUTED_VALUE"""),"No")</f>
        <v>No</v>
      </c>
      <c r="AG26" s="5"/>
      <c r="AH26" s="5" t="str">
        <f ca="1">IFERROR(__xludf.DUMMYFUNCTION("""COMPUTED_VALUE"""),"No")</f>
        <v>No</v>
      </c>
    </row>
    <row r="27" spans="1:34" ht="12.75">
      <c r="A27" s="5" t="str">
        <f ca="1">IFERROR(__xludf.DUMMYFUNCTION("""COMPUTED_VALUE"""),"20220730NYRHH")</f>
        <v>20220730NYRHH</v>
      </c>
      <c r="B27" s="8">
        <f ca="1">IFERROR(__xludf.DUMMYFUNCTION("""COMPUTED_VALUE"""),44772)</f>
        <v>44772</v>
      </c>
      <c r="C27" s="5" t="str">
        <f ca="1">IFERROR(__xludf.DUMMYFUNCTION("""COMPUTED_VALUE"""),"Rhodes Academy")</f>
        <v>Rhodes Academy</v>
      </c>
      <c r="D27" s="5">
        <f ca="1">IFERROR(__xludf.DUMMYFUNCTION("""COMPUTED_VALUE"""),0)</f>
        <v>0</v>
      </c>
      <c r="E27" s="5">
        <f ca="1">IFERROR(__xludf.DUMMYFUNCTION("""COMPUTED_VALUE"""),0)</f>
        <v>0</v>
      </c>
      <c r="F27" s="5">
        <f ca="1">IFERROR(__xludf.DUMMYFUNCTION("""COMPUTED_VALUE"""),0)</f>
        <v>0</v>
      </c>
      <c r="G27" s="5">
        <f ca="1">IFERROR(__xludf.DUMMYFUNCTION("""COMPUTED_VALUE"""),0)</f>
        <v>0</v>
      </c>
      <c r="H27" s="9" t="str">
        <f ca="1">IFERROR(__xludf.DUMMYFUNCTION("""COMPUTED_VALUE"""),"https://connecticut.news12.com/hempstead-school-officials-to-speak-following-2-shootings-near-schools")</f>
        <v>https://connecticut.news12.com/hempstead-school-officials-to-speak-following-2-shootings-near-schools</v>
      </c>
      <c r="I27" s="5">
        <f ca="1">IFERROR(__xludf.DUMMYFUNCTION("""COMPUTED_VALUE"""),1)</f>
        <v>1</v>
      </c>
      <c r="J27" s="5" t="str">
        <f ca="1">IFERROR(__xludf.DUMMYFUNCTION("""COMPUTED_VALUE"""),"Local")</f>
        <v>Local</v>
      </c>
      <c r="K27" s="5">
        <f ca="1">IFERROR(__xludf.DUMMYFUNCTION("""COMPUTED_VALUE"""),3)</f>
        <v>3</v>
      </c>
      <c r="L27" s="5" t="str">
        <f ca="1">IFERROR(__xludf.DUMMYFUNCTION("""COMPUTED_VALUE"""),"Summer")</f>
        <v>Summer</v>
      </c>
      <c r="M27" s="5" t="str">
        <f ca="1">IFERROR(__xludf.DUMMYFUNCTION("""COMPUTED_VALUE"""),"Hempstead")</f>
        <v>Hempstead</v>
      </c>
      <c r="N27" s="5" t="str">
        <f ca="1">IFERROR(__xludf.DUMMYFUNCTION("""COMPUTED_VALUE"""),"NY")</f>
        <v>NY</v>
      </c>
      <c r="O27" s="5" t="str">
        <f ca="1">IFERROR(__xludf.DUMMYFUNCTION("""COMPUTED_VALUE"""),"Elementary")</f>
        <v>Elementary</v>
      </c>
      <c r="P27" s="5" t="str">
        <f ca="1">IFERROR(__xludf.DUMMYFUNCTION("""COMPUTED_VALUE"""),"Classroom")</f>
        <v>Classroom</v>
      </c>
      <c r="Q27" s="5" t="str">
        <f ca="1">IFERROR(__xludf.DUMMYFUNCTION("""COMPUTED_VALUE"""),"Outside on School Property")</f>
        <v>Outside on School Property</v>
      </c>
      <c r="R27" s="5" t="str">
        <f ca="1">IFERROR(__xludf.DUMMYFUNCTION("""COMPUTED_VALUE"""),"No")</f>
        <v>No</v>
      </c>
      <c r="S27" s="5" t="str">
        <f ca="1">IFERROR(__xludf.DUMMYFUNCTION("""COMPUTED_VALUE"""),"Night")</f>
        <v>Night</v>
      </c>
      <c r="T27" s="5"/>
      <c r="U27" s="5">
        <f ca="1">IFERROR(__xludf.DUMMYFUNCTION("""COMPUTED_VALUE"""),1)</f>
        <v>1</v>
      </c>
      <c r="V27" s="5" t="str">
        <f ca="1">IFERROR(__xludf.DUMMYFUNCTION("""COMPUTED_VALUE"""),"Bullet broke classroom window")</f>
        <v>Bullet broke classroom window</v>
      </c>
      <c r="W27"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X27" s="5"/>
      <c r="Y27" s="5" t="str">
        <f ca="1">IFERROR(__xludf.DUMMYFUNCTION("""COMPUTED_VALUE"""),"Neither")</f>
        <v>Neither</v>
      </c>
      <c r="Z27" s="5" t="str">
        <f ca="1">IFERROR(__xludf.DUMMYFUNCTION("""COMPUTED_VALUE"""),"No")</f>
        <v>No</v>
      </c>
      <c r="AA27" s="5"/>
      <c r="AB27" s="5" t="str">
        <f ca="1">IFERROR(__xludf.DUMMYFUNCTION("""COMPUTED_VALUE"""),"No")</f>
        <v>No</v>
      </c>
      <c r="AC27" s="5" t="str">
        <f ca="1">IFERROR(__xludf.DUMMYFUNCTION("""COMPUTED_VALUE"""),"No")</f>
        <v>No</v>
      </c>
      <c r="AD27" s="5" t="str">
        <f ca="1">IFERROR(__xludf.DUMMYFUNCTION("""COMPUTED_VALUE"""),"No")</f>
        <v>No</v>
      </c>
      <c r="AE27" s="5" t="str">
        <f ca="1">IFERROR(__xludf.DUMMYFUNCTION("""COMPUTED_VALUE"""),"No")</f>
        <v>No</v>
      </c>
      <c r="AF27" s="5" t="str">
        <f ca="1">IFERROR(__xludf.DUMMYFUNCTION("""COMPUTED_VALUE"""),"No")</f>
        <v>No</v>
      </c>
      <c r="AG27" s="5"/>
      <c r="AH27" s="5" t="str">
        <f ca="1">IFERROR(__xludf.DUMMYFUNCTION("""COMPUTED_VALUE"""),"No")</f>
        <v>No</v>
      </c>
    </row>
    <row r="28" spans="1:34" ht="12.75">
      <c r="A28" s="5" t="str">
        <f ca="1">IFERROR(__xludf.DUMMYFUNCTION("""COMPUTED_VALUE"""),"20220729INCOS")</f>
        <v>20220729INCOS</v>
      </c>
      <c r="B28" s="8">
        <f ca="1">IFERROR(__xludf.DUMMYFUNCTION("""COMPUTED_VALUE"""),44771)</f>
        <v>44771</v>
      </c>
      <c r="C28" s="5" t="str">
        <f ca="1">IFERROR(__xludf.DUMMYFUNCTION("""COMPUTED_VALUE"""),"Coquillard Elementary School")</f>
        <v>Coquillard Elementary School</v>
      </c>
      <c r="D28" s="5">
        <f ca="1">IFERROR(__xludf.DUMMYFUNCTION("""COMPUTED_VALUE"""),0)</f>
        <v>0</v>
      </c>
      <c r="E28" s="5">
        <f ca="1">IFERROR(__xludf.DUMMYFUNCTION("""COMPUTED_VALUE"""),0)</f>
        <v>0</v>
      </c>
      <c r="F28" s="5">
        <f ca="1">IFERROR(__xludf.DUMMYFUNCTION("""COMPUTED_VALUE"""),0)</f>
        <v>0</v>
      </c>
      <c r="G28" s="5">
        <f ca="1">IFERROR(__xludf.DUMMYFUNCTION("""COMPUTED_VALUE"""),1)</f>
        <v>1</v>
      </c>
      <c r="H28"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I28" s="5">
        <f ca="1">IFERROR(__xludf.DUMMYFUNCTION("""COMPUTED_VALUE"""),5)</f>
        <v>5</v>
      </c>
      <c r="J28" s="5" t="str">
        <f ca="1">IFERROR(__xludf.DUMMYFUNCTION("""COMPUTED_VALUE"""),"Regional")</f>
        <v>Regional</v>
      </c>
      <c r="K28" s="5">
        <f ca="1">IFERROR(__xludf.DUMMYFUNCTION("""COMPUTED_VALUE"""),4)</f>
        <v>4</v>
      </c>
      <c r="L28" s="5" t="str">
        <f ca="1">IFERROR(__xludf.DUMMYFUNCTION("""COMPUTED_VALUE"""),"Summer")</f>
        <v>Summer</v>
      </c>
      <c r="M28" s="5" t="str">
        <f ca="1">IFERROR(__xludf.DUMMYFUNCTION("""COMPUTED_VALUE"""),"South Bend")</f>
        <v>South Bend</v>
      </c>
      <c r="N28" s="5" t="str">
        <f ca="1">IFERROR(__xludf.DUMMYFUNCTION("""COMPUTED_VALUE"""),"IN")</f>
        <v>IN</v>
      </c>
      <c r="O28" s="5" t="str">
        <f ca="1">IFERROR(__xludf.DUMMYFUNCTION("""COMPUTED_VALUE"""),"Elementary")</f>
        <v>Elementary</v>
      </c>
      <c r="P28" s="5" t="str">
        <f ca="1">IFERROR(__xludf.DUMMYFUNCTION("""COMPUTED_VALUE"""),"Field (General)")</f>
        <v>Field (General)</v>
      </c>
      <c r="Q28" s="5" t="str">
        <f ca="1">IFERROR(__xludf.DUMMYFUNCTION("""COMPUTED_VALUE"""),"Outside on School Property")</f>
        <v>Outside on School Property</v>
      </c>
      <c r="R28" s="5" t="str">
        <f ca="1">IFERROR(__xludf.DUMMYFUNCTION("""COMPUTED_VALUE"""),"No")</f>
        <v>No</v>
      </c>
      <c r="S28" s="5" t="str">
        <f ca="1">IFERROR(__xludf.DUMMYFUNCTION("""COMPUTED_VALUE"""),"Not a School Day")</f>
        <v>Not a School Day</v>
      </c>
      <c r="T28" s="10">
        <f ca="1">IFERROR(__xludf.DUMMYFUNCTION("""COMPUTED_VALUE"""),0.484722222222222)</f>
        <v>0.484722222222222</v>
      </c>
      <c r="U28" s="5">
        <f ca="1">IFERROR(__xludf.DUMMYFUNCTION("""COMPUTED_VALUE"""),40)</f>
        <v>40</v>
      </c>
      <c r="V28" s="5" t="str">
        <f ca="1">IFERROR(__xludf.DUMMYFUNCTION("""COMPUTED_VALUE"""),"Man with gun was shot after threatening suicide and threatening officers")</f>
        <v>Man with gun was shot after threatening suicide and threatening officers</v>
      </c>
      <c r="W28"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X28" s="5" t="str">
        <f ca="1">IFERROR(__xludf.DUMMYFUNCTION("""COMPUTED_VALUE"""),"Suicide/Attempted")</f>
        <v>Suicide/Attempted</v>
      </c>
      <c r="Y28" s="5" t="str">
        <f ca="1">IFERROR(__xludf.DUMMYFUNCTION("""COMPUTED_VALUE"""),"Victims Targeted")</f>
        <v>Victims Targeted</v>
      </c>
      <c r="Z28" s="5" t="str">
        <f ca="1">IFERROR(__xludf.DUMMYFUNCTION("""COMPUTED_VALUE"""),"No")</f>
        <v>No</v>
      </c>
      <c r="AA28" s="5"/>
      <c r="AB28" s="5" t="str">
        <f ca="1">IFERROR(__xludf.DUMMYFUNCTION("""COMPUTED_VALUE"""),"No")</f>
        <v>No</v>
      </c>
      <c r="AC28" s="5" t="str">
        <f ca="1">IFERROR(__xludf.DUMMYFUNCTION("""COMPUTED_VALUE"""),"No")</f>
        <v>No</v>
      </c>
      <c r="AD28" s="5" t="str">
        <f ca="1">IFERROR(__xludf.DUMMYFUNCTION("""COMPUTED_VALUE"""),"Yes")</f>
        <v>Yes</v>
      </c>
      <c r="AE28" s="5" t="str">
        <f ca="1">IFERROR(__xludf.DUMMYFUNCTION("""COMPUTED_VALUE"""),"No")</f>
        <v>No</v>
      </c>
      <c r="AF28" s="5" t="str">
        <f ca="1">IFERROR(__xludf.DUMMYFUNCTION("""COMPUTED_VALUE"""),"No")</f>
        <v>No</v>
      </c>
      <c r="AG28" s="5" t="str">
        <f ca="1">IFERROR(__xludf.DUMMYFUNCTION("""COMPUTED_VALUE"""),"No")</f>
        <v>No</v>
      </c>
      <c r="AH28" s="5" t="str">
        <f ca="1">IFERROR(__xludf.DUMMYFUNCTION("""COMPUTED_VALUE"""),"No")</f>
        <v>No</v>
      </c>
    </row>
    <row r="29" spans="1:34" ht="12.75">
      <c r="A29" s="5" t="str">
        <f ca="1">IFERROR(__xludf.DUMMYFUNCTION("""COMPUTED_VALUE"""),"20220728KSMOG")</f>
        <v>20220728KSMOG</v>
      </c>
      <c r="B29" s="8">
        <f ca="1">IFERROR(__xludf.DUMMYFUNCTION("""COMPUTED_VALUE"""),44770)</f>
        <v>44770</v>
      </c>
      <c r="C29" s="5" t="str">
        <f ca="1">IFERROR(__xludf.DUMMYFUNCTION("""COMPUTED_VALUE"""),"Moonlight Elementary School")</f>
        <v>Moonlight Elementary School</v>
      </c>
      <c r="D29" s="5">
        <f ca="1">IFERROR(__xludf.DUMMYFUNCTION("""COMPUTED_VALUE"""),0)</f>
        <v>0</v>
      </c>
      <c r="E29" s="5">
        <f ca="1">IFERROR(__xludf.DUMMYFUNCTION("""COMPUTED_VALUE"""),0)</f>
        <v>0</v>
      </c>
      <c r="F29" s="5">
        <f ca="1">IFERROR(__xludf.DUMMYFUNCTION("""COMPUTED_VALUE"""),0)</f>
        <v>0</v>
      </c>
      <c r="G29" s="5">
        <f ca="1">IFERROR(__xludf.DUMMYFUNCTION("""COMPUTED_VALUE"""),0)</f>
        <v>0</v>
      </c>
      <c r="H29" s="9" t="str">
        <f ca="1">IFERROR(__xludf.DUMMYFUNCTION("""COMPUTED_VALUE"""),"https://www.kctv5.com/2022/07/27/police-man-involved-shooting-incident-with-gardner-police-wounded-himself/")</f>
        <v>https://www.kctv5.com/2022/07/27/police-man-involved-shooting-incident-with-gardner-police-wounded-himself/</v>
      </c>
      <c r="I29" s="5">
        <f ca="1">IFERROR(__xludf.DUMMYFUNCTION("""COMPUTED_VALUE"""),1)</f>
        <v>1</v>
      </c>
      <c r="J29" s="5" t="str">
        <f ca="1">IFERROR(__xludf.DUMMYFUNCTION("""COMPUTED_VALUE"""),"Local")</f>
        <v>Local</v>
      </c>
      <c r="K29" s="5">
        <f ca="1">IFERROR(__xludf.DUMMYFUNCTION("""COMPUTED_VALUE"""),3)</f>
        <v>3</v>
      </c>
      <c r="L29" s="5" t="str">
        <f ca="1">IFERROR(__xludf.DUMMYFUNCTION("""COMPUTED_VALUE"""),"Summer")</f>
        <v>Summer</v>
      </c>
      <c r="M29" s="5" t="str">
        <f ca="1">IFERROR(__xludf.DUMMYFUNCTION("""COMPUTED_VALUE"""),"Gardner")</f>
        <v>Gardner</v>
      </c>
      <c r="N29" s="5" t="str">
        <f ca="1">IFERROR(__xludf.DUMMYFUNCTION("""COMPUTED_VALUE"""),"KS")</f>
        <v>KS</v>
      </c>
      <c r="O29" s="5" t="str">
        <f ca="1">IFERROR(__xludf.DUMMYFUNCTION("""COMPUTED_VALUE"""),"Elementary")</f>
        <v>Elementary</v>
      </c>
      <c r="P29" s="5" t="str">
        <f ca="1">IFERROR(__xludf.DUMMYFUNCTION("""COMPUTED_VALUE"""),"Outside on School Property")</f>
        <v>Outside on School Property</v>
      </c>
      <c r="Q29" s="5" t="str">
        <f ca="1">IFERROR(__xludf.DUMMYFUNCTION("""COMPUTED_VALUE"""),"Outside on School Property")</f>
        <v>Outside on School Property</v>
      </c>
      <c r="R29" s="5" t="str">
        <f ca="1">IFERROR(__xludf.DUMMYFUNCTION("""COMPUTED_VALUE"""),"No")</f>
        <v>No</v>
      </c>
      <c r="S29" s="5" t="str">
        <f ca="1">IFERROR(__xludf.DUMMYFUNCTION("""COMPUTED_VALUE"""),"Not a School Day")</f>
        <v>Not a School Day</v>
      </c>
      <c r="T29" s="10">
        <f ca="1">IFERROR(__xludf.DUMMYFUNCTION("""COMPUTED_VALUE"""),0.666666666666666)</f>
        <v>0.66666666666666596</v>
      </c>
      <c r="U29" s="5">
        <f ca="1">IFERROR(__xludf.DUMMYFUNCTION("""COMPUTED_VALUE"""),1)</f>
        <v>1</v>
      </c>
      <c r="V29" s="5" t="str">
        <f ca="1">IFERROR(__xludf.DUMMYFUNCTION("""COMPUTED_VALUE"""),"Suicidal man shot himself when approached by police")</f>
        <v>Suicidal man shot himself when approached by police</v>
      </c>
      <c r="W29"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X29" s="5" t="str">
        <f ca="1">IFERROR(__xludf.DUMMYFUNCTION("""COMPUTED_VALUE"""),"Suicide/Attempted")</f>
        <v>Suicide/Attempted</v>
      </c>
      <c r="Y29" s="5" t="str">
        <f ca="1">IFERROR(__xludf.DUMMYFUNCTION("""COMPUTED_VALUE"""),"Victims Targeted")</f>
        <v>Victims Targeted</v>
      </c>
      <c r="Z29" s="5" t="str">
        <f ca="1">IFERROR(__xludf.DUMMYFUNCTION("""COMPUTED_VALUE"""),"No")</f>
        <v>No</v>
      </c>
      <c r="AA29" s="5"/>
      <c r="AB29" s="5" t="str">
        <f ca="1">IFERROR(__xludf.DUMMYFUNCTION("""COMPUTED_VALUE"""),"No")</f>
        <v>No</v>
      </c>
      <c r="AC29" s="5" t="str">
        <f ca="1">IFERROR(__xludf.DUMMYFUNCTION("""COMPUTED_VALUE"""),"No")</f>
        <v>No</v>
      </c>
      <c r="AD29" s="5" t="str">
        <f ca="1">IFERROR(__xludf.DUMMYFUNCTION("""COMPUTED_VALUE"""),"No")</f>
        <v>No</v>
      </c>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row>
    <row r="30" spans="1:34" ht="12.75">
      <c r="A30" s="5" t="str">
        <f ca="1">IFERROR(__xludf.DUMMYFUNCTION("""COMPUTED_VALUE"""),"20220726PALAL")</f>
        <v>20220726PALAL</v>
      </c>
      <c r="B30" s="8">
        <f ca="1">IFERROR(__xludf.DUMMYFUNCTION("""COMPUTED_VALUE"""),44768)</f>
        <v>44768</v>
      </c>
      <c r="C30" s="5" t="str">
        <f ca="1">IFERROR(__xludf.DUMMYFUNCTION("""COMPUTED_VALUE"""),"Lake Lehman High School")</f>
        <v>Lake Lehman High School</v>
      </c>
      <c r="D30" s="5">
        <f ca="1">IFERROR(__xludf.DUMMYFUNCTION("""COMPUTED_VALUE"""),0)</f>
        <v>0</v>
      </c>
      <c r="E30" s="5">
        <f ca="1">IFERROR(__xludf.DUMMYFUNCTION("""COMPUTED_VALUE"""),0)</f>
        <v>0</v>
      </c>
      <c r="F30" s="5">
        <f ca="1">IFERROR(__xludf.DUMMYFUNCTION("""COMPUTED_VALUE"""),0)</f>
        <v>0</v>
      </c>
      <c r="G30" s="5">
        <f ca="1">IFERROR(__xludf.DUMMYFUNCTION("""COMPUTED_VALUE"""),0)</f>
        <v>0</v>
      </c>
      <c r="H30" s="9" t="str">
        <f ca="1">IFERROR(__xludf.DUMMYFUNCTION("""COMPUTED_VALUE"""),"https://local21news.com/news/local/man-wanted-by-police-for-discharging-firearm")</f>
        <v>https://local21news.com/news/local/man-wanted-by-police-for-discharging-firearm</v>
      </c>
      <c r="I30" s="5">
        <f ca="1">IFERROR(__xludf.DUMMYFUNCTION("""COMPUTED_VALUE"""),1)</f>
        <v>1</v>
      </c>
      <c r="J30" s="5" t="str">
        <f ca="1">IFERROR(__xludf.DUMMYFUNCTION("""COMPUTED_VALUE"""),"Local")</f>
        <v>Local</v>
      </c>
      <c r="K30" s="5">
        <f ca="1">IFERROR(__xludf.DUMMYFUNCTION("""COMPUTED_VALUE"""),4)</f>
        <v>4</v>
      </c>
      <c r="L30" s="5" t="str">
        <f ca="1">IFERROR(__xludf.DUMMYFUNCTION("""COMPUTED_VALUE"""),"Summer")</f>
        <v>Summer</v>
      </c>
      <c r="M30" s="5" t="str">
        <f ca="1">IFERROR(__xludf.DUMMYFUNCTION("""COMPUTED_VALUE"""),"Lehman")</f>
        <v>Lehman</v>
      </c>
      <c r="N30" s="5" t="str">
        <f ca="1">IFERROR(__xludf.DUMMYFUNCTION("""COMPUTED_VALUE"""),"PA")</f>
        <v>PA</v>
      </c>
      <c r="O30" s="5" t="str">
        <f ca="1">IFERROR(__xludf.DUMMYFUNCTION("""COMPUTED_VALUE"""),"High")</f>
        <v>High</v>
      </c>
      <c r="P30" s="5" t="str">
        <f ca="1">IFERROR(__xludf.DUMMYFUNCTION("""COMPUTED_VALUE"""),"Gym")</f>
        <v>Gym</v>
      </c>
      <c r="Q30" s="5" t="str">
        <f ca="1">IFERROR(__xludf.DUMMYFUNCTION("""COMPUTED_VALUE"""),"Outside on School Property")</f>
        <v>Outside on School Property</v>
      </c>
      <c r="R30" s="5" t="str">
        <f ca="1">IFERROR(__xludf.DUMMYFUNCTION("""COMPUTED_VALUE"""),"No")</f>
        <v>No</v>
      </c>
      <c r="S30" s="5" t="str">
        <f ca="1">IFERROR(__xludf.DUMMYFUNCTION("""COMPUTED_VALUE"""),"Night")</f>
        <v>Night</v>
      </c>
      <c r="T30" s="10">
        <f ca="1">IFERROR(__xludf.DUMMYFUNCTION("""COMPUTED_VALUE"""),0.0625)</f>
        <v>6.25E-2</v>
      </c>
      <c r="U30" s="5">
        <f ca="1">IFERROR(__xludf.DUMMYFUNCTION("""COMPUTED_VALUE"""),1)</f>
        <v>1</v>
      </c>
      <c r="V30" s="5" t="str">
        <f ca="1">IFERROR(__xludf.DUMMYFUNCTION("""COMPUTED_VALUE"""),"Man fired shots from vehicle at school building")</f>
        <v>Man fired shots from vehicle at school building</v>
      </c>
      <c r="W30"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X30" s="5" t="str">
        <f ca="1">IFERROR(__xludf.DUMMYFUNCTION("""COMPUTED_VALUE"""),"Drive-by Shooting")</f>
        <v>Drive-by Shooting</v>
      </c>
      <c r="Y30" s="5" t="str">
        <f ca="1">IFERROR(__xludf.DUMMYFUNCTION("""COMPUTED_VALUE"""),"Neither")</f>
        <v>Neither</v>
      </c>
      <c r="Z30" s="5" t="str">
        <f ca="1">IFERROR(__xludf.DUMMYFUNCTION("""COMPUTED_VALUE"""),"No")</f>
        <v>No</v>
      </c>
      <c r="AA30" s="5"/>
      <c r="AB30" s="5" t="str">
        <f ca="1">IFERROR(__xludf.DUMMYFUNCTION("""COMPUTED_VALUE"""),"No")</f>
        <v>No</v>
      </c>
      <c r="AC30" s="5" t="str">
        <f ca="1">IFERROR(__xludf.DUMMYFUNCTION("""COMPUTED_VALUE"""),"No")</f>
        <v>No</v>
      </c>
      <c r="AD30" s="5" t="str">
        <f ca="1">IFERROR(__xludf.DUMMYFUNCTION("""COMPUTED_VALUE"""),"No")</f>
        <v>No</v>
      </c>
      <c r="AE30" s="5" t="str">
        <f ca="1">IFERROR(__xludf.DUMMYFUNCTION("""COMPUTED_VALUE"""),"No")</f>
        <v>No</v>
      </c>
      <c r="AF30" s="5" t="str">
        <f ca="1">IFERROR(__xludf.DUMMYFUNCTION("""COMPUTED_VALUE"""),"No")</f>
        <v>No</v>
      </c>
      <c r="AG30" s="5" t="str">
        <f ca="1">IFERROR(__xludf.DUMMYFUNCTION("""COMPUTED_VALUE"""),"No")</f>
        <v>No</v>
      </c>
      <c r="AH30" s="5" t="str">
        <f ca="1">IFERROR(__xludf.DUMMYFUNCTION("""COMPUTED_VALUE"""),"No")</f>
        <v>No</v>
      </c>
    </row>
    <row r="31" spans="1:34" ht="12.75">
      <c r="A31" s="5" t="str">
        <f ca="1">IFERROR(__xludf.DUMMYFUNCTION("""COMPUTED_VALUE"""),"20220726TXCOC")</f>
        <v>20220726TXCOC</v>
      </c>
      <c r="B31" s="8">
        <f ca="1">IFERROR(__xludf.DUMMYFUNCTION("""COMPUTED_VALUE"""),44768)</f>
        <v>44768</v>
      </c>
      <c r="C31" s="5" t="str">
        <f ca="1">IFERROR(__xludf.DUMMYFUNCTION("""COMPUTED_VALUE"""),"College Station High School")</f>
        <v>College Station High School</v>
      </c>
      <c r="D31" s="5">
        <f ca="1">IFERROR(__xludf.DUMMYFUNCTION("""COMPUTED_VALUE"""),0)</f>
        <v>0</v>
      </c>
      <c r="E31" s="5">
        <f ca="1">IFERROR(__xludf.DUMMYFUNCTION("""COMPUTED_VALUE"""),0)</f>
        <v>0</v>
      </c>
      <c r="F31" s="5">
        <f ca="1">IFERROR(__xludf.DUMMYFUNCTION("""COMPUTED_VALUE"""),0)</f>
        <v>0</v>
      </c>
      <c r="G31" s="5">
        <f ca="1">IFERROR(__xludf.DUMMYFUNCTION("""COMPUTED_VALUE"""),0)</f>
        <v>0</v>
      </c>
      <c r="H31"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I31" s="5">
        <f ca="1">IFERROR(__xludf.DUMMYFUNCTION("""COMPUTED_VALUE"""),2)</f>
        <v>2</v>
      </c>
      <c r="J31" s="5" t="str">
        <f ca="1">IFERROR(__xludf.DUMMYFUNCTION("""COMPUTED_VALUE"""),"Local")</f>
        <v>Local</v>
      </c>
      <c r="K31" s="5">
        <f ca="1">IFERROR(__xludf.DUMMYFUNCTION("""COMPUTED_VALUE"""),3)</f>
        <v>3</v>
      </c>
      <c r="L31" s="5" t="str">
        <f ca="1">IFERROR(__xludf.DUMMYFUNCTION("""COMPUTED_VALUE"""),"Summer")</f>
        <v>Summer</v>
      </c>
      <c r="M31" s="5" t="str">
        <f ca="1">IFERROR(__xludf.DUMMYFUNCTION("""COMPUTED_VALUE"""),"College Station")</f>
        <v>College Station</v>
      </c>
      <c r="N31" s="5" t="str">
        <f ca="1">IFERROR(__xludf.DUMMYFUNCTION("""COMPUTED_VALUE"""),"TX")</f>
        <v>TX</v>
      </c>
      <c r="O31" s="5" t="str">
        <f ca="1">IFERROR(__xludf.DUMMYFUNCTION("""COMPUTED_VALUE"""),"High")</f>
        <v>High</v>
      </c>
      <c r="P31" s="5" t="str">
        <f ca="1">IFERROR(__xludf.DUMMYFUNCTION("""COMPUTED_VALUE"""),"Parking Lot")</f>
        <v>Parking Lot</v>
      </c>
      <c r="Q31" s="5" t="str">
        <f ca="1">IFERROR(__xludf.DUMMYFUNCTION("""COMPUTED_VALUE"""),"Outside on School Property")</f>
        <v>Outside on School Property</v>
      </c>
      <c r="R31" s="5" t="str">
        <f ca="1">IFERROR(__xludf.DUMMYFUNCTION("""COMPUTED_VALUE"""),"No")</f>
        <v>No</v>
      </c>
      <c r="S31" s="5" t="str">
        <f ca="1">IFERROR(__xludf.DUMMYFUNCTION("""COMPUTED_VALUE"""),"Evening")</f>
        <v>Evening</v>
      </c>
      <c r="T31" s="10">
        <f ca="1">IFERROR(__xludf.DUMMYFUNCTION("""COMPUTED_VALUE"""),0.7375)</f>
        <v>0.73750000000000004</v>
      </c>
      <c r="U31" s="5">
        <f ca="1">IFERROR(__xludf.DUMMYFUNCTION("""COMPUTED_VALUE"""),1)</f>
        <v>1</v>
      </c>
      <c r="V31" s="5" t="str">
        <f ca="1">IFERROR(__xludf.DUMMYFUNCTION("""COMPUTED_VALUE"""),"Man fired shots in parking lot, struck vehicles")</f>
        <v>Man fired shots in parking lot, struck vehicles</v>
      </c>
      <c r="W31"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X31" s="5"/>
      <c r="Y31" s="5"/>
      <c r="Z31" s="5" t="str">
        <f ca="1">IFERROR(__xludf.DUMMYFUNCTION("""COMPUTED_VALUE"""),"No")</f>
        <v>No</v>
      </c>
      <c r="AA31" s="5"/>
      <c r="AB31" s="5" t="str">
        <f ca="1">IFERROR(__xludf.DUMMYFUNCTION("""COMPUTED_VALUE"""),"No")</f>
        <v>No</v>
      </c>
      <c r="AC31" s="5" t="str">
        <f ca="1">IFERROR(__xludf.DUMMYFUNCTION("""COMPUTED_VALUE"""),"No")</f>
        <v>No</v>
      </c>
      <c r="AD31" s="5" t="str">
        <f ca="1">IFERROR(__xludf.DUMMYFUNCTION("""COMPUTED_VALUE"""),"No")</f>
        <v>No</v>
      </c>
      <c r="AE31" s="5" t="str">
        <f ca="1">IFERROR(__xludf.DUMMYFUNCTION("""COMPUTED_VALUE"""),"No")</f>
        <v>No</v>
      </c>
      <c r="AF31" s="5" t="str">
        <f ca="1">IFERROR(__xludf.DUMMYFUNCTION("""COMPUTED_VALUE"""),"No")</f>
        <v>No</v>
      </c>
      <c r="AG31" s="5"/>
      <c r="AH31" s="5" t="str">
        <f ca="1">IFERROR(__xludf.DUMMYFUNCTION("""COMPUTED_VALUE"""),"No")</f>
        <v>No</v>
      </c>
    </row>
    <row r="32" spans="1:34" ht="12.75">
      <c r="A32" s="5" t="str">
        <f ca="1">IFERROR(__xludf.DUMMYFUNCTION("""COMPUTED_VALUE"""),"20220725NYBRB")</f>
        <v>20220725NYBRB</v>
      </c>
      <c r="B32" s="8">
        <f ca="1">IFERROR(__xludf.DUMMYFUNCTION("""COMPUTED_VALUE"""),44767)</f>
        <v>44767</v>
      </c>
      <c r="C32" s="5" t="str">
        <f ca="1">IFERROR(__xludf.DUMMYFUNCTION("""COMPUTED_VALUE"""),"X480 Bronx Regional High School")</f>
        <v>X480 Bronx Regional High School</v>
      </c>
      <c r="D32" s="5">
        <f ca="1">IFERROR(__xludf.DUMMYFUNCTION("""COMPUTED_VALUE"""),0)</f>
        <v>0</v>
      </c>
      <c r="E32" s="5">
        <f ca="1">IFERROR(__xludf.DUMMYFUNCTION("""COMPUTED_VALUE"""),2)</f>
        <v>2</v>
      </c>
      <c r="F32" s="5">
        <f ca="1">IFERROR(__xludf.DUMMYFUNCTION("""COMPUTED_VALUE"""),2)</f>
        <v>2</v>
      </c>
      <c r="G32" s="5">
        <f ca="1">IFERROR(__xludf.DUMMYFUNCTION("""COMPUTED_VALUE"""),0)</f>
        <v>0</v>
      </c>
      <c r="H32"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I32" s="5">
        <f ca="1">IFERROR(__xludf.DUMMYFUNCTION("""COMPUTED_VALUE"""),3)</f>
        <v>3</v>
      </c>
      <c r="J32" s="5" t="str">
        <f ca="1">IFERROR(__xludf.DUMMYFUNCTION("""COMPUTED_VALUE"""),"Local")</f>
        <v>Local</v>
      </c>
      <c r="K32" s="5">
        <f ca="1">IFERROR(__xludf.DUMMYFUNCTION("""COMPUTED_VALUE"""),4)</f>
        <v>4</v>
      </c>
      <c r="L32" s="5" t="str">
        <f ca="1">IFERROR(__xludf.DUMMYFUNCTION("""COMPUTED_VALUE"""),"Summer")</f>
        <v>Summer</v>
      </c>
      <c r="M32" s="5" t="str">
        <f ca="1">IFERROR(__xludf.DUMMYFUNCTION("""COMPUTED_VALUE"""),"Bronx")</f>
        <v>Bronx</v>
      </c>
      <c r="N32" s="5" t="str">
        <f ca="1">IFERROR(__xludf.DUMMYFUNCTION("""COMPUTED_VALUE"""),"NY")</f>
        <v>NY</v>
      </c>
      <c r="O32" s="5" t="str">
        <f ca="1">IFERROR(__xludf.DUMMYFUNCTION("""COMPUTED_VALUE"""),"High")</f>
        <v>High</v>
      </c>
      <c r="P32" s="5" t="str">
        <f ca="1">IFERROR(__xludf.DUMMYFUNCTION("""COMPUTED_VALUE"""),"Basketball Court")</f>
        <v>Basketball Court</v>
      </c>
      <c r="Q32" s="5" t="str">
        <f ca="1">IFERROR(__xludf.DUMMYFUNCTION("""COMPUTED_VALUE"""),"Outside on School Property")</f>
        <v>Outside on School Property</v>
      </c>
      <c r="R32" s="5" t="str">
        <f ca="1">IFERROR(__xludf.DUMMYFUNCTION("""COMPUTED_VALUE"""),"No")</f>
        <v>No</v>
      </c>
      <c r="S32" s="5" t="str">
        <f ca="1">IFERROR(__xludf.DUMMYFUNCTION("""COMPUTED_VALUE"""),"Night")</f>
        <v>Night</v>
      </c>
      <c r="T32" s="10">
        <f ca="1">IFERROR(__xludf.DUMMYFUNCTION("""COMPUTED_VALUE"""),0.979166666666666)</f>
        <v>0.97916666666666596</v>
      </c>
      <c r="U32" s="5">
        <f ca="1">IFERROR(__xludf.DUMMYFUNCTION("""COMPUTED_VALUE"""),1)</f>
        <v>1</v>
      </c>
      <c r="V32" s="5" t="str">
        <f ca="1">IFERROR(__xludf.DUMMYFUNCTION("""COMPUTED_VALUE"""),"Teen and child shot on basketball court")</f>
        <v>Teen and child shot on basketball court</v>
      </c>
      <c r="W32"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X32" s="5" t="str">
        <f ca="1">IFERROR(__xludf.DUMMYFUNCTION("""COMPUTED_VALUE"""),"Drive-by Shooting")</f>
        <v>Drive-by Shooting</v>
      </c>
      <c r="Y32" s="5" t="str">
        <f ca="1">IFERROR(__xludf.DUMMYFUNCTION("""COMPUTED_VALUE"""),"Both")</f>
        <v>Both</v>
      </c>
      <c r="Z32" s="5" t="str">
        <f ca="1">IFERROR(__xludf.DUMMYFUNCTION("""COMPUTED_VALUE"""),"Yes")</f>
        <v>Yes</v>
      </c>
      <c r="AA32" s="5" t="str">
        <f ca="1">IFERROR(__xludf.DUMMYFUNCTION("""COMPUTED_VALUE"""),"Shooter and driver")</f>
        <v>Shooter and driver</v>
      </c>
      <c r="AB32" s="5" t="str">
        <f ca="1">IFERROR(__xludf.DUMMYFUNCTION("""COMPUTED_VALUE"""),"No")</f>
        <v>No</v>
      </c>
      <c r="AC32" s="5" t="str">
        <f ca="1">IFERROR(__xludf.DUMMYFUNCTION("""COMPUTED_VALUE"""),"No")</f>
        <v>No</v>
      </c>
      <c r="AD32" s="5" t="str">
        <f ca="1">IFERROR(__xludf.DUMMYFUNCTION("""COMPUTED_VALUE"""),"No")</f>
        <v>No</v>
      </c>
      <c r="AE32" s="5" t="str">
        <f ca="1">IFERROR(__xludf.DUMMYFUNCTION("""COMPUTED_VALUE"""),"No")</f>
        <v>No</v>
      </c>
      <c r="AF32" s="5" t="str">
        <f ca="1">IFERROR(__xludf.DUMMYFUNCTION("""COMPUTED_VALUE"""),"No")</f>
        <v>No</v>
      </c>
      <c r="AG32" s="5" t="str">
        <f ca="1">IFERROR(__xludf.DUMMYFUNCTION("""COMPUTED_VALUE"""),"Yes")</f>
        <v>Yes</v>
      </c>
      <c r="AH32" s="5" t="str">
        <f ca="1">IFERROR(__xludf.DUMMYFUNCTION("""COMPUTED_VALUE"""),"No")</f>
        <v>No</v>
      </c>
    </row>
    <row r="33" spans="1:34" ht="12.75">
      <c r="A33" s="5" t="str">
        <f ca="1">IFERROR(__xludf.DUMMYFUNCTION("""COMPUTED_VALUE"""),"20220720CAJOV")</f>
        <v>20220720CAJOV</v>
      </c>
      <c r="B33" s="8">
        <f ca="1">IFERROR(__xludf.DUMMYFUNCTION("""COMPUTED_VALUE"""),44762)</f>
        <v>44762</v>
      </c>
      <c r="C33" s="5" t="str">
        <f ca="1">IFERROR(__xludf.DUMMYFUNCTION("""COMPUTED_VALUE"""),"John Finney High School")</f>
        <v>John Finney High School</v>
      </c>
      <c r="D33" s="5">
        <f ca="1">IFERROR(__xludf.DUMMYFUNCTION("""COMPUTED_VALUE"""),0)</f>
        <v>0</v>
      </c>
      <c r="E33" s="5">
        <f ca="1">IFERROR(__xludf.DUMMYFUNCTION("""COMPUTED_VALUE"""),0)</f>
        <v>0</v>
      </c>
      <c r="F33" s="5">
        <f ca="1">IFERROR(__xludf.DUMMYFUNCTION("""COMPUTED_VALUE"""),0)</f>
        <v>0</v>
      </c>
      <c r="G33" s="5">
        <f ca="1">IFERROR(__xludf.DUMMYFUNCTION("""COMPUTED_VALUE"""),0)</f>
        <v>0</v>
      </c>
      <c r="H33"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I33" s="5">
        <f ca="1">IFERROR(__xludf.DUMMYFUNCTION("""COMPUTED_VALUE"""),5)</f>
        <v>5</v>
      </c>
      <c r="J33" s="5" t="str">
        <f ca="1">IFERROR(__xludf.DUMMYFUNCTION("""COMPUTED_VALUE"""),"Regional")</f>
        <v>Regional</v>
      </c>
      <c r="K33" s="5">
        <f ca="1">IFERROR(__xludf.DUMMYFUNCTION("""COMPUTED_VALUE"""),4)</f>
        <v>4</v>
      </c>
      <c r="L33" s="5" t="str">
        <f ca="1">IFERROR(__xludf.DUMMYFUNCTION("""COMPUTED_VALUE"""),"Summer")</f>
        <v>Summer</v>
      </c>
      <c r="M33" s="5" t="str">
        <f ca="1">IFERROR(__xludf.DUMMYFUNCTION("""COMPUTED_VALUE"""),"Vallejo")</f>
        <v>Vallejo</v>
      </c>
      <c r="N33" s="5" t="str">
        <f ca="1">IFERROR(__xludf.DUMMYFUNCTION("""COMPUTED_VALUE"""),"CA")</f>
        <v>CA</v>
      </c>
      <c r="O33" s="5" t="str">
        <f ca="1">IFERROR(__xludf.DUMMYFUNCTION("""COMPUTED_VALUE"""),"High")</f>
        <v>High</v>
      </c>
      <c r="P33" s="5" t="str">
        <f ca="1">IFERROR(__xludf.DUMMYFUNCTION("""COMPUTED_VALUE"""),"Field (General)")</f>
        <v>Field (General)</v>
      </c>
      <c r="Q33" s="5" t="str">
        <f ca="1">IFERROR(__xludf.DUMMYFUNCTION("""COMPUTED_VALUE"""),"Outside on School Property")</f>
        <v>Outside on School Property</v>
      </c>
      <c r="R33" s="5" t="str">
        <f ca="1">IFERROR(__xludf.DUMMYFUNCTION("""COMPUTED_VALUE"""),"Yes")</f>
        <v>Yes</v>
      </c>
      <c r="S33" s="5" t="str">
        <f ca="1">IFERROR(__xludf.DUMMYFUNCTION("""COMPUTED_VALUE"""),"Morning Classes")</f>
        <v>Morning Classes</v>
      </c>
      <c r="T33" s="10">
        <f ca="1">IFERROR(__xludf.DUMMYFUNCTION("""COMPUTED_VALUE"""),0.392361111111111)</f>
        <v>0.39236111111111099</v>
      </c>
      <c r="U33" s="5">
        <f ca="1">IFERROR(__xludf.DUMMYFUNCTION("""COMPUTED_VALUE"""),1)</f>
        <v>1</v>
      </c>
      <c r="V33" s="5" t="str">
        <f ca="1">IFERROR(__xludf.DUMMYFUNCTION("""COMPUTED_VALUE"""),"Shots fired on school field")</f>
        <v>Shots fired on school field</v>
      </c>
      <c r="W33"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X33" s="5"/>
      <c r="Y33" s="5"/>
      <c r="Z33" s="5" t="str">
        <f ca="1">IFERROR(__xludf.DUMMYFUNCTION("""COMPUTED_VALUE"""),"No")</f>
        <v>No</v>
      </c>
      <c r="AA33" s="5"/>
      <c r="AB33" s="5" t="str">
        <f ca="1">IFERROR(__xludf.DUMMYFUNCTION("""COMPUTED_VALUE"""),"No")</f>
        <v>No</v>
      </c>
      <c r="AC33" s="5" t="str">
        <f ca="1">IFERROR(__xludf.DUMMYFUNCTION("""COMPUTED_VALUE"""),"No")</f>
        <v>No</v>
      </c>
      <c r="AD33" s="5" t="str">
        <f ca="1">IFERROR(__xludf.DUMMYFUNCTION("""COMPUTED_VALUE"""),"No")</f>
        <v>No</v>
      </c>
      <c r="AE33" s="5" t="str">
        <f ca="1">IFERROR(__xludf.DUMMYFUNCTION("""COMPUTED_VALUE"""),"No")</f>
        <v>No</v>
      </c>
      <c r="AF33" s="5" t="str">
        <f ca="1">IFERROR(__xludf.DUMMYFUNCTION("""COMPUTED_VALUE"""),"No")</f>
        <v>No</v>
      </c>
      <c r="AG33" s="5"/>
      <c r="AH33" s="5" t="str">
        <f ca="1">IFERROR(__xludf.DUMMYFUNCTION("""COMPUTED_VALUE"""),"No")</f>
        <v>No</v>
      </c>
    </row>
    <row r="34" spans="1:34" ht="12.75">
      <c r="A34" s="5" t="str">
        <f ca="1">IFERROR(__xludf.DUMMYFUNCTION("""COMPUTED_VALUE"""),"20220716NYCLS")</f>
        <v>20220716NYCLS</v>
      </c>
      <c r="B34" s="8">
        <f ca="1">IFERROR(__xludf.DUMMYFUNCTION("""COMPUTED_VALUE"""),44758)</f>
        <v>44758</v>
      </c>
      <c r="C34" s="5" t="str">
        <f ca="1">IFERROR(__xludf.DUMMYFUNCTION("""COMPUTED_VALUE"""),"Clary Middle School")</f>
        <v>Clary Middle School</v>
      </c>
      <c r="D34" s="5">
        <f ca="1">IFERROR(__xludf.DUMMYFUNCTION("""COMPUTED_VALUE"""),0)</f>
        <v>0</v>
      </c>
      <c r="E34" s="5">
        <f ca="1">IFERROR(__xludf.DUMMYFUNCTION("""COMPUTED_VALUE"""),0)</f>
        <v>0</v>
      </c>
      <c r="F34" s="5">
        <f ca="1">IFERROR(__xludf.DUMMYFUNCTION("""COMPUTED_VALUE"""),0)</f>
        <v>0</v>
      </c>
      <c r="G34" s="5">
        <f ca="1">IFERROR(__xludf.DUMMYFUNCTION("""COMPUTED_VALUE"""),0)</f>
        <v>0</v>
      </c>
      <c r="H34"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I34" s="5">
        <f ca="1">IFERROR(__xludf.DUMMYFUNCTION("""COMPUTED_VALUE"""),3)</f>
        <v>3</v>
      </c>
      <c r="J34" s="5" t="str">
        <f ca="1">IFERROR(__xludf.DUMMYFUNCTION("""COMPUTED_VALUE"""),"Local")</f>
        <v>Local</v>
      </c>
      <c r="K34" s="5">
        <f ca="1">IFERROR(__xludf.DUMMYFUNCTION("""COMPUTED_VALUE"""),4)</f>
        <v>4</v>
      </c>
      <c r="L34" s="5" t="str">
        <f ca="1">IFERROR(__xludf.DUMMYFUNCTION("""COMPUTED_VALUE"""),"Summer")</f>
        <v>Summer</v>
      </c>
      <c r="M34" s="5" t="str">
        <f ca="1">IFERROR(__xludf.DUMMYFUNCTION("""COMPUTED_VALUE"""),"Syracuse")</f>
        <v>Syracuse</v>
      </c>
      <c r="N34" s="5" t="str">
        <f ca="1">IFERROR(__xludf.DUMMYFUNCTION("""COMPUTED_VALUE"""),"NY")</f>
        <v>NY</v>
      </c>
      <c r="O34" s="5" t="str">
        <f ca="1">IFERROR(__xludf.DUMMYFUNCTION("""COMPUTED_VALUE"""),"Middle")</f>
        <v>Middle</v>
      </c>
      <c r="P34" s="5" t="str">
        <f ca="1">IFERROR(__xludf.DUMMYFUNCTION("""COMPUTED_VALUE"""),"Parking Lot")</f>
        <v>Parking Lot</v>
      </c>
      <c r="Q34" s="5" t="str">
        <f ca="1">IFERROR(__xludf.DUMMYFUNCTION("""COMPUTED_VALUE"""),"Outside on School Property")</f>
        <v>Outside on School Property</v>
      </c>
      <c r="R34" s="5" t="str">
        <f ca="1">IFERROR(__xludf.DUMMYFUNCTION("""COMPUTED_VALUE"""),"No")</f>
        <v>No</v>
      </c>
      <c r="S34" s="5" t="str">
        <f ca="1">IFERROR(__xludf.DUMMYFUNCTION("""COMPUTED_VALUE"""),"Sport Event")</f>
        <v>Sport Event</v>
      </c>
      <c r="T34" s="10">
        <f ca="1">IFERROR(__xludf.DUMMYFUNCTION("""COMPUTED_VALUE"""),0.875)</f>
        <v>0.875</v>
      </c>
      <c r="U34" s="5">
        <f ca="1">IFERROR(__xludf.DUMMYFUNCTION("""COMPUTED_VALUE"""),1)</f>
        <v>1</v>
      </c>
      <c r="V34" s="5" t="str">
        <f ca="1">IFERROR(__xludf.DUMMYFUNCTION("""COMPUTED_VALUE"""),"Shots fired during fight in parking lot during semi-pro football game")</f>
        <v>Shots fired during fight in parking lot during semi-pro football game</v>
      </c>
      <c r="W34"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X34" s="5" t="str">
        <f ca="1">IFERROR(__xludf.DUMMYFUNCTION("""COMPUTED_VALUE"""),"Escalation of Dispute")</f>
        <v>Escalation of Dispute</v>
      </c>
      <c r="Y34" s="5" t="str">
        <f ca="1">IFERROR(__xludf.DUMMYFUNCTION("""COMPUTED_VALUE"""),"Victims Targeted")</f>
        <v>Victims Targeted</v>
      </c>
      <c r="Z34" s="5" t="str">
        <f ca="1">IFERROR(__xludf.DUMMYFUNCTION("""COMPUTED_VALUE"""),"No")</f>
        <v>No</v>
      </c>
      <c r="AA34" s="5"/>
      <c r="AB34" s="5" t="str">
        <f ca="1">IFERROR(__xludf.DUMMYFUNCTION("""COMPUTED_VALUE"""),"No")</f>
        <v>No</v>
      </c>
      <c r="AC34" s="5" t="str">
        <f ca="1">IFERROR(__xludf.DUMMYFUNCTION("""COMPUTED_VALUE"""),"No")</f>
        <v>No</v>
      </c>
      <c r="AD34" s="5" t="str">
        <f ca="1">IFERROR(__xludf.DUMMYFUNCTION("""COMPUTED_VALUE"""),"No")</f>
        <v>No</v>
      </c>
      <c r="AE34" s="5" t="str">
        <f ca="1">IFERROR(__xludf.DUMMYFUNCTION("""COMPUTED_VALUE"""),"No")</f>
        <v>No</v>
      </c>
      <c r="AF34" s="5" t="str">
        <f ca="1">IFERROR(__xludf.DUMMYFUNCTION("""COMPUTED_VALUE"""),"No")</f>
        <v>No</v>
      </c>
      <c r="AG34" s="5" t="str">
        <f ca="1">IFERROR(__xludf.DUMMYFUNCTION("""COMPUTED_VALUE"""),"No")</f>
        <v>No</v>
      </c>
      <c r="AH34" s="5" t="str">
        <f ca="1">IFERROR(__xludf.DUMMYFUNCTION("""COMPUTED_VALUE"""),"No")</f>
        <v>No</v>
      </c>
    </row>
    <row r="35" spans="1:34" ht="12.75">
      <c r="A35" s="5" t="str">
        <f ca="1">IFERROR(__xludf.DUMMYFUNCTION("""COMPUTED_VALUE"""),"20220716GAAPF")</f>
        <v>20220716GAAPF</v>
      </c>
      <c r="B35" s="8">
        <f ca="1">IFERROR(__xludf.DUMMYFUNCTION("""COMPUTED_VALUE"""),44758)</f>
        <v>44758</v>
      </c>
      <c r="C35" s="5" t="str">
        <f ca="1">IFERROR(__xludf.DUMMYFUNCTION("""COMPUTED_VALUE"""),"A. Philip Randolph Elementary School")</f>
        <v>A. Philip Randolph Elementary School</v>
      </c>
      <c r="D35" s="5">
        <f ca="1">IFERROR(__xludf.DUMMYFUNCTION("""COMPUTED_VALUE"""),0)</f>
        <v>0</v>
      </c>
      <c r="E35" s="5">
        <f ca="1">IFERROR(__xludf.DUMMYFUNCTION("""COMPUTED_VALUE"""),1)</f>
        <v>1</v>
      </c>
      <c r="F35" s="5">
        <f ca="1">IFERROR(__xludf.DUMMYFUNCTION("""COMPUTED_VALUE"""),1)</f>
        <v>1</v>
      </c>
      <c r="G35" s="5">
        <f ca="1">IFERROR(__xludf.DUMMYFUNCTION("""COMPUTED_VALUE"""),0)</f>
        <v>0</v>
      </c>
      <c r="H35"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I35" s="5">
        <f ca="1">IFERROR(__xludf.DUMMYFUNCTION("""COMPUTED_VALUE"""),3)</f>
        <v>3</v>
      </c>
      <c r="J35" s="5" t="str">
        <f ca="1">IFERROR(__xludf.DUMMYFUNCTION("""COMPUTED_VALUE"""),"Local")</f>
        <v>Local</v>
      </c>
      <c r="K35" s="5">
        <f ca="1">IFERROR(__xludf.DUMMYFUNCTION("""COMPUTED_VALUE"""),4)</f>
        <v>4</v>
      </c>
      <c r="L35" s="5" t="str">
        <f ca="1">IFERROR(__xludf.DUMMYFUNCTION("""COMPUTED_VALUE"""),"Summer")</f>
        <v>Summer</v>
      </c>
      <c r="M35" s="5" t="str">
        <f ca="1">IFERROR(__xludf.DUMMYFUNCTION("""COMPUTED_VALUE"""),"Fulton")</f>
        <v>Fulton</v>
      </c>
      <c r="N35" s="5" t="str">
        <f ca="1">IFERROR(__xludf.DUMMYFUNCTION("""COMPUTED_VALUE"""),"GA")</f>
        <v>GA</v>
      </c>
      <c r="O35" s="5" t="str">
        <f ca="1">IFERROR(__xludf.DUMMYFUNCTION("""COMPUTED_VALUE"""),"Elementary")</f>
        <v>Elementary</v>
      </c>
      <c r="P35" s="5" t="str">
        <f ca="1">IFERROR(__xludf.DUMMYFUNCTION("""COMPUTED_VALUE"""),"Parking Lot")</f>
        <v>Parking Lot</v>
      </c>
      <c r="Q35" s="5" t="str">
        <f ca="1">IFERROR(__xludf.DUMMYFUNCTION("""COMPUTED_VALUE"""),"Outside on School Property")</f>
        <v>Outside on School Property</v>
      </c>
      <c r="R35" s="5" t="str">
        <f ca="1">IFERROR(__xludf.DUMMYFUNCTION("""COMPUTED_VALUE"""),"No")</f>
        <v>No</v>
      </c>
      <c r="S35" s="5" t="str">
        <f ca="1">IFERROR(__xludf.DUMMYFUNCTION("""COMPUTED_VALUE"""),"Night")</f>
        <v>Night</v>
      </c>
      <c r="T35" s="10">
        <f ca="1">IFERROR(__xludf.DUMMYFUNCTION("""COMPUTED_VALUE"""),0.104166666666666)</f>
        <v>0.10416666666666601</v>
      </c>
      <c r="U35" s="5">
        <f ca="1">IFERROR(__xludf.DUMMYFUNCTION("""COMPUTED_VALUE"""),1)</f>
        <v>1</v>
      </c>
      <c r="V35" s="5" t="str">
        <f ca="1">IFERROR(__xludf.DUMMYFUNCTION("""COMPUTED_VALUE"""),"Man shot during fight that escalated into shooting")</f>
        <v>Man shot during fight that escalated into shooting</v>
      </c>
      <c r="W35"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X35" s="5" t="str">
        <f ca="1">IFERROR(__xludf.DUMMYFUNCTION("""COMPUTED_VALUE"""),"Escalation of Dispute")</f>
        <v>Escalation of Dispute</v>
      </c>
      <c r="Y35" s="5" t="str">
        <f ca="1">IFERROR(__xludf.DUMMYFUNCTION("""COMPUTED_VALUE"""),"Victims Targeted")</f>
        <v>Victims Targeted</v>
      </c>
      <c r="Z35" s="5" t="str">
        <f ca="1">IFERROR(__xludf.DUMMYFUNCTION("""COMPUTED_VALUE"""),"No")</f>
        <v>No</v>
      </c>
      <c r="AA35" s="5"/>
      <c r="AB35" s="5" t="str">
        <f ca="1">IFERROR(__xludf.DUMMYFUNCTION("""COMPUTED_VALUE"""),"No")</f>
        <v>No</v>
      </c>
      <c r="AC35" s="5" t="str">
        <f ca="1">IFERROR(__xludf.DUMMYFUNCTION("""COMPUTED_VALUE"""),"No")</f>
        <v>No</v>
      </c>
      <c r="AD35" s="5" t="str">
        <f ca="1">IFERROR(__xludf.DUMMYFUNCTION("""COMPUTED_VALUE"""),"No")</f>
        <v>No</v>
      </c>
      <c r="AE35" s="5" t="str">
        <f ca="1">IFERROR(__xludf.DUMMYFUNCTION("""COMPUTED_VALUE"""),"No")</f>
        <v>No</v>
      </c>
      <c r="AF35" s="5" t="str">
        <f ca="1">IFERROR(__xludf.DUMMYFUNCTION("""COMPUTED_VALUE"""),"No")</f>
        <v>No</v>
      </c>
      <c r="AG35" s="5"/>
      <c r="AH35" s="5" t="str">
        <f ca="1">IFERROR(__xludf.DUMMYFUNCTION("""COMPUTED_VALUE"""),"No")</f>
        <v>No</v>
      </c>
    </row>
    <row r="36" spans="1:34" ht="12.75">
      <c r="A36" s="5" t="str">
        <f ca="1">IFERROR(__xludf.DUMMYFUNCTION("""COMPUTED_VALUE"""),"20220629CABUA")</f>
        <v>20220629CABUA</v>
      </c>
      <c r="B36" s="8">
        <f ca="1">IFERROR(__xludf.DUMMYFUNCTION("""COMPUTED_VALUE"""),44741)</f>
        <v>44741</v>
      </c>
      <c r="C36" s="5" t="str">
        <f ca="1">IFERROR(__xludf.DUMMYFUNCTION("""COMPUTED_VALUE"""),"Buhach Colony High School")</f>
        <v>Buhach Colony High School</v>
      </c>
      <c r="D36" s="5">
        <f ca="1">IFERROR(__xludf.DUMMYFUNCTION("""COMPUTED_VALUE"""),0)</f>
        <v>0</v>
      </c>
      <c r="E36" s="5">
        <f ca="1">IFERROR(__xludf.DUMMYFUNCTION("""COMPUTED_VALUE"""),0)</f>
        <v>0</v>
      </c>
      <c r="F36" s="5">
        <f ca="1">IFERROR(__xludf.DUMMYFUNCTION("""COMPUTED_VALUE"""),0)</f>
        <v>0</v>
      </c>
      <c r="G36" s="5">
        <f ca="1">IFERROR(__xludf.DUMMYFUNCTION("""COMPUTED_VALUE"""),0)</f>
        <v>0</v>
      </c>
      <c r="H36" s="9" t="str">
        <f ca="1">IFERROR(__xludf.DUMMYFUNCTION("""COMPUTED_VALUE"""),"https://www.mercedsunstar.com/news/local/crime/article263063843.html")</f>
        <v>https://www.mercedsunstar.com/news/local/crime/article263063843.html</v>
      </c>
      <c r="I36" s="5">
        <f ca="1">IFERROR(__xludf.DUMMYFUNCTION("""COMPUTED_VALUE"""),3)</f>
        <v>3</v>
      </c>
      <c r="J36" s="5" t="str">
        <f ca="1">IFERROR(__xludf.DUMMYFUNCTION("""COMPUTED_VALUE"""),"Local")</f>
        <v>Local</v>
      </c>
      <c r="K36" s="5">
        <f ca="1">IFERROR(__xludf.DUMMYFUNCTION("""COMPUTED_VALUE"""),4)</f>
        <v>4</v>
      </c>
      <c r="L36" s="5" t="str">
        <f ca="1">IFERROR(__xludf.DUMMYFUNCTION("""COMPUTED_VALUE"""),"Summer")</f>
        <v>Summer</v>
      </c>
      <c r="M36" s="5" t="str">
        <f ca="1">IFERROR(__xludf.DUMMYFUNCTION("""COMPUTED_VALUE"""),"Atwater")</f>
        <v>Atwater</v>
      </c>
      <c r="N36" s="5" t="str">
        <f ca="1">IFERROR(__xludf.DUMMYFUNCTION("""COMPUTED_VALUE"""),"CA")</f>
        <v>CA</v>
      </c>
      <c r="O36" s="5" t="str">
        <f ca="1">IFERROR(__xludf.DUMMYFUNCTION("""COMPUTED_VALUE"""),"High")</f>
        <v>High</v>
      </c>
      <c r="P36" s="5" t="str">
        <f ca="1">IFERROR(__xludf.DUMMYFUNCTION("""COMPUTED_VALUE"""),"Parking Lot")</f>
        <v>Parking Lot</v>
      </c>
      <c r="Q36" s="5" t="str">
        <f ca="1">IFERROR(__xludf.DUMMYFUNCTION("""COMPUTED_VALUE"""),"Outside on School Property")</f>
        <v>Outside on School Property</v>
      </c>
      <c r="R36" s="5" t="str">
        <f ca="1">IFERROR(__xludf.DUMMYFUNCTION("""COMPUTED_VALUE"""),"No")</f>
        <v>No</v>
      </c>
      <c r="S36" s="5" t="str">
        <f ca="1">IFERROR(__xludf.DUMMYFUNCTION("""COMPUTED_VALUE"""),"Night")</f>
        <v>Night</v>
      </c>
      <c r="T36" s="10">
        <f ca="1">IFERROR(__xludf.DUMMYFUNCTION("""COMPUTED_VALUE"""),0.986111111111111)</f>
        <v>0.98611111111111105</v>
      </c>
      <c r="U36" s="5">
        <f ca="1">IFERROR(__xludf.DUMMYFUNCTION("""COMPUTED_VALUE"""),1)</f>
        <v>1</v>
      </c>
      <c r="V36" s="5" t="str">
        <f ca="1">IFERROR(__xludf.DUMMYFUNCTION("""COMPUTED_VALUE"""),"Man shot and killed in school parking lot")</f>
        <v>Man shot and killed in school parking lot</v>
      </c>
      <c r="W36"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X36" s="5" t="str">
        <f ca="1">IFERROR(__xludf.DUMMYFUNCTION("""COMPUTED_VALUE"""),"Illegal Activity")</f>
        <v>Illegal Activity</v>
      </c>
      <c r="Y36" s="5" t="str">
        <f ca="1">IFERROR(__xludf.DUMMYFUNCTION("""COMPUTED_VALUE"""),"Victims Targeted")</f>
        <v>Victims Targeted</v>
      </c>
      <c r="Z36" s="5" t="str">
        <f ca="1">IFERROR(__xludf.DUMMYFUNCTION("""COMPUTED_VALUE"""),"Yes")</f>
        <v>Yes</v>
      </c>
      <c r="AA36" s="5" t="str">
        <f ca="1">IFERROR(__xludf.DUMMYFUNCTION("""COMPUTED_VALUE"""),"2 men fled")</f>
        <v>2 men fled</v>
      </c>
      <c r="AB36" s="5" t="str">
        <f ca="1">IFERROR(__xludf.DUMMYFUNCTION("""COMPUTED_VALUE"""),"No")</f>
        <v>No</v>
      </c>
      <c r="AC36" s="5" t="str">
        <f ca="1">IFERROR(__xludf.DUMMYFUNCTION("""COMPUTED_VALUE"""),"No")</f>
        <v>No</v>
      </c>
      <c r="AD36" s="5" t="str">
        <f ca="1">IFERROR(__xludf.DUMMYFUNCTION("""COMPUTED_VALUE"""),"No")</f>
        <v>No</v>
      </c>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row>
    <row r="37" spans="1:34" ht="12.75">
      <c r="A37" s="5" t="str">
        <f ca="1">IFERROR(__xludf.DUMMYFUNCTION("""COMPUTED_VALUE"""),"20220620ILGRC")</f>
        <v>20220620ILGRC</v>
      </c>
      <c r="B37" s="8">
        <f ca="1">IFERROR(__xludf.DUMMYFUNCTION("""COMPUTED_VALUE"""),44732)</f>
        <v>44732</v>
      </c>
      <c r="C37" s="5" t="str">
        <f ca="1">IFERROR(__xludf.DUMMYFUNCTION("""COMPUTED_VALUE"""),"Gresham School of Excellence")</f>
        <v>Gresham School of Excellence</v>
      </c>
      <c r="D37" s="5">
        <f ca="1">IFERROR(__xludf.DUMMYFUNCTION("""COMPUTED_VALUE"""),0)</f>
        <v>0</v>
      </c>
      <c r="E37" s="5">
        <f ca="1">IFERROR(__xludf.DUMMYFUNCTION("""COMPUTED_VALUE"""),3)</f>
        <v>3</v>
      </c>
      <c r="F37" s="5">
        <f ca="1">IFERROR(__xludf.DUMMYFUNCTION("""COMPUTED_VALUE"""),3)</f>
        <v>3</v>
      </c>
      <c r="G37" s="5">
        <f ca="1">IFERROR(__xludf.DUMMYFUNCTION("""COMPUTED_VALUE"""),0)</f>
        <v>0</v>
      </c>
      <c r="H37" s="9" t="str">
        <f ca="1">IFERROR(__xludf.DUMMYFUNCTION("""COMPUTED_VALUE"""),"https://www.cbsnews.com/chicago/news/woman-and-2-teenagers-injured-after-shooting-near-school-gresham/")</f>
        <v>https://www.cbsnews.com/chicago/news/woman-and-2-teenagers-injured-after-shooting-near-school-gresham/</v>
      </c>
      <c r="I37" s="5">
        <f ca="1">IFERROR(__xludf.DUMMYFUNCTION("""COMPUTED_VALUE"""),50)</f>
        <v>50</v>
      </c>
      <c r="J37" s="5" t="str">
        <f ca="1">IFERROR(__xludf.DUMMYFUNCTION("""COMPUTED_VALUE"""),"National")</f>
        <v>National</v>
      </c>
      <c r="K37" s="5">
        <f ca="1">IFERROR(__xludf.DUMMYFUNCTION("""COMPUTED_VALUE"""),4)</f>
        <v>4</v>
      </c>
      <c r="L37" s="5" t="str">
        <f ca="1">IFERROR(__xludf.DUMMYFUNCTION("""COMPUTED_VALUE"""),"Summer")</f>
        <v>Summer</v>
      </c>
      <c r="M37" s="5" t="str">
        <f ca="1">IFERROR(__xludf.DUMMYFUNCTION("""COMPUTED_VALUE"""),"Chicago")</f>
        <v>Chicago</v>
      </c>
      <c r="N37" s="5" t="str">
        <f ca="1">IFERROR(__xludf.DUMMYFUNCTION("""COMPUTED_VALUE"""),"IL")</f>
        <v>IL</v>
      </c>
      <c r="O37" s="5" t="str">
        <f ca="1">IFERROR(__xludf.DUMMYFUNCTION("""COMPUTED_VALUE"""),"Elementary")</f>
        <v>Elementary</v>
      </c>
      <c r="P37" s="5" t="str">
        <f ca="1">IFERROR(__xludf.DUMMYFUNCTION("""COMPUTED_VALUE"""),"Field (General)")</f>
        <v>Field (General)</v>
      </c>
      <c r="Q37" s="5" t="str">
        <f ca="1">IFERROR(__xludf.DUMMYFUNCTION("""COMPUTED_VALUE"""),"Outside on School Property")</f>
        <v>Outside on School Property</v>
      </c>
      <c r="R37" s="5" t="str">
        <f ca="1">IFERROR(__xludf.DUMMYFUNCTION("""COMPUTED_VALUE"""),"No")</f>
        <v>No</v>
      </c>
      <c r="S37" s="5" t="str">
        <f ca="1">IFERROR(__xludf.DUMMYFUNCTION("""COMPUTED_VALUE"""),"Night")</f>
        <v>Night</v>
      </c>
      <c r="T37" s="10">
        <f ca="1">IFERROR(__xludf.DUMMYFUNCTION("""COMPUTED_VALUE"""),0.0416666666666666)</f>
        <v>4.1666666666666602E-2</v>
      </c>
      <c r="U37" s="5">
        <f ca="1">IFERROR(__xludf.DUMMYFUNCTION("""COMPUTED_VALUE"""),1)</f>
        <v>1</v>
      </c>
      <c r="V37" s="5" t="str">
        <f ca="1">IFERROR(__xludf.DUMMYFUNCTION("""COMPUTED_VALUE"""),"3 people shot on elementary school field")</f>
        <v>3 people shot on elementary school field</v>
      </c>
      <c r="W37"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X37" s="5"/>
      <c r="Y37" s="5" t="str">
        <f ca="1">IFERROR(__xludf.DUMMYFUNCTION("""COMPUTED_VALUE"""),"Both")</f>
        <v>Both</v>
      </c>
      <c r="Z37" s="5" t="str">
        <f ca="1">IFERROR(__xludf.DUMMYFUNCTION("""COMPUTED_VALUE"""),"No")</f>
        <v>No</v>
      </c>
      <c r="AA37" s="5"/>
      <c r="AB37" s="5" t="str">
        <f ca="1">IFERROR(__xludf.DUMMYFUNCTION("""COMPUTED_VALUE"""),"No")</f>
        <v>No</v>
      </c>
      <c r="AC37" s="5" t="str">
        <f ca="1">IFERROR(__xludf.DUMMYFUNCTION("""COMPUTED_VALUE"""),"No")</f>
        <v>No</v>
      </c>
      <c r="AD37" s="5" t="str">
        <f ca="1">IFERROR(__xludf.DUMMYFUNCTION("""COMPUTED_VALUE"""),"No")</f>
        <v>No</v>
      </c>
      <c r="AE37" s="5" t="str">
        <f ca="1">IFERROR(__xludf.DUMMYFUNCTION("""COMPUTED_VALUE"""),"No")</f>
        <v>No</v>
      </c>
      <c r="AF37" s="5" t="str">
        <f ca="1">IFERROR(__xludf.DUMMYFUNCTION("""COMPUTED_VALUE"""),"No")</f>
        <v>No</v>
      </c>
      <c r="AG37" s="5"/>
      <c r="AH37" s="5" t="str">
        <f ca="1">IFERROR(__xludf.DUMMYFUNCTION("""COMPUTED_VALUE"""),"No")</f>
        <v>No</v>
      </c>
    </row>
    <row r="38" spans="1:34" ht="12.75">
      <c r="A38" s="5" t="str">
        <f ca="1">IFERROR(__xludf.DUMMYFUNCTION("""COMPUTED_VALUE"""),"20220613WAMAE")</f>
        <v>20220613WAMAE</v>
      </c>
      <c r="B38" s="8">
        <f ca="1">IFERROR(__xludf.DUMMYFUNCTION("""COMPUTED_VALUE"""),44725)</f>
        <v>44725</v>
      </c>
      <c r="C38" s="5" t="str">
        <f ca="1">IFERROR(__xludf.DUMMYFUNCTION("""COMPUTED_VALUE"""),"Mariner High School")</f>
        <v>Mariner High School</v>
      </c>
      <c r="D38" s="5">
        <f ca="1">IFERROR(__xludf.DUMMYFUNCTION("""COMPUTED_VALUE"""),0)</f>
        <v>0</v>
      </c>
      <c r="E38" s="5">
        <f ca="1">IFERROR(__xludf.DUMMYFUNCTION("""COMPUTED_VALUE"""),0)</f>
        <v>0</v>
      </c>
      <c r="F38" s="5">
        <f ca="1">IFERROR(__xludf.DUMMYFUNCTION("""COMPUTED_VALUE"""),0)</f>
        <v>0</v>
      </c>
      <c r="G38" s="5">
        <f ca="1">IFERROR(__xludf.DUMMYFUNCTION("""COMPUTED_VALUE"""),0)</f>
        <v>0</v>
      </c>
      <c r="H38" s="9" t="str">
        <f ca="1">IFERROR(__xludf.DUMMYFUNCTION("""COMPUTED_VALUE"""),"https://www.q13fox.com/news/deputies-arrest-15-year-old-accused-of-firing-shots-outside-everett-high-school-causing-a-lockdown")</f>
        <v>https://www.q13fox.com/news/deputies-arrest-15-year-old-accused-of-firing-shots-outside-everett-high-school-causing-a-lockdown</v>
      </c>
      <c r="I38" s="5">
        <f ca="1">IFERROR(__xludf.DUMMYFUNCTION("""COMPUTED_VALUE"""),5)</f>
        <v>5</v>
      </c>
      <c r="J38" s="5" t="str">
        <f ca="1">IFERROR(__xludf.DUMMYFUNCTION("""COMPUTED_VALUE"""),"Local")</f>
        <v>Local</v>
      </c>
      <c r="K38" s="5">
        <f ca="1">IFERROR(__xludf.DUMMYFUNCTION("""COMPUTED_VALUE"""),4)</f>
        <v>4</v>
      </c>
      <c r="L38" s="5" t="str">
        <f ca="1">IFERROR(__xludf.DUMMYFUNCTION("""COMPUTED_VALUE"""),"Summer")</f>
        <v>Summer</v>
      </c>
      <c r="M38" s="5" t="str">
        <f ca="1">IFERROR(__xludf.DUMMYFUNCTION("""COMPUTED_VALUE"""),"Everett")</f>
        <v>Everett</v>
      </c>
      <c r="N38" s="5" t="str">
        <f ca="1">IFERROR(__xludf.DUMMYFUNCTION("""COMPUTED_VALUE"""),"WA")</f>
        <v>WA</v>
      </c>
      <c r="O38" s="5" t="str">
        <f ca="1">IFERROR(__xludf.DUMMYFUNCTION("""COMPUTED_VALUE"""),"High")</f>
        <v>High</v>
      </c>
      <c r="P38" s="5" t="str">
        <f ca="1">IFERROR(__xludf.DUMMYFUNCTION("""COMPUTED_VALUE"""),"Parking Lot")</f>
        <v>Parking Lot</v>
      </c>
      <c r="Q38" s="5" t="str">
        <f ca="1">IFERROR(__xludf.DUMMYFUNCTION("""COMPUTED_VALUE"""),"Outside on School Property")</f>
        <v>Outside on School Property</v>
      </c>
      <c r="R38" s="5" t="str">
        <f ca="1">IFERROR(__xludf.DUMMYFUNCTION("""COMPUTED_VALUE"""),"No")</f>
        <v>No</v>
      </c>
      <c r="S38" s="5" t="str">
        <f ca="1">IFERROR(__xludf.DUMMYFUNCTION("""COMPUTED_VALUE"""),"After School")</f>
        <v>After School</v>
      </c>
      <c r="T38" s="10">
        <f ca="1">IFERROR(__xludf.DUMMYFUNCTION("""COMPUTED_VALUE"""),0.631944444444444)</f>
        <v>0.63194444444444398</v>
      </c>
      <c r="U38" s="5">
        <f ca="1">IFERROR(__xludf.DUMMYFUNCTION("""COMPUTED_VALUE"""),1)</f>
        <v>1</v>
      </c>
      <c r="V38" s="5" t="str">
        <f ca="1">IFERROR(__xludf.DUMMYFUNCTION("""COMPUTED_VALUE"""),"Shots fired in parking lot by teen during after school activities")</f>
        <v>Shots fired in parking lot by teen during after school activities</v>
      </c>
      <c r="W38"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X38" s="5" t="str">
        <f ca="1">IFERROR(__xludf.DUMMYFUNCTION("""COMPUTED_VALUE"""),"Escalation of Dispute")</f>
        <v>Escalation of Dispute</v>
      </c>
      <c r="Y38" s="5" t="str">
        <f ca="1">IFERROR(__xludf.DUMMYFUNCTION("""COMPUTED_VALUE"""),"Victims Targeted")</f>
        <v>Victims Targeted</v>
      </c>
      <c r="Z38" s="5" t="str">
        <f ca="1">IFERROR(__xludf.DUMMYFUNCTION("""COMPUTED_VALUE"""),"No")</f>
        <v>No</v>
      </c>
      <c r="AA38" s="5"/>
      <c r="AB38" s="5" t="str">
        <f ca="1">IFERROR(__xludf.DUMMYFUNCTION("""COMPUTED_VALUE"""),"No")</f>
        <v>No</v>
      </c>
      <c r="AC38" s="5" t="str">
        <f ca="1">IFERROR(__xludf.DUMMYFUNCTION("""COMPUTED_VALUE"""),"No")</f>
        <v>No</v>
      </c>
      <c r="AD38" s="5" t="str">
        <f ca="1">IFERROR(__xludf.DUMMYFUNCTION("""COMPUTED_VALUE"""),"No")</f>
        <v>No</v>
      </c>
      <c r="AE38" s="5" t="str">
        <f ca="1">IFERROR(__xludf.DUMMYFUNCTION("""COMPUTED_VALUE"""),"No")</f>
        <v>No</v>
      </c>
      <c r="AF38" s="5" t="str">
        <f ca="1">IFERROR(__xludf.DUMMYFUNCTION("""COMPUTED_VALUE"""),"No")</f>
        <v>No</v>
      </c>
      <c r="AG38" s="5"/>
      <c r="AH38" s="5" t="str">
        <f ca="1">IFERROR(__xludf.DUMMYFUNCTION("""COMPUTED_VALUE"""),"No")</f>
        <v>No</v>
      </c>
    </row>
    <row r="39" spans="1:34" ht="12.75">
      <c r="A39" s="5" t="str">
        <f ca="1">IFERROR(__xludf.DUMMYFUNCTION("""COMPUTED_VALUE"""),"20220610ALBYB")</f>
        <v>20220610ALBYB</v>
      </c>
      <c r="B39" s="8">
        <f ca="1">IFERROR(__xludf.DUMMYFUNCTION("""COMPUTED_VALUE"""),44722)</f>
        <v>44722</v>
      </c>
      <c r="C39" s="5" t="str">
        <f ca="1">IFERROR(__xludf.DUMMYFUNCTION("""COMPUTED_VALUE"""),"Byhalia High School")</f>
        <v>Byhalia High School</v>
      </c>
      <c r="D39" s="5">
        <f ca="1">IFERROR(__xludf.DUMMYFUNCTION("""COMPUTED_VALUE"""),0)</f>
        <v>0</v>
      </c>
      <c r="E39" s="5">
        <f ca="1">IFERROR(__xludf.DUMMYFUNCTION("""COMPUTED_VALUE"""),0)</f>
        <v>0</v>
      </c>
      <c r="F39" s="5">
        <f ca="1">IFERROR(__xludf.DUMMYFUNCTION("""COMPUTED_VALUE"""),0)</f>
        <v>0</v>
      </c>
      <c r="G39" s="5">
        <f ca="1">IFERROR(__xludf.DUMMYFUNCTION("""COMPUTED_VALUE"""),0)</f>
        <v>0</v>
      </c>
      <c r="H39"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I39" s="5">
        <f ca="1">IFERROR(__xludf.DUMMYFUNCTION("""COMPUTED_VALUE"""),3)</f>
        <v>3</v>
      </c>
      <c r="J39" s="5" t="str">
        <f ca="1">IFERROR(__xludf.DUMMYFUNCTION("""COMPUTED_VALUE"""),"Local")</f>
        <v>Local</v>
      </c>
      <c r="K39" s="5">
        <f ca="1">IFERROR(__xludf.DUMMYFUNCTION("""COMPUTED_VALUE"""),4)</f>
        <v>4</v>
      </c>
      <c r="L39" s="5" t="str">
        <f ca="1">IFERROR(__xludf.DUMMYFUNCTION("""COMPUTED_VALUE"""),"Summer")</f>
        <v>Summer</v>
      </c>
      <c r="M39" s="5" t="str">
        <f ca="1">IFERROR(__xludf.DUMMYFUNCTION("""COMPUTED_VALUE"""),"Byhalia")</f>
        <v>Byhalia</v>
      </c>
      <c r="N39" s="5" t="str">
        <f ca="1">IFERROR(__xludf.DUMMYFUNCTION("""COMPUTED_VALUE"""),"MS")</f>
        <v>MS</v>
      </c>
      <c r="O39" s="5" t="str">
        <f ca="1">IFERROR(__xludf.DUMMYFUNCTION("""COMPUTED_VALUE"""),"High")</f>
        <v>High</v>
      </c>
      <c r="P39" s="5" t="str">
        <f ca="1">IFERROR(__xludf.DUMMYFUNCTION("""COMPUTED_VALUE"""),"Parking Lot")</f>
        <v>Parking Lot</v>
      </c>
      <c r="Q39" s="5" t="str">
        <f ca="1">IFERROR(__xludf.DUMMYFUNCTION("""COMPUTED_VALUE"""),"Outside on School Property")</f>
        <v>Outside on School Property</v>
      </c>
      <c r="R39" s="5" t="str">
        <f ca="1">IFERROR(__xludf.DUMMYFUNCTION("""COMPUTED_VALUE"""),"Yes")</f>
        <v>Yes</v>
      </c>
      <c r="S39" s="5" t="str">
        <f ca="1">IFERROR(__xludf.DUMMYFUNCTION("""COMPUTED_VALUE"""),"Morning Classes")</f>
        <v>Morning Classes</v>
      </c>
      <c r="T39" s="10">
        <f ca="1">IFERROR(__xludf.DUMMYFUNCTION("""COMPUTED_VALUE"""),0.4375)</f>
        <v>0.4375</v>
      </c>
      <c r="U39" s="5">
        <f ca="1">IFERROR(__xludf.DUMMYFUNCTION("""COMPUTED_VALUE"""),1)</f>
        <v>1</v>
      </c>
      <c r="V39" s="5" t="str">
        <f ca="1">IFERROR(__xludf.DUMMYFUNCTION("""COMPUTED_VALUE"""),"Student fired gun in parking lot during dispute")</f>
        <v>Student fired gun in parking lot during dispute</v>
      </c>
      <c r="W39"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X39" s="5" t="str">
        <f ca="1">IFERROR(__xludf.DUMMYFUNCTION("""COMPUTED_VALUE"""),"Escalation of Dispute")</f>
        <v>Escalation of Dispute</v>
      </c>
      <c r="Y39" s="5" t="str">
        <f ca="1">IFERROR(__xludf.DUMMYFUNCTION("""COMPUTED_VALUE"""),"Victims Targeted")</f>
        <v>Victims Targeted</v>
      </c>
      <c r="Z39" s="5"/>
      <c r="AA39" s="5"/>
      <c r="AB39" s="5" t="str">
        <f ca="1">IFERROR(__xludf.DUMMYFUNCTION("""COMPUTED_VALUE"""),"No")</f>
        <v>No</v>
      </c>
      <c r="AC39" s="5" t="str">
        <f ca="1">IFERROR(__xludf.DUMMYFUNCTION("""COMPUTED_VALUE"""),"No")</f>
        <v>No</v>
      </c>
      <c r="AD39" s="5" t="str">
        <f ca="1">IFERROR(__xludf.DUMMYFUNCTION("""COMPUTED_VALUE"""),"No")</f>
        <v>No</v>
      </c>
      <c r="AE39" s="5" t="str">
        <f ca="1">IFERROR(__xludf.DUMMYFUNCTION("""COMPUTED_VALUE"""),"No")</f>
        <v>No</v>
      </c>
      <c r="AF39" s="5" t="str">
        <f ca="1">IFERROR(__xludf.DUMMYFUNCTION("""COMPUTED_VALUE"""),"No")</f>
        <v>No</v>
      </c>
      <c r="AG39" s="5"/>
      <c r="AH39" s="5" t="str">
        <f ca="1">IFERROR(__xludf.DUMMYFUNCTION("""COMPUTED_VALUE"""),"No")</f>
        <v>No</v>
      </c>
    </row>
    <row r="40" spans="1:34" ht="12.75">
      <c r="A40" s="5" t="str">
        <f ca="1">IFERROR(__xludf.DUMMYFUNCTION("""COMPUTED_VALUE"""),"20220609ALWAG")</f>
        <v>20220609ALWAG</v>
      </c>
      <c r="B40" s="8">
        <f ca="1">IFERROR(__xludf.DUMMYFUNCTION("""COMPUTED_VALUE"""),44721)</f>
        <v>44721</v>
      </c>
      <c r="C40" s="5" t="str">
        <f ca="1">IFERROR(__xludf.DUMMYFUNCTION("""COMPUTED_VALUE"""),"Walnut Park Elementary School")</f>
        <v>Walnut Park Elementary School</v>
      </c>
      <c r="D40" s="5">
        <f ca="1">IFERROR(__xludf.DUMMYFUNCTION("""COMPUTED_VALUE"""),0)</f>
        <v>0</v>
      </c>
      <c r="E40" s="5">
        <f ca="1">IFERROR(__xludf.DUMMYFUNCTION("""COMPUTED_VALUE"""),0)</f>
        <v>0</v>
      </c>
      <c r="F40" s="5">
        <f ca="1">IFERROR(__xludf.DUMMYFUNCTION("""COMPUTED_VALUE"""),0)</f>
        <v>0</v>
      </c>
      <c r="G40" s="5">
        <f ca="1">IFERROR(__xludf.DUMMYFUNCTION("""COMPUTED_VALUE"""),0)</f>
        <v>0</v>
      </c>
      <c r="H40"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I40" s="5">
        <f ca="1">IFERROR(__xludf.DUMMYFUNCTION("""COMPUTED_VALUE"""),100)</f>
        <v>100</v>
      </c>
      <c r="J40" s="5" t="str">
        <f ca="1">IFERROR(__xludf.DUMMYFUNCTION("""COMPUTED_VALUE"""),"National")</f>
        <v>National</v>
      </c>
      <c r="K40" s="5">
        <f ca="1">IFERROR(__xludf.DUMMYFUNCTION("""COMPUTED_VALUE"""),4)</f>
        <v>4</v>
      </c>
      <c r="L40" s="5" t="str">
        <f ca="1">IFERROR(__xludf.DUMMYFUNCTION("""COMPUTED_VALUE"""),"Summer")</f>
        <v>Summer</v>
      </c>
      <c r="M40" s="5" t="str">
        <f ca="1">IFERROR(__xludf.DUMMYFUNCTION("""COMPUTED_VALUE"""),"Gadsden")</f>
        <v>Gadsden</v>
      </c>
      <c r="N40" s="5" t="str">
        <f ca="1">IFERROR(__xludf.DUMMYFUNCTION("""COMPUTED_VALUE"""),"AL")</f>
        <v>AL</v>
      </c>
      <c r="O40" s="5" t="str">
        <f ca="1">IFERROR(__xludf.DUMMYFUNCTION("""COMPUTED_VALUE"""),"Elementary")</f>
        <v>Elementary</v>
      </c>
      <c r="P40" s="5" t="str">
        <f ca="1">IFERROR(__xludf.DUMMYFUNCTION("""COMPUTED_VALUE"""),"Front of School")</f>
        <v>Front of School</v>
      </c>
      <c r="Q40" s="5" t="str">
        <f ca="1">IFERROR(__xludf.DUMMYFUNCTION("""COMPUTED_VALUE"""),"Outside on School Property")</f>
        <v>Outside on School Property</v>
      </c>
      <c r="R40" s="5" t="str">
        <f ca="1">IFERROR(__xludf.DUMMYFUNCTION("""COMPUTED_VALUE"""),"Yes")</f>
        <v>Yes</v>
      </c>
      <c r="S40" s="5" t="str">
        <f ca="1">IFERROR(__xludf.DUMMYFUNCTION("""COMPUTED_VALUE"""),"Morning Classes")</f>
        <v>Morning Classes</v>
      </c>
      <c r="T40" s="10">
        <f ca="1">IFERROR(__xludf.DUMMYFUNCTION("""COMPUTED_VALUE"""),0.395833333333333)</f>
        <v>0.39583333333333298</v>
      </c>
      <c r="U40" s="5">
        <f ca="1">IFERROR(__xludf.DUMMYFUNCTION("""COMPUTED_VALUE"""),1)</f>
        <v>1</v>
      </c>
      <c r="V40" s="5" t="str">
        <f ca="1">IFERROR(__xludf.DUMMYFUNCTION("""COMPUTED_VALUE"""),"Man fatally shot by SRO while trying to break-in to school")</f>
        <v>Man fatally shot by SRO while trying to break-in to school</v>
      </c>
      <c r="W40"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X40" s="5" t="str">
        <f ca="1">IFERROR(__xludf.DUMMYFUNCTION("""COMPUTED_VALUE"""),"Officer-Involved Shooting")</f>
        <v>Officer-Involved Shooting</v>
      </c>
      <c r="Y40" s="5"/>
      <c r="Z40" s="5"/>
      <c r="AA40" s="5"/>
      <c r="AB40" s="5"/>
      <c r="AC40" s="5"/>
      <c r="AD40" s="5"/>
      <c r="AE40" s="5"/>
      <c r="AF40" s="5"/>
      <c r="AG40" s="5"/>
      <c r="AH40" s="5" t="str">
        <f ca="1">IFERROR(__xludf.DUMMYFUNCTION("""COMPUTED_VALUE"""),"No")</f>
        <v>No</v>
      </c>
    </row>
    <row r="41" spans="1:34" ht="12.75">
      <c r="A41" s="5" t="str">
        <f ca="1">IFERROR(__xludf.DUMMYFUNCTION("""COMPUTED_VALUE"""),"20220608ARLIL")</f>
        <v>20220608ARLIL</v>
      </c>
      <c r="B41" s="8">
        <f ca="1">IFERROR(__xludf.DUMMYFUNCTION("""COMPUTED_VALUE"""),44720)</f>
        <v>44720</v>
      </c>
      <c r="C41" s="5" t="str">
        <f ca="1">IFERROR(__xludf.DUMMYFUNCTION("""COMPUTED_VALUE"""),"Little Rock School District Bus")</f>
        <v>Little Rock School District Bus</v>
      </c>
      <c r="D41" s="5">
        <f ca="1">IFERROR(__xludf.DUMMYFUNCTION("""COMPUTED_VALUE"""),0)</f>
        <v>0</v>
      </c>
      <c r="E41" s="5">
        <f ca="1">IFERROR(__xludf.DUMMYFUNCTION("""COMPUTED_VALUE"""),0)</f>
        <v>0</v>
      </c>
      <c r="F41" s="5">
        <f ca="1">IFERROR(__xludf.DUMMYFUNCTION("""COMPUTED_VALUE"""),0)</f>
        <v>0</v>
      </c>
      <c r="G41" s="5">
        <f ca="1">IFERROR(__xludf.DUMMYFUNCTION("""COMPUTED_VALUE"""),0)</f>
        <v>0</v>
      </c>
      <c r="H41"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I41" s="5">
        <f ca="1">IFERROR(__xludf.DUMMYFUNCTION("""COMPUTED_VALUE"""),5)</f>
        <v>5</v>
      </c>
      <c r="J41" s="5" t="str">
        <f ca="1">IFERROR(__xludf.DUMMYFUNCTION("""COMPUTED_VALUE"""),"National")</f>
        <v>National</v>
      </c>
      <c r="K41" s="5">
        <f ca="1">IFERROR(__xludf.DUMMYFUNCTION("""COMPUTED_VALUE"""),4)</f>
        <v>4</v>
      </c>
      <c r="L41" s="5" t="str">
        <f ca="1">IFERROR(__xludf.DUMMYFUNCTION("""COMPUTED_VALUE"""),"Summer")</f>
        <v>Summer</v>
      </c>
      <c r="M41" s="5" t="str">
        <f ca="1">IFERROR(__xludf.DUMMYFUNCTION("""COMPUTED_VALUE"""),"Little Rock")</f>
        <v>Little Rock</v>
      </c>
      <c r="N41" s="5" t="str">
        <f ca="1">IFERROR(__xludf.DUMMYFUNCTION("""COMPUTED_VALUE"""),"AR")</f>
        <v>AR</v>
      </c>
      <c r="O41" s="5" t="str">
        <f ca="1">IFERROR(__xludf.DUMMYFUNCTION("""COMPUTED_VALUE"""),"Other")</f>
        <v>Other</v>
      </c>
      <c r="P41" s="5" t="str">
        <f ca="1">IFERROR(__xludf.DUMMYFUNCTION("""COMPUTED_VALUE"""),"School Bus")</f>
        <v>School Bus</v>
      </c>
      <c r="Q41" s="5" t="str">
        <f ca="1">IFERROR(__xludf.DUMMYFUNCTION("""COMPUTED_VALUE"""),"School Bus")</f>
        <v>School Bus</v>
      </c>
      <c r="R41" s="5" t="str">
        <f ca="1">IFERROR(__xludf.DUMMYFUNCTION("""COMPUTED_VALUE"""),"Yes")</f>
        <v>Yes</v>
      </c>
      <c r="S41" s="5" t="str">
        <f ca="1">IFERROR(__xludf.DUMMYFUNCTION("""COMPUTED_VALUE"""),"Dismissal")</f>
        <v>Dismissal</v>
      </c>
      <c r="T41" s="10">
        <f ca="1">IFERROR(__xludf.DUMMYFUNCTION("""COMPUTED_VALUE"""),0.667361111111111)</f>
        <v>0.66736111111111096</v>
      </c>
      <c r="U41" s="5">
        <f ca="1">IFERROR(__xludf.DUMMYFUNCTION("""COMPUTED_VALUE"""),1)</f>
        <v>1</v>
      </c>
      <c r="V41" s="5" t="str">
        <f ca="1">IFERROR(__xludf.DUMMYFUNCTION("""COMPUTED_VALUE"""),"Shots struck school bus driving student home")</f>
        <v>Shots struck school bus driving student home</v>
      </c>
      <c r="W41"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X41" s="5"/>
      <c r="Y41" s="5" t="str">
        <f ca="1">IFERROR(__xludf.DUMMYFUNCTION("""COMPUTED_VALUE"""),"Both")</f>
        <v>Both</v>
      </c>
      <c r="Z41" s="5"/>
      <c r="AA41" s="5"/>
      <c r="AB41" s="5" t="str">
        <f ca="1">IFERROR(__xludf.DUMMYFUNCTION("""COMPUTED_VALUE"""),"No")</f>
        <v>No</v>
      </c>
      <c r="AC41" s="5" t="str">
        <f ca="1">IFERROR(__xludf.DUMMYFUNCTION("""COMPUTED_VALUE"""),"No")</f>
        <v>No</v>
      </c>
      <c r="AD41" s="5" t="str">
        <f ca="1">IFERROR(__xludf.DUMMYFUNCTION("""COMPUTED_VALUE"""),"No")</f>
        <v>No</v>
      </c>
      <c r="AE41" s="5" t="str">
        <f ca="1">IFERROR(__xludf.DUMMYFUNCTION("""COMPUTED_VALUE"""),"No")</f>
        <v>No</v>
      </c>
      <c r="AF41" s="5" t="str">
        <f ca="1">IFERROR(__xludf.DUMMYFUNCTION("""COMPUTED_VALUE"""),"No")</f>
        <v>No</v>
      </c>
      <c r="AG41" s="5"/>
      <c r="AH41" s="5" t="str">
        <f ca="1">IFERROR(__xludf.DUMMYFUNCTION("""COMPUTED_VALUE"""),"No")</f>
        <v>No</v>
      </c>
    </row>
    <row r="42" spans="1:34" ht="12.75">
      <c r="A42" s="5" t="str">
        <f ca="1">IFERROR(__xludf.DUMMYFUNCTION("""COMPUTED_VALUE"""),"20220607MIPED")</f>
        <v>20220607MIPED</v>
      </c>
      <c r="B42" s="8">
        <f ca="1">IFERROR(__xludf.DUMMYFUNCTION("""COMPUTED_VALUE"""),44719)</f>
        <v>44719</v>
      </c>
      <c r="C42" s="5" t="str">
        <f ca="1">IFERROR(__xludf.DUMMYFUNCTION("""COMPUTED_VALUE"""),"Pershing High School")</f>
        <v>Pershing High School</v>
      </c>
      <c r="D42" s="5">
        <f ca="1">IFERROR(__xludf.DUMMYFUNCTION("""COMPUTED_VALUE"""),0)</f>
        <v>0</v>
      </c>
      <c r="E42" s="5">
        <f ca="1">IFERROR(__xludf.DUMMYFUNCTION("""COMPUTED_VALUE"""),0)</f>
        <v>0</v>
      </c>
      <c r="F42" s="5">
        <f ca="1">IFERROR(__xludf.DUMMYFUNCTION("""COMPUTED_VALUE"""),0)</f>
        <v>0</v>
      </c>
      <c r="G42" s="5">
        <f ca="1">IFERROR(__xludf.DUMMYFUNCTION("""COMPUTED_VALUE"""),0)</f>
        <v>0</v>
      </c>
      <c r="H42"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I42" s="5">
        <f ca="1">IFERROR(__xludf.DUMMYFUNCTION("""COMPUTED_VALUE"""),4)</f>
        <v>4</v>
      </c>
      <c r="J42" s="5" t="str">
        <f ca="1">IFERROR(__xludf.DUMMYFUNCTION("""COMPUTED_VALUE"""),"Local")</f>
        <v>Local</v>
      </c>
      <c r="K42" s="5">
        <f ca="1">IFERROR(__xludf.DUMMYFUNCTION("""COMPUTED_VALUE"""),4)</f>
        <v>4</v>
      </c>
      <c r="L42" s="5" t="str">
        <f ca="1">IFERROR(__xludf.DUMMYFUNCTION("""COMPUTED_VALUE"""),"Summer")</f>
        <v>Summer</v>
      </c>
      <c r="M42" s="5" t="str">
        <f ca="1">IFERROR(__xludf.DUMMYFUNCTION("""COMPUTED_VALUE"""),"Detroit")</f>
        <v>Detroit</v>
      </c>
      <c r="N42" s="5" t="str">
        <f ca="1">IFERROR(__xludf.DUMMYFUNCTION("""COMPUTED_VALUE"""),"MI")</f>
        <v>MI</v>
      </c>
      <c r="O42" s="5" t="str">
        <f ca="1">IFERROR(__xludf.DUMMYFUNCTION("""COMPUTED_VALUE"""),"High")</f>
        <v>High</v>
      </c>
      <c r="P42" s="5" t="str">
        <f ca="1">IFERROR(__xludf.DUMMYFUNCTION("""COMPUTED_VALUE"""),"Parking Lot")</f>
        <v>Parking Lot</v>
      </c>
      <c r="Q42" s="5" t="str">
        <f ca="1">IFERROR(__xludf.DUMMYFUNCTION("""COMPUTED_VALUE"""),"Outside on School Property")</f>
        <v>Outside on School Property</v>
      </c>
      <c r="R42" s="5" t="str">
        <f ca="1">IFERROR(__xludf.DUMMYFUNCTION("""COMPUTED_VALUE"""),"No")</f>
        <v>No</v>
      </c>
      <c r="S42" s="5" t="str">
        <f ca="1">IFERROR(__xludf.DUMMYFUNCTION("""COMPUTED_VALUE"""),"After School")</f>
        <v>After School</v>
      </c>
      <c r="T42" s="10">
        <f ca="1">IFERROR(__xludf.DUMMYFUNCTION("""COMPUTED_VALUE"""),0.666666666666666)</f>
        <v>0.66666666666666596</v>
      </c>
      <c r="U42" s="5">
        <f ca="1">IFERROR(__xludf.DUMMYFUNCTION("""COMPUTED_VALUE"""),1)</f>
        <v>1</v>
      </c>
      <c r="V42" s="5" t="str">
        <f ca="1">IFERROR(__xludf.DUMMYFUNCTION("""COMPUTED_VALUE"""),"Shots fired in school parking lot after dismissal")</f>
        <v>Shots fired in school parking lot after dismissal</v>
      </c>
      <c r="W42"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X42" s="5"/>
      <c r="Y42" s="5"/>
      <c r="Z42" s="5"/>
      <c r="AA42" s="5"/>
      <c r="AB42" s="5" t="str">
        <f ca="1">IFERROR(__xludf.DUMMYFUNCTION("""COMPUTED_VALUE"""),"No")</f>
        <v>No</v>
      </c>
      <c r="AC42" s="5" t="str">
        <f ca="1">IFERROR(__xludf.DUMMYFUNCTION("""COMPUTED_VALUE"""),"No")</f>
        <v>No</v>
      </c>
      <c r="AD42" s="5" t="str">
        <f ca="1">IFERROR(__xludf.DUMMYFUNCTION("""COMPUTED_VALUE"""),"No")</f>
        <v>No</v>
      </c>
      <c r="AE42" s="5" t="str">
        <f ca="1">IFERROR(__xludf.DUMMYFUNCTION("""COMPUTED_VALUE"""),"No")</f>
        <v>No</v>
      </c>
      <c r="AF42" s="5" t="str">
        <f ca="1">IFERROR(__xludf.DUMMYFUNCTION("""COMPUTED_VALUE"""),"No")</f>
        <v>No</v>
      </c>
      <c r="AG42" s="5"/>
      <c r="AH42" s="5" t="str">
        <f ca="1">IFERROR(__xludf.DUMMYFUNCTION("""COMPUTED_VALUE"""),"No")</f>
        <v>No</v>
      </c>
    </row>
    <row r="43" spans="1:34" ht="12.75">
      <c r="A43" s="5" t="str">
        <f ca="1">IFERROR(__xludf.DUMMYFUNCTION("""COMPUTED_VALUE"""),"20220605INWEG")</f>
        <v>20220605INWEG</v>
      </c>
      <c r="B43" s="8">
        <f ca="1">IFERROR(__xludf.DUMMYFUNCTION("""COMPUTED_VALUE"""),44717)</f>
        <v>44717</v>
      </c>
      <c r="C43" s="5" t="str">
        <f ca="1">IFERROR(__xludf.DUMMYFUNCTION("""COMPUTED_VALUE"""),"West Side Leadership Academy")</f>
        <v>West Side Leadership Academy</v>
      </c>
      <c r="D43" s="5">
        <f ca="1">IFERROR(__xludf.DUMMYFUNCTION("""COMPUTED_VALUE"""),0)</f>
        <v>0</v>
      </c>
      <c r="E43" s="5">
        <f ca="1">IFERROR(__xludf.DUMMYFUNCTION("""COMPUTED_VALUE"""),2)</f>
        <v>2</v>
      </c>
      <c r="F43" s="5">
        <f ca="1">IFERROR(__xludf.DUMMYFUNCTION("""COMPUTED_VALUE"""),2)</f>
        <v>2</v>
      </c>
      <c r="G43" s="5">
        <f ca="1">IFERROR(__xludf.DUMMYFUNCTION("""COMPUTED_VALUE"""),0)</f>
        <v>0</v>
      </c>
      <c r="H43"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I43" s="5">
        <f ca="1">IFERROR(__xludf.DUMMYFUNCTION("""COMPUTED_VALUE"""),2)</f>
        <v>2</v>
      </c>
      <c r="J43" s="5" t="str">
        <f ca="1">IFERROR(__xludf.DUMMYFUNCTION("""COMPUTED_VALUE"""),"Local")</f>
        <v>Local</v>
      </c>
      <c r="K43" s="5">
        <f ca="1">IFERROR(__xludf.DUMMYFUNCTION("""COMPUTED_VALUE"""),4)</f>
        <v>4</v>
      </c>
      <c r="L43" s="5" t="str">
        <f ca="1">IFERROR(__xludf.DUMMYFUNCTION("""COMPUTED_VALUE"""),"Summer")</f>
        <v>Summer</v>
      </c>
      <c r="M43" s="5" t="str">
        <f ca="1">IFERROR(__xludf.DUMMYFUNCTION("""COMPUTED_VALUE"""),"Gary")</f>
        <v>Gary</v>
      </c>
      <c r="N43" s="5" t="str">
        <f ca="1">IFERROR(__xludf.DUMMYFUNCTION("""COMPUTED_VALUE"""),"IN")</f>
        <v>IN</v>
      </c>
      <c r="O43" s="5" t="str">
        <f ca="1">IFERROR(__xludf.DUMMYFUNCTION("""COMPUTED_VALUE"""),"High")</f>
        <v>High</v>
      </c>
      <c r="P43" s="5" t="str">
        <f ca="1">IFERROR(__xludf.DUMMYFUNCTION("""COMPUTED_VALUE"""),"Off School Property")</f>
        <v>Off School Property</v>
      </c>
      <c r="Q43" s="5" t="str">
        <f ca="1">IFERROR(__xludf.DUMMYFUNCTION("""COMPUTED_VALUE"""),"Off School Property")</f>
        <v>Off School Property</v>
      </c>
      <c r="R43" s="5" t="str">
        <f ca="1">IFERROR(__xludf.DUMMYFUNCTION("""COMPUTED_VALUE"""),"No")</f>
        <v>No</v>
      </c>
      <c r="S43" s="5" t="str">
        <f ca="1">IFERROR(__xludf.DUMMYFUNCTION("""COMPUTED_VALUE"""),"School Event")</f>
        <v>School Event</v>
      </c>
      <c r="T43" s="10">
        <f ca="1">IFERROR(__xludf.DUMMYFUNCTION("""COMPUTED_VALUE"""),0.759027777777777)</f>
        <v>0.75902777777777697</v>
      </c>
      <c r="U43" s="5">
        <f ca="1">IFERROR(__xludf.DUMMYFUNCTION("""COMPUTED_VALUE"""),1)</f>
        <v>1</v>
      </c>
      <c r="V43" s="5" t="str">
        <f ca="1">IFERROR(__xludf.DUMMYFUNCTION("""COMPUTED_VALUE"""),"2 teens shot following high school graduation")</f>
        <v>2 teens shot following high school graduation</v>
      </c>
      <c r="W43"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X43" s="5" t="str">
        <f ca="1">IFERROR(__xludf.DUMMYFUNCTION("""COMPUTED_VALUE"""),"Escalation of Dispute")</f>
        <v>Escalation of Dispute</v>
      </c>
      <c r="Y43" s="5" t="str">
        <f ca="1">IFERROR(__xludf.DUMMYFUNCTION("""COMPUTED_VALUE"""),"Both")</f>
        <v>Both</v>
      </c>
      <c r="Z43" s="5"/>
      <c r="AA43" s="5"/>
      <c r="AB43" s="5" t="str">
        <f ca="1">IFERROR(__xludf.DUMMYFUNCTION("""COMPUTED_VALUE"""),"No")</f>
        <v>No</v>
      </c>
      <c r="AC43" s="5" t="str">
        <f ca="1">IFERROR(__xludf.DUMMYFUNCTION("""COMPUTED_VALUE"""),"No")</f>
        <v>No</v>
      </c>
      <c r="AD43" s="5" t="str">
        <f ca="1">IFERROR(__xludf.DUMMYFUNCTION("""COMPUTED_VALUE"""),"No")</f>
        <v>No</v>
      </c>
      <c r="AE43" s="5" t="str">
        <f ca="1">IFERROR(__xludf.DUMMYFUNCTION("""COMPUTED_VALUE"""),"No")</f>
        <v>No</v>
      </c>
      <c r="AF43" s="5" t="str">
        <f ca="1">IFERROR(__xludf.DUMMYFUNCTION("""COMPUTED_VALUE"""),"No")</f>
        <v>No</v>
      </c>
      <c r="AG43" s="5"/>
      <c r="AH43" s="5" t="str">
        <f ca="1">IFERROR(__xludf.DUMMYFUNCTION("""COMPUTED_VALUE"""),"No")</f>
        <v>No</v>
      </c>
    </row>
    <row r="44" spans="1:34" ht="12.75">
      <c r="A44" s="5" t="str">
        <f ca="1">IFERROR(__xludf.DUMMYFUNCTION("""COMPUTED_VALUE"""),"20220601CAULL")</f>
        <v>20220601CAULL</v>
      </c>
      <c r="B44" s="8">
        <f ca="1">IFERROR(__xludf.DUMMYFUNCTION("""COMPUTED_VALUE"""),44713)</f>
        <v>44713</v>
      </c>
      <c r="C44" s="5" t="str">
        <f ca="1">IFERROR(__xludf.DUMMYFUNCTION("""COMPUTED_VALUE"""),"Ulysses S. Grant Senior High School")</f>
        <v>Ulysses S. Grant Senior High School</v>
      </c>
      <c r="D44" s="5">
        <f ca="1">IFERROR(__xludf.DUMMYFUNCTION("""COMPUTED_VALUE"""),0)</f>
        <v>0</v>
      </c>
      <c r="E44" s="5">
        <f ca="1">IFERROR(__xludf.DUMMYFUNCTION("""COMPUTED_VALUE"""),1)</f>
        <v>1</v>
      </c>
      <c r="F44" s="5">
        <f ca="1">IFERROR(__xludf.DUMMYFUNCTION("""COMPUTED_VALUE"""),1)</f>
        <v>1</v>
      </c>
      <c r="G44" s="5">
        <f ca="1">IFERROR(__xludf.DUMMYFUNCTION("""COMPUTED_VALUE"""),0)</f>
        <v>0</v>
      </c>
      <c r="H44"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I44" s="5">
        <f ca="1">IFERROR(__xludf.DUMMYFUNCTION("""COMPUTED_VALUE"""),10)</f>
        <v>10</v>
      </c>
      <c r="J44" s="5" t="str">
        <f ca="1">IFERROR(__xludf.DUMMYFUNCTION("""COMPUTED_VALUE"""),"Regional")</f>
        <v>Regional</v>
      </c>
      <c r="K44" s="5">
        <f ca="1">IFERROR(__xludf.DUMMYFUNCTION("""COMPUTED_VALUE"""),4)</f>
        <v>4</v>
      </c>
      <c r="L44" s="5" t="str">
        <f ca="1">IFERROR(__xludf.DUMMYFUNCTION("""COMPUTED_VALUE"""),"Summer")</f>
        <v>Summer</v>
      </c>
      <c r="M44" s="5" t="str">
        <f ca="1">IFERROR(__xludf.DUMMYFUNCTION("""COMPUTED_VALUE"""),"Los Angeles")</f>
        <v>Los Angeles</v>
      </c>
      <c r="N44" s="5" t="str">
        <f ca="1">IFERROR(__xludf.DUMMYFUNCTION("""COMPUTED_VALUE"""),"CA")</f>
        <v>CA</v>
      </c>
      <c r="O44" s="5" t="str">
        <f ca="1">IFERROR(__xludf.DUMMYFUNCTION("""COMPUTED_VALUE"""),"High")</f>
        <v>High</v>
      </c>
      <c r="P44" s="5" t="str">
        <f ca="1">IFERROR(__xludf.DUMMYFUNCTION("""COMPUTED_VALUE"""),"Front of School")</f>
        <v>Front of School</v>
      </c>
      <c r="Q44" s="5" t="str">
        <f ca="1">IFERROR(__xludf.DUMMYFUNCTION("""COMPUTED_VALUE"""),"Outside on School Property")</f>
        <v>Outside on School Property</v>
      </c>
      <c r="R44" s="5" t="str">
        <f ca="1">IFERROR(__xludf.DUMMYFUNCTION("""COMPUTED_VALUE"""),"Yes")</f>
        <v>Yes</v>
      </c>
      <c r="S44" s="5" t="str">
        <f ca="1">IFERROR(__xludf.DUMMYFUNCTION("""COMPUTED_VALUE"""),"Dismissal")</f>
        <v>Dismissal</v>
      </c>
      <c r="T44" s="10">
        <f ca="1">IFERROR(__xludf.DUMMYFUNCTION("""COMPUTED_VALUE"""),0.642361111111111)</f>
        <v>0.64236111111111105</v>
      </c>
      <c r="U44" s="5">
        <f ca="1">IFERROR(__xludf.DUMMYFUNCTION("""COMPUTED_VALUE"""),1)</f>
        <v>1</v>
      </c>
      <c r="V44" s="5" t="str">
        <f ca="1">IFERROR(__xludf.DUMMYFUNCTION("""COMPUTED_VALUE"""),"Student shot in front of school at dismissal")</f>
        <v>Student shot in front of school at dismissal</v>
      </c>
      <c r="W44"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X44" s="5" t="str">
        <f ca="1">IFERROR(__xludf.DUMMYFUNCTION("""COMPUTED_VALUE"""),"Escalation of Dispute")</f>
        <v>Escalation of Dispute</v>
      </c>
      <c r="Y44" s="5" t="str">
        <f ca="1">IFERROR(__xludf.DUMMYFUNCTION("""COMPUTED_VALUE"""),"Victims Targeted")</f>
        <v>Victims Targeted</v>
      </c>
      <c r="Z44" s="5" t="str">
        <f ca="1">IFERROR(__xludf.DUMMYFUNCTION("""COMPUTED_VALUE"""),"No")</f>
        <v>No</v>
      </c>
      <c r="AA44" s="5"/>
      <c r="AB44" s="5" t="str">
        <f ca="1">IFERROR(__xludf.DUMMYFUNCTION("""COMPUTED_VALUE"""),"No")</f>
        <v>No</v>
      </c>
      <c r="AC44" s="5" t="str">
        <f ca="1">IFERROR(__xludf.DUMMYFUNCTION("""COMPUTED_VALUE"""),"No")</f>
        <v>No</v>
      </c>
      <c r="AD44" s="5" t="str">
        <f ca="1">IFERROR(__xludf.DUMMYFUNCTION("""COMPUTED_VALUE"""),"No")</f>
        <v>No</v>
      </c>
      <c r="AE44" s="5" t="str">
        <f ca="1">IFERROR(__xludf.DUMMYFUNCTION("""COMPUTED_VALUE"""),"No")</f>
        <v>No</v>
      </c>
      <c r="AF44" s="5" t="str">
        <f ca="1">IFERROR(__xludf.DUMMYFUNCTION("""COMPUTED_VALUE"""),"No")</f>
        <v>No</v>
      </c>
      <c r="AG44" s="5" t="str">
        <f ca="1">IFERROR(__xludf.DUMMYFUNCTION("""COMPUTED_VALUE"""),"Yes")</f>
        <v>Yes</v>
      </c>
      <c r="AH44" s="5" t="str">
        <f ca="1">IFERROR(__xludf.DUMMYFUNCTION("""COMPUTED_VALUE"""),"No")</f>
        <v>No</v>
      </c>
    </row>
    <row r="45" spans="1:34" ht="12.75">
      <c r="A45" s="5" t="str">
        <f ca="1">IFERROR(__xludf.DUMMYFUNCTION("""COMPUTED_VALUE"""),"20220531LAMON")</f>
        <v>20220531LAMON</v>
      </c>
      <c r="B45" s="8">
        <f ca="1">IFERROR(__xludf.DUMMYFUNCTION("""COMPUTED_VALUE"""),44712)</f>
        <v>44712</v>
      </c>
      <c r="C45" s="5" t="str">
        <f ca="1">IFERROR(__xludf.DUMMYFUNCTION("""COMPUTED_VALUE"""),"Morris Jeff High School")</f>
        <v>Morris Jeff High School</v>
      </c>
      <c r="D45" s="5">
        <f ca="1">IFERROR(__xludf.DUMMYFUNCTION("""COMPUTED_VALUE"""),0)</f>
        <v>0</v>
      </c>
      <c r="E45" s="5">
        <f ca="1">IFERROR(__xludf.DUMMYFUNCTION("""COMPUTED_VALUE"""),2)</f>
        <v>2</v>
      </c>
      <c r="F45" s="5">
        <f ca="1">IFERROR(__xludf.DUMMYFUNCTION("""COMPUTED_VALUE"""),2)</f>
        <v>2</v>
      </c>
      <c r="G45" s="5">
        <f ca="1">IFERROR(__xludf.DUMMYFUNCTION("""COMPUTED_VALUE"""),0)</f>
        <v>0</v>
      </c>
      <c r="H45"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I45" s="5">
        <f ca="1">IFERROR(__xludf.DUMMYFUNCTION("""COMPUTED_VALUE"""),100)</f>
        <v>100</v>
      </c>
      <c r="J45" s="5" t="str">
        <f ca="1">IFERROR(__xludf.DUMMYFUNCTION("""COMPUTED_VALUE"""),"National")</f>
        <v>National</v>
      </c>
      <c r="K45" s="5">
        <f ca="1">IFERROR(__xludf.DUMMYFUNCTION("""COMPUTED_VALUE"""),4)</f>
        <v>4</v>
      </c>
      <c r="L45" s="5" t="str">
        <f ca="1">IFERROR(__xludf.DUMMYFUNCTION("""COMPUTED_VALUE"""),"Spring")</f>
        <v>Spring</v>
      </c>
      <c r="M45" s="5" t="str">
        <f ca="1">IFERROR(__xludf.DUMMYFUNCTION("""COMPUTED_VALUE"""),"New Orleans")</f>
        <v>New Orleans</v>
      </c>
      <c r="N45" s="5" t="str">
        <f ca="1">IFERROR(__xludf.DUMMYFUNCTION("""COMPUTED_VALUE"""),"LA")</f>
        <v>LA</v>
      </c>
      <c r="O45" s="5" t="str">
        <f ca="1">IFERROR(__xludf.DUMMYFUNCTION("""COMPUTED_VALUE"""),"High")</f>
        <v>High</v>
      </c>
      <c r="P45" s="5" t="str">
        <f ca="1">IFERROR(__xludf.DUMMYFUNCTION("""COMPUTED_VALUE"""),"Off School Property")</f>
        <v>Off School Property</v>
      </c>
      <c r="Q45" s="5" t="str">
        <f ca="1">IFERROR(__xludf.DUMMYFUNCTION("""COMPUTED_VALUE"""),"Off School Property")</f>
        <v>Off School Property</v>
      </c>
      <c r="R45" s="5" t="str">
        <f ca="1">IFERROR(__xludf.DUMMYFUNCTION("""COMPUTED_VALUE"""),"Yes")</f>
        <v>Yes</v>
      </c>
      <c r="S45" s="5" t="str">
        <f ca="1">IFERROR(__xludf.DUMMYFUNCTION("""COMPUTED_VALUE"""),"School Event")</f>
        <v>School Event</v>
      </c>
      <c r="T45" s="10">
        <f ca="1">IFERROR(__xludf.DUMMYFUNCTION("""COMPUTED_VALUE"""),0.489583333333333)</f>
        <v>0.48958333333333298</v>
      </c>
      <c r="U45" s="5">
        <f ca="1">IFERROR(__xludf.DUMMYFUNCTION("""COMPUTED_VALUE"""),1)</f>
        <v>1</v>
      </c>
      <c r="V45" s="5" t="str">
        <f ca="1">IFERROR(__xludf.DUMMYFUNCTION("""COMPUTED_VALUE"""),"3 people shot following high school graduation")</f>
        <v>3 people shot following high school graduation</v>
      </c>
      <c r="W45"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X45" s="5" t="str">
        <f ca="1">IFERROR(__xludf.DUMMYFUNCTION("""COMPUTED_VALUE"""),"Escalation of Dispute")</f>
        <v>Escalation of Dispute</v>
      </c>
      <c r="Y45" s="5" t="str">
        <f ca="1">IFERROR(__xludf.DUMMYFUNCTION("""COMPUTED_VALUE"""),"Both")</f>
        <v>Both</v>
      </c>
      <c r="Z45" s="5" t="str">
        <f ca="1">IFERROR(__xludf.DUMMYFUNCTION("""COMPUTED_VALUE"""),"No")</f>
        <v>No</v>
      </c>
      <c r="AA45" s="5"/>
      <c r="AB45" s="5" t="str">
        <f ca="1">IFERROR(__xludf.DUMMYFUNCTION("""COMPUTED_VALUE"""),"No")</f>
        <v>No</v>
      </c>
      <c r="AC45" s="5" t="str">
        <f ca="1">IFERROR(__xludf.DUMMYFUNCTION("""COMPUTED_VALUE"""),"No")</f>
        <v>No</v>
      </c>
      <c r="AD45" s="5" t="str">
        <f ca="1">IFERROR(__xludf.DUMMYFUNCTION("""COMPUTED_VALUE"""),"No")</f>
        <v>No</v>
      </c>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row>
    <row r="46" spans="1:34" ht="12.75">
      <c r="A46" s="5" t="str">
        <f ca="1">IFERROR(__xludf.DUMMYFUNCTION("""COMPUTED_VALUE"""),"20220530CAHEL")</f>
        <v>20220530CAHEL</v>
      </c>
      <c r="B46" s="8">
        <f ca="1">IFERROR(__xludf.DUMMYFUNCTION("""COMPUTED_VALUE"""),44711)</f>
        <v>44711</v>
      </c>
      <c r="C46" s="5" t="str">
        <f ca="1">IFERROR(__xludf.DUMMYFUNCTION("""COMPUTED_VALUE"""),"Helix High School")</f>
        <v>Helix High School</v>
      </c>
      <c r="D46" s="5">
        <f ca="1">IFERROR(__xludf.DUMMYFUNCTION("""COMPUTED_VALUE"""),0)</f>
        <v>0</v>
      </c>
      <c r="E46" s="5">
        <f ca="1">IFERROR(__xludf.DUMMYFUNCTION("""COMPUTED_VALUE"""),1)</f>
        <v>1</v>
      </c>
      <c r="F46" s="5">
        <f ca="1">IFERROR(__xludf.DUMMYFUNCTION("""COMPUTED_VALUE"""),1)</f>
        <v>1</v>
      </c>
      <c r="G46" s="5">
        <f ca="1">IFERROR(__xludf.DUMMYFUNCTION("""COMPUTED_VALUE"""),0)</f>
        <v>0</v>
      </c>
      <c r="H46"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I46" s="5">
        <f ca="1">IFERROR(__xludf.DUMMYFUNCTION("""COMPUTED_VALUE"""),3)</f>
        <v>3</v>
      </c>
      <c r="J46" s="5" t="str">
        <f ca="1">IFERROR(__xludf.DUMMYFUNCTION("""COMPUTED_VALUE"""),"Local")</f>
        <v>Local</v>
      </c>
      <c r="K46" s="5">
        <f ca="1">IFERROR(__xludf.DUMMYFUNCTION("""COMPUTED_VALUE"""),4)</f>
        <v>4</v>
      </c>
      <c r="L46" s="5" t="str">
        <f ca="1">IFERROR(__xludf.DUMMYFUNCTION("""COMPUTED_VALUE"""),"Spring")</f>
        <v>Spring</v>
      </c>
      <c r="M46" s="5" t="str">
        <f ca="1">IFERROR(__xludf.DUMMYFUNCTION("""COMPUTED_VALUE"""),"La Mesa")</f>
        <v>La Mesa</v>
      </c>
      <c r="N46" s="5" t="str">
        <f ca="1">IFERROR(__xludf.DUMMYFUNCTION("""COMPUTED_VALUE"""),"CA")</f>
        <v>CA</v>
      </c>
      <c r="O46" s="5" t="str">
        <f ca="1">IFERROR(__xludf.DUMMYFUNCTION("""COMPUTED_VALUE"""),"High")</f>
        <v>High</v>
      </c>
      <c r="P46" s="5" t="str">
        <f ca="1">IFERROR(__xludf.DUMMYFUNCTION("""COMPUTED_VALUE"""),"Parking Lot")</f>
        <v>Parking Lot</v>
      </c>
      <c r="Q46" s="5" t="str">
        <f ca="1">IFERROR(__xludf.DUMMYFUNCTION("""COMPUTED_VALUE"""),"Outside on School Property")</f>
        <v>Outside on School Property</v>
      </c>
      <c r="R46" s="5" t="str">
        <f ca="1">IFERROR(__xludf.DUMMYFUNCTION("""COMPUTED_VALUE"""),"No")</f>
        <v>No</v>
      </c>
      <c r="S46" s="5" t="str">
        <f ca="1">IFERROR(__xludf.DUMMYFUNCTION("""COMPUTED_VALUE"""),"Evening")</f>
        <v>Evening</v>
      </c>
      <c r="T46" s="10">
        <f ca="1">IFERROR(__xludf.DUMMYFUNCTION("""COMPUTED_VALUE"""),0.763888888888888)</f>
        <v>0.76388888888888795</v>
      </c>
      <c r="U46" s="5">
        <f ca="1">IFERROR(__xludf.DUMMYFUNCTION("""COMPUTED_VALUE"""),1)</f>
        <v>1</v>
      </c>
      <c r="V46" s="5" t="str">
        <f ca="1">IFERROR(__xludf.DUMMYFUNCTION("""COMPUTED_VALUE"""),"Adult man shot in school parking lot")</f>
        <v>Adult man shot in school parking lot</v>
      </c>
      <c r="W46" s="5" t="str">
        <f ca="1">IFERROR(__xludf.DUMMYFUNCTION("""COMPUTED_VALUE"""),"Adult man was shot in the school parking lot. Shooter fled. School was closed for Memorial Day.")</f>
        <v>Adult man was shot in the school parking lot. Shooter fled. School was closed for Memorial Day.</v>
      </c>
      <c r="X46" s="5"/>
      <c r="Y46" s="5" t="str">
        <f ca="1">IFERROR(__xludf.DUMMYFUNCTION("""COMPUTED_VALUE"""),"Victims Targeted")</f>
        <v>Victims Targeted</v>
      </c>
      <c r="Z46" s="5" t="str">
        <f ca="1">IFERROR(__xludf.DUMMYFUNCTION("""COMPUTED_VALUE"""),"No")</f>
        <v>No</v>
      </c>
      <c r="AA46" s="5"/>
      <c r="AB46" s="5" t="str">
        <f ca="1">IFERROR(__xludf.DUMMYFUNCTION("""COMPUTED_VALUE"""),"No")</f>
        <v>No</v>
      </c>
      <c r="AC46" s="5" t="str">
        <f ca="1">IFERROR(__xludf.DUMMYFUNCTION("""COMPUTED_VALUE"""),"No")</f>
        <v>No</v>
      </c>
      <c r="AD46" s="5" t="str">
        <f ca="1">IFERROR(__xludf.DUMMYFUNCTION("""COMPUTED_VALUE"""),"No")</f>
        <v>No</v>
      </c>
      <c r="AE46" s="5" t="str">
        <f ca="1">IFERROR(__xludf.DUMMYFUNCTION("""COMPUTED_VALUE"""),"No")</f>
        <v>No</v>
      </c>
      <c r="AF46" s="5" t="str">
        <f ca="1">IFERROR(__xludf.DUMMYFUNCTION("""COMPUTED_VALUE"""),"No")</f>
        <v>No</v>
      </c>
      <c r="AG46" s="5"/>
      <c r="AH46" s="5" t="str">
        <f ca="1">IFERROR(__xludf.DUMMYFUNCTION("""COMPUTED_VALUE"""),"No")</f>
        <v>No</v>
      </c>
    </row>
    <row r="47" spans="1:34" ht="12.75">
      <c r="A47" s="5" t="str">
        <f ca="1">IFERROR(__xludf.DUMMYFUNCTION("""COMPUTED_VALUE"""),"20220529ILDAC")</f>
        <v>20220529ILDAC</v>
      </c>
      <c r="B47" s="8">
        <f ca="1">IFERROR(__xludf.DUMMYFUNCTION("""COMPUTED_VALUE"""),44710)</f>
        <v>44710</v>
      </c>
      <c r="C47" s="5" t="str">
        <f ca="1">IFERROR(__xludf.DUMMYFUNCTION("""COMPUTED_VALUE"""),"Daniel Webster Public School")</f>
        <v>Daniel Webster Public School</v>
      </c>
      <c r="D47" s="5">
        <f ca="1">IFERROR(__xludf.DUMMYFUNCTION("""COMPUTED_VALUE"""),0)</f>
        <v>0</v>
      </c>
      <c r="E47" s="5">
        <f ca="1">IFERROR(__xludf.DUMMYFUNCTION("""COMPUTED_VALUE"""),5)</f>
        <v>5</v>
      </c>
      <c r="F47" s="5">
        <f ca="1">IFERROR(__xludf.DUMMYFUNCTION("""COMPUTED_VALUE"""),5)</f>
        <v>5</v>
      </c>
      <c r="G47" s="5">
        <f ca="1">IFERROR(__xludf.DUMMYFUNCTION("""COMPUTED_VALUE"""),0)</f>
        <v>0</v>
      </c>
      <c r="H47"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I47" s="5">
        <f ca="1">IFERROR(__xludf.DUMMYFUNCTION("""COMPUTED_VALUE"""),5)</f>
        <v>5</v>
      </c>
      <c r="J47" s="5" t="str">
        <f ca="1">IFERROR(__xludf.DUMMYFUNCTION("""COMPUTED_VALUE"""),"Local")</f>
        <v>Local</v>
      </c>
      <c r="K47" s="5">
        <f ca="1">IFERROR(__xludf.DUMMYFUNCTION("""COMPUTED_VALUE"""),4)</f>
        <v>4</v>
      </c>
      <c r="L47" s="5" t="str">
        <f ca="1">IFERROR(__xludf.DUMMYFUNCTION("""COMPUTED_VALUE"""),"Spring")</f>
        <v>Spring</v>
      </c>
      <c r="M47" s="5" t="str">
        <f ca="1">IFERROR(__xludf.DUMMYFUNCTION("""COMPUTED_VALUE"""),"Chicago")</f>
        <v>Chicago</v>
      </c>
      <c r="N47" s="5" t="str">
        <f ca="1">IFERROR(__xludf.DUMMYFUNCTION("""COMPUTED_VALUE"""),"IL")</f>
        <v>IL</v>
      </c>
      <c r="O47" s="5" t="str">
        <f ca="1">IFERROR(__xludf.DUMMYFUNCTION("""COMPUTED_VALUE"""),"Elementary")</f>
        <v>Elementary</v>
      </c>
      <c r="P47" s="5" t="str">
        <f ca="1">IFERROR(__xludf.DUMMYFUNCTION("""COMPUTED_VALUE"""),"Front of School")</f>
        <v>Front of School</v>
      </c>
      <c r="Q47" s="5" t="str">
        <f ca="1">IFERROR(__xludf.DUMMYFUNCTION("""COMPUTED_VALUE"""),"Outside on School Property")</f>
        <v>Outside on School Property</v>
      </c>
      <c r="R47" s="5" t="str">
        <f ca="1">IFERROR(__xludf.DUMMYFUNCTION("""COMPUTED_VALUE"""),"No")</f>
        <v>No</v>
      </c>
      <c r="S47" s="5" t="str">
        <f ca="1">IFERROR(__xludf.DUMMYFUNCTION("""COMPUTED_VALUE"""),"Night")</f>
        <v>Night</v>
      </c>
      <c r="T47" s="10">
        <f ca="1">IFERROR(__xludf.DUMMYFUNCTION("""COMPUTED_VALUE"""),0.0625)</f>
        <v>6.25E-2</v>
      </c>
      <c r="U47" s="5">
        <f ca="1">IFERROR(__xludf.DUMMYFUNCTION("""COMPUTED_VALUE"""),1)</f>
        <v>1</v>
      </c>
      <c r="V47" s="5" t="str">
        <f ca="1">IFERROR(__xludf.DUMMYFUNCTION("""COMPUTED_VALUE"""),"5 wounded when 97 shots fired in front of school.")</f>
        <v>5 wounded when 97 shots fired in front of school.</v>
      </c>
      <c r="W47"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X47" s="5" t="str">
        <f ca="1">IFERROR(__xludf.DUMMYFUNCTION("""COMPUTED_VALUE"""),"Escalation of Dispute")</f>
        <v>Escalation of Dispute</v>
      </c>
      <c r="Y47" s="5" t="str">
        <f ca="1">IFERROR(__xludf.DUMMYFUNCTION("""COMPUTED_VALUE"""),"Both")</f>
        <v>Both</v>
      </c>
      <c r="Z47" s="5" t="str">
        <f ca="1">IFERROR(__xludf.DUMMYFUNCTION("""COMPUTED_VALUE"""),"Yes")</f>
        <v>Yes</v>
      </c>
      <c r="AA47" s="5" t="str">
        <f ca="1">IFERROR(__xludf.DUMMYFUNCTION("""COMPUTED_VALUE"""),"3 shooters")</f>
        <v>3 shooters</v>
      </c>
      <c r="AB47" s="5" t="str">
        <f ca="1">IFERROR(__xludf.DUMMYFUNCTION("""COMPUTED_VALUE"""),"No")</f>
        <v>No</v>
      </c>
      <c r="AC47" s="5" t="str">
        <f ca="1">IFERROR(__xludf.DUMMYFUNCTION("""COMPUTED_VALUE"""),"No")</f>
        <v>No</v>
      </c>
      <c r="AD47" s="5" t="str">
        <f ca="1">IFERROR(__xludf.DUMMYFUNCTION("""COMPUTED_VALUE"""),"No")</f>
        <v>No</v>
      </c>
      <c r="AE47" s="5" t="str">
        <f ca="1">IFERROR(__xludf.DUMMYFUNCTION("""COMPUTED_VALUE"""),"No")</f>
        <v>No</v>
      </c>
      <c r="AF47" s="5" t="str">
        <f ca="1">IFERROR(__xludf.DUMMYFUNCTION("""COMPUTED_VALUE"""),"No")</f>
        <v>No</v>
      </c>
      <c r="AG47" s="5"/>
      <c r="AH47" s="5" t="str">
        <f ca="1">IFERROR(__xludf.DUMMYFUNCTION("""COMPUTED_VALUE"""),"No")</f>
        <v>No</v>
      </c>
    </row>
    <row r="48" spans="1:34" ht="12.75">
      <c r="A48" s="5" t="str">
        <f ca="1">IFERROR(__xludf.DUMMYFUNCTION("""COMPUTED_VALUE"""),"20220526TXDUA")</f>
        <v>20220526TXDUA</v>
      </c>
      <c r="B48" s="8">
        <f ca="1">IFERROR(__xludf.DUMMYFUNCTION("""COMPUTED_VALUE"""),44707)</f>
        <v>44707</v>
      </c>
      <c r="C48" s="5" t="str">
        <f ca="1">IFERROR(__xludf.DUMMYFUNCTION("""COMPUTED_VALUE"""),"Duff Elementary School")</f>
        <v>Duff Elementary School</v>
      </c>
      <c r="D48" s="5">
        <f ca="1">IFERROR(__xludf.DUMMYFUNCTION("""COMPUTED_VALUE"""),0)</f>
        <v>0</v>
      </c>
      <c r="E48" s="5">
        <f ca="1">IFERROR(__xludf.DUMMYFUNCTION("""COMPUTED_VALUE"""),0)</f>
        <v>0</v>
      </c>
      <c r="F48" s="5">
        <f ca="1">IFERROR(__xludf.DUMMYFUNCTION("""COMPUTED_VALUE"""),0)</f>
        <v>0</v>
      </c>
      <c r="G48" s="5">
        <f ca="1">IFERROR(__xludf.DUMMYFUNCTION("""COMPUTED_VALUE"""),0)</f>
        <v>0</v>
      </c>
      <c r="H48"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I48" s="5">
        <f ca="1">IFERROR(__xludf.DUMMYFUNCTION("""COMPUTED_VALUE"""),5)</f>
        <v>5</v>
      </c>
      <c r="J48" s="5" t="str">
        <f ca="1">IFERROR(__xludf.DUMMYFUNCTION("""COMPUTED_VALUE"""),"Local")</f>
        <v>Local</v>
      </c>
      <c r="K48" s="5">
        <f ca="1">IFERROR(__xludf.DUMMYFUNCTION("""COMPUTED_VALUE"""),4)</f>
        <v>4</v>
      </c>
      <c r="L48" s="5" t="str">
        <f ca="1">IFERROR(__xludf.DUMMYFUNCTION("""COMPUTED_VALUE"""),"Spring")</f>
        <v>Spring</v>
      </c>
      <c r="M48" s="5" t="str">
        <f ca="1">IFERROR(__xludf.DUMMYFUNCTION("""COMPUTED_VALUE"""),"Arlington")</f>
        <v>Arlington</v>
      </c>
      <c r="N48" s="5" t="str">
        <f ca="1">IFERROR(__xludf.DUMMYFUNCTION("""COMPUTED_VALUE"""),"TX")</f>
        <v>TX</v>
      </c>
      <c r="O48" s="5" t="str">
        <f ca="1">IFERROR(__xludf.DUMMYFUNCTION("""COMPUTED_VALUE"""),"Elementary")</f>
        <v>Elementary</v>
      </c>
      <c r="P48" s="5" t="str">
        <f ca="1">IFERROR(__xludf.DUMMYFUNCTION("""COMPUTED_VALUE"""),"Front of School")</f>
        <v>Front of School</v>
      </c>
      <c r="Q48" s="5" t="str">
        <f ca="1">IFERROR(__xludf.DUMMYFUNCTION("""COMPUTED_VALUE"""),"Outside on School Property")</f>
        <v>Outside on School Property</v>
      </c>
      <c r="R48" s="5" t="str">
        <f ca="1">IFERROR(__xludf.DUMMYFUNCTION("""COMPUTED_VALUE"""),"Yes")</f>
        <v>Yes</v>
      </c>
      <c r="S48" s="5" t="str">
        <f ca="1">IFERROR(__xludf.DUMMYFUNCTION("""COMPUTED_VALUE"""),"Morning Classes")</f>
        <v>Morning Classes</v>
      </c>
      <c r="T48" s="10">
        <f ca="1">IFERROR(__xludf.DUMMYFUNCTION("""COMPUTED_VALUE"""),0.489583333333333)</f>
        <v>0.48958333333333298</v>
      </c>
      <c r="U48" s="5">
        <f ca="1">IFERROR(__xludf.DUMMYFUNCTION("""COMPUTED_VALUE"""),1)</f>
        <v>1</v>
      </c>
      <c r="V48" s="5" t="str">
        <f ca="1">IFERROR(__xludf.DUMMYFUNCTION("""COMPUTED_VALUE"""),"Man shot himself in the leg while walking toward the school office")</f>
        <v>Man shot himself in the leg while walking toward the school office</v>
      </c>
      <c r="W48"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X48" s="5" t="str">
        <f ca="1">IFERROR(__xludf.DUMMYFUNCTION("""COMPUTED_VALUE"""),"Accidental")</f>
        <v>Accidental</v>
      </c>
      <c r="Y48" s="5" t="str">
        <f ca="1">IFERROR(__xludf.DUMMYFUNCTION("""COMPUTED_VALUE"""),"Neither")</f>
        <v>Neither</v>
      </c>
      <c r="Z48" s="5" t="str">
        <f ca="1">IFERROR(__xludf.DUMMYFUNCTION("""COMPUTED_VALUE"""),"No")</f>
        <v>No</v>
      </c>
      <c r="AA48" s="5"/>
      <c r="AB48" s="5" t="str">
        <f ca="1">IFERROR(__xludf.DUMMYFUNCTION("""COMPUTED_VALUE"""),"No")</f>
        <v>No</v>
      </c>
      <c r="AC48" s="5" t="str">
        <f ca="1">IFERROR(__xludf.DUMMYFUNCTION("""COMPUTED_VALUE"""),"No")</f>
        <v>No</v>
      </c>
      <c r="AD48" s="5" t="str">
        <f ca="1">IFERROR(__xludf.DUMMYFUNCTION("""COMPUTED_VALUE"""),"No")</f>
        <v>No</v>
      </c>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row>
    <row r="49" spans="1:34" ht="12.75">
      <c r="A49" s="5" t="str">
        <f ca="1">IFERROR(__xludf.DUMMYFUNCTION("""COMPUTED_VALUE"""),"20220526SCMEG")</f>
        <v>20220526SCMEG</v>
      </c>
      <c r="B49" s="8">
        <f ca="1">IFERROR(__xludf.DUMMYFUNCTION("""COMPUTED_VALUE"""),44707)</f>
        <v>44707</v>
      </c>
      <c r="C49" s="5" t="str">
        <f ca="1">IFERROR(__xludf.DUMMYFUNCTION("""COMPUTED_VALUE"""),"Mevers School of Excellence")</f>
        <v>Mevers School of Excellence</v>
      </c>
      <c r="D49" s="5">
        <f ca="1">IFERROR(__xludf.DUMMYFUNCTION("""COMPUTED_VALUE"""),1)</f>
        <v>1</v>
      </c>
      <c r="E49" s="5">
        <f ca="1">IFERROR(__xludf.DUMMYFUNCTION("""COMPUTED_VALUE"""),0)</f>
        <v>0</v>
      </c>
      <c r="F49" s="5">
        <f ca="1">IFERROR(__xludf.DUMMYFUNCTION("""COMPUTED_VALUE"""),1)</f>
        <v>1</v>
      </c>
      <c r="G49" s="5">
        <f ca="1">IFERROR(__xludf.DUMMYFUNCTION("""COMPUTED_VALUE"""),0)</f>
        <v>0</v>
      </c>
      <c r="H49"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I49" s="5">
        <f ca="1">IFERROR(__xludf.DUMMYFUNCTION("""COMPUTED_VALUE"""),5)</f>
        <v>5</v>
      </c>
      <c r="J49" s="5" t="str">
        <f ca="1">IFERROR(__xludf.DUMMYFUNCTION("""COMPUTED_VALUE"""),"Local")</f>
        <v>Local</v>
      </c>
      <c r="K49" s="5">
        <f ca="1">IFERROR(__xludf.DUMMYFUNCTION("""COMPUTED_VALUE"""),4)</f>
        <v>4</v>
      </c>
      <c r="L49" s="5" t="str">
        <f ca="1">IFERROR(__xludf.DUMMYFUNCTION("""COMPUTED_VALUE"""),"Spring")</f>
        <v>Spring</v>
      </c>
      <c r="M49" s="5" t="str">
        <f ca="1">IFERROR(__xludf.DUMMYFUNCTION("""COMPUTED_VALUE"""),"Goose Creek")</f>
        <v>Goose Creek</v>
      </c>
      <c r="N49" s="5" t="str">
        <f ca="1">IFERROR(__xludf.DUMMYFUNCTION("""COMPUTED_VALUE"""),"SC")</f>
        <v>SC</v>
      </c>
      <c r="O49" s="5" t="str">
        <f ca="1">IFERROR(__xludf.DUMMYFUNCTION("""COMPUTED_VALUE"""),"K-8")</f>
        <v>K-8</v>
      </c>
      <c r="P49" s="5" t="str">
        <f ca="1">IFERROR(__xludf.DUMMYFUNCTION("""COMPUTED_VALUE"""),"Parking Lot")</f>
        <v>Parking Lot</v>
      </c>
      <c r="Q49" s="5" t="str">
        <f ca="1">IFERROR(__xludf.DUMMYFUNCTION("""COMPUTED_VALUE"""),"Outside on School Property")</f>
        <v>Outside on School Property</v>
      </c>
      <c r="R49" s="5" t="str">
        <f ca="1">IFERROR(__xludf.DUMMYFUNCTION("""COMPUTED_VALUE"""),"No")</f>
        <v>No</v>
      </c>
      <c r="S49" s="5" t="str">
        <f ca="1">IFERROR(__xludf.DUMMYFUNCTION("""COMPUTED_VALUE"""),"Night")</f>
        <v>Night</v>
      </c>
      <c r="T49" s="10">
        <f ca="1">IFERROR(__xludf.DUMMYFUNCTION("""COMPUTED_VALUE"""),0.00347222222222222)</f>
        <v>3.4722222222222199E-3</v>
      </c>
      <c r="U49" s="5">
        <f ca="1">IFERROR(__xludf.DUMMYFUNCTION("""COMPUTED_VALUE"""),1)</f>
        <v>1</v>
      </c>
      <c r="V49" s="5" t="str">
        <f ca="1">IFERROR(__xludf.DUMMYFUNCTION("""COMPUTED_VALUE"""),"Man fatally shot in parking lot, found by staff member")</f>
        <v>Man fatally shot in parking lot, found by staff member</v>
      </c>
      <c r="W49"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X49" s="5"/>
      <c r="Y49" s="5" t="str">
        <f ca="1">IFERROR(__xludf.DUMMYFUNCTION("""COMPUTED_VALUE"""),"Victims Targeted")</f>
        <v>Victims Targeted</v>
      </c>
      <c r="Z49" s="5"/>
      <c r="AA49" s="5"/>
      <c r="AB49" s="5" t="str">
        <f ca="1">IFERROR(__xludf.DUMMYFUNCTION("""COMPUTED_VALUE"""),"No")</f>
        <v>No</v>
      </c>
      <c r="AC49" s="5" t="str">
        <f ca="1">IFERROR(__xludf.DUMMYFUNCTION("""COMPUTED_VALUE"""),"No")</f>
        <v>No</v>
      </c>
      <c r="AD49" s="5" t="str">
        <f ca="1">IFERROR(__xludf.DUMMYFUNCTION("""COMPUTED_VALUE"""),"No")</f>
        <v>No</v>
      </c>
      <c r="AE49" s="5" t="str">
        <f ca="1">IFERROR(__xludf.DUMMYFUNCTION("""COMPUTED_VALUE"""),"No")</f>
        <v>No</v>
      </c>
      <c r="AF49" s="5"/>
      <c r="AG49" s="5"/>
      <c r="AH49" s="5" t="str">
        <f ca="1">IFERROR(__xludf.DUMMYFUNCTION("""COMPUTED_VALUE"""),"No")</f>
        <v>No</v>
      </c>
    </row>
    <row r="50" spans="1:34" ht="12.75">
      <c r="A50" s="5" t="str">
        <f ca="1">IFERROR(__xludf.DUMMYFUNCTION("""COMPUTED_VALUE"""),"20220525ILSTC")</f>
        <v>20220525ILSTC</v>
      </c>
      <c r="B50" s="8">
        <f ca="1">IFERROR(__xludf.DUMMYFUNCTION("""COMPUTED_VALUE"""),44706)</f>
        <v>44706</v>
      </c>
      <c r="C50" s="5" t="str">
        <f ca="1">IFERROR(__xludf.DUMMYFUNCTION("""COMPUTED_VALUE"""),"St. Margaret of Scotland School")</f>
        <v>St. Margaret of Scotland School</v>
      </c>
      <c r="D50" s="5">
        <f ca="1">IFERROR(__xludf.DUMMYFUNCTION("""COMPUTED_VALUE"""),0)</f>
        <v>0</v>
      </c>
      <c r="E50" s="5">
        <f ca="1">IFERROR(__xludf.DUMMYFUNCTION("""COMPUTED_VALUE"""),0)</f>
        <v>0</v>
      </c>
      <c r="F50" s="5">
        <f ca="1">IFERROR(__xludf.DUMMYFUNCTION("""COMPUTED_VALUE"""),0)</f>
        <v>0</v>
      </c>
      <c r="G50" s="5">
        <f ca="1">IFERROR(__xludf.DUMMYFUNCTION("""COMPUTED_VALUE"""),0)</f>
        <v>0</v>
      </c>
      <c r="H50" s="9" t="str">
        <f ca="1">IFERROR(__xludf.DUMMYFUNCTION("""COMPUTED_VALUE"""),"https://www.chicagocatholic.com/chicagoland/-/article/2022/06/01/five-windows-at-st-margaret-of-scotland-school-shot-out")</f>
        <v>https://www.chicagocatholic.com/chicagoland/-/article/2022/06/01/five-windows-at-st-margaret-of-scotland-school-shot-out</v>
      </c>
      <c r="I50" s="5">
        <f ca="1">IFERROR(__xludf.DUMMYFUNCTION("""COMPUTED_VALUE"""),1)</f>
        <v>1</v>
      </c>
      <c r="J50" s="5" t="str">
        <f ca="1">IFERROR(__xludf.DUMMYFUNCTION("""COMPUTED_VALUE"""),"Local")</f>
        <v>Local</v>
      </c>
      <c r="K50" s="5">
        <f ca="1">IFERROR(__xludf.DUMMYFUNCTION("""COMPUTED_VALUE"""),4)</f>
        <v>4</v>
      </c>
      <c r="L50" s="5" t="str">
        <f ca="1">IFERROR(__xludf.DUMMYFUNCTION("""COMPUTED_VALUE"""),"Spring")</f>
        <v>Spring</v>
      </c>
      <c r="M50" s="5" t="str">
        <f ca="1">IFERROR(__xludf.DUMMYFUNCTION("""COMPUTED_VALUE"""),"Chicago")</f>
        <v>Chicago</v>
      </c>
      <c r="N50" s="5" t="str">
        <f ca="1">IFERROR(__xludf.DUMMYFUNCTION("""COMPUTED_VALUE"""),"IL")</f>
        <v>IL</v>
      </c>
      <c r="O50" s="5" t="str">
        <f ca="1">IFERROR(__xludf.DUMMYFUNCTION("""COMPUTED_VALUE"""),"K-12")</f>
        <v>K-12</v>
      </c>
      <c r="P50" s="5" t="str">
        <f ca="1">IFERROR(__xludf.DUMMYFUNCTION("""COMPUTED_VALUE"""),"Outside on School Property")</f>
        <v>Outside on School Property</v>
      </c>
      <c r="Q50" s="5" t="str">
        <f ca="1">IFERROR(__xludf.DUMMYFUNCTION("""COMPUTED_VALUE"""),"Outside on School Property")</f>
        <v>Outside on School Property</v>
      </c>
      <c r="R50" s="5" t="str">
        <f ca="1">IFERROR(__xludf.DUMMYFUNCTION("""COMPUTED_VALUE"""),"No")</f>
        <v>No</v>
      </c>
      <c r="S50" s="5" t="str">
        <f ca="1">IFERROR(__xludf.DUMMYFUNCTION("""COMPUTED_VALUE"""),"Night")</f>
        <v>Night</v>
      </c>
      <c r="T50" s="5"/>
      <c r="U50" s="5">
        <f ca="1">IFERROR(__xludf.DUMMYFUNCTION("""COMPUTED_VALUE"""),1)</f>
        <v>1</v>
      </c>
      <c r="V50" s="5" t="str">
        <f ca="1">IFERROR(__xludf.DUMMYFUNCTION("""COMPUTED_VALUE"""),"5 windows shot out")</f>
        <v>5 windows shot out</v>
      </c>
      <c r="W50"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X50" s="5" t="str">
        <f ca="1">IFERROR(__xludf.DUMMYFUNCTION("""COMPUTED_VALUE"""),"Intentional Property Damage")</f>
        <v>Intentional Property Damage</v>
      </c>
      <c r="Y50" s="5" t="str">
        <f ca="1">IFERROR(__xludf.DUMMYFUNCTION("""COMPUTED_VALUE"""),"Neither")</f>
        <v>Neither</v>
      </c>
      <c r="Z50" s="5" t="str">
        <f ca="1">IFERROR(__xludf.DUMMYFUNCTION("""COMPUTED_VALUE"""),"No")</f>
        <v>No</v>
      </c>
      <c r="AA50" s="5"/>
      <c r="AB50" s="5" t="str">
        <f ca="1">IFERROR(__xludf.DUMMYFUNCTION("""COMPUTED_VALUE"""),"No")</f>
        <v>No</v>
      </c>
      <c r="AC50" s="5" t="str">
        <f ca="1">IFERROR(__xludf.DUMMYFUNCTION("""COMPUTED_VALUE"""),"No")</f>
        <v>No</v>
      </c>
      <c r="AD50" s="5" t="str">
        <f ca="1">IFERROR(__xludf.DUMMYFUNCTION("""COMPUTED_VALUE"""),"No")</f>
        <v>No</v>
      </c>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row>
    <row r="51" spans="1:34" ht="12.75">
      <c r="A51" s="5" t="str">
        <f ca="1">IFERROR(__xludf.DUMMYFUNCTION("""COMPUTED_VALUE"""),"20220524WIRIM")</f>
        <v>20220524WIRIM</v>
      </c>
      <c r="B51" s="8">
        <f ca="1">IFERROR(__xludf.DUMMYFUNCTION("""COMPUTED_VALUE"""),44705)</f>
        <v>44705</v>
      </c>
      <c r="C51" s="5" t="str">
        <f ca="1">IFERROR(__xludf.DUMMYFUNCTION("""COMPUTED_VALUE"""),"Riverside University High School")</f>
        <v>Riverside University High School</v>
      </c>
      <c r="D51" s="5">
        <f ca="1">IFERROR(__xludf.DUMMYFUNCTION("""COMPUTED_VALUE"""),0)</f>
        <v>0</v>
      </c>
      <c r="E51" s="5">
        <f ca="1">IFERROR(__xludf.DUMMYFUNCTION("""COMPUTED_VALUE"""),0)</f>
        <v>0</v>
      </c>
      <c r="F51" s="5">
        <f ca="1">IFERROR(__xludf.DUMMYFUNCTION("""COMPUTED_VALUE"""),0)</f>
        <v>0</v>
      </c>
      <c r="G51" s="5">
        <f ca="1">IFERROR(__xludf.DUMMYFUNCTION("""COMPUTED_VALUE"""),0)</f>
        <v>0</v>
      </c>
      <c r="H51" s="9" t="str">
        <f ca="1">IFERROR(__xludf.DUMMYFUNCTION("""COMPUTED_VALUE"""),"https://www.tmj4.com/news/local-news/mpd-police-respond-to-riverside-high-school-twice-for-reports-of-shots-fired-fight")</f>
        <v>https://www.tmj4.com/news/local-news/mpd-police-respond-to-riverside-high-school-twice-for-reports-of-shots-fired-fight</v>
      </c>
      <c r="I51" s="5">
        <f ca="1">IFERROR(__xludf.DUMMYFUNCTION("""COMPUTED_VALUE"""),1)</f>
        <v>1</v>
      </c>
      <c r="J51" s="5" t="str">
        <f ca="1">IFERROR(__xludf.DUMMYFUNCTION("""COMPUTED_VALUE"""),"Local")</f>
        <v>Local</v>
      </c>
      <c r="K51" s="5">
        <f ca="1">IFERROR(__xludf.DUMMYFUNCTION("""COMPUTED_VALUE"""),3)</f>
        <v>3</v>
      </c>
      <c r="L51" s="5" t="str">
        <f ca="1">IFERROR(__xludf.DUMMYFUNCTION("""COMPUTED_VALUE"""),"Spring")</f>
        <v>Spring</v>
      </c>
      <c r="M51" s="5" t="str">
        <f ca="1">IFERROR(__xludf.DUMMYFUNCTION("""COMPUTED_VALUE"""),"Milwaukee")</f>
        <v>Milwaukee</v>
      </c>
      <c r="N51" s="5" t="str">
        <f ca="1">IFERROR(__xludf.DUMMYFUNCTION("""COMPUTED_VALUE"""),"WI")</f>
        <v>WI</v>
      </c>
      <c r="O51" s="5" t="str">
        <f ca="1">IFERROR(__xludf.DUMMYFUNCTION("""COMPUTED_VALUE"""),"High")</f>
        <v>High</v>
      </c>
      <c r="P51" s="5" t="str">
        <f ca="1">IFERROR(__xludf.DUMMYFUNCTION("""COMPUTED_VALUE"""),"Inside School Building")</f>
        <v>Inside School Building</v>
      </c>
      <c r="Q51" s="5" t="str">
        <f ca="1">IFERROR(__xludf.DUMMYFUNCTION("""COMPUTED_VALUE"""),"Inside School Building")</f>
        <v>Inside School Building</v>
      </c>
      <c r="R51" s="5" t="str">
        <f ca="1">IFERROR(__xludf.DUMMYFUNCTION("""COMPUTED_VALUE"""),"Yes")</f>
        <v>Yes</v>
      </c>
      <c r="S51" s="5" t="str">
        <f ca="1">IFERROR(__xludf.DUMMYFUNCTION("""COMPUTED_VALUE"""),"Lunch")</f>
        <v>Lunch</v>
      </c>
      <c r="T51" s="10">
        <f ca="1">IFERROR(__xludf.DUMMYFUNCTION("""COMPUTED_VALUE"""),0.520833333333333)</f>
        <v>0.52083333333333304</v>
      </c>
      <c r="U51" s="5">
        <f ca="1">IFERROR(__xludf.DUMMYFUNCTION("""COMPUTED_VALUE"""),1)</f>
        <v>1</v>
      </c>
      <c r="V51" s="5" t="str">
        <f ca="1">IFERROR(__xludf.DUMMYFUNCTION("""COMPUTED_VALUE"""),"Shot fired during fight inside the school, shooter fled")</f>
        <v>Shot fired during fight inside the school, shooter fled</v>
      </c>
      <c r="W51"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X51" s="5" t="str">
        <f ca="1">IFERROR(__xludf.DUMMYFUNCTION("""COMPUTED_VALUE"""),"Escalation of Dispute")</f>
        <v>Escalation of Dispute</v>
      </c>
      <c r="Y51" s="5"/>
      <c r="Z51" s="5" t="str">
        <f ca="1">IFERROR(__xludf.DUMMYFUNCTION("""COMPUTED_VALUE"""),"No")</f>
        <v>No</v>
      </c>
      <c r="AA51" s="5"/>
      <c r="AB51" s="5" t="str">
        <f ca="1">IFERROR(__xludf.DUMMYFUNCTION("""COMPUTED_VALUE"""),"No")</f>
        <v>No</v>
      </c>
      <c r="AC51" s="5" t="str">
        <f ca="1">IFERROR(__xludf.DUMMYFUNCTION("""COMPUTED_VALUE"""),"No")</f>
        <v>No</v>
      </c>
      <c r="AD51" s="5" t="str">
        <f ca="1">IFERROR(__xludf.DUMMYFUNCTION("""COMPUTED_VALUE"""),"No")</f>
        <v>No</v>
      </c>
      <c r="AE51" s="5"/>
      <c r="AF51" s="5" t="str">
        <f ca="1">IFERROR(__xludf.DUMMYFUNCTION("""COMPUTED_VALUE"""),"No")</f>
        <v>No</v>
      </c>
      <c r="AG51" s="5"/>
      <c r="AH51" s="5" t="str">
        <f ca="1">IFERROR(__xludf.DUMMYFUNCTION("""COMPUTED_VALUE"""),"No")</f>
        <v>No</v>
      </c>
    </row>
    <row r="52" spans="1:34" ht="12.75">
      <c r="A52" s="5" t="str">
        <f ca="1">IFERROR(__xludf.DUMMYFUNCTION("""COMPUTED_VALUE"""),"20220524TXROU")</f>
        <v>20220524TXROU</v>
      </c>
      <c r="B52" s="8">
        <f ca="1">IFERROR(__xludf.DUMMYFUNCTION("""COMPUTED_VALUE"""),44705)</f>
        <v>44705</v>
      </c>
      <c r="C52" s="5" t="str">
        <f ca="1">IFERROR(__xludf.DUMMYFUNCTION("""COMPUTED_VALUE"""),"Robb Elementary School")</f>
        <v>Robb Elementary School</v>
      </c>
      <c r="D52" s="5">
        <f ca="1">IFERROR(__xludf.DUMMYFUNCTION("""COMPUTED_VALUE"""),21)</f>
        <v>21</v>
      </c>
      <c r="E52" s="5">
        <f ca="1">IFERROR(__xludf.DUMMYFUNCTION("""COMPUTED_VALUE"""),18)</f>
        <v>18</v>
      </c>
      <c r="F52" s="5">
        <f ca="1">IFERROR(__xludf.DUMMYFUNCTION("""COMPUTED_VALUE"""),39)</f>
        <v>39</v>
      </c>
      <c r="G52" s="5">
        <f ca="1">IFERROR(__xludf.DUMMYFUNCTION("""COMPUTED_VALUE"""),1)</f>
        <v>1</v>
      </c>
      <c r="H52"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I52" s="5">
        <f ca="1">IFERROR(__xludf.DUMMYFUNCTION("""COMPUTED_VALUE"""),999)</f>
        <v>999</v>
      </c>
      <c r="J52" s="5" t="str">
        <f ca="1">IFERROR(__xludf.DUMMYFUNCTION("""COMPUTED_VALUE"""),"International")</f>
        <v>International</v>
      </c>
      <c r="K52" s="5">
        <f ca="1">IFERROR(__xludf.DUMMYFUNCTION("""COMPUTED_VALUE"""),4)</f>
        <v>4</v>
      </c>
      <c r="L52" s="5" t="str">
        <f ca="1">IFERROR(__xludf.DUMMYFUNCTION("""COMPUTED_VALUE"""),"Spring")</f>
        <v>Spring</v>
      </c>
      <c r="M52" s="5" t="str">
        <f ca="1">IFERROR(__xludf.DUMMYFUNCTION("""COMPUTED_VALUE"""),"Uvalde")</f>
        <v>Uvalde</v>
      </c>
      <c r="N52" s="5" t="str">
        <f ca="1">IFERROR(__xludf.DUMMYFUNCTION("""COMPUTED_VALUE"""),"TX")</f>
        <v>TX</v>
      </c>
      <c r="O52" s="5" t="str">
        <f ca="1">IFERROR(__xludf.DUMMYFUNCTION("""COMPUTED_VALUE"""),"Elementary")</f>
        <v>Elementary</v>
      </c>
      <c r="P52" s="5" t="str">
        <f ca="1">IFERROR(__xludf.DUMMYFUNCTION("""COMPUTED_VALUE"""),"Inside School Building")</f>
        <v>Inside School Building</v>
      </c>
      <c r="Q52" s="5" t="str">
        <f ca="1">IFERROR(__xludf.DUMMYFUNCTION("""COMPUTED_VALUE"""),"Inside School Building")</f>
        <v>Inside School Building</v>
      </c>
      <c r="R52" s="5" t="str">
        <f ca="1">IFERROR(__xludf.DUMMYFUNCTION("""COMPUTED_VALUE"""),"Yes")</f>
        <v>Yes</v>
      </c>
      <c r="S52" s="5" t="str">
        <f ca="1">IFERROR(__xludf.DUMMYFUNCTION("""COMPUTED_VALUE"""),"Morning Classes")</f>
        <v>Morning Classes</v>
      </c>
      <c r="T52" s="10">
        <f ca="1">IFERROR(__xludf.DUMMYFUNCTION("""COMPUTED_VALUE"""),0.479166666666666)</f>
        <v>0.47916666666666602</v>
      </c>
      <c r="U52" s="5">
        <f ca="1">IFERROR(__xludf.DUMMYFUNCTION("""COMPUTED_VALUE"""),90)</f>
        <v>90</v>
      </c>
      <c r="V52" s="5" t="str">
        <f ca="1">IFERROR(__xludf.DUMMYFUNCTION("""COMPUTED_VALUE"""),"Indiscriminate attack at school")</f>
        <v>Indiscriminate attack at school</v>
      </c>
      <c r="W52" s="5" t="str">
        <f ca="1">IFERROR(__xludf.DUMMYFUNCTION("""COMPUTED_VALUE"""),"Pending")</f>
        <v>Pending</v>
      </c>
      <c r="X52" s="5" t="str">
        <f ca="1">IFERROR(__xludf.DUMMYFUNCTION("""COMPUTED_VALUE"""),"Indiscriminate Shooting")</f>
        <v>Indiscriminate Shooting</v>
      </c>
      <c r="Y52" s="5" t="str">
        <f ca="1">IFERROR(__xludf.DUMMYFUNCTION("""COMPUTED_VALUE"""),"Random Shooting")</f>
        <v>Random Shooting</v>
      </c>
      <c r="Z52" s="5" t="str">
        <f ca="1">IFERROR(__xludf.DUMMYFUNCTION("""COMPUTED_VALUE"""),"No")</f>
        <v>No</v>
      </c>
      <c r="AA52" s="5"/>
      <c r="AB52" s="5" t="str">
        <f ca="1">IFERROR(__xludf.DUMMYFUNCTION("""COMPUTED_VALUE"""),"No")</f>
        <v>No</v>
      </c>
      <c r="AC52" s="5" t="str">
        <f ca="1">IFERROR(__xludf.DUMMYFUNCTION("""COMPUTED_VALUE"""),"Yes")</f>
        <v>Yes</v>
      </c>
      <c r="AD52" s="5" t="str">
        <f ca="1">IFERROR(__xludf.DUMMYFUNCTION("""COMPUTED_VALUE"""),"No")</f>
        <v>No</v>
      </c>
      <c r="AE52" s="5"/>
      <c r="AF52" s="5"/>
      <c r="AG52" s="5" t="str">
        <f ca="1">IFERROR(__xludf.DUMMYFUNCTION("""COMPUTED_VALUE"""),"No")</f>
        <v>No</v>
      </c>
      <c r="AH52" s="5" t="str">
        <f ca="1">IFERROR(__xludf.DUMMYFUNCTION("""COMPUTED_VALUE"""),"Yes")</f>
        <v>Yes</v>
      </c>
    </row>
    <row r="53" spans="1:34" ht="12.75">
      <c r="A53" s="5" t="str">
        <f ca="1">IFERROR(__xludf.DUMMYFUNCTION("""COMPUTED_VALUE"""),"20220524DCPOW")</f>
        <v>20220524DCPOW</v>
      </c>
      <c r="B53" s="8">
        <f ca="1">IFERROR(__xludf.DUMMYFUNCTION("""COMPUTED_VALUE"""),44705)</f>
        <v>44705</v>
      </c>
      <c r="C53" s="5" t="str">
        <f ca="1">IFERROR(__xludf.DUMMYFUNCTION("""COMPUTED_VALUE"""),"Powell Elementary School")</f>
        <v>Powell Elementary School</v>
      </c>
      <c r="D53" s="5">
        <f ca="1">IFERROR(__xludf.DUMMYFUNCTION("""COMPUTED_VALUE"""),0)</f>
        <v>0</v>
      </c>
      <c r="E53" s="5">
        <f ca="1">IFERROR(__xludf.DUMMYFUNCTION("""COMPUTED_VALUE"""),1)</f>
        <v>1</v>
      </c>
      <c r="F53" s="5">
        <f ca="1">IFERROR(__xludf.DUMMYFUNCTION("""COMPUTED_VALUE"""),1)</f>
        <v>1</v>
      </c>
      <c r="G53" s="5">
        <f ca="1">IFERROR(__xludf.DUMMYFUNCTION("""COMPUTED_VALUE"""),0)</f>
        <v>0</v>
      </c>
      <c r="H53"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I53" s="5">
        <f ca="1">IFERROR(__xludf.DUMMYFUNCTION("""COMPUTED_VALUE"""),2)</f>
        <v>2</v>
      </c>
      <c r="J53" s="5" t="str">
        <f ca="1">IFERROR(__xludf.DUMMYFUNCTION("""COMPUTED_VALUE"""),"Local")</f>
        <v>Local</v>
      </c>
      <c r="K53" s="5">
        <f ca="1">IFERROR(__xludf.DUMMYFUNCTION("""COMPUTED_VALUE"""),3)</f>
        <v>3</v>
      </c>
      <c r="L53" s="5" t="str">
        <f ca="1">IFERROR(__xludf.DUMMYFUNCTION("""COMPUTED_VALUE"""),"Spring")</f>
        <v>Spring</v>
      </c>
      <c r="M53" s="5" t="str">
        <f ca="1">IFERROR(__xludf.DUMMYFUNCTION("""COMPUTED_VALUE"""),"Washington")</f>
        <v>Washington</v>
      </c>
      <c r="N53" s="5" t="str">
        <f ca="1">IFERROR(__xludf.DUMMYFUNCTION("""COMPUTED_VALUE"""),"DC")</f>
        <v>DC</v>
      </c>
      <c r="O53" s="5" t="str">
        <f ca="1">IFERROR(__xludf.DUMMYFUNCTION("""COMPUTED_VALUE"""),"Elementary")</f>
        <v>Elementary</v>
      </c>
      <c r="P53" s="5" t="str">
        <f ca="1">IFERROR(__xludf.DUMMYFUNCTION("""COMPUTED_VALUE"""),"Front of School")</f>
        <v>Front of School</v>
      </c>
      <c r="Q53" s="5" t="str">
        <f ca="1">IFERROR(__xludf.DUMMYFUNCTION("""COMPUTED_VALUE"""),"Outside on School Property")</f>
        <v>Outside on School Property</v>
      </c>
      <c r="R53" s="5" t="str">
        <f ca="1">IFERROR(__xludf.DUMMYFUNCTION("""COMPUTED_VALUE"""),"No")</f>
        <v>No</v>
      </c>
      <c r="S53" s="5" t="str">
        <f ca="1">IFERROR(__xludf.DUMMYFUNCTION("""COMPUTED_VALUE"""),"After School")</f>
        <v>After School</v>
      </c>
      <c r="T53" s="10">
        <f ca="1">IFERROR(__xludf.DUMMYFUNCTION("""COMPUTED_VALUE"""),0.677083333333333)</f>
        <v>0.67708333333333304</v>
      </c>
      <c r="U53" s="5">
        <f ca="1">IFERROR(__xludf.DUMMYFUNCTION("""COMPUTED_VALUE"""),1)</f>
        <v>1</v>
      </c>
      <c r="V53" s="5" t="str">
        <f ca="1">IFERROR(__xludf.DUMMYFUNCTION("""COMPUTED_VALUE"""),"Teen shot in front of the school")</f>
        <v>Teen shot in front of the school</v>
      </c>
      <c r="W53"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X53" s="5" t="str">
        <f ca="1">IFERROR(__xludf.DUMMYFUNCTION("""COMPUTED_VALUE"""),"Escalation of Dispute")</f>
        <v>Escalation of Dispute</v>
      </c>
      <c r="Y53" s="5" t="str">
        <f ca="1">IFERROR(__xludf.DUMMYFUNCTION("""COMPUTED_VALUE"""),"Victims Targeted")</f>
        <v>Victims Targeted</v>
      </c>
      <c r="Z53" s="5" t="str">
        <f ca="1">IFERROR(__xludf.DUMMYFUNCTION("""COMPUTED_VALUE"""),"No")</f>
        <v>No</v>
      </c>
      <c r="AA53" s="5"/>
      <c r="AB53" s="5" t="str">
        <f ca="1">IFERROR(__xludf.DUMMYFUNCTION("""COMPUTED_VALUE"""),"No")</f>
        <v>No</v>
      </c>
      <c r="AC53" s="5" t="str">
        <f ca="1">IFERROR(__xludf.DUMMYFUNCTION("""COMPUTED_VALUE"""),"No")</f>
        <v>No</v>
      </c>
      <c r="AD53" s="5" t="str">
        <f ca="1">IFERROR(__xludf.DUMMYFUNCTION("""COMPUTED_VALUE"""),"No")</f>
        <v>No</v>
      </c>
      <c r="AE53" s="5" t="str">
        <f ca="1">IFERROR(__xludf.DUMMYFUNCTION("""COMPUTED_VALUE"""),"No")</f>
        <v>No</v>
      </c>
      <c r="AF53" s="5" t="str">
        <f ca="1">IFERROR(__xludf.DUMMYFUNCTION("""COMPUTED_VALUE"""),"No")</f>
        <v>No</v>
      </c>
      <c r="AG53" s="5"/>
      <c r="AH53" s="5" t="str">
        <f ca="1">IFERROR(__xludf.DUMMYFUNCTION("""COMPUTED_VALUE"""),"No")</f>
        <v>No</v>
      </c>
    </row>
    <row r="54" spans="1:34" ht="12.75">
      <c r="A54" s="5" t="str">
        <f ca="1">IFERROR(__xludf.DUMMYFUNCTION("""COMPUTED_VALUE"""),"20220523PASIP")</f>
        <v>20220523PASIP</v>
      </c>
      <c r="B54" s="8">
        <f ca="1">IFERROR(__xludf.DUMMYFUNCTION("""COMPUTED_VALUE"""),44704)</f>
        <v>44704</v>
      </c>
      <c r="C54" s="5" t="str">
        <f ca="1">IFERROR(__xludf.DUMMYFUNCTION("""COMPUTED_VALUE"""),"Simon Gratz High School")</f>
        <v>Simon Gratz High School</v>
      </c>
      <c r="D54" s="5">
        <f ca="1">IFERROR(__xludf.DUMMYFUNCTION("""COMPUTED_VALUE"""),0)</f>
        <v>0</v>
      </c>
      <c r="E54" s="5">
        <f ca="1">IFERROR(__xludf.DUMMYFUNCTION("""COMPUTED_VALUE"""),3)</f>
        <v>3</v>
      </c>
      <c r="F54" s="5">
        <f ca="1">IFERROR(__xludf.DUMMYFUNCTION("""COMPUTED_VALUE"""),3)</f>
        <v>3</v>
      </c>
      <c r="G54" s="5">
        <f ca="1">IFERROR(__xludf.DUMMYFUNCTION("""COMPUTED_VALUE"""),0)</f>
        <v>0</v>
      </c>
      <c r="H54"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I54" s="5">
        <f ca="1">IFERROR(__xludf.DUMMYFUNCTION("""COMPUTED_VALUE"""),20)</f>
        <v>20</v>
      </c>
      <c r="J54" s="5" t="str">
        <f ca="1">IFERROR(__xludf.DUMMYFUNCTION("""COMPUTED_VALUE"""),"Regional")</f>
        <v>Regional</v>
      </c>
      <c r="K54" s="5">
        <f ca="1">IFERROR(__xludf.DUMMYFUNCTION("""COMPUTED_VALUE"""),4)</f>
        <v>4</v>
      </c>
      <c r="L54" s="5" t="str">
        <f ca="1">IFERROR(__xludf.DUMMYFUNCTION("""COMPUTED_VALUE"""),"Spring")</f>
        <v>Spring</v>
      </c>
      <c r="M54" s="5" t="str">
        <f ca="1">IFERROR(__xludf.DUMMYFUNCTION("""COMPUTED_VALUE"""),"Philadelphia")</f>
        <v>Philadelphia</v>
      </c>
      <c r="N54" s="5" t="str">
        <f ca="1">IFERROR(__xludf.DUMMYFUNCTION("""COMPUTED_VALUE"""),"PA")</f>
        <v>PA</v>
      </c>
      <c r="O54" s="5" t="str">
        <f ca="1">IFERROR(__xludf.DUMMYFUNCTION("""COMPUTED_VALUE"""),"High")</f>
        <v>High</v>
      </c>
      <c r="P54" s="5" t="str">
        <f ca="1">IFERROR(__xludf.DUMMYFUNCTION("""COMPUTED_VALUE"""),"Front of School")</f>
        <v>Front of School</v>
      </c>
      <c r="Q54" s="5" t="str">
        <f ca="1">IFERROR(__xludf.DUMMYFUNCTION("""COMPUTED_VALUE"""),"Outside on School Property")</f>
        <v>Outside on School Property</v>
      </c>
      <c r="R54" s="5" t="str">
        <f ca="1">IFERROR(__xludf.DUMMYFUNCTION("""COMPUTED_VALUE"""),"Yes")</f>
        <v>Yes</v>
      </c>
      <c r="S54" s="5" t="str">
        <f ca="1">IFERROR(__xludf.DUMMYFUNCTION("""COMPUTED_VALUE"""),"Dismissal")</f>
        <v>Dismissal</v>
      </c>
      <c r="T54" s="10">
        <f ca="1">IFERROR(__xludf.DUMMYFUNCTION("""COMPUTED_VALUE"""),0.614583333333333)</f>
        <v>0.61458333333333304</v>
      </c>
      <c r="U54" s="5">
        <f ca="1">IFERROR(__xludf.DUMMYFUNCTION("""COMPUTED_VALUE"""),1)</f>
        <v>1</v>
      </c>
      <c r="V54" s="5" t="str">
        <f ca="1">IFERROR(__xludf.DUMMYFUNCTION("""COMPUTED_VALUE"""),"Three teen students shot at dismissal")</f>
        <v>Three teen students shot at dismissal</v>
      </c>
      <c r="W54"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X54" s="5" t="str">
        <f ca="1">IFERROR(__xludf.DUMMYFUNCTION("""COMPUTED_VALUE"""),"Drive-by Shooting")</f>
        <v>Drive-by Shooting</v>
      </c>
      <c r="Y54" s="5" t="str">
        <f ca="1">IFERROR(__xludf.DUMMYFUNCTION("""COMPUTED_VALUE"""),"Both")</f>
        <v>Both</v>
      </c>
      <c r="Z54" s="5"/>
      <c r="AA54" s="5"/>
      <c r="AB54" s="5" t="str">
        <f ca="1">IFERROR(__xludf.DUMMYFUNCTION("""COMPUTED_VALUE"""),"No")</f>
        <v>No</v>
      </c>
      <c r="AC54" s="5" t="str">
        <f ca="1">IFERROR(__xludf.DUMMYFUNCTION("""COMPUTED_VALUE"""),"No")</f>
        <v>No</v>
      </c>
      <c r="AD54" s="5" t="str">
        <f ca="1">IFERROR(__xludf.DUMMYFUNCTION("""COMPUTED_VALUE"""),"No")</f>
        <v>No</v>
      </c>
      <c r="AE54" s="5" t="str">
        <f ca="1">IFERROR(__xludf.DUMMYFUNCTION("""COMPUTED_VALUE"""),"No")</f>
        <v>No</v>
      </c>
      <c r="AF54" s="5" t="str">
        <f ca="1">IFERROR(__xludf.DUMMYFUNCTION("""COMPUTED_VALUE"""),"No")</f>
        <v>No</v>
      </c>
      <c r="AG54" s="5"/>
      <c r="AH54" s="5" t="str">
        <f ca="1">IFERROR(__xludf.DUMMYFUNCTION("""COMPUTED_VALUE"""),"No")</f>
        <v>No</v>
      </c>
    </row>
    <row r="55" spans="1:34" ht="12.75">
      <c r="A55" s="5" t="str">
        <f ca="1">IFERROR(__xludf.DUMMYFUNCTION("""COMPUTED_VALUE"""),"20220520VAPOD")</f>
        <v>20220520VAPOD</v>
      </c>
      <c r="B55" s="8">
        <f ca="1">IFERROR(__xludf.DUMMYFUNCTION("""COMPUTED_VALUE"""),44701)</f>
        <v>44701</v>
      </c>
      <c r="C55" s="5" t="str">
        <f ca="1">IFERROR(__xludf.DUMMYFUNCTION("""COMPUTED_VALUE"""),"Potomac High School")</f>
        <v>Potomac High School</v>
      </c>
      <c r="D55" s="5">
        <f ca="1">IFERROR(__xludf.DUMMYFUNCTION("""COMPUTED_VALUE"""),0)</f>
        <v>0</v>
      </c>
      <c r="E55" s="5">
        <f ca="1">IFERROR(__xludf.DUMMYFUNCTION("""COMPUTED_VALUE"""),0)</f>
        <v>0</v>
      </c>
      <c r="F55" s="5">
        <f ca="1">IFERROR(__xludf.DUMMYFUNCTION("""COMPUTED_VALUE"""),0)</f>
        <v>0</v>
      </c>
      <c r="G55" s="5">
        <f ca="1">IFERROR(__xludf.DUMMYFUNCTION("""COMPUTED_VALUE"""),0)</f>
        <v>0</v>
      </c>
      <c r="H55"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I55" s="5">
        <f ca="1">IFERROR(__xludf.DUMMYFUNCTION("""COMPUTED_VALUE"""),1)</f>
        <v>1</v>
      </c>
      <c r="J55" s="5" t="str">
        <f ca="1">IFERROR(__xludf.DUMMYFUNCTION("""COMPUTED_VALUE"""),"Local")</f>
        <v>Local</v>
      </c>
      <c r="K55" s="5">
        <f ca="1">IFERROR(__xludf.DUMMYFUNCTION("""COMPUTED_VALUE"""),3)</f>
        <v>3</v>
      </c>
      <c r="L55" s="5" t="str">
        <f ca="1">IFERROR(__xludf.DUMMYFUNCTION("""COMPUTED_VALUE"""),"Spring")</f>
        <v>Spring</v>
      </c>
      <c r="M55" s="5" t="str">
        <f ca="1">IFERROR(__xludf.DUMMYFUNCTION("""COMPUTED_VALUE"""),"Dumfries")</f>
        <v>Dumfries</v>
      </c>
      <c r="N55" s="5" t="str">
        <f ca="1">IFERROR(__xludf.DUMMYFUNCTION("""COMPUTED_VALUE"""),"VA")</f>
        <v>VA</v>
      </c>
      <c r="O55" s="5" t="str">
        <f ca="1">IFERROR(__xludf.DUMMYFUNCTION("""COMPUTED_VALUE"""),"High")</f>
        <v>High</v>
      </c>
      <c r="P55" s="5" t="str">
        <f ca="1">IFERROR(__xludf.DUMMYFUNCTION("""COMPUTED_VALUE"""),"Bathroom")</f>
        <v>Bathroom</v>
      </c>
      <c r="Q55" s="5" t="str">
        <f ca="1">IFERROR(__xludf.DUMMYFUNCTION("""COMPUTED_VALUE"""),"Inside School Building")</f>
        <v>Inside School Building</v>
      </c>
      <c r="R55" s="5" t="str">
        <f ca="1">IFERROR(__xludf.DUMMYFUNCTION("""COMPUTED_VALUE"""),"Yes")</f>
        <v>Yes</v>
      </c>
      <c r="S55" s="5" t="str">
        <f ca="1">IFERROR(__xludf.DUMMYFUNCTION("""COMPUTED_VALUE"""),"Morning Classes")</f>
        <v>Morning Classes</v>
      </c>
      <c r="T55" s="10">
        <f ca="1">IFERROR(__xludf.DUMMYFUNCTION("""COMPUTED_VALUE"""),0.346527777777777)</f>
        <v>0.34652777777777699</v>
      </c>
      <c r="U55" s="5">
        <f ca="1">IFERROR(__xludf.DUMMYFUNCTION("""COMPUTED_VALUE"""),1)</f>
        <v>1</v>
      </c>
      <c r="V55" s="5" t="str">
        <f ca="1">IFERROR(__xludf.DUMMYFUNCTION("""COMPUTED_VALUE"""),"Student pointed gun at another student in bathroom, arrested by SRO with loaded weapon")</f>
        <v>Student pointed gun at another student in bathroom, arrested by SRO with loaded weapon</v>
      </c>
      <c r="W55"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X55" s="5"/>
      <c r="Y55" s="5" t="str">
        <f ca="1">IFERROR(__xludf.DUMMYFUNCTION("""COMPUTED_VALUE"""),"Victims Targeted")</f>
        <v>Victims Targeted</v>
      </c>
      <c r="Z55" s="5" t="str">
        <f ca="1">IFERROR(__xludf.DUMMYFUNCTION("""COMPUTED_VALUE"""),"No")</f>
        <v>No</v>
      </c>
      <c r="AA55" s="5"/>
      <c r="AB55" s="5" t="str">
        <f ca="1">IFERROR(__xludf.DUMMYFUNCTION("""COMPUTED_VALUE"""),"No")</f>
        <v>No</v>
      </c>
      <c r="AC55" s="5" t="str">
        <f ca="1">IFERROR(__xludf.DUMMYFUNCTION("""COMPUTED_VALUE"""),"No")</f>
        <v>No</v>
      </c>
      <c r="AD55" s="5" t="str">
        <f ca="1">IFERROR(__xludf.DUMMYFUNCTION("""COMPUTED_VALUE"""),"No")</f>
        <v>No</v>
      </c>
      <c r="AE55" s="5"/>
      <c r="AF55" s="5" t="str">
        <f ca="1">IFERROR(__xludf.DUMMYFUNCTION("""COMPUTED_VALUE"""),"No")</f>
        <v>No</v>
      </c>
      <c r="AG55" s="5"/>
      <c r="AH55" s="5" t="str">
        <f ca="1">IFERROR(__xludf.DUMMYFUNCTION("""COMPUTED_VALUE"""),"No")</f>
        <v>No</v>
      </c>
    </row>
    <row r="56" spans="1:34" ht="12.75">
      <c r="A56" s="5" t="str">
        <f ca="1">IFERROR(__xludf.DUMMYFUNCTION("""COMPUTED_VALUE"""),"20220520TNEAC")</f>
        <v>20220520TNEAC</v>
      </c>
      <c r="B56" s="8">
        <f ca="1">IFERROR(__xludf.DUMMYFUNCTION("""COMPUTED_VALUE"""),44701)</f>
        <v>44701</v>
      </c>
      <c r="C56" s="5" t="str">
        <f ca="1">IFERROR(__xludf.DUMMYFUNCTION("""COMPUTED_VALUE"""),"East Lake Elementary School")</f>
        <v>East Lake Elementary School</v>
      </c>
      <c r="D56" s="5">
        <f ca="1">IFERROR(__xludf.DUMMYFUNCTION("""COMPUTED_VALUE"""),1)</f>
        <v>1</v>
      </c>
      <c r="E56" s="5">
        <f ca="1">IFERROR(__xludf.DUMMYFUNCTION("""COMPUTED_VALUE"""),0)</f>
        <v>0</v>
      </c>
      <c r="F56" s="5">
        <f ca="1">IFERROR(__xludf.DUMMYFUNCTION("""COMPUTED_VALUE"""),1)</f>
        <v>1</v>
      </c>
      <c r="G56" s="5">
        <f ca="1">IFERROR(__xludf.DUMMYFUNCTION("""COMPUTED_VALUE"""),0)</f>
        <v>0</v>
      </c>
      <c r="H56"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I56" s="5">
        <f ca="1">IFERROR(__xludf.DUMMYFUNCTION("""COMPUTED_VALUE"""),1)</f>
        <v>1</v>
      </c>
      <c r="J56" s="5" t="str">
        <f ca="1">IFERROR(__xludf.DUMMYFUNCTION("""COMPUTED_VALUE"""),"Local")</f>
        <v>Local</v>
      </c>
      <c r="K56" s="5">
        <f ca="1">IFERROR(__xludf.DUMMYFUNCTION("""COMPUTED_VALUE"""),3)</f>
        <v>3</v>
      </c>
      <c r="L56" s="5" t="str">
        <f ca="1">IFERROR(__xludf.DUMMYFUNCTION("""COMPUTED_VALUE"""),"Fall")</f>
        <v>Fall</v>
      </c>
      <c r="M56" s="5" t="str">
        <f ca="1">IFERROR(__xludf.DUMMYFUNCTION("""COMPUTED_VALUE"""),"Chattanooga")</f>
        <v>Chattanooga</v>
      </c>
      <c r="N56" s="5" t="str">
        <f ca="1">IFERROR(__xludf.DUMMYFUNCTION("""COMPUTED_VALUE"""),"TN")</f>
        <v>TN</v>
      </c>
      <c r="O56" s="5" t="str">
        <f ca="1">IFERROR(__xludf.DUMMYFUNCTION("""COMPUTED_VALUE"""),"Elementary")</f>
        <v>Elementary</v>
      </c>
      <c r="P56" s="5" t="str">
        <f ca="1">IFERROR(__xludf.DUMMYFUNCTION("""COMPUTED_VALUE"""),"Outside on School Property")</f>
        <v>Outside on School Property</v>
      </c>
      <c r="Q56" s="5" t="str">
        <f ca="1">IFERROR(__xludf.DUMMYFUNCTION("""COMPUTED_VALUE"""),"Outside on School Property")</f>
        <v>Outside on School Property</v>
      </c>
      <c r="R56" s="5" t="str">
        <f ca="1">IFERROR(__xludf.DUMMYFUNCTION("""COMPUTED_VALUE"""),"No")</f>
        <v>No</v>
      </c>
      <c r="S56" s="5" t="str">
        <f ca="1">IFERROR(__xludf.DUMMYFUNCTION("""COMPUTED_VALUE"""),"Before School")</f>
        <v>Before School</v>
      </c>
      <c r="T56" s="10">
        <f ca="1">IFERROR(__xludf.DUMMYFUNCTION("""COMPUTED_VALUE"""),0.208333333333333)</f>
        <v>0.20833333333333301</v>
      </c>
      <c r="U56" s="5">
        <f ca="1">IFERROR(__xludf.DUMMYFUNCTION("""COMPUTED_VALUE"""),1)</f>
        <v>1</v>
      </c>
      <c r="V56" s="5" t="str">
        <f ca="1">IFERROR(__xludf.DUMMYFUNCTION("""COMPUTED_VALUE"""),"Man fatally shot on school property")</f>
        <v>Man fatally shot on school property</v>
      </c>
      <c r="W56"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X56" s="5"/>
      <c r="Y56" s="5" t="str">
        <f ca="1">IFERROR(__xludf.DUMMYFUNCTION("""COMPUTED_VALUE"""),"Victims Targeted")</f>
        <v>Victims Targeted</v>
      </c>
      <c r="Z56" s="5" t="str">
        <f ca="1">IFERROR(__xludf.DUMMYFUNCTION("""COMPUTED_VALUE"""),"No")</f>
        <v>No</v>
      </c>
      <c r="AA56" s="5"/>
      <c r="AB56" s="5" t="str">
        <f ca="1">IFERROR(__xludf.DUMMYFUNCTION("""COMPUTED_VALUE"""),"No")</f>
        <v>No</v>
      </c>
      <c r="AC56" s="5" t="str">
        <f ca="1">IFERROR(__xludf.DUMMYFUNCTION("""COMPUTED_VALUE"""),"No")</f>
        <v>No</v>
      </c>
      <c r="AD56" s="5" t="str">
        <f ca="1">IFERROR(__xludf.DUMMYFUNCTION("""COMPUTED_VALUE"""),"No")</f>
        <v>No</v>
      </c>
      <c r="AE56" s="5" t="str">
        <f ca="1">IFERROR(__xludf.DUMMYFUNCTION("""COMPUTED_VALUE"""),"No")</f>
        <v>No</v>
      </c>
      <c r="AF56" s="5"/>
      <c r="AG56" s="5"/>
      <c r="AH56" s="5" t="str">
        <f ca="1">IFERROR(__xludf.DUMMYFUNCTION("""COMPUTED_VALUE"""),"No")</f>
        <v>No</v>
      </c>
    </row>
    <row r="57" spans="1:34" ht="12.75">
      <c r="A57" s="5" t="str">
        <f ca="1">IFERROR(__xludf.DUMMYFUNCTION("""COMPUTED_VALUE"""),"20220520OHCAC")</f>
        <v>20220520OHCAC</v>
      </c>
      <c r="B57" s="8">
        <f ca="1">IFERROR(__xludf.DUMMYFUNCTION("""COMPUTED_VALUE"""),44701)</f>
        <v>44701</v>
      </c>
      <c r="C57" s="5" t="str">
        <f ca="1">IFERROR(__xludf.DUMMYFUNCTION("""COMPUTED_VALUE"""),"Canal Winchester High School")</f>
        <v>Canal Winchester High School</v>
      </c>
      <c r="D57" s="5">
        <f ca="1">IFERROR(__xludf.DUMMYFUNCTION("""COMPUTED_VALUE"""),0)</f>
        <v>0</v>
      </c>
      <c r="E57" s="5">
        <f ca="1">IFERROR(__xludf.DUMMYFUNCTION("""COMPUTED_VALUE"""),0)</f>
        <v>0</v>
      </c>
      <c r="F57" s="5">
        <f ca="1">IFERROR(__xludf.DUMMYFUNCTION("""COMPUTED_VALUE"""),0)</f>
        <v>0</v>
      </c>
      <c r="G57" s="5">
        <f ca="1">IFERROR(__xludf.DUMMYFUNCTION("""COMPUTED_VALUE"""),0)</f>
        <v>0</v>
      </c>
      <c r="H57"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I57" s="5">
        <f ca="1">IFERROR(__xludf.DUMMYFUNCTION("""COMPUTED_VALUE"""),2)</f>
        <v>2</v>
      </c>
      <c r="J57" s="5" t="str">
        <f ca="1">IFERROR(__xludf.DUMMYFUNCTION("""COMPUTED_VALUE"""),"Local")</f>
        <v>Local</v>
      </c>
      <c r="K57" s="5">
        <f ca="1">IFERROR(__xludf.DUMMYFUNCTION("""COMPUTED_VALUE"""),4)</f>
        <v>4</v>
      </c>
      <c r="L57" s="5" t="str">
        <f ca="1">IFERROR(__xludf.DUMMYFUNCTION("""COMPUTED_VALUE"""),"Spring")</f>
        <v>Spring</v>
      </c>
      <c r="M57" s="5" t="str">
        <f ca="1">IFERROR(__xludf.DUMMYFUNCTION("""COMPUTED_VALUE"""),"Canal Winchester")</f>
        <v>Canal Winchester</v>
      </c>
      <c r="N57" s="5" t="str">
        <f ca="1">IFERROR(__xludf.DUMMYFUNCTION("""COMPUTED_VALUE"""),"OH")</f>
        <v>OH</v>
      </c>
      <c r="O57" s="5" t="str">
        <f ca="1">IFERROR(__xludf.DUMMYFUNCTION("""COMPUTED_VALUE"""),"High")</f>
        <v>High</v>
      </c>
      <c r="P57" s="5" t="str">
        <f ca="1">IFERROR(__xludf.DUMMYFUNCTION("""COMPUTED_VALUE"""),"School Bus")</f>
        <v>School Bus</v>
      </c>
      <c r="Q57" s="5" t="str">
        <f ca="1">IFERROR(__xludf.DUMMYFUNCTION("""COMPUTED_VALUE"""),"School Bus")</f>
        <v>School Bus</v>
      </c>
      <c r="R57" s="5" t="str">
        <f ca="1">IFERROR(__xludf.DUMMYFUNCTION("""COMPUTED_VALUE"""),"Yes")</f>
        <v>Yes</v>
      </c>
      <c r="S57" s="5" t="str">
        <f ca="1">IFERROR(__xludf.DUMMYFUNCTION("""COMPUTED_VALUE"""),"Dismissal")</f>
        <v>Dismissal</v>
      </c>
      <c r="T57" s="10">
        <f ca="1">IFERROR(__xludf.DUMMYFUNCTION("""COMPUTED_VALUE"""),0.625)</f>
        <v>0.625</v>
      </c>
      <c r="U57" s="5">
        <f ca="1">IFERROR(__xludf.DUMMYFUNCTION("""COMPUTED_VALUE"""),1)</f>
        <v>1</v>
      </c>
      <c r="V57" s="5" t="str">
        <f ca="1">IFERROR(__xludf.DUMMYFUNCTION("""COMPUTED_VALUE"""),"Teen shot school bus driver 3 times with BB gun")</f>
        <v>Teen shot school bus driver 3 times with BB gun</v>
      </c>
      <c r="W57"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X57" s="5"/>
      <c r="Y57" s="5" t="str">
        <f ca="1">IFERROR(__xludf.DUMMYFUNCTION("""COMPUTED_VALUE"""),"Victims Targeted")</f>
        <v>Victims Targeted</v>
      </c>
      <c r="Z57" s="5" t="str">
        <f ca="1">IFERROR(__xludf.DUMMYFUNCTION("""COMPUTED_VALUE"""),"No")</f>
        <v>No</v>
      </c>
      <c r="AA57" s="5"/>
      <c r="AB57" s="5" t="str">
        <f ca="1">IFERROR(__xludf.DUMMYFUNCTION("""COMPUTED_VALUE"""),"No")</f>
        <v>No</v>
      </c>
      <c r="AC57" s="5" t="str">
        <f ca="1">IFERROR(__xludf.DUMMYFUNCTION("""COMPUTED_VALUE"""),"No")</f>
        <v>No</v>
      </c>
      <c r="AD57" s="5" t="str">
        <f ca="1">IFERROR(__xludf.DUMMYFUNCTION("""COMPUTED_VALUE"""),"No")</f>
        <v>No</v>
      </c>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row>
    <row r="58" spans="1:34" ht="12.75">
      <c r="A58" s="5" t="str">
        <f ca="1">IFERROR(__xludf.DUMMYFUNCTION("""COMPUTED_VALUE"""),"20220520ILSOP")</f>
        <v>20220520ILSOP</v>
      </c>
      <c r="B58" s="8">
        <f ca="1">IFERROR(__xludf.DUMMYFUNCTION("""COMPUTED_VALUE"""),44701)</f>
        <v>44701</v>
      </c>
      <c r="C58" s="5" t="str">
        <f ca="1">IFERROR(__xludf.DUMMYFUNCTION("""COMPUTED_VALUE"""),"South Elementary School")</f>
        <v>South Elementary School</v>
      </c>
      <c r="D58" s="5">
        <f ca="1">IFERROR(__xludf.DUMMYFUNCTION("""COMPUTED_VALUE"""),0)</f>
        <v>0</v>
      </c>
      <c r="E58" s="5">
        <f ca="1">IFERROR(__xludf.DUMMYFUNCTION("""COMPUTED_VALUE"""),0)</f>
        <v>0</v>
      </c>
      <c r="F58" s="5">
        <f ca="1">IFERROR(__xludf.DUMMYFUNCTION("""COMPUTED_VALUE"""),0)</f>
        <v>0</v>
      </c>
      <c r="G58" s="5">
        <f ca="1">IFERROR(__xludf.DUMMYFUNCTION("""COMPUTED_VALUE"""),0)</f>
        <v>0</v>
      </c>
      <c r="H58" s="9" t="str">
        <f ca="1">IFERROR(__xludf.DUMMYFUNCTION("""COMPUTED_VALUE"""),"https://www.myjournalcourier.com/news/article/Hallucinating-woman-arrested-after-shot-fired-17188158.php")</f>
        <v>https://www.myjournalcourier.com/news/article/Hallucinating-woman-arrested-after-shot-fired-17188158.php</v>
      </c>
      <c r="I58" s="5">
        <f ca="1">IFERROR(__xludf.DUMMYFUNCTION("""COMPUTED_VALUE"""),1)</f>
        <v>1</v>
      </c>
      <c r="J58" s="5" t="str">
        <f ca="1">IFERROR(__xludf.DUMMYFUNCTION("""COMPUTED_VALUE"""),"Local")</f>
        <v>Local</v>
      </c>
      <c r="K58" s="5">
        <f ca="1">IFERROR(__xludf.DUMMYFUNCTION("""COMPUTED_VALUE"""),3)</f>
        <v>3</v>
      </c>
      <c r="L58" s="5" t="str">
        <f ca="1">IFERROR(__xludf.DUMMYFUNCTION("""COMPUTED_VALUE"""),"Spring")</f>
        <v>Spring</v>
      </c>
      <c r="M58" s="5" t="str">
        <f ca="1">IFERROR(__xludf.DUMMYFUNCTION("""COMPUTED_VALUE"""),"Pittsfield")</f>
        <v>Pittsfield</v>
      </c>
      <c r="N58" s="5" t="str">
        <f ca="1">IFERROR(__xludf.DUMMYFUNCTION("""COMPUTED_VALUE"""),"IL")</f>
        <v>IL</v>
      </c>
      <c r="O58" s="5" t="str">
        <f ca="1">IFERROR(__xludf.DUMMYFUNCTION("""COMPUTED_VALUE"""),"Elementary")</f>
        <v>Elementary</v>
      </c>
      <c r="P58" s="5" t="str">
        <f ca="1">IFERROR(__xludf.DUMMYFUNCTION("""COMPUTED_VALUE"""),"Outside on School Property")</f>
        <v>Outside on School Property</v>
      </c>
      <c r="Q58" s="5" t="str">
        <f ca="1">IFERROR(__xludf.DUMMYFUNCTION("""COMPUTED_VALUE"""),"Outside on School Property")</f>
        <v>Outside on School Property</v>
      </c>
      <c r="R58" s="5" t="str">
        <f ca="1">IFERROR(__xludf.DUMMYFUNCTION("""COMPUTED_VALUE"""),"Yes")</f>
        <v>Yes</v>
      </c>
      <c r="S58" s="5" t="str">
        <f ca="1">IFERROR(__xludf.DUMMYFUNCTION("""COMPUTED_VALUE"""),"School Start")</f>
        <v>School Start</v>
      </c>
      <c r="T58" s="10">
        <f ca="1">IFERROR(__xludf.DUMMYFUNCTION("""COMPUTED_VALUE"""),0.311111111111111)</f>
        <v>0.31111111111111101</v>
      </c>
      <c r="U58" s="5">
        <f ca="1">IFERROR(__xludf.DUMMYFUNCTION("""COMPUTED_VALUE"""),1)</f>
        <v>1</v>
      </c>
      <c r="V58" s="5" t="str">
        <f ca="1">IFERROR(__xludf.DUMMYFUNCTION("""COMPUTED_VALUE"""),"Woman hallucinating on meth fired shot near school")</f>
        <v>Woman hallucinating on meth fired shot near school</v>
      </c>
      <c r="W58"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X58" s="5" t="str">
        <f ca="1">IFERROR(__xludf.DUMMYFUNCTION("""COMPUTED_VALUE"""),"Illegal Activity")</f>
        <v>Illegal Activity</v>
      </c>
      <c r="Y58" s="5" t="str">
        <f ca="1">IFERROR(__xludf.DUMMYFUNCTION("""COMPUTED_VALUE"""),"Neither")</f>
        <v>Neither</v>
      </c>
      <c r="Z58" s="5" t="str">
        <f ca="1">IFERROR(__xludf.DUMMYFUNCTION("""COMPUTED_VALUE"""),"No")</f>
        <v>No</v>
      </c>
      <c r="AA58" s="5"/>
      <c r="AB58" s="5" t="str">
        <f ca="1">IFERROR(__xludf.DUMMYFUNCTION("""COMPUTED_VALUE"""),"No")</f>
        <v>No</v>
      </c>
      <c r="AC58" s="5" t="str">
        <f ca="1">IFERROR(__xludf.DUMMYFUNCTION("""COMPUTED_VALUE"""),"No")</f>
        <v>No</v>
      </c>
      <c r="AD58" s="5" t="str">
        <f ca="1">IFERROR(__xludf.DUMMYFUNCTION("""COMPUTED_VALUE"""),"No")</f>
        <v>No</v>
      </c>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row>
    <row r="59" spans="1:34" ht="12.75">
      <c r="A59" s="5" t="str">
        <f ca="1">IFERROR(__xludf.DUMMYFUNCTION("""COMPUTED_VALUE"""),"20220520ALMAT")</f>
        <v>20220520ALMAT</v>
      </c>
      <c r="B59" s="8">
        <f ca="1">IFERROR(__xludf.DUMMYFUNCTION("""COMPUTED_VALUE"""),44701)</f>
        <v>44701</v>
      </c>
      <c r="C59" s="5" t="str">
        <f ca="1">IFERROR(__xludf.DUMMYFUNCTION("""COMPUTED_VALUE"""),"Mary W Burroughs Elementary School")</f>
        <v>Mary W Burroughs Elementary School</v>
      </c>
      <c r="D59" s="5">
        <f ca="1">IFERROR(__xludf.DUMMYFUNCTION("""COMPUTED_VALUE"""),0)</f>
        <v>0</v>
      </c>
      <c r="E59" s="5">
        <f ca="1">IFERROR(__xludf.DUMMYFUNCTION("""COMPUTED_VALUE"""),0)</f>
        <v>0</v>
      </c>
      <c r="F59" s="5">
        <f ca="1">IFERROR(__xludf.DUMMYFUNCTION("""COMPUTED_VALUE"""),0)</f>
        <v>0</v>
      </c>
      <c r="G59" s="5">
        <f ca="1">IFERROR(__xludf.DUMMYFUNCTION("""COMPUTED_VALUE"""),0)</f>
        <v>0</v>
      </c>
      <c r="H59"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I59" s="5">
        <f ca="1">IFERROR(__xludf.DUMMYFUNCTION("""COMPUTED_VALUE"""),2)</f>
        <v>2</v>
      </c>
      <c r="J59" s="5" t="str">
        <f ca="1">IFERROR(__xludf.DUMMYFUNCTION("""COMPUTED_VALUE"""),"Local")</f>
        <v>Local</v>
      </c>
      <c r="K59" s="5">
        <f ca="1">IFERROR(__xludf.DUMMYFUNCTION("""COMPUTED_VALUE"""),4)</f>
        <v>4</v>
      </c>
      <c r="L59" s="5" t="str">
        <f ca="1">IFERROR(__xludf.DUMMYFUNCTION("""COMPUTED_VALUE"""),"Spring")</f>
        <v>Spring</v>
      </c>
      <c r="M59" s="5" t="str">
        <f ca="1">IFERROR(__xludf.DUMMYFUNCTION("""COMPUTED_VALUE"""),"Theodore")</f>
        <v>Theodore</v>
      </c>
      <c r="N59" s="5" t="str">
        <f ca="1">IFERROR(__xludf.DUMMYFUNCTION("""COMPUTED_VALUE"""),"AL")</f>
        <v>AL</v>
      </c>
      <c r="O59" s="5" t="str">
        <f ca="1">IFERROR(__xludf.DUMMYFUNCTION("""COMPUTED_VALUE"""),"Elementary")</f>
        <v>Elementary</v>
      </c>
      <c r="P59" s="5" t="str">
        <f ca="1">IFERROR(__xludf.DUMMYFUNCTION("""COMPUTED_VALUE"""),"Classroom")</f>
        <v>Classroom</v>
      </c>
      <c r="Q59" s="5" t="str">
        <f ca="1">IFERROR(__xludf.DUMMYFUNCTION("""COMPUTED_VALUE"""),"Both Inside/Outside")</f>
        <v>Both Inside/Outside</v>
      </c>
      <c r="R59" s="5" t="str">
        <f ca="1">IFERROR(__xludf.DUMMYFUNCTION("""COMPUTED_VALUE"""),"Yes")</f>
        <v>Yes</v>
      </c>
      <c r="S59" s="5" t="str">
        <f ca="1">IFERROR(__xludf.DUMMYFUNCTION("""COMPUTED_VALUE"""),"Afternoon Classes")</f>
        <v>Afternoon Classes</v>
      </c>
      <c r="T59" s="10">
        <f ca="1">IFERROR(__xludf.DUMMYFUNCTION("""COMPUTED_VALUE"""),0.5625)</f>
        <v>0.5625</v>
      </c>
      <c r="U59" s="5">
        <f ca="1">IFERROR(__xludf.DUMMYFUNCTION("""COMPUTED_VALUE"""),1)</f>
        <v>1</v>
      </c>
      <c r="V59" s="5" t="str">
        <f ca="1">IFERROR(__xludf.DUMMYFUNCTION("""COMPUTED_VALUE"""),"Bullet broke classroom window")</f>
        <v>Bullet broke classroom window</v>
      </c>
      <c r="W59"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X59" s="5" t="str">
        <f ca="1">IFERROR(__xludf.DUMMYFUNCTION("""COMPUTED_VALUE"""),"Accidental")</f>
        <v>Accidental</v>
      </c>
      <c r="Y59" s="5" t="str">
        <f ca="1">IFERROR(__xludf.DUMMYFUNCTION("""COMPUTED_VALUE"""),"Neither")</f>
        <v>Neither</v>
      </c>
      <c r="Z59" s="5" t="str">
        <f ca="1">IFERROR(__xludf.DUMMYFUNCTION("""COMPUTED_VALUE"""),"No")</f>
        <v>No</v>
      </c>
      <c r="AA59" s="5"/>
      <c r="AB59" s="5" t="str">
        <f ca="1">IFERROR(__xludf.DUMMYFUNCTION("""COMPUTED_VALUE"""),"No")</f>
        <v>No</v>
      </c>
      <c r="AC59" s="5" t="str">
        <f ca="1">IFERROR(__xludf.DUMMYFUNCTION("""COMPUTED_VALUE"""),"No")</f>
        <v>No</v>
      </c>
      <c r="AD59" s="5" t="str">
        <f ca="1">IFERROR(__xludf.DUMMYFUNCTION("""COMPUTED_VALUE"""),"No")</f>
        <v>No</v>
      </c>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row>
    <row r="60" spans="1:34" ht="12.75">
      <c r="A60" s="5" t="str">
        <f ca="1">IFERROR(__xludf.DUMMYFUNCTION("""COMPUTED_VALUE"""),"20220519VAGER")</f>
        <v>20220519VAGER</v>
      </c>
      <c r="B60" s="8">
        <f ca="1">IFERROR(__xludf.DUMMYFUNCTION("""COMPUTED_VALUE"""),44700)</f>
        <v>44700</v>
      </c>
      <c r="C60" s="5" t="str">
        <f ca="1">IFERROR(__xludf.DUMMYFUNCTION("""COMPUTED_VALUE"""),"George Wythe High School")</f>
        <v>George Wythe High School</v>
      </c>
      <c r="D60" s="5">
        <f ca="1">IFERROR(__xludf.DUMMYFUNCTION("""COMPUTED_VALUE"""),0)</f>
        <v>0</v>
      </c>
      <c r="E60" s="5">
        <f ca="1">IFERROR(__xludf.DUMMYFUNCTION("""COMPUTED_VALUE"""),0)</f>
        <v>0</v>
      </c>
      <c r="F60" s="5">
        <f ca="1">IFERROR(__xludf.DUMMYFUNCTION("""COMPUTED_VALUE"""),0)</f>
        <v>0</v>
      </c>
      <c r="G60" s="5">
        <f ca="1">IFERROR(__xludf.DUMMYFUNCTION("""COMPUTED_VALUE"""),0)</f>
        <v>0</v>
      </c>
      <c r="H60"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I60" s="5">
        <f ca="1">IFERROR(__xludf.DUMMYFUNCTION("""COMPUTED_VALUE"""),5)</f>
        <v>5</v>
      </c>
      <c r="J60" s="5" t="str">
        <f ca="1">IFERROR(__xludf.DUMMYFUNCTION("""COMPUTED_VALUE"""),"Local")</f>
        <v>Local</v>
      </c>
      <c r="K60" s="5">
        <f ca="1">IFERROR(__xludf.DUMMYFUNCTION("""COMPUTED_VALUE"""),3)</f>
        <v>3</v>
      </c>
      <c r="L60" s="5" t="str">
        <f ca="1">IFERROR(__xludf.DUMMYFUNCTION("""COMPUTED_VALUE"""),"Spring")</f>
        <v>Spring</v>
      </c>
      <c r="M60" s="5" t="str">
        <f ca="1">IFERROR(__xludf.DUMMYFUNCTION("""COMPUTED_VALUE"""),"Richmond")</f>
        <v>Richmond</v>
      </c>
      <c r="N60" s="5" t="str">
        <f ca="1">IFERROR(__xludf.DUMMYFUNCTION("""COMPUTED_VALUE"""),"VA")</f>
        <v>VA</v>
      </c>
      <c r="O60" s="5" t="str">
        <f ca="1">IFERROR(__xludf.DUMMYFUNCTION("""COMPUTED_VALUE"""),"High")</f>
        <v>High</v>
      </c>
      <c r="P60" s="5" t="str">
        <f ca="1">IFERROR(__xludf.DUMMYFUNCTION("""COMPUTED_VALUE"""),"Parking Lot")</f>
        <v>Parking Lot</v>
      </c>
      <c r="Q60" s="5" t="str">
        <f ca="1">IFERROR(__xludf.DUMMYFUNCTION("""COMPUTED_VALUE"""),"Outside on School Property")</f>
        <v>Outside on School Property</v>
      </c>
      <c r="R60" s="5" t="str">
        <f ca="1">IFERROR(__xludf.DUMMYFUNCTION("""COMPUTED_VALUE"""),"Yes")</f>
        <v>Yes</v>
      </c>
      <c r="S60" s="5" t="str">
        <f ca="1">IFERROR(__xludf.DUMMYFUNCTION("""COMPUTED_VALUE"""),"Afternoon Classes")</f>
        <v>Afternoon Classes</v>
      </c>
      <c r="T60" s="10">
        <f ca="1">IFERROR(__xludf.DUMMYFUNCTION("""COMPUTED_VALUE"""),0.592361111111111)</f>
        <v>0.59236111111111101</v>
      </c>
      <c r="U60" s="5">
        <f ca="1">IFERROR(__xludf.DUMMYFUNCTION("""COMPUTED_VALUE"""),1)</f>
        <v>1</v>
      </c>
      <c r="V60" s="5" t="str">
        <f ca="1">IFERROR(__xludf.DUMMYFUNCTION("""COMPUTED_VALUE"""),"Shots fired from a vehicle at students in the parking lot")</f>
        <v>Shots fired from a vehicle at students in the parking lot</v>
      </c>
      <c r="W60" s="5" t="str">
        <f ca="1">IFERROR(__xludf.DUMMYFUNCTION("""COMPUTED_VALUE"""),"Shots fired from a passing vehicle at students in the parking lot. No injuries. Shooter fled.")</f>
        <v>Shots fired from a passing vehicle at students in the parking lot. No injuries. Shooter fled.</v>
      </c>
      <c r="X60" s="5" t="str">
        <f ca="1">IFERROR(__xludf.DUMMYFUNCTION("""COMPUTED_VALUE"""),"Drive-by Shooting")</f>
        <v>Drive-by Shooting</v>
      </c>
      <c r="Y60" s="5" t="str">
        <f ca="1">IFERROR(__xludf.DUMMYFUNCTION("""COMPUTED_VALUE"""),"Random Shooting")</f>
        <v>Random Shooting</v>
      </c>
      <c r="Z60" s="5" t="str">
        <f ca="1">IFERROR(__xludf.DUMMYFUNCTION("""COMPUTED_VALUE"""),"No")</f>
        <v>No</v>
      </c>
      <c r="AA60" s="5"/>
      <c r="AB60" s="5" t="str">
        <f ca="1">IFERROR(__xludf.DUMMYFUNCTION("""COMPUTED_VALUE"""),"No")</f>
        <v>No</v>
      </c>
      <c r="AC60" s="5" t="str">
        <f ca="1">IFERROR(__xludf.DUMMYFUNCTION("""COMPUTED_VALUE"""),"No")</f>
        <v>No</v>
      </c>
      <c r="AD60" s="5" t="str">
        <f ca="1">IFERROR(__xludf.DUMMYFUNCTION("""COMPUTED_VALUE"""),"No")</f>
        <v>No</v>
      </c>
      <c r="AE60" s="5" t="str">
        <f ca="1">IFERROR(__xludf.DUMMYFUNCTION("""COMPUTED_VALUE"""),"No")</f>
        <v>No</v>
      </c>
      <c r="AF60" s="5" t="str">
        <f ca="1">IFERROR(__xludf.DUMMYFUNCTION("""COMPUTED_VALUE"""),"No")</f>
        <v>No</v>
      </c>
      <c r="AG60" s="5"/>
      <c r="AH60" s="5" t="str">
        <f ca="1">IFERROR(__xludf.DUMMYFUNCTION("""COMPUTED_VALUE"""),"No")</f>
        <v>No</v>
      </c>
    </row>
    <row r="61" spans="1:34" ht="12.75">
      <c r="A61" s="5" t="str">
        <f ca="1">IFERROR(__xludf.DUMMYFUNCTION("""COMPUTED_VALUE"""),"20220519MIEAK")</f>
        <v>20220519MIEAK</v>
      </c>
      <c r="B61" s="8">
        <f ca="1">IFERROR(__xludf.DUMMYFUNCTION("""COMPUTED_VALUE"""),44700)</f>
        <v>44700</v>
      </c>
      <c r="C61" s="5" t="str">
        <f ca="1">IFERROR(__xludf.DUMMYFUNCTION("""COMPUTED_VALUE"""),"East Kentwood High School")</f>
        <v>East Kentwood High School</v>
      </c>
      <c r="D61" s="5">
        <f ca="1">IFERROR(__xludf.DUMMYFUNCTION("""COMPUTED_VALUE"""),0)</f>
        <v>0</v>
      </c>
      <c r="E61" s="5">
        <f ca="1">IFERROR(__xludf.DUMMYFUNCTION("""COMPUTED_VALUE"""),2)</f>
        <v>2</v>
      </c>
      <c r="F61" s="5">
        <f ca="1">IFERROR(__xludf.DUMMYFUNCTION("""COMPUTED_VALUE"""),2)</f>
        <v>2</v>
      </c>
      <c r="G61" s="5">
        <f ca="1">IFERROR(__xludf.DUMMYFUNCTION("""COMPUTED_VALUE"""),0)</f>
        <v>0</v>
      </c>
      <c r="H61"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I61" s="5">
        <f ca="1">IFERROR(__xludf.DUMMYFUNCTION("""COMPUTED_VALUE"""),100)</f>
        <v>100</v>
      </c>
      <c r="J61" s="5" t="str">
        <f ca="1">IFERROR(__xludf.DUMMYFUNCTION("""COMPUTED_VALUE"""),"National")</f>
        <v>National</v>
      </c>
      <c r="K61" s="5">
        <f ca="1">IFERROR(__xludf.DUMMYFUNCTION("""COMPUTED_VALUE"""),4)</f>
        <v>4</v>
      </c>
      <c r="L61" s="5" t="str">
        <f ca="1">IFERROR(__xludf.DUMMYFUNCTION("""COMPUTED_VALUE"""),"Spring")</f>
        <v>Spring</v>
      </c>
      <c r="M61" s="5" t="str">
        <f ca="1">IFERROR(__xludf.DUMMYFUNCTION("""COMPUTED_VALUE"""),"Kentwood")</f>
        <v>Kentwood</v>
      </c>
      <c r="N61" s="5" t="str">
        <f ca="1">IFERROR(__xludf.DUMMYFUNCTION("""COMPUTED_VALUE"""),"MI")</f>
        <v>MI</v>
      </c>
      <c r="O61" s="5" t="str">
        <f ca="1">IFERROR(__xludf.DUMMYFUNCTION("""COMPUTED_VALUE"""),"High")</f>
        <v>High</v>
      </c>
      <c r="P61" s="5" t="str">
        <f ca="1">IFERROR(__xludf.DUMMYFUNCTION("""COMPUTED_VALUE"""),"Parking Lot")</f>
        <v>Parking Lot</v>
      </c>
      <c r="Q61" s="5" t="str">
        <f ca="1">IFERROR(__xludf.DUMMYFUNCTION("""COMPUTED_VALUE"""),"Outside on School Property")</f>
        <v>Outside on School Property</v>
      </c>
      <c r="R61" s="5" t="str">
        <f ca="1">IFERROR(__xludf.DUMMYFUNCTION("""COMPUTED_VALUE"""),"No")</f>
        <v>No</v>
      </c>
      <c r="S61" s="5" t="str">
        <f ca="1">IFERROR(__xludf.DUMMYFUNCTION("""COMPUTED_VALUE"""),"School Event")</f>
        <v>School Event</v>
      </c>
      <c r="T61" s="10">
        <f ca="1">IFERROR(__xludf.DUMMYFUNCTION("""COMPUTED_VALUE"""),0.8125)</f>
        <v>0.8125</v>
      </c>
      <c r="U61" s="5">
        <f ca="1">IFERROR(__xludf.DUMMYFUNCTION("""COMPUTED_VALUE"""),1)</f>
        <v>1</v>
      </c>
      <c r="V61" s="5" t="str">
        <f ca="1">IFERROR(__xludf.DUMMYFUNCTION("""COMPUTED_VALUE"""),"Drive-by shooting in the parking lot of the school following graduation")</f>
        <v>Drive-by shooting in the parking lot of the school following graduation</v>
      </c>
      <c r="W61"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X61" s="5" t="str">
        <f ca="1">IFERROR(__xludf.DUMMYFUNCTION("""COMPUTED_VALUE"""),"Drive-by Shooting")</f>
        <v>Drive-by Shooting</v>
      </c>
      <c r="Y61" s="5" t="str">
        <f ca="1">IFERROR(__xludf.DUMMYFUNCTION("""COMPUTED_VALUE"""),"Both")</f>
        <v>Both</v>
      </c>
      <c r="Z61" s="5" t="str">
        <f ca="1">IFERROR(__xludf.DUMMYFUNCTION("""COMPUTED_VALUE"""),"Yes")</f>
        <v>Yes</v>
      </c>
      <c r="AA61" s="5" t="str">
        <f ca="1">IFERROR(__xludf.DUMMYFUNCTION("""COMPUTED_VALUE"""),"Driver and shooter")</f>
        <v>Driver and shooter</v>
      </c>
      <c r="AB61" s="5" t="str">
        <f ca="1">IFERROR(__xludf.DUMMYFUNCTION("""COMPUTED_VALUE"""),"No")</f>
        <v>No</v>
      </c>
      <c r="AC61" s="5" t="str">
        <f ca="1">IFERROR(__xludf.DUMMYFUNCTION("""COMPUTED_VALUE"""),"No")</f>
        <v>No</v>
      </c>
      <c r="AD61" s="5" t="str">
        <f ca="1">IFERROR(__xludf.DUMMYFUNCTION("""COMPUTED_VALUE"""),"No")</f>
        <v>No</v>
      </c>
      <c r="AE61" s="5" t="str">
        <f ca="1">IFERROR(__xludf.DUMMYFUNCTION("""COMPUTED_VALUE"""),"No")</f>
        <v>No</v>
      </c>
      <c r="AF61" s="5" t="str">
        <f ca="1">IFERROR(__xludf.DUMMYFUNCTION("""COMPUTED_VALUE"""),"No")</f>
        <v>No</v>
      </c>
      <c r="AG61" s="5"/>
      <c r="AH61" s="5" t="str">
        <f ca="1">IFERROR(__xludf.DUMMYFUNCTION("""COMPUTED_VALUE"""),"No")</f>
        <v>No</v>
      </c>
    </row>
    <row r="62" spans="1:34" ht="12.75">
      <c r="A62" s="5" t="str">
        <f ca="1">IFERROR(__xludf.DUMMYFUNCTION("""COMPUTED_VALUE"""),"20220519LAHAH")</f>
        <v>20220519LAHAH</v>
      </c>
      <c r="B62" s="8">
        <f ca="1">IFERROR(__xludf.DUMMYFUNCTION("""COMPUTED_VALUE"""),44700)</f>
        <v>44700</v>
      </c>
      <c r="C62" s="5" t="str">
        <f ca="1">IFERROR(__xludf.DUMMYFUNCTION("""COMPUTED_VALUE"""),"Hammond High Magnet School")</f>
        <v>Hammond High Magnet School</v>
      </c>
      <c r="D62" s="5">
        <f ca="1">IFERROR(__xludf.DUMMYFUNCTION("""COMPUTED_VALUE"""),0)</f>
        <v>0</v>
      </c>
      <c r="E62" s="5">
        <f ca="1">IFERROR(__xludf.DUMMYFUNCTION("""COMPUTED_VALUE"""),3)</f>
        <v>3</v>
      </c>
      <c r="F62" s="5">
        <f ca="1">IFERROR(__xludf.DUMMYFUNCTION("""COMPUTED_VALUE"""),3)</f>
        <v>3</v>
      </c>
      <c r="G62" s="5">
        <f ca="1">IFERROR(__xludf.DUMMYFUNCTION("""COMPUTED_VALUE"""),0)</f>
        <v>0</v>
      </c>
      <c r="H62"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I62" s="5">
        <f ca="1">IFERROR(__xludf.DUMMYFUNCTION("""COMPUTED_VALUE"""),100)</f>
        <v>100</v>
      </c>
      <c r="J62" s="5" t="str">
        <f ca="1">IFERROR(__xludf.DUMMYFUNCTION("""COMPUTED_VALUE"""),"National")</f>
        <v>National</v>
      </c>
      <c r="K62" s="5">
        <f ca="1">IFERROR(__xludf.DUMMYFUNCTION("""COMPUTED_VALUE"""),4)</f>
        <v>4</v>
      </c>
      <c r="L62" s="5" t="str">
        <f ca="1">IFERROR(__xludf.DUMMYFUNCTION("""COMPUTED_VALUE"""),"Spring")</f>
        <v>Spring</v>
      </c>
      <c r="M62" s="5" t="str">
        <f ca="1">IFERROR(__xludf.DUMMYFUNCTION("""COMPUTED_VALUE"""),"Hammond")</f>
        <v>Hammond</v>
      </c>
      <c r="N62" s="5" t="str">
        <f ca="1">IFERROR(__xludf.DUMMYFUNCTION("""COMPUTED_VALUE"""),"LA")</f>
        <v>LA</v>
      </c>
      <c r="O62" s="5" t="str">
        <f ca="1">IFERROR(__xludf.DUMMYFUNCTION("""COMPUTED_VALUE"""),"High")</f>
        <v>High</v>
      </c>
      <c r="P62" s="5" t="str">
        <f ca="1">IFERROR(__xludf.DUMMYFUNCTION("""COMPUTED_VALUE"""),"Off School Property")</f>
        <v>Off School Property</v>
      </c>
      <c r="Q62" s="5" t="str">
        <f ca="1">IFERROR(__xludf.DUMMYFUNCTION("""COMPUTED_VALUE"""),"Off School Property")</f>
        <v>Off School Property</v>
      </c>
      <c r="R62" s="5" t="str">
        <f ca="1">IFERROR(__xludf.DUMMYFUNCTION("""COMPUTED_VALUE"""),"No")</f>
        <v>No</v>
      </c>
      <c r="S62" s="5" t="str">
        <f ca="1">IFERROR(__xludf.DUMMYFUNCTION("""COMPUTED_VALUE"""),"School Event")</f>
        <v>School Event</v>
      </c>
      <c r="T62" s="10">
        <f ca="1">IFERROR(__xludf.DUMMYFUNCTION("""COMPUTED_VALUE"""),0.833333333333333)</f>
        <v>0.83333333333333304</v>
      </c>
      <c r="U62" s="5">
        <f ca="1">IFERROR(__xludf.DUMMYFUNCTION("""COMPUTED_VALUE"""),1)</f>
        <v>1</v>
      </c>
      <c r="V62" s="5" t="str">
        <f ca="1">IFERROR(__xludf.DUMMYFUNCTION("""COMPUTED_VALUE"""),"Shots firing during fight that escalated following graduation ceremony")</f>
        <v>Shots firing during fight that escalated following graduation ceremony</v>
      </c>
      <c r="W62"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X62" s="5" t="str">
        <f ca="1">IFERROR(__xludf.DUMMYFUNCTION("""COMPUTED_VALUE"""),"Escalation of Dispute")</f>
        <v>Escalation of Dispute</v>
      </c>
      <c r="Y62" s="5" t="str">
        <f ca="1">IFERROR(__xludf.DUMMYFUNCTION("""COMPUTED_VALUE"""),"Both")</f>
        <v>Both</v>
      </c>
      <c r="Z62" s="5" t="str">
        <f ca="1">IFERROR(__xludf.DUMMYFUNCTION("""COMPUTED_VALUE"""),"No")</f>
        <v>No</v>
      </c>
      <c r="AA62" s="5"/>
      <c r="AB62" s="5" t="str">
        <f ca="1">IFERROR(__xludf.DUMMYFUNCTION("""COMPUTED_VALUE"""),"No")</f>
        <v>No</v>
      </c>
      <c r="AC62" s="5" t="str">
        <f ca="1">IFERROR(__xludf.DUMMYFUNCTION("""COMPUTED_VALUE"""),"No")</f>
        <v>No</v>
      </c>
      <c r="AD62" s="5" t="str">
        <f ca="1">IFERROR(__xludf.DUMMYFUNCTION("""COMPUTED_VALUE"""),"No")</f>
        <v>No</v>
      </c>
      <c r="AE62" s="5" t="str">
        <f ca="1">IFERROR(__xludf.DUMMYFUNCTION("""COMPUTED_VALUE"""),"No")</f>
        <v>No</v>
      </c>
      <c r="AF62" s="5" t="str">
        <f ca="1">IFERROR(__xludf.DUMMYFUNCTION("""COMPUTED_VALUE"""),"No")</f>
        <v>No</v>
      </c>
      <c r="AG62" s="5" t="str">
        <f ca="1">IFERROR(__xludf.DUMMYFUNCTION("""COMPUTED_VALUE"""),"Yes")</f>
        <v>Yes</v>
      </c>
      <c r="AH62" s="5" t="str">
        <f ca="1">IFERROR(__xludf.DUMMYFUNCTION("""COMPUTED_VALUE"""),"No")</f>
        <v>No</v>
      </c>
    </row>
    <row r="63" spans="1:34" ht="12.75">
      <c r="A63" s="5" t="str">
        <f ca="1">IFERROR(__xludf.DUMMYFUNCTION("""COMPUTED_VALUE"""),"20220518TNRIM")</f>
        <v>20220518TNRIM</v>
      </c>
      <c r="B63" s="8">
        <f ca="1">IFERROR(__xludf.DUMMYFUNCTION("""COMPUTED_VALUE"""),44699)</f>
        <v>44699</v>
      </c>
      <c r="C63" s="5" t="str">
        <f ca="1">IFERROR(__xludf.DUMMYFUNCTION("""COMPUTED_VALUE"""),"Riverdale High School")</f>
        <v>Riverdale High School</v>
      </c>
      <c r="D63" s="5">
        <f ca="1">IFERROR(__xludf.DUMMYFUNCTION("""COMPUTED_VALUE"""),1)</f>
        <v>1</v>
      </c>
      <c r="E63" s="5">
        <f ca="1">IFERROR(__xludf.DUMMYFUNCTION("""COMPUTED_VALUE"""),1)</f>
        <v>1</v>
      </c>
      <c r="F63" s="5">
        <f ca="1">IFERROR(__xludf.DUMMYFUNCTION("""COMPUTED_VALUE"""),2)</f>
        <v>2</v>
      </c>
      <c r="G63" s="5">
        <f ca="1">IFERROR(__xludf.DUMMYFUNCTION("""COMPUTED_VALUE"""),0)</f>
        <v>0</v>
      </c>
      <c r="H63"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I63" s="5">
        <f ca="1">IFERROR(__xludf.DUMMYFUNCTION("""COMPUTED_VALUE"""),50)</f>
        <v>50</v>
      </c>
      <c r="J63" s="5" t="str">
        <f ca="1">IFERROR(__xludf.DUMMYFUNCTION("""COMPUTED_VALUE"""),"National")</f>
        <v>National</v>
      </c>
      <c r="K63" s="5">
        <f ca="1">IFERROR(__xludf.DUMMYFUNCTION("""COMPUTED_VALUE"""),4)</f>
        <v>4</v>
      </c>
      <c r="L63" s="5" t="str">
        <f ca="1">IFERROR(__xludf.DUMMYFUNCTION("""COMPUTED_VALUE"""),"Spring")</f>
        <v>Spring</v>
      </c>
      <c r="M63" s="5" t="str">
        <f ca="1">IFERROR(__xludf.DUMMYFUNCTION("""COMPUTED_VALUE"""),"Murfreesboro")</f>
        <v>Murfreesboro</v>
      </c>
      <c r="N63" s="5" t="str">
        <f ca="1">IFERROR(__xludf.DUMMYFUNCTION("""COMPUTED_VALUE"""),"TN")</f>
        <v>TN</v>
      </c>
      <c r="O63" s="5" t="str">
        <f ca="1">IFERROR(__xludf.DUMMYFUNCTION("""COMPUTED_VALUE"""),"High")</f>
        <v>High</v>
      </c>
      <c r="P63" s="5" t="str">
        <f ca="1">IFERROR(__xludf.DUMMYFUNCTION("""COMPUTED_VALUE"""),"Off School Property")</f>
        <v>Off School Property</v>
      </c>
      <c r="Q63" s="5" t="str">
        <f ca="1">IFERROR(__xludf.DUMMYFUNCTION("""COMPUTED_VALUE"""),"Off School Property")</f>
        <v>Off School Property</v>
      </c>
      <c r="R63" s="5" t="str">
        <f ca="1">IFERROR(__xludf.DUMMYFUNCTION("""COMPUTED_VALUE"""),"No")</f>
        <v>No</v>
      </c>
      <c r="S63" s="5" t="str">
        <f ca="1">IFERROR(__xludf.DUMMYFUNCTION("""COMPUTED_VALUE"""),"School Event")</f>
        <v>School Event</v>
      </c>
      <c r="T63" s="10">
        <f ca="1">IFERROR(__xludf.DUMMYFUNCTION("""COMPUTED_VALUE"""),0.895833333333333)</f>
        <v>0.89583333333333304</v>
      </c>
      <c r="U63" s="5">
        <f ca="1">IFERROR(__xludf.DUMMYFUNCTION("""COMPUTED_VALUE"""),1)</f>
        <v>1</v>
      </c>
      <c r="V63" s="5" t="str">
        <f ca="1">IFERROR(__xludf.DUMMYFUNCTION("""COMPUTED_VALUE"""),"Two people shot following high school graduation on MTSU campus")</f>
        <v>Two people shot following high school graduation on MTSU campus</v>
      </c>
      <c r="W63"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X63" s="5" t="str">
        <f ca="1">IFERROR(__xludf.DUMMYFUNCTION("""COMPUTED_VALUE"""),"Escalation of Dispute")</f>
        <v>Escalation of Dispute</v>
      </c>
      <c r="Y63" s="5" t="str">
        <f ca="1">IFERROR(__xludf.DUMMYFUNCTION("""COMPUTED_VALUE"""),"Both")</f>
        <v>Both</v>
      </c>
      <c r="Z63" s="5" t="str">
        <f ca="1">IFERROR(__xludf.DUMMYFUNCTION("""COMPUTED_VALUE"""),"No")</f>
        <v>No</v>
      </c>
      <c r="AA63" s="5"/>
      <c r="AB63" s="5" t="str">
        <f ca="1">IFERROR(__xludf.DUMMYFUNCTION("""COMPUTED_VALUE"""),"No")</f>
        <v>No</v>
      </c>
      <c r="AC63" s="5" t="str">
        <f ca="1">IFERROR(__xludf.DUMMYFUNCTION("""COMPUTED_VALUE"""),"No")</f>
        <v>No</v>
      </c>
      <c r="AD63" s="5" t="str">
        <f ca="1">IFERROR(__xludf.DUMMYFUNCTION("""COMPUTED_VALUE"""),"No")</f>
        <v>No</v>
      </c>
      <c r="AE63" s="5" t="str">
        <f ca="1">IFERROR(__xludf.DUMMYFUNCTION("""COMPUTED_VALUE"""),"No")</f>
        <v>No</v>
      </c>
      <c r="AF63" s="5" t="str">
        <f ca="1">IFERROR(__xludf.DUMMYFUNCTION("""COMPUTED_VALUE"""),"No")</f>
        <v>No</v>
      </c>
      <c r="AG63" s="5"/>
      <c r="AH63" s="5" t="str">
        <f ca="1">IFERROR(__xludf.DUMMYFUNCTION("""COMPUTED_VALUE"""),"No")</f>
        <v>No</v>
      </c>
    </row>
    <row r="64" spans="1:34" ht="12.75">
      <c r="A64" s="5" t="str">
        <f ca="1">IFERROR(__xludf.DUMMYFUNCTION("""COMPUTED_VALUE"""),"20220518FLPAP")</f>
        <v>20220518FLPAP</v>
      </c>
      <c r="B64" s="8">
        <f ca="1">IFERROR(__xludf.DUMMYFUNCTION("""COMPUTED_VALUE"""),44699)</f>
        <v>44699</v>
      </c>
      <c r="C64" s="5" t="str">
        <f ca="1">IFERROR(__xludf.DUMMYFUNCTION("""COMPUTED_VALUE"""),"Palmetto High School")</f>
        <v>Palmetto High School</v>
      </c>
      <c r="D64" s="5">
        <f ca="1">IFERROR(__xludf.DUMMYFUNCTION("""COMPUTED_VALUE"""),0)</f>
        <v>0</v>
      </c>
      <c r="E64" s="5">
        <f ca="1">IFERROR(__xludf.DUMMYFUNCTION("""COMPUTED_VALUE"""),0)</f>
        <v>0</v>
      </c>
      <c r="F64" s="5">
        <f ca="1">IFERROR(__xludf.DUMMYFUNCTION("""COMPUTED_VALUE"""),0)</f>
        <v>0</v>
      </c>
      <c r="G64" s="5">
        <f ca="1">IFERROR(__xludf.DUMMYFUNCTION("""COMPUTED_VALUE"""),0)</f>
        <v>0</v>
      </c>
      <c r="H64"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I64" s="5">
        <f ca="1">IFERROR(__xludf.DUMMYFUNCTION("""COMPUTED_VALUE"""),5)</f>
        <v>5</v>
      </c>
      <c r="J64" s="5" t="str">
        <f ca="1">IFERROR(__xludf.DUMMYFUNCTION("""COMPUTED_VALUE"""),"Regional")</f>
        <v>Regional</v>
      </c>
      <c r="K64" s="5">
        <f ca="1">IFERROR(__xludf.DUMMYFUNCTION("""COMPUTED_VALUE"""),4)</f>
        <v>4</v>
      </c>
      <c r="L64" s="5" t="str">
        <f ca="1">IFERROR(__xludf.DUMMYFUNCTION("""COMPUTED_VALUE"""),"Spring")</f>
        <v>Spring</v>
      </c>
      <c r="M64" s="5" t="str">
        <f ca="1">IFERROR(__xludf.DUMMYFUNCTION("""COMPUTED_VALUE"""),"Palmetto")</f>
        <v>Palmetto</v>
      </c>
      <c r="N64" s="5" t="str">
        <f ca="1">IFERROR(__xludf.DUMMYFUNCTION("""COMPUTED_VALUE"""),"FL")</f>
        <v>FL</v>
      </c>
      <c r="O64" s="5" t="str">
        <f ca="1">IFERROR(__xludf.DUMMYFUNCTION("""COMPUTED_VALUE"""),"High")</f>
        <v>High</v>
      </c>
      <c r="P64" s="5" t="str">
        <f ca="1">IFERROR(__xludf.DUMMYFUNCTION("""COMPUTED_VALUE"""),"Football Field/Track")</f>
        <v>Football Field/Track</v>
      </c>
      <c r="Q64" s="5" t="str">
        <f ca="1">IFERROR(__xludf.DUMMYFUNCTION("""COMPUTED_VALUE"""),"Outside on School Property")</f>
        <v>Outside on School Property</v>
      </c>
      <c r="R64" s="5" t="str">
        <f ca="1">IFERROR(__xludf.DUMMYFUNCTION("""COMPUTED_VALUE"""),"No")</f>
        <v>No</v>
      </c>
      <c r="S64" s="5" t="str">
        <f ca="1">IFERROR(__xludf.DUMMYFUNCTION("""COMPUTED_VALUE"""),"Sport Event")</f>
        <v>Sport Event</v>
      </c>
      <c r="T64" s="10">
        <f ca="1">IFERROR(__xludf.DUMMYFUNCTION("""COMPUTED_VALUE"""),0.895833333333333)</f>
        <v>0.89583333333333304</v>
      </c>
      <c r="U64" s="5">
        <f ca="1">IFERROR(__xludf.DUMMYFUNCTION("""COMPUTED_VALUE"""),1)</f>
        <v>1</v>
      </c>
      <c r="V64" s="5" t="str">
        <f ca="1">IFERROR(__xludf.DUMMYFUNCTION("""COMPUTED_VALUE"""),"Shot fired during fight on sideline during football game")</f>
        <v>Shot fired during fight on sideline during football game</v>
      </c>
      <c r="W64"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X64" s="5" t="str">
        <f ca="1">IFERROR(__xludf.DUMMYFUNCTION("""COMPUTED_VALUE"""),"Escalation of Dispute")</f>
        <v>Escalation of Dispute</v>
      </c>
      <c r="Y64" s="5" t="str">
        <f ca="1">IFERROR(__xludf.DUMMYFUNCTION("""COMPUTED_VALUE"""),"Victims Targeted")</f>
        <v>Victims Targeted</v>
      </c>
      <c r="Z64" s="5" t="str">
        <f ca="1">IFERROR(__xludf.DUMMYFUNCTION("""COMPUTED_VALUE"""),"No")</f>
        <v>No</v>
      </c>
      <c r="AA64" s="5"/>
      <c r="AB64" s="5" t="str">
        <f ca="1">IFERROR(__xludf.DUMMYFUNCTION("""COMPUTED_VALUE"""),"No")</f>
        <v>No</v>
      </c>
      <c r="AC64" s="5" t="str">
        <f ca="1">IFERROR(__xludf.DUMMYFUNCTION("""COMPUTED_VALUE"""),"No")</f>
        <v>No</v>
      </c>
      <c r="AD64" s="5" t="str">
        <f ca="1">IFERROR(__xludf.DUMMYFUNCTION("""COMPUTED_VALUE"""),"No")</f>
        <v>No</v>
      </c>
      <c r="AE64" s="5" t="str">
        <f ca="1">IFERROR(__xludf.DUMMYFUNCTION("""COMPUTED_VALUE"""),"No")</f>
        <v>No</v>
      </c>
      <c r="AF64" s="5" t="str">
        <f ca="1">IFERROR(__xludf.DUMMYFUNCTION("""COMPUTED_VALUE"""),"No")</f>
        <v>No</v>
      </c>
      <c r="AG64" s="5"/>
      <c r="AH64" s="5" t="str">
        <f ca="1">IFERROR(__xludf.DUMMYFUNCTION("""COMPUTED_VALUE"""),"No")</f>
        <v>No</v>
      </c>
    </row>
    <row r="65" spans="1:34" ht="12.75">
      <c r="A65" s="5" t="str">
        <f ca="1">IFERROR(__xludf.DUMMYFUNCTION("""COMPUTED_VALUE"""),"20220517ILWAC")</f>
        <v>20220517ILWAC</v>
      </c>
      <c r="B65" s="8">
        <f ca="1">IFERROR(__xludf.DUMMYFUNCTION("""COMPUTED_VALUE"""),44698)</f>
        <v>44698</v>
      </c>
      <c r="C65" s="5" t="str">
        <f ca="1">IFERROR(__xludf.DUMMYFUNCTION("""COMPUTED_VALUE"""),"Walt Disney Magnet School")</f>
        <v>Walt Disney Magnet School</v>
      </c>
      <c r="D65" s="5">
        <f ca="1">IFERROR(__xludf.DUMMYFUNCTION("""COMPUTED_VALUE"""),0)</f>
        <v>0</v>
      </c>
      <c r="E65" s="5">
        <f ca="1">IFERROR(__xludf.DUMMYFUNCTION("""COMPUTED_VALUE"""),1)</f>
        <v>1</v>
      </c>
      <c r="F65" s="5">
        <f ca="1">IFERROR(__xludf.DUMMYFUNCTION("""COMPUTED_VALUE"""),1)</f>
        <v>1</v>
      </c>
      <c r="G65" s="5">
        <f ca="1">IFERROR(__xludf.DUMMYFUNCTION("""COMPUTED_VALUE"""),0)</f>
        <v>0</v>
      </c>
      <c r="H65"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I65" s="5">
        <f ca="1">IFERROR(__xludf.DUMMYFUNCTION("""COMPUTED_VALUE"""),10)</f>
        <v>10</v>
      </c>
      <c r="J65" s="5" t="str">
        <f ca="1">IFERROR(__xludf.DUMMYFUNCTION("""COMPUTED_VALUE"""),"Regional")</f>
        <v>Regional</v>
      </c>
      <c r="K65" s="5">
        <f ca="1">IFERROR(__xludf.DUMMYFUNCTION("""COMPUTED_VALUE"""),4)</f>
        <v>4</v>
      </c>
      <c r="L65" s="5" t="str">
        <f ca="1">IFERROR(__xludf.DUMMYFUNCTION("""COMPUTED_VALUE"""),"Spring")</f>
        <v>Spring</v>
      </c>
      <c r="M65" s="5" t="str">
        <f ca="1">IFERROR(__xludf.DUMMYFUNCTION("""COMPUTED_VALUE"""),"Chicago")</f>
        <v>Chicago</v>
      </c>
      <c r="N65" s="5" t="str">
        <f ca="1">IFERROR(__xludf.DUMMYFUNCTION("""COMPUTED_VALUE"""),"IL")</f>
        <v>IL</v>
      </c>
      <c r="O65" s="5" t="str">
        <f ca="1">IFERROR(__xludf.DUMMYFUNCTION("""COMPUTED_VALUE"""),"K-8")</f>
        <v>K-8</v>
      </c>
      <c r="P65" s="5" t="str">
        <f ca="1">IFERROR(__xludf.DUMMYFUNCTION("""COMPUTED_VALUE"""),"Classroom")</f>
        <v>Classroom</v>
      </c>
      <c r="Q65" s="5" t="str">
        <f ca="1">IFERROR(__xludf.DUMMYFUNCTION("""COMPUTED_VALUE"""),"Inside School Building")</f>
        <v>Inside School Building</v>
      </c>
      <c r="R65" s="5" t="str">
        <f ca="1">IFERROR(__xludf.DUMMYFUNCTION("""COMPUTED_VALUE"""),"Yes")</f>
        <v>Yes</v>
      </c>
      <c r="S65" s="5" t="str">
        <f ca="1">IFERROR(__xludf.DUMMYFUNCTION("""COMPUTED_VALUE"""),"Morning Classes")</f>
        <v>Morning Classes</v>
      </c>
      <c r="T65" s="10">
        <f ca="1">IFERROR(__xludf.DUMMYFUNCTION("""COMPUTED_VALUE"""),0.416666666666666)</f>
        <v>0.41666666666666602</v>
      </c>
      <c r="U65" s="5">
        <f ca="1">IFERROR(__xludf.DUMMYFUNCTION("""COMPUTED_VALUE"""),1)</f>
        <v>1</v>
      </c>
      <c r="V65" s="5" t="str">
        <f ca="1">IFERROR(__xludf.DUMMYFUNCTION("""COMPUTED_VALUE"""),"Gun inside 7-year-old students backpack fired in classroom striking classmate")</f>
        <v>Gun inside 7-year-old students backpack fired in classroom striking classmate</v>
      </c>
      <c r="W65"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X65" s="5" t="str">
        <f ca="1">IFERROR(__xludf.DUMMYFUNCTION("""COMPUTED_VALUE"""),"Accidental")</f>
        <v>Accidental</v>
      </c>
      <c r="Y65" s="5" t="str">
        <f ca="1">IFERROR(__xludf.DUMMYFUNCTION("""COMPUTED_VALUE"""),"Random Shooting")</f>
        <v>Random Shooting</v>
      </c>
      <c r="Z65" s="5" t="str">
        <f ca="1">IFERROR(__xludf.DUMMYFUNCTION("""COMPUTED_VALUE"""),"No")</f>
        <v>No</v>
      </c>
      <c r="AA65" s="5"/>
      <c r="AB65" s="5" t="str">
        <f ca="1">IFERROR(__xludf.DUMMYFUNCTION("""COMPUTED_VALUE"""),"No")</f>
        <v>No</v>
      </c>
      <c r="AC65" s="5" t="str">
        <f ca="1">IFERROR(__xludf.DUMMYFUNCTION("""COMPUTED_VALUE"""),"No")</f>
        <v>No</v>
      </c>
      <c r="AD65" s="5" t="str">
        <f ca="1">IFERROR(__xludf.DUMMYFUNCTION("""COMPUTED_VALUE"""),"No")</f>
        <v>No</v>
      </c>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row>
    <row r="66" spans="1:34" ht="12.75">
      <c r="A66" s="5" t="str">
        <f ca="1">IFERROR(__xludf.DUMMYFUNCTION("""COMPUTED_VALUE"""),"20220517CASAS")</f>
        <v>20220517CASAS</v>
      </c>
      <c r="B66" s="8">
        <f ca="1">IFERROR(__xludf.DUMMYFUNCTION("""COMPUTED_VALUE"""),44698)</f>
        <v>44698</v>
      </c>
      <c r="C66" s="5" t="str">
        <f ca="1">IFERROR(__xludf.DUMMYFUNCTION("""COMPUTED_VALUE"""),"School Bus")</f>
        <v>School Bus</v>
      </c>
      <c r="D66" s="5">
        <f ca="1">IFERROR(__xludf.DUMMYFUNCTION("""COMPUTED_VALUE"""),0)</f>
        <v>0</v>
      </c>
      <c r="E66" s="5">
        <f ca="1">IFERROR(__xludf.DUMMYFUNCTION("""COMPUTED_VALUE"""),0)</f>
        <v>0</v>
      </c>
      <c r="F66" s="5">
        <f ca="1">IFERROR(__xludf.DUMMYFUNCTION("""COMPUTED_VALUE"""),0)</f>
        <v>0</v>
      </c>
      <c r="G66" s="5">
        <f ca="1">IFERROR(__xludf.DUMMYFUNCTION("""COMPUTED_VALUE"""),0)</f>
        <v>0</v>
      </c>
      <c r="H66" s="9" t="str">
        <f ca="1">IFERROR(__xludf.DUMMYFUNCTION("""COMPUTED_VALUE"""),"https://www.cbsnews.com/sanfrancisco/news/school-bus-in-san-francisco-hit-by-gunfire/")</f>
        <v>https://www.cbsnews.com/sanfrancisco/news/school-bus-in-san-francisco-hit-by-gunfire/</v>
      </c>
      <c r="I66" s="5">
        <f ca="1">IFERROR(__xludf.DUMMYFUNCTION("""COMPUTED_VALUE"""),2)</f>
        <v>2</v>
      </c>
      <c r="J66" s="5" t="str">
        <f ca="1">IFERROR(__xludf.DUMMYFUNCTION("""COMPUTED_VALUE"""),"Local")</f>
        <v>Local</v>
      </c>
      <c r="K66" s="5">
        <f ca="1">IFERROR(__xludf.DUMMYFUNCTION("""COMPUTED_VALUE"""),3)</f>
        <v>3</v>
      </c>
      <c r="L66" s="5" t="str">
        <f ca="1">IFERROR(__xludf.DUMMYFUNCTION("""COMPUTED_VALUE"""),"Spring")</f>
        <v>Spring</v>
      </c>
      <c r="M66" s="5" t="str">
        <f ca="1">IFERROR(__xludf.DUMMYFUNCTION("""COMPUTED_VALUE"""),"San Francisco")</f>
        <v>San Francisco</v>
      </c>
      <c r="N66" s="5" t="str">
        <f ca="1">IFERROR(__xludf.DUMMYFUNCTION("""COMPUTED_VALUE"""),"CA")</f>
        <v>CA</v>
      </c>
      <c r="O66" s="5" t="str">
        <f ca="1">IFERROR(__xludf.DUMMYFUNCTION("""COMPUTED_VALUE"""),"Other")</f>
        <v>Other</v>
      </c>
      <c r="P66" s="5" t="str">
        <f ca="1">IFERROR(__xludf.DUMMYFUNCTION("""COMPUTED_VALUE"""),"School Bus")</f>
        <v>School Bus</v>
      </c>
      <c r="Q66" s="5" t="str">
        <f ca="1">IFERROR(__xludf.DUMMYFUNCTION("""COMPUTED_VALUE"""),"School Bus")</f>
        <v>School Bus</v>
      </c>
      <c r="R66" s="5" t="str">
        <f ca="1">IFERROR(__xludf.DUMMYFUNCTION("""COMPUTED_VALUE"""),"Yes")</f>
        <v>Yes</v>
      </c>
      <c r="S66" s="5" t="str">
        <f ca="1">IFERROR(__xludf.DUMMYFUNCTION("""COMPUTED_VALUE"""),"Morning Classes")</f>
        <v>Morning Classes</v>
      </c>
      <c r="T66" s="10">
        <f ca="1">IFERROR(__xludf.DUMMYFUNCTION("""COMPUTED_VALUE"""),0.375)</f>
        <v>0.375</v>
      </c>
      <c r="U66" s="5">
        <f ca="1">IFERROR(__xludf.DUMMYFUNCTION("""COMPUTED_VALUE"""),1)</f>
        <v>1</v>
      </c>
      <c r="V66" s="5" t="str">
        <f ca="1">IFERROR(__xludf.DUMMYFUNCTION("""COMPUTED_VALUE"""),"School bus struck multiple times during drive-by")</f>
        <v>School bus struck multiple times during drive-by</v>
      </c>
      <c r="W66"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X66" s="5" t="str">
        <f ca="1">IFERROR(__xludf.DUMMYFUNCTION("""COMPUTED_VALUE"""),"Drive-by Shooting")</f>
        <v>Drive-by Shooting</v>
      </c>
      <c r="Y66" s="5" t="str">
        <f ca="1">IFERROR(__xludf.DUMMYFUNCTION("""COMPUTED_VALUE"""),"Both")</f>
        <v>Both</v>
      </c>
      <c r="Z66" s="5" t="str">
        <f ca="1">IFERROR(__xludf.DUMMYFUNCTION("""COMPUTED_VALUE"""),"No")</f>
        <v>No</v>
      </c>
      <c r="AA66" s="5"/>
      <c r="AB66" s="5" t="str">
        <f ca="1">IFERROR(__xludf.DUMMYFUNCTION("""COMPUTED_VALUE"""),"No")</f>
        <v>No</v>
      </c>
      <c r="AC66" s="5" t="str">
        <f ca="1">IFERROR(__xludf.DUMMYFUNCTION("""COMPUTED_VALUE"""),"No")</f>
        <v>No</v>
      </c>
      <c r="AD66" s="5" t="str">
        <f ca="1">IFERROR(__xludf.DUMMYFUNCTION("""COMPUTED_VALUE"""),"No")</f>
        <v>No</v>
      </c>
      <c r="AE66" s="5" t="str">
        <f ca="1">IFERROR(__xludf.DUMMYFUNCTION("""COMPUTED_VALUE"""),"No")</f>
        <v>No</v>
      </c>
      <c r="AF66" s="5" t="str">
        <f ca="1">IFERROR(__xludf.DUMMYFUNCTION("""COMPUTED_VALUE"""),"No")</f>
        <v>No</v>
      </c>
      <c r="AG66" s="5"/>
      <c r="AH66" s="5" t="str">
        <f ca="1">IFERROR(__xludf.DUMMYFUNCTION("""COMPUTED_VALUE"""),"No")</f>
        <v>No</v>
      </c>
    </row>
    <row r="67" spans="1:34" ht="12.75">
      <c r="A67" s="5" t="str">
        <f ca="1">IFERROR(__xludf.DUMMYFUNCTION("""COMPUTED_VALUE"""),"20220516TXMEM")</f>
        <v>20220516TXMEM</v>
      </c>
      <c r="B67" s="8">
        <f ca="1">IFERROR(__xludf.DUMMYFUNCTION("""COMPUTED_VALUE"""),44697)</f>
        <v>44697</v>
      </c>
      <c r="C67" s="5" t="str">
        <f ca="1">IFERROR(__xludf.DUMMYFUNCTION("""COMPUTED_VALUE"""),"Mexia High School")</f>
        <v>Mexia High School</v>
      </c>
      <c r="D67" s="5">
        <f ca="1">IFERROR(__xludf.DUMMYFUNCTION("""COMPUTED_VALUE"""),0)</f>
        <v>0</v>
      </c>
      <c r="E67" s="5">
        <f ca="1">IFERROR(__xludf.DUMMYFUNCTION("""COMPUTED_VALUE"""),0)</f>
        <v>0</v>
      </c>
      <c r="F67" s="5">
        <f ca="1">IFERROR(__xludf.DUMMYFUNCTION("""COMPUTED_VALUE"""),0)</f>
        <v>0</v>
      </c>
      <c r="G67" s="5">
        <f ca="1">IFERROR(__xludf.DUMMYFUNCTION("""COMPUTED_VALUE"""),0)</f>
        <v>0</v>
      </c>
      <c r="H67" s="5" t="str">
        <f ca="1">IFERROR(__xludf.DUMMYFUNCTION("""COMPUTED_VALUE"""),"https://www.kbtx.com/2022/05/16/mexia-isd-campuses-lockdown-person-interest-incident-detained/ https://www.kxxv.com/news/all-mexia-isd-campuses-on-lockdown-city-of-mexia https://www.kwtx.com/2022/05/16/mexia-isd-campuses-lockdown-central-texas/ https://ww"&amp;"w.kcentv.com/article/news/crime/all-mexia-isd-campuses-placed-on-lockdown/500-7e04548b-96b5-46e2-a155-bed638e62fbf")</f>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I67" s="5">
        <f ca="1">IFERROR(__xludf.DUMMYFUNCTION("""COMPUTED_VALUE"""),4)</f>
        <v>4</v>
      </c>
      <c r="J67" s="5" t="str">
        <f ca="1">IFERROR(__xludf.DUMMYFUNCTION("""COMPUTED_VALUE"""),"Local")</f>
        <v>Local</v>
      </c>
      <c r="K67" s="5">
        <f ca="1">IFERROR(__xludf.DUMMYFUNCTION("""COMPUTED_VALUE"""),4)</f>
        <v>4</v>
      </c>
      <c r="L67" s="5" t="str">
        <f ca="1">IFERROR(__xludf.DUMMYFUNCTION("""COMPUTED_VALUE"""),"Spring")</f>
        <v>Spring</v>
      </c>
      <c r="M67" s="5" t="str">
        <f ca="1">IFERROR(__xludf.DUMMYFUNCTION("""COMPUTED_VALUE"""),"Mexia")</f>
        <v>Mexia</v>
      </c>
      <c r="N67" s="5" t="str">
        <f ca="1">IFERROR(__xludf.DUMMYFUNCTION("""COMPUTED_VALUE"""),"TX")</f>
        <v>TX</v>
      </c>
      <c r="O67" s="5" t="str">
        <f ca="1">IFERROR(__xludf.DUMMYFUNCTION("""COMPUTED_VALUE"""),"High")</f>
        <v>High</v>
      </c>
      <c r="P67" s="5" t="str">
        <f ca="1">IFERROR(__xludf.DUMMYFUNCTION("""COMPUTED_VALUE"""),"Bathroom")</f>
        <v>Bathroom</v>
      </c>
      <c r="Q67" s="5" t="str">
        <f ca="1">IFERROR(__xludf.DUMMYFUNCTION("""COMPUTED_VALUE"""),"Inside School Building")</f>
        <v>Inside School Building</v>
      </c>
      <c r="R67" s="5" t="str">
        <f ca="1">IFERROR(__xludf.DUMMYFUNCTION("""COMPUTED_VALUE"""),"Yes")</f>
        <v>Yes</v>
      </c>
      <c r="S67" s="5" t="str">
        <f ca="1">IFERROR(__xludf.DUMMYFUNCTION("""COMPUTED_VALUE"""),"Morning Classes")</f>
        <v>Morning Classes</v>
      </c>
      <c r="T67" s="10">
        <f ca="1">IFERROR(__xludf.DUMMYFUNCTION("""COMPUTED_VALUE"""),0.472222222222222)</f>
        <v>0.47222222222222199</v>
      </c>
      <c r="U67" s="5">
        <f ca="1">IFERROR(__xludf.DUMMYFUNCTION("""COMPUTED_VALUE"""),16)</f>
        <v>16</v>
      </c>
      <c r="V67" s="5" t="str">
        <f ca="1">IFERROR(__xludf.DUMMYFUNCTION("""COMPUTED_VALUE"""),"Shot fired in bathroom, suspect and loaded gun found on campus")</f>
        <v>Shot fired in bathroom, suspect and loaded gun found on campus</v>
      </c>
      <c r="W67"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X67" s="5"/>
      <c r="Y67" s="5"/>
      <c r="Z67" s="5"/>
      <c r="AA67" s="5"/>
      <c r="AB67" s="5" t="str">
        <f ca="1">IFERROR(__xludf.DUMMYFUNCTION("""COMPUTED_VALUE"""),"No")</f>
        <v>No</v>
      </c>
      <c r="AC67" s="5" t="str">
        <f ca="1">IFERROR(__xludf.DUMMYFUNCTION("""COMPUTED_VALUE"""),"No")</f>
        <v>No</v>
      </c>
      <c r="AD67" s="5" t="str">
        <f ca="1">IFERROR(__xludf.DUMMYFUNCTION("""COMPUTED_VALUE"""),"No")</f>
        <v>No</v>
      </c>
      <c r="AE67" s="5" t="str">
        <f ca="1">IFERROR(__xludf.DUMMYFUNCTION("""COMPUTED_VALUE"""),"No")</f>
        <v>No</v>
      </c>
      <c r="AF67" s="5" t="str">
        <f ca="1">IFERROR(__xludf.DUMMYFUNCTION("""COMPUTED_VALUE"""),"No")</f>
        <v>No</v>
      </c>
      <c r="AG67" s="5"/>
      <c r="AH67" s="5" t="str">
        <f ca="1">IFERROR(__xludf.DUMMYFUNCTION("""COMPUTED_VALUE"""),"No")</f>
        <v>No</v>
      </c>
    </row>
    <row r="68" spans="1:34" ht="12.75">
      <c r="A68" s="5" t="str">
        <f ca="1">IFERROR(__xludf.DUMMYFUNCTION("""COMPUTED_VALUE"""),"20220515NHBEB")</f>
        <v>20220515NHBEB</v>
      </c>
      <c r="B68" s="8">
        <f ca="1">IFERROR(__xludf.DUMMYFUNCTION("""COMPUTED_VALUE"""),44696)</f>
        <v>44696</v>
      </c>
      <c r="C68" s="5" t="str">
        <f ca="1">IFERROR(__xludf.DUMMYFUNCTION("""COMPUTED_VALUE"""),"Belmont Elementary School")</f>
        <v>Belmont Elementary School</v>
      </c>
      <c r="D68" s="5">
        <f ca="1">IFERROR(__xludf.DUMMYFUNCTION("""COMPUTED_VALUE"""),0)</f>
        <v>0</v>
      </c>
      <c r="E68" s="5">
        <f ca="1">IFERROR(__xludf.DUMMYFUNCTION("""COMPUTED_VALUE"""),0)</f>
        <v>0</v>
      </c>
      <c r="F68" s="5">
        <f ca="1">IFERROR(__xludf.DUMMYFUNCTION("""COMPUTED_VALUE"""),0)</f>
        <v>0</v>
      </c>
      <c r="G68" s="5">
        <f ca="1">IFERROR(__xludf.DUMMYFUNCTION("""COMPUTED_VALUE"""),0)</f>
        <v>0</v>
      </c>
      <c r="H68"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I68" s="5">
        <f ca="1">IFERROR(__xludf.DUMMYFUNCTION("""COMPUTED_VALUE"""),1)</f>
        <v>1</v>
      </c>
      <c r="J68" s="5" t="str">
        <f ca="1">IFERROR(__xludf.DUMMYFUNCTION("""COMPUTED_VALUE"""),"Local")</f>
        <v>Local</v>
      </c>
      <c r="K68" s="5">
        <f ca="1">IFERROR(__xludf.DUMMYFUNCTION("""COMPUTED_VALUE"""),4)</f>
        <v>4</v>
      </c>
      <c r="L68" s="5" t="str">
        <f ca="1">IFERROR(__xludf.DUMMYFUNCTION("""COMPUTED_VALUE"""),"Spring")</f>
        <v>Spring</v>
      </c>
      <c r="M68" s="5" t="str">
        <f ca="1">IFERROR(__xludf.DUMMYFUNCTION("""COMPUTED_VALUE"""),"Belmont")</f>
        <v>Belmont</v>
      </c>
      <c r="N68" s="5" t="str">
        <f ca="1">IFERROR(__xludf.DUMMYFUNCTION("""COMPUTED_VALUE"""),"NH")</f>
        <v>NH</v>
      </c>
      <c r="O68" s="5" t="str">
        <f ca="1">IFERROR(__xludf.DUMMYFUNCTION("""COMPUTED_VALUE"""),"Elementary")</f>
        <v>Elementary</v>
      </c>
      <c r="P68" s="5" t="str">
        <f ca="1">IFERROR(__xludf.DUMMYFUNCTION("""COMPUTED_VALUE"""),"Parking Lot")</f>
        <v>Parking Lot</v>
      </c>
      <c r="Q68" s="5" t="str">
        <f ca="1">IFERROR(__xludf.DUMMYFUNCTION("""COMPUTED_VALUE"""),"Outside on School Property")</f>
        <v>Outside on School Property</v>
      </c>
      <c r="R68" s="5" t="str">
        <f ca="1">IFERROR(__xludf.DUMMYFUNCTION("""COMPUTED_VALUE"""),"No")</f>
        <v>No</v>
      </c>
      <c r="S68" s="5" t="str">
        <f ca="1">IFERROR(__xludf.DUMMYFUNCTION("""COMPUTED_VALUE"""),"Not a School Day")</f>
        <v>Not a School Day</v>
      </c>
      <c r="T68" s="10">
        <f ca="1">IFERROR(__xludf.DUMMYFUNCTION("""COMPUTED_VALUE"""),0.416666666666666)</f>
        <v>0.41666666666666602</v>
      </c>
      <c r="U68" s="5">
        <f ca="1">IFERROR(__xludf.DUMMYFUNCTION("""COMPUTED_VALUE"""),1)</f>
        <v>1</v>
      </c>
      <c r="V68" s="5" t="str">
        <f ca="1">IFERROR(__xludf.DUMMYFUNCTION("""COMPUTED_VALUE"""),"Children shot with pellet guns fired during drive-by")</f>
        <v>Children shot with pellet guns fired during drive-by</v>
      </c>
      <c r="W68"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X68" s="5" t="str">
        <f ca="1">IFERROR(__xludf.DUMMYFUNCTION("""COMPUTED_VALUE"""),"Drive-by Shooting")</f>
        <v>Drive-by Shooting</v>
      </c>
      <c r="Y68" s="5" t="str">
        <f ca="1">IFERROR(__xludf.DUMMYFUNCTION("""COMPUTED_VALUE"""),"Random Shooting")</f>
        <v>Random Shooting</v>
      </c>
      <c r="Z68" s="5" t="str">
        <f ca="1">IFERROR(__xludf.DUMMYFUNCTION("""COMPUTED_VALUE"""),"Yes")</f>
        <v>Yes</v>
      </c>
      <c r="AA68" s="5" t="str">
        <f ca="1">IFERROR(__xludf.DUMMYFUNCTION("""COMPUTED_VALUE"""),"Teens in car")</f>
        <v>Teens in car</v>
      </c>
      <c r="AB68" s="5" t="str">
        <f ca="1">IFERROR(__xludf.DUMMYFUNCTION("""COMPUTED_VALUE"""),"No")</f>
        <v>No</v>
      </c>
      <c r="AC68" s="5" t="str">
        <f ca="1">IFERROR(__xludf.DUMMYFUNCTION("""COMPUTED_VALUE"""),"No")</f>
        <v>No</v>
      </c>
      <c r="AD68" s="5" t="str">
        <f ca="1">IFERROR(__xludf.DUMMYFUNCTION("""COMPUTED_VALUE"""),"No")</f>
        <v>No</v>
      </c>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row>
    <row r="69" spans="1:34" ht="12.75">
      <c r="A69" s="5" t="str">
        <f ca="1">IFERROR(__xludf.DUMMYFUNCTION("""COMPUTED_VALUE"""),"20220515ILMEP")</f>
        <v>20220515ILMEP</v>
      </c>
      <c r="B69" s="8">
        <f ca="1">IFERROR(__xludf.DUMMYFUNCTION("""COMPUTED_VALUE"""),44696)</f>
        <v>44696</v>
      </c>
      <c r="C69" s="5" t="str">
        <f ca="1">IFERROR(__xludf.DUMMYFUNCTION("""COMPUTED_VALUE"""),"Meadow View Elementary School")</f>
        <v>Meadow View Elementary School</v>
      </c>
      <c r="D69" s="5">
        <f ca="1">IFERROR(__xludf.DUMMYFUNCTION("""COMPUTED_VALUE"""),0)</f>
        <v>0</v>
      </c>
      <c r="E69" s="5">
        <f ca="1">IFERROR(__xludf.DUMMYFUNCTION("""COMPUTED_VALUE"""),1)</f>
        <v>1</v>
      </c>
      <c r="F69" s="5">
        <f ca="1">IFERROR(__xludf.DUMMYFUNCTION("""COMPUTED_VALUE"""),1)</f>
        <v>1</v>
      </c>
      <c r="G69" s="5">
        <f ca="1">IFERROR(__xludf.DUMMYFUNCTION("""COMPUTED_VALUE"""),0)</f>
        <v>0</v>
      </c>
      <c r="H69"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I69" s="5">
        <f ca="1">IFERROR(__xludf.DUMMYFUNCTION("""COMPUTED_VALUE"""),1)</f>
        <v>1</v>
      </c>
      <c r="J69" s="5" t="str">
        <f ca="1">IFERROR(__xludf.DUMMYFUNCTION("""COMPUTED_VALUE"""),"Local")</f>
        <v>Local</v>
      </c>
      <c r="K69" s="5">
        <f ca="1">IFERROR(__xludf.DUMMYFUNCTION("""COMPUTED_VALUE"""),4)</f>
        <v>4</v>
      </c>
      <c r="L69" s="5" t="str">
        <f ca="1">IFERROR(__xludf.DUMMYFUNCTION("""COMPUTED_VALUE"""),"Spring")</f>
        <v>Spring</v>
      </c>
      <c r="M69" s="5" t="str">
        <f ca="1">IFERROR(__xludf.DUMMYFUNCTION("""COMPUTED_VALUE"""),"Plainfield")</f>
        <v>Plainfield</v>
      </c>
      <c r="N69" s="5" t="str">
        <f ca="1">IFERROR(__xludf.DUMMYFUNCTION("""COMPUTED_VALUE"""),"IL")</f>
        <v>IL</v>
      </c>
      <c r="O69" s="5" t="str">
        <f ca="1">IFERROR(__xludf.DUMMYFUNCTION("""COMPUTED_VALUE"""),"Elementary")</f>
        <v>Elementary</v>
      </c>
      <c r="P69" s="5" t="str">
        <f ca="1">IFERROR(__xludf.DUMMYFUNCTION("""COMPUTED_VALUE"""),"Field (General)")</f>
        <v>Field (General)</v>
      </c>
      <c r="Q69" s="5" t="str">
        <f ca="1">IFERROR(__xludf.DUMMYFUNCTION("""COMPUTED_VALUE"""),"Outside on School Property")</f>
        <v>Outside on School Property</v>
      </c>
      <c r="R69" s="5" t="str">
        <f ca="1">IFERROR(__xludf.DUMMYFUNCTION("""COMPUTED_VALUE"""),"No")</f>
        <v>No</v>
      </c>
      <c r="S69" s="5" t="str">
        <f ca="1">IFERROR(__xludf.DUMMYFUNCTION("""COMPUTED_VALUE"""),"Evening")</f>
        <v>Evening</v>
      </c>
      <c r="T69" s="10">
        <f ca="1">IFERROR(__xludf.DUMMYFUNCTION("""COMPUTED_VALUE"""),0.8125)</f>
        <v>0.8125</v>
      </c>
      <c r="U69" s="5">
        <f ca="1">IFERROR(__xludf.DUMMYFUNCTION("""COMPUTED_VALUE"""),1)</f>
        <v>1</v>
      </c>
      <c r="V69" s="5" t="str">
        <f ca="1">IFERROR(__xludf.DUMMYFUNCTION("""COMPUTED_VALUE"""),"Teen shot on the school field, shooter fled")</f>
        <v>Teen shot on the school field, shooter fled</v>
      </c>
      <c r="W69"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X69" s="5"/>
      <c r="Y69" s="5" t="str">
        <f ca="1">IFERROR(__xludf.DUMMYFUNCTION("""COMPUTED_VALUE"""),"Victims Targeted")</f>
        <v>Victims Targeted</v>
      </c>
      <c r="Z69" s="5" t="str">
        <f ca="1">IFERROR(__xludf.DUMMYFUNCTION("""COMPUTED_VALUE"""),"No")</f>
        <v>No</v>
      </c>
      <c r="AA69" s="5"/>
      <c r="AB69" s="5" t="str">
        <f ca="1">IFERROR(__xludf.DUMMYFUNCTION("""COMPUTED_VALUE"""),"No")</f>
        <v>No</v>
      </c>
      <c r="AC69" s="5" t="str">
        <f ca="1">IFERROR(__xludf.DUMMYFUNCTION("""COMPUTED_VALUE"""),"No")</f>
        <v>No</v>
      </c>
      <c r="AD69" s="5" t="str">
        <f ca="1">IFERROR(__xludf.DUMMYFUNCTION("""COMPUTED_VALUE"""),"No")</f>
        <v>No</v>
      </c>
      <c r="AE69" s="5" t="str">
        <f ca="1">IFERROR(__xludf.DUMMYFUNCTION("""COMPUTED_VALUE"""),"No")</f>
        <v>No</v>
      </c>
      <c r="AF69" s="5" t="str">
        <f ca="1">IFERROR(__xludf.DUMMYFUNCTION("""COMPUTED_VALUE"""),"No")</f>
        <v>No</v>
      </c>
      <c r="AG69" s="5"/>
      <c r="AH69" s="5" t="str">
        <f ca="1">IFERROR(__xludf.DUMMYFUNCTION("""COMPUTED_VALUE"""),"No")</f>
        <v>No</v>
      </c>
    </row>
    <row r="70" spans="1:34" ht="12.75">
      <c r="A70" s="5" t="str">
        <f ca="1">IFERROR(__xludf.DUMMYFUNCTION("""COMPUTED_VALUE"""),"20220513GASOM")</f>
        <v>20220513GASOM</v>
      </c>
      <c r="B70" s="8">
        <f ca="1">IFERROR(__xludf.DUMMYFUNCTION("""COMPUTED_VALUE"""),44694)</f>
        <v>44694</v>
      </c>
      <c r="C70" s="5" t="str">
        <f ca="1">IFERROR(__xludf.DUMMYFUNCTION("""COMPUTED_VALUE"""),"Southwest High School")</f>
        <v>Southwest High School</v>
      </c>
      <c r="D70" s="5">
        <f ca="1">IFERROR(__xludf.DUMMYFUNCTION("""COMPUTED_VALUE"""),0)</f>
        <v>0</v>
      </c>
      <c r="E70" s="5">
        <f ca="1">IFERROR(__xludf.DUMMYFUNCTION("""COMPUTED_VALUE"""),1)</f>
        <v>1</v>
      </c>
      <c r="F70" s="5">
        <f ca="1">IFERROR(__xludf.DUMMYFUNCTION("""COMPUTED_VALUE"""),1)</f>
        <v>1</v>
      </c>
      <c r="G70" s="5">
        <f ca="1">IFERROR(__xludf.DUMMYFUNCTION("""COMPUTED_VALUE"""),0)</f>
        <v>0</v>
      </c>
      <c r="H70" s="9" t="str">
        <f ca="1">IFERROR(__xludf.DUMMYFUNCTION("""COMPUTED_VALUE"""),"https://wgxa.tv/news/local/friday-shooting-macon-school")</f>
        <v>https://wgxa.tv/news/local/friday-shooting-macon-school</v>
      </c>
      <c r="I70" s="5">
        <f ca="1">IFERROR(__xludf.DUMMYFUNCTION("""COMPUTED_VALUE"""),1)</f>
        <v>1</v>
      </c>
      <c r="J70" s="5" t="str">
        <f ca="1">IFERROR(__xludf.DUMMYFUNCTION("""COMPUTED_VALUE"""),"Local")</f>
        <v>Local</v>
      </c>
      <c r="K70" s="5">
        <f ca="1">IFERROR(__xludf.DUMMYFUNCTION("""COMPUTED_VALUE"""),3)</f>
        <v>3</v>
      </c>
      <c r="L70" s="5" t="str">
        <f ca="1">IFERROR(__xludf.DUMMYFUNCTION("""COMPUTED_VALUE"""),"Spring")</f>
        <v>Spring</v>
      </c>
      <c r="M70" s="5" t="str">
        <f ca="1">IFERROR(__xludf.DUMMYFUNCTION("""COMPUTED_VALUE"""),"Macon")</f>
        <v>Macon</v>
      </c>
      <c r="N70" s="5" t="str">
        <f ca="1">IFERROR(__xludf.DUMMYFUNCTION("""COMPUTED_VALUE"""),"GA")</f>
        <v>GA</v>
      </c>
      <c r="O70" s="5" t="str">
        <f ca="1">IFERROR(__xludf.DUMMYFUNCTION("""COMPUTED_VALUE"""),"High")</f>
        <v>High</v>
      </c>
      <c r="P70" s="5" t="str">
        <f ca="1">IFERROR(__xludf.DUMMYFUNCTION("""COMPUTED_VALUE"""),"Parking Lot")</f>
        <v>Parking Lot</v>
      </c>
      <c r="Q70" s="5" t="str">
        <f ca="1">IFERROR(__xludf.DUMMYFUNCTION("""COMPUTED_VALUE"""),"Outside on School Property")</f>
        <v>Outside on School Property</v>
      </c>
      <c r="R70" s="5" t="str">
        <f ca="1">IFERROR(__xludf.DUMMYFUNCTION("""COMPUTED_VALUE"""),"No")</f>
        <v>No</v>
      </c>
      <c r="S70" s="5" t="str">
        <f ca="1">IFERROR(__xludf.DUMMYFUNCTION("""COMPUTED_VALUE"""),"Evening")</f>
        <v>Evening</v>
      </c>
      <c r="T70" s="10">
        <f ca="1">IFERROR(__xludf.DUMMYFUNCTION("""COMPUTED_VALUE"""),0.825694444444444)</f>
        <v>0.82569444444444395</v>
      </c>
      <c r="U70" s="5">
        <f ca="1">IFERROR(__xludf.DUMMYFUNCTION("""COMPUTED_VALUE"""),1)</f>
        <v>1</v>
      </c>
      <c r="V70" s="5" t="str">
        <f ca="1">IFERROR(__xludf.DUMMYFUNCTION("""COMPUTED_VALUE"""),"Adult man shot and critically injured in school parking lot")</f>
        <v>Adult man shot and critically injured in school parking lot</v>
      </c>
      <c r="W70" s="5" t="str">
        <f ca="1">IFERROR(__xludf.DUMMYFUNCTION("""COMPUTED_VALUE"""),"A 21-year-old man was shot and critically injured in the school parking lot. No other details available.")</f>
        <v>A 21-year-old man was shot and critically injured in the school parking lot. No other details available.</v>
      </c>
      <c r="X70" s="5"/>
      <c r="Y70" s="5"/>
      <c r="Z70" s="5"/>
      <c r="AA70" s="5"/>
      <c r="AB70" s="5" t="str">
        <f ca="1">IFERROR(__xludf.DUMMYFUNCTION("""COMPUTED_VALUE"""),"No")</f>
        <v>No</v>
      </c>
      <c r="AC70" s="5" t="str">
        <f ca="1">IFERROR(__xludf.DUMMYFUNCTION("""COMPUTED_VALUE"""),"No")</f>
        <v>No</v>
      </c>
      <c r="AD70" s="5" t="str">
        <f ca="1">IFERROR(__xludf.DUMMYFUNCTION("""COMPUTED_VALUE"""),"No")</f>
        <v>No</v>
      </c>
      <c r="AE70" s="5" t="str">
        <f ca="1">IFERROR(__xludf.DUMMYFUNCTION("""COMPUTED_VALUE"""),"No")</f>
        <v>No</v>
      </c>
      <c r="AF70" s="5" t="str">
        <f ca="1">IFERROR(__xludf.DUMMYFUNCTION("""COMPUTED_VALUE"""),"No")</f>
        <v>No</v>
      </c>
      <c r="AG70" s="5"/>
      <c r="AH70" s="5" t="str">
        <f ca="1">IFERROR(__xludf.DUMMYFUNCTION("""COMPUTED_VALUE"""),"No")</f>
        <v>No</v>
      </c>
    </row>
    <row r="71" spans="1:34" ht="12.75">
      <c r="A71" s="5" t="str">
        <f ca="1">IFERROR(__xludf.DUMMYFUNCTION("""COMPUTED_VALUE"""),"20220513FLALW")</f>
        <v>20220513FLALW</v>
      </c>
      <c r="B71" s="8">
        <f ca="1">IFERROR(__xludf.DUMMYFUNCTION("""COMPUTED_VALUE"""),44694)</f>
        <v>44694</v>
      </c>
      <c r="C71" s="5" t="str">
        <f ca="1">IFERROR(__xludf.DUMMYFUNCTION("""COMPUTED_VALUE"""),"Alexander W. Dreyfoos School of the Arts")</f>
        <v>Alexander W. Dreyfoos School of the Arts</v>
      </c>
      <c r="D71" s="5">
        <f ca="1">IFERROR(__xludf.DUMMYFUNCTION("""COMPUTED_VALUE"""),1)</f>
        <v>1</v>
      </c>
      <c r="E71" s="5">
        <f ca="1">IFERROR(__xludf.DUMMYFUNCTION("""COMPUTED_VALUE"""),0)</f>
        <v>0</v>
      </c>
      <c r="F71" s="5">
        <f ca="1">IFERROR(__xludf.DUMMYFUNCTION("""COMPUTED_VALUE"""),1)</f>
        <v>1</v>
      </c>
      <c r="G71" s="5">
        <f ca="1">IFERROR(__xludf.DUMMYFUNCTION("""COMPUTED_VALUE"""),0)</f>
        <v>0</v>
      </c>
      <c r="H71"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I71" s="5">
        <f ca="1">IFERROR(__xludf.DUMMYFUNCTION("""COMPUTED_VALUE"""),50)</f>
        <v>50</v>
      </c>
      <c r="J71" s="5" t="str">
        <f ca="1">IFERROR(__xludf.DUMMYFUNCTION("""COMPUTED_VALUE"""),"National")</f>
        <v>National</v>
      </c>
      <c r="K71" s="5">
        <f ca="1">IFERROR(__xludf.DUMMYFUNCTION("""COMPUTED_VALUE"""),4)</f>
        <v>4</v>
      </c>
      <c r="L71" s="5" t="str">
        <f ca="1">IFERROR(__xludf.DUMMYFUNCTION("""COMPUTED_VALUE"""),"Spring")</f>
        <v>Spring</v>
      </c>
      <c r="M71" s="5" t="str">
        <f ca="1">IFERROR(__xludf.DUMMYFUNCTION("""COMPUTED_VALUE"""),"West Palm Beach")</f>
        <v>West Palm Beach</v>
      </c>
      <c r="N71" s="5" t="str">
        <f ca="1">IFERROR(__xludf.DUMMYFUNCTION("""COMPUTED_VALUE"""),"FL")</f>
        <v>FL</v>
      </c>
      <c r="O71" s="5" t="str">
        <f ca="1">IFERROR(__xludf.DUMMYFUNCTION("""COMPUTED_VALUE"""),"High")</f>
        <v>High</v>
      </c>
      <c r="P71" s="5" t="str">
        <f ca="1">IFERROR(__xludf.DUMMYFUNCTION("""COMPUTED_VALUE"""),"Beside Building")</f>
        <v>Beside Building</v>
      </c>
      <c r="Q71" s="5" t="str">
        <f ca="1">IFERROR(__xludf.DUMMYFUNCTION("""COMPUTED_VALUE"""),"Outside on School Property")</f>
        <v>Outside on School Property</v>
      </c>
      <c r="R71" s="5" t="str">
        <f ca="1">IFERROR(__xludf.DUMMYFUNCTION("""COMPUTED_VALUE"""),"Yes")</f>
        <v>Yes</v>
      </c>
      <c r="S71" s="5" t="str">
        <f ca="1">IFERROR(__xludf.DUMMYFUNCTION("""COMPUTED_VALUE"""),"Lunch")</f>
        <v>Lunch</v>
      </c>
      <c r="T71" s="10">
        <f ca="1">IFERROR(__xludf.DUMMYFUNCTION("""COMPUTED_VALUE"""),0.5)</f>
        <v>0.5</v>
      </c>
      <c r="U71" s="5">
        <f ca="1">IFERROR(__xludf.DUMMYFUNCTION("""COMPUTED_VALUE"""),1)</f>
        <v>1</v>
      </c>
      <c r="V71" s="5" t="str">
        <f ca="1">IFERROR(__xludf.DUMMYFUNCTION("""COMPUTED_VALUE"""),"Van crashed through campus gate, driver fought school police office, second officer shot him")</f>
        <v>Van crashed through campus gate, driver fought school police office, second officer shot him</v>
      </c>
      <c r="W71"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X71" s="5" t="str">
        <f ca="1">IFERROR(__xludf.DUMMYFUNCTION("""COMPUTED_VALUE"""),"Officer-Involved Shooting")</f>
        <v>Officer-Involved Shooting</v>
      </c>
      <c r="Y71" s="5"/>
      <c r="Z71" s="5"/>
      <c r="AA71" s="5"/>
      <c r="AB71" s="5"/>
      <c r="AC71" s="5"/>
      <c r="AD71" s="5" t="str">
        <f ca="1">IFERROR(__xludf.DUMMYFUNCTION("""COMPUTED_VALUE"""),"Yes")</f>
        <v>Yes</v>
      </c>
      <c r="AE71" s="5"/>
      <c r="AF71" s="5"/>
      <c r="AG71" s="5"/>
      <c r="AH71" s="5" t="str">
        <f ca="1">IFERROR(__xludf.DUMMYFUNCTION("""COMPUTED_VALUE"""),"No")</f>
        <v>No</v>
      </c>
    </row>
    <row r="72" spans="1:34" ht="12.75">
      <c r="A72" s="5" t="str">
        <f ca="1">IFERROR(__xludf.DUMMYFUNCTION("""COMPUTED_VALUE"""),"20220512TXHEH")</f>
        <v>20220512TXHEH</v>
      </c>
      <c r="B72" s="8">
        <f ca="1">IFERROR(__xludf.DUMMYFUNCTION("""COMPUTED_VALUE"""),44693)</f>
        <v>44693</v>
      </c>
      <c r="C72" s="5" t="str">
        <f ca="1">IFERROR(__xludf.DUMMYFUNCTION("""COMPUTED_VALUE"""),"Heights High School")</f>
        <v>Heights High School</v>
      </c>
      <c r="D72" s="5">
        <f ca="1">IFERROR(__xludf.DUMMYFUNCTION("""COMPUTED_VALUE"""),0)</f>
        <v>0</v>
      </c>
      <c r="E72" s="5">
        <f ca="1">IFERROR(__xludf.DUMMYFUNCTION("""COMPUTED_VALUE"""),1)</f>
        <v>1</v>
      </c>
      <c r="F72" s="5">
        <f ca="1">IFERROR(__xludf.DUMMYFUNCTION("""COMPUTED_VALUE"""),1)</f>
        <v>1</v>
      </c>
      <c r="G72" s="5">
        <f ca="1">IFERROR(__xludf.DUMMYFUNCTION("""COMPUTED_VALUE"""),0)</f>
        <v>0</v>
      </c>
      <c r="H72"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I72" s="5">
        <f ca="1">IFERROR(__xludf.DUMMYFUNCTION("""COMPUTED_VALUE"""),5)</f>
        <v>5</v>
      </c>
      <c r="J72" s="5" t="str">
        <f ca="1">IFERROR(__xludf.DUMMYFUNCTION("""COMPUTED_VALUE"""),"Local")</f>
        <v>Local</v>
      </c>
      <c r="K72" s="5">
        <f ca="1">IFERROR(__xludf.DUMMYFUNCTION("""COMPUTED_VALUE"""),4)</f>
        <v>4</v>
      </c>
      <c r="L72" s="5" t="str">
        <f ca="1">IFERROR(__xludf.DUMMYFUNCTION("""COMPUTED_VALUE"""),"Spring")</f>
        <v>Spring</v>
      </c>
      <c r="M72" s="5" t="str">
        <f ca="1">IFERROR(__xludf.DUMMYFUNCTION("""COMPUTED_VALUE"""),"Houston")</f>
        <v>Houston</v>
      </c>
      <c r="N72" s="5" t="str">
        <f ca="1">IFERROR(__xludf.DUMMYFUNCTION("""COMPUTED_VALUE"""),"TX")</f>
        <v>TX</v>
      </c>
      <c r="O72" s="5" t="str">
        <f ca="1">IFERROR(__xludf.DUMMYFUNCTION("""COMPUTED_VALUE"""),"High")</f>
        <v>High</v>
      </c>
      <c r="P72" s="5" t="str">
        <f ca="1">IFERROR(__xludf.DUMMYFUNCTION("""COMPUTED_VALUE"""),"Parking Lot")</f>
        <v>Parking Lot</v>
      </c>
      <c r="Q72" s="5" t="str">
        <f ca="1">IFERROR(__xludf.DUMMYFUNCTION("""COMPUTED_VALUE"""),"Outside on School Property")</f>
        <v>Outside on School Property</v>
      </c>
      <c r="R72" s="5" t="str">
        <f ca="1">IFERROR(__xludf.DUMMYFUNCTION("""COMPUTED_VALUE"""),"Yes")</f>
        <v>Yes</v>
      </c>
      <c r="S72" s="5" t="str">
        <f ca="1">IFERROR(__xludf.DUMMYFUNCTION("""COMPUTED_VALUE"""),"Afternoon Classes")</f>
        <v>Afternoon Classes</v>
      </c>
      <c r="T72" s="10">
        <f ca="1">IFERROR(__xludf.DUMMYFUNCTION("""COMPUTED_VALUE"""),0.552083333333333)</f>
        <v>0.55208333333333304</v>
      </c>
      <c r="U72" s="5">
        <f ca="1">IFERROR(__xludf.DUMMYFUNCTION("""COMPUTED_VALUE"""),1)</f>
        <v>1</v>
      </c>
      <c r="V72" s="5" t="str">
        <f ca="1">IFERROR(__xludf.DUMMYFUNCTION("""COMPUTED_VALUE"""),"Student shot in school parking lot during afternoon classes")</f>
        <v>Student shot in school parking lot during afternoon classes</v>
      </c>
      <c r="W72"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X72" s="5"/>
      <c r="Y72" s="5" t="str">
        <f ca="1">IFERROR(__xludf.DUMMYFUNCTION("""COMPUTED_VALUE"""),"Victims Targeted")</f>
        <v>Victims Targeted</v>
      </c>
      <c r="Z72" s="5" t="str">
        <f ca="1">IFERROR(__xludf.DUMMYFUNCTION("""COMPUTED_VALUE"""),"Yes")</f>
        <v>Yes</v>
      </c>
      <c r="AA72" s="5" t="str">
        <f ca="1">IFERROR(__xludf.DUMMYFUNCTION("""COMPUTED_VALUE"""),"5 people involved")</f>
        <v>5 people involved</v>
      </c>
      <c r="AB72" s="5" t="str">
        <f ca="1">IFERROR(__xludf.DUMMYFUNCTION("""COMPUTED_VALUE"""),"No")</f>
        <v>No</v>
      </c>
      <c r="AC72" s="5" t="str">
        <f ca="1">IFERROR(__xludf.DUMMYFUNCTION("""COMPUTED_VALUE"""),"No")</f>
        <v>No</v>
      </c>
      <c r="AD72" s="5" t="str">
        <f ca="1">IFERROR(__xludf.DUMMYFUNCTION("""COMPUTED_VALUE"""),"No")</f>
        <v>No</v>
      </c>
      <c r="AE72" s="5" t="str">
        <f ca="1">IFERROR(__xludf.DUMMYFUNCTION("""COMPUTED_VALUE"""),"No")</f>
        <v>No</v>
      </c>
      <c r="AF72" s="5" t="str">
        <f ca="1">IFERROR(__xludf.DUMMYFUNCTION("""COMPUTED_VALUE"""),"No")</f>
        <v>No</v>
      </c>
      <c r="AG72" s="5"/>
      <c r="AH72" s="5" t="str">
        <f ca="1">IFERROR(__xludf.DUMMYFUNCTION("""COMPUTED_VALUE"""),"No")</f>
        <v>No</v>
      </c>
    </row>
    <row r="73" spans="1:34" ht="12.75">
      <c r="A73" s="5" t="str">
        <f ca="1">IFERROR(__xludf.DUMMYFUNCTION("""COMPUTED_VALUE"""),"20220512ARHOH")</f>
        <v>20220512ARHOH</v>
      </c>
      <c r="B73" s="8">
        <f ca="1">IFERROR(__xludf.DUMMYFUNCTION("""COMPUTED_VALUE"""),44693)</f>
        <v>44693</v>
      </c>
      <c r="C73" s="5" t="str">
        <f ca="1">IFERROR(__xludf.DUMMYFUNCTION("""COMPUTED_VALUE"""),"Hot Springs High School")</f>
        <v>Hot Springs High School</v>
      </c>
      <c r="D73" s="5">
        <f ca="1">IFERROR(__xludf.DUMMYFUNCTION("""COMPUTED_VALUE"""),1)</f>
        <v>1</v>
      </c>
      <c r="E73" s="5">
        <f ca="1">IFERROR(__xludf.DUMMYFUNCTION("""COMPUTED_VALUE"""),2)</f>
        <v>2</v>
      </c>
      <c r="F73" s="5">
        <f ca="1">IFERROR(__xludf.DUMMYFUNCTION("""COMPUTED_VALUE"""),3)</f>
        <v>3</v>
      </c>
      <c r="G73" s="5">
        <f ca="1">IFERROR(__xludf.DUMMYFUNCTION("""COMPUTED_VALUE"""),0)</f>
        <v>0</v>
      </c>
      <c r="H73" s="5" t="str">
        <f ca="1">IFERROR(__xludf.DUMMYFUNCTION("""COMPUTED_VALUE"""),"https://katv.com/news/local/1-dead-3-others-injured-following-shooting-after-hot-springs-graduation-suspect-arrested-high-school-district-hshs-hssd-police-department-hspd-michael-jordan-victim-charles-johnson-convention-center-hscc-superintendent-dr-steph"&amp;"anie-nehus-murder-arkansas https://abcnews.go.com/US/arkansas-police-investigating-shooting-high-school-graduation/story?id=84687924 https://www.kark.com/crime/families-in-hot-springs-stunned-after-shooting-outside-high-school-graduation/")</f>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I73" s="5">
        <f ca="1">IFERROR(__xludf.DUMMYFUNCTION("""COMPUTED_VALUE"""),100)</f>
        <v>100</v>
      </c>
      <c r="J73" s="5" t="str">
        <f ca="1">IFERROR(__xludf.DUMMYFUNCTION("""COMPUTED_VALUE"""),"National")</f>
        <v>National</v>
      </c>
      <c r="K73" s="5">
        <f ca="1">IFERROR(__xludf.DUMMYFUNCTION("""COMPUTED_VALUE"""),4)</f>
        <v>4</v>
      </c>
      <c r="L73" s="5" t="str">
        <f ca="1">IFERROR(__xludf.DUMMYFUNCTION("""COMPUTED_VALUE"""),"Spring")</f>
        <v>Spring</v>
      </c>
      <c r="M73" s="5" t="str">
        <f ca="1">IFERROR(__xludf.DUMMYFUNCTION("""COMPUTED_VALUE"""),"Hot Springs")</f>
        <v>Hot Springs</v>
      </c>
      <c r="N73" s="5" t="str">
        <f ca="1">IFERROR(__xludf.DUMMYFUNCTION("""COMPUTED_VALUE"""),"AR")</f>
        <v>AR</v>
      </c>
      <c r="O73" s="5" t="str">
        <f ca="1">IFERROR(__xludf.DUMMYFUNCTION("""COMPUTED_VALUE"""),"High")</f>
        <v>High</v>
      </c>
      <c r="P73" s="5" t="str">
        <f ca="1">IFERROR(__xludf.DUMMYFUNCTION("""COMPUTED_VALUE"""),"Off School Property")</f>
        <v>Off School Property</v>
      </c>
      <c r="Q73" s="5" t="str">
        <f ca="1">IFERROR(__xludf.DUMMYFUNCTION("""COMPUTED_VALUE"""),"Outside on School Property")</f>
        <v>Outside on School Property</v>
      </c>
      <c r="R73" s="5" t="str">
        <f ca="1">IFERROR(__xludf.DUMMYFUNCTION("""COMPUTED_VALUE"""),"No")</f>
        <v>No</v>
      </c>
      <c r="S73" s="5" t="str">
        <f ca="1">IFERROR(__xludf.DUMMYFUNCTION("""COMPUTED_VALUE"""),"School Event")</f>
        <v>School Event</v>
      </c>
      <c r="T73" s="10">
        <f ca="1">IFERROR(__xludf.DUMMYFUNCTION("""COMPUTED_VALUE"""),0.791666666666666)</f>
        <v>0.79166666666666596</v>
      </c>
      <c r="U73" s="5">
        <f ca="1">IFERROR(__xludf.DUMMYFUNCTION("""COMPUTED_VALUE"""),1)</f>
        <v>1</v>
      </c>
      <c r="V73" s="5" t="str">
        <f ca="1">IFERROR(__xludf.DUMMYFUNCTION("""COMPUTED_VALUE"""),"4 people shot in parking lot following graduation ceremony")</f>
        <v>4 people shot in parking lot following graduation ceremony</v>
      </c>
      <c r="W73"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X73" s="5" t="str">
        <f ca="1">IFERROR(__xludf.DUMMYFUNCTION("""COMPUTED_VALUE"""),"Escalation of Dispute")</f>
        <v>Escalation of Dispute</v>
      </c>
      <c r="Y73" s="5" t="str">
        <f ca="1">IFERROR(__xludf.DUMMYFUNCTION("""COMPUTED_VALUE"""),"Both")</f>
        <v>Both</v>
      </c>
      <c r="Z73" s="5" t="str">
        <f ca="1">IFERROR(__xludf.DUMMYFUNCTION("""COMPUTED_VALUE"""),"No")</f>
        <v>No</v>
      </c>
      <c r="AA73" s="5"/>
      <c r="AB73" s="5" t="str">
        <f ca="1">IFERROR(__xludf.DUMMYFUNCTION("""COMPUTED_VALUE"""),"No")</f>
        <v>No</v>
      </c>
      <c r="AC73" s="5" t="str">
        <f ca="1">IFERROR(__xludf.DUMMYFUNCTION("""COMPUTED_VALUE"""),"No")</f>
        <v>No</v>
      </c>
      <c r="AD73" s="5" t="str">
        <f ca="1">IFERROR(__xludf.DUMMYFUNCTION("""COMPUTED_VALUE"""),"No")</f>
        <v>No</v>
      </c>
      <c r="AE73" s="5" t="str">
        <f ca="1">IFERROR(__xludf.DUMMYFUNCTION("""COMPUTED_VALUE"""),"No")</f>
        <v>No</v>
      </c>
      <c r="AF73" s="5" t="str">
        <f ca="1">IFERROR(__xludf.DUMMYFUNCTION("""COMPUTED_VALUE"""),"No")</f>
        <v>No</v>
      </c>
      <c r="AG73" s="5" t="str">
        <f ca="1">IFERROR(__xludf.DUMMYFUNCTION("""COMPUTED_VALUE"""),"No")</f>
        <v>No</v>
      </c>
      <c r="AH73" s="5" t="str">
        <f ca="1">IFERROR(__xludf.DUMMYFUNCTION("""COMPUTED_VALUE"""),"No")</f>
        <v>No</v>
      </c>
    </row>
    <row r="74" spans="1:34" ht="12.75">
      <c r="A74" s="5" t="str">
        <f ca="1">IFERROR(__xludf.DUMMYFUNCTION("""COMPUTED_VALUE"""),"20220511FLJAJ")</f>
        <v>20220511FLJAJ</v>
      </c>
      <c r="B74" s="8">
        <f ca="1">IFERROR(__xludf.DUMMYFUNCTION("""COMPUTED_VALUE"""),44692)</f>
        <v>44692</v>
      </c>
      <c r="C74" s="5" t="str">
        <f ca="1">IFERROR(__xludf.DUMMYFUNCTION("""COMPUTED_VALUE"""),"Andrew Jackson High School")</f>
        <v>Andrew Jackson High School</v>
      </c>
      <c r="D74" s="5">
        <f ca="1">IFERROR(__xludf.DUMMYFUNCTION("""COMPUTED_VALUE"""),0)</f>
        <v>0</v>
      </c>
      <c r="E74" s="5">
        <f ca="1">IFERROR(__xludf.DUMMYFUNCTION("""COMPUTED_VALUE"""),1)</f>
        <v>1</v>
      </c>
      <c r="F74" s="5">
        <f ca="1">IFERROR(__xludf.DUMMYFUNCTION("""COMPUTED_VALUE"""),1)</f>
        <v>1</v>
      </c>
      <c r="G74" s="5">
        <f ca="1">IFERROR(__xludf.DUMMYFUNCTION("""COMPUTED_VALUE"""),0)</f>
        <v>0</v>
      </c>
      <c r="H74"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I74" s="5">
        <f ca="1">IFERROR(__xludf.DUMMYFUNCTION("""COMPUTED_VALUE"""),10)</f>
        <v>10</v>
      </c>
      <c r="J74" s="5" t="str">
        <f ca="1">IFERROR(__xludf.DUMMYFUNCTION("""COMPUTED_VALUE"""),"Regional")</f>
        <v>Regional</v>
      </c>
      <c r="K74" s="5">
        <f ca="1">IFERROR(__xludf.DUMMYFUNCTION("""COMPUTED_VALUE"""),4)</f>
        <v>4</v>
      </c>
      <c r="L74" s="5" t="str">
        <f ca="1">IFERROR(__xludf.DUMMYFUNCTION("""COMPUTED_VALUE"""),"Spring")</f>
        <v>Spring</v>
      </c>
      <c r="M74" s="5" t="str">
        <f ca="1">IFERROR(__xludf.DUMMYFUNCTION("""COMPUTED_VALUE"""),"Jacksonville")</f>
        <v>Jacksonville</v>
      </c>
      <c r="N74" s="5" t="str">
        <f ca="1">IFERROR(__xludf.DUMMYFUNCTION("""COMPUTED_VALUE"""),"FL")</f>
        <v>FL</v>
      </c>
      <c r="O74" s="5" t="str">
        <f ca="1">IFERROR(__xludf.DUMMYFUNCTION("""COMPUTED_VALUE"""),"High")</f>
        <v>High</v>
      </c>
      <c r="P74" s="5" t="str">
        <f ca="1">IFERROR(__xludf.DUMMYFUNCTION("""COMPUTED_VALUE"""),"Beside Building")</f>
        <v>Beside Building</v>
      </c>
      <c r="Q74" s="5" t="str">
        <f ca="1">IFERROR(__xludf.DUMMYFUNCTION("""COMPUTED_VALUE"""),"Outside on School Property")</f>
        <v>Outside on School Property</v>
      </c>
      <c r="R74" s="5" t="str">
        <f ca="1">IFERROR(__xludf.DUMMYFUNCTION("""COMPUTED_VALUE"""),"Yes")</f>
        <v>Yes</v>
      </c>
      <c r="S74" s="5" t="str">
        <f ca="1">IFERROR(__xludf.DUMMYFUNCTION("""COMPUTED_VALUE"""),"Dismissal")</f>
        <v>Dismissal</v>
      </c>
      <c r="T74" s="10">
        <f ca="1">IFERROR(__xludf.DUMMYFUNCTION("""COMPUTED_VALUE"""),0.625)</f>
        <v>0.625</v>
      </c>
      <c r="U74" s="5">
        <f ca="1">IFERROR(__xludf.DUMMYFUNCTION("""COMPUTED_VALUE"""),1)</f>
        <v>1</v>
      </c>
      <c r="V74" s="5" t="str">
        <f ca="1">IFERROR(__xludf.DUMMYFUNCTION("""COMPUTED_VALUE"""),"Student shot exiting school during drive-by")</f>
        <v>Student shot exiting school during drive-by</v>
      </c>
      <c r="W74"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X74" s="5" t="str">
        <f ca="1">IFERROR(__xludf.DUMMYFUNCTION("""COMPUTED_VALUE"""),"Drive-by Shooting")</f>
        <v>Drive-by Shooting</v>
      </c>
      <c r="Y74" s="5" t="str">
        <f ca="1">IFERROR(__xludf.DUMMYFUNCTION("""COMPUTED_VALUE"""),"Victims Targeted")</f>
        <v>Victims Targeted</v>
      </c>
      <c r="Z74" s="5" t="str">
        <f ca="1">IFERROR(__xludf.DUMMYFUNCTION("""COMPUTED_VALUE"""),"Yes")</f>
        <v>Yes</v>
      </c>
      <c r="AA74" s="5"/>
      <c r="AB74" s="5" t="str">
        <f ca="1">IFERROR(__xludf.DUMMYFUNCTION("""COMPUTED_VALUE"""),"No")</f>
        <v>No</v>
      </c>
      <c r="AC74" s="5" t="str">
        <f ca="1">IFERROR(__xludf.DUMMYFUNCTION("""COMPUTED_VALUE"""),"No")</f>
        <v>No</v>
      </c>
      <c r="AD74" s="5" t="str">
        <f ca="1">IFERROR(__xludf.DUMMYFUNCTION("""COMPUTED_VALUE"""),"No")</f>
        <v>No</v>
      </c>
      <c r="AE74" s="5" t="str">
        <f ca="1">IFERROR(__xludf.DUMMYFUNCTION("""COMPUTED_VALUE"""),"No")</f>
        <v>No</v>
      </c>
      <c r="AF74" s="5" t="str">
        <f ca="1">IFERROR(__xludf.DUMMYFUNCTION("""COMPUTED_VALUE"""),"No")</f>
        <v>No</v>
      </c>
      <c r="AG74" s="5"/>
      <c r="AH74" s="5" t="str">
        <f ca="1">IFERROR(__xludf.DUMMYFUNCTION("""COMPUTED_VALUE"""),"No")</f>
        <v>No</v>
      </c>
    </row>
    <row r="75" spans="1:34" ht="12.75">
      <c r="A75" s="5" t="str">
        <f ca="1">IFERROR(__xludf.DUMMYFUNCTION("""COMPUTED_VALUE"""),"20220509NYEDS")</f>
        <v>20220509NYEDS</v>
      </c>
      <c r="B75" s="8">
        <f ca="1">IFERROR(__xludf.DUMMYFUNCTION("""COMPUTED_VALUE"""),44690)</f>
        <v>44690</v>
      </c>
      <c r="C75" s="5" t="str">
        <f ca="1">IFERROR(__xludf.DUMMYFUNCTION("""COMPUTED_VALUE"""),"Eden Ii Institute")</f>
        <v>Eden Ii Institute</v>
      </c>
      <c r="D75" s="5">
        <f ca="1">IFERROR(__xludf.DUMMYFUNCTION("""COMPUTED_VALUE"""),1)</f>
        <v>1</v>
      </c>
      <c r="E75" s="5">
        <f ca="1">IFERROR(__xludf.DUMMYFUNCTION("""COMPUTED_VALUE"""),0)</f>
        <v>0</v>
      </c>
      <c r="F75" s="5">
        <f ca="1">IFERROR(__xludf.DUMMYFUNCTION("""COMPUTED_VALUE"""),1)</f>
        <v>1</v>
      </c>
      <c r="G75" s="5">
        <f ca="1">IFERROR(__xludf.DUMMYFUNCTION("""COMPUTED_VALUE"""),0)</f>
        <v>0</v>
      </c>
      <c r="H75"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I75" s="5">
        <f ca="1">IFERROR(__xludf.DUMMYFUNCTION("""COMPUTED_VALUE"""),10)</f>
        <v>10</v>
      </c>
      <c r="J75" s="5" t="str">
        <f ca="1">IFERROR(__xludf.DUMMYFUNCTION("""COMPUTED_VALUE"""),"Regional")</f>
        <v>Regional</v>
      </c>
      <c r="K75" s="5">
        <f ca="1">IFERROR(__xludf.DUMMYFUNCTION("""COMPUTED_VALUE"""),4)</f>
        <v>4</v>
      </c>
      <c r="L75" s="5" t="str">
        <f ca="1">IFERROR(__xludf.DUMMYFUNCTION("""COMPUTED_VALUE"""),"Spring")</f>
        <v>Spring</v>
      </c>
      <c r="M75" s="5" t="str">
        <f ca="1">IFERROR(__xludf.DUMMYFUNCTION("""COMPUTED_VALUE"""),"Staten Island")</f>
        <v>Staten Island</v>
      </c>
      <c r="N75" s="5" t="str">
        <f ca="1">IFERROR(__xludf.DUMMYFUNCTION("""COMPUTED_VALUE"""),"NY")</f>
        <v>NY</v>
      </c>
      <c r="O75" s="5" t="str">
        <f ca="1">IFERROR(__xludf.DUMMYFUNCTION("""COMPUTED_VALUE"""),"Other")</f>
        <v>Other</v>
      </c>
      <c r="P75" s="5" t="str">
        <f ca="1">IFERROR(__xludf.DUMMYFUNCTION("""COMPUTED_VALUE"""),"Front of School")</f>
        <v>Front of School</v>
      </c>
      <c r="Q75" s="5" t="str">
        <f ca="1">IFERROR(__xludf.DUMMYFUNCTION("""COMPUTED_VALUE"""),"Outside on School Property")</f>
        <v>Outside on School Property</v>
      </c>
      <c r="R75" s="5" t="str">
        <f ca="1">IFERROR(__xludf.DUMMYFUNCTION("""COMPUTED_VALUE"""),"Yes")</f>
        <v>Yes</v>
      </c>
      <c r="S75" s="5" t="str">
        <f ca="1">IFERROR(__xludf.DUMMYFUNCTION("""COMPUTED_VALUE"""),"Afternoon Classes")</f>
        <v>Afternoon Classes</v>
      </c>
      <c r="T75" s="10">
        <f ca="1">IFERROR(__xludf.DUMMYFUNCTION("""COMPUTED_VALUE"""),0.635416666666666)</f>
        <v>0.63541666666666596</v>
      </c>
      <c r="U75" s="5">
        <f ca="1">IFERROR(__xludf.DUMMYFUNCTION("""COMPUTED_VALUE"""),1)</f>
        <v>1</v>
      </c>
      <c r="V75" s="5" t="str">
        <f ca="1">IFERROR(__xludf.DUMMYFUNCTION("""COMPUTED_VALUE"""),"Man fatally shot by front door to school")</f>
        <v>Man fatally shot by front door to school</v>
      </c>
      <c r="W75"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X75" s="5" t="str">
        <f ca="1">IFERROR(__xludf.DUMMYFUNCTION("""COMPUTED_VALUE"""),"Escalation of Dispute")</f>
        <v>Escalation of Dispute</v>
      </c>
      <c r="Y75" s="5" t="str">
        <f ca="1">IFERROR(__xludf.DUMMYFUNCTION("""COMPUTED_VALUE"""),"Victims Targeted")</f>
        <v>Victims Targeted</v>
      </c>
      <c r="Z75" s="5" t="str">
        <f ca="1">IFERROR(__xludf.DUMMYFUNCTION("""COMPUTED_VALUE"""),"Yes")</f>
        <v>Yes</v>
      </c>
      <c r="AA75" s="5" t="str">
        <f ca="1">IFERROR(__xludf.DUMMYFUNCTION("""COMPUTED_VALUE"""),"2 men")</f>
        <v>2 men</v>
      </c>
      <c r="AB75" s="5" t="str">
        <f ca="1">IFERROR(__xludf.DUMMYFUNCTION("""COMPUTED_VALUE"""),"No")</f>
        <v>No</v>
      </c>
      <c r="AC75" s="5" t="str">
        <f ca="1">IFERROR(__xludf.DUMMYFUNCTION("""COMPUTED_VALUE"""),"No")</f>
        <v>No</v>
      </c>
      <c r="AD75" s="5" t="str">
        <f ca="1">IFERROR(__xludf.DUMMYFUNCTION("""COMPUTED_VALUE"""),"No")</f>
        <v>No</v>
      </c>
      <c r="AE75" s="5" t="str">
        <f ca="1">IFERROR(__xludf.DUMMYFUNCTION("""COMPUTED_VALUE"""),"No")</f>
        <v>No</v>
      </c>
      <c r="AF75" s="5" t="str">
        <f ca="1">IFERROR(__xludf.DUMMYFUNCTION("""COMPUTED_VALUE"""),"No")</f>
        <v>No</v>
      </c>
      <c r="AG75" s="5"/>
      <c r="AH75" s="5" t="str">
        <f ca="1">IFERROR(__xludf.DUMMYFUNCTION("""COMPUTED_VALUE"""),"No")</f>
        <v>No</v>
      </c>
    </row>
    <row r="76" spans="1:34" ht="12.75">
      <c r="A76" s="5" t="str">
        <f ca="1">IFERROR(__xludf.DUMMYFUNCTION("""COMPUTED_VALUE"""),"20220509GARIS")</f>
        <v>20220509GARIS</v>
      </c>
      <c r="B76" s="8">
        <f ca="1">IFERROR(__xludf.DUMMYFUNCTION("""COMPUTED_VALUE"""),44690)</f>
        <v>44690</v>
      </c>
      <c r="C76" s="5" t="str">
        <f ca="1">IFERROR(__xludf.DUMMYFUNCTION("""COMPUTED_VALUE"""),"Riverside Elementary School")</f>
        <v>Riverside Elementary School</v>
      </c>
      <c r="D76" s="5">
        <f ca="1">IFERROR(__xludf.DUMMYFUNCTION("""COMPUTED_VALUE"""),0)</f>
        <v>0</v>
      </c>
      <c r="E76" s="5">
        <f ca="1">IFERROR(__xludf.DUMMYFUNCTION("""COMPUTED_VALUE"""),0)</f>
        <v>0</v>
      </c>
      <c r="F76" s="5">
        <f ca="1">IFERROR(__xludf.DUMMYFUNCTION("""COMPUTED_VALUE"""),0)</f>
        <v>0</v>
      </c>
      <c r="G76" s="5">
        <f ca="1">IFERROR(__xludf.DUMMYFUNCTION("""COMPUTED_VALUE"""),0)</f>
        <v>0</v>
      </c>
      <c r="H76"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I76" s="5">
        <f ca="1">IFERROR(__xludf.DUMMYFUNCTION("""COMPUTED_VALUE"""),5)</f>
        <v>5</v>
      </c>
      <c r="J76" s="5" t="str">
        <f ca="1">IFERROR(__xludf.DUMMYFUNCTION("""COMPUTED_VALUE"""),"Regional")</f>
        <v>Regional</v>
      </c>
      <c r="K76" s="5">
        <f ca="1">IFERROR(__xludf.DUMMYFUNCTION("""COMPUTED_VALUE"""),4)</f>
        <v>4</v>
      </c>
      <c r="L76" s="5" t="str">
        <f ca="1">IFERROR(__xludf.DUMMYFUNCTION("""COMPUTED_VALUE"""),"Spring")</f>
        <v>Spring</v>
      </c>
      <c r="M76" s="5" t="str">
        <f ca="1">IFERROR(__xludf.DUMMYFUNCTION("""COMPUTED_VALUE"""),"Suwanee")</f>
        <v>Suwanee</v>
      </c>
      <c r="N76" s="5" t="str">
        <f ca="1">IFERROR(__xludf.DUMMYFUNCTION("""COMPUTED_VALUE"""),"GA")</f>
        <v>GA</v>
      </c>
      <c r="O76" s="5" t="str">
        <f ca="1">IFERROR(__xludf.DUMMYFUNCTION("""COMPUTED_VALUE"""),"Elementary")</f>
        <v>Elementary</v>
      </c>
      <c r="P76" s="5" t="str">
        <f ca="1">IFERROR(__xludf.DUMMYFUNCTION("""COMPUTED_VALUE"""),"School Bus")</f>
        <v>School Bus</v>
      </c>
      <c r="Q76" s="5" t="str">
        <f ca="1">IFERROR(__xludf.DUMMYFUNCTION("""COMPUTED_VALUE"""),"School Bus")</f>
        <v>School Bus</v>
      </c>
      <c r="R76" s="5" t="str">
        <f ca="1">IFERROR(__xludf.DUMMYFUNCTION("""COMPUTED_VALUE"""),"Yes")</f>
        <v>Yes</v>
      </c>
      <c r="S76" s="5" t="str">
        <f ca="1">IFERROR(__xludf.DUMMYFUNCTION("""COMPUTED_VALUE"""),"School Start")</f>
        <v>School Start</v>
      </c>
      <c r="T76" s="10">
        <f ca="1">IFERROR(__xludf.DUMMYFUNCTION("""COMPUTED_VALUE"""),0.302083333333333)</f>
        <v>0.30208333333333298</v>
      </c>
      <c r="U76" s="5">
        <f ca="1">IFERROR(__xludf.DUMMYFUNCTION("""COMPUTED_VALUE"""),1)</f>
        <v>1</v>
      </c>
      <c r="V76" s="5" t="str">
        <f ca="1">IFERROR(__xludf.DUMMYFUNCTION("""COMPUTED_VALUE"""),"Woman fired 12 shots at occupied school bus")</f>
        <v>Woman fired 12 shots at occupied school bus</v>
      </c>
      <c r="W76"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X76" s="5"/>
      <c r="Y76" s="5" t="str">
        <f ca="1">IFERROR(__xludf.DUMMYFUNCTION("""COMPUTED_VALUE"""),"Victims Targeted")</f>
        <v>Victims Targeted</v>
      </c>
      <c r="Z76" s="5" t="str">
        <f ca="1">IFERROR(__xludf.DUMMYFUNCTION("""COMPUTED_VALUE"""),"No")</f>
        <v>No</v>
      </c>
      <c r="AA76" s="5"/>
      <c r="AB76" s="5" t="str">
        <f ca="1">IFERROR(__xludf.DUMMYFUNCTION("""COMPUTED_VALUE"""),"No")</f>
        <v>No</v>
      </c>
      <c r="AC76" s="5" t="str">
        <f ca="1">IFERROR(__xludf.DUMMYFUNCTION("""COMPUTED_VALUE"""),"No")</f>
        <v>No</v>
      </c>
      <c r="AD76" s="5" t="str">
        <f ca="1">IFERROR(__xludf.DUMMYFUNCTION("""COMPUTED_VALUE"""),"No")</f>
        <v>No</v>
      </c>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row>
    <row r="77" spans="1:34" ht="12.75">
      <c r="A77" s="5" t="str">
        <f ca="1">IFERROR(__xludf.DUMMYFUNCTION("""COMPUTED_VALUE"""),"20220505OHLOL")</f>
        <v>20220505OHLOL</v>
      </c>
      <c r="B77" s="8">
        <f ca="1">IFERROR(__xludf.DUMMYFUNCTION("""COMPUTED_VALUE"""),44686)</f>
        <v>44686</v>
      </c>
      <c r="C77" s="5" t="str">
        <f ca="1">IFERROR(__xludf.DUMMYFUNCTION("""COMPUTED_VALUE"""),"Lowellville K-12 School")</f>
        <v>Lowellville K-12 School</v>
      </c>
      <c r="D77" s="5">
        <f ca="1">IFERROR(__xludf.DUMMYFUNCTION("""COMPUTED_VALUE"""),0)</f>
        <v>0</v>
      </c>
      <c r="E77" s="5">
        <f ca="1">IFERROR(__xludf.DUMMYFUNCTION("""COMPUTED_VALUE"""),0)</f>
        <v>0</v>
      </c>
      <c r="F77" s="5">
        <f ca="1">IFERROR(__xludf.DUMMYFUNCTION("""COMPUTED_VALUE"""),0)</f>
        <v>0</v>
      </c>
      <c r="G77" s="5">
        <f ca="1">IFERROR(__xludf.DUMMYFUNCTION("""COMPUTED_VALUE"""),1)</f>
        <v>1</v>
      </c>
      <c r="H77"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I77" s="5">
        <f ca="1">IFERROR(__xludf.DUMMYFUNCTION("""COMPUTED_VALUE"""),10)</f>
        <v>10</v>
      </c>
      <c r="J77" s="5" t="str">
        <f ca="1">IFERROR(__xludf.DUMMYFUNCTION("""COMPUTED_VALUE"""),"Regional")</f>
        <v>Regional</v>
      </c>
      <c r="K77" s="5">
        <f ca="1">IFERROR(__xludf.DUMMYFUNCTION("""COMPUTED_VALUE"""),4)</f>
        <v>4</v>
      </c>
      <c r="L77" s="5" t="str">
        <f ca="1">IFERROR(__xludf.DUMMYFUNCTION("""COMPUTED_VALUE"""),"Spring")</f>
        <v>Spring</v>
      </c>
      <c r="M77" s="5" t="str">
        <f ca="1">IFERROR(__xludf.DUMMYFUNCTION("""COMPUTED_VALUE"""),"Lowellville")</f>
        <v>Lowellville</v>
      </c>
      <c r="N77" s="5" t="str">
        <f ca="1">IFERROR(__xludf.DUMMYFUNCTION("""COMPUTED_VALUE"""),"OH")</f>
        <v>OH</v>
      </c>
      <c r="O77" s="5" t="str">
        <f ca="1">IFERROR(__xludf.DUMMYFUNCTION("""COMPUTED_VALUE"""),"K-12")</f>
        <v>K-12</v>
      </c>
      <c r="P77" s="5" t="str">
        <f ca="1">IFERROR(__xludf.DUMMYFUNCTION("""COMPUTED_VALUE"""),"Cafeteria")</f>
        <v>Cafeteria</v>
      </c>
      <c r="Q77" s="5" t="str">
        <f ca="1">IFERROR(__xludf.DUMMYFUNCTION("""COMPUTED_VALUE"""),"Inside School Building")</f>
        <v>Inside School Building</v>
      </c>
      <c r="R77" s="5" t="str">
        <f ca="1">IFERROR(__xludf.DUMMYFUNCTION("""COMPUTED_VALUE"""),"Yes")</f>
        <v>Yes</v>
      </c>
      <c r="S77" s="5" t="str">
        <f ca="1">IFERROR(__xludf.DUMMYFUNCTION("""COMPUTED_VALUE"""),"Morning Classes")</f>
        <v>Morning Classes</v>
      </c>
      <c r="T77" s="10">
        <f ca="1">IFERROR(__xludf.DUMMYFUNCTION("""COMPUTED_VALUE"""),0.4375)</f>
        <v>0.4375</v>
      </c>
      <c r="U77" s="5">
        <f ca="1">IFERROR(__xludf.DUMMYFUNCTION("""COMPUTED_VALUE"""),1)</f>
        <v>1</v>
      </c>
      <c r="V77" s="5" t="str">
        <f ca="1">IFERROR(__xludf.DUMMYFUNCTION("""COMPUTED_VALUE"""),"Student commit suicide in the school cafeteria")</f>
        <v>Student commit suicide in the school cafeteria</v>
      </c>
      <c r="W77"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X77" s="5" t="str">
        <f ca="1">IFERROR(__xludf.DUMMYFUNCTION("""COMPUTED_VALUE"""),"Suicide/Attempted")</f>
        <v>Suicide/Attempted</v>
      </c>
      <c r="Y77" s="5" t="str">
        <f ca="1">IFERROR(__xludf.DUMMYFUNCTION("""COMPUTED_VALUE"""),"Victims Targeted")</f>
        <v>Victims Targeted</v>
      </c>
      <c r="Z77" s="5" t="str">
        <f ca="1">IFERROR(__xludf.DUMMYFUNCTION("""COMPUTED_VALUE"""),"No")</f>
        <v>No</v>
      </c>
      <c r="AA77" s="5"/>
      <c r="AB77" s="5" t="str">
        <f ca="1">IFERROR(__xludf.DUMMYFUNCTION("""COMPUTED_VALUE"""),"No")</f>
        <v>No</v>
      </c>
      <c r="AC77" s="5" t="str">
        <f ca="1">IFERROR(__xludf.DUMMYFUNCTION("""COMPUTED_VALUE"""),"No")</f>
        <v>No</v>
      </c>
      <c r="AD77" s="5" t="str">
        <f ca="1">IFERROR(__xludf.DUMMYFUNCTION("""COMPUTED_VALUE"""),"No")</f>
        <v>No</v>
      </c>
      <c r="AE77" s="5"/>
      <c r="AF77" s="5" t="str">
        <f ca="1">IFERROR(__xludf.DUMMYFUNCTION("""COMPUTED_VALUE"""),"No")</f>
        <v>No</v>
      </c>
      <c r="AG77" s="5" t="str">
        <f ca="1">IFERROR(__xludf.DUMMYFUNCTION("""COMPUTED_VALUE"""),"No")</f>
        <v>No</v>
      </c>
      <c r="AH77" s="5" t="str">
        <f ca="1">IFERROR(__xludf.DUMMYFUNCTION("""COMPUTED_VALUE"""),"No")</f>
        <v>No</v>
      </c>
    </row>
    <row r="78" spans="1:34" ht="12.75">
      <c r="A78" s="5" t="str">
        <f ca="1">IFERROR(__xludf.DUMMYFUNCTION("""COMPUTED_VALUE"""),"20220505ALDOD")</f>
        <v>20220505ALDOD</v>
      </c>
      <c r="B78" s="8">
        <f ca="1">IFERROR(__xludf.DUMMYFUNCTION("""COMPUTED_VALUE"""),44686)</f>
        <v>44686</v>
      </c>
      <c r="C78" s="5" t="str">
        <f ca="1">IFERROR(__xludf.DUMMYFUNCTION("""COMPUTED_VALUE"""),"Dothan City School Bus")</f>
        <v>Dothan City School Bus</v>
      </c>
      <c r="D78" s="5">
        <f ca="1">IFERROR(__xludf.DUMMYFUNCTION("""COMPUTED_VALUE"""),0)</f>
        <v>0</v>
      </c>
      <c r="E78" s="5">
        <f ca="1">IFERROR(__xludf.DUMMYFUNCTION("""COMPUTED_VALUE"""),0)</f>
        <v>0</v>
      </c>
      <c r="F78" s="5">
        <f ca="1">IFERROR(__xludf.DUMMYFUNCTION("""COMPUTED_VALUE"""),0)</f>
        <v>0</v>
      </c>
      <c r="G78" s="5">
        <f ca="1">IFERROR(__xludf.DUMMYFUNCTION("""COMPUTED_VALUE"""),0)</f>
        <v>0</v>
      </c>
      <c r="H78"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I78" s="5">
        <f ca="1">IFERROR(__xludf.DUMMYFUNCTION("""COMPUTED_VALUE"""),5)</f>
        <v>5</v>
      </c>
      <c r="J78" s="5" t="str">
        <f ca="1">IFERROR(__xludf.DUMMYFUNCTION("""COMPUTED_VALUE"""),"Local")</f>
        <v>Local</v>
      </c>
      <c r="K78" s="5">
        <f ca="1">IFERROR(__xludf.DUMMYFUNCTION("""COMPUTED_VALUE"""),4)</f>
        <v>4</v>
      </c>
      <c r="L78" s="5" t="str">
        <f ca="1">IFERROR(__xludf.DUMMYFUNCTION("""COMPUTED_VALUE"""),"Spring")</f>
        <v>Spring</v>
      </c>
      <c r="M78" s="5" t="str">
        <f ca="1">IFERROR(__xludf.DUMMYFUNCTION("""COMPUTED_VALUE"""),"Dothan")</f>
        <v>Dothan</v>
      </c>
      <c r="N78" s="5" t="str">
        <f ca="1">IFERROR(__xludf.DUMMYFUNCTION("""COMPUTED_VALUE"""),"AL")</f>
        <v>AL</v>
      </c>
      <c r="O78" s="5" t="str">
        <f ca="1">IFERROR(__xludf.DUMMYFUNCTION("""COMPUTED_VALUE"""),"K-12")</f>
        <v>K-12</v>
      </c>
      <c r="P78" s="5" t="str">
        <f ca="1">IFERROR(__xludf.DUMMYFUNCTION("""COMPUTED_VALUE"""),"School Bus")</f>
        <v>School Bus</v>
      </c>
      <c r="Q78" s="5" t="str">
        <f ca="1">IFERROR(__xludf.DUMMYFUNCTION("""COMPUTED_VALUE"""),"School Bus")</f>
        <v>School Bus</v>
      </c>
      <c r="R78" s="5" t="str">
        <f ca="1">IFERROR(__xludf.DUMMYFUNCTION("""COMPUTED_VALUE"""),"No")</f>
        <v>No</v>
      </c>
      <c r="S78" s="5" t="str">
        <f ca="1">IFERROR(__xludf.DUMMYFUNCTION("""COMPUTED_VALUE"""),"After School")</f>
        <v>After School</v>
      </c>
      <c r="T78" s="10">
        <f ca="1">IFERROR(__xludf.DUMMYFUNCTION("""COMPUTED_VALUE"""),0.625)</f>
        <v>0.625</v>
      </c>
      <c r="U78" s="5">
        <f ca="1">IFERROR(__xludf.DUMMYFUNCTION("""COMPUTED_VALUE"""),1)</f>
        <v>1</v>
      </c>
      <c r="V78" s="5" t="str">
        <f ca="1">IFERROR(__xludf.DUMMYFUNCTION("""COMPUTED_VALUE"""),"Man fired BBs at moving school bus and other vehicles")</f>
        <v>Man fired BBs at moving school bus and other vehicles</v>
      </c>
      <c r="W78"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X78" s="5" t="str">
        <f ca="1">IFERROR(__xludf.DUMMYFUNCTION("""COMPUTED_VALUE"""),"Intentional Property Damage")</f>
        <v>Intentional Property Damage</v>
      </c>
      <c r="Y78" s="5" t="str">
        <f ca="1">IFERROR(__xludf.DUMMYFUNCTION("""COMPUTED_VALUE"""),"Random Shooting")</f>
        <v>Random Shooting</v>
      </c>
      <c r="Z78" s="5" t="str">
        <f ca="1">IFERROR(__xludf.DUMMYFUNCTION("""COMPUTED_VALUE"""),"No")</f>
        <v>No</v>
      </c>
      <c r="AA78" s="5"/>
      <c r="AB78" s="5" t="str">
        <f ca="1">IFERROR(__xludf.DUMMYFUNCTION("""COMPUTED_VALUE"""),"No")</f>
        <v>No</v>
      </c>
      <c r="AC78" s="5" t="str">
        <f ca="1">IFERROR(__xludf.DUMMYFUNCTION("""COMPUTED_VALUE"""),"No")</f>
        <v>No</v>
      </c>
      <c r="AD78" s="5" t="str">
        <f ca="1">IFERROR(__xludf.DUMMYFUNCTION("""COMPUTED_VALUE"""),"No")</f>
        <v>No</v>
      </c>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row>
    <row r="79" spans="1:34" ht="12.75">
      <c r="A79" s="5" t="str">
        <f ca="1">IFERROR(__xludf.DUMMYFUNCTION("""COMPUTED_VALUE"""),"20220503CAARS")</f>
        <v>20220503CAARS</v>
      </c>
      <c r="B79" s="8">
        <f ca="1">IFERROR(__xludf.DUMMYFUNCTION("""COMPUTED_VALUE"""),44684)</f>
        <v>44684</v>
      </c>
      <c r="C79" s="5" t="str">
        <f ca="1">IFERROR(__xludf.DUMMYFUNCTION("""COMPUTED_VALUE"""),"Arrowview Middle School")</f>
        <v>Arrowview Middle School</v>
      </c>
      <c r="D79" s="5">
        <f ca="1">IFERROR(__xludf.DUMMYFUNCTION("""COMPUTED_VALUE"""),0)</f>
        <v>0</v>
      </c>
      <c r="E79" s="5">
        <f ca="1">IFERROR(__xludf.DUMMYFUNCTION("""COMPUTED_VALUE"""),0)</f>
        <v>0</v>
      </c>
      <c r="F79" s="5">
        <f ca="1">IFERROR(__xludf.DUMMYFUNCTION("""COMPUTED_VALUE"""),0)</f>
        <v>0</v>
      </c>
      <c r="G79" s="5">
        <f ca="1">IFERROR(__xludf.DUMMYFUNCTION("""COMPUTED_VALUE"""),0)</f>
        <v>0</v>
      </c>
      <c r="H79" s="9" t="str">
        <f ca="1">IFERROR(__xludf.DUMMYFUNCTION("""COMPUTED_VALUE"""),"https://www.sbsun.com/2022/05/03/gunfire-in-san-bernardino-causes-car-to-crash-leaves-bullet-holes-in-school/")</f>
        <v>https://www.sbsun.com/2022/05/03/gunfire-in-san-bernardino-causes-car-to-crash-leaves-bullet-holes-in-school/</v>
      </c>
      <c r="I79" s="5">
        <f ca="1">IFERROR(__xludf.DUMMYFUNCTION("""COMPUTED_VALUE"""),1)</f>
        <v>1</v>
      </c>
      <c r="J79" s="5" t="str">
        <f ca="1">IFERROR(__xludf.DUMMYFUNCTION("""COMPUTED_VALUE"""),"Local")</f>
        <v>Local</v>
      </c>
      <c r="K79" s="5">
        <f ca="1">IFERROR(__xludf.DUMMYFUNCTION("""COMPUTED_VALUE"""),3)</f>
        <v>3</v>
      </c>
      <c r="L79" s="5" t="str">
        <f ca="1">IFERROR(__xludf.DUMMYFUNCTION("""COMPUTED_VALUE"""),"Spring")</f>
        <v>Spring</v>
      </c>
      <c r="M79" s="5" t="str">
        <f ca="1">IFERROR(__xludf.DUMMYFUNCTION("""COMPUTED_VALUE"""),"San Bernardino")</f>
        <v>San Bernardino</v>
      </c>
      <c r="N79" s="5" t="str">
        <f ca="1">IFERROR(__xludf.DUMMYFUNCTION("""COMPUTED_VALUE"""),"CA")</f>
        <v>CA</v>
      </c>
      <c r="O79" s="5" t="str">
        <f ca="1">IFERROR(__xludf.DUMMYFUNCTION("""COMPUTED_VALUE"""),"Middle")</f>
        <v>Middle</v>
      </c>
      <c r="P79" s="5" t="str">
        <f ca="1">IFERROR(__xludf.DUMMYFUNCTION("""COMPUTED_VALUE"""),"Outside on School Property")</f>
        <v>Outside on School Property</v>
      </c>
      <c r="Q79" s="5" t="str">
        <f ca="1">IFERROR(__xludf.DUMMYFUNCTION("""COMPUTED_VALUE"""),"Outside on School Property")</f>
        <v>Outside on School Property</v>
      </c>
      <c r="R79" s="5" t="str">
        <f ca="1">IFERROR(__xludf.DUMMYFUNCTION("""COMPUTED_VALUE"""),"No")</f>
        <v>No</v>
      </c>
      <c r="S79" s="5" t="str">
        <f ca="1">IFERROR(__xludf.DUMMYFUNCTION("""COMPUTED_VALUE"""),"Before School")</f>
        <v>Before School</v>
      </c>
      <c r="T79" s="10">
        <f ca="1">IFERROR(__xludf.DUMMYFUNCTION("""COMPUTED_VALUE"""),0.239583333333333)</f>
        <v>0.23958333333333301</v>
      </c>
      <c r="U79" s="5">
        <f ca="1">IFERROR(__xludf.DUMMYFUNCTION("""COMPUTED_VALUE"""),1)</f>
        <v>1</v>
      </c>
      <c r="V79" s="5" t="str">
        <f ca="1">IFERROR(__xludf.DUMMYFUNCTION("""COMPUTED_VALUE"""),"Shots fired during drive-by struck school building")</f>
        <v>Shots fired during drive-by struck school building</v>
      </c>
      <c r="W79"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X79" s="5" t="str">
        <f ca="1">IFERROR(__xludf.DUMMYFUNCTION("""COMPUTED_VALUE"""),"Drive-by Shooting")</f>
        <v>Drive-by Shooting</v>
      </c>
      <c r="Y79" s="5" t="str">
        <f ca="1">IFERROR(__xludf.DUMMYFUNCTION("""COMPUTED_VALUE"""),"Both")</f>
        <v>Both</v>
      </c>
      <c r="Z79" s="5"/>
      <c r="AA79" s="5"/>
      <c r="AB79" s="5" t="str">
        <f ca="1">IFERROR(__xludf.DUMMYFUNCTION("""COMPUTED_VALUE"""),"No")</f>
        <v>No</v>
      </c>
      <c r="AC79" s="5" t="str">
        <f ca="1">IFERROR(__xludf.DUMMYFUNCTION("""COMPUTED_VALUE"""),"No")</f>
        <v>No</v>
      </c>
      <c r="AD79" s="5" t="str">
        <f ca="1">IFERROR(__xludf.DUMMYFUNCTION("""COMPUTED_VALUE"""),"No")</f>
        <v>No</v>
      </c>
      <c r="AE79" s="5" t="str">
        <f ca="1">IFERROR(__xludf.DUMMYFUNCTION("""COMPUTED_VALUE"""),"No")</f>
        <v>No</v>
      </c>
      <c r="AF79" s="5" t="str">
        <f ca="1">IFERROR(__xludf.DUMMYFUNCTION("""COMPUTED_VALUE"""),"No")</f>
        <v>No</v>
      </c>
      <c r="AG79" s="5"/>
      <c r="AH79" s="5" t="str">
        <f ca="1">IFERROR(__xludf.DUMMYFUNCTION("""COMPUTED_VALUE"""),"No")</f>
        <v>No</v>
      </c>
    </row>
    <row r="80" spans="1:34" ht="12.75">
      <c r="A80" s="5" t="str">
        <f ca="1">IFERROR(__xludf.DUMMYFUNCTION("""COMPUTED_VALUE"""),"20220501VALOM")</f>
        <v>20220501VALOM</v>
      </c>
      <c r="B80" s="8">
        <f ca="1">IFERROR(__xludf.DUMMYFUNCTION("""COMPUTED_VALUE"""),44682)</f>
        <v>44682</v>
      </c>
      <c r="C80" s="5" t="str">
        <f ca="1">IFERROR(__xludf.DUMMYFUNCTION("""COMPUTED_VALUE"""),"Louise A. Benton Middle School")</f>
        <v>Louise A. Benton Middle School</v>
      </c>
      <c r="D80" s="5">
        <f ca="1">IFERROR(__xludf.DUMMYFUNCTION("""COMPUTED_VALUE"""),0)</f>
        <v>0</v>
      </c>
      <c r="E80" s="5">
        <f ca="1">IFERROR(__xludf.DUMMYFUNCTION("""COMPUTED_VALUE"""),2)</f>
        <v>2</v>
      </c>
      <c r="F80" s="5">
        <f ca="1">IFERROR(__xludf.DUMMYFUNCTION("""COMPUTED_VALUE"""),2)</f>
        <v>2</v>
      </c>
      <c r="G80" s="5">
        <f ca="1">IFERROR(__xludf.DUMMYFUNCTION("""COMPUTED_VALUE"""),0)</f>
        <v>0</v>
      </c>
      <c r="H80" s="5" t="str">
        <f ca="1">IFERROR(__xludf.DUMMYFUNCTION("""COMPUTED_VALUE"""),"https://wjla.com/news/local/manassas-shooting-benton-middle-school-athletic-fields-injuries-victims-gunshot-wounds-prince-william-county-police-officers-investigation-age-gun-violence- https://www.nbcwashington.com/news/local/northern-virginia/2-shot-near"&amp;"-benton-middle-school-in-manassas/3039862/ https://www.washingtonpost.com/dc-md-va/2022/05/01/prince-william-shooting-middle-school/")</f>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I80" s="5">
        <f ca="1">IFERROR(__xludf.DUMMYFUNCTION("""COMPUTED_VALUE"""),100)</f>
        <v>100</v>
      </c>
      <c r="J80" s="5" t="str">
        <f ca="1">IFERROR(__xludf.DUMMYFUNCTION("""COMPUTED_VALUE"""),"National")</f>
        <v>National</v>
      </c>
      <c r="K80" s="5">
        <f ca="1">IFERROR(__xludf.DUMMYFUNCTION("""COMPUTED_VALUE"""),4)</f>
        <v>4</v>
      </c>
      <c r="L80" s="5" t="str">
        <f ca="1">IFERROR(__xludf.DUMMYFUNCTION("""COMPUTED_VALUE"""),"Spring")</f>
        <v>Spring</v>
      </c>
      <c r="M80" s="5" t="str">
        <f ca="1">IFERROR(__xludf.DUMMYFUNCTION("""COMPUTED_VALUE"""),"Manassas")</f>
        <v>Manassas</v>
      </c>
      <c r="N80" s="5" t="str">
        <f ca="1">IFERROR(__xludf.DUMMYFUNCTION("""COMPUTED_VALUE"""),"VA")</f>
        <v>VA</v>
      </c>
      <c r="O80" s="5" t="str">
        <f ca="1">IFERROR(__xludf.DUMMYFUNCTION("""COMPUTED_VALUE"""),"Middle")</f>
        <v>Middle</v>
      </c>
      <c r="P80" s="5" t="str">
        <f ca="1">IFERROR(__xludf.DUMMYFUNCTION("""COMPUTED_VALUE"""),"Football Field/Track")</f>
        <v>Football Field/Track</v>
      </c>
      <c r="Q80" s="5" t="str">
        <f ca="1">IFERROR(__xludf.DUMMYFUNCTION("""COMPUTED_VALUE"""),"Outside on School Property")</f>
        <v>Outside on School Property</v>
      </c>
      <c r="R80" s="5" t="str">
        <f ca="1">IFERROR(__xludf.DUMMYFUNCTION("""COMPUTED_VALUE"""),"No")</f>
        <v>No</v>
      </c>
      <c r="S80" s="5" t="str">
        <f ca="1">IFERROR(__xludf.DUMMYFUNCTION("""COMPUTED_VALUE"""),"Sport Event")</f>
        <v>Sport Event</v>
      </c>
      <c r="T80" s="10">
        <f ca="1">IFERROR(__xludf.DUMMYFUNCTION("""COMPUTED_VALUE"""),0.427083333333333)</f>
        <v>0.42708333333333298</v>
      </c>
      <c r="U80" s="5">
        <f ca="1">IFERROR(__xludf.DUMMYFUNCTION("""COMPUTED_VALUE"""),1)</f>
        <v>1</v>
      </c>
      <c r="V80" s="5" t="str">
        <f ca="1">IFERROR(__xludf.DUMMYFUNCTION("""COMPUTED_VALUE"""),"Two men shot during youth flag football tournament")</f>
        <v>Two men shot during youth flag football tournament</v>
      </c>
      <c r="W80"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X80" s="5" t="str">
        <f ca="1">IFERROR(__xludf.DUMMYFUNCTION("""COMPUTED_VALUE"""),"Escalation of Dispute")</f>
        <v>Escalation of Dispute</v>
      </c>
      <c r="Y80" s="5" t="str">
        <f ca="1">IFERROR(__xludf.DUMMYFUNCTION("""COMPUTED_VALUE"""),"Victims Targeted")</f>
        <v>Victims Targeted</v>
      </c>
      <c r="Z80" s="5" t="str">
        <f ca="1">IFERROR(__xludf.DUMMYFUNCTION("""COMPUTED_VALUE"""),"No")</f>
        <v>No</v>
      </c>
      <c r="AA80" s="5"/>
      <c r="AB80" s="5" t="str">
        <f ca="1">IFERROR(__xludf.DUMMYFUNCTION("""COMPUTED_VALUE"""),"No")</f>
        <v>No</v>
      </c>
      <c r="AC80" s="5" t="str">
        <f ca="1">IFERROR(__xludf.DUMMYFUNCTION("""COMPUTED_VALUE"""),"No")</f>
        <v>No</v>
      </c>
      <c r="AD80" s="5" t="str">
        <f ca="1">IFERROR(__xludf.DUMMYFUNCTION("""COMPUTED_VALUE"""),"No")</f>
        <v>No</v>
      </c>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row>
    <row r="81" spans="1:34" ht="12.75">
      <c r="A81" s="5" t="str">
        <f ca="1">IFERROR(__xludf.DUMMYFUNCTION("""COMPUTED_VALUE"""),"20220501OHHAC")</f>
        <v>20220501OHHAC</v>
      </c>
      <c r="B81" s="8">
        <f ca="1">IFERROR(__xludf.DUMMYFUNCTION("""COMPUTED_VALUE"""),44682)</f>
        <v>44682</v>
      </c>
      <c r="C81" s="5" t="str">
        <f ca="1">IFERROR(__xludf.DUMMYFUNCTION("""COMPUTED_VALUE"""),"Hamilton Stem Academy")</f>
        <v>Hamilton Stem Academy</v>
      </c>
      <c r="D81" s="5">
        <f ca="1">IFERROR(__xludf.DUMMYFUNCTION("""COMPUTED_VALUE"""),1)</f>
        <v>1</v>
      </c>
      <c r="E81" s="5">
        <f ca="1">IFERROR(__xludf.DUMMYFUNCTION("""COMPUTED_VALUE"""),0)</f>
        <v>0</v>
      </c>
      <c r="F81" s="5">
        <f ca="1">IFERROR(__xludf.DUMMYFUNCTION("""COMPUTED_VALUE"""),1)</f>
        <v>1</v>
      </c>
      <c r="G81" s="5">
        <f ca="1">IFERROR(__xludf.DUMMYFUNCTION("""COMPUTED_VALUE"""),0)</f>
        <v>0</v>
      </c>
      <c r="H81" s="5" t="str">
        <f ca="1">IFERROR(__xludf.DUMMYFUNCTION("""COMPUTED_VALUE"""),"https://abc6onyourside.com/news/local/columbus-ohio-police-investigating-person-found-dead-car-near-hamilton-stem-academy-5-1-2022 https://www.nbc4i.com/news/local-news/columbus/police-man-found-fatally-shot-inside-car-at-hamilton-stem-academy/ https://ww"&amp;"w.10tv.com/article/news/crime/man-found-dead-linden-area-columbus/530-b60db85f-035e-4afd-81d4-eadbf61d2adb")</f>
        <v>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I81" s="5">
        <f ca="1">IFERROR(__xludf.DUMMYFUNCTION("""COMPUTED_VALUE"""),3)</f>
        <v>3</v>
      </c>
      <c r="J81" s="5" t="str">
        <f ca="1">IFERROR(__xludf.DUMMYFUNCTION("""COMPUTED_VALUE"""),"Local")</f>
        <v>Local</v>
      </c>
      <c r="K81" s="5">
        <f ca="1">IFERROR(__xludf.DUMMYFUNCTION("""COMPUTED_VALUE"""),4)</f>
        <v>4</v>
      </c>
      <c r="L81" s="5" t="str">
        <f ca="1">IFERROR(__xludf.DUMMYFUNCTION("""COMPUTED_VALUE"""),"Spring")</f>
        <v>Spring</v>
      </c>
      <c r="M81" s="5" t="str">
        <f ca="1">IFERROR(__xludf.DUMMYFUNCTION("""COMPUTED_VALUE"""),"Columbus")</f>
        <v>Columbus</v>
      </c>
      <c r="N81" s="5" t="str">
        <f ca="1">IFERROR(__xludf.DUMMYFUNCTION("""COMPUTED_VALUE"""),"OH")</f>
        <v>OH</v>
      </c>
      <c r="O81" s="5" t="str">
        <f ca="1">IFERROR(__xludf.DUMMYFUNCTION("""COMPUTED_VALUE"""),"Elementary")</f>
        <v>Elementary</v>
      </c>
      <c r="P81" s="5" t="str">
        <f ca="1">IFERROR(__xludf.DUMMYFUNCTION("""COMPUTED_VALUE"""),"Parking Lot")</f>
        <v>Parking Lot</v>
      </c>
      <c r="Q81" s="5" t="str">
        <f ca="1">IFERROR(__xludf.DUMMYFUNCTION("""COMPUTED_VALUE"""),"Outside on School Property")</f>
        <v>Outside on School Property</v>
      </c>
      <c r="R81" s="5" t="str">
        <f ca="1">IFERROR(__xludf.DUMMYFUNCTION("""COMPUTED_VALUE"""),"No")</f>
        <v>No</v>
      </c>
      <c r="S81" s="5" t="str">
        <f ca="1">IFERROR(__xludf.DUMMYFUNCTION("""COMPUTED_VALUE"""),"Not a School Day")</f>
        <v>Not a School Day</v>
      </c>
      <c r="T81" s="10">
        <f ca="1">IFERROR(__xludf.DUMMYFUNCTION("""COMPUTED_VALUE"""),0.5625)</f>
        <v>0.5625</v>
      </c>
      <c r="U81" s="5">
        <f ca="1">IFERROR(__xludf.DUMMYFUNCTION("""COMPUTED_VALUE"""),1)</f>
        <v>1</v>
      </c>
      <c r="V81" s="5" t="str">
        <f ca="1">IFERROR(__xludf.DUMMYFUNCTION("""COMPUTED_VALUE"""),"Man found fatally shot in the school parking lot")</f>
        <v>Man found fatally shot in the school parking lot</v>
      </c>
      <c r="W81"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X81" s="5"/>
      <c r="Y81" s="5" t="str">
        <f ca="1">IFERROR(__xludf.DUMMYFUNCTION("""COMPUTED_VALUE"""),"Victims Targeted")</f>
        <v>Victims Targeted</v>
      </c>
      <c r="Z81" s="5"/>
      <c r="AA81" s="5"/>
      <c r="AB81" s="5" t="str">
        <f ca="1">IFERROR(__xludf.DUMMYFUNCTION("""COMPUTED_VALUE"""),"No")</f>
        <v>No</v>
      </c>
      <c r="AC81" s="5" t="str">
        <f ca="1">IFERROR(__xludf.DUMMYFUNCTION("""COMPUTED_VALUE"""),"No")</f>
        <v>No</v>
      </c>
      <c r="AD81" s="5" t="str">
        <f ca="1">IFERROR(__xludf.DUMMYFUNCTION("""COMPUTED_VALUE"""),"No")</f>
        <v>No</v>
      </c>
      <c r="AE81" s="5" t="str">
        <f ca="1">IFERROR(__xludf.DUMMYFUNCTION("""COMPUTED_VALUE"""),"No")</f>
        <v>No</v>
      </c>
      <c r="AF81" s="5"/>
      <c r="AG81" s="5"/>
      <c r="AH81" s="5" t="str">
        <f ca="1">IFERROR(__xludf.DUMMYFUNCTION("""COMPUTED_VALUE"""),"No")</f>
        <v>No</v>
      </c>
    </row>
    <row r="82" spans="1:34" ht="12.75">
      <c r="A82" s="5" t="str">
        <f ca="1">IFERROR(__xludf.DUMMYFUNCTION("""COMPUTED_VALUE"""),"20220430PAMCJ")</f>
        <v>20220430PAMCJ</v>
      </c>
      <c r="B82" s="8">
        <f ca="1">IFERROR(__xludf.DUMMYFUNCTION("""COMPUTED_VALUE"""),44681)</f>
        <v>44681</v>
      </c>
      <c r="C82" s="5" t="str">
        <f ca="1">IFERROR(__xludf.DUMMYFUNCTION("""COMPUTED_VALUE"""),"McKee Middle School (McKee Stadium)")</f>
        <v>McKee Middle School (McKee Stadium)</v>
      </c>
      <c r="D82" s="5">
        <f ca="1">IFERROR(__xludf.DUMMYFUNCTION("""COMPUTED_VALUE"""),0)</f>
        <v>0</v>
      </c>
      <c r="E82" s="5">
        <f ca="1">IFERROR(__xludf.DUMMYFUNCTION("""COMPUTED_VALUE"""),0)</f>
        <v>0</v>
      </c>
      <c r="F82" s="5">
        <f ca="1">IFERROR(__xludf.DUMMYFUNCTION("""COMPUTED_VALUE"""),0)</f>
        <v>0</v>
      </c>
      <c r="G82" s="5">
        <f ca="1">IFERROR(__xludf.DUMMYFUNCTION("""COMPUTED_VALUE"""),0)</f>
        <v>0</v>
      </c>
      <c r="H82" s="9" t="str">
        <f ca="1">IFERROR(__xludf.DUMMYFUNCTION("""COMPUTED_VALUE"""),"https://triblive.com/local/westmoreland/no-one-reported-hurt-after-shot-fired-during-fight-at-mckee-stadium-in-jeannette/")</f>
        <v>https://triblive.com/local/westmoreland/no-one-reported-hurt-after-shot-fired-during-fight-at-mckee-stadium-in-jeannette/</v>
      </c>
      <c r="I82" s="5">
        <f ca="1">IFERROR(__xludf.DUMMYFUNCTION("""COMPUTED_VALUE"""),1)</f>
        <v>1</v>
      </c>
      <c r="J82" s="5" t="str">
        <f ca="1">IFERROR(__xludf.DUMMYFUNCTION("""COMPUTED_VALUE"""),"Local")</f>
        <v>Local</v>
      </c>
      <c r="K82" s="5">
        <f ca="1">IFERROR(__xludf.DUMMYFUNCTION("""COMPUTED_VALUE"""),3)</f>
        <v>3</v>
      </c>
      <c r="L82" s="5" t="str">
        <f ca="1">IFERROR(__xludf.DUMMYFUNCTION("""COMPUTED_VALUE"""),"Spring")</f>
        <v>Spring</v>
      </c>
      <c r="M82" s="5" t="str">
        <f ca="1">IFERROR(__xludf.DUMMYFUNCTION("""COMPUTED_VALUE"""),"Jeannette City")</f>
        <v>Jeannette City</v>
      </c>
      <c r="N82" s="5" t="str">
        <f ca="1">IFERROR(__xludf.DUMMYFUNCTION("""COMPUTED_VALUE"""),"PA")</f>
        <v>PA</v>
      </c>
      <c r="O82" s="5" t="str">
        <f ca="1">IFERROR(__xludf.DUMMYFUNCTION("""COMPUTED_VALUE"""),"Middle")</f>
        <v>Middle</v>
      </c>
      <c r="P82" s="5" t="str">
        <f ca="1">IFERROR(__xludf.DUMMYFUNCTION("""COMPUTED_VALUE"""),"Football Field/Track")</f>
        <v>Football Field/Track</v>
      </c>
      <c r="Q82" s="5" t="str">
        <f ca="1">IFERROR(__xludf.DUMMYFUNCTION("""COMPUTED_VALUE"""),"Outside on School Property")</f>
        <v>Outside on School Property</v>
      </c>
      <c r="R82" s="5" t="str">
        <f ca="1">IFERROR(__xludf.DUMMYFUNCTION("""COMPUTED_VALUE"""),"No")</f>
        <v>No</v>
      </c>
      <c r="S82" s="5" t="str">
        <f ca="1">IFERROR(__xludf.DUMMYFUNCTION("""COMPUTED_VALUE"""),"Sport Event")</f>
        <v>Sport Event</v>
      </c>
      <c r="T82" s="10">
        <f ca="1">IFERROR(__xludf.DUMMYFUNCTION("""COMPUTED_VALUE"""),0.427083333333333)</f>
        <v>0.42708333333333298</v>
      </c>
      <c r="U82" s="5">
        <f ca="1">IFERROR(__xludf.DUMMYFUNCTION("""COMPUTED_VALUE"""),1)</f>
        <v>1</v>
      </c>
      <c r="V82" s="5" t="str">
        <f ca="1">IFERROR(__xludf.DUMMYFUNCTION("""COMPUTED_VALUE"""),"Shot fired during youth football game at stadium, both men involved fled")</f>
        <v>Shot fired during youth football game at stadium, both men involved fled</v>
      </c>
      <c r="W82"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X82" s="5" t="str">
        <f ca="1">IFERROR(__xludf.DUMMYFUNCTION("""COMPUTED_VALUE"""),"Escalation of Dispute")</f>
        <v>Escalation of Dispute</v>
      </c>
      <c r="Y82" s="5" t="str">
        <f ca="1">IFERROR(__xludf.DUMMYFUNCTION("""COMPUTED_VALUE"""),"Victims Targeted")</f>
        <v>Victims Targeted</v>
      </c>
      <c r="Z82" s="5" t="str">
        <f ca="1">IFERROR(__xludf.DUMMYFUNCTION("""COMPUTED_VALUE"""),"No")</f>
        <v>No</v>
      </c>
      <c r="AA82" s="5"/>
      <c r="AB82" s="5" t="str">
        <f ca="1">IFERROR(__xludf.DUMMYFUNCTION("""COMPUTED_VALUE"""),"No")</f>
        <v>No</v>
      </c>
      <c r="AC82" s="5" t="str">
        <f ca="1">IFERROR(__xludf.DUMMYFUNCTION("""COMPUTED_VALUE"""),"No")</f>
        <v>No</v>
      </c>
      <c r="AD82" s="5" t="str">
        <f ca="1">IFERROR(__xludf.DUMMYFUNCTION("""COMPUTED_VALUE"""),"No")</f>
        <v>No</v>
      </c>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row>
    <row r="83" spans="1:34" ht="12.75">
      <c r="A83" s="5" t="str">
        <f ca="1">IFERROR(__xludf.DUMMYFUNCTION("""COMPUTED_VALUE"""),"20220427TXMOS")</f>
        <v>20220427TXMOS</v>
      </c>
      <c r="B83" s="8">
        <f ca="1">IFERROR(__xludf.DUMMYFUNCTION("""COMPUTED_VALUE"""),44678)</f>
        <v>44678</v>
      </c>
      <c r="C83" s="5" t="str">
        <f ca="1">IFERROR(__xludf.DUMMYFUNCTION("""COMPUTED_VALUE"""),"Morrill Elementary School")</f>
        <v>Morrill Elementary School</v>
      </c>
      <c r="D83" s="5">
        <f ca="1">IFERROR(__xludf.DUMMYFUNCTION("""COMPUTED_VALUE"""),0)</f>
        <v>0</v>
      </c>
      <c r="E83" s="5">
        <f ca="1">IFERROR(__xludf.DUMMYFUNCTION("""COMPUTED_VALUE"""),1)</f>
        <v>1</v>
      </c>
      <c r="F83" s="5">
        <f ca="1">IFERROR(__xludf.DUMMYFUNCTION("""COMPUTED_VALUE"""),1)</f>
        <v>1</v>
      </c>
      <c r="G83" s="5">
        <f ca="1">IFERROR(__xludf.DUMMYFUNCTION("""COMPUTED_VALUE"""),0)</f>
        <v>0</v>
      </c>
      <c r="H83" s="9" t="str">
        <f ca="1">IFERROR(__xludf.DUMMYFUNCTION("""COMPUTED_VALUE"""),"https://news4sanantonio.com/news/local/police-shot-suspect-after-attempting-to-break-in-school")</f>
        <v>https://news4sanantonio.com/news/local/police-shot-suspect-after-attempting-to-break-in-school</v>
      </c>
      <c r="I83" s="5">
        <f ca="1">IFERROR(__xludf.DUMMYFUNCTION("""COMPUTED_VALUE"""),1)</f>
        <v>1</v>
      </c>
      <c r="J83" s="5" t="str">
        <f ca="1">IFERROR(__xludf.DUMMYFUNCTION("""COMPUTED_VALUE"""),"Local")</f>
        <v>Local</v>
      </c>
      <c r="K83" s="5">
        <f ca="1">IFERROR(__xludf.DUMMYFUNCTION("""COMPUTED_VALUE"""),4)</f>
        <v>4</v>
      </c>
      <c r="L83" s="5" t="str">
        <f ca="1">IFERROR(__xludf.DUMMYFUNCTION("""COMPUTED_VALUE"""),"Spring")</f>
        <v>Spring</v>
      </c>
      <c r="M83" s="5" t="str">
        <f ca="1">IFERROR(__xludf.DUMMYFUNCTION("""COMPUTED_VALUE"""),"San Antonio")</f>
        <v>San Antonio</v>
      </c>
      <c r="N83" s="5" t="str">
        <f ca="1">IFERROR(__xludf.DUMMYFUNCTION("""COMPUTED_VALUE"""),"TX")</f>
        <v>TX</v>
      </c>
      <c r="O83" s="5" t="str">
        <f ca="1">IFERROR(__xludf.DUMMYFUNCTION("""COMPUTED_VALUE"""),"Elementary")</f>
        <v>Elementary</v>
      </c>
      <c r="P83" s="5" t="str">
        <f ca="1">IFERROR(__xludf.DUMMYFUNCTION("""COMPUTED_VALUE"""),"Front of School")</f>
        <v>Front of School</v>
      </c>
      <c r="Q83" s="5" t="str">
        <f ca="1">IFERROR(__xludf.DUMMYFUNCTION("""COMPUTED_VALUE"""),"Outside on School Property")</f>
        <v>Outside on School Property</v>
      </c>
      <c r="R83" s="5" t="str">
        <f ca="1">IFERROR(__xludf.DUMMYFUNCTION("""COMPUTED_VALUE"""),"No")</f>
        <v>No</v>
      </c>
      <c r="S83" s="5" t="str">
        <f ca="1">IFERROR(__xludf.DUMMYFUNCTION("""COMPUTED_VALUE"""),"Evening")</f>
        <v>Evening</v>
      </c>
      <c r="T83" s="10">
        <f ca="1">IFERROR(__xludf.DUMMYFUNCTION("""COMPUTED_VALUE"""),0.845833333333333)</f>
        <v>0.84583333333333299</v>
      </c>
      <c r="U83" s="5">
        <f ca="1">IFERROR(__xludf.DUMMYFUNCTION("""COMPUTED_VALUE"""),1)</f>
        <v>1</v>
      </c>
      <c r="V83" s="5" t="str">
        <f ca="1">IFERROR(__xludf.DUMMYFUNCTION("""COMPUTED_VALUE"""),"Police shot man attempting to break-in to school building")</f>
        <v>Police shot man attempting to break-in to school building</v>
      </c>
      <c r="W83"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X83" s="5" t="str">
        <f ca="1">IFERROR(__xludf.DUMMYFUNCTION("""COMPUTED_VALUE"""),"Officer-Involved Shooting")</f>
        <v>Officer-Involved Shooting</v>
      </c>
      <c r="Y83" s="5"/>
      <c r="Z83" s="5"/>
      <c r="AA83" s="5"/>
      <c r="AB83" s="5"/>
      <c r="AC83" s="5"/>
      <c r="AD83" s="5" t="str">
        <f ca="1">IFERROR(__xludf.DUMMYFUNCTION("""COMPUTED_VALUE"""),"Yes")</f>
        <v>Yes</v>
      </c>
      <c r="AE83" s="5"/>
      <c r="AF83" s="5"/>
      <c r="AG83" s="5"/>
      <c r="AH83" s="5"/>
    </row>
    <row r="84" spans="1:34" ht="12.75">
      <c r="A84" s="5" t="str">
        <f ca="1">IFERROR(__xludf.DUMMYFUNCTION("""COMPUTED_VALUE"""),"20220427INCOS")</f>
        <v>20220427INCOS</v>
      </c>
      <c r="B84" s="8">
        <f ca="1">IFERROR(__xludf.DUMMYFUNCTION("""COMPUTED_VALUE"""),44678)</f>
        <v>44678</v>
      </c>
      <c r="C84" s="5" t="str">
        <f ca="1">IFERROR(__xludf.DUMMYFUNCTION("""COMPUTED_VALUE"""),"Coquillard Elementary School")</f>
        <v>Coquillard Elementary School</v>
      </c>
      <c r="D84" s="5">
        <f ca="1">IFERROR(__xludf.DUMMYFUNCTION("""COMPUTED_VALUE"""),0)</f>
        <v>0</v>
      </c>
      <c r="E84" s="5">
        <f ca="1">IFERROR(__xludf.DUMMYFUNCTION("""COMPUTED_VALUE"""),0)</f>
        <v>0</v>
      </c>
      <c r="F84" s="5">
        <f ca="1">IFERROR(__xludf.DUMMYFUNCTION("""COMPUTED_VALUE"""),0)</f>
        <v>0</v>
      </c>
      <c r="G84" s="5">
        <f ca="1">IFERROR(__xludf.DUMMYFUNCTION("""COMPUTED_VALUE"""),0)</f>
        <v>0</v>
      </c>
      <c r="H84" s="9" t="str">
        <f ca="1">IFERROR(__xludf.DUMMYFUNCTION("""COMPUTED_VALUE"""),"https://www.wndu.com/2022/04/27/investigation-underway-after-student-shoots-school-bus-window-with-bb-gun/")</f>
        <v>https://www.wndu.com/2022/04/27/investigation-underway-after-student-shoots-school-bus-window-with-bb-gun/</v>
      </c>
      <c r="I84" s="5">
        <f ca="1">IFERROR(__xludf.DUMMYFUNCTION("""COMPUTED_VALUE"""),1)</f>
        <v>1</v>
      </c>
      <c r="J84" s="5" t="str">
        <f ca="1">IFERROR(__xludf.DUMMYFUNCTION("""COMPUTED_VALUE"""),"Local")</f>
        <v>Local</v>
      </c>
      <c r="K84" s="5">
        <f ca="1">IFERROR(__xludf.DUMMYFUNCTION("""COMPUTED_VALUE"""),3)</f>
        <v>3</v>
      </c>
      <c r="L84" s="5" t="str">
        <f ca="1">IFERROR(__xludf.DUMMYFUNCTION("""COMPUTED_VALUE"""),"Spring")</f>
        <v>Spring</v>
      </c>
      <c r="M84" s="5" t="str">
        <f ca="1">IFERROR(__xludf.DUMMYFUNCTION("""COMPUTED_VALUE"""),"South Bend")</f>
        <v>South Bend</v>
      </c>
      <c r="N84" s="5" t="str">
        <f ca="1">IFERROR(__xludf.DUMMYFUNCTION("""COMPUTED_VALUE"""),"IN")</f>
        <v>IN</v>
      </c>
      <c r="O84" s="5" t="str">
        <f ca="1">IFERROR(__xludf.DUMMYFUNCTION("""COMPUTED_VALUE"""),"Elementary")</f>
        <v>Elementary</v>
      </c>
      <c r="P84" s="5" t="str">
        <f ca="1">IFERROR(__xludf.DUMMYFUNCTION("""COMPUTED_VALUE"""),"School Bus")</f>
        <v>School Bus</v>
      </c>
      <c r="Q84" s="5" t="str">
        <f ca="1">IFERROR(__xludf.DUMMYFUNCTION("""COMPUTED_VALUE"""),"School Bus")</f>
        <v>School Bus</v>
      </c>
      <c r="R84" s="5" t="str">
        <f ca="1">IFERROR(__xludf.DUMMYFUNCTION("""COMPUTED_VALUE"""),"Yes")</f>
        <v>Yes</v>
      </c>
      <c r="S84" s="5" t="str">
        <f ca="1">IFERROR(__xludf.DUMMYFUNCTION("""COMPUTED_VALUE"""),"Dismissal")</f>
        <v>Dismissal</v>
      </c>
      <c r="T84" s="10">
        <f ca="1">IFERROR(__xludf.DUMMYFUNCTION("""COMPUTED_VALUE"""),0.666666666666666)</f>
        <v>0.66666666666666596</v>
      </c>
      <c r="U84" s="5">
        <f ca="1">IFERROR(__xludf.DUMMYFUNCTION("""COMPUTED_VALUE"""),1)</f>
        <v>1</v>
      </c>
      <c r="V84" s="5" t="str">
        <f ca="1">IFERROR(__xludf.DUMMYFUNCTION("""COMPUTED_VALUE"""),"Student got off bus and fired a BB gun back at the bus, breaking a window")</f>
        <v>Student got off bus and fired a BB gun back at the bus, breaking a window</v>
      </c>
      <c r="W84"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X84" s="5" t="str">
        <f ca="1">IFERROR(__xludf.DUMMYFUNCTION("""COMPUTED_VALUE"""),"Intentional Property Damage")</f>
        <v>Intentional Property Damage</v>
      </c>
      <c r="Y84" s="5" t="str">
        <f ca="1">IFERROR(__xludf.DUMMYFUNCTION("""COMPUTED_VALUE"""),"Neither")</f>
        <v>Neither</v>
      </c>
      <c r="Z84" s="5" t="str">
        <f ca="1">IFERROR(__xludf.DUMMYFUNCTION("""COMPUTED_VALUE"""),"No")</f>
        <v>No</v>
      </c>
      <c r="AA84" s="5"/>
      <c r="AB84" s="5" t="str">
        <f ca="1">IFERROR(__xludf.DUMMYFUNCTION("""COMPUTED_VALUE"""),"No")</f>
        <v>No</v>
      </c>
      <c r="AC84" s="5" t="str">
        <f ca="1">IFERROR(__xludf.DUMMYFUNCTION("""COMPUTED_VALUE"""),"No")</f>
        <v>No</v>
      </c>
      <c r="AD84" s="5" t="str">
        <f ca="1">IFERROR(__xludf.DUMMYFUNCTION("""COMPUTED_VALUE"""),"No")</f>
        <v>No</v>
      </c>
      <c r="AE84" s="5"/>
      <c r="AF84" s="5" t="str">
        <f ca="1">IFERROR(__xludf.DUMMYFUNCTION("""COMPUTED_VALUE"""),"No")</f>
        <v>No</v>
      </c>
      <c r="AG84" s="5" t="str">
        <f ca="1">IFERROR(__xludf.DUMMYFUNCTION("""COMPUTED_VALUE"""),"No")</f>
        <v>No</v>
      </c>
      <c r="AH84" s="5" t="str">
        <f ca="1">IFERROR(__xludf.DUMMYFUNCTION("""COMPUTED_VALUE"""),"No")</f>
        <v>No</v>
      </c>
    </row>
    <row r="85" spans="1:34" ht="12.75">
      <c r="A85" s="5" t="str">
        <f ca="1">IFERROR(__xludf.DUMMYFUNCTION("""COMPUTED_VALUE"""),"20220426MIASI")</f>
        <v>20220426MIASI</v>
      </c>
      <c r="B85" s="8">
        <f ca="1">IFERROR(__xludf.DUMMYFUNCTION("""COMPUTED_VALUE"""),44677)</f>
        <v>44677</v>
      </c>
      <c r="C85" s="5" t="str">
        <f ca="1">IFERROR(__xludf.DUMMYFUNCTION("""COMPUTED_VALUE"""),"Aspen Ridge School")</f>
        <v>Aspen Ridge School</v>
      </c>
      <c r="D85" s="5">
        <f ca="1">IFERROR(__xludf.DUMMYFUNCTION("""COMPUTED_VALUE"""),0)</f>
        <v>0</v>
      </c>
      <c r="E85" s="5">
        <f ca="1">IFERROR(__xludf.DUMMYFUNCTION("""COMPUTED_VALUE"""),0)</f>
        <v>0</v>
      </c>
      <c r="F85" s="5">
        <f ca="1">IFERROR(__xludf.DUMMYFUNCTION("""COMPUTED_VALUE"""),0)</f>
        <v>0</v>
      </c>
      <c r="G85" s="5">
        <f ca="1">IFERROR(__xludf.DUMMYFUNCTION("""COMPUTED_VALUE"""),1)</f>
        <v>1</v>
      </c>
      <c r="H85"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I85" s="5">
        <f ca="1">IFERROR(__xludf.DUMMYFUNCTION("""COMPUTED_VALUE"""),3)</f>
        <v>3</v>
      </c>
      <c r="J85" s="5" t="str">
        <f ca="1">IFERROR(__xludf.DUMMYFUNCTION("""COMPUTED_VALUE"""),"Local")</f>
        <v>Local</v>
      </c>
      <c r="K85" s="5">
        <f ca="1">IFERROR(__xludf.DUMMYFUNCTION("""COMPUTED_VALUE"""),4)</f>
        <v>4</v>
      </c>
      <c r="L85" s="5" t="str">
        <f ca="1">IFERROR(__xludf.DUMMYFUNCTION("""COMPUTED_VALUE"""),"Spring")</f>
        <v>Spring</v>
      </c>
      <c r="M85" s="5" t="str">
        <f ca="1">IFERROR(__xludf.DUMMYFUNCTION("""COMPUTED_VALUE"""),"Ishpeming Township")</f>
        <v>Ishpeming Township</v>
      </c>
      <c r="N85" s="5" t="str">
        <f ca="1">IFERROR(__xludf.DUMMYFUNCTION("""COMPUTED_VALUE"""),"MI")</f>
        <v>MI</v>
      </c>
      <c r="O85" s="5" t="str">
        <f ca="1">IFERROR(__xludf.DUMMYFUNCTION("""COMPUTED_VALUE"""),"K-8")</f>
        <v>K-8</v>
      </c>
      <c r="P85" s="5" t="str">
        <f ca="1">IFERROR(__xludf.DUMMYFUNCTION("""COMPUTED_VALUE"""),"Bathroom")</f>
        <v>Bathroom</v>
      </c>
      <c r="Q85" s="5" t="str">
        <f ca="1">IFERROR(__xludf.DUMMYFUNCTION("""COMPUTED_VALUE"""),"Inside School Building")</f>
        <v>Inside School Building</v>
      </c>
      <c r="R85" s="5" t="str">
        <f ca="1">IFERROR(__xludf.DUMMYFUNCTION("""COMPUTED_VALUE"""),"Yes")</f>
        <v>Yes</v>
      </c>
      <c r="S85" s="5" t="str">
        <f ca="1">IFERROR(__xludf.DUMMYFUNCTION("""COMPUTED_VALUE"""),"Afternoon Classes")</f>
        <v>Afternoon Classes</v>
      </c>
      <c r="T85" s="10">
        <f ca="1">IFERROR(__xludf.DUMMYFUNCTION("""COMPUTED_VALUE"""),0.520833333333333)</f>
        <v>0.52083333333333304</v>
      </c>
      <c r="U85" s="5">
        <f ca="1">IFERROR(__xludf.DUMMYFUNCTION("""COMPUTED_VALUE"""),1)</f>
        <v>1</v>
      </c>
      <c r="V85" s="5" t="str">
        <f ca="1">IFERROR(__xludf.DUMMYFUNCTION("""COMPUTED_VALUE"""),"Student commit suicide in bathroom")</f>
        <v>Student commit suicide in bathroom</v>
      </c>
      <c r="W85"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X85" s="5" t="str">
        <f ca="1">IFERROR(__xludf.DUMMYFUNCTION("""COMPUTED_VALUE"""),"Suicide/Attempted")</f>
        <v>Suicide/Attempted</v>
      </c>
      <c r="Y85" s="5" t="str">
        <f ca="1">IFERROR(__xludf.DUMMYFUNCTION("""COMPUTED_VALUE"""),"Victims Targeted")</f>
        <v>Victims Targeted</v>
      </c>
      <c r="Z85" s="5" t="str">
        <f ca="1">IFERROR(__xludf.DUMMYFUNCTION("""COMPUTED_VALUE"""),"No")</f>
        <v>No</v>
      </c>
      <c r="AA85" s="5"/>
      <c r="AB85" s="5" t="str">
        <f ca="1">IFERROR(__xludf.DUMMYFUNCTION("""COMPUTED_VALUE"""),"No")</f>
        <v>No</v>
      </c>
      <c r="AC85" s="5" t="str">
        <f ca="1">IFERROR(__xludf.DUMMYFUNCTION("""COMPUTED_VALUE"""),"No")</f>
        <v>No</v>
      </c>
      <c r="AD85" s="5" t="str">
        <f ca="1">IFERROR(__xludf.DUMMYFUNCTION("""COMPUTED_VALUE"""),"No")</f>
        <v>No</v>
      </c>
      <c r="AE85" s="5"/>
      <c r="AF85" s="5" t="str">
        <f ca="1">IFERROR(__xludf.DUMMYFUNCTION("""COMPUTED_VALUE"""),"No")</f>
        <v>No</v>
      </c>
      <c r="AG85" s="5" t="str">
        <f ca="1">IFERROR(__xludf.DUMMYFUNCTION("""COMPUTED_VALUE"""),"No")</f>
        <v>No</v>
      </c>
      <c r="AH85" s="5" t="str">
        <f ca="1">IFERROR(__xludf.DUMMYFUNCTION("""COMPUTED_VALUE"""),"No")</f>
        <v>No</v>
      </c>
    </row>
    <row r="86" spans="1:34" ht="12.75">
      <c r="A86" s="5" t="str">
        <f ca="1">IFERROR(__xludf.DUMMYFUNCTION("""COMPUTED_VALUE"""),"20220426GASOM")</f>
        <v>20220426GASOM</v>
      </c>
      <c r="B86" s="8">
        <f ca="1">IFERROR(__xludf.DUMMYFUNCTION("""COMPUTED_VALUE"""),44677)</f>
        <v>44677</v>
      </c>
      <c r="C86" s="5" t="str">
        <f ca="1">IFERROR(__xludf.DUMMYFUNCTION("""COMPUTED_VALUE"""),"Southwest High School")</f>
        <v>Southwest High School</v>
      </c>
      <c r="D86" s="5">
        <f ca="1">IFERROR(__xludf.DUMMYFUNCTION("""COMPUTED_VALUE"""),1)</f>
        <v>1</v>
      </c>
      <c r="E86" s="5">
        <f ca="1">IFERROR(__xludf.DUMMYFUNCTION("""COMPUTED_VALUE"""),0)</f>
        <v>0</v>
      </c>
      <c r="F86" s="5">
        <f ca="1">IFERROR(__xludf.DUMMYFUNCTION("""COMPUTED_VALUE"""),1)</f>
        <v>1</v>
      </c>
      <c r="G86" s="5">
        <f ca="1">IFERROR(__xludf.DUMMYFUNCTION("""COMPUTED_VALUE"""),0)</f>
        <v>0</v>
      </c>
      <c r="H86"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I86" s="5">
        <f ca="1">IFERROR(__xludf.DUMMYFUNCTION("""COMPUTED_VALUE"""),2)</f>
        <v>2</v>
      </c>
      <c r="J86" s="5" t="str">
        <f ca="1">IFERROR(__xludf.DUMMYFUNCTION("""COMPUTED_VALUE"""),"Local")</f>
        <v>Local</v>
      </c>
      <c r="K86" s="5">
        <f ca="1">IFERROR(__xludf.DUMMYFUNCTION("""COMPUTED_VALUE"""),4)</f>
        <v>4</v>
      </c>
      <c r="L86" s="5" t="str">
        <f ca="1">IFERROR(__xludf.DUMMYFUNCTION("""COMPUTED_VALUE"""),"Spring")</f>
        <v>Spring</v>
      </c>
      <c r="M86" s="5" t="str">
        <f ca="1">IFERROR(__xludf.DUMMYFUNCTION("""COMPUTED_VALUE"""),"Macon")</f>
        <v>Macon</v>
      </c>
      <c r="N86" s="5" t="str">
        <f ca="1">IFERROR(__xludf.DUMMYFUNCTION("""COMPUTED_VALUE"""),"GA")</f>
        <v>GA</v>
      </c>
      <c r="O86" s="5" t="str">
        <f ca="1">IFERROR(__xludf.DUMMYFUNCTION("""COMPUTED_VALUE"""),"High")</f>
        <v>High</v>
      </c>
      <c r="P86" s="5" t="str">
        <f ca="1">IFERROR(__xludf.DUMMYFUNCTION("""COMPUTED_VALUE"""),"Parking Lot")</f>
        <v>Parking Lot</v>
      </c>
      <c r="Q86" s="5" t="str">
        <f ca="1">IFERROR(__xludf.DUMMYFUNCTION("""COMPUTED_VALUE"""),"Outside on School Property")</f>
        <v>Outside on School Property</v>
      </c>
      <c r="R86" s="5" t="str">
        <f ca="1">IFERROR(__xludf.DUMMYFUNCTION("""COMPUTED_VALUE"""),"No")</f>
        <v>No</v>
      </c>
      <c r="S86" s="5" t="str">
        <f ca="1">IFERROR(__xludf.DUMMYFUNCTION("""COMPUTED_VALUE"""),"Night")</f>
        <v>Night</v>
      </c>
      <c r="T86" s="10">
        <f ca="1">IFERROR(__xludf.DUMMYFUNCTION("""COMPUTED_VALUE"""),0.9375)</f>
        <v>0.9375</v>
      </c>
      <c r="U86" s="5">
        <f ca="1">IFERROR(__xludf.DUMMYFUNCTION("""COMPUTED_VALUE"""),1)</f>
        <v>1</v>
      </c>
      <c r="V86" s="5" t="str">
        <f ca="1">IFERROR(__xludf.DUMMYFUNCTION("""COMPUTED_VALUE"""),"Teen fatally shot multiple times, body left in school parking lot")</f>
        <v>Teen fatally shot multiple times, body left in school parking lot</v>
      </c>
      <c r="W86"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X86" s="5"/>
      <c r="Y86" s="5" t="str">
        <f ca="1">IFERROR(__xludf.DUMMYFUNCTION("""COMPUTED_VALUE"""),"Victims Targeted")</f>
        <v>Victims Targeted</v>
      </c>
      <c r="Z86" s="5" t="str">
        <f ca="1">IFERROR(__xludf.DUMMYFUNCTION("""COMPUTED_VALUE"""),"Yes")</f>
        <v>Yes</v>
      </c>
      <c r="AA86" s="5"/>
      <c r="AB86" s="5" t="str">
        <f ca="1">IFERROR(__xludf.DUMMYFUNCTION("""COMPUTED_VALUE"""),"No")</f>
        <v>No</v>
      </c>
      <c r="AC86" s="5" t="str">
        <f ca="1">IFERROR(__xludf.DUMMYFUNCTION("""COMPUTED_VALUE"""),"No")</f>
        <v>No</v>
      </c>
      <c r="AD86" s="5" t="str">
        <f ca="1">IFERROR(__xludf.DUMMYFUNCTION("""COMPUTED_VALUE"""),"No")</f>
        <v>No</v>
      </c>
      <c r="AE86" s="5" t="str">
        <f ca="1">IFERROR(__xludf.DUMMYFUNCTION("""COMPUTED_VALUE"""),"No")</f>
        <v>No</v>
      </c>
      <c r="AF86" s="5" t="str">
        <f ca="1">IFERROR(__xludf.DUMMYFUNCTION("""COMPUTED_VALUE"""),"No")</f>
        <v>No</v>
      </c>
      <c r="AG86" s="5"/>
      <c r="AH86" s="5" t="str">
        <f ca="1">IFERROR(__xludf.DUMMYFUNCTION("""COMPUTED_VALUE"""),"No")</f>
        <v>No</v>
      </c>
    </row>
    <row r="87" spans="1:34" ht="12.75">
      <c r="A87" s="5" t="str">
        <f ca="1">IFERROR(__xludf.DUMMYFUNCTION("""COMPUTED_VALUE"""),"20220425WIWIM")</f>
        <v>20220425WIWIM</v>
      </c>
      <c r="B87" s="8">
        <f ca="1">IFERROR(__xludf.DUMMYFUNCTION("""COMPUTED_VALUE"""),44676)</f>
        <v>44676</v>
      </c>
      <c r="C87" s="5" t="str">
        <f ca="1">IFERROR(__xludf.DUMMYFUNCTION("""COMPUTED_VALUE"""),"Wisconsin Conservatory of Lifelong Learning")</f>
        <v>Wisconsin Conservatory of Lifelong Learning</v>
      </c>
      <c r="D87" s="5">
        <f ca="1">IFERROR(__xludf.DUMMYFUNCTION("""COMPUTED_VALUE"""),0)</f>
        <v>0</v>
      </c>
      <c r="E87" s="5">
        <f ca="1">IFERROR(__xludf.DUMMYFUNCTION("""COMPUTED_VALUE"""),0)</f>
        <v>0</v>
      </c>
      <c r="F87" s="5">
        <f ca="1">IFERROR(__xludf.DUMMYFUNCTION("""COMPUTED_VALUE"""),0)</f>
        <v>0</v>
      </c>
      <c r="G87" s="5">
        <f ca="1">IFERROR(__xludf.DUMMYFUNCTION("""COMPUTED_VALUE"""),0)</f>
        <v>0</v>
      </c>
      <c r="H87"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I87" s="5">
        <f ca="1">IFERROR(__xludf.DUMMYFUNCTION("""COMPUTED_VALUE"""),5)</f>
        <v>5</v>
      </c>
      <c r="J87" s="5" t="str">
        <f ca="1">IFERROR(__xludf.DUMMYFUNCTION("""COMPUTED_VALUE"""),"Local")</f>
        <v>Local</v>
      </c>
      <c r="K87" s="5">
        <f ca="1">IFERROR(__xludf.DUMMYFUNCTION("""COMPUTED_VALUE"""),4)</f>
        <v>4</v>
      </c>
      <c r="L87" s="5" t="str">
        <f ca="1">IFERROR(__xludf.DUMMYFUNCTION("""COMPUTED_VALUE"""),"Spring")</f>
        <v>Spring</v>
      </c>
      <c r="M87" s="5" t="str">
        <f ca="1">IFERROR(__xludf.DUMMYFUNCTION("""COMPUTED_VALUE"""),"Milwaukee")</f>
        <v>Milwaukee</v>
      </c>
      <c r="N87" s="5" t="str">
        <f ca="1">IFERROR(__xludf.DUMMYFUNCTION("""COMPUTED_VALUE"""),"WI")</f>
        <v>WI</v>
      </c>
      <c r="O87" s="11">
        <f ca="1">IFERROR(__xludf.DUMMYFUNCTION("""COMPUTED_VALUE"""),44724)</f>
        <v>44724</v>
      </c>
      <c r="P87" s="5" t="str">
        <f ca="1">IFERROR(__xludf.DUMMYFUNCTION("""COMPUTED_VALUE"""),"Front of School")</f>
        <v>Front of School</v>
      </c>
      <c r="Q87" s="5" t="str">
        <f ca="1">IFERROR(__xludf.DUMMYFUNCTION("""COMPUTED_VALUE"""),"Outside on School Property")</f>
        <v>Outside on School Property</v>
      </c>
      <c r="R87" s="5" t="str">
        <f ca="1">IFERROR(__xludf.DUMMYFUNCTION("""COMPUTED_VALUE"""),"Yes")</f>
        <v>Yes</v>
      </c>
      <c r="S87" s="5" t="str">
        <f ca="1">IFERROR(__xludf.DUMMYFUNCTION("""COMPUTED_VALUE"""),"Dismissal")</f>
        <v>Dismissal</v>
      </c>
      <c r="T87" s="10">
        <f ca="1">IFERROR(__xludf.DUMMYFUNCTION("""COMPUTED_VALUE"""),0.625)</f>
        <v>0.625</v>
      </c>
      <c r="U87" s="5">
        <f ca="1">IFERROR(__xludf.DUMMYFUNCTION("""COMPUTED_VALUE"""),1)</f>
        <v>1</v>
      </c>
      <c r="V87" s="5" t="str">
        <f ca="1">IFERROR(__xludf.DUMMYFUNCTION("""COMPUTED_VALUE"""),"Multiple people fired shots during a fight striking 2 schools buses")</f>
        <v>Multiple people fired shots during a fight striking 2 schools buses</v>
      </c>
      <c r="W87"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X87" s="5" t="str">
        <f ca="1">IFERROR(__xludf.DUMMYFUNCTION("""COMPUTED_VALUE"""),"Escalation of Dispute")</f>
        <v>Escalation of Dispute</v>
      </c>
      <c r="Y87" s="5" t="str">
        <f ca="1">IFERROR(__xludf.DUMMYFUNCTION("""COMPUTED_VALUE"""),"Victims Targeted")</f>
        <v>Victims Targeted</v>
      </c>
      <c r="Z87" s="5" t="str">
        <f ca="1">IFERROR(__xludf.DUMMYFUNCTION("""COMPUTED_VALUE"""),"Yes")</f>
        <v>Yes</v>
      </c>
      <c r="AA87" s="5" t="str">
        <f ca="1">IFERROR(__xludf.DUMMYFUNCTION("""COMPUTED_VALUE"""),"Multiple shooters")</f>
        <v>Multiple shooters</v>
      </c>
      <c r="AB87" s="5" t="str">
        <f ca="1">IFERROR(__xludf.DUMMYFUNCTION("""COMPUTED_VALUE"""),"No")</f>
        <v>No</v>
      </c>
      <c r="AC87" s="5" t="str">
        <f ca="1">IFERROR(__xludf.DUMMYFUNCTION("""COMPUTED_VALUE"""),"No")</f>
        <v>No</v>
      </c>
      <c r="AD87" s="5" t="str">
        <f ca="1">IFERROR(__xludf.DUMMYFUNCTION("""COMPUTED_VALUE"""),"No")</f>
        <v>No</v>
      </c>
      <c r="AE87" s="5" t="str">
        <f ca="1">IFERROR(__xludf.DUMMYFUNCTION("""COMPUTED_VALUE"""),"No")</f>
        <v>No</v>
      </c>
      <c r="AF87" s="5" t="str">
        <f ca="1">IFERROR(__xludf.DUMMYFUNCTION("""COMPUTED_VALUE"""),"No")</f>
        <v>No</v>
      </c>
      <c r="AG87" s="5"/>
      <c r="AH87" s="5" t="str">
        <f ca="1">IFERROR(__xludf.DUMMYFUNCTION("""COMPUTED_VALUE"""),"No")</f>
        <v>No</v>
      </c>
    </row>
    <row r="88" spans="1:34" ht="12.75">
      <c r="A88" s="5" t="str">
        <f ca="1">IFERROR(__xludf.DUMMYFUNCTION("""COMPUTED_VALUE"""),"20220425GAMAM")</f>
        <v>20220425GAMAM</v>
      </c>
      <c r="B88" s="8">
        <f ca="1">IFERROR(__xludf.DUMMYFUNCTION("""COMPUTED_VALUE"""),44676)</f>
        <v>44676</v>
      </c>
      <c r="C88" s="5" t="str">
        <f ca="1">IFERROR(__xludf.DUMMYFUNCTION("""COMPUTED_VALUE"""),"Marietta City Schools Bus Yard")</f>
        <v>Marietta City Schools Bus Yard</v>
      </c>
      <c r="D88" s="5">
        <f ca="1">IFERROR(__xludf.DUMMYFUNCTION("""COMPUTED_VALUE"""),0)</f>
        <v>0</v>
      </c>
      <c r="E88" s="5">
        <f ca="1">IFERROR(__xludf.DUMMYFUNCTION("""COMPUTED_VALUE"""),0)</f>
        <v>0</v>
      </c>
      <c r="F88" s="5">
        <f ca="1">IFERROR(__xludf.DUMMYFUNCTION("""COMPUTED_VALUE"""),0)</f>
        <v>0</v>
      </c>
      <c r="G88" s="5">
        <f ca="1">IFERROR(__xludf.DUMMYFUNCTION("""COMPUTED_VALUE"""),0)</f>
        <v>0</v>
      </c>
      <c r="H88" s="9" t="str">
        <f ca="1">IFERROR(__xludf.DUMMYFUNCTION("""COMPUTED_VALUE"""),"https://www.fox5atlanta.com/news/marietta-school-buses-windshield-shot")</f>
        <v>https://www.fox5atlanta.com/news/marietta-school-buses-windshield-shot</v>
      </c>
      <c r="I88" s="5">
        <f ca="1">IFERROR(__xludf.DUMMYFUNCTION("""COMPUTED_VALUE"""),1)</f>
        <v>1</v>
      </c>
      <c r="J88" s="5" t="str">
        <f ca="1">IFERROR(__xludf.DUMMYFUNCTION("""COMPUTED_VALUE"""),"Local")</f>
        <v>Local</v>
      </c>
      <c r="K88" s="5">
        <f ca="1">IFERROR(__xludf.DUMMYFUNCTION("""COMPUTED_VALUE"""),4)</f>
        <v>4</v>
      </c>
      <c r="L88" s="5" t="str">
        <f ca="1">IFERROR(__xludf.DUMMYFUNCTION("""COMPUTED_VALUE"""),"Spring")</f>
        <v>Spring</v>
      </c>
      <c r="M88" s="5" t="str">
        <f ca="1">IFERROR(__xludf.DUMMYFUNCTION("""COMPUTED_VALUE"""),"Marietta")</f>
        <v>Marietta</v>
      </c>
      <c r="N88" s="5" t="str">
        <f ca="1">IFERROR(__xludf.DUMMYFUNCTION("""COMPUTED_VALUE"""),"GA")</f>
        <v>GA</v>
      </c>
      <c r="O88" s="5" t="str">
        <f ca="1">IFERROR(__xludf.DUMMYFUNCTION("""COMPUTED_VALUE"""),"Other")</f>
        <v>Other</v>
      </c>
      <c r="P88" s="5" t="str">
        <f ca="1">IFERROR(__xludf.DUMMYFUNCTION("""COMPUTED_VALUE"""),"Parking Lot (Bus)")</f>
        <v>Parking Lot (Bus)</v>
      </c>
      <c r="Q88" s="5" t="str">
        <f ca="1">IFERROR(__xludf.DUMMYFUNCTION("""COMPUTED_VALUE"""),"School Bus")</f>
        <v>School Bus</v>
      </c>
      <c r="R88" s="5" t="str">
        <f ca="1">IFERROR(__xludf.DUMMYFUNCTION("""COMPUTED_VALUE"""),"No")</f>
        <v>No</v>
      </c>
      <c r="S88" s="5" t="str">
        <f ca="1">IFERROR(__xludf.DUMMYFUNCTION("""COMPUTED_VALUE"""),"Night")</f>
        <v>Night</v>
      </c>
      <c r="T88" s="10">
        <f ca="1">IFERROR(__xludf.DUMMYFUNCTION("""COMPUTED_VALUE"""),0.875)</f>
        <v>0.875</v>
      </c>
      <c r="U88" s="5">
        <f ca="1">IFERROR(__xludf.DUMMYFUNCTION("""COMPUTED_VALUE"""),10)</f>
        <v>10</v>
      </c>
      <c r="V88" s="5" t="str">
        <f ca="1">IFERROR(__xludf.DUMMYFUNCTION("""COMPUTED_VALUE"""),"Woman fired pellet gun at 15 school buses")</f>
        <v>Woman fired pellet gun at 15 school buses</v>
      </c>
      <c r="W88"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X88" s="5" t="str">
        <f ca="1">IFERROR(__xludf.DUMMYFUNCTION("""COMPUTED_VALUE"""),"Intentional Property Damage")</f>
        <v>Intentional Property Damage</v>
      </c>
      <c r="Y88" s="5" t="str">
        <f ca="1">IFERROR(__xludf.DUMMYFUNCTION("""COMPUTED_VALUE"""),"Random Shooting")</f>
        <v>Random Shooting</v>
      </c>
      <c r="Z88" s="5" t="str">
        <f ca="1">IFERROR(__xludf.DUMMYFUNCTION("""COMPUTED_VALUE"""),"No")</f>
        <v>No</v>
      </c>
      <c r="AA88" s="5"/>
      <c r="AB88" s="5" t="str">
        <f ca="1">IFERROR(__xludf.DUMMYFUNCTION("""COMPUTED_VALUE"""),"No")</f>
        <v>No</v>
      </c>
      <c r="AC88" s="5" t="str">
        <f ca="1">IFERROR(__xludf.DUMMYFUNCTION("""COMPUTED_VALUE"""),"No")</f>
        <v>No</v>
      </c>
      <c r="AD88" s="5" t="str">
        <f ca="1">IFERROR(__xludf.DUMMYFUNCTION("""COMPUTED_VALUE"""),"No")</f>
        <v>No</v>
      </c>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row>
    <row r="89" spans="1:34" ht="12.75">
      <c r="A89" s="5" t="str">
        <f ca="1">IFERROR(__xludf.DUMMYFUNCTION("""COMPUTED_VALUE"""),"20220424MOHAF")</f>
        <v>20220424MOHAF</v>
      </c>
      <c r="B89" s="8">
        <f ca="1">IFERROR(__xludf.DUMMYFUNCTION("""COMPUTED_VALUE"""),44675)</f>
        <v>44675</v>
      </c>
      <c r="C89" s="5" t="str">
        <f ca="1">IFERROR(__xludf.DUMMYFUNCTION("""COMPUTED_VALUE"""),"Hazelwood Central High School")</f>
        <v>Hazelwood Central High School</v>
      </c>
      <c r="D89" s="5">
        <f ca="1">IFERROR(__xludf.DUMMYFUNCTION("""COMPUTED_VALUE"""),1)</f>
        <v>1</v>
      </c>
      <c r="E89" s="5">
        <f ca="1">IFERROR(__xludf.DUMMYFUNCTION("""COMPUTED_VALUE"""),0)</f>
        <v>0</v>
      </c>
      <c r="F89" s="5">
        <f ca="1">IFERROR(__xludf.DUMMYFUNCTION("""COMPUTED_VALUE"""),1)</f>
        <v>1</v>
      </c>
      <c r="G89" s="5">
        <f ca="1">IFERROR(__xludf.DUMMYFUNCTION("""COMPUTED_VALUE"""),0)</f>
        <v>0</v>
      </c>
      <c r="H89"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I89" s="5">
        <f ca="1">IFERROR(__xludf.DUMMYFUNCTION("""COMPUTED_VALUE"""),5)</f>
        <v>5</v>
      </c>
      <c r="J89" s="5" t="str">
        <f ca="1">IFERROR(__xludf.DUMMYFUNCTION("""COMPUTED_VALUE"""),"Local")</f>
        <v>Local</v>
      </c>
      <c r="K89" s="5">
        <f ca="1">IFERROR(__xludf.DUMMYFUNCTION("""COMPUTED_VALUE"""),4)</f>
        <v>4</v>
      </c>
      <c r="L89" s="5" t="str">
        <f ca="1">IFERROR(__xludf.DUMMYFUNCTION("""COMPUTED_VALUE"""),"Spring")</f>
        <v>Spring</v>
      </c>
      <c r="M89" s="5" t="str">
        <f ca="1">IFERROR(__xludf.DUMMYFUNCTION("""COMPUTED_VALUE"""),"Florissant")</f>
        <v>Florissant</v>
      </c>
      <c r="N89" s="5" t="str">
        <f ca="1">IFERROR(__xludf.DUMMYFUNCTION("""COMPUTED_VALUE"""),"MO")</f>
        <v>MO</v>
      </c>
      <c r="O89" s="5" t="str">
        <f ca="1">IFERROR(__xludf.DUMMYFUNCTION("""COMPUTED_VALUE"""),"High")</f>
        <v>High</v>
      </c>
      <c r="P89" s="5" t="str">
        <f ca="1">IFERROR(__xludf.DUMMYFUNCTION("""COMPUTED_VALUE"""),"Parking Lot")</f>
        <v>Parking Lot</v>
      </c>
      <c r="Q89" s="5" t="str">
        <f ca="1">IFERROR(__xludf.DUMMYFUNCTION("""COMPUTED_VALUE"""),"Outside on School Property")</f>
        <v>Outside on School Property</v>
      </c>
      <c r="R89" s="5" t="str">
        <f ca="1">IFERROR(__xludf.DUMMYFUNCTION("""COMPUTED_VALUE"""),"No")</f>
        <v>No</v>
      </c>
      <c r="S89" s="5" t="str">
        <f ca="1">IFERROR(__xludf.DUMMYFUNCTION("""COMPUTED_VALUE"""),"Not a School Day")</f>
        <v>Not a School Day</v>
      </c>
      <c r="T89" s="10">
        <f ca="1">IFERROR(__xludf.DUMMYFUNCTION("""COMPUTED_VALUE"""),0.25)</f>
        <v>0.25</v>
      </c>
      <c r="U89" s="5">
        <f ca="1">IFERROR(__xludf.DUMMYFUNCTION("""COMPUTED_VALUE"""),1)</f>
        <v>1</v>
      </c>
      <c r="V89" s="5" t="str">
        <f ca="1">IFERROR(__xludf.DUMMYFUNCTION("""COMPUTED_VALUE"""),"Two teens fatally shot cab driver in school parking lot during robbery")</f>
        <v>Two teens fatally shot cab driver in school parking lot during robbery</v>
      </c>
      <c r="W89"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X89" s="5" t="str">
        <f ca="1">IFERROR(__xludf.DUMMYFUNCTION("""COMPUTED_VALUE"""),"Illegal Activity")</f>
        <v>Illegal Activity</v>
      </c>
      <c r="Y89" s="5" t="str">
        <f ca="1">IFERROR(__xludf.DUMMYFUNCTION("""COMPUTED_VALUE"""),"Victims Targeted")</f>
        <v>Victims Targeted</v>
      </c>
      <c r="Z89" s="5" t="str">
        <f ca="1">IFERROR(__xludf.DUMMYFUNCTION("""COMPUTED_VALUE"""),"Yes")</f>
        <v>Yes</v>
      </c>
      <c r="AA89" s="5" t="str">
        <f ca="1">IFERROR(__xludf.DUMMYFUNCTION("""COMPUTED_VALUE"""),"Two teens")</f>
        <v>Two teens</v>
      </c>
      <c r="AB89" s="5" t="str">
        <f ca="1">IFERROR(__xludf.DUMMYFUNCTION("""COMPUTED_VALUE"""),"No")</f>
        <v>No</v>
      </c>
      <c r="AC89" s="5" t="str">
        <f ca="1">IFERROR(__xludf.DUMMYFUNCTION("""COMPUTED_VALUE"""),"No")</f>
        <v>No</v>
      </c>
      <c r="AD89" s="5" t="str">
        <f ca="1">IFERROR(__xludf.DUMMYFUNCTION("""COMPUTED_VALUE"""),"No")</f>
        <v>No</v>
      </c>
      <c r="AE89" s="5" t="str">
        <f ca="1">IFERROR(__xludf.DUMMYFUNCTION("""COMPUTED_VALUE"""),"No")</f>
        <v>No</v>
      </c>
      <c r="AF89" s="5" t="str">
        <f ca="1">IFERROR(__xludf.DUMMYFUNCTION("""COMPUTED_VALUE"""),"No")</f>
        <v>No</v>
      </c>
      <c r="AG89" s="5"/>
      <c r="AH89" s="5" t="str">
        <f ca="1">IFERROR(__xludf.DUMMYFUNCTION("""COMPUTED_VALUE"""),"No")</f>
        <v>No</v>
      </c>
    </row>
    <row r="90" spans="1:34" ht="12.75">
      <c r="A90" s="5" t="str">
        <f ca="1">IFERROR(__xludf.DUMMYFUNCTION("""COMPUTED_VALUE"""),"20220422ORHOS")</f>
        <v>20220422ORHOS</v>
      </c>
      <c r="B90" s="8">
        <f ca="1">IFERROR(__xludf.DUMMYFUNCTION("""COMPUTED_VALUE"""),44673)</f>
        <v>44673</v>
      </c>
      <c r="C90" s="5" t="str">
        <f ca="1">IFERROR(__xludf.DUMMYFUNCTION("""COMPUTED_VALUE"""),"Houck Middle School")</f>
        <v>Houck Middle School</v>
      </c>
      <c r="D90" s="5">
        <f ca="1">IFERROR(__xludf.DUMMYFUNCTION("""COMPUTED_VALUE"""),0)</f>
        <v>0</v>
      </c>
      <c r="E90" s="5">
        <f ca="1">IFERROR(__xludf.DUMMYFUNCTION("""COMPUTED_VALUE"""),0)</f>
        <v>0</v>
      </c>
      <c r="F90" s="5">
        <f ca="1">IFERROR(__xludf.DUMMYFUNCTION("""COMPUTED_VALUE"""),0)</f>
        <v>0</v>
      </c>
      <c r="G90" s="5">
        <f ca="1">IFERROR(__xludf.DUMMYFUNCTION("""COMPUTED_VALUE"""),0)</f>
        <v>0</v>
      </c>
      <c r="H90" s="9" t="str">
        <f ca="1">IFERROR(__xludf.DUMMYFUNCTION("""COMPUTED_VALUE"""),"https://www.kptv.com/2022/04/23/teen-arrested-after-shooting-near-salem-middle-school/")</f>
        <v>https://www.kptv.com/2022/04/23/teen-arrested-after-shooting-near-salem-middle-school/</v>
      </c>
      <c r="I90" s="5">
        <f ca="1">IFERROR(__xludf.DUMMYFUNCTION("""COMPUTED_VALUE"""),1)</f>
        <v>1</v>
      </c>
      <c r="J90" s="5" t="str">
        <f ca="1">IFERROR(__xludf.DUMMYFUNCTION("""COMPUTED_VALUE"""),"Local")</f>
        <v>Local</v>
      </c>
      <c r="K90" s="5">
        <f ca="1">IFERROR(__xludf.DUMMYFUNCTION("""COMPUTED_VALUE"""),2)</f>
        <v>2</v>
      </c>
      <c r="L90" s="5" t="str">
        <f ca="1">IFERROR(__xludf.DUMMYFUNCTION("""COMPUTED_VALUE"""),"Spring")</f>
        <v>Spring</v>
      </c>
      <c r="M90" s="5" t="str">
        <f ca="1">IFERROR(__xludf.DUMMYFUNCTION("""COMPUTED_VALUE"""),"Salem")</f>
        <v>Salem</v>
      </c>
      <c r="N90" s="5" t="str">
        <f ca="1">IFERROR(__xludf.DUMMYFUNCTION("""COMPUTED_VALUE"""),"OR")</f>
        <v>OR</v>
      </c>
      <c r="O90" s="5" t="str">
        <f ca="1">IFERROR(__xludf.DUMMYFUNCTION("""COMPUTED_VALUE"""),"Middle")</f>
        <v>Middle</v>
      </c>
      <c r="P90" s="5" t="str">
        <f ca="1">IFERROR(__xludf.DUMMYFUNCTION("""COMPUTED_VALUE"""),"Outside on School Property")</f>
        <v>Outside on School Property</v>
      </c>
      <c r="Q90" s="5" t="str">
        <f ca="1">IFERROR(__xludf.DUMMYFUNCTION("""COMPUTED_VALUE"""),"Outside on School Property")</f>
        <v>Outside on School Property</v>
      </c>
      <c r="R90" s="5" t="str">
        <f ca="1">IFERROR(__xludf.DUMMYFUNCTION("""COMPUTED_VALUE"""),"No")</f>
        <v>No</v>
      </c>
      <c r="S90" s="5" t="str">
        <f ca="1">IFERROR(__xludf.DUMMYFUNCTION("""COMPUTED_VALUE"""),"Night")</f>
        <v>Night</v>
      </c>
      <c r="T90" s="10">
        <f ca="1">IFERROR(__xludf.DUMMYFUNCTION("""COMPUTED_VALUE"""),0.996527777777777)</f>
        <v>0.99652777777777701</v>
      </c>
      <c r="U90" s="5">
        <f ca="1">IFERROR(__xludf.DUMMYFUNCTION("""COMPUTED_VALUE"""),1)</f>
        <v>1</v>
      </c>
      <c r="V90" s="5" t="str">
        <f ca="1">IFERROR(__xludf.DUMMYFUNCTION("""COMPUTED_VALUE"""),"Teen fired shots near school")</f>
        <v>Teen fired shots near school</v>
      </c>
      <c r="W90" s="5" t="str">
        <f ca="1">IFERROR(__xludf.DUMMYFUNCTION("""COMPUTED_VALUE"""),"A teen fired shot near the school and fled the area. Tracked by K-9 and arrested away from school. No injuries.")</f>
        <v>A teen fired shot near the school and fled the area. Tracked by K-9 and arrested away from school. No injuries.</v>
      </c>
      <c r="X90" s="5"/>
      <c r="Y90" s="5"/>
      <c r="Z90" s="5" t="str">
        <f ca="1">IFERROR(__xludf.DUMMYFUNCTION("""COMPUTED_VALUE"""),"No")</f>
        <v>No</v>
      </c>
      <c r="AA90" s="5"/>
      <c r="AB90" s="5" t="str">
        <f ca="1">IFERROR(__xludf.DUMMYFUNCTION("""COMPUTED_VALUE"""),"No")</f>
        <v>No</v>
      </c>
      <c r="AC90" s="5" t="str">
        <f ca="1">IFERROR(__xludf.DUMMYFUNCTION("""COMPUTED_VALUE"""),"No")</f>
        <v>No</v>
      </c>
      <c r="AD90" s="5" t="str">
        <f ca="1">IFERROR(__xludf.DUMMYFUNCTION("""COMPUTED_VALUE"""),"No")</f>
        <v>No</v>
      </c>
      <c r="AE90" s="5" t="str">
        <f ca="1">IFERROR(__xludf.DUMMYFUNCTION("""COMPUTED_VALUE"""),"No")</f>
        <v>No</v>
      </c>
      <c r="AF90" s="5" t="str">
        <f ca="1">IFERROR(__xludf.DUMMYFUNCTION("""COMPUTED_VALUE"""),"No")</f>
        <v>No</v>
      </c>
      <c r="AG90" s="5"/>
      <c r="AH90" s="5" t="str">
        <f ca="1">IFERROR(__xludf.DUMMYFUNCTION("""COMPUTED_VALUE"""),"No")</f>
        <v>No</v>
      </c>
    </row>
    <row r="91" spans="1:34" ht="12.75">
      <c r="A91" s="5" t="str">
        <f ca="1">IFERROR(__xludf.DUMMYFUNCTION("""COMPUTED_VALUE"""),"20220422DCEDW")</f>
        <v>20220422DCEDW</v>
      </c>
      <c r="B91" s="8">
        <f ca="1">IFERROR(__xludf.DUMMYFUNCTION("""COMPUTED_VALUE"""),44673)</f>
        <v>44673</v>
      </c>
      <c r="C91" s="5" t="str">
        <f ca="1">IFERROR(__xludf.DUMMYFUNCTION("""COMPUTED_VALUE"""),"Edmund Burke School")</f>
        <v>Edmund Burke School</v>
      </c>
      <c r="D91" s="5">
        <f ca="1">IFERROR(__xludf.DUMMYFUNCTION("""COMPUTED_VALUE"""),0)</f>
        <v>0</v>
      </c>
      <c r="E91" s="5">
        <f ca="1">IFERROR(__xludf.DUMMYFUNCTION("""COMPUTED_VALUE"""),4)</f>
        <v>4</v>
      </c>
      <c r="F91" s="5">
        <f ca="1">IFERROR(__xludf.DUMMYFUNCTION("""COMPUTED_VALUE"""),4)</f>
        <v>4</v>
      </c>
      <c r="G91" s="5">
        <f ca="1">IFERROR(__xludf.DUMMYFUNCTION("""COMPUTED_VALUE"""),1)</f>
        <v>1</v>
      </c>
      <c r="H91"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I91" s="5">
        <f ca="1">IFERROR(__xludf.DUMMYFUNCTION("""COMPUTED_VALUE"""),999)</f>
        <v>999</v>
      </c>
      <c r="J91" s="5" t="str">
        <f ca="1">IFERROR(__xludf.DUMMYFUNCTION("""COMPUTED_VALUE"""),"International")</f>
        <v>International</v>
      </c>
      <c r="K91" s="5">
        <f ca="1">IFERROR(__xludf.DUMMYFUNCTION("""COMPUTED_VALUE"""),4)</f>
        <v>4</v>
      </c>
      <c r="L91" s="5" t="str">
        <f ca="1">IFERROR(__xludf.DUMMYFUNCTION("""COMPUTED_VALUE"""),"Spring")</f>
        <v>Spring</v>
      </c>
      <c r="M91" s="5" t="str">
        <f ca="1">IFERROR(__xludf.DUMMYFUNCTION("""COMPUTED_VALUE"""),"Washington")</f>
        <v>Washington</v>
      </c>
      <c r="N91" s="5" t="str">
        <f ca="1">IFERROR(__xludf.DUMMYFUNCTION("""COMPUTED_VALUE"""),"DC")</f>
        <v>DC</v>
      </c>
      <c r="O91" s="11">
        <f ca="1">IFERROR(__xludf.DUMMYFUNCTION("""COMPUTED_VALUE"""),44724)</f>
        <v>44724</v>
      </c>
      <c r="P91" s="5" t="str">
        <f ca="1">IFERROR(__xludf.DUMMYFUNCTION("""COMPUTED_VALUE"""),"Hallway")</f>
        <v>Hallway</v>
      </c>
      <c r="Q91" s="5" t="str">
        <f ca="1">IFERROR(__xludf.DUMMYFUNCTION("""COMPUTED_VALUE"""),"Both Inside/Outside")</f>
        <v>Both Inside/Outside</v>
      </c>
      <c r="R91" s="5" t="str">
        <f ca="1">IFERROR(__xludf.DUMMYFUNCTION("""COMPUTED_VALUE"""),"Yes")</f>
        <v>Yes</v>
      </c>
      <c r="S91" s="5" t="str">
        <f ca="1">IFERROR(__xludf.DUMMYFUNCTION("""COMPUTED_VALUE"""),"Afternoon Classes")</f>
        <v>Afternoon Classes</v>
      </c>
      <c r="T91" s="10">
        <f ca="1">IFERROR(__xludf.DUMMYFUNCTION("""COMPUTED_VALUE"""),0.638888888888888)</f>
        <v>0.63888888888888795</v>
      </c>
      <c r="U91" s="5">
        <f ca="1">IFERROR(__xludf.DUMMYFUNCTION("""COMPUTED_VALUE"""),180)</f>
        <v>180</v>
      </c>
      <c r="V91" s="5" t="str">
        <f ca="1">IFERROR(__xludf.DUMMYFUNCTION("""COMPUTED_VALUE"""),"Gunman fired at school from nearby apartment building")</f>
        <v>Gunman fired at school from nearby apartment building</v>
      </c>
      <c r="W91"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X91" s="5" t="str">
        <f ca="1">IFERROR(__xludf.DUMMYFUNCTION("""COMPUTED_VALUE"""),"Indiscriminate Shooting")</f>
        <v>Indiscriminate Shooting</v>
      </c>
      <c r="Y91" s="5" t="str">
        <f ca="1">IFERROR(__xludf.DUMMYFUNCTION("""COMPUTED_VALUE"""),"Random Shooting")</f>
        <v>Random Shooting</v>
      </c>
      <c r="Z91" s="5" t="str">
        <f ca="1">IFERROR(__xludf.DUMMYFUNCTION("""COMPUTED_VALUE"""),"No")</f>
        <v>No</v>
      </c>
      <c r="AA91" s="5"/>
      <c r="AB91" s="5" t="str">
        <f ca="1">IFERROR(__xludf.DUMMYFUNCTION("""COMPUTED_VALUE"""),"No")</f>
        <v>No</v>
      </c>
      <c r="AC91" s="5" t="str">
        <f ca="1">IFERROR(__xludf.DUMMYFUNCTION("""COMPUTED_VALUE"""),"Yes")</f>
        <v>Yes</v>
      </c>
      <c r="AD91" s="5" t="str">
        <f ca="1">IFERROR(__xludf.DUMMYFUNCTION("""COMPUTED_VALUE"""),"No")</f>
        <v>No</v>
      </c>
      <c r="AE91" s="5"/>
      <c r="AF91" s="5" t="str">
        <f ca="1">IFERROR(__xludf.DUMMYFUNCTION("""COMPUTED_VALUE"""),"No")</f>
        <v>No</v>
      </c>
      <c r="AG91" s="5" t="str">
        <f ca="1">IFERROR(__xludf.DUMMYFUNCTION("""COMPUTED_VALUE"""),"No")</f>
        <v>No</v>
      </c>
      <c r="AH91" s="5" t="str">
        <f ca="1">IFERROR(__xludf.DUMMYFUNCTION("""COMPUTED_VALUE"""),"Yes")</f>
        <v>Yes</v>
      </c>
    </row>
    <row r="92" spans="1:34" ht="12.75">
      <c r="A92" s="5" t="str">
        <f ca="1">IFERROR(__xludf.DUMMYFUNCTION("""COMPUTED_VALUE"""),"20220422CAMOR")</f>
        <v>20220422CAMOR</v>
      </c>
      <c r="B92" s="8">
        <f ca="1">IFERROR(__xludf.DUMMYFUNCTION("""COMPUTED_VALUE"""),44673)</f>
        <v>44673</v>
      </c>
      <c r="C92" s="5" t="str">
        <f ca="1">IFERROR(__xludf.DUMMYFUNCTION("""COMPUTED_VALUE"""),"Mountain View Middle School")</f>
        <v>Mountain View Middle School</v>
      </c>
      <c r="D92" s="5">
        <f ca="1">IFERROR(__xludf.DUMMYFUNCTION("""COMPUTED_VALUE"""),0)</f>
        <v>0</v>
      </c>
      <c r="E92" s="5">
        <f ca="1">IFERROR(__xludf.DUMMYFUNCTION("""COMPUTED_VALUE"""),0)</f>
        <v>0</v>
      </c>
      <c r="F92" s="5">
        <f ca="1">IFERROR(__xludf.DUMMYFUNCTION("""COMPUTED_VALUE"""),0)</f>
        <v>0</v>
      </c>
      <c r="G92" s="5">
        <f ca="1">IFERROR(__xludf.DUMMYFUNCTION("""COMPUTED_VALUE"""),0)</f>
        <v>0</v>
      </c>
      <c r="H92" s="9" t="str">
        <f ca="1">IFERROR(__xludf.DUMMYFUNCTION("""COMPUTED_VALUE"""),"https://krcrtv.com/news/local/video-reports-of-shots-fired-near-middle-school")</f>
        <v>https://krcrtv.com/news/local/video-reports-of-shots-fired-near-middle-school</v>
      </c>
      <c r="I92" s="5">
        <f ca="1">IFERROR(__xludf.DUMMYFUNCTION("""COMPUTED_VALUE"""),1)</f>
        <v>1</v>
      </c>
      <c r="J92" s="5" t="str">
        <f ca="1">IFERROR(__xludf.DUMMYFUNCTION("""COMPUTED_VALUE"""),"Local")</f>
        <v>Local</v>
      </c>
      <c r="K92" s="5">
        <f ca="1">IFERROR(__xludf.DUMMYFUNCTION("""COMPUTED_VALUE"""),4)</f>
        <v>4</v>
      </c>
      <c r="L92" s="5" t="str">
        <f ca="1">IFERROR(__xludf.DUMMYFUNCTION("""COMPUTED_VALUE"""),"Spring")</f>
        <v>Spring</v>
      </c>
      <c r="M92" s="5" t="str">
        <f ca="1">IFERROR(__xludf.DUMMYFUNCTION("""COMPUTED_VALUE"""),"Redding")</f>
        <v>Redding</v>
      </c>
      <c r="N92" s="5" t="str">
        <f ca="1">IFERROR(__xludf.DUMMYFUNCTION("""COMPUTED_VALUE"""),"CA")</f>
        <v>CA</v>
      </c>
      <c r="O92" s="5" t="str">
        <f ca="1">IFERROR(__xludf.DUMMYFUNCTION("""COMPUTED_VALUE"""),"Middle")</f>
        <v>Middle</v>
      </c>
      <c r="P92" s="5" t="str">
        <f ca="1">IFERROR(__xludf.DUMMYFUNCTION("""COMPUTED_VALUE"""),"Field (General)")</f>
        <v>Field (General)</v>
      </c>
      <c r="Q92" s="5" t="str">
        <f ca="1">IFERROR(__xludf.DUMMYFUNCTION("""COMPUTED_VALUE"""),"Outside on School Property")</f>
        <v>Outside on School Property</v>
      </c>
      <c r="R92" s="5" t="str">
        <f ca="1">IFERROR(__xludf.DUMMYFUNCTION("""COMPUTED_VALUE"""),"No")</f>
        <v>No</v>
      </c>
      <c r="S92" s="5" t="str">
        <f ca="1">IFERROR(__xludf.DUMMYFUNCTION("""COMPUTED_VALUE"""),"School Event")</f>
        <v>School Event</v>
      </c>
      <c r="T92" s="10">
        <f ca="1">IFERROR(__xludf.DUMMYFUNCTION("""COMPUTED_VALUE"""),0.75)</f>
        <v>0.75</v>
      </c>
      <c r="U92" s="5">
        <f ca="1">IFERROR(__xludf.DUMMYFUNCTION("""COMPUTED_VALUE"""),1)</f>
        <v>1</v>
      </c>
      <c r="V92" s="5" t="str">
        <f ca="1">IFERROR(__xludf.DUMMYFUNCTION("""COMPUTED_VALUE"""),"Shots fired at adult men on the baseball field behind the school")</f>
        <v>Shots fired at adult men on the baseball field behind the school</v>
      </c>
      <c r="W92"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X92" s="5"/>
      <c r="Y92" s="5" t="str">
        <f ca="1">IFERROR(__xludf.DUMMYFUNCTION("""COMPUTED_VALUE"""),"Random Shooting")</f>
        <v>Random Shooting</v>
      </c>
      <c r="Z92" s="5"/>
      <c r="AA92" s="5"/>
      <c r="AB92" s="5" t="str">
        <f ca="1">IFERROR(__xludf.DUMMYFUNCTION("""COMPUTED_VALUE"""),"No")</f>
        <v>No</v>
      </c>
      <c r="AC92" s="5" t="str">
        <f ca="1">IFERROR(__xludf.DUMMYFUNCTION("""COMPUTED_VALUE"""),"No")</f>
        <v>No</v>
      </c>
      <c r="AD92" s="5" t="str">
        <f ca="1">IFERROR(__xludf.DUMMYFUNCTION("""COMPUTED_VALUE"""),"No")</f>
        <v>No</v>
      </c>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row>
    <row r="93" spans="1:34" ht="12.75">
      <c r="A93" s="5" t="str">
        <f ca="1">IFERROR(__xludf.DUMMYFUNCTION("""COMPUTED_VALUE"""),"20220421NDMOM")</f>
        <v>20220421NDMOM</v>
      </c>
      <c r="B93" s="8">
        <f ca="1">IFERROR(__xludf.DUMMYFUNCTION("""COMPUTED_VALUE"""),44672)</f>
        <v>44672</v>
      </c>
      <c r="C93" s="5" t="str">
        <f ca="1">IFERROR(__xludf.DUMMYFUNCTION("""COMPUTED_VALUE"""),"Mott-Regent High School")</f>
        <v>Mott-Regent High School</v>
      </c>
      <c r="D93" s="5">
        <f ca="1">IFERROR(__xludf.DUMMYFUNCTION("""COMPUTED_VALUE"""),1)</f>
        <v>1</v>
      </c>
      <c r="E93" s="5">
        <f ca="1">IFERROR(__xludf.DUMMYFUNCTION("""COMPUTED_VALUE"""),0)</f>
        <v>0</v>
      </c>
      <c r="F93" s="5">
        <f ca="1">IFERROR(__xludf.DUMMYFUNCTION("""COMPUTED_VALUE"""),1)</f>
        <v>1</v>
      </c>
      <c r="G93" s="5">
        <f ca="1">IFERROR(__xludf.DUMMYFUNCTION("""COMPUTED_VALUE"""),0)</f>
        <v>0</v>
      </c>
      <c r="H93"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I93" s="5">
        <f ca="1">IFERROR(__xludf.DUMMYFUNCTION("""COMPUTED_VALUE"""),3)</f>
        <v>3</v>
      </c>
      <c r="J93" s="5" t="str">
        <f ca="1">IFERROR(__xludf.DUMMYFUNCTION("""COMPUTED_VALUE"""),"Local")</f>
        <v>Local</v>
      </c>
      <c r="K93" s="5">
        <f ca="1">IFERROR(__xludf.DUMMYFUNCTION("""COMPUTED_VALUE"""),4)</f>
        <v>4</v>
      </c>
      <c r="L93" s="5" t="str">
        <f ca="1">IFERROR(__xludf.DUMMYFUNCTION("""COMPUTED_VALUE"""),"Spring")</f>
        <v>Spring</v>
      </c>
      <c r="M93" s="5" t="str">
        <f ca="1">IFERROR(__xludf.DUMMYFUNCTION("""COMPUTED_VALUE"""),"Mott")</f>
        <v>Mott</v>
      </c>
      <c r="N93" s="5" t="str">
        <f ca="1">IFERROR(__xludf.DUMMYFUNCTION("""COMPUTED_VALUE"""),"ND")</f>
        <v>ND</v>
      </c>
      <c r="O93" s="5" t="str">
        <f ca="1">IFERROR(__xludf.DUMMYFUNCTION("""COMPUTED_VALUE"""),"K-12")</f>
        <v>K-12</v>
      </c>
      <c r="P93" s="5" t="str">
        <f ca="1">IFERROR(__xludf.DUMMYFUNCTION("""COMPUTED_VALUE"""),"Entryway")</f>
        <v>Entryway</v>
      </c>
      <c r="Q93" s="5" t="str">
        <f ca="1">IFERROR(__xludf.DUMMYFUNCTION("""COMPUTED_VALUE"""),"Inside School Building")</f>
        <v>Inside School Building</v>
      </c>
      <c r="R93" s="5" t="str">
        <f ca="1">IFERROR(__xludf.DUMMYFUNCTION("""COMPUTED_VALUE"""),"Yes")</f>
        <v>Yes</v>
      </c>
      <c r="S93" s="5" t="str">
        <f ca="1">IFERROR(__xludf.DUMMYFUNCTION("""COMPUTED_VALUE"""),"Afternoon Classes")</f>
        <v>Afternoon Classes</v>
      </c>
      <c r="T93" s="10">
        <f ca="1">IFERROR(__xludf.DUMMYFUNCTION("""COMPUTED_VALUE"""),0.623611111111111)</f>
        <v>0.62361111111111101</v>
      </c>
      <c r="U93" s="5">
        <f ca="1">IFERROR(__xludf.DUMMYFUNCTION("""COMPUTED_VALUE"""),1)</f>
        <v>1</v>
      </c>
      <c r="V93" s="5" t="str">
        <f ca="1">IFERROR(__xludf.DUMMYFUNCTION("""COMPUTED_VALUE"""),"Man fatally shot by police when he refused to leave the school")</f>
        <v>Man fatally shot by police when he refused to leave the school</v>
      </c>
      <c r="W93"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X93" s="5" t="str">
        <f ca="1">IFERROR(__xludf.DUMMYFUNCTION("""COMPUTED_VALUE"""),"Officer-Involved Shooting")</f>
        <v>Officer-Involved Shooting</v>
      </c>
      <c r="Y93" s="5"/>
      <c r="Z93" s="5"/>
      <c r="AA93" s="5"/>
      <c r="AB93" s="5"/>
      <c r="AC93" s="5"/>
      <c r="AD93" s="5"/>
      <c r="AE93" s="5"/>
      <c r="AF93" s="5"/>
      <c r="AG93" s="5"/>
      <c r="AH93" s="5" t="str">
        <f ca="1">IFERROR(__xludf.DUMMYFUNCTION("""COMPUTED_VALUE"""),"No")</f>
        <v>No</v>
      </c>
    </row>
    <row r="94" spans="1:34" ht="12.75">
      <c r="A94" s="5" t="str">
        <f ca="1">IFERROR(__xludf.DUMMYFUNCTION("""COMPUTED_VALUE"""),"20220416IAMED")</f>
        <v>20220416IAMED</v>
      </c>
      <c r="B94" s="8">
        <f ca="1">IFERROR(__xludf.DUMMYFUNCTION("""COMPUTED_VALUE"""),44667)</f>
        <v>44667</v>
      </c>
      <c r="C94" s="5" t="str">
        <f ca="1">IFERROR(__xludf.DUMMYFUNCTION("""COMPUTED_VALUE"""),"Meredith Middle School")</f>
        <v>Meredith Middle School</v>
      </c>
      <c r="D94" s="5">
        <f ca="1">IFERROR(__xludf.DUMMYFUNCTION("""COMPUTED_VALUE"""),0)</f>
        <v>0</v>
      </c>
      <c r="E94" s="5">
        <f ca="1">IFERROR(__xludf.DUMMYFUNCTION("""COMPUTED_VALUE"""),1)</f>
        <v>1</v>
      </c>
      <c r="F94" s="5">
        <f ca="1">IFERROR(__xludf.DUMMYFUNCTION("""COMPUTED_VALUE"""),1)</f>
        <v>1</v>
      </c>
      <c r="G94" s="5">
        <f ca="1">IFERROR(__xludf.DUMMYFUNCTION("""COMPUTED_VALUE"""),0)</f>
        <v>0</v>
      </c>
      <c r="H94"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I94" s="5">
        <f ca="1">IFERROR(__xludf.DUMMYFUNCTION("""COMPUTED_VALUE"""),3)</f>
        <v>3</v>
      </c>
      <c r="J94" s="5" t="str">
        <f ca="1">IFERROR(__xludf.DUMMYFUNCTION("""COMPUTED_VALUE"""),"Local")</f>
        <v>Local</v>
      </c>
      <c r="K94" s="5">
        <f ca="1">IFERROR(__xludf.DUMMYFUNCTION("""COMPUTED_VALUE"""),3)</f>
        <v>3</v>
      </c>
      <c r="L94" s="5" t="str">
        <f ca="1">IFERROR(__xludf.DUMMYFUNCTION("""COMPUTED_VALUE"""),"Spring")</f>
        <v>Spring</v>
      </c>
      <c r="M94" s="5" t="str">
        <f ca="1">IFERROR(__xludf.DUMMYFUNCTION("""COMPUTED_VALUE"""),"Des Moines")</f>
        <v>Des Moines</v>
      </c>
      <c r="N94" s="5" t="str">
        <f ca="1">IFERROR(__xludf.DUMMYFUNCTION("""COMPUTED_VALUE"""),"IA")</f>
        <v>IA</v>
      </c>
      <c r="O94" s="5" t="str">
        <f ca="1">IFERROR(__xludf.DUMMYFUNCTION("""COMPUTED_VALUE"""),"Middle")</f>
        <v>Middle</v>
      </c>
      <c r="P94" s="5" t="str">
        <f ca="1">IFERROR(__xludf.DUMMYFUNCTION("""COMPUTED_VALUE"""),"Front of School")</f>
        <v>Front of School</v>
      </c>
      <c r="Q94" s="5" t="str">
        <f ca="1">IFERROR(__xludf.DUMMYFUNCTION("""COMPUTED_VALUE"""),"Outside on School Property")</f>
        <v>Outside on School Property</v>
      </c>
      <c r="R94" s="5" t="str">
        <f ca="1">IFERROR(__xludf.DUMMYFUNCTION("""COMPUTED_VALUE"""),"No")</f>
        <v>No</v>
      </c>
      <c r="S94" s="5" t="str">
        <f ca="1">IFERROR(__xludf.DUMMYFUNCTION("""COMPUTED_VALUE"""),"Evening")</f>
        <v>Evening</v>
      </c>
      <c r="T94" s="10">
        <f ca="1">IFERROR(__xludf.DUMMYFUNCTION("""COMPUTED_VALUE"""),0.784722222222222)</f>
        <v>0.78472222222222199</v>
      </c>
      <c r="U94" s="5">
        <f ca="1">IFERROR(__xludf.DUMMYFUNCTION("""COMPUTED_VALUE"""),1)</f>
        <v>1</v>
      </c>
      <c r="V94" s="5" t="str">
        <f ca="1">IFERROR(__xludf.DUMMYFUNCTION("""COMPUTED_VALUE"""),"Person shot in front of the school")</f>
        <v>Person shot in front of the school</v>
      </c>
      <c r="W94" s="5" t="str">
        <f ca="1">IFERROR(__xludf.DUMMYFUNCTION("""COMPUTED_VALUE"""),"Neighbors heard multiple shots and a person was found wounded in front of the school. Shooter fled.")</f>
        <v>Neighbors heard multiple shots and a person was found wounded in front of the school. Shooter fled.</v>
      </c>
      <c r="X94" s="5"/>
      <c r="Y94" s="5"/>
      <c r="Z94" s="5" t="str">
        <f ca="1">IFERROR(__xludf.DUMMYFUNCTION("""COMPUTED_VALUE"""),"No")</f>
        <v>No</v>
      </c>
      <c r="AA94" s="5"/>
      <c r="AB94" s="5" t="str">
        <f ca="1">IFERROR(__xludf.DUMMYFUNCTION("""COMPUTED_VALUE"""),"No")</f>
        <v>No</v>
      </c>
      <c r="AC94" s="5" t="str">
        <f ca="1">IFERROR(__xludf.DUMMYFUNCTION("""COMPUTED_VALUE"""),"No")</f>
        <v>No</v>
      </c>
      <c r="AD94" s="5" t="str">
        <f ca="1">IFERROR(__xludf.DUMMYFUNCTION("""COMPUTED_VALUE"""),"No")</f>
        <v>No</v>
      </c>
      <c r="AE94" s="5" t="str">
        <f ca="1">IFERROR(__xludf.DUMMYFUNCTION("""COMPUTED_VALUE"""),"No")</f>
        <v>No</v>
      </c>
      <c r="AF94" s="5"/>
      <c r="AG94" s="5"/>
      <c r="AH94" s="5" t="str">
        <f ca="1">IFERROR(__xludf.DUMMYFUNCTION("""COMPUTED_VALUE"""),"No")</f>
        <v>No</v>
      </c>
    </row>
    <row r="95" spans="1:34" ht="12.75">
      <c r="A95" s="5" t="str">
        <f ca="1">IFERROR(__xludf.DUMMYFUNCTION("""COMPUTED_VALUE"""),"20220415VAGAW")</f>
        <v>20220415VAGAW</v>
      </c>
      <c r="B95" s="8">
        <f ca="1">IFERROR(__xludf.DUMMYFUNCTION("""COMPUTED_VALUE"""),44666)</f>
        <v>44666</v>
      </c>
      <c r="C95" s="5" t="str">
        <f ca="1">IFERROR(__xludf.DUMMYFUNCTION("""COMPUTED_VALUE"""),"Gar-Field High School")</f>
        <v>Gar-Field High School</v>
      </c>
      <c r="D95" s="5">
        <f ca="1">IFERROR(__xludf.DUMMYFUNCTION("""COMPUTED_VALUE"""),0)</f>
        <v>0</v>
      </c>
      <c r="E95" s="5">
        <f ca="1">IFERROR(__xludf.DUMMYFUNCTION("""COMPUTED_VALUE"""),1)</f>
        <v>1</v>
      </c>
      <c r="F95" s="5">
        <f ca="1">IFERROR(__xludf.DUMMYFUNCTION("""COMPUTED_VALUE"""),1)</f>
        <v>1</v>
      </c>
      <c r="G95" s="5">
        <f ca="1">IFERROR(__xludf.DUMMYFUNCTION("""COMPUTED_VALUE"""),0)</f>
        <v>0</v>
      </c>
      <c r="H95" s="5" t="str">
        <f ca="1">IFERROR(__xludf.DUMMYFUNCTION("""COMPUTED_VALUE"""),"https://www.fox5dc.com/news/shooting-at-carnival-in-woodbridge-leaves-1-person-injured https://wjla.com/news/local/shooting-at-gar-field-high-school-carnival-in-woodbridge-prince-william-county-police-investigating https://www.insidenova.com/headlines/one"&amp;"-shot-at-gar-field-high-school-carnival/article_c51cf61e-bd26-11ec-bc42-6f454471a261.html https://wtop.com/prince-william-county/2022/04/1-wounded-in-shooting-at-a-prince-william-co-high-school/")</f>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I95" s="5">
        <f ca="1">IFERROR(__xludf.DUMMYFUNCTION("""COMPUTED_VALUE"""),10)</f>
        <v>10</v>
      </c>
      <c r="J95" s="5" t="str">
        <f ca="1">IFERROR(__xludf.DUMMYFUNCTION("""COMPUTED_VALUE"""),"Regional")</f>
        <v>Regional</v>
      </c>
      <c r="K95" s="5">
        <f ca="1">IFERROR(__xludf.DUMMYFUNCTION("""COMPUTED_VALUE"""),4)</f>
        <v>4</v>
      </c>
      <c r="L95" s="5" t="str">
        <f ca="1">IFERROR(__xludf.DUMMYFUNCTION("""COMPUTED_VALUE"""),"Spring")</f>
        <v>Spring</v>
      </c>
      <c r="M95" s="5" t="str">
        <f ca="1">IFERROR(__xludf.DUMMYFUNCTION("""COMPUTED_VALUE"""),"Woodbridge")</f>
        <v>Woodbridge</v>
      </c>
      <c r="N95" s="5" t="str">
        <f ca="1">IFERROR(__xludf.DUMMYFUNCTION("""COMPUTED_VALUE"""),"VA")</f>
        <v>VA</v>
      </c>
      <c r="O95" s="5" t="str">
        <f ca="1">IFERROR(__xludf.DUMMYFUNCTION("""COMPUTED_VALUE"""),"High")</f>
        <v>High</v>
      </c>
      <c r="P95" s="5" t="str">
        <f ca="1">IFERROR(__xludf.DUMMYFUNCTION("""COMPUTED_VALUE"""),"Field (General)")</f>
        <v>Field (General)</v>
      </c>
      <c r="Q95" s="5" t="str">
        <f ca="1">IFERROR(__xludf.DUMMYFUNCTION("""COMPUTED_VALUE"""),"Outside on School Property")</f>
        <v>Outside on School Property</v>
      </c>
      <c r="R95" s="5" t="str">
        <f ca="1">IFERROR(__xludf.DUMMYFUNCTION("""COMPUTED_VALUE"""),"No")</f>
        <v>No</v>
      </c>
      <c r="S95" s="5" t="str">
        <f ca="1">IFERROR(__xludf.DUMMYFUNCTION("""COMPUTED_VALUE"""),"School Event")</f>
        <v>School Event</v>
      </c>
      <c r="T95" s="10">
        <f ca="1">IFERROR(__xludf.DUMMYFUNCTION("""COMPUTED_VALUE"""),0.895833333333333)</f>
        <v>0.89583333333333304</v>
      </c>
      <c r="U95" s="5">
        <f ca="1">IFERROR(__xludf.DUMMYFUNCTION("""COMPUTED_VALUE"""),1)</f>
        <v>1</v>
      </c>
      <c r="V95" s="5" t="str">
        <f ca="1">IFERROR(__xludf.DUMMYFUNCTION("""COMPUTED_VALUE"""),"Teenage girl shot in the leg during carnival held at school")</f>
        <v>Teenage girl shot in the leg during carnival held at school</v>
      </c>
      <c r="W95"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X95" s="5" t="str">
        <f ca="1">IFERROR(__xludf.DUMMYFUNCTION("""COMPUTED_VALUE"""),"Escalation of Dispute")</f>
        <v>Escalation of Dispute</v>
      </c>
      <c r="Y95" s="5" t="str">
        <f ca="1">IFERROR(__xludf.DUMMYFUNCTION("""COMPUTED_VALUE"""),"Both")</f>
        <v>Both</v>
      </c>
      <c r="Z95" s="5" t="str">
        <f ca="1">IFERROR(__xludf.DUMMYFUNCTION("""COMPUTED_VALUE"""),"No")</f>
        <v>No</v>
      </c>
      <c r="AA95" s="5"/>
      <c r="AB95" s="5" t="str">
        <f ca="1">IFERROR(__xludf.DUMMYFUNCTION("""COMPUTED_VALUE"""),"No")</f>
        <v>No</v>
      </c>
      <c r="AC95" s="5" t="str">
        <f ca="1">IFERROR(__xludf.DUMMYFUNCTION("""COMPUTED_VALUE"""),"No")</f>
        <v>No</v>
      </c>
      <c r="AD95" s="5" t="str">
        <f ca="1">IFERROR(__xludf.DUMMYFUNCTION("""COMPUTED_VALUE"""),"No")</f>
        <v>No</v>
      </c>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row>
    <row r="96" spans="1:34" ht="12.75">
      <c r="A96" s="5" t="str">
        <f ca="1">IFERROR(__xludf.DUMMYFUNCTION("""COMPUTED_VALUE"""),"20220414MSNEP")</f>
        <v>20220414MSNEP</v>
      </c>
      <c r="B96" s="8">
        <f ca="1">IFERROR(__xludf.DUMMYFUNCTION("""COMPUTED_VALUE"""),44665)</f>
        <v>44665</v>
      </c>
      <c r="C96" s="5" t="str">
        <f ca="1">IFERROR(__xludf.DUMMYFUNCTION("""COMPUTED_VALUE"""),"Neshoba Central High School")</f>
        <v>Neshoba Central High School</v>
      </c>
      <c r="D96" s="5">
        <f ca="1">IFERROR(__xludf.DUMMYFUNCTION("""COMPUTED_VALUE"""),0)</f>
        <v>0</v>
      </c>
      <c r="E96" s="5">
        <f ca="1">IFERROR(__xludf.DUMMYFUNCTION("""COMPUTED_VALUE"""),2)</f>
        <v>2</v>
      </c>
      <c r="F96" s="5">
        <f ca="1">IFERROR(__xludf.DUMMYFUNCTION("""COMPUTED_VALUE"""),2)</f>
        <v>2</v>
      </c>
      <c r="G96" s="5">
        <f ca="1">IFERROR(__xludf.DUMMYFUNCTION("""COMPUTED_VALUE"""),0)</f>
        <v>0</v>
      </c>
      <c r="H96" s="9" t="str">
        <f ca="1">IFERROR(__xludf.DUMMYFUNCTION("""COMPUTED_VALUE"""),"https://www.wtok.com/2022/04/15/three-students-shot-with-high-powered-air-rifles-neshoba-central/")</f>
        <v>https://www.wtok.com/2022/04/15/three-students-shot-with-high-powered-air-rifles-neshoba-central/</v>
      </c>
      <c r="I96" s="5">
        <f ca="1">IFERROR(__xludf.DUMMYFUNCTION("""COMPUTED_VALUE"""),1)</f>
        <v>1</v>
      </c>
      <c r="J96" s="5" t="str">
        <f ca="1">IFERROR(__xludf.DUMMYFUNCTION("""COMPUTED_VALUE"""),"Local")</f>
        <v>Local</v>
      </c>
      <c r="K96" s="5">
        <f ca="1">IFERROR(__xludf.DUMMYFUNCTION("""COMPUTED_VALUE"""),4)</f>
        <v>4</v>
      </c>
      <c r="L96" s="5" t="str">
        <f ca="1">IFERROR(__xludf.DUMMYFUNCTION("""COMPUTED_VALUE"""),"Spring")</f>
        <v>Spring</v>
      </c>
      <c r="M96" s="5" t="str">
        <f ca="1">IFERROR(__xludf.DUMMYFUNCTION("""COMPUTED_VALUE"""),"Philadelphia")</f>
        <v>Philadelphia</v>
      </c>
      <c r="N96" s="5" t="str">
        <f ca="1">IFERROR(__xludf.DUMMYFUNCTION("""COMPUTED_VALUE"""),"MS")</f>
        <v>MS</v>
      </c>
      <c r="O96" s="5" t="str">
        <f ca="1">IFERROR(__xludf.DUMMYFUNCTION("""COMPUTED_VALUE"""),"High")</f>
        <v>High</v>
      </c>
      <c r="P96" s="5" t="str">
        <f ca="1">IFERROR(__xludf.DUMMYFUNCTION("""COMPUTED_VALUE"""),"Football Field/Track")</f>
        <v>Football Field/Track</v>
      </c>
      <c r="Q96" s="5" t="str">
        <f ca="1">IFERROR(__xludf.DUMMYFUNCTION("""COMPUTED_VALUE"""),"Outside on School Property")</f>
        <v>Outside on School Property</v>
      </c>
      <c r="R96" s="5" t="str">
        <f ca="1">IFERROR(__xludf.DUMMYFUNCTION("""COMPUTED_VALUE"""),"Yes")</f>
        <v>Yes</v>
      </c>
      <c r="S96" s="5" t="str">
        <f ca="1">IFERROR(__xludf.DUMMYFUNCTION("""COMPUTED_VALUE"""),"Lunch")</f>
        <v>Lunch</v>
      </c>
      <c r="T96" s="10">
        <f ca="1">IFERROR(__xludf.DUMMYFUNCTION("""COMPUTED_VALUE"""),0.510416666666666)</f>
        <v>0.51041666666666596</v>
      </c>
      <c r="U96" s="5">
        <f ca="1">IFERROR(__xludf.DUMMYFUNCTION("""COMPUTED_VALUE"""),1)</f>
        <v>1</v>
      </c>
      <c r="V96" s="5" t="str">
        <f ca="1">IFERROR(__xludf.DUMMYFUNCTION("""COMPUTED_VALUE"""),"3 teens fired high powered pellet guns at football team during practice")</f>
        <v>3 teens fired high powered pellet guns at football team during practice</v>
      </c>
      <c r="W96"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X96" s="5" t="str">
        <f ca="1">IFERROR(__xludf.DUMMYFUNCTION("""COMPUTED_VALUE"""),"Indiscriminate Shooting")</f>
        <v>Indiscriminate Shooting</v>
      </c>
      <c r="Y96" s="5" t="str">
        <f ca="1">IFERROR(__xludf.DUMMYFUNCTION("""COMPUTED_VALUE"""),"Random Shooting")</f>
        <v>Random Shooting</v>
      </c>
      <c r="Z96" s="5" t="str">
        <f ca="1">IFERROR(__xludf.DUMMYFUNCTION("""COMPUTED_VALUE"""),"Yes")</f>
        <v>Yes</v>
      </c>
      <c r="AA96" s="5" t="str">
        <f ca="1">IFERROR(__xludf.DUMMYFUNCTION("""COMPUTED_VALUE"""),"Three teens")</f>
        <v>Three teens</v>
      </c>
      <c r="AB96" s="5" t="str">
        <f ca="1">IFERROR(__xludf.DUMMYFUNCTION("""COMPUTED_VALUE"""),"No")</f>
        <v>No</v>
      </c>
      <c r="AC96" s="5" t="str">
        <f ca="1">IFERROR(__xludf.DUMMYFUNCTION("""COMPUTED_VALUE"""),"No")</f>
        <v>No</v>
      </c>
      <c r="AD96" s="5" t="str">
        <f ca="1">IFERROR(__xludf.DUMMYFUNCTION("""COMPUTED_VALUE"""),"No")</f>
        <v>No</v>
      </c>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row>
    <row r="97" spans="1:34" ht="12.75">
      <c r="A97" s="5" t="str">
        <f ca="1">IFERROR(__xludf.DUMMYFUNCTION("""COMPUTED_VALUE"""),"20220413MISHS")</f>
        <v>20220413MISHS</v>
      </c>
      <c r="B97" s="8">
        <f ca="1">IFERROR(__xludf.DUMMYFUNCTION("""COMPUTED_VALUE"""),44664)</f>
        <v>44664</v>
      </c>
      <c r="C97" s="5" t="str">
        <f ca="1">IFERROR(__xludf.DUMMYFUNCTION("""COMPUTED_VALUE"""),"Shelters Elementary School")</f>
        <v>Shelters Elementary School</v>
      </c>
      <c r="D97" s="5">
        <f ca="1">IFERROR(__xludf.DUMMYFUNCTION("""COMPUTED_VALUE"""),0)</f>
        <v>0</v>
      </c>
      <c r="E97" s="5">
        <f ca="1">IFERROR(__xludf.DUMMYFUNCTION("""COMPUTED_VALUE"""),0)</f>
        <v>0</v>
      </c>
      <c r="F97" s="5">
        <f ca="1">IFERROR(__xludf.DUMMYFUNCTION("""COMPUTED_VALUE"""),0)</f>
        <v>0</v>
      </c>
      <c r="G97" s="5">
        <f ca="1">IFERROR(__xludf.DUMMYFUNCTION("""COMPUTED_VALUE"""),0)</f>
        <v>0</v>
      </c>
      <c r="H97"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I97" s="5">
        <f ca="1">IFERROR(__xludf.DUMMYFUNCTION("""COMPUTED_VALUE"""),1)</f>
        <v>1</v>
      </c>
      <c r="J97" s="5" t="str">
        <f ca="1">IFERROR(__xludf.DUMMYFUNCTION("""COMPUTED_VALUE"""),"Local")</f>
        <v>Local</v>
      </c>
      <c r="K97" s="5">
        <f ca="1">IFERROR(__xludf.DUMMYFUNCTION("""COMPUTED_VALUE"""),4)</f>
        <v>4</v>
      </c>
      <c r="L97" s="5" t="str">
        <f ca="1">IFERROR(__xludf.DUMMYFUNCTION("""COMPUTED_VALUE"""),"Spring")</f>
        <v>Spring</v>
      </c>
      <c r="M97" s="5" t="str">
        <f ca="1">IFERROR(__xludf.DUMMYFUNCTION("""COMPUTED_VALUE"""),"Southgate")</f>
        <v>Southgate</v>
      </c>
      <c r="N97" s="5" t="str">
        <f ca="1">IFERROR(__xludf.DUMMYFUNCTION("""COMPUTED_VALUE"""),"MI")</f>
        <v>MI</v>
      </c>
      <c r="O97" s="5" t="str">
        <f ca="1">IFERROR(__xludf.DUMMYFUNCTION("""COMPUTED_VALUE"""),"Elementary")</f>
        <v>Elementary</v>
      </c>
      <c r="P97" s="5" t="str">
        <f ca="1">IFERROR(__xludf.DUMMYFUNCTION("""COMPUTED_VALUE"""),"Playground")</f>
        <v>Playground</v>
      </c>
      <c r="Q97" s="5" t="str">
        <f ca="1">IFERROR(__xludf.DUMMYFUNCTION("""COMPUTED_VALUE"""),"Outside on School Property")</f>
        <v>Outside on School Property</v>
      </c>
      <c r="R97" s="5" t="str">
        <f ca="1">IFERROR(__xludf.DUMMYFUNCTION("""COMPUTED_VALUE"""),"Yes")</f>
        <v>Yes</v>
      </c>
      <c r="S97" s="5" t="str">
        <f ca="1">IFERROR(__xludf.DUMMYFUNCTION("""COMPUTED_VALUE"""),"Afternoon Classes")</f>
        <v>Afternoon Classes</v>
      </c>
      <c r="T97" s="10">
        <f ca="1">IFERROR(__xludf.DUMMYFUNCTION("""COMPUTED_VALUE"""),0.541666666666666)</f>
        <v>0.54166666666666596</v>
      </c>
      <c r="U97" s="5">
        <f ca="1">IFERROR(__xludf.DUMMYFUNCTION("""COMPUTED_VALUE"""),1)</f>
        <v>1</v>
      </c>
      <c r="V97" s="5" t="str">
        <f ca="1">IFERROR(__xludf.DUMMYFUNCTION("""COMPUTED_VALUE"""),"Student shot another student with a BB gun during recess")</f>
        <v>Student shot another student with a BB gun during recess</v>
      </c>
      <c r="W97"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X97" s="5"/>
      <c r="Y97" s="5" t="str">
        <f ca="1">IFERROR(__xludf.DUMMYFUNCTION("""COMPUTED_VALUE"""),"Victims Targeted")</f>
        <v>Victims Targeted</v>
      </c>
      <c r="Z97" s="5" t="str">
        <f ca="1">IFERROR(__xludf.DUMMYFUNCTION("""COMPUTED_VALUE"""),"No")</f>
        <v>No</v>
      </c>
      <c r="AA97" s="5"/>
      <c r="AB97" s="5" t="str">
        <f ca="1">IFERROR(__xludf.DUMMYFUNCTION("""COMPUTED_VALUE"""),"No")</f>
        <v>No</v>
      </c>
      <c r="AC97" s="5" t="str">
        <f ca="1">IFERROR(__xludf.DUMMYFUNCTION("""COMPUTED_VALUE"""),"No")</f>
        <v>No</v>
      </c>
      <c r="AD97" s="5" t="str">
        <f ca="1">IFERROR(__xludf.DUMMYFUNCTION("""COMPUTED_VALUE"""),"No")</f>
        <v>No</v>
      </c>
      <c r="AE97" s="5"/>
      <c r="AF97" s="5" t="str">
        <f ca="1">IFERROR(__xludf.DUMMYFUNCTION("""COMPUTED_VALUE"""),"No")</f>
        <v>No</v>
      </c>
      <c r="AG97" s="5" t="str">
        <f ca="1">IFERROR(__xludf.DUMMYFUNCTION("""COMPUTED_VALUE"""),"No")</f>
        <v>No</v>
      </c>
      <c r="AH97" s="5" t="str">
        <f ca="1">IFERROR(__xludf.DUMMYFUNCTION("""COMPUTED_VALUE"""),"No")</f>
        <v>No</v>
      </c>
    </row>
    <row r="98" spans="1:34" ht="12.75">
      <c r="A98" s="5" t="str">
        <f ca="1">IFERROR(__xludf.DUMMYFUNCTION("""COMPUTED_VALUE"""),"20220411ARPIP")</f>
        <v>20220411ARPIP</v>
      </c>
      <c r="B98" s="8">
        <f ca="1">IFERROR(__xludf.DUMMYFUNCTION("""COMPUTED_VALUE"""),44662)</f>
        <v>44662</v>
      </c>
      <c r="C98" s="5" t="str">
        <f ca="1">IFERROR(__xludf.DUMMYFUNCTION("""COMPUTED_VALUE"""),"Pine Bluff High School")</f>
        <v>Pine Bluff High School</v>
      </c>
      <c r="D98" s="5">
        <f ca="1">IFERROR(__xludf.DUMMYFUNCTION("""COMPUTED_VALUE"""),0)</f>
        <v>0</v>
      </c>
      <c r="E98" s="5">
        <f ca="1">IFERROR(__xludf.DUMMYFUNCTION("""COMPUTED_VALUE"""),0)</f>
        <v>0</v>
      </c>
      <c r="F98" s="5">
        <f ca="1">IFERROR(__xludf.DUMMYFUNCTION("""COMPUTED_VALUE"""),0)</f>
        <v>0</v>
      </c>
      <c r="G98" s="5">
        <f ca="1">IFERROR(__xludf.DUMMYFUNCTION("""COMPUTED_VALUE"""),0)</f>
        <v>0</v>
      </c>
      <c r="H98"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I98" s="5">
        <f ca="1">IFERROR(__xludf.DUMMYFUNCTION("""COMPUTED_VALUE"""),2)</f>
        <v>2</v>
      </c>
      <c r="J98" s="5" t="str">
        <f ca="1">IFERROR(__xludf.DUMMYFUNCTION("""COMPUTED_VALUE"""),"Local")</f>
        <v>Local</v>
      </c>
      <c r="K98" s="5">
        <f ca="1">IFERROR(__xludf.DUMMYFUNCTION("""COMPUTED_VALUE"""),3)</f>
        <v>3</v>
      </c>
      <c r="L98" s="5" t="str">
        <f ca="1">IFERROR(__xludf.DUMMYFUNCTION("""COMPUTED_VALUE"""),"Spring")</f>
        <v>Spring</v>
      </c>
      <c r="M98" s="5" t="str">
        <f ca="1">IFERROR(__xludf.DUMMYFUNCTION("""COMPUTED_VALUE"""),"Pine Bluff")</f>
        <v>Pine Bluff</v>
      </c>
      <c r="N98" s="5" t="str">
        <f ca="1">IFERROR(__xludf.DUMMYFUNCTION("""COMPUTED_VALUE"""),"AR")</f>
        <v>AR</v>
      </c>
      <c r="O98" s="5" t="str">
        <f ca="1">IFERROR(__xludf.DUMMYFUNCTION("""COMPUTED_VALUE"""),"High")</f>
        <v>High</v>
      </c>
      <c r="P98" s="5" t="str">
        <f ca="1">IFERROR(__xludf.DUMMYFUNCTION("""COMPUTED_VALUE"""),"Parking Lot")</f>
        <v>Parking Lot</v>
      </c>
      <c r="Q98" s="5" t="str">
        <f ca="1">IFERROR(__xludf.DUMMYFUNCTION("""COMPUTED_VALUE"""),"Outside on School Property")</f>
        <v>Outside on School Property</v>
      </c>
      <c r="R98" s="5" t="str">
        <f ca="1">IFERROR(__xludf.DUMMYFUNCTION("""COMPUTED_VALUE"""),"Yes")</f>
        <v>Yes</v>
      </c>
      <c r="S98" s="5" t="str">
        <f ca="1">IFERROR(__xludf.DUMMYFUNCTION("""COMPUTED_VALUE"""),"Afternoon Classes")</f>
        <v>Afternoon Classes</v>
      </c>
      <c r="T98" s="10">
        <f ca="1">IFERROR(__xludf.DUMMYFUNCTION("""COMPUTED_VALUE"""),0.614583333333333)</f>
        <v>0.61458333333333304</v>
      </c>
      <c r="U98" s="5">
        <f ca="1">IFERROR(__xludf.DUMMYFUNCTION("""COMPUTED_VALUE"""),1)</f>
        <v>1</v>
      </c>
      <c r="V98" s="5" t="str">
        <f ca="1">IFERROR(__xludf.DUMMYFUNCTION("""COMPUTED_VALUE"""),"Officer assigned school heard gunshots in parking lot")</f>
        <v>Officer assigned school heard gunshots in parking lot</v>
      </c>
      <c r="W98"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X98" s="5"/>
      <c r="Y98" s="5"/>
      <c r="Z98" s="5" t="str">
        <f ca="1">IFERROR(__xludf.DUMMYFUNCTION("""COMPUTED_VALUE"""),"No")</f>
        <v>No</v>
      </c>
      <c r="AA98" s="5"/>
      <c r="AB98" s="5" t="str">
        <f ca="1">IFERROR(__xludf.DUMMYFUNCTION("""COMPUTED_VALUE"""),"No")</f>
        <v>No</v>
      </c>
      <c r="AC98" s="5" t="str">
        <f ca="1">IFERROR(__xludf.DUMMYFUNCTION("""COMPUTED_VALUE"""),"No")</f>
        <v>No</v>
      </c>
      <c r="AD98" s="5" t="str">
        <f ca="1">IFERROR(__xludf.DUMMYFUNCTION("""COMPUTED_VALUE"""),"No")</f>
        <v>No</v>
      </c>
      <c r="AE98" s="5" t="str">
        <f ca="1">IFERROR(__xludf.DUMMYFUNCTION("""COMPUTED_VALUE"""),"No")</f>
        <v>No</v>
      </c>
      <c r="AF98" s="5" t="str">
        <f ca="1">IFERROR(__xludf.DUMMYFUNCTION("""COMPUTED_VALUE"""),"No")</f>
        <v>No</v>
      </c>
      <c r="AG98" s="5"/>
      <c r="AH98" s="5" t="str">
        <f ca="1">IFERROR(__xludf.DUMMYFUNCTION("""COMPUTED_VALUE"""),"No")</f>
        <v>No</v>
      </c>
    </row>
    <row r="99" spans="1:34" ht="12.75">
      <c r="A99" s="5" t="str">
        <f ca="1">IFERROR(__xludf.DUMMYFUNCTION("""COMPUTED_VALUE"""),"20220410MALYL")</f>
        <v>20220410MALYL</v>
      </c>
      <c r="B99" s="8">
        <f ca="1">IFERROR(__xludf.DUMMYFUNCTION("""COMPUTED_VALUE"""),44661)</f>
        <v>44661</v>
      </c>
      <c r="C99" s="5" t="str">
        <f ca="1">IFERROR(__xludf.DUMMYFUNCTION("""COMPUTED_VALUE"""),"Lynn English High School")</f>
        <v>Lynn English High School</v>
      </c>
      <c r="D99" s="5">
        <f ca="1">IFERROR(__xludf.DUMMYFUNCTION("""COMPUTED_VALUE"""),1)</f>
        <v>1</v>
      </c>
      <c r="E99" s="5">
        <f ca="1">IFERROR(__xludf.DUMMYFUNCTION("""COMPUTED_VALUE"""),0)</f>
        <v>0</v>
      </c>
      <c r="F99" s="5">
        <f ca="1">IFERROR(__xludf.DUMMYFUNCTION("""COMPUTED_VALUE"""),1)</f>
        <v>1</v>
      </c>
      <c r="G99" s="5">
        <f ca="1">IFERROR(__xludf.DUMMYFUNCTION("""COMPUTED_VALUE"""),0)</f>
        <v>0</v>
      </c>
      <c r="H99"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I99" s="5">
        <f ca="1">IFERROR(__xludf.DUMMYFUNCTION("""COMPUTED_VALUE"""),5)</f>
        <v>5</v>
      </c>
      <c r="J99" s="5" t="str">
        <f ca="1">IFERROR(__xludf.DUMMYFUNCTION("""COMPUTED_VALUE"""),"Regional")</f>
        <v>Regional</v>
      </c>
      <c r="K99" s="5">
        <f ca="1">IFERROR(__xludf.DUMMYFUNCTION("""COMPUTED_VALUE"""),4)</f>
        <v>4</v>
      </c>
      <c r="L99" s="5" t="str">
        <f ca="1">IFERROR(__xludf.DUMMYFUNCTION("""COMPUTED_VALUE"""),"Spring")</f>
        <v>Spring</v>
      </c>
      <c r="M99" s="5" t="str">
        <f ca="1">IFERROR(__xludf.DUMMYFUNCTION("""COMPUTED_VALUE"""),"Lynn")</f>
        <v>Lynn</v>
      </c>
      <c r="N99" s="5" t="str">
        <f ca="1">IFERROR(__xludf.DUMMYFUNCTION("""COMPUTED_VALUE"""),"MA")</f>
        <v>MA</v>
      </c>
      <c r="O99" s="5" t="str">
        <f ca="1">IFERROR(__xludf.DUMMYFUNCTION("""COMPUTED_VALUE"""),"High")</f>
        <v>High</v>
      </c>
      <c r="P99" s="5" t="str">
        <f ca="1">IFERROR(__xludf.DUMMYFUNCTION("""COMPUTED_VALUE"""),"Parking Lot")</f>
        <v>Parking Lot</v>
      </c>
      <c r="Q99" s="5" t="str">
        <f ca="1">IFERROR(__xludf.DUMMYFUNCTION("""COMPUTED_VALUE"""),"Outside on School Property")</f>
        <v>Outside on School Property</v>
      </c>
      <c r="R99" s="5" t="str">
        <f ca="1">IFERROR(__xludf.DUMMYFUNCTION("""COMPUTED_VALUE"""),"No")</f>
        <v>No</v>
      </c>
      <c r="S99" s="5" t="str">
        <f ca="1">IFERROR(__xludf.DUMMYFUNCTION("""COMPUTED_VALUE"""),"Night")</f>
        <v>Night</v>
      </c>
      <c r="T99" s="10">
        <f ca="1">IFERROR(__xludf.DUMMYFUNCTION("""COMPUTED_VALUE"""),0.0416666666666666)</f>
        <v>4.1666666666666602E-2</v>
      </c>
      <c r="U99" s="5">
        <f ca="1">IFERROR(__xludf.DUMMYFUNCTION("""COMPUTED_VALUE"""),1)</f>
        <v>1</v>
      </c>
      <c r="V99" s="5" t="str">
        <f ca="1">IFERROR(__xludf.DUMMYFUNCTION("""COMPUTED_VALUE"""),"Man fatally shot near the loading dock behind the school")</f>
        <v>Man fatally shot near the loading dock behind the school</v>
      </c>
      <c r="W99"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X99" s="5"/>
      <c r="Y99" s="5" t="str">
        <f ca="1">IFERROR(__xludf.DUMMYFUNCTION("""COMPUTED_VALUE"""),"Victims Targeted")</f>
        <v>Victims Targeted</v>
      </c>
      <c r="Z99" s="5" t="str">
        <f ca="1">IFERROR(__xludf.DUMMYFUNCTION("""COMPUTED_VALUE"""),"No")</f>
        <v>No</v>
      </c>
      <c r="AA99" s="5"/>
      <c r="AB99" s="5" t="str">
        <f ca="1">IFERROR(__xludf.DUMMYFUNCTION("""COMPUTED_VALUE"""),"No")</f>
        <v>No</v>
      </c>
      <c r="AC99" s="5" t="str">
        <f ca="1">IFERROR(__xludf.DUMMYFUNCTION("""COMPUTED_VALUE"""),"No")</f>
        <v>No</v>
      </c>
      <c r="AD99" s="5" t="str">
        <f ca="1">IFERROR(__xludf.DUMMYFUNCTION("""COMPUTED_VALUE"""),"No")</f>
        <v>No</v>
      </c>
      <c r="AE99" s="5" t="str">
        <f ca="1">IFERROR(__xludf.DUMMYFUNCTION("""COMPUTED_VALUE"""),"No")</f>
        <v>No</v>
      </c>
      <c r="AF99" s="5" t="str">
        <f ca="1">IFERROR(__xludf.DUMMYFUNCTION("""COMPUTED_VALUE"""),"No")</f>
        <v>No</v>
      </c>
      <c r="AG99" s="5"/>
      <c r="AH99" s="5" t="str">
        <f ca="1">IFERROR(__xludf.DUMMYFUNCTION("""COMPUTED_VALUE"""),"No")</f>
        <v>No</v>
      </c>
    </row>
    <row r="100" spans="1:34" ht="12.75">
      <c r="A100" s="5" t="str">
        <f ca="1">IFERROR(__xludf.DUMMYFUNCTION("""COMPUTED_VALUE"""),"20220406WVRIR")</f>
        <v>20220406WVRIR</v>
      </c>
      <c r="B100" s="8">
        <f ca="1">IFERROR(__xludf.DUMMYFUNCTION("""COMPUTED_VALUE"""),44657)</f>
        <v>44657</v>
      </c>
      <c r="C100" s="5" t="str">
        <f ca="1">IFERROR(__xludf.DUMMYFUNCTION("""COMPUTED_VALUE"""),"Ripley Middle School")</f>
        <v>Ripley Middle School</v>
      </c>
      <c r="D100" s="5">
        <f ca="1">IFERROR(__xludf.DUMMYFUNCTION("""COMPUTED_VALUE"""),0)</f>
        <v>0</v>
      </c>
      <c r="E100" s="5">
        <f ca="1">IFERROR(__xludf.DUMMYFUNCTION("""COMPUTED_VALUE"""),0)</f>
        <v>0</v>
      </c>
      <c r="F100" s="5">
        <f ca="1">IFERROR(__xludf.DUMMYFUNCTION("""COMPUTED_VALUE"""),0)</f>
        <v>0</v>
      </c>
      <c r="G100" s="5">
        <f ca="1">IFERROR(__xludf.DUMMYFUNCTION("""COMPUTED_VALUE"""),0)</f>
        <v>0</v>
      </c>
      <c r="H100"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I100" s="5">
        <f ca="1">IFERROR(__xludf.DUMMYFUNCTION("""COMPUTED_VALUE"""),3)</f>
        <v>3</v>
      </c>
      <c r="J100" s="5" t="str">
        <f ca="1">IFERROR(__xludf.DUMMYFUNCTION("""COMPUTED_VALUE"""),"Local")</f>
        <v>Local</v>
      </c>
      <c r="K100" s="5">
        <f ca="1">IFERROR(__xludf.DUMMYFUNCTION("""COMPUTED_VALUE"""),4)</f>
        <v>4</v>
      </c>
      <c r="L100" s="5" t="str">
        <f ca="1">IFERROR(__xludf.DUMMYFUNCTION("""COMPUTED_VALUE"""),"Spring")</f>
        <v>Spring</v>
      </c>
      <c r="M100" s="5" t="str">
        <f ca="1">IFERROR(__xludf.DUMMYFUNCTION("""COMPUTED_VALUE"""),"Ripley")</f>
        <v>Ripley</v>
      </c>
      <c r="N100" s="5" t="str">
        <f ca="1">IFERROR(__xludf.DUMMYFUNCTION("""COMPUTED_VALUE"""),"WV")</f>
        <v>WV</v>
      </c>
      <c r="O100" s="5" t="str">
        <f ca="1">IFERROR(__xludf.DUMMYFUNCTION("""COMPUTED_VALUE"""),"Middle")</f>
        <v>Middle</v>
      </c>
      <c r="P100" s="5" t="str">
        <f ca="1">IFERROR(__xludf.DUMMYFUNCTION("""COMPUTED_VALUE"""),"School Bus")</f>
        <v>School Bus</v>
      </c>
      <c r="Q100" s="5" t="str">
        <f ca="1">IFERROR(__xludf.DUMMYFUNCTION("""COMPUTED_VALUE"""),"School Bus")</f>
        <v>School Bus</v>
      </c>
      <c r="R100" s="5" t="str">
        <f ca="1">IFERROR(__xludf.DUMMYFUNCTION("""COMPUTED_VALUE"""),"Yes")</f>
        <v>Yes</v>
      </c>
      <c r="S100" s="5" t="str">
        <f ca="1">IFERROR(__xludf.DUMMYFUNCTION("""COMPUTED_VALUE"""),"School Start")</f>
        <v>School Start</v>
      </c>
      <c r="T100" s="10">
        <f ca="1">IFERROR(__xludf.DUMMYFUNCTION("""COMPUTED_VALUE"""),0.333333333333333)</f>
        <v>0.33333333333333298</v>
      </c>
      <c r="U100" s="5">
        <f ca="1">IFERROR(__xludf.DUMMYFUNCTION("""COMPUTED_VALUE"""),1)</f>
        <v>1</v>
      </c>
      <c r="V100" s="5" t="str">
        <f ca="1">IFERROR(__xludf.DUMMYFUNCTION("""COMPUTED_VALUE"""),"Student brandished gun on school bus, subdued by other students, planned execution of student")</f>
        <v>Student brandished gun on school bus, subdued by other students, planned execution of student</v>
      </c>
      <c r="W100"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X100" s="5"/>
      <c r="Y100" s="5" t="str">
        <f ca="1">IFERROR(__xludf.DUMMYFUNCTION("""COMPUTED_VALUE"""),"Victims Targeted")</f>
        <v>Victims Targeted</v>
      </c>
      <c r="Z100" s="5" t="str">
        <f ca="1">IFERROR(__xludf.DUMMYFUNCTION("""COMPUTED_VALUE"""),"Yes")</f>
        <v>Yes</v>
      </c>
      <c r="AA100" s="5" t="str">
        <f ca="1">IFERROR(__xludf.DUMMYFUNCTION("""COMPUTED_VALUE"""),"Two brothers, both students")</f>
        <v>Two brothers, both students</v>
      </c>
      <c r="AB100" s="5" t="str">
        <f ca="1">IFERROR(__xludf.DUMMYFUNCTION("""COMPUTED_VALUE"""),"No")</f>
        <v>No</v>
      </c>
      <c r="AC100" s="5" t="str">
        <f ca="1">IFERROR(__xludf.DUMMYFUNCTION("""COMPUTED_VALUE"""),"No")</f>
        <v>No</v>
      </c>
      <c r="AD100" s="5" t="str">
        <f ca="1">IFERROR(__xludf.DUMMYFUNCTION("""COMPUTED_VALUE"""),"No")</f>
        <v>No</v>
      </c>
      <c r="AE100" s="5"/>
      <c r="AF100" s="5" t="str">
        <f ca="1">IFERROR(__xludf.DUMMYFUNCTION("""COMPUTED_VALUE"""),"No")</f>
        <v>No</v>
      </c>
      <c r="AG100" s="5" t="str">
        <f ca="1">IFERROR(__xludf.DUMMYFUNCTION("""COMPUTED_VALUE"""),"No")</f>
        <v>No</v>
      </c>
      <c r="AH100" s="5" t="str">
        <f ca="1">IFERROR(__xludf.DUMMYFUNCTION("""COMPUTED_VALUE"""),"No")</f>
        <v>No</v>
      </c>
    </row>
    <row r="101" spans="1:34" ht="12.75">
      <c r="A101" s="5" t="str">
        <f ca="1">IFERROR(__xludf.DUMMYFUNCTION("""COMPUTED_VALUE"""),"20220406WASTM")</f>
        <v>20220406WASTM</v>
      </c>
      <c r="B101" s="8">
        <f ca="1">IFERROR(__xludf.DUMMYFUNCTION("""COMPUTED_VALUE"""),44657)</f>
        <v>44657</v>
      </c>
      <c r="C101" s="5" t="str">
        <f ca="1">IFERROR(__xludf.DUMMYFUNCTION("""COMPUTED_VALUE"""),"St. Monica Catholic School")</f>
        <v>St. Monica Catholic School</v>
      </c>
      <c r="D101" s="5">
        <f ca="1">IFERROR(__xludf.DUMMYFUNCTION("""COMPUTED_VALUE"""),0)</f>
        <v>0</v>
      </c>
      <c r="E101" s="5">
        <f ca="1">IFERROR(__xludf.DUMMYFUNCTION("""COMPUTED_VALUE"""),0)</f>
        <v>0</v>
      </c>
      <c r="F101" s="5">
        <f ca="1">IFERROR(__xludf.DUMMYFUNCTION("""COMPUTED_VALUE"""),0)</f>
        <v>0</v>
      </c>
      <c r="G101" s="5">
        <f ca="1">IFERROR(__xludf.DUMMYFUNCTION("""COMPUTED_VALUE"""),0)</f>
        <v>0</v>
      </c>
      <c r="H101" s="9" t="str">
        <f ca="1">IFERROR(__xludf.DUMMYFUNCTION("""COMPUTED_VALUE"""),"https://www.mi-reporter.com/news/island-police-investigating-possible-pellet-gun-shooting-on-school-playfield/")</f>
        <v>https://www.mi-reporter.com/news/island-police-investigating-possible-pellet-gun-shooting-on-school-playfield/</v>
      </c>
      <c r="I101" s="5">
        <f ca="1">IFERROR(__xludf.DUMMYFUNCTION("""COMPUTED_VALUE"""),1)</f>
        <v>1</v>
      </c>
      <c r="J101" s="5" t="str">
        <f ca="1">IFERROR(__xludf.DUMMYFUNCTION("""COMPUTED_VALUE"""),"Local")</f>
        <v>Local</v>
      </c>
      <c r="K101" s="5">
        <f ca="1">IFERROR(__xludf.DUMMYFUNCTION("""COMPUTED_VALUE"""),3)</f>
        <v>3</v>
      </c>
      <c r="L101" s="5" t="str">
        <f ca="1">IFERROR(__xludf.DUMMYFUNCTION("""COMPUTED_VALUE"""),"Spring")</f>
        <v>Spring</v>
      </c>
      <c r="M101" s="5" t="str">
        <f ca="1">IFERROR(__xludf.DUMMYFUNCTION("""COMPUTED_VALUE"""),"Mercer Island")</f>
        <v>Mercer Island</v>
      </c>
      <c r="N101" s="5" t="str">
        <f ca="1">IFERROR(__xludf.DUMMYFUNCTION("""COMPUTED_VALUE"""),"WA")</f>
        <v>WA</v>
      </c>
      <c r="O101" s="5" t="str">
        <f ca="1">IFERROR(__xludf.DUMMYFUNCTION("""COMPUTED_VALUE"""),"Elementary")</f>
        <v>Elementary</v>
      </c>
      <c r="P101" s="5" t="str">
        <f ca="1">IFERROR(__xludf.DUMMYFUNCTION("""COMPUTED_VALUE"""),"Playground")</f>
        <v>Playground</v>
      </c>
      <c r="Q101" s="5" t="str">
        <f ca="1">IFERROR(__xludf.DUMMYFUNCTION("""COMPUTED_VALUE"""),"Outside on School Property")</f>
        <v>Outside on School Property</v>
      </c>
      <c r="R101" s="5" t="str">
        <f ca="1">IFERROR(__xludf.DUMMYFUNCTION("""COMPUTED_VALUE"""),"Yes")</f>
        <v>Yes</v>
      </c>
      <c r="S101" s="5" t="str">
        <f ca="1">IFERROR(__xludf.DUMMYFUNCTION("""COMPUTED_VALUE"""),"Afternoon Classes")</f>
        <v>Afternoon Classes</v>
      </c>
      <c r="T101" s="10">
        <f ca="1">IFERROR(__xludf.DUMMYFUNCTION("""COMPUTED_VALUE"""),0.5625)</f>
        <v>0.5625</v>
      </c>
      <c r="U101" s="5">
        <f ca="1">IFERROR(__xludf.DUMMYFUNCTION("""COMPUTED_VALUE"""),1)</f>
        <v>1</v>
      </c>
      <c r="V101" s="5" t="str">
        <f ca="1">IFERROR(__xludf.DUMMYFUNCTION("""COMPUTED_VALUE"""),"Pellet gun fired from vehicle at students on the playground")</f>
        <v>Pellet gun fired from vehicle at students on the playground</v>
      </c>
      <c r="W101"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X101" s="5" t="str">
        <f ca="1">IFERROR(__xludf.DUMMYFUNCTION("""COMPUTED_VALUE"""),"Drive-by Shooting")</f>
        <v>Drive-by Shooting</v>
      </c>
      <c r="Y101" s="5" t="str">
        <f ca="1">IFERROR(__xludf.DUMMYFUNCTION("""COMPUTED_VALUE"""),"Random Shooting")</f>
        <v>Random Shooting</v>
      </c>
      <c r="Z101" s="5" t="str">
        <f ca="1">IFERROR(__xludf.DUMMYFUNCTION("""COMPUTED_VALUE"""),"Yes")</f>
        <v>Yes</v>
      </c>
      <c r="AA101" s="5" t="str">
        <f ca="1">IFERROR(__xludf.DUMMYFUNCTION("""COMPUTED_VALUE"""),"Driver and shooter")</f>
        <v>Driver and shooter</v>
      </c>
      <c r="AB101" s="5" t="str">
        <f ca="1">IFERROR(__xludf.DUMMYFUNCTION("""COMPUTED_VALUE"""),"No")</f>
        <v>No</v>
      </c>
      <c r="AC101" s="5" t="str">
        <f ca="1">IFERROR(__xludf.DUMMYFUNCTION("""COMPUTED_VALUE"""),"No")</f>
        <v>No</v>
      </c>
      <c r="AD101" s="5" t="str">
        <f ca="1">IFERROR(__xludf.DUMMYFUNCTION("""COMPUTED_VALUE"""),"No")</f>
        <v>No</v>
      </c>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row>
    <row r="102" spans="1:34" ht="12.75">
      <c r="A102" s="5" t="str">
        <f ca="1">IFERROR(__xludf.DUMMYFUNCTION("""COMPUTED_VALUE"""),"20220406ORROP")</f>
        <v>20220406ORROP</v>
      </c>
      <c r="B102" s="8">
        <f ca="1">IFERROR(__xludf.DUMMYFUNCTION("""COMPUTED_VALUE"""),44657)</f>
        <v>44657</v>
      </c>
      <c r="C102" s="5" t="str">
        <f ca="1">IFERROR(__xludf.DUMMYFUNCTION("""COMPUTED_VALUE"""),"Roosevelt High School")</f>
        <v>Roosevelt High School</v>
      </c>
      <c r="D102" s="5">
        <f ca="1">IFERROR(__xludf.DUMMYFUNCTION("""COMPUTED_VALUE"""),0)</f>
        <v>0</v>
      </c>
      <c r="E102" s="5">
        <f ca="1">IFERROR(__xludf.DUMMYFUNCTION("""COMPUTED_VALUE"""),1)</f>
        <v>1</v>
      </c>
      <c r="F102" s="5">
        <f ca="1">IFERROR(__xludf.DUMMYFUNCTION("""COMPUTED_VALUE"""),1)</f>
        <v>1</v>
      </c>
      <c r="G102" s="5">
        <f ca="1">IFERROR(__xludf.DUMMYFUNCTION("""COMPUTED_VALUE"""),0)</f>
        <v>0</v>
      </c>
      <c r="H102" s="9" t="str">
        <f ca="1">IFERROR(__xludf.DUMMYFUNCTION("""COMPUTED_VALUE"""),"https://www.koin.com/news/crime/portland-police-investigate-shooting-near-roosevelt-high-school/")</f>
        <v>https://www.koin.com/news/crime/portland-police-investigate-shooting-near-roosevelt-high-school/</v>
      </c>
      <c r="I102" s="5">
        <f ca="1">IFERROR(__xludf.DUMMYFUNCTION("""COMPUTED_VALUE"""),1)</f>
        <v>1</v>
      </c>
      <c r="J102" s="5" t="str">
        <f ca="1">IFERROR(__xludf.DUMMYFUNCTION("""COMPUTED_VALUE"""),"Local")</f>
        <v>Local</v>
      </c>
      <c r="K102" s="5">
        <f ca="1">IFERROR(__xludf.DUMMYFUNCTION("""COMPUTED_VALUE"""),3)</f>
        <v>3</v>
      </c>
      <c r="L102" s="5" t="str">
        <f ca="1">IFERROR(__xludf.DUMMYFUNCTION("""COMPUTED_VALUE"""),"Spring")</f>
        <v>Spring</v>
      </c>
      <c r="M102" s="5" t="str">
        <f ca="1">IFERROR(__xludf.DUMMYFUNCTION("""COMPUTED_VALUE"""),"Portland")</f>
        <v>Portland</v>
      </c>
      <c r="N102" s="5" t="str">
        <f ca="1">IFERROR(__xludf.DUMMYFUNCTION("""COMPUTED_VALUE"""),"OR")</f>
        <v>OR</v>
      </c>
      <c r="O102" s="5" t="str">
        <f ca="1">IFERROR(__xludf.DUMMYFUNCTION("""COMPUTED_VALUE"""),"High")</f>
        <v>High</v>
      </c>
      <c r="P102" s="5" t="str">
        <f ca="1">IFERROR(__xludf.DUMMYFUNCTION("""COMPUTED_VALUE"""),"Parking Lot")</f>
        <v>Parking Lot</v>
      </c>
      <c r="Q102" s="5" t="str">
        <f ca="1">IFERROR(__xludf.DUMMYFUNCTION("""COMPUTED_VALUE"""),"Outside on School Property")</f>
        <v>Outside on School Property</v>
      </c>
      <c r="R102" s="5" t="str">
        <f ca="1">IFERROR(__xludf.DUMMYFUNCTION("""COMPUTED_VALUE"""),"No")</f>
        <v>No</v>
      </c>
      <c r="S102" s="5" t="str">
        <f ca="1">IFERROR(__xludf.DUMMYFUNCTION("""COMPUTED_VALUE"""),"Night")</f>
        <v>Night</v>
      </c>
      <c r="T102" s="10">
        <f ca="1">IFERROR(__xludf.DUMMYFUNCTION("""COMPUTED_VALUE"""),0.895833333333333)</f>
        <v>0.89583333333333304</v>
      </c>
      <c r="U102" s="5">
        <f ca="1">IFERROR(__xludf.DUMMYFUNCTION("""COMPUTED_VALUE"""),1)</f>
        <v>1</v>
      </c>
      <c r="V102" s="5" t="str">
        <f ca="1">IFERROR(__xludf.DUMMYFUNCTION("""COMPUTED_VALUE"""),"Person shot in school parking lot")</f>
        <v>Person shot in school parking lot</v>
      </c>
      <c r="W102" s="5" t="str">
        <f ca="1">IFERROR(__xludf.DUMMYFUNCTION("""COMPUTED_VALUE"""),"An unidentified person was shot in the school parking lot next to a school van. Shooter fled.")</f>
        <v>An unidentified person was shot in the school parking lot next to a school van. Shooter fled.</v>
      </c>
      <c r="X102" s="5"/>
      <c r="Y102" s="5" t="str">
        <f ca="1">IFERROR(__xludf.DUMMYFUNCTION("""COMPUTED_VALUE"""),"Victims Targeted")</f>
        <v>Victims Targeted</v>
      </c>
      <c r="Z102" s="5" t="str">
        <f ca="1">IFERROR(__xludf.DUMMYFUNCTION("""COMPUTED_VALUE"""),"No")</f>
        <v>No</v>
      </c>
      <c r="AA102" s="5"/>
      <c r="AB102" s="5" t="str">
        <f ca="1">IFERROR(__xludf.DUMMYFUNCTION("""COMPUTED_VALUE"""),"No")</f>
        <v>No</v>
      </c>
      <c r="AC102" s="5" t="str">
        <f ca="1">IFERROR(__xludf.DUMMYFUNCTION("""COMPUTED_VALUE"""),"No")</f>
        <v>No</v>
      </c>
      <c r="AD102" s="5" t="str">
        <f ca="1">IFERROR(__xludf.DUMMYFUNCTION("""COMPUTED_VALUE"""),"No")</f>
        <v>No</v>
      </c>
      <c r="AE102" s="5" t="str">
        <f ca="1">IFERROR(__xludf.DUMMYFUNCTION("""COMPUTED_VALUE"""),"No")</f>
        <v>No</v>
      </c>
      <c r="AF102" s="5" t="str">
        <f ca="1">IFERROR(__xludf.DUMMYFUNCTION("""COMPUTED_VALUE"""),"No")</f>
        <v>No</v>
      </c>
      <c r="AG102" s="5"/>
      <c r="AH102" s="5" t="str">
        <f ca="1">IFERROR(__xludf.DUMMYFUNCTION("""COMPUTED_VALUE"""),"No")</f>
        <v>No</v>
      </c>
    </row>
    <row r="103" spans="1:34" ht="12.75">
      <c r="A103" s="5" t="str">
        <f ca="1">IFERROR(__xludf.DUMMYFUNCTION("""COMPUTED_VALUE"""),"20220405PAERE")</f>
        <v>20220405PAERE</v>
      </c>
      <c r="B103" s="8">
        <f ca="1">IFERROR(__xludf.DUMMYFUNCTION("""COMPUTED_VALUE"""),44656)</f>
        <v>44656</v>
      </c>
      <c r="C103" s="5" t="str">
        <f ca="1">IFERROR(__xludf.DUMMYFUNCTION("""COMPUTED_VALUE"""),"Erie High School")</f>
        <v>Erie High School</v>
      </c>
      <c r="D103" s="5">
        <f ca="1">IFERROR(__xludf.DUMMYFUNCTION("""COMPUTED_VALUE"""),0)</f>
        <v>0</v>
      </c>
      <c r="E103" s="5">
        <f ca="1">IFERROR(__xludf.DUMMYFUNCTION("""COMPUTED_VALUE"""),1)</f>
        <v>1</v>
      </c>
      <c r="F103" s="5">
        <f ca="1">IFERROR(__xludf.DUMMYFUNCTION("""COMPUTED_VALUE"""),1)</f>
        <v>1</v>
      </c>
      <c r="G103" s="5">
        <f ca="1">IFERROR(__xludf.DUMMYFUNCTION("""COMPUTED_VALUE"""),0)</f>
        <v>0</v>
      </c>
      <c r="H103"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I103" s="5">
        <f ca="1">IFERROR(__xludf.DUMMYFUNCTION("""COMPUTED_VALUE"""),100)</f>
        <v>100</v>
      </c>
      <c r="J103" s="5" t="str">
        <f ca="1">IFERROR(__xludf.DUMMYFUNCTION("""COMPUTED_VALUE"""),"National")</f>
        <v>National</v>
      </c>
      <c r="K103" s="5">
        <f ca="1">IFERROR(__xludf.DUMMYFUNCTION("""COMPUTED_VALUE"""),4)</f>
        <v>4</v>
      </c>
      <c r="L103" s="5" t="str">
        <f ca="1">IFERROR(__xludf.DUMMYFUNCTION("""COMPUTED_VALUE"""),"Spring")</f>
        <v>Spring</v>
      </c>
      <c r="M103" s="5" t="str">
        <f ca="1">IFERROR(__xludf.DUMMYFUNCTION("""COMPUTED_VALUE"""),"Erie")</f>
        <v>Erie</v>
      </c>
      <c r="N103" s="5" t="str">
        <f ca="1">IFERROR(__xludf.DUMMYFUNCTION("""COMPUTED_VALUE"""),"PA")</f>
        <v>PA</v>
      </c>
      <c r="O103" s="5" t="str">
        <f ca="1">IFERROR(__xludf.DUMMYFUNCTION("""COMPUTED_VALUE"""),"High")</f>
        <v>High</v>
      </c>
      <c r="P103" s="5" t="str">
        <f ca="1">IFERROR(__xludf.DUMMYFUNCTION("""COMPUTED_VALUE"""),"Hallway")</f>
        <v>Hallway</v>
      </c>
      <c r="Q103" s="5" t="str">
        <f ca="1">IFERROR(__xludf.DUMMYFUNCTION("""COMPUTED_VALUE"""),"Inside School Building")</f>
        <v>Inside School Building</v>
      </c>
      <c r="R103" s="5" t="str">
        <f ca="1">IFERROR(__xludf.DUMMYFUNCTION("""COMPUTED_VALUE"""),"Yes")</f>
        <v>Yes</v>
      </c>
      <c r="S103" s="5" t="str">
        <f ca="1">IFERROR(__xludf.DUMMYFUNCTION("""COMPUTED_VALUE"""),"Morning Classes")</f>
        <v>Morning Classes</v>
      </c>
      <c r="T103" s="10">
        <f ca="1">IFERROR(__xludf.DUMMYFUNCTION("""COMPUTED_VALUE"""),0.402777777777777)</f>
        <v>0.40277777777777701</v>
      </c>
      <c r="U103" s="5">
        <f ca="1">IFERROR(__xludf.DUMMYFUNCTION("""COMPUTED_VALUE"""),1)</f>
        <v>1</v>
      </c>
      <c r="V103" s="5" t="str">
        <f ca="1">IFERROR(__xludf.DUMMYFUNCTION("""COMPUTED_VALUE"""),"Shot shot another student twice in the hallway between classes")</f>
        <v>Shot shot another student twice in the hallway between classes</v>
      </c>
      <c r="W103"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X103" s="5"/>
      <c r="Y103" s="5" t="str">
        <f ca="1">IFERROR(__xludf.DUMMYFUNCTION("""COMPUTED_VALUE"""),"Victims Targeted")</f>
        <v>Victims Targeted</v>
      </c>
      <c r="Z103" s="5" t="str">
        <f ca="1">IFERROR(__xludf.DUMMYFUNCTION("""COMPUTED_VALUE"""),"No")</f>
        <v>No</v>
      </c>
      <c r="AA103" s="5"/>
      <c r="AB103" s="5" t="str">
        <f ca="1">IFERROR(__xludf.DUMMYFUNCTION("""COMPUTED_VALUE"""),"No")</f>
        <v>No</v>
      </c>
      <c r="AC103" s="5" t="str">
        <f ca="1">IFERROR(__xludf.DUMMYFUNCTION("""COMPUTED_VALUE"""),"No")</f>
        <v>No</v>
      </c>
      <c r="AD103" s="5" t="str">
        <f ca="1">IFERROR(__xludf.DUMMYFUNCTION("""COMPUTED_VALUE"""),"No")</f>
        <v>No</v>
      </c>
      <c r="AE103" s="5"/>
      <c r="AF103" s="5" t="str">
        <f ca="1">IFERROR(__xludf.DUMMYFUNCTION("""COMPUTED_VALUE"""),"No")</f>
        <v>No</v>
      </c>
      <c r="AG103" s="5"/>
      <c r="AH103" s="5" t="str">
        <f ca="1">IFERROR(__xludf.DUMMYFUNCTION("""COMPUTED_VALUE"""),"No")</f>
        <v>No</v>
      </c>
    </row>
    <row r="104" spans="1:34" ht="12.75">
      <c r="A104" s="5" t="str">
        <f ca="1">IFERROR(__xludf.DUMMYFUNCTION("""COMPUTED_VALUE"""),"20220403INBLB")</f>
        <v>20220403INBLB</v>
      </c>
      <c r="B104" s="8">
        <f ca="1">IFERROR(__xludf.DUMMYFUNCTION("""COMPUTED_VALUE"""),44654)</f>
        <v>44654</v>
      </c>
      <c r="C104" s="5" t="str">
        <f ca="1">IFERROR(__xludf.DUMMYFUNCTION("""COMPUTED_VALUE"""),"Bloomington High School South")</f>
        <v>Bloomington High School South</v>
      </c>
      <c r="D104" s="5">
        <f ca="1">IFERROR(__xludf.DUMMYFUNCTION("""COMPUTED_VALUE"""),0)</f>
        <v>0</v>
      </c>
      <c r="E104" s="5">
        <f ca="1">IFERROR(__xludf.DUMMYFUNCTION("""COMPUTED_VALUE"""),1)</f>
        <v>1</v>
      </c>
      <c r="F104" s="5">
        <f ca="1">IFERROR(__xludf.DUMMYFUNCTION("""COMPUTED_VALUE"""),1)</f>
        <v>1</v>
      </c>
      <c r="G104" s="5">
        <f ca="1">IFERROR(__xludf.DUMMYFUNCTION("""COMPUTED_VALUE"""),0)</f>
        <v>0</v>
      </c>
      <c r="H104"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I104" s="5">
        <f ca="1">IFERROR(__xludf.DUMMYFUNCTION("""COMPUTED_VALUE"""),2)</f>
        <v>2</v>
      </c>
      <c r="J104" s="5" t="str">
        <f ca="1">IFERROR(__xludf.DUMMYFUNCTION("""COMPUTED_VALUE"""),"Local")</f>
        <v>Local</v>
      </c>
      <c r="K104" s="5">
        <f ca="1">IFERROR(__xludf.DUMMYFUNCTION("""COMPUTED_VALUE"""),4)</f>
        <v>4</v>
      </c>
      <c r="L104" s="5" t="str">
        <f ca="1">IFERROR(__xludf.DUMMYFUNCTION("""COMPUTED_VALUE"""),"Spring")</f>
        <v>Spring</v>
      </c>
      <c r="M104" s="5" t="str">
        <f ca="1">IFERROR(__xludf.DUMMYFUNCTION("""COMPUTED_VALUE"""),"Bloomington")</f>
        <v>Bloomington</v>
      </c>
      <c r="N104" s="5" t="str">
        <f ca="1">IFERROR(__xludf.DUMMYFUNCTION("""COMPUTED_VALUE"""),"IN")</f>
        <v>IN</v>
      </c>
      <c r="O104" s="5" t="str">
        <f ca="1">IFERROR(__xludf.DUMMYFUNCTION("""COMPUTED_VALUE"""),"High")</f>
        <v>High</v>
      </c>
      <c r="P104" s="5" t="str">
        <f ca="1">IFERROR(__xludf.DUMMYFUNCTION("""COMPUTED_VALUE"""),"Parking Lot")</f>
        <v>Parking Lot</v>
      </c>
      <c r="Q104" s="5" t="str">
        <f ca="1">IFERROR(__xludf.DUMMYFUNCTION("""COMPUTED_VALUE"""),"Outside on School Property")</f>
        <v>Outside on School Property</v>
      </c>
      <c r="R104" s="5" t="str">
        <f ca="1">IFERROR(__xludf.DUMMYFUNCTION("""COMPUTED_VALUE"""),"No")</f>
        <v>No</v>
      </c>
      <c r="S104" s="5" t="str">
        <f ca="1">IFERROR(__xludf.DUMMYFUNCTION("""COMPUTED_VALUE"""),"Evening")</f>
        <v>Evening</v>
      </c>
      <c r="T104" s="10">
        <f ca="1">IFERROR(__xludf.DUMMYFUNCTION("""COMPUTED_VALUE"""),0.798611111111111)</f>
        <v>0.79861111111111105</v>
      </c>
      <c r="U104" s="5">
        <f ca="1">IFERROR(__xludf.DUMMYFUNCTION("""COMPUTED_VALUE"""),1)</f>
        <v>1</v>
      </c>
      <c r="V104" s="5" t="str">
        <f ca="1">IFERROR(__xludf.DUMMYFUNCTION("""COMPUTED_VALUE"""),"Three teens shot at, one injured, in school parking lot")</f>
        <v>Three teens shot at, one injured, in school parking lot</v>
      </c>
      <c r="W104"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X104" s="5" t="str">
        <f ca="1">IFERROR(__xludf.DUMMYFUNCTION("""COMPUTED_VALUE"""),"Drive-by Shooting")</f>
        <v>Drive-by Shooting</v>
      </c>
      <c r="Y104" s="5" t="str">
        <f ca="1">IFERROR(__xludf.DUMMYFUNCTION("""COMPUTED_VALUE"""),"Victims Targeted")</f>
        <v>Victims Targeted</v>
      </c>
      <c r="Z104" s="5" t="str">
        <f ca="1">IFERROR(__xludf.DUMMYFUNCTION("""COMPUTED_VALUE"""),"No")</f>
        <v>No</v>
      </c>
      <c r="AA104" s="5"/>
      <c r="AB104" s="5" t="str">
        <f ca="1">IFERROR(__xludf.DUMMYFUNCTION("""COMPUTED_VALUE"""),"No")</f>
        <v>No</v>
      </c>
      <c r="AC104" s="5" t="str">
        <f ca="1">IFERROR(__xludf.DUMMYFUNCTION("""COMPUTED_VALUE"""),"No")</f>
        <v>No</v>
      </c>
      <c r="AD104" s="5" t="str">
        <f ca="1">IFERROR(__xludf.DUMMYFUNCTION("""COMPUTED_VALUE"""),"No")</f>
        <v>No</v>
      </c>
      <c r="AE104" s="5" t="str">
        <f ca="1">IFERROR(__xludf.DUMMYFUNCTION("""COMPUTED_VALUE"""),"No")</f>
        <v>No</v>
      </c>
      <c r="AF104" s="5" t="str">
        <f ca="1">IFERROR(__xludf.DUMMYFUNCTION("""COMPUTED_VALUE"""),"No")</f>
        <v>No</v>
      </c>
      <c r="AG104" s="5"/>
      <c r="AH104" s="5" t="str">
        <f ca="1">IFERROR(__xludf.DUMMYFUNCTION("""COMPUTED_VALUE"""),"No")</f>
        <v>No</v>
      </c>
    </row>
    <row r="105" spans="1:34" ht="12.75">
      <c r="A105" s="5" t="str">
        <f ca="1">IFERROR(__xludf.DUMMYFUNCTION("""COMPUTED_VALUE"""),"20220331SCTAG")</f>
        <v>20220331SCTAG</v>
      </c>
      <c r="B105" s="8">
        <f ca="1">IFERROR(__xludf.DUMMYFUNCTION("""COMPUTED_VALUE"""),44651)</f>
        <v>44651</v>
      </c>
      <c r="C105" s="5" t="str">
        <f ca="1">IFERROR(__xludf.DUMMYFUNCTION("""COMPUTED_VALUE"""),"Tanglewood Middle School")</f>
        <v>Tanglewood Middle School</v>
      </c>
      <c r="D105" s="5">
        <f ca="1">IFERROR(__xludf.DUMMYFUNCTION("""COMPUTED_VALUE"""),1)</f>
        <v>1</v>
      </c>
      <c r="E105" s="5">
        <f ca="1">IFERROR(__xludf.DUMMYFUNCTION("""COMPUTED_VALUE"""),0)</f>
        <v>0</v>
      </c>
      <c r="F105" s="5">
        <f ca="1">IFERROR(__xludf.DUMMYFUNCTION("""COMPUTED_VALUE"""),1)</f>
        <v>1</v>
      </c>
      <c r="G105" s="5">
        <f ca="1">IFERROR(__xludf.DUMMYFUNCTION("""COMPUTED_VALUE"""),0)</f>
        <v>0</v>
      </c>
      <c r="H105" s="5" t="str">
        <f ca="1">IFERROR(__xludf.DUMMYFUNCTION("""COMPUTED_VALUE"""),"https://www.greenvilleonline.com/story/news/local/greenville/2022/03/31/school-shooting-greenville-south-carolina-tanglewood-middle/7232839001/ https://nypost.com/2022/04/01/south-carolina-student-arrested-for-killing-another-student-at-tanglewood-middle-"&amp;"school/ https://www.wyff4.com/article/deadly-school-shooting-south-carolina/39602613#")</f>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I105" s="5">
        <f ca="1">IFERROR(__xludf.DUMMYFUNCTION("""COMPUTED_VALUE"""),500)</f>
        <v>500</v>
      </c>
      <c r="J105" s="5" t="str">
        <f ca="1">IFERROR(__xludf.DUMMYFUNCTION("""COMPUTED_VALUE"""),"National")</f>
        <v>National</v>
      </c>
      <c r="K105" s="5">
        <f ca="1">IFERROR(__xludf.DUMMYFUNCTION("""COMPUTED_VALUE"""),4)</f>
        <v>4</v>
      </c>
      <c r="L105" s="5" t="str">
        <f ca="1">IFERROR(__xludf.DUMMYFUNCTION("""COMPUTED_VALUE"""),"Spring")</f>
        <v>Spring</v>
      </c>
      <c r="M105" s="5" t="str">
        <f ca="1">IFERROR(__xludf.DUMMYFUNCTION("""COMPUTED_VALUE"""),"Greenville")</f>
        <v>Greenville</v>
      </c>
      <c r="N105" s="5" t="str">
        <f ca="1">IFERROR(__xludf.DUMMYFUNCTION("""COMPUTED_VALUE"""),"SC")</f>
        <v>SC</v>
      </c>
      <c r="O105" s="5" t="str">
        <f ca="1">IFERROR(__xludf.DUMMYFUNCTION("""COMPUTED_VALUE"""),"Middle")</f>
        <v>Middle</v>
      </c>
      <c r="P105" s="5" t="str">
        <f ca="1">IFERROR(__xludf.DUMMYFUNCTION("""COMPUTED_VALUE"""),"Hallway")</f>
        <v>Hallway</v>
      </c>
      <c r="Q105" s="5" t="str">
        <f ca="1">IFERROR(__xludf.DUMMYFUNCTION("""COMPUTED_VALUE"""),"Inside School Building")</f>
        <v>Inside School Building</v>
      </c>
      <c r="R105" s="5" t="str">
        <f ca="1">IFERROR(__xludf.DUMMYFUNCTION("""COMPUTED_VALUE"""),"Yes")</f>
        <v>Yes</v>
      </c>
      <c r="S105" s="5" t="str">
        <f ca="1">IFERROR(__xludf.DUMMYFUNCTION("""COMPUTED_VALUE"""),"Afternoon Classes")</f>
        <v>Afternoon Classes</v>
      </c>
      <c r="T105" s="10">
        <f ca="1">IFERROR(__xludf.DUMMYFUNCTION("""COMPUTED_VALUE"""),0.520833333333333)</f>
        <v>0.52083333333333304</v>
      </c>
      <c r="U105" s="5">
        <f ca="1">IFERROR(__xludf.DUMMYFUNCTION("""COMPUTED_VALUE"""),1)</f>
        <v>1</v>
      </c>
      <c r="V105" s="5" t="str">
        <f ca="1">IFERROR(__xludf.DUMMYFUNCTION("""COMPUTED_VALUE"""),"Student fatally shot another student in the hallway while classes were changing")</f>
        <v>Student fatally shot another student in the hallway while classes were changing</v>
      </c>
      <c r="W105"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X105" s="5"/>
      <c r="Y105" s="5" t="str">
        <f ca="1">IFERROR(__xludf.DUMMYFUNCTION("""COMPUTED_VALUE"""),"Victims Targeted")</f>
        <v>Victims Targeted</v>
      </c>
      <c r="Z105" s="5" t="str">
        <f ca="1">IFERROR(__xludf.DUMMYFUNCTION("""COMPUTED_VALUE"""),"No")</f>
        <v>No</v>
      </c>
      <c r="AA105" s="5"/>
      <c r="AB105" s="5" t="str">
        <f ca="1">IFERROR(__xludf.DUMMYFUNCTION("""COMPUTED_VALUE"""),"No")</f>
        <v>No</v>
      </c>
      <c r="AC105" s="5" t="str">
        <f ca="1">IFERROR(__xludf.DUMMYFUNCTION("""COMPUTED_VALUE"""),"No")</f>
        <v>No</v>
      </c>
      <c r="AD105" s="5" t="str">
        <f ca="1">IFERROR(__xludf.DUMMYFUNCTION("""COMPUTED_VALUE"""),"No")</f>
        <v>No</v>
      </c>
      <c r="AE105" s="5"/>
      <c r="AF105" s="5" t="str">
        <f ca="1">IFERROR(__xludf.DUMMYFUNCTION("""COMPUTED_VALUE"""),"No")</f>
        <v>No</v>
      </c>
      <c r="AG105" s="5" t="str">
        <f ca="1">IFERROR(__xludf.DUMMYFUNCTION("""COMPUTED_VALUE"""),"No")</f>
        <v>No</v>
      </c>
      <c r="AH105" s="5" t="str">
        <f ca="1">IFERROR(__xludf.DUMMYFUNCTION("""COMPUTED_VALUE"""),"No")</f>
        <v>No</v>
      </c>
    </row>
    <row r="106" spans="1:34" ht="12.75">
      <c r="A106" s="5" t="str">
        <f ca="1">IFERROR(__xludf.DUMMYFUNCTION("""COMPUTED_VALUE"""),"20220331PAACP")</f>
        <v>20220331PAACP</v>
      </c>
      <c r="B106" s="8">
        <f ca="1">IFERROR(__xludf.DUMMYFUNCTION("""COMPUTED_VALUE"""),44651)</f>
        <v>44651</v>
      </c>
      <c r="C106" s="5" t="str">
        <f ca="1">IFERROR(__xludf.DUMMYFUNCTION("""COMPUTED_VALUE"""),"West Philadelphia Achievement Charter Elementary School")</f>
        <v>West Philadelphia Achievement Charter Elementary School</v>
      </c>
      <c r="D106" s="5">
        <f ca="1">IFERROR(__xludf.DUMMYFUNCTION("""COMPUTED_VALUE"""),0)</f>
        <v>0</v>
      </c>
      <c r="E106" s="5">
        <f ca="1">IFERROR(__xludf.DUMMYFUNCTION("""COMPUTED_VALUE"""),0)</f>
        <v>0</v>
      </c>
      <c r="F106" s="5">
        <f ca="1">IFERROR(__xludf.DUMMYFUNCTION("""COMPUTED_VALUE"""),0)</f>
        <v>0</v>
      </c>
      <c r="G106" s="5">
        <f ca="1">IFERROR(__xludf.DUMMYFUNCTION("""COMPUTED_VALUE"""),0)</f>
        <v>0</v>
      </c>
      <c r="H106"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I106" s="5">
        <f ca="1">IFERROR(__xludf.DUMMYFUNCTION("""COMPUTED_VALUE"""),10)</f>
        <v>10</v>
      </c>
      <c r="J106" s="5" t="str">
        <f ca="1">IFERROR(__xludf.DUMMYFUNCTION("""COMPUTED_VALUE"""),"Regional")</f>
        <v>Regional</v>
      </c>
      <c r="K106" s="5">
        <f ca="1">IFERROR(__xludf.DUMMYFUNCTION("""COMPUTED_VALUE"""),4)</f>
        <v>4</v>
      </c>
      <c r="L106" s="5" t="str">
        <f ca="1">IFERROR(__xludf.DUMMYFUNCTION("""COMPUTED_VALUE"""),"Spring")</f>
        <v>Spring</v>
      </c>
      <c r="M106" s="5" t="str">
        <f ca="1">IFERROR(__xludf.DUMMYFUNCTION("""COMPUTED_VALUE"""),"Philadelphia")</f>
        <v>Philadelphia</v>
      </c>
      <c r="N106" s="5" t="str">
        <f ca="1">IFERROR(__xludf.DUMMYFUNCTION("""COMPUTED_VALUE"""),"PA")</f>
        <v>PA</v>
      </c>
      <c r="O106" s="5" t="str">
        <f ca="1">IFERROR(__xludf.DUMMYFUNCTION("""COMPUTED_VALUE"""),"Elementary")</f>
        <v>Elementary</v>
      </c>
      <c r="P106" s="5" t="str">
        <f ca="1">IFERROR(__xludf.DUMMYFUNCTION("""COMPUTED_VALUE"""),"Playground")</f>
        <v>Playground</v>
      </c>
      <c r="Q106" s="5" t="str">
        <f ca="1">IFERROR(__xludf.DUMMYFUNCTION("""COMPUTED_VALUE"""),"Outside on School Property")</f>
        <v>Outside on School Property</v>
      </c>
      <c r="R106" s="5" t="str">
        <f ca="1">IFERROR(__xludf.DUMMYFUNCTION("""COMPUTED_VALUE"""),"Yes")</f>
        <v>Yes</v>
      </c>
      <c r="S106" s="5" t="str">
        <f ca="1">IFERROR(__xludf.DUMMYFUNCTION("""COMPUTED_VALUE"""),"School Start")</f>
        <v>School Start</v>
      </c>
      <c r="T106" s="10">
        <f ca="1">IFERROR(__xludf.DUMMYFUNCTION("""COMPUTED_VALUE"""),0.364583333333333)</f>
        <v>0.36458333333333298</v>
      </c>
      <c r="U106" s="5">
        <f ca="1">IFERROR(__xludf.DUMMYFUNCTION("""COMPUTED_VALUE"""),1)</f>
        <v>1</v>
      </c>
      <c r="V106" s="5" t="str">
        <f ca="1">IFERROR(__xludf.DUMMYFUNCTION("""COMPUTED_VALUE"""),"Gun inside a 8-year-old students backpack discharged in school courtyard")</f>
        <v>Gun inside a 8-year-old students backpack discharged in school courtyard</v>
      </c>
      <c r="W106"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X106" s="5" t="str">
        <f ca="1">IFERROR(__xludf.DUMMYFUNCTION("""COMPUTED_VALUE"""),"Accidental")</f>
        <v>Accidental</v>
      </c>
      <c r="Y106" s="5" t="str">
        <f ca="1">IFERROR(__xludf.DUMMYFUNCTION("""COMPUTED_VALUE"""),"Neither")</f>
        <v>Neither</v>
      </c>
      <c r="Z106" s="5" t="str">
        <f ca="1">IFERROR(__xludf.DUMMYFUNCTION("""COMPUTED_VALUE"""),"No")</f>
        <v>No</v>
      </c>
      <c r="AA106" s="5"/>
      <c r="AB106" s="5" t="str">
        <f ca="1">IFERROR(__xludf.DUMMYFUNCTION("""COMPUTED_VALUE"""),"No")</f>
        <v>No</v>
      </c>
      <c r="AC106" s="5" t="str">
        <f ca="1">IFERROR(__xludf.DUMMYFUNCTION("""COMPUTED_VALUE"""),"No")</f>
        <v>No</v>
      </c>
      <c r="AD106" s="5" t="str">
        <f ca="1">IFERROR(__xludf.DUMMYFUNCTION("""COMPUTED_VALUE"""),"No")</f>
        <v>No</v>
      </c>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row>
    <row r="107" spans="1:34" ht="12.75">
      <c r="A107" s="5" t="str">
        <f ca="1">IFERROR(__xludf.DUMMYFUNCTION("""COMPUTED_VALUE"""),"20220330GABOA")</f>
        <v>20220330GABOA</v>
      </c>
      <c r="B107" s="8">
        <f ca="1">IFERROR(__xludf.DUMMYFUNCTION("""COMPUTED_VALUE"""),44650)</f>
        <v>44650</v>
      </c>
      <c r="C107" s="5" t="str">
        <f ca="1">IFERROR(__xludf.DUMMYFUNCTION("""COMPUTED_VALUE"""),"Booker T Washington High School")</f>
        <v>Booker T Washington High School</v>
      </c>
      <c r="D107" s="5">
        <f ca="1">IFERROR(__xludf.DUMMYFUNCTION("""COMPUTED_VALUE"""),0)</f>
        <v>0</v>
      </c>
      <c r="E107" s="5">
        <f ca="1">IFERROR(__xludf.DUMMYFUNCTION("""COMPUTED_VALUE"""),0)</f>
        <v>0</v>
      </c>
      <c r="F107" s="5">
        <f ca="1">IFERROR(__xludf.DUMMYFUNCTION("""COMPUTED_VALUE"""),0)</f>
        <v>0</v>
      </c>
      <c r="G107" s="5">
        <f ca="1">IFERROR(__xludf.DUMMYFUNCTION("""COMPUTED_VALUE"""),0)</f>
        <v>0</v>
      </c>
      <c r="H107"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I107" s="5">
        <f ca="1">IFERROR(__xludf.DUMMYFUNCTION("""COMPUTED_VALUE"""),20)</f>
        <v>20</v>
      </c>
      <c r="J107" s="5" t="str">
        <f ca="1">IFERROR(__xludf.DUMMYFUNCTION("""COMPUTED_VALUE"""),"Regional")</f>
        <v>Regional</v>
      </c>
      <c r="K107" s="5">
        <f ca="1">IFERROR(__xludf.DUMMYFUNCTION("""COMPUTED_VALUE"""),4)</f>
        <v>4</v>
      </c>
      <c r="L107" s="5" t="str">
        <f ca="1">IFERROR(__xludf.DUMMYFUNCTION("""COMPUTED_VALUE"""),"Spring")</f>
        <v>Spring</v>
      </c>
      <c r="M107" s="5" t="str">
        <f ca="1">IFERROR(__xludf.DUMMYFUNCTION("""COMPUTED_VALUE"""),"Atlanta")</f>
        <v>Atlanta</v>
      </c>
      <c r="N107" s="5" t="str">
        <f ca="1">IFERROR(__xludf.DUMMYFUNCTION("""COMPUTED_VALUE"""),"GA")</f>
        <v>GA</v>
      </c>
      <c r="O107" s="5" t="str">
        <f ca="1">IFERROR(__xludf.DUMMYFUNCTION("""COMPUTED_VALUE"""),"High")</f>
        <v>High</v>
      </c>
      <c r="P107" s="5" t="str">
        <f ca="1">IFERROR(__xludf.DUMMYFUNCTION("""COMPUTED_VALUE"""),"Front of School")</f>
        <v>Front of School</v>
      </c>
      <c r="Q107" s="5" t="str">
        <f ca="1">IFERROR(__xludf.DUMMYFUNCTION("""COMPUTED_VALUE"""),"Outside on School Property")</f>
        <v>Outside on School Property</v>
      </c>
      <c r="R107" s="5" t="str">
        <f ca="1">IFERROR(__xludf.DUMMYFUNCTION("""COMPUTED_VALUE"""),"Yes")</f>
        <v>Yes</v>
      </c>
      <c r="S107" s="5" t="str">
        <f ca="1">IFERROR(__xludf.DUMMYFUNCTION("""COMPUTED_VALUE"""),"Dismissal")</f>
        <v>Dismissal</v>
      </c>
      <c r="T107" s="10">
        <f ca="1">IFERROR(__xludf.DUMMYFUNCTION("""COMPUTED_VALUE"""),0.604166666666666)</f>
        <v>0.60416666666666596</v>
      </c>
      <c r="U107" s="5">
        <f ca="1">IFERROR(__xludf.DUMMYFUNCTION("""COMPUTED_VALUE"""),1)</f>
        <v>1</v>
      </c>
      <c r="V107" s="5" t="str">
        <f ca="1">IFERROR(__xludf.DUMMYFUNCTION("""COMPUTED_VALUE"""),"Mother brandished gun during fight between students, shot by SRO")</f>
        <v>Mother brandished gun during fight between students, shot by SRO</v>
      </c>
      <c r="W107"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X107" s="5" t="str">
        <f ca="1">IFERROR(__xludf.DUMMYFUNCTION("""COMPUTED_VALUE"""),"Escalation of Dispute")</f>
        <v>Escalation of Dispute</v>
      </c>
      <c r="Y107" s="5" t="str">
        <f ca="1">IFERROR(__xludf.DUMMYFUNCTION("""COMPUTED_VALUE"""),"Neither")</f>
        <v>Neither</v>
      </c>
      <c r="Z107" s="5" t="str">
        <f ca="1">IFERROR(__xludf.DUMMYFUNCTION("""COMPUTED_VALUE"""),"No")</f>
        <v>No</v>
      </c>
      <c r="AA107" s="5"/>
      <c r="AB107" s="5" t="str">
        <f ca="1">IFERROR(__xludf.DUMMYFUNCTION("""COMPUTED_VALUE"""),"No")</f>
        <v>No</v>
      </c>
      <c r="AC107" s="5" t="str">
        <f ca="1">IFERROR(__xludf.DUMMYFUNCTION("""COMPUTED_VALUE"""),"No")</f>
        <v>No</v>
      </c>
      <c r="AD107" s="5" t="str">
        <f ca="1">IFERROR(__xludf.DUMMYFUNCTION("""COMPUTED_VALUE"""),"No")</f>
        <v>No</v>
      </c>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row>
    <row r="108" spans="1:34" ht="12.75">
      <c r="A108" s="5" t="str">
        <f ca="1">IFERROR(__xludf.DUMMYFUNCTION("""COMPUTED_VALUE"""),"20220330AZKIK")</f>
        <v>20220330AZKIK</v>
      </c>
      <c r="B108" s="8">
        <f ca="1">IFERROR(__xludf.DUMMYFUNCTION("""COMPUTED_VALUE"""),44650)</f>
        <v>44650</v>
      </c>
      <c r="C108" s="5" t="str">
        <f ca="1">IFERROR(__xludf.DUMMYFUNCTION("""COMPUTED_VALUE"""),"Kingman High School")</f>
        <v>Kingman High School</v>
      </c>
      <c r="D108" s="5">
        <f ca="1">IFERROR(__xludf.DUMMYFUNCTION("""COMPUTED_VALUE"""),0)</f>
        <v>0</v>
      </c>
      <c r="E108" s="5">
        <f ca="1">IFERROR(__xludf.DUMMYFUNCTION("""COMPUTED_VALUE"""),1)</f>
        <v>1</v>
      </c>
      <c r="F108" s="5">
        <f ca="1">IFERROR(__xludf.DUMMYFUNCTION("""COMPUTED_VALUE"""),1)</f>
        <v>1</v>
      </c>
      <c r="G108" s="5">
        <f ca="1">IFERROR(__xludf.DUMMYFUNCTION("""COMPUTED_VALUE"""),0)</f>
        <v>0</v>
      </c>
      <c r="H108"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I108" s="5">
        <f ca="1">IFERROR(__xludf.DUMMYFUNCTION("""COMPUTED_VALUE"""),2)</f>
        <v>2</v>
      </c>
      <c r="J108" s="5" t="str">
        <f ca="1">IFERROR(__xludf.DUMMYFUNCTION("""COMPUTED_VALUE"""),"Local")</f>
        <v>Local</v>
      </c>
      <c r="K108" s="5">
        <f ca="1">IFERROR(__xludf.DUMMYFUNCTION("""COMPUTED_VALUE"""),4)</f>
        <v>4</v>
      </c>
      <c r="L108" s="5" t="str">
        <f ca="1">IFERROR(__xludf.DUMMYFUNCTION("""COMPUTED_VALUE"""),"Spring")</f>
        <v>Spring</v>
      </c>
      <c r="M108" s="5" t="str">
        <f ca="1">IFERROR(__xludf.DUMMYFUNCTION("""COMPUTED_VALUE"""),"Kingman")</f>
        <v>Kingman</v>
      </c>
      <c r="N108" s="5" t="str">
        <f ca="1">IFERROR(__xludf.DUMMYFUNCTION("""COMPUTED_VALUE"""),"AZ")</f>
        <v>AZ</v>
      </c>
      <c r="O108" s="5" t="str">
        <f ca="1">IFERROR(__xludf.DUMMYFUNCTION("""COMPUTED_VALUE"""),"High")</f>
        <v>High</v>
      </c>
      <c r="P108" s="5" t="str">
        <f ca="1">IFERROR(__xludf.DUMMYFUNCTION("""COMPUTED_VALUE"""),"School Bus")</f>
        <v>School Bus</v>
      </c>
      <c r="Q108" s="5" t="str">
        <f ca="1">IFERROR(__xludf.DUMMYFUNCTION("""COMPUTED_VALUE"""),"School Bus")</f>
        <v>School Bus</v>
      </c>
      <c r="R108" s="5" t="str">
        <f ca="1">IFERROR(__xludf.DUMMYFUNCTION("""COMPUTED_VALUE"""),"Yes")</f>
        <v>Yes</v>
      </c>
      <c r="S108" s="5" t="str">
        <f ca="1">IFERROR(__xludf.DUMMYFUNCTION("""COMPUTED_VALUE"""),"Dismissal")</f>
        <v>Dismissal</v>
      </c>
      <c r="T108" s="10">
        <f ca="1">IFERROR(__xludf.DUMMYFUNCTION("""COMPUTED_VALUE"""),0.625)</f>
        <v>0.625</v>
      </c>
      <c r="U108" s="5">
        <f ca="1">IFERROR(__xludf.DUMMYFUNCTION("""COMPUTED_VALUE"""),1)</f>
        <v>1</v>
      </c>
      <c r="V108" s="5" t="str">
        <f ca="1">IFERROR(__xludf.DUMMYFUNCTION("""COMPUTED_VALUE"""),"Student shot in the leg on the school bus")</f>
        <v>Student shot in the leg on the school bus</v>
      </c>
      <c r="W108"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X108" s="5" t="str">
        <f ca="1">IFERROR(__xludf.DUMMYFUNCTION("""COMPUTED_VALUE"""),"Accidental")</f>
        <v>Accidental</v>
      </c>
      <c r="Y108" s="5" t="str">
        <f ca="1">IFERROR(__xludf.DUMMYFUNCTION("""COMPUTED_VALUE"""),"Neither")</f>
        <v>Neither</v>
      </c>
      <c r="Z108" s="5" t="str">
        <f ca="1">IFERROR(__xludf.DUMMYFUNCTION("""COMPUTED_VALUE"""),"No")</f>
        <v>No</v>
      </c>
      <c r="AA108" s="5"/>
      <c r="AB108" s="5" t="str">
        <f ca="1">IFERROR(__xludf.DUMMYFUNCTION("""COMPUTED_VALUE"""),"No")</f>
        <v>No</v>
      </c>
      <c r="AC108" s="5" t="str">
        <f ca="1">IFERROR(__xludf.DUMMYFUNCTION("""COMPUTED_VALUE"""),"No")</f>
        <v>No</v>
      </c>
      <c r="AD108" s="5" t="str">
        <f ca="1">IFERROR(__xludf.DUMMYFUNCTION("""COMPUTED_VALUE"""),"No")</f>
        <v>No</v>
      </c>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row>
    <row r="109" spans="1:34" ht="12.75">
      <c r="A109" s="5" t="str">
        <f ca="1">IFERROR(__xludf.DUMMYFUNCTION("""COMPUTED_VALUE"""),"20220329VALUR")</f>
        <v>20220329VALUR</v>
      </c>
      <c r="B109" s="8">
        <f ca="1">IFERROR(__xludf.DUMMYFUNCTION("""COMPUTED_VALUE"""),44649)</f>
        <v>44649</v>
      </c>
      <c r="C109" s="5" t="str">
        <f ca="1">IFERROR(__xludf.DUMMYFUNCTION("""COMPUTED_VALUE"""),"Lucy Addison Middle School")</f>
        <v>Lucy Addison Middle School</v>
      </c>
      <c r="D109" s="5">
        <f ca="1">IFERROR(__xludf.DUMMYFUNCTION("""COMPUTED_VALUE"""),0)</f>
        <v>0</v>
      </c>
      <c r="E109" s="5">
        <f ca="1">IFERROR(__xludf.DUMMYFUNCTION("""COMPUTED_VALUE"""),0)</f>
        <v>0</v>
      </c>
      <c r="F109" s="5">
        <f ca="1">IFERROR(__xludf.DUMMYFUNCTION("""COMPUTED_VALUE"""),0)</f>
        <v>0</v>
      </c>
      <c r="G109" s="5">
        <f ca="1">IFERROR(__xludf.DUMMYFUNCTION("""COMPUTED_VALUE"""),0)</f>
        <v>0</v>
      </c>
      <c r="H109"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I109" s="5">
        <f ca="1">IFERROR(__xludf.DUMMYFUNCTION("""COMPUTED_VALUE"""),3)</f>
        <v>3</v>
      </c>
      <c r="J109" s="5" t="str">
        <f ca="1">IFERROR(__xludf.DUMMYFUNCTION("""COMPUTED_VALUE"""),"Local")</f>
        <v>Local</v>
      </c>
      <c r="K109" s="5">
        <f ca="1">IFERROR(__xludf.DUMMYFUNCTION("""COMPUTED_VALUE"""),4)</f>
        <v>4</v>
      </c>
      <c r="L109" s="5" t="str">
        <f ca="1">IFERROR(__xludf.DUMMYFUNCTION("""COMPUTED_VALUE"""),"Spring")</f>
        <v>Spring</v>
      </c>
      <c r="M109" s="5" t="str">
        <f ca="1">IFERROR(__xludf.DUMMYFUNCTION("""COMPUTED_VALUE"""),"Roanoke")</f>
        <v>Roanoke</v>
      </c>
      <c r="N109" s="5" t="str">
        <f ca="1">IFERROR(__xludf.DUMMYFUNCTION("""COMPUTED_VALUE"""),"VA")</f>
        <v>VA</v>
      </c>
      <c r="O109" s="5" t="str">
        <f ca="1">IFERROR(__xludf.DUMMYFUNCTION("""COMPUTED_VALUE"""),"Middle")</f>
        <v>Middle</v>
      </c>
      <c r="P109" s="5" t="str">
        <f ca="1">IFERROR(__xludf.DUMMYFUNCTION("""COMPUTED_VALUE"""),"Bathroom")</f>
        <v>Bathroom</v>
      </c>
      <c r="Q109" s="5" t="str">
        <f ca="1">IFERROR(__xludf.DUMMYFUNCTION("""COMPUTED_VALUE"""),"Inside School Building")</f>
        <v>Inside School Building</v>
      </c>
      <c r="R109" s="5" t="str">
        <f ca="1">IFERROR(__xludf.DUMMYFUNCTION("""COMPUTED_VALUE"""),"Yes")</f>
        <v>Yes</v>
      </c>
      <c r="S109" s="5" t="str">
        <f ca="1">IFERROR(__xludf.DUMMYFUNCTION("""COMPUTED_VALUE"""),"Afternoon Classes")</f>
        <v>Afternoon Classes</v>
      </c>
      <c r="T109" s="10">
        <f ca="1">IFERROR(__xludf.DUMMYFUNCTION("""COMPUTED_VALUE"""),0.59375)</f>
        <v>0.59375</v>
      </c>
      <c r="U109" s="5">
        <f ca="1">IFERROR(__xludf.DUMMYFUNCTION("""COMPUTED_VALUE"""),1)</f>
        <v>1</v>
      </c>
      <c r="V109" s="5" t="str">
        <f ca="1">IFERROR(__xludf.DUMMYFUNCTION("""COMPUTED_VALUE"""),"Student fired gun in bathroom")</f>
        <v>Student fired gun in bathroom</v>
      </c>
      <c r="W109"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X109" s="5"/>
      <c r="Y109" s="5" t="str">
        <f ca="1">IFERROR(__xludf.DUMMYFUNCTION("""COMPUTED_VALUE"""),"Neither")</f>
        <v>Neither</v>
      </c>
      <c r="Z109" s="5" t="str">
        <f ca="1">IFERROR(__xludf.DUMMYFUNCTION("""COMPUTED_VALUE"""),"No")</f>
        <v>No</v>
      </c>
      <c r="AA109" s="5"/>
      <c r="AB109" s="5" t="str">
        <f ca="1">IFERROR(__xludf.DUMMYFUNCTION("""COMPUTED_VALUE"""),"No")</f>
        <v>No</v>
      </c>
      <c r="AC109" s="5" t="str">
        <f ca="1">IFERROR(__xludf.DUMMYFUNCTION("""COMPUTED_VALUE"""),"No")</f>
        <v>No</v>
      </c>
      <c r="AD109" s="5" t="str">
        <f ca="1">IFERROR(__xludf.DUMMYFUNCTION("""COMPUTED_VALUE"""),"No")</f>
        <v>No</v>
      </c>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row>
    <row r="110" spans="1:34" ht="12.75">
      <c r="A110" s="5" t="str">
        <f ca="1">IFERROR(__xludf.DUMMYFUNCTION("""COMPUTED_VALUE"""),"20220329NVWEL")</f>
        <v>20220329NVWEL</v>
      </c>
      <c r="B110" s="8">
        <f ca="1">IFERROR(__xludf.DUMMYFUNCTION("""COMPUTED_VALUE"""),44649)</f>
        <v>44649</v>
      </c>
      <c r="C110" s="5" t="str">
        <f ca="1">IFERROR(__xludf.DUMMYFUNCTION("""COMPUTED_VALUE"""),"Western High School")</f>
        <v>Western High School</v>
      </c>
      <c r="D110" s="5">
        <f ca="1">IFERROR(__xludf.DUMMYFUNCTION("""COMPUTED_VALUE"""),0)</f>
        <v>0</v>
      </c>
      <c r="E110" s="5">
        <f ca="1">IFERROR(__xludf.DUMMYFUNCTION("""COMPUTED_VALUE"""),2)</f>
        <v>2</v>
      </c>
      <c r="F110" s="5">
        <f ca="1">IFERROR(__xludf.DUMMYFUNCTION("""COMPUTED_VALUE"""),2)</f>
        <v>2</v>
      </c>
      <c r="G110" s="5">
        <f ca="1">IFERROR(__xludf.DUMMYFUNCTION("""COMPUTED_VALUE"""),0)</f>
        <v>0</v>
      </c>
      <c r="H110"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I110" s="5">
        <f ca="1">IFERROR(__xludf.DUMMYFUNCTION("""COMPUTED_VALUE"""),5)</f>
        <v>5</v>
      </c>
      <c r="J110" s="5" t="str">
        <f ca="1">IFERROR(__xludf.DUMMYFUNCTION("""COMPUTED_VALUE"""),"Regional")</f>
        <v>Regional</v>
      </c>
      <c r="K110" s="5">
        <f ca="1">IFERROR(__xludf.DUMMYFUNCTION("""COMPUTED_VALUE"""),4)</f>
        <v>4</v>
      </c>
      <c r="L110" s="5" t="str">
        <f ca="1">IFERROR(__xludf.DUMMYFUNCTION("""COMPUTED_VALUE"""),"Spring")</f>
        <v>Spring</v>
      </c>
      <c r="M110" s="5" t="str">
        <f ca="1">IFERROR(__xludf.DUMMYFUNCTION("""COMPUTED_VALUE"""),"Las Vegas")</f>
        <v>Las Vegas</v>
      </c>
      <c r="N110" s="5" t="str">
        <f ca="1">IFERROR(__xludf.DUMMYFUNCTION("""COMPUTED_VALUE"""),"NV")</f>
        <v>NV</v>
      </c>
      <c r="O110" s="5" t="str">
        <f ca="1">IFERROR(__xludf.DUMMYFUNCTION("""COMPUTED_VALUE"""),"High")</f>
        <v>High</v>
      </c>
      <c r="P110" s="5" t="str">
        <f ca="1">IFERROR(__xludf.DUMMYFUNCTION("""COMPUTED_VALUE"""),"Parking Lot")</f>
        <v>Parking Lot</v>
      </c>
      <c r="Q110" s="5" t="str">
        <f ca="1">IFERROR(__xludf.DUMMYFUNCTION("""COMPUTED_VALUE"""),"Outside on School Property")</f>
        <v>Outside on School Property</v>
      </c>
      <c r="R110" s="5" t="str">
        <f ca="1">IFERROR(__xludf.DUMMYFUNCTION("""COMPUTED_VALUE"""),"Yes")</f>
        <v>Yes</v>
      </c>
      <c r="S110" s="5" t="str">
        <f ca="1">IFERROR(__xludf.DUMMYFUNCTION("""COMPUTED_VALUE"""),"Dismissal")</f>
        <v>Dismissal</v>
      </c>
      <c r="T110" s="10">
        <f ca="1">IFERROR(__xludf.DUMMYFUNCTION("""COMPUTED_VALUE"""),0.59375)</f>
        <v>0.59375</v>
      </c>
      <c r="U110" s="5">
        <f ca="1">IFERROR(__xludf.DUMMYFUNCTION("""COMPUTED_VALUE"""),1)</f>
        <v>1</v>
      </c>
      <c r="V110" s="5" t="str">
        <f ca="1">IFERROR(__xludf.DUMMYFUNCTION("""COMPUTED_VALUE"""),"SRO fired at vehicle that struck student in parking lot")</f>
        <v>SRO fired at vehicle that struck student in parking lot</v>
      </c>
      <c r="W110"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X110" s="5" t="str">
        <f ca="1">IFERROR(__xludf.DUMMYFUNCTION("""COMPUTED_VALUE"""),"Officer-Involved Shooting")</f>
        <v>Officer-Involved Shooting</v>
      </c>
      <c r="Y110" s="5"/>
      <c r="Z110" s="5"/>
      <c r="AA110" s="5"/>
      <c r="AB110" s="5"/>
      <c r="AC110" s="5"/>
      <c r="AD110" s="5" t="str">
        <f ca="1">IFERROR(__xludf.DUMMYFUNCTION("""COMPUTED_VALUE"""),"Yes")</f>
        <v>Yes</v>
      </c>
      <c r="AE110" s="5"/>
      <c r="AF110" s="5"/>
      <c r="AG110" s="5"/>
      <c r="AH110" s="5" t="str">
        <f ca="1">IFERROR(__xludf.DUMMYFUNCTION("""COMPUTED_VALUE"""),"No")</f>
        <v>No</v>
      </c>
    </row>
    <row r="111" spans="1:34" ht="12.75">
      <c r="A111" s="5" t="str">
        <f ca="1">IFERROR(__xludf.DUMMYFUNCTION("""COMPUTED_VALUE"""),"20220328TXNOF")</f>
        <v>20220328TXNOF</v>
      </c>
      <c r="B111" s="8">
        <f ca="1">IFERROR(__xludf.DUMMYFUNCTION("""COMPUTED_VALUE"""),44648)</f>
        <v>44648</v>
      </c>
      <c r="C111" s="5" t="str">
        <f ca="1">IFERROR(__xludf.DUMMYFUNCTION("""COMPUTED_VALUE"""),"North Crowley High School")</f>
        <v>North Crowley High School</v>
      </c>
      <c r="D111" s="5">
        <f ca="1">IFERROR(__xludf.DUMMYFUNCTION("""COMPUTED_VALUE"""),0)</f>
        <v>0</v>
      </c>
      <c r="E111" s="5">
        <f ca="1">IFERROR(__xludf.DUMMYFUNCTION("""COMPUTED_VALUE"""),0)</f>
        <v>0</v>
      </c>
      <c r="F111" s="5">
        <f ca="1">IFERROR(__xludf.DUMMYFUNCTION("""COMPUTED_VALUE"""),0)</f>
        <v>0</v>
      </c>
      <c r="G111" s="5">
        <f ca="1">IFERROR(__xludf.DUMMYFUNCTION("""COMPUTED_VALUE"""),0)</f>
        <v>0</v>
      </c>
      <c r="H111"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I111" s="5">
        <f ca="1">IFERROR(__xludf.DUMMYFUNCTION("""COMPUTED_VALUE"""),2)</f>
        <v>2</v>
      </c>
      <c r="J111" s="5" t="str">
        <f ca="1">IFERROR(__xludf.DUMMYFUNCTION("""COMPUTED_VALUE"""),"Local")</f>
        <v>Local</v>
      </c>
      <c r="K111" s="5">
        <f ca="1">IFERROR(__xludf.DUMMYFUNCTION("""COMPUTED_VALUE"""),4)</f>
        <v>4</v>
      </c>
      <c r="L111" s="5" t="str">
        <f ca="1">IFERROR(__xludf.DUMMYFUNCTION("""COMPUTED_VALUE"""),"Spring")</f>
        <v>Spring</v>
      </c>
      <c r="M111" s="5" t="str">
        <f ca="1">IFERROR(__xludf.DUMMYFUNCTION("""COMPUTED_VALUE"""),"Fort Worth")</f>
        <v>Fort Worth</v>
      </c>
      <c r="N111" s="5" t="str">
        <f ca="1">IFERROR(__xludf.DUMMYFUNCTION("""COMPUTED_VALUE"""),"TX")</f>
        <v>TX</v>
      </c>
      <c r="O111" s="5" t="str">
        <f ca="1">IFERROR(__xludf.DUMMYFUNCTION("""COMPUTED_VALUE"""),"High")</f>
        <v>High</v>
      </c>
      <c r="P111" s="5" t="str">
        <f ca="1">IFERROR(__xludf.DUMMYFUNCTION("""COMPUTED_VALUE"""),"Parking Lot")</f>
        <v>Parking Lot</v>
      </c>
      <c r="Q111" s="5" t="str">
        <f ca="1">IFERROR(__xludf.DUMMYFUNCTION("""COMPUTED_VALUE"""),"Outside on School Property")</f>
        <v>Outside on School Property</v>
      </c>
      <c r="R111" s="5" t="str">
        <f ca="1">IFERROR(__xludf.DUMMYFUNCTION("""COMPUTED_VALUE"""),"No")</f>
        <v>No</v>
      </c>
      <c r="S111" s="5" t="str">
        <f ca="1">IFERROR(__xludf.DUMMYFUNCTION("""COMPUTED_VALUE"""),"After School")</f>
        <v>After School</v>
      </c>
      <c r="T111" s="10">
        <f ca="1">IFERROR(__xludf.DUMMYFUNCTION("""COMPUTED_VALUE"""),0.6875)</f>
        <v>0.6875</v>
      </c>
      <c r="U111" s="5">
        <f ca="1">IFERROR(__xludf.DUMMYFUNCTION("""COMPUTED_VALUE"""),1)</f>
        <v>1</v>
      </c>
      <c r="V111" s="5" t="str">
        <f ca="1">IFERROR(__xludf.DUMMYFUNCTION("""COMPUTED_VALUE"""),"Shots fired from a vehicle in the student parking lot")</f>
        <v>Shots fired from a vehicle in the student parking lot</v>
      </c>
      <c r="W111"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X111" s="5" t="str">
        <f ca="1">IFERROR(__xludf.DUMMYFUNCTION("""COMPUTED_VALUE"""),"Drive-by Shooting")</f>
        <v>Drive-by Shooting</v>
      </c>
      <c r="Y111" s="5"/>
      <c r="Z111" s="5" t="str">
        <f ca="1">IFERROR(__xludf.DUMMYFUNCTION("""COMPUTED_VALUE"""),"No")</f>
        <v>No</v>
      </c>
      <c r="AA111" s="5"/>
      <c r="AB111" s="5" t="str">
        <f ca="1">IFERROR(__xludf.DUMMYFUNCTION("""COMPUTED_VALUE"""),"No")</f>
        <v>No</v>
      </c>
      <c r="AC111" s="5" t="str">
        <f ca="1">IFERROR(__xludf.DUMMYFUNCTION("""COMPUTED_VALUE"""),"No")</f>
        <v>No</v>
      </c>
      <c r="AD111" s="5" t="str">
        <f ca="1">IFERROR(__xludf.DUMMYFUNCTION("""COMPUTED_VALUE"""),"No")</f>
        <v>No</v>
      </c>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row>
    <row r="112" spans="1:34" ht="12.75">
      <c r="A112" s="5" t="str">
        <f ca="1">IFERROR(__xludf.DUMMYFUNCTION("""COMPUTED_VALUE"""),"20220328NCOAC")</f>
        <v>20220328NCOAC</v>
      </c>
      <c r="B112" s="8">
        <f ca="1">IFERROR(__xludf.DUMMYFUNCTION("""COMPUTED_VALUE"""),44648)</f>
        <v>44648</v>
      </c>
      <c r="C112" s="5" t="str">
        <f ca="1">IFERROR(__xludf.DUMMYFUNCTION("""COMPUTED_VALUE"""),"Oakdale Elementary School")</f>
        <v>Oakdale Elementary School</v>
      </c>
      <c r="D112" s="5">
        <f ca="1">IFERROR(__xludf.DUMMYFUNCTION("""COMPUTED_VALUE"""),0)</f>
        <v>0</v>
      </c>
      <c r="E112" s="5">
        <f ca="1">IFERROR(__xludf.DUMMYFUNCTION("""COMPUTED_VALUE"""),1)</f>
        <v>1</v>
      </c>
      <c r="F112" s="5">
        <f ca="1">IFERROR(__xludf.DUMMYFUNCTION("""COMPUTED_VALUE"""),1)</f>
        <v>1</v>
      </c>
      <c r="G112" s="5">
        <f ca="1">IFERROR(__xludf.DUMMYFUNCTION("""COMPUTED_VALUE"""),0)</f>
        <v>0</v>
      </c>
      <c r="H112"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I112" s="5">
        <f ca="1">IFERROR(__xludf.DUMMYFUNCTION("""COMPUTED_VALUE"""),3)</f>
        <v>3</v>
      </c>
      <c r="J112" s="5" t="str">
        <f ca="1">IFERROR(__xludf.DUMMYFUNCTION("""COMPUTED_VALUE"""),"Local")</f>
        <v>Local</v>
      </c>
      <c r="K112" s="5">
        <f ca="1">IFERROR(__xludf.DUMMYFUNCTION("""COMPUTED_VALUE"""),4)</f>
        <v>4</v>
      </c>
      <c r="L112" s="5" t="str">
        <f ca="1">IFERROR(__xludf.DUMMYFUNCTION("""COMPUTED_VALUE"""),"Spring")</f>
        <v>Spring</v>
      </c>
      <c r="M112" s="5" t="str">
        <f ca="1">IFERROR(__xludf.DUMMYFUNCTION("""COMPUTED_VALUE"""),"Charlotte")</f>
        <v>Charlotte</v>
      </c>
      <c r="N112" s="5" t="str">
        <f ca="1">IFERROR(__xludf.DUMMYFUNCTION("""COMPUTED_VALUE"""),"NC")</f>
        <v>NC</v>
      </c>
      <c r="O112" s="5" t="str">
        <f ca="1">IFERROR(__xludf.DUMMYFUNCTION("""COMPUTED_VALUE"""),"Elementary")</f>
        <v>Elementary</v>
      </c>
      <c r="P112" s="5" t="str">
        <f ca="1">IFERROR(__xludf.DUMMYFUNCTION("""COMPUTED_VALUE"""),"Parking Lot")</f>
        <v>Parking Lot</v>
      </c>
      <c r="Q112" s="5" t="str">
        <f ca="1">IFERROR(__xludf.DUMMYFUNCTION("""COMPUTED_VALUE"""),"Outside on School Property")</f>
        <v>Outside on School Property</v>
      </c>
      <c r="R112" s="5" t="str">
        <f ca="1">IFERROR(__xludf.DUMMYFUNCTION("""COMPUTED_VALUE"""),"No")</f>
        <v>No</v>
      </c>
      <c r="S112" s="5" t="str">
        <f ca="1">IFERROR(__xludf.DUMMYFUNCTION("""COMPUTED_VALUE"""),"Not a School Day")</f>
        <v>Not a School Day</v>
      </c>
      <c r="T112" s="10">
        <f ca="1">IFERROR(__xludf.DUMMYFUNCTION("""COMPUTED_VALUE"""),0.479166666666666)</f>
        <v>0.47916666666666602</v>
      </c>
      <c r="U112" s="5">
        <f ca="1">IFERROR(__xludf.DUMMYFUNCTION("""COMPUTED_VALUE"""),1)</f>
        <v>1</v>
      </c>
      <c r="V112" s="5" t="str">
        <f ca="1">IFERROR(__xludf.DUMMYFUNCTION("""COMPUTED_VALUE"""),"Teen shot during attempted robbery in school parking lot")</f>
        <v>Teen shot during attempted robbery in school parking lot</v>
      </c>
      <c r="W112"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X112" s="5" t="str">
        <f ca="1">IFERROR(__xludf.DUMMYFUNCTION("""COMPUTED_VALUE"""),"Illegal Activity")</f>
        <v>Illegal Activity</v>
      </c>
      <c r="Y112" s="5" t="str">
        <f ca="1">IFERROR(__xludf.DUMMYFUNCTION("""COMPUTED_VALUE"""),"Victims Targeted")</f>
        <v>Victims Targeted</v>
      </c>
      <c r="Z112" s="5" t="str">
        <f ca="1">IFERROR(__xludf.DUMMYFUNCTION("""COMPUTED_VALUE"""),"No")</f>
        <v>No</v>
      </c>
      <c r="AA112" s="5"/>
      <c r="AB112" s="5" t="str">
        <f ca="1">IFERROR(__xludf.DUMMYFUNCTION("""COMPUTED_VALUE"""),"No")</f>
        <v>No</v>
      </c>
      <c r="AC112" s="5" t="str">
        <f ca="1">IFERROR(__xludf.DUMMYFUNCTION("""COMPUTED_VALUE"""),"No")</f>
        <v>No</v>
      </c>
      <c r="AD112" s="5" t="str">
        <f ca="1">IFERROR(__xludf.DUMMYFUNCTION("""COMPUTED_VALUE"""),"No")</f>
        <v>No</v>
      </c>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row>
    <row r="113" spans="1:34" ht="12.75">
      <c r="A113" s="5" t="str">
        <f ca="1">IFERROR(__xludf.DUMMYFUNCTION("""COMPUTED_VALUE"""),"20220325UTHIS")</f>
        <v>20220325UTHIS</v>
      </c>
      <c r="B113" s="8">
        <f ca="1">IFERROR(__xludf.DUMMYFUNCTION("""COMPUTED_VALUE"""),44645)</f>
        <v>44645</v>
      </c>
      <c r="C113" s="5" t="str">
        <f ca="1">IFERROR(__xludf.DUMMYFUNCTION("""COMPUTED_VALUE"""),"Highland High School")</f>
        <v>Highland High School</v>
      </c>
      <c r="D113" s="5">
        <f ca="1">IFERROR(__xludf.DUMMYFUNCTION("""COMPUTED_VALUE"""),0)</f>
        <v>0</v>
      </c>
      <c r="E113" s="5">
        <f ca="1">IFERROR(__xludf.DUMMYFUNCTION("""COMPUTED_VALUE"""),0)</f>
        <v>0</v>
      </c>
      <c r="F113" s="5">
        <f ca="1">IFERROR(__xludf.DUMMYFUNCTION("""COMPUTED_VALUE"""),0)</f>
        <v>0</v>
      </c>
      <c r="G113" s="5">
        <f ca="1">IFERROR(__xludf.DUMMYFUNCTION("""COMPUTED_VALUE"""),0)</f>
        <v>0</v>
      </c>
      <c r="H113" s="9" t="str">
        <f ca="1">IFERROR(__xludf.DUMMYFUNCTION("""COMPUTED_VALUE"""),"https://www.fox13now.com/news/local-news/utah-parent-says-tiktok-challenge-caused-son-to-be-shot-at-with-toy-gun-then-real-gun")</f>
        <v>https://www.fox13now.com/news/local-news/utah-parent-says-tiktok-challenge-caused-son-to-be-shot-at-with-toy-gun-then-real-gun</v>
      </c>
      <c r="I113" s="5">
        <f ca="1">IFERROR(__xludf.DUMMYFUNCTION("""COMPUTED_VALUE"""),1)</f>
        <v>1</v>
      </c>
      <c r="J113" s="5" t="str">
        <f ca="1">IFERROR(__xludf.DUMMYFUNCTION("""COMPUTED_VALUE"""),"Local")</f>
        <v>Local</v>
      </c>
      <c r="K113" s="5">
        <f ca="1">IFERROR(__xludf.DUMMYFUNCTION("""COMPUTED_VALUE"""),3)</f>
        <v>3</v>
      </c>
      <c r="L113" s="5" t="str">
        <f ca="1">IFERROR(__xludf.DUMMYFUNCTION("""COMPUTED_VALUE"""),"Spring")</f>
        <v>Spring</v>
      </c>
      <c r="M113" s="5" t="str">
        <f ca="1">IFERROR(__xludf.DUMMYFUNCTION("""COMPUTED_VALUE"""),"Salt Lake City")</f>
        <v>Salt Lake City</v>
      </c>
      <c r="N113" s="5" t="str">
        <f ca="1">IFERROR(__xludf.DUMMYFUNCTION("""COMPUTED_VALUE"""),"UT")</f>
        <v>UT</v>
      </c>
      <c r="O113" s="5" t="str">
        <f ca="1">IFERROR(__xludf.DUMMYFUNCTION("""COMPUTED_VALUE"""),"High")</f>
        <v>High</v>
      </c>
      <c r="P113" s="5" t="str">
        <f ca="1">IFERROR(__xludf.DUMMYFUNCTION("""COMPUTED_VALUE"""),"Parking Lot")</f>
        <v>Parking Lot</v>
      </c>
      <c r="Q113" s="5" t="str">
        <f ca="1">IFERROR(__xludf.DUMMYFUNCTION("""COMPUTED_VALUE"""),"Outside on School Property")</f>
        <v>Outside on School Property</v>
      </c>
      <c r="R113" s="5" t="str">
        <f ca="1">IFERROR(__xludf.DUMMYFUNCTION("""COMPUTED_VALUE"""),"Yes")</f>
        <v>Yes</v>
      </c>
      <c r="S113" s="5" t="str">
        <f ca="1">IFERROR(__xludf.DUMMYFUNCTION("""COMPUTED_VALUE"""),"Lunch")</f>
        <v>Lunch</v>
      </c>
      <c r="T113" s="10">
        <f ca="1">IFERROR(__xludf.DUMMYFUNCTION("""COMPUTED_VALUE"""),0.5)</f>
        <v>0.5</v>
      </c>
      <c r="U113" s="5">
        <f ca="1">IFERROR(__xludf.DUMMYFUNCTION("""COMPUTED_VALUE"""),1)</f>
        <v>1</v>
      </c>
      <c r="V113" s="5" t="str">
        <f ca="1">IFERROR(__xludf.DUMMYFUNCTION("""COMPUTED_VALUE"""),"Teens fired pellet gun at vehicle for TikTok challenge, real bullets fired back")</f>
        <v>Teens fired pellet gun at vehicle for TikTok challenge, real bullets fired back</v>
      </c>
      <c r="W113"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X113" s="5" t="str">
        <f ca="1">IFERROR(__xludf.DUMMYFUNCTION("""COMPUTED_VALUE"""),"Drive-by Shooting")</f>
        <v>Drive-by Shooting</v>
      </c>
      <c r="Y113" s="5" t="str">
        <f ca="1">IFERROR(__xludf.DUMMYFUNCTION("""COMPUTED_VALUE"""),"Random Shooting")</f>
        <v>Random Shooting</v>
      </c>
      <c r="Z113" s="5" t="str">
        <f ca="1">IFERROR(__xludf.DUMMYFUNCTION("""COMPUTED_VALUE"""),"No")</f>
        <v>No</v>
      </c>
      <c r="AA113" s="5"/>
      <c r="AB113" s="5" t="str">
        <f ca="1">IFERROR(__xludf.DUMMYFUNCTION("""COMPUTED_VALUE"""),"No")</f>
        <v>No</v>
      </c>
      <c r="AC113" s="5" t="str">
        <f ca="1">IFERROR(__xludf.DUMMYFUNCTION("""COMPUTED_VALUE"""),"No")</f>
        <v>No</v>
      </c>
      <c r="AD113" s="5" t="str">
        <f ca="1">IFERROR(__xludf.DUMMYFUNCTION("""COMPUTED_VALUE"""),"No")</f>
        <v>No</v>
      </c>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row>
    <row r="114" spans="1:34" ht="12.75">
      <c r="A114" s="5" t="str">
        <f ca="1">IFERROR(__xludf.DUMMYFUNCTION("""COMPUTED_VALUE"""),"20220325TXROR")</f>
        <v>20220325TXROR</v>
      </c>
      <c r="B114" s="8">
        <f ca="1">IFERROR(__xludf.DUMMYFUNCTION("""COMPUTED_VALUE"""),44645)</f>
        <v>44645</v>
      </c>
      <c r="C114" s="5" t="str">
        <f ca="1">IFERROR(__xludf.DUMMYFUNCTION("""COMPUTED_VALUE"""),"Royse City High School")</f>
        <v>Royse City High School</v>
      </c>
      <c r="D114" s="5">
        <f ca="1">IFERROR(__xludf.DUMMYFUNCTION("""COMPUTED_VALUE"""),0)</f>
        <v>0</v>
      </c>
      <c r="E114" s="5">
        <f ca="1">IFERROR(__xludf.DUMMYFUNCTION("""COMPUTED_VALUE"""),0)</f>
        <v>0</v>
      </c>
      <c r="F114" s="5">
        <f ca="1">IFERROR(__xludf.DUMMYFUNCTION("""COMPUTED_VALUE"""),0)</f>
        <v>0</v>
      </c>
      <c r="G114" s="5">
        <f ca="1">IFERROR(__xludf.DUMMYFUNCTION("""COMPUTED_VALUE"""),0)</f>
        <v>0</v>
      </c>
      <c r="H114"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I114" s="5">
        <f ca="1">IFERROR(__xludf.DUMMYFUNCTION("""COMPUTED_VALUE"""),10)</f>
        <v>10</v>
      </c>
      <c r="J114" s="5" t="str">
        <f ca="1">IFERROR(__xludf.DUMMYFUNCTION("""COMPUTED_VALUE"""),"Regional")</f>
        <v>Regional</v>
      </c>
      <c r="K114" s="5">
        <f ca="1">IFERROR(__xludf.DUMMYFUNCTION("""COMPUTED_VALUE"""),4)</f>
        <v>4</v>
      </c>
      <c r="L114" s="5" t="str">
        <f ca="1">IFERROR(__xludf.DUMMYFUNCTION("""COMPUTED_VALUE"""),"Spring")</f>
        <v>Spring</v>
      </c>
      <c r="M114" s="5" t="str">
        <f ca="1">IFERROR(__xludf.DUMMYFUNCTION("""COMPUTED_VALUE"""),"Royse City")</f>
        <v>Royse City</v>
      </c>
      <c r="N114" s="5" t="str">
        <f ca="1">IFERROR(__xludf.DUMMYFUNCTION("""COMPUTED_VALUE"""),"TX")</f>
        <v>TX</v>
      </c>
      <c r="O114" s="5" t="str">
        <f ca="1">IFERROR(__xludf.DUMMYFUNCTION("""COMPUTED_VALUE"""),"High")</f>
        <v>High</v>
      </c>
      <c r="P114" s="5" t="str">
        <f ca="1">IFERROR(__xludf.DUMMYFUNCTION("""COMPUTED_VALUE"""),"Parking Lot")</f>
        <v>Parking Lot</v>
      </c>
      <c r="Q114" s="5" t="str">
        <f ca="1">IFERROR(__xludf.DUMMYFUNCTION("""COMPUTED_VALUE"""),"Outside on School Property")</f>
        <v>Outside on School Property</v>
      </c>
      <c r="R114" s="5" t="str">
        <f ca="1">IFERROR(__xludf.DUMMYFUNCTION("""COMPUTED_VALUE"""),"Yes")</f>
        <v>Yes</v>
      </c>
      <c r="S114" s="5" t="str">
        <f ca="1">IFERROR(__xludf.DUMMYFUNCTION("""COMPUTED_VALUE"""),"School Start")</f>
        <v>School Start</v>
      </c>
      <c r="T114" s="10">
        <f ca="1">IFERROR(__xludf.DUMMYFUNCTION("""COMPUTED_VALUE"""),0.34375)</f>
        <v>0.34375</v>
      </c>
      <c r="U114" s="5">
        <f ca="1">IFERROR(__xludf.DUMMYFUNCTION("""COMPUTED_VALUE"""),1)</f>
        <v>1</v>
      </c>
      <c r="V114" s="5" t="str">
        <f ca="1">IFERROR(__xludf.DUMMYFUNCTION("""COMPUTED_VALUE"""),"Active shooter response to school for 5 students firing pellet guns for TikTok challenge")</f>
        <v>Active shooter response to school for 5 students firing pellet guns for TikTok challenge</v>
      </c>
      <c r="W114"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X114" s="5" t="str">
        <f ca="1">IFERROR(__xludf.DUMMYFUNCTION("""COMPUTED_VALUE"""),"Indiscriminate Shooting")</f>
        <v>Indiscriminate Shooting</v>
      </c>
      <c r="Y114" s="5" t="str">
        <f ca="1">IFERROR(__xludf.DUMMYFUNCTION("""COMPUTED_VALUE"""),"Random Shooting")</f>
        <v>Random Shooting</v>
      </c>
      <c r="Z114" s="5" t="str">
        <f ca="1">IFERROR(__xludf.DUMMYFUNCTION("""COMPUTED_VALUE"""),"Yes")</f>
        <v>Yes</v>
      </c>
      <c r="AA114" s="5" t="str">
        <f ca="1">IFERROR(__xludf.DUMMYFUNCTION("""COMPUTED_VALUE"""),"5 students")</f>
        <v>5 students</v>
      </c>
      <c r="AB114" s="5" t="str">
        <f ca="1">IFERROR(__xludf.DUMMYFUNCTION("""COMPUTED_VALUE"""),"No")</f>
        <v>No</v>
      </c>
      <c r="AC114" s="5" t="str">
        <f ca="1">IFERROR(__xludf.DUMMYFUNCTION("""COMPUTED_VALUE"""),"No")</f>
        <v>No</v>
      </c>
      <c r="AD114" s="5" t="str">
        <f ca="1">IFERROR(__xludf.DUMMYFUNCTION("""COMPUTED_VALUE"""),"No")</f>
        <v>No</v>
      </c>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row>
    <row r="115" spans="1:34" ht="12.75">
      <c r="A115" s="5" t="str">
        <f ca="1">IFERROR(__xludf.DUMMYFUNCTION("""COMPUTED_VALUE"""),"20220325TNBRM")</f>
        <v>20220325TNBRM</v>
      </c>
      <c r="B115" s="8">
        <f ca="1">IFERROR(__xludf.DUMMYFUNCTION("""COMPUTED_VALUE"""),44645)</f>
        <v>44645</v>
      </c>
      <c r="C115" s="5" t="str">
        <f ca="1">IFERROR(__xludf.DUMMYFUNCTION("""COMPUTED_VALUE"""),"Brighton High School")</f>
        <v>Brighton High School</v>
      </c>
      <c r="D115" s="5">
        <f ca="1">IFERROR(__xludf.DUMMYFUNCTION("""COMPUTED_VALUE"""),0)</f>
        <v>0</v>
      </c>
      <c r="E115" s="5">
        <f ca="1">IFERROR(__xludf.DUMMYFUNCTION("""COMPUTED_VALUE"""),0)</f>
        <v>0</v>
      </c>
      <c r="F115" s="5">
        <f ca="1">IFERROR(__xludf.DUMMYFUNCTION("""COMPUTED_VALUE"""),0)</f>
        <v>0</v>
      </c>
      <c r="G115" s="5">
        <f ca="1">IFERROR(__xludf.DUMMYFUNCTION("""COMPUTED_VALUE"""),0)</f>
        <v>0</v>
      </c>
      <c r="H115" s="9" t="str">
        <f ca="1">IFERROR(__xludf.DUMMYFUNCTION("""COMPUTED_VALUE"""),"https://www.actionnews5.com/2022/03/26/shots-fired-during-candlelight-vigil-brighton-high-school/")</f>
        <v>https://www.actionnews5.com/2022/03/26/shots-fired-during-candlelight-vigil-brighton-high-school/</v>
      </c>
      <c r="I115" s="5">
        <f ca="1">IFERROR(__xludf.DUMMYFUNCTION("""COMPUTED_VALUE"""),1)</f>
        <v>1</v>
      </c>
      <c r="J115" s="5" t="str">
        <f ca="1">IFERROR(__xludf.DUMMYFUNCTION("""COMPUTED_VALUE"""),"Local")</f>
        <v>Local</v>
      </c>
      <c r="K115" s="5">
        <f ca="1">IFERROR(__xludf.DUMMYFUNCTION("""COMPUTED_VALUE"""),3)</f>
        <v>3</v>
      </c>
      <c r="L115" s="5" t="str">
        <f ca="1">IFERROR(__xludf.DUMMYFUNCTION("""COMPUTED_VALUE"""),"Spring")</f>
        <v>Spring</v>
      </c>
      <c r="M115" s="5" t="str">
        <f ca="1">IFERROR(__xludf.DUMMYFUNCTION("""COMPUTED_VALUE"""),"Memphis")</f>
        <v>Memphis</v>
      </c>
      <c r="N115" s="5" t="str">
        <f ca="1">IFERROR(__xludf.DUMMYFUNCTION("""COMPUTED_VALUE"""),"TN")</f>
        <v>TN</v>
      </c>
      <c r="O115" s="5" t="str">
        <f ca="1">IFERROR(__xludf.DUMMYFUNCTION("""COMPUTED_VALUE"""),"High")</f>
        <v>High</v>
      </c>
      <c r="P115" s="5" t="str">
        <f ca="1">IFERROR(__xludf.DUMMYFUNCTION("""COMPUTED_VALUE"""),"Parking Lot")</f>
        <v>Parking Lot</v>
      </c>
      <c r="Q115" s="5" t="str">
        <f ca="1">IFERROR(__xludf.DUMMYFUNCTION("""COMPUTED_VALUE"""),"Outside on School Property")</f>
        <v>Outside on School Property</v>
      </c>
      <c r="R115" s="5" t="str">
        <f ca="1">IFERROR(__xludf.DUMMYFUNCTION("""COMPUTED_VALUE"""),"No")</f>
        <v>No</v>
      </c>
      <c r="S115" s="5" t="str">
        <f ca="1">IFERROR(__xludf.DUMMYFUNCTION("""COMPUTED_VALUE"""),"Evening")</f>
        <v>Evening</v>
      </c>
      <c r="T115" s="5"/>
      <c r="U115" s="5">
        <f ca="1">IFERROR(__xludf.DUMMYFUNCTION("""COMPUTED_VALUE"""),1)</f>
        <v>1</v>
      </c>
      <c r="V115" s="5" t="str">
        <f ca="1">IFERROR(__xludf.DUMMYFUNCTION("""COMPUTED_VALUE"""),"Shots fired during candlelight vigil for former student")</f>
        <v>Shots fired during candlelight vigil for former student</v>
      </c>
      <c r="W115"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X115" s="5" t="str">
        <f ca="1">IFERROR(__xludf.DUMMYFUNCTION("""COMPUTED_VALUE"""),"Drive-by Shooting")</f>
        <v>Drive-by Shooting</v>
      </c>
      <c r="Y115" s="5" t="str">
        <f ca="1">IFERROR(__xludf.DUMMYFUNCTION("""COMPUTED_VALUE"""),"Both")</f>
        <v>Both</v>
      </c>
      <c r="Z115" s="5" t="str">
        <f ca="1">IFERROR(__xludf.DUMMYFUNCTION("""COMPUTED_VALUE"""),"No")</f>
        <v>No</v>
      </c>
      <c r="AA115" s="5"/>
      <c r="AB115" s="5" t="str">
        <f ca="1">IFERROR(__xludf.DUMMYFUNCTION("""COMPUTED_VALUE"""),"No")</f>
        <v>No</v>
      </c>
      <c r="AC115" s="5" t="str">
        <f ca="1">IFERROR(__xludf.DUMMYFUNCTION("""COMPUTED_VALUE"""),"No")</f>
        <v>No</v>
      </c>
      <c r="AD115" s="5" t="str">
        <f ca="1">IFERROR(__xludf.DUMMYFUNCTION("""COMPUTED_VALUE"""),"No")</f>
        <v>No</v>
      </c>
      <c r="AE115" s="5" t="str">
        <f ca="1">IFERROR(__xludf.DUMMYFUNCTION("""COMPUTED_VALUE"""),"No")</f>
        <v>No</v>
      </c>
      <c r="AF115" s="5" t="str">
        <f ca="1">IFERROR(__xludf.DUMMYFUNCTION("""COMPUTED_VALUE"""),"No")</f>
        <v>No</v>
      </c>
      <c r="AG115" s="5"/>
      <c r="AH115" s="5" t="str">
        <f ca="1">IFERROR(__xludf.DUMMYFUNCTION("""COMPUTED_VALUE"""),"No")</f>
        <v>No</v>
      </c>
    </row>
    <row r="116" spans="1:34" ht="12.75">
      <c r="A116" s="5" t="str">
        <f ca="1">IFERROR(__xludf.DUMMYFUNCTION("""COMPUTED_VALUE"""),"20220324VARIW")</f>
        <v>20220324VARIW</v>
      </c>
      <c r="B116" s="8">
        <f ca="1">IFERROR(__xludf.DUMMYFUNCTION("""COMPUTED_VALUE"""),44644)</f>
        <v>44644</v>
      </c>
      <c r="C116" s="5" t="str">
        <f ca="1">IFERROR(__xludf.DUMMYFUNCTION("""COMPUTED_VALUE"""),"Rippon Middle School")</f>
        <v>Rippon Middle School</v>
      </c>
      <c r="D116" s="5">
        <f ca="1">IFERROR(__xludf.DUMMYFUNCTION("""COMPUTED_VALUE"""),0)</f>
        <v>0</v>
      </c>
      <c r="E116" s="5">
        <f ca="1">IFERROR(__xludf.DUMMYFUNCTION("""COMPUTED_VALUE"""),0)</f>
        <v>0</v>
      </c>
      <c r="F116" s="5">
        <f ca="1">IFERROR(__xludf.DUMMYFUNCTION("""COMPUTED_VALUE"""),0)</f>
        <v>0</v>
      </c>
      <c r="G116" s="5">
        <f ca="1">IFERROR(__xludf.DUMMYFUNCTION("""COMPUTED_VALUE"""),0)</f>
        <v>0</v>
      </c>
      <c r="H116"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I116" s="5">
        <f ca="1">IFERROR(__xludf.DUMMYFUNCTION("""COMPUTED_VALUE"""),10)</f>
        <v>10</v>
      </c>
      <c r="J116" s="5" t="str">
        <f ca="1">IFERROR(__xludf.DUMMYFUNCTION("""COMPUTED_VALUE"""),"Regional")</f>
        <v>Regional</v>
      </c>
      <c r="K116" s="5">
        <f ca="1">IFERROR(__xludf.DUMMYFUNCTION("""COMPUTED_VALUE"""),4)</f>
        <v>4</v>
      </c>
      <c r="L116" s="5" t="str">
        <f ca="1">IFERROR(__xludf.DUMMYFUNCTION("""COMPUTED_VALUE"""),"Spring")</f>
        <v>Spring</v>
      </c>
      <c r="M116" s="5" t="str">
        <f ca="1">IFERROR(__xludf.DUMMYFUNCTION("""COMPUTED_VALUE"""),"Woodbridge")</f>
        <v>Woodbridge</v>
      </c>
      <c r="N116" s="5" t="str">
        <f ca="1">IFERROR(__xludf.DUMMYFUNCTION("""COMPUTED_VALUE"""),"VA")</f>
        <v>VA</v>
      </c>
      <c r="O116" s="5" t="str">
        <f ca="1">IFERROR(__xludf.DUMMYFUNCTION("""COMPUTED_VALUE"""),"Middle")</f>
        <v>Middle</v>
      </c>
      <c r="P116" s="5" t="str">
        <f ca="1">IFERROR(__xludf.DUMMYFUNCTION("""COMPUTED_VALUE"""),"Beside Building")</f>
        <v>Beside Building</v>
      </c>
      <c r="Q116" s="5" t="str">
        <f ca="1">IFERROR(__xludf.DUMMYFUNCTION("""COMPUTED_VALUE"""),"Outside on School Property")</f>
        <v>Outside on School Property</v>
      </c>
      <c r="R116" s="5" t="str">
        <f ca="1">IFERROR(__xludf.DUMMYFUNCTION("""COMPUTED_VALUE"""),"Yes")</f>
        <v>Yes</v>
      </c>
      <c r="S116" s="5" t="str">
        <f ca="1">IFERROR(__xludf.DUMMYFUNCTION("""COMPUTED_VALUE"""),"Morning Classes")</f>
        <v>Morning Classes</v>
      </c>
      <c r="T116" s="10">
        <f ca="1">IFERROR(__xludf.DUMMYFUNCTION("""COMPUTED_VALUE"""),0.465972222222222)</f>
        <v>0.46597222222222201</v>
      </c>
      <c r="U116" s="5">
        <f ca="1">IFERROR(__xludf.DUMMYFUNCTION("""COMPUTED_VALUE"""),1)</f>
        <v>1</v>
      </c>
      <c r="V116" s="5" t="str">
        <f ca="1">IFERROR(__xludf.DUMMYFUNCTION("""COMPUTED_VALUE"""),"Man in ski mask with rifle and shotgun fired shot outside of school, arrested by SRO")</f>
        <v>Man in ski mask with rifle and shotgun fired shot outside of school, arrested by SRO</v>
      </c>
      <c r="W116"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X116" s="5" t="str">
        <f ca="1">IFERROR(__xludf.DUMMYFUNCTION("""COMPUTED_VALUE"""),"Domestic w/ Targeted Victim")</f>
        <v>Domestic w/ Targeted Victim</v>
      </c>
      <c r="Y116" s="5" t="str">
        <f ca="1">IFERROR(__xludf.DUMMYFUNCTION("""COMPUTED_VALUE"""),"Neither")</f>
        <v>Neither</v>
      </c>
      <c r="Z116" s="5" t="str">
        <f ca="1">IFERROR(__xludf.DUMMYFUNCTION("""COMPUTED_VALUE"""),"No")</f>
        <v>No</v>
      </c>
      <c r="AA116" s="5"/>
      <c r="AB116" s="5" t="str">
        <f ca="1">IFERROR(__xludf.DUMMYFUNCTION("""COMPUTED_VALUE"""),"No")</f>
        <v>No</v>
      </c>
      <c r="AC116" s="5" t="str">
        <f ca="1">IFERROR(__xludf.DUMMYFUNCTION("""COMPUTED_VALUE"""),"No")</f>
        <v>No</v>
      </c>
      <c r="AD116" s="5" t="str">
        <f ca="1">IFERROR(__xludf.DUMMYFUNCTION("""COMPUTED_VALUE"""),"No")</f>
        <v>No</v>
      </c>
      <c r="AE116" s="5" t="str">
        <f ca="1">IFERROR(__xludf.DUMMYFUNCTION("""COMPUTED_VALUE"""),"No")</f>
        <v>No</v>
      </c>
      <c r="AF116" s="5" t="str">
        <f ca="1">IFERROR(__xludf.DUMMYFUNCTION("""COMPUTED_VALUE"""),"Yes")</f>
        <v>Yes</v>
      </c>
      <c r="AG116" s="5" t="str">
        <f ca="1">IFERROR(__xludf.DUMMYFUNCTION("""COMPUTED_VALUE"""),"No")</f>
        <v>No</v>
      </c>
      <c r="AH116" s="5" t="str">
        <f ca="1">IFERROR(__xludf.DUMMYFUNCTION("""COMPUTED_VALUE"""),"No")</f>
        <v>No</v>
      </c>
    </row>
    <row r="117" spans="1:34" ht="12.75">
      <c r="A117" s="5" t="str">
        <f ca="1">IFERROR(__xludf.DUMMYFUNCTION("""COMPUTED_VALUE"""),"20220322VAJAR")</f>
        <v>20220322VAJAR</v>
      </c>
      <c r="B117" s="8">
        <f ca="1">IFERROR(__xludf.DUMMYFUNCTION("""COMPUTED_VALUE"""),44642)</f>
        <v>44642</v>
      </c>
      <c r="C117" s="5" t="str">
        <f ca="1">IFERROR(__xludf.DUMMYFUNCTION("""COMPUTED_VALUE"""),"James Madison Middle School")</f>
        <v>James Madison Middle School</v>
      </c>
      <c r="D117" s="5">
        <f ca="1">IFERROR(__xludf.DUMMYFUNCTION("""COMPUTED_VALUE"""),0)</f>
        <v>0</v>
      </c>
      <c r="E117" s="5">
        <f ca="1">IFERROR(__xludf.DUMMYFUNCTION("""COMPUTED_VALUE"""),0)</f>
        <v>0</v>
      </c>
      <c r="F117" s="5">
        <f ca="1">IFERROR(__xludf.DUMMYFUNCTION("""COMPUTED_VALUE"""),0)</f>
        <v>0</v>
      </c>
      <c r="G117" s="5">
        <f ca="1">IFERROR(__xludf.DUMMYFUNCTION("""COMPUTED_VALUE"""),0)</f>
        <v>0</v>
      </c>
      <c r="H117" s="9" t="str">
        <f ca="1">IFERROR(__xludf.DUMMYFUNCTION("""COMPUTED_VALUE"""),"https://www.wdbj7.com/2022/03/22/school-bus-shot-nw-roanoke/")</f>
        <v>https://www.wdbj7.com/2022/03/22/school-bus-shot-nw-roanoke/</v>
      </c>
      <c r="I117" s="5">
        <f ca="1">IFERROR(__xludf.DUMMYFUNCTION("""COMPUTED_VALUE"""),1)</f>
        <v>1</v>
      </c>
      <c r="J117" s="5" t="str">
        <f ca="1">IFERROR(__xludf.DUMMYFUNCTION("""COMPUTED_VALUE"""),"Local")</f>
        <v>Local</v>
      </c>
      <c r="K117" s="5">
        <f ca="1">IFERROR(__xludf.DUMMYFUNCTION("""COMPUTED_VALUE"""),4)</f>
        <v>4</v>
      </c>
      <c r="L117" s="5" t="str">
        <f ca="1">IFERROR(__xludf.DUMMYFUNCTION("""COMPUTED_VALUE"""),"Spring")</f>
        <v>Spring</v>
      </c>
      <c r="M117" s="5" t="str">
        <f ca="1">IFERROR(__xludf.DUMMYFUNCTION("""COMPUTED_VALUE"""),"Roanoke")</f>
        <v>Roanoke</v>
      </c>
      <c r="N117" s="5" t="str">
        <f ca="1">IFERROR(__xludf.DUMMYFUNCTION("""COMPUTED_VALUE"""),"VA")</f>
        <v>VA</v>
      </c>
      <c r="O117" s="5" t="str">
        <f ca="1">IFERROR(__xludf.DUMMYFUNCTION("""COMPUTED_VALUE"""),"Middle")</f>
        <v>Middle</v>
      </c>
      <c r="P117" s="5" t="str">
        <f ca="1">IFERROR(__xludf.DUMMYFUNCTION("""COMPUTED_VALUE"""),"School Bus")</f>
        <v>School Bus</v>
      </c>
      <c r="Q117" s="5" t="str">
        <f ca="1">IFERROR(__xludf.DUMMYFUNCTION("""COMPUTED_VALUE"""),"School Bus")</f>
        <v>School Bus</v>
      </c>
      <c r="R117" s="5" t="str">
        <f ca="1">IFERROR(__xludf.DUMMYFUNCTION("""COMPUTED_VALUE"""),"Yes")</f>
        <v>Yes</v>
      </c>
      <c r="S117" s="5" t="str">
        <f ca="1">IFERROR(__xludf.DUMMYFUNCTION("""COMPUTED_VALUE"""),"Dismissal")</f>
        <v>Dismissal</v>
      </c>
      <c r="T117" s="10">
        <f ca="1">IFERROR(__xludf.DUMMYFUNCTION("""COMPUTED_VALUE"""),0.666666666666666)</f>
        <v>0.66666666666666596</v>
      </c>
      <c r="U117" s="5">
        <f ca="1">IFERROR(__xludf.DUMMYFUNCTION("""COMPUTED_VALUE"""),1)</f>
        <v>1</v>
      </c>
      <c r="V117" s="5" t="str">
        <f ca="1">IFERROR(__xludf.DUMMYFUNCTION("""COMPUTED_VALUE"""),"School bus tire shot while driving students home after school")</f>
        <v>School bus tire shot while driving students home after school</v>
      </c>
      <c r="W117"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X117" s="5"/>
      <c r="Y117" s="5" t="str">
        <f ca="1">IFERROR(__xludf.DUMMYFUNCTION("""COMPUTED_VALUE"""),"Victims Targeted")</f>
        <v>Victims Targeted</v>
      </c>
      <c r="Z117" s="5" t="str">
        <f ca="1">IFERROR(__xludf.DUMMYFUNCTION("""COMPUTED_VALUE"""),"No")</f>
        <v>No</v>
      </c>
      <c r="AA117" s="5"/>
      <c r="AB117" s="5" t="str">
        <f ca="1">IFERROR(__xludf.DUMMYFUNCTION("""COMPUTED_VALUE"""),"No")</f>
        <v>No</v>
      </c>
      <c r="AC117" s="5" t="str">
        <f ca="1">IFERROR(__xludf.DUMMYFUNCTION("""COMPUTED_VALUE"""),"No")</f>
        <v>No</v>
      </c>
      <c r="AD117" s="5" t="str">
        <f ca="1">IFERROR(__xludf.DUMMYFUNCTION("""COMPUTED_VALUE"""),"No")</f>
        <v>No</v>
      </c>
      <c r="AE117" s="5" t="str">
        <f ca="1">IFERROR(__xludf.DUMMYFUNCTION("""COMPUTED_VALUE"""),"No")</f>
        <v>No</v>
      </c>
      <c r="AF117" s="5" t="str">
        <f ca="1">IFERROR(__xludf.DUMMYFUNCTION("""COMPUTED_VALUE"""),"No")</f>
        <v>No</v>
      </c>
      <c r="AG117" s="5"/>
      <c r="AH117" s="5" t="str">
        <f ca="1">IFERROR(__xludf.DUMMYFUNCTION("""COMPUTED_VALUE"""),"No")</f>
        <v>No</v>
      </c>
    </row>
    <row r="118" spans="1:34" ht="12.75">
      <c r="A118" s="5" t="str">
        <f ca="1">IFERROR(__xludf.DUMMYFUNCTION("""COMPUTED_VALUE"""),"20220322TXWOD")</f>
        <v>20220322TXWOD</v>
      </c>
      <c r="B118" s="8">
        <f ca="1">IFERROR(__xludf.DUMMYFUNCTION("""COMPUTED_VALUE"""),44642)</f>
        <v>44642</v>
      </c>
      <c r="C118" s="5" t="str">
        <f ca="1">IFERROR(__xludf.DUMMYFUNCTION("""COMPUTED_VALUE"""),"Woodrow Wilson High School")</f>
        <v>Woodrow Wilson High School</v>
      </c>
      <c r="D118" s="5">
        <f ca="1">IFERROR(__xludf.DUMMYFUNCTION("""COMPUTED_VALUE"""),0)</f>
        <v>0</v>
      </c>
      <c r="E118" s="5">
        <f ca="1">IFERROR(__xludf.DUMMYFUNCTION("""COMPUTED_VALUE"""),0)</f>
        <v>0</v>
      </c>
      <c r="F118" s="5">
        <f ca="1">IFERROR(__xludf.DUMMYFUNCTION("""COMPUTED_VALUE"""),0)</f>
        <v>0</v>
      </c>
      <c r="G118" s="5">
        <f ca="1">IFERROR(__xludf.DUMMYFUNCTION("""COMPUTED_VALUE"""),0)</f>
        <v>0</v>
      </c>
      <c r="H118"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I118" s="5">
        <f ca="1">IFERROR(__xludf.DUMMYFUNCTION("""COMPUTED_VALUE"""),10)</f>
        <v>10</v>
      </c>
      <c r="J118" s="5" t="str">
        <f ca="1">IFERROR(__xludf.DUMMYFUNCTION("""COMPUTED_VALUE"""),"Regional")</f>
        <v>Regional</v>
      </c>
      <c r="K118" s="5">
        <f ca="1">IFERROR(__xludf.DUMMYFUNCTION("""COMPUTED_VALUE"""),4)</f>
        <v>4</v>
      </c>
      <c r="L118" s="5" t="str">
        <f ca="1">IFERROR(__xludf.DUMMYFUNCTION("""COMPUTED_VALUE"""),"Spring")</f>
        <v>Spring</v>
      </c>
      <c r="M118" s="5" t="str">
        <f ca="1">IFERROR(__xludf.DUMMYFUNCTION("""COMPUTED_VALUE"""),"Dallas")</f>
        <v>Dallas</v>
      </c>
      <c r="N118" s="5" t="str">
        <f ca="1">IFERROR(__xludf.DUMMYFUNCTION("""COMPUTED_VALUE"""),"TX")</f>
        <v>TX</v>
      </c>
      <c r="O118" s="5" t="str">
        <f ca="1">IFERROR(__xludf.DUMMYFUNCTION("""COMPUTED_VALUE"""),"High")</f>
        <v>High</v>
      </c>
      <c r="P118" s="5" t="str">
        <f ca="1">IFERROR(__xludf.DUMMYFUNCTION("""COMPUTED_VALUE"""),"Football Field/Track")</f>
        <v>Football Field/Track</v>
      </c>
      <c r="Q118" s="5" t="str">
        <f ca="1">IFERROR(__xludf.DUMMYFUNCTION("""COMPUTED_VALUE"""),"Outside on School Property")</f>
        <v>Outside on School Property</v>
      </c>
      <c r="R118" s="5" t="str">
        <f ca="1">IFERROR(__xludf.DUMMYFUNCTION("""COMPUTED_VALUE"""),"Yes")</f>
        <v>Yes</v>
      </c>
      <c r="S118" s="5" t="str">
        <f ca="1">IFERROR(__xludf.DUMMYFUNCTION("""COMPUTED_VALUE"""),"Dismissal")</f>
        <v>Dismissal</v>
      </c>
      <c r="T118" s="10">
        <f ca="1">IFERROR(__xludf.DUMMYFUNCTION("""COMPUTED_VALUE"""),0.625)</f>
        <v>0.625</v>
      </c>
      <c r="U118" s="5">
        <f ca="1">IFERROR(__xludf.DUMMYFUNCTION("""COMPUTED_VALUE"""),1)</f>
        <v>1</v>
      </c>
      <c r="V118" s="5" t="str">
        <f ca="1">IFERROR(__xludf.DUMMYFUNCTION("""COMPUTED_VALUE"""),"Shots fired at dismissal during fight")</f>
        <v>Shots fired at dismissal during fight</v>
      </c>
      <c r="W118" s="5" t="str">
        <f ca="1">IFERROR(__xludf.DUMMYFUNCTION("""COMPUTED_VALUE"""),"Shots were fired during a fight near the football field at dismissal. Shooter fled. No injuries.")</f>
        <v>Shots were fired during a fight near the football field at dismissal. Shooter fled. No injuries.</v>
      </c>
      <c r="X118" s="5" t="str">
        <f ca="1">IFERROR(__xludf.DUMMYFUNCTION("""COMPUTED_VALUE"""),"Escalation of Dispute")</f>
        <v>Escalation of Dispute</v>
      </c>
      <c r="Y118" s="5" t="str">
        <f ca="1">IFERROR(__xludf.DUMMYFUNCTION("""COMPUTED_VALUE"""),"Victims Targeted")</f>
        <v>Victims Targeted</v>
      </c>
      <c r="Z118" s="5" t="str">
        <f ca="1">IFERROR(__xludf.DUMMYFUNCTION("""COMPUTED_VALUE"""),"No")</f>
        <v>No</v>
      </c>
      <c r="AA118" s="5"/>
      <c r="AB118" s="5" t="str">
        <f ca="1">IFERROR(__xludf.DUMMYFUNCTION("""COMPUTED_VALUE"""),"No")</f>
        <v>No</v>
      </c>
      <c r="AC118" s="5" t="str">
        <f ca="1">IFERROR(__xludf.DUMMYFUNCTION("""COMPUTED_VALUE"""),"No")</f>
        <v>No</v>
      </c>
      <c r="AD118" s="5" t="str">
        <f ca="1">IFERROR(__xludf.DUMMYFUNCTION("""COMPUTED_VALUE"""),"No")</f>
        <v>No</v>
      </c>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row>
    <row r="119" spans="1:34" ht="12.75">
      <c r="A119" s="5" t="str">
        <f ca="1">IFERROR(__xludf.DUMMYFUNCTION("""COMPUTED_VALUE"""),"20220322FLNEN")</f>
        <v>20220322FLNEN</v>
      </c>
      <c r="B119" s="8">
        <f ca="1">IFERROR(__xludf.DUMMYFUNCTION("""COMPUTED_VALUE"""),44642)</f>
        <v>44642</v>
      </c>
      <c r="C119" s="5" t="str">
        <f ca="1">IFERROR(__xludf.DUMMYFUNCTION("""COMPUTED_VALUE"""),"New Smyrna Beach High School")</f>
        <v>New Smyrna Beach High School</v>
      </c>
      <c r="D119" s="5">
        <f ca="1">IFERROR(__xludf.DUMMYFUNCTION("""COMPUTED_VALUE"""),0)</f>
        <v>0</v>
      </c>
      <c r="E119" s="5">
        <f ca="1">IFERROR(__xludf.DUMMYFUNCTION("""COMPUTED_VALUE"""),0)</f>
        <v>0</v>
      </c>
      <c r="F119" s="5">
        <f ca="1">IFERROR(__xludf.DUMMYFUNCTION("""COMPUTED_VALUE"""),0)</f>
        <v>0</v>
      </c>
      <c r="G119" s="5">
        <f ca="1">IFERROR(__xludf.DUMMYFUNCTION("""COMPUTED_VALUE"""),0)</f>
        <v>0</v>
      </c>
      <c r="H119"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I119" s="5">
        <f ca="1">IFERROR(__xludf.DUMMYFUNCTION("""COMPUTED_VALUE"""),2)</f>
        <v>2</v>
      </c>
      <c r="J119" s="5" t="str">
        <f ca="1">IFERROR(__xludf.DUMMYFUNCTION("""COMPUTED_VALUE"""),"Regional")</f>
        <v>Regional</v>
      </c>
      <c r="K119" s="5">
        <f ca="1">IFERROR(__xludf.DUMMYFUNCTION("""COMPUTED_VALUE"""),4)</f>
        <v>4</v>
      </c>
      <c r="L119" s="5" t="str">
        <f ca="1">IFERROR(__xludf.DUMMYFUNCTION("""COMPUTED_VALUE"""),"Spring")</f>
        <v>Spring</v>
      </c>
      <c r="M119" s="5" t="str">
        <f ca="1">IFERROR(__xludf.DUMMYFUNCTION("""COMPUTED_VALUE"""),"New Smyrna Beach")</f>
        <v>New Smyrna Beach</v>
      </c>
      <c r="N119" s="5" t="str">
        <f ca="1">IFERROR(__xludf.DUMMYFUNCTION("""COMPUTED_VALUE"""),"FL")</f>
        <v>FL</v>
      </c>
      <c r="O119" s="5" t="str">
        <f ca="1">IFERROR(__xludf.DUMMYFUNCTION("""COMPUTED_VALUE"""),"High")</f>
        <v>High</v>
      </c>
      <c r="P119" s="5" t="str">
        <f ca="1">IFERROR(__xludf.DUMMYFUNCTION("""COMPUTED_VALUE"""),"Parking Lot")</f>
        <v>Parking Lot</v>
      </c>
      <c r="Q119" s="5" t="str">
        <f ca="1">IFERROR(__xludf.DUMMYFUNCTION("""COMPUTED_VALUE"""),"Outside on School Property")</f>
        <v>Outside on School Property</v>
      </c>
      <c r="R119" s="5" t="str">
        <f ca="1">IFERROR(__xludf.DUMMYFUNCTION("""COMPUTED_VALUE"""),"Yes")</f>
        <v>Yes</v>
      </c>
      <c r="S119" s="5" t="str">
        <f ca="1">IFERROR(__xludf.DUMMYFUNCTION("""COMPUTED_VALUE"""),"Dismissal")</f>
        <v>Dismissal</v>
      </c>
      <c r="T119" s="10">
        <f ca="1">IFERROR(__xludf.DUMMYFUNCTION("""COMPUTED_VALUE"""),0.638888888888888)</f>
        <v>0.63888888888888795</v>
      </c>
      <c r="U119" s="5">
        <f ca="1">IFERROR(__xludf.DUMMYFUNCTION("""COMPUTED_VALUE"""),1)</f>
        <v>1</v>
      </c>
      <c r="V119" s="5" t="str">
        <f ca="1">IFERROR(__xludf.DUMMYFUNCTION("""COMPUTED_VALUE"""),"Student shot school employee multiple times in the face with pellet gun")</f>
        <v>Student shot school employee multiple times in the face with pellet gun</v>
      </c>
      <c r="W119"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X119" s="5" t="str">
        <f ca="1">IFERROR(__xludf.DUMMYFUNCTION("""COMPUTED_VALUE"""),"Drive-by Shooting")</f>
        <v>Drive-by Shooting</v>
      </c>
      <c r="Y119" s="5" t="str">
        <f ca="1">IFERROR(__xludf.DUMMYFUNCTION("""COMPUTED_VALUE"""),"Victims Targeted")</f>
        <v>Victims Targeted</v>
      </c>
      <c r="Z119" s="5" t="str">
        <f ca="1">IFERROR(__xludf.DUMMYFUNCTION("""COMPUTED_VALUE"""),"No")</f>
        <v>No</v>
      </c>
      <c r="AA119" s="5"/>
      <c r="AB119" s="5" t="str">
        <f ca="1">IFERROR(__xludf.DUMMYFUNCTION("""COMPUTED_VALUE"""),"No")</f>
        <v>No</v>
      </c>
      <c r="AC119" s="5" t="str">
        <f ca="1">IFERROR(__xludf.DUMMYFUNCTION("""COMPUTED_VALUE"""),"No")</f>
        <v>No</v>
      </c>
      <c r="AD119" s="5" t="str">
        <f ca="1">IFERROR(__xludf.DUMMYFUNCTION("""COMPUTED_VALUE"""),"No")</f>
        <v>No</v>
      </c>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row>
    <row r="120" spans="1:34" ht="12.75">
      <c r="A120" s="5" t="str">
        <f ca="1">IFERROR(__xludf.DUMMYFUNCTION("""COMPUTED_VALUE"""),"20220321MSLEP")</f>
        <v>20220321MSLEP</v>
      </c>
      <c r="B120" s="8">
        <f ca="1">IFERROR(__xludf.DUMMYFUNCTION("""COMPUTED_VALUE"""),44641)</f>
        <v>44641</v>
      </c>
      <c r="C120" s="5" t="str">
        <f ca="1">IFERROR(__xludf.DUMMYFUNCTION("""COMPUTED_VALUE"""),"Leap of Faith Middle School")</f>
        <v>Leap of Faith Middle School</v>
      </c>
      <c r="D120" s="5">
        <f ca="1">IFERROR(__xludf.DUMMYFUNCTION("""COMPUTED_VALUE"""),0)</f>
        <v>0</v>
      </c>
      <c r="E120" s="5">
        <f ca="1">IFERROR(__xludf.DUMMYFUNCTION("""COMPUTED_VALUE"""),0)</f>
        <v>0</v>
      </c>
      <c r="F120" s="5">
        <f ca="1">IFERROR(__xludf.DUMMYFUNCTION("""COMPUTED_VALUE"""),0)</f>
        <v>0</v>
      </c>
      <c r="G120" s="5">
        <f ca="1">IFERROR(__xludf.DUMMYFUNCTION("""COMPUTED_VALUE"""),0)</f>
        <v>0</v>
      </c>
      <c r="H120"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I120" s="5">
        <f ca="1">IFERROR(__xludf.DUMMYFUNCTION("""COMPUTED_VALUE"""),5)</f>
        <v>5</v>
      </c>
      <c r="J120" s="5" t="str">
        <f ca="1">IFERROR(__xludf.DUMMYFUNCTION("""COMPUTED_VALUE"""),"Local")</f>
        <v>Local</v>
      </c>
      <c r="K120" s="5">
        <f ca="1">IFERROR(__xludf.DUMMYFUNCTION("""COMPUTED_VALUE"""),4)</f>
        <v>4</v>
      </c>
      <c r="L120" s="5" t="str">
        <f ca="1">IFERROR(__xludf.DUMMYFUNCTION("""COMPUTED_VALUE"""),"Spring")</f>
        <v>Spring</v>
      </c>
      <c r="M120" s="5" t="str">
        <f ca="1">IFERROR(__xludf.DUMMYFUNCTION("""COMPUTED_VALUE"""),"Pascagoula")</f>
        <v>Pascagoula</v>
      </c>
      <c r="N120" s="5" t="str">
        <f ca="1">IFERROR(__xludf.DUMMYFUNCTION("""COMPUTED_VALUE"""),"MS")</f>
        <v>MS</v>
      </c>
      <c r="O120" s="5" t="str">
        <f ca="1">IFERROR(__xludf.DUMMYFUNCTION("""COMPUTED_VALUE"""),"Middle")</f>
        <v>Middle</v>
      </c>
      <c r="P120" s="5" t="str">
        <f ca="1">IFERROR(__xludf.DUMMYFUNCTION("""COMPUTED_VALUE"""),"Inside School Building")</f>
        <v>Inside School Building</v>
      </c>
      <c r="Q120" s="5" t="str">
        <f ca="1">IFERROR(__xludf.DUMMYFUNCTION("""COMPUTED_VALUE"""),"Both Inside/Outside")</f>
        <v>Both Inside/Outside</v>
      </c>
      <c r="R120" s="5" t="str">
        <f ca="1">IFERROR(__xludf.DUMMYFUNCTION("""COMPUTED_VALUE"""),"Yes")</f>
        <v>Yes</v>
      </c>
      <c r="S120" s="5" t="str">
        <f ca="1">IFERROR(__xludf.DUMMYFUNCTION("""COMPUTED_VALUE"""),"Afternoon Classes")</f>
        <v>Afternoon Classes</v>
      </c>
      <c r="T120" s="10">
        <f ca="1">IFERROR(__xludf.DUMMYFUNCTION("""COMPUTED_VALUE"""),0.541666666666666)</f>
        <v>0.54166666666666596</v>
      </c>
      <c r="U120" s="5">
        <f ca="1">IFERROR(__xludf.DUMMYFUNCTION("""COMPUTED_VALUE"""),1)</f>
        <v>1</v>
      </c>
      <c r="V120" s="5" t="str">
        <f ca="1">IFERROR(__xludf.DUMMYFUNCTION("""COMPUTED_VALUE"""),"Shots fired outside school, gunman broken into school building fleeing police")</f>
        <v>Shots fired outside school, gunman broken into school building fleeing police</v>
      </c>
      <c r="W120"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X120" s="5" t="str">
        <f ca="1">IFERROR(__xludf.DUMMYFUNCTION("""COMPUTED_VALUE"""),"Illegal Activity")</f>
        <v>Illegal Activity</v>
      </c>
      <c r="Y120" s="5" t="str">
        <f ca="1">IFERROR(__xludf.DUMMYFUNCTION("""COMPUTED_VALUE"""),"Victims Targeted")</f>
        <v>Victims Targeted</v>
      </c>
      <c r="Z120" s="5" t="str">
        <f ca="1">IFERROR(__xludf.DUMMYFUNCTION("""COMPUTED_VALUE"""),"Yes")</f>
        <v>Yes</v>
      </c>
      <c r="AA120" s="5" t="str">
        <f ca="1">IFERROR(__xludf.DUMMYFUNCTION("""COMPUTED_VALUE"""),"Multiple men arrested")</f>
        <v>Multiple men arrested</v>
      </c>
      <c r="AB120" s="5" t="str">
        <f ca="1">IFERROR(__xludf.DUMMYFUNCTION("""COMPUTED_VALUE"""),"No")</f>
        <v>No</v>
      </c>
      <c r="AC120" s="5" t="str">
        <f ca="1">IFERROR(__xludf.DUMMYFUNCTION("""COMPUTED_VALUE"""),"No")</f>
        <v>No</v>
      </c>
      <c r="AD120" s="5" t="str">
        <f ca="1">IFERROR(__xludf.DUMMYFUNCTION("""COMPUTED_VALUE"""),"No")</f>
        <v>No</v>
      </c>
      <c r="AE120" s="5" t="str">
        <f ca="1">IFERROR(__xludf.DUMMYFUNCTION("""COMPUTED_VALUE"""),"No")</f>
        <v>No</v>
      </c>
      <c r="AF120" s="5" t="str">
        <f ca="1">IFERROR(__xludf.DUMMYFUNCTION("""COMPUTED_VALUE"""),"No")</f>
        <v>No</v>
      </c>
      <c r="AG120" s="5"/>
      <c r="AH120" s="5" t="str">
        <f ca="1">IFERROR(__xludf.DUMMYFUNCTION("""COMPUTED_VALUE"""),"No")</f>
        <v>No</v>
      </c>
    </row>
    <row r="121" spans="1:34" ht="12.75">
      <c r="A121" s="5" t="str">
        <f ca="1">IFERROR(__xludf.DUMMYFUNCTION("""COMPUTED_VALUE"""),"20220321MIMAK")</f>
        <v>20220321MIMAK</v>
      </c>
      <c r="B121" s="8">
        <f ca="1">IFERROR(__xludf.DUMMYFUNCTION("""COMPUTED_VALUE"""),44641)</f>
        <v>44641</v>
      </c>
      <c r="C121" s="5" t="str">
        <f ca="1">IFERROR(__xludf.DUMMYFUNCTION("""COMPUTED_VALUE"""),"Mahone Middle School")</f>
        <v>Mahone Middle School</v>
      </c>
      <c r="D121" s="5">
        <f ca="1">IFERROR(__xludf.DUMMYFUNCTION("""COMPUTED_VALUE"""),0)</f>
        <v>0</v>
      </c>
      <c r="E121" s="5">
        <f ca="1">IFERROR(__xludf.DUMMYFUNCTION("""COMPUTED_VALUE"""),0)</f>
        <v>0</v>
      </c>
      <c r="F121" s="5">
        <f ca="1">IFERROR(__xludf.DUMMYFUNCTION("""COMPUTED_VALUE"""),0)</f>
        <v>0</v>
      </c>
      <c r="G121" s="5">
        <f ca="1">IFERROR(__xludf.DUMMYFUNCTION("""COMPUTED_VALUE"""),0)</f>
        <v>0</v>
      </c>
      <c r="H121"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I121" s="5">
        <f ca="1">IFERROR(__xludf.DUMMYFUNCTION("""COMPUTED_VALUE"""),10)</f>
        <v>10</v>
      </c>
      <c r="J121" s="5" t="str">
        <f ca="1">IFERROR(__xludf.DUMMYFUNCTION("""COMPUTED_VALUE"""),"Local")</f>
        <v>Local</v>
      </c>
      <c r="K121" s="5">
        <f ca="1">IFERROR(__xludf.DUMMYFUNCTION("""COMPUTED_VALUE"""),4)</f>
        <v>4</v>
      </c>
      <c r="L121" s="5" t="str">
        <f ca="1">IFERROR(__xludf.DUMMYFUNCTION("""COMPUTED_VALUE"""),"Spring")</f>
        <v>Spring</v>
      </c>
      <c r="M121" s="5" t="str">
        <f ca="1">IFERROR(__xludf.DUMMYFUNCTION("""COMPUTED_VALUE"""),"Kenosha")</f>
        <v>Kenosha</v>
      </c>
      <c r="N121" s="5" t="str">
        <f ca="1">IFERROR(__xludf.DUMMYFUNCTION("""COMPUTED_VALUE"""),"WI")</f>
        <v>WI</v>
      </c>
      <c r="O121" s="5" t="str">
        <f ca="1">IFERROR(__xludf.DUMMYFUNCTION("""COMPUTED_VALUE"""),"Middle")</f>
        <v>Middle</v>
      </c>
      <c r="P121" s="5" t="str">
        <f ca="1">IFERROR(__xludf.DUMMYFUNCTION("""COMPUTED_VALUE"""),"Parking Lot")</f>
        <v>Parking Lot</v>
      </c>
      <c r="Q121" s="5" t="str">
        <f ca="1">IFERROR(__xludf.DUMMYFUNCTION("""COMPUTED_VALUE"""),"Outside on School Property")</f>
        <v>Outside on School Property</v>
      </c>
      <c r="R121" s="5" t="str">
        <f ca="1">IFERROR(__xludf.DUMMYFUNCTION("""COMPUTED_VALUE"""),"Yes")</f>
        <v>Yes</v>
      </c>
      <c r="S121" s="5" t="str">
        <f ca="1">IFERROR(__xludf.DUMMYFUNCTION("""COMPUTED_VALUE"""),"Dismissal")</f>
        <v>Dismissal</v>
      </c>
      <c r="T121" s="10">
        <f ca="1">IFERROR(__xludf.DUMMYFUNCTION("""COMPUTED_VALUE"""),0.142361111111111)</f>
        <v>0.14236111111111099</v>
      </c>
      <c r="U121" s="5">
        <f ca="1">IFERROR(__xludf.DUMMYFUNCTION("""COMPUTED_VALUE"""),1)</f>
        <v>1</v>
      </c>
      <c r="V121" s="5" t="str">
        <f ca="1">IFERROR(__xludf.DUMMYFUNCTION("""COMPUTED_VALUE"""),"Parent pointed a gun and threatened another parent in the pick-up line")</f>
        <v>Parent pointed a gun and threatened another parent in the pick-up line</v>
      </c>
      <c r="W121"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X121" s="5" t="str">
        <f ca="1">IFERROR(__xludf.DUMMYFUNCTION("""COMPUTED_VALUE"""),"Escalation of Dispute")</f>
        <v>Escalation of Dispute</v>
      </c>
      <c r="Y121" s="5" t="str">
        <f ca="1">IFERROR(__xludf.DUMMYFUNCTION("""COMPUTED_VALUE"""),"Victims Targeted")</f>
        <v>Victims Targeted</v>
      </c>
      <c r="Z121" s="5" t="str">
        <f ca="1">IFERROR(__xludf.DUMMYFUNCTION("""COMPUTED_VALUE"""),"No")</f>
        <v>No</v>
      </c>
      <c r="AA121" s="5"/>
      <c r="AB121" s="5" t="str">
        <f ca="1">IFERROR(__xludf.DUMMYFUNCTION("""COMPUTED_VALUE"""),"No")</f>
        <v>No</v>
      </c>
      <c r="AC121" s="5" t="str">
        <f ca="1">IFERROR(__xludf.DUMMYFUNCTION("""COMPUTED_VALUE"""),"No")</f>
        <v>No</v>
      </c>
      <c r="AD121" s="5" t="str">
        <f ca="1">IFERROR(__xludf.DUMMYFUNCTION("""COMPUTED_VALUE"""),"No")</f>
        <v>No</v>
      </c>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row>
    <row r="122" spans="1:34" ht="12.75">
      <c r="A122" s="5" t="str">
        <f ca="1">IFERROR(__xludf.DUMMYFUNCTION("""COMPUTED_VALUE"""),"20220321AZDES")</f>
        <v>20220321AZDES</v>
      </c>
      <c r="B122" s="8">
        <f ca="1">IFERROR(__xludf.DUMMYFUNCTION("""COMPUTED_VALUE"""),44641)</f>
        <v>44641</v>
      </c>
      <c r="C122" s="5" t="str">
        <f ca="1">IFERROR(__xludf.DUMMYFUNCTION("""COMPUTED_VALUE"""),"Desert Canyon Middle School")</f>
        <v>Desert Canyon Middle School</v>
      </c>
      <c r="D122" s="5">
        <f ca="1">IFERROR(__xludf.DUMMYFUNCTION("""COMPUTED_VALUE"""),0)</f>
        <v>0</v>
      </c>
      <c r="E122" s="5">
        <f ca="1">IFERROR(__xludf.DUMMYFUNCTION("""COMPUTED_VALUE"""),0)</f>
        <v>0</v>
      </c>
      <c r="F122" s="5">
        <f ca="1">IFERROR(__xludf.DUMMYFUNCTION("""COMPUTED_VALUE"""),0)</f>
        <v>0</v>
      </c>
      <c r="G122" s="5">
        <f ca="1">IFERROR(__xludf.DUMMYFUNCTION("""COMPUTED_VALUE"""),0)</f>
        <v>0</v>
      </c>
      <c r="H122"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I122" s="5">
        <f ca="1">IFERROR(__xludf.DUMMYFUNCTION("""COMPUTED_VALUE"""),2)</f>
        <v>2</v>
      </c>
      <c r="J122" s="5" t="str">
        <f ca="1">IFERROR(__xludf.DUMMYFUNCTION("""COMPUTED_VALUE"""),"Local")</f>
        <v>Local</v>
      </c>
      <c r="K122" s="5">
        <f ca="1">IFERROR(__xludf.DUMMYFUNCTION("""COMPUTED_VALUE"""),4)</f>
        <v>4</v>
      </c>
      <c r="L122" s="5" t="str">
        <f ca="1">IFERROR(__xludf.DUMMYFUNCTION("""COMPUTED_VALUE"""),"Spring")</f>
        <v>Spring</v>
      </c>
      <c r="M122" s="5" t="str">
        <f ca="1">IFERROR(__xludf.DUMMYFUNCTION("""COMPUTED_VALUE"""),"Scottsdale")</f>
        <v>Scottsdale</v>
      </c>
      <c r="N122" s="5" t="str">
        <f ca="1">IFERROR(__xludf.DUMMYFUNCTION("""COMPUTED_VALUE"""),"AZ")</f>
        <v>AZ</v>
      </c>
      <c r="O122" s="5" t="str">
        <f ca="1">IFERROR(__xludf.DUMMYFUNCTION("""COMPUTED_VALUE"""),"Middle")</f>
        <v>Middle</v>
      </c>
      <c r="P122" s="5" t="str">
        <f ca="1">IFERROR(__xludf.DUMMYFUNCTION("""COMPUTED_VALUE"""),"Outside on School Property")</f>
        <v>Outside on School Property</v>
      </c>
      <c r="Q122" s="5" t="str">
        <f ca="1">IFERROR(__xludf.DUMMYFUNCTION("""COMPUTED_VALUE"""),"Outside on School Property")</f>
        <v>Outside on School Property</v>
      </c>
      <c r="R122" s="5" t="str">
        <f ca="1">IFERROR(__xludf.DUMMYFUNCTION("""COMPUTED_VALUE"""),"Yes")</f>
        <v>Yes</v>
      </c>
      <c r="S122" s="5" t="str">
        <f ca="1">IFERROR(__xludf.DUMMYFUNCTION("""COMPUTED_VALUE"""),"Morning Classes")</f>
        <v>Morning Classes</v>
      </c>
      <c r="T122" s="10">
        <f ca="1">IFERROR(__xludf.DUMMYFUNCTION("""COMPUTED_VALUE"""),0.46875)</f>
        <v>0.46875</v>
      </c>
      <c r="U122" s="5">
        <f ca="1">IFERROR(__xludf.DUMMYFUNCTION("""COMPUTED_VALUE"""),1)</f>
        <v>1</v>
      </c>
      <c r="V122" s="5" t="str">
        <f ca="1">IFERROR(__xludf.DUMMYFUNCTION("""COMPUTED_VALUE"""),"Man fired shots on soccer field, school went on lockdown")</f>
        <v>Man fired shots on soccer field, school went on lockdown</v>
      </c>
      <c r="W122"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X122" s="5"/>
      <c r="Y122" s="5" t="str">
        <f ca="1">IFERROR(__xludf.DUMMYFUNCTION("""COMPUTED_VALUE"""),"Neither")</f>
        <v>Neither</v>
      </c>
      <c r="Z122" s="5" t="str">
        <f ca="1">IFERROR(__xludf.DUMMYFUNCTION("""COMPUTED_VALUE"""),"No")</f>
        <v>No</v>
      </c>
      <c r="AA122" s="5"/>
      <c r="AB122" s="5" t="str">
        <f ca="1">IFERROR(__xludf.DUMMYFUNCTION("""COMPUTED_VALUE"""),"No")</f>
        <v>No</v>
      </c>
      <c r="AC122" s="5" t="str">
        <f ca="1">IFERROR(__xludf.DUMMYFUNCTION("""COMPUTED_VALUE"""),"No")</f>
        <v>No</v>
      </c>
      <c r="AD122" s="5" t="str">
        <f ca="1">IFERROR(__xludf.DUMMYFUNCTION("""COMPUTED_VALUE"""),"No")</f>
        <v>No</v>
      </c>
      <c r="AE122" s="5" t="str">
        <f ca="1">IFERROR(__xludf.DUMMYFUNCTION("""COMPUTED_VALUE"""),"No")</f>
        <v>No</v>
      </c>
      <c r="AF122" s="5" t="str">
        <f ca="1">IFERROR(__xludf.DUMMYFUNCTION("""COMPUTED_VALUE"""),"No")</f>
        <v>No</v>
      </c>
      <c r="AG122" s="5" t="str">
        <f ca="1">IFERROR(__xludf.DUMMYFUNCTION("""COMPUTED_VALUE"""),"No")</f>
        <v>No</v>
      </c>
      <c r="AH122" s="5" t="str">
        <f ca="1">IFERROR(__xludf.DUMMYFUNCTION("""COMPUTED_VALUE"""),"No")</f>
        <v>No</v>
      </c>
    </row>
    <row r="123" spans="1:34" ht="12.75">
      <c r="A123" s="5" t="str">
        <f ca="1">IFERROR(__xludf.DUMMYFUNCTION("""COMPUTED_VALUE"""),"20220319ALCEL")</f>
        <v>20220319ALCEL</v>
      </c>
      <c r="B123" s="8">
        <f ca="1">IFERROR(__xludf.DUMMYFUNCTION("""COMPUTED_VALUE"""),44639)</f>
        <v>44639</v>
      </c>
      <c r="C123" s="5" t="str">
        <f ca="1">IFERROR(__xludf.DUMMYFUNCTION("""COMPUTED_VALUE"""),"Central Baldwin Middle School")</f>
        <v>Central Baldwin Middle School</v>
      </c>
      <c r="D123" s="5">
        <f ca="1">IFERROR(__xludf.DUMMYFUNCTION("""COMPUTED_VALUE"""),0)</f>
        <v>0</v>
      </c>
      <c r="E123" s="5">
        <f ca="1">IFERROR(__xludf.DUMMYFUNCTION("""COMPUTED_VALUE"""),0)</f>
        <v>0</v>
      </c>
      <c r="F123" s="5">
        <f ca="1">IFERROR(__xludf.DUMMYFUNCTION("""COMPUTED_VALUE"""),0)</f>
        <v>0</v>
      </c>
      <c r="G123" s="5">
        <f ca="1">IFERROR(__xludf.DUMMYFUNCTION("""COMPUTED_VALUE"""),0)</f>
        <v>0</v>
      </c>
      <c r="H123"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I123" s="5">
        <f ca="1">IFERROR(__xludf.DUMMYFUNCTION("""COMPUTED_VALUE"""),5)</f>
        <v>5</v>
      </c>
      <c r="J123" s="5" t="str">
        <f ca="1">IFERROR(__xludf.DUMMYFUNCTION("""COMPUTED_VALUE"""),"Regional")</f>
        <v>Regional</v>
      </c>
      <c r="K123" s="5">
        <f ca="1">IFERROR(__xludf.DUMMYFUNCTION("""COMPUTED_VALUE"""),4)</f>
        <v>4</v>
      </c>
      <c r="L123" s="5" t="str">
        <f ca="1">IFERROR(__xludf.DUMMYFUNCTION("""COMPUTED_VALUE"""),"Spring")</f>
        <v>Spring</v>
      </c>
      <c r="M123" s="5" t="str">
        <f ca="1">IFERROR(__xludf.DUMMYFUNCTION("""COMPUTED_VALUE"""),"Loxley")</f>
        <v>Loxley</v>
      </c>
      <c r="N123" s="5" t="str">
        <f ca="1">IFERROR(__xludf.DUMMYFUNCTION("""COMPUTED_VALUE"""),"AL")</f>
        <v>AL</v>
      </c>
      <c r="O123" s="5" t="str">
        <f ca="1">IFERROR(__xludf.DUMMYFUNCTION("""COMPUTED_VALUE"""),"Middle")</f>
        <v>Middle</v>
      </c>
      <c r="P123" s="5" t="str">
        <f ca="1">IFERROR(__xludf.DUMMYFUNCTION("""COMPUTED_VALUE"""),"Parking Lot")</f>
        <v>Parking Lot</v>
      </c>
      <c r="Q123" s="5" t="str">
        <f ca="1">IFERROR(__xludf.DUMMYFUNCTION("""COMPUTED_VALUE"""),"Outside on School Property")</f>
        <v>Outside on School Property</v>
      </c>
      <c r="R123" s="5" t="str">
        <f ca="1">IFERROR(__xludf.DUMMYFUNCTION("""COMPUTED_VALUE"""),"No")</f>
        <v>No</v>
      </c>
      <c r="S123" s="5" t="str">
        <f ca="1">IFERROR(__xludf.DUMMYFUNCTION("""COMPUTED_VALUE"""),"Not a School Day")</f>
        <v>Not a School Day</v>
      </c>
      <c r="T123" s="10">
        <f ca="1">IFERROR(__xludf.DUMMYFUNCTION("""COMPUTED_VALUE"""),0.576388888888888)</f>
        <v>0.57638888888888795</v>
      </c>
      <c r="U123" s="5">
        <f ca="1">IFERROR(__xludf.DUMMYFUNCTION("""COMPUTED_VALUE"""),1)</f>
        <v>1</v>
      </c>
      <c r="V123" s="5" t="str">
        <f ca="1">IFERROR(__xludf.DUMMYFUNCTION("""COMPUTED_VALUE"""),"Shots fired during robbery in parking lot")</f>
        <v>Shots fired during robbery in parking lot</v>
      </c>
      <c r="W123"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X123" s="5" t="str">
        <f ca="1">IFERROR(__xludf.DUMMYFUNCTION("""COMPUTED_VALUE"""),"Illegal Activity")</f>
        <v>Illegal Activity</v>
      </c>
      <c r="Y123" s="5" t="str">
        <f ca="1">IFERROR(__xludf.DUMMYFUNCTION("""COMPUTED_VALUE"""),"Victims Targeted")</f>
        <v>Victims Targeted</v>
      </c>
      <c r="Z123" s="5" t="str">
        <f ca="1">IFERROR(__xludf.DUMMYFUNCTION("""COMPUTED_VALUE"""),"Yes")</f>
        <v>Yes</v>
      </c>
      <c r="AA123" s="5"/>
      <c r="AB123" s="5" t="str">
        <f ca="1">IFERROR(__xludf.DUMMYFUNCTION("""COMPUTED_VALUE"""),"No")</f>
        <v>No</v>
      </c>
      <c r="AC123" s="5" t="str">
        <f ca="1">IFERROR(__xludf.DUMMYFUNCTION("""COMPUTED_VALUE"""),"No")</f>
        <v>No</v>
      </c>
      <c r="AD123" s="5" t="str">
        <f ca="1">IFERROR(__xludf.DUMMYFUNCTION("""COMPUTED_VALUE"""),"No")</f>
        <v>No</v>
      </c>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row>
    <row r="124" spans="1:34" ht="12.75">
      <c r="A124" s="5" t="str">
        <f ca="1">IFERROR(__xludf.DUMMYFUNCTION("""COMPUTED_VALUE"""),"20220318RICEP")</f>
        <v>20220318RICEP</v>
      </c>
      <c r="B124" s="8">
        <f ca="1">IFERROR(__xludf.DUMMYFUNCTION("""COMPUTED_VALUE"""),44638)</f>
        <v>44638</v>
      </c>
      <c r="C124" s="5" t="str">
        <f ca="1">IFERROR(__xludf.DUMMYFUNCTION("""COMPUTED_VALUE"""),"Central High School")</f>
        <v>Central High School</v>
      </c>
      <c r="D124" s="5">
        <f ca="1">IFERROR(__xludf.DUMMYFUNCTION("""COMPUTED_VALUE"""),0)</f>
        <v>0</v>
      </c>
      <c r="E124" s="5">
        <f ca="1">IFERROR(__xludf.DUMMYFUNCTION("""COMPUTED_VALUE"""),0)</f>
        <v>0</v>
      </c>
      <c r="F124" s="5">
        <f ca="1">IFERROR(__xludf.DUMMYFUNCTION("""COMPUTED_VALUE"""),0)</f>
        <v>0</v>
      </c>
      <c r="G124" s="5">
        <f ca="1">IFERROR(__xludf.DUMMYFUNCTION("""COMPUTED_VALUE"""),0)</f>
        <v>0</v>
      </c>
      <c r="H124"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I124" s="5">
        <f ca="1">IFERROR(__xludf.DUMMYFUNCTION("""COMPUTED_VALUE"""),5)</f>
        <v>5</v>
      </c>
      <c r="J124" s="5" t="str">
        <f ca="1">IFERROR(__xludf.DUMMYFUNCTION("""COMPUTED_VALUE"""),"Local")</f>
        <v>Local</v>
      </c>
      <c r="K124" s="5">
        <f ca="1">IFERROR(__xludf.DUMMYFUNCTION("""COMPUTED_VALUE"""),4)</f>
        <v>4</v>
      </c>
      <c r="L124" s="5" t="str">
        <f ca="1">IFERROR(__xludf.DUMMYFUNCTION("""COMPUTED_VALUE"""),"Spring")</f>
        <v>Spring</v>
      </c>
      <c r="M124" s="5" t="str">
        <f ca="1">IFERROR(__xludf.DUMMYFUNCTION("""COMPUTED_VALUE"""),"Providence")</f>
        <v>Providence</v>
      </c>
      <c r="N124" s="5" t="str">
        <f ca="1">IFERROR(__xludf.DUMMYFUNCTION("""COMPUTED_VALUE"""),"RI")</f>
        <v>RI</v>
      </c>
      <c r="O124" s="5" t="str">
        <f ca="1">IFERROR(__xludf.DUMMYFUNCTION("""COMPUTED_VALUE"""),"High")</f>
        <v>High</v>
      </c>
      <c r="P124" s="5" t="str">
        <f ca="1">IFERROR(__xludf.DUMMYFUNCTION("""COMPUTED_VALUE"""),"Parking Lot")</f>
        <v>Parking Lot</v>
      </c>
      <c r="Q124" s="5" t="str">
        <f ca="1">IFERROR(__xludf.DUMMYFUNCTION("""COMPUTED_VALUE"""),"Outside on School Property")</f>
        <v>Outside on School Property</v>
      </c>
      <c r="R124" s="5" t="str">
        <f ca="1">IFERROR(__xludf.DUMMYFUNCTION("""COMPUTED_VALUE"""),"Yes")</f>
        <v>Yes</v>
      </c>
      <c r="S124" s="5" t="str">
        <f ca="1">IFERROR(__xludf.DUMMYFUNCTION("""COMPUTED_VALUE"""),"Dismissal")</f>
        <v>Dismissal</v>
      </c>
      <c r="T124" s="10">
        <f ca="1">IFERROR(__xludf.DUMMYFUNCTION("""COMPUTED_VALUE"""),0.618055555555555)</f>
        <v>0.61805555555555503</v>
      </c>
      <c r="U124" s="5">
        <f ca="1">IFERROR(__xludf.DUMMYFUNCTION("""COMPUTED_VALUE"""),1)</f>
        <v>1</v>
      </c>
      <c r="V124" s="5" t="str">
        <f ca="1">IFERROR(__xludf.DUMMYFUNCTION("""COMPUTED_VALUE"""),"Students fired pellet gun in parking lot, dragged staff member with vehicle")</f>
        <v>Students fired pellet gun in parking lot, dragged staff member with vehicle</v>
      </c>
      <c r="W124"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X124" s="5" t="str">
        <f ca="1">IFERROR(__xludf.DUMMYFUNCTION("""COMPUTED_VALUE"""),"Drive-by Shooting")</f>
        <v>Drive-by Shooting</v>
      </c>
      <c r="Y124" s="5" t="str">
        <f ca="1">IFERROR(__xludf.DUMMYFUNCTION("""COMPUTED_VALUE"""),"Random Shooting")</f>
        <v>Random Shooting</v>
      </c>
      <c r="Z124" s="5" t="str">
        <f ca="1">IFERROR(__xludf.DUMMYFUNCTION("""COMPUTED_VALUE"""),"Yes")</f>
        <v>Yes</v>
      </c>
      <c r="AA124" s="5" t="str">
        <f ca="1">IFERROR(__xludf.DUMMYFUNCTION("""COMPUTED_VALUE"""),"Driver and shooter")</f>
        <v>Driver and shooter</v>
      </c>
      <c r="AB124" s="5" t="str">
        <f ca="1">IFERROR(__xludf.DUMMYFUNCTION("""COMPUTED_VALUE"""),"No")</f>
        <v>No</v>
      </c>
      <c r="AC124" s="5" t="str">
        <f ca="1">IFERROR(__xludf.DUMMYFUNCTION("""COMPUTED_VALUE"""),"No")</f>
        <v>No</v>
      </c>
      <c r="AD124" s="5" t="str">
        <f ca="1">IFERROR(__xludf.DUMMYFUNCTION("""COMPUTED_VALUE"""),"No")</f>
        <v>No</v>
      </c>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row>
    <row r="125" spans="1:34" ht="12.75">
      <c r="A125" s="5" t="str">
        <f ca="1">IFERROR(__xludf.DUMMYFUNCTION("""COMPUTED_VALUE"""),"20220318ILBAB")</f>
        <v>20220318ILBAB</v>
      </c>
      <c r="B125" s="8">
        <f ca="1">IFERROR(__xludf.DUMMYFUNCTION("""COMPUTED_VALUE"""),44638)</f>
        <v>44638</v>
      </c>
      <c r="C125" s="5" t="str">
        <f ca="1">IFERROR(__xludf.DUMMYFUNCTION("""COMPUTED_VALUE"""),"Barrington High School")</f>
        <v>Barrington High School</v>
      </c>
      <c r="D125" s="5">
        <f ca="1">IFERROR(__xludf.DUMMYFUNCTION("""COMPUTED_VALUE"""),0)</f>
        <v>0</v>
      </c>
      <c r="E125" s="5">
        <f ca="1">IFERROR(__xludf.DUMMYFUNCTION("""COMPUTED_VALUE"""),0)</f>
        <v>0</v>
      </c>
      <c r="F125" s="5">
        <f ca="1">IFERROR(__xludf.DUMMYFUNCTION("""COMPUTED_VALUE"""),0)</f>
        <v>0</v>
      </c>
      <c r="G125" s="5">
        <f ca="1">IFERROR(__xludf.DUMMYFUNCTION("""COMPUTED_VALUE"""),0)</f>
        <v>0</v>
      </c>
      <c r="H125"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I125" s="5">
        <f ca="1">IFERROR(__xludf.DUMMYFUNCTION("""COMPUTED_VALUE"""),1)</f>
        <v>1</v>
      </c>
      <c r="J125" s="5" t="str">
        <f ca="1">IFERROR(__xludf.DUMMYFUNCTION("""COMPUTED_VALUE"""),"Regional")</f>
        <v>Regional</v>
      </c>
      <c r="K125" s="5">
        <f ca="1">IFERROR(__xludf.DUMMYFUNCTION("""COMPUTED_VALUE"""),4)</f>
        <v>4</v>
      </c>
      <c r="L125" s="5" t="str">
        <f ca="1">IFERROR(__xludf.DUMMYFUNCTION("""COMPUTED_VALUE"""),"Spring")</f>
        <v>Spring</v>
      </c>
      <c r="M125" s="5" t="str">
        <f ca="1">IFERROR(__xludf.DUMMYFUNCTION("""COMPUTED_VALUE"""),"Barrington")</f>
        <v>Barrington</v>
      </c>
      <c r="N125" s="5" t="str">
        <f ca="1">IFERROR(__xludf.DUMMYFUNCTION("""COMPUTED_VALUE"""),"IL")</f>
        <v>IL</v>
      </c>
      <c r="O125" s="5" t="str">
        <f ca="1">IFERROR(__xludf.DUMMYFUNCTION("""COMPUTED_VALUE"""),"High")</f>
        <v>High</v>
      </c>
      <c r="P125" s="5" t="str">
        <f ca="1">IFERROR(__xludf.DUMMYFUNCTION("""COMPUTED_VALUE"""),"Front of School")</f>
        <v>Front of School</v>
      </c>
      <c r="Q125" s="5" t="str">
        <f ca="1">IFERROR(__xludf.DUMMYFUNCTION("""COMPUTED_VALUE"""),"Both Inside/Outside")</f>
        <v>Both Inside/Outside</v>
      </c>
      <c r="R125" s="5" t="str">
        <f ca="1">IFERROR(__xludf.DUMMYFUNCTION("""COMPUTED_VALUE"""),"Yes")</f>
        <v>Yes</v>
      </c>
      <c r="S125" s="5" t="str">
        <f ca="1">IFERROR(__xludf.DUMMYFUNCTION("""COMPUTED_VALUE"""),"School Start")</f>
        <v>School Start</v>
      </c>
      <c r="T125" s="10">
        <f ca="1">IFERROR(__xludf.DUMMYFUNCTION("""COMPUTED_VALUE"""),0.333333333333333)</f>
        <v>0.33333333333333298</v>
      </c>
      <c r="U125" s="5">
        <f ca="1">IFERROR(__xludf.DUMMYFUNCTION("""COMPUTED_VALUE"""),1)</f>
        <v>1</v>
      </c>
      <c r="V125" s="5" t="str">
        <f ca="1">IFERROR(__xludf.DUMMYFUNCTION("""COMPUTED_VALUE"""),"Two teens shot with pellet guns walking into school")</f>
        <v>Two teens shot with pellet guns walking into school</v>
      </c>
      <c r="W125"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X125" s="5" t="str">
        <f ca="1">IFERROR(__xludf.DUMMYFUNCTION("""COMPUTED_VALUE"""),"Drive-by Shooting")</f>
        <v>Drive-by Shooting</v>
      </c>
      <c r="Y125" s="5" t="str">
        <f ca="1">IFERROR(__xludf.DUMMYFUNCTION("""COMPUTED_VALUE"""),"Victims Targeted")</f>
        <v>Victims Targeted</v>
      </c>
      <c r="Z125" s="5" t="str">
        <f ca="1">IFERROR(__xludf.DUMMYFUNCTION("""COMPUTED_VALUE"""),"Yes")</f>
        <v>Yes</v>
      </c>
      <c r="AA125" s="5"/>
      <c r="AB125" s="5" t="str">
        <f ca="1">IFERROR(__xludf.DUMMYFUNCTION("""COMPUTED_VALUE"""),"No")</f>
        <v>No</v>
      </c>
      <c r="AC125" s="5" t="str">
        <f ca="1">IFERROR(__xludf.DUMMYFUNCTION("""COMPUTED_VALUE"""),"No")</f>
        <v>No</v>
      </c>
      <c r="AD125" s="5" t="str">
        <f ca="1">IFERROR(__xludf.DUMMYFUNCTION("""COMPUTED_VALUE"""),"No")</f>
        <v>No</v>
      </c>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row>
    <row r="126" spans="1:34" ht="12.75">
      <c r="A126" s="5" t="str">
        <f ca="1">IFERROR(__xludf.DUMMYFUNCTION("""COMPUTED_VALUE"""),"20220311OHMAM")</f>
        <v>20220311OHMAM</v>
      </c>
      <c r="B126" s="8">
        <f ca="1">IFERROR(__xludf.DUMMYFUNCTION("""COMPUTED_VALUE"""),44638)</f>
        <v>44638</v>
      </c>
      <c r="C126" s="5" t="str">
        <f ca="1">IFERROR(__xludf.DUMMYFUNCTION("""COMPUTED_VALUE"""),"Madison High School")</f>
        <v>Madison High School</v>
      </c>
      <c r="D126" s="5">
        <f ca="1">IFERROR(__xludf.DUMMYFUNCTION("""COMPUTED_VALUE"""),0)</f>
        <v>0</v>
      </c>
      <c r="E126" s="5">
        <f ca="1">IFERROR(__xludf.DUMMYFUNCTION("""COMPUTED_VALUE"""),0)</f>
        <v>0</v>
      </c>
      <c r="F126" s="5">
        <f ca="1">IFERROR(__xludf.DUMMYFUNCTION("""COMPUTED_VALUE"""),0)</f>
        <v>0</v>
      </c>
      <c r="G126" s="5">
        <f ca="1">IFERROR(__xludf.DUMMYFUNCTION("""COMPUTED_VALUE"""),0)</f>
        <v>0</v>
      </c>
      <c r="H126"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I126" s="5">
        <f ca="1">IFERROR(__xludf.DUMMYFUNCTION("""COMPUTED_VALUE"""),10)</f>
        <v>10</v>
      </c>
      <c r="J126" s="5" t="str">
        <f ca="1">IFERROR(__xludf.DUMMYFUNCTION("""COMPUTED_VALUE"""),"Regional")</f>
        <v>Regional</v>
      </c>
      <c r="K126" s="5">
        <f ca="1">IFERROR(__xludf.DUMMYFUNCTION("""COMPUTED_VALUE"""),4)</f>
        <v>4</v>
      </c>
      <c r="L126" s="5" t="str">
        <f ca="1">IFERROR(__xludf.DUMMYFUNCTION("""COMPUTED_VALUE"""),"Spring")</f>
        <v>Spring</v>
      </c>
      <c r="M126" s="5" t="str">
        <f ca="1">IFERROR(__xludf.DUMMYFUNCTION("""COMPUTED_VALUE"""),"Mansfield")</f>
        <v>Mansfield</v>
      </c>
      <c r="N126" s="5" t="str">
        <f ca="1">IFERROR(__xludf.DUMMYFUNCTION("""COMPUTED_VALUE"""),"OH")</f>
        <v>OH</v>
      </c>
      <c r="O126" s="5" t="str">
        <f ca="1">IFERROR(__xludf.DUMMYFUNCTION("""COMPUTED_VALUE"""),"High")</f>
        <v>High</v>
      </c>
      <c r="P126" s="5" t="str">
        <f ca="1">IFERROR(__xludf.DUMMYFUNCTION("""COMPUTED_VALUE"""),"School Bus")</f>
        <v>School Bus</v>
      </c>
      <c r="Q126" s="5" t="str">
        <f ca="1">IFERROR(__xludf.DUMMYFUNCTION("""COMPUTED_VALUE"""),"School Bus")</f>
        <v>School Bus</v>
      </c>
      <c r="R126" s="5" t="str">
        <f ca="1">IFERROR(__xludf.DUMMYFUNCTION("""COMPUTED_VALUE"""),"Yes")</f>
        <v>Yes</v>
      </c>
      <c r="S126" s="5" t="str">
        <f ca="1">IFERROR(__xludf.DUMMYFUNCTION("""COMPUTED_VALUE"""),"Morning Classes")</f>
        <v>Morning Classes</v>
      </c>
      <c r="T126" s="10">
        <f ca="1">IFERROR(__xludf.DUMMYFUNCTION("""COMPUTED_VALUE"""),0.416666666666666)</f>
        <v>0.41666666666666602</v>
      </c>
      <c r="U126" s="5">
        <f ca="1">IFERROR(__xludf.DUMMYFUNCTION("""COMPUTED_VALUE"""),1)</f>
        <v>1</v>
      </c>
      <c r="V126" s="5" t="str">
        <f ca="1">IFERROR(__xludf.DUMMYFUNCTION("""COMPUTED_VALUE"""),"School van with coach and 4 students was struck by a bullet while driving")</f>
        <v>School van with coach and 4 students was struck by a bullet while driving</v>
      </c>
      <c r="W126"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X126" s="5" t="str">
        <f ca="1">IFERROR(__xludf.DUMMYFUNCTION("""COMPUTED_VALUE"""),"Indiscriminate Shooting")</f>
        <v>Indiscriminate Shooting</v>
      </c>
      <c r="Y126" s="5" t="str">
        <f ca="1">IFERROR(__xludf.DUMMYFUNCTION("""COMPUTED_VALUE"""),"Random Shooting")</f>
        <v>Random Shooting</v>
      </c>
      <c r="Z126" s="5" t="str">
        <f ca="1">IFERROR(__xludf.DUMMYFUNCTION("""COMPUTED_VALUE"""),"No")</f>
        <v>No</v>
      </c>
      <c r="AA126" s="5"/>
      <c r="AB126" s="5" t="str">
        <f ca="1">IFERROR(__xludf.DUMMYFUNCTION("""COMPUTED_VALUE"""),"No")</f>
        <v>No</v>
      </c>
      <c r="AC126" s="5" t="str">
        <f ca="1">IFERROR(__xludf.DUMMYFUNCTION("""COMPUTED_VALUE"""),"No")</f>
        <v>No</v>
      </c>
      <c r="AD126" s="5" t="str">
        <f ca="1">IFERROR(__xludf.DUMMYFUNCTION("""COMPUTED_VALUE"""),"No")</f>
        <v>No</v>
      </c>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row>
    <row r="127" spans="1:34" ht="12.75">
      <c r="A127" s="5" t="str">
        <f ca="1">IFERROR(__xludf.DUMMYFUNCTION("""COMPUTED_VALUE"""),"20220317AKREW")</f>
        <v>20220317AKREW</v>
      </c>
      <c r="B127" s="8">
        <f ca="1">IFERROR(__xludf.DUMMYFUNCTION("""COMPUTED_VALUE"""),44637)</f>
        <v>44637</v>
      </c>
      <c r="C127" s="5" t="str">
        <f ca="1">IFERROR(__xludf.DUMMYFUNCTION("""COMPUTED_VALUE"""),"Redington Jr/Sr High School")</f>
        <v>Redington Jr/Sr High School</v>
      </c>
      <c r="D127" s="5">
        <f ca="1">IFERROR(__xludf.DUMMYFUNCTION("""COMPUTED_VALUE"""),0)</f>
        <v>0</v>
      </c>
      <c r="E127" s="5">
        <f ca="1">IFERROR(__xludf.DUMMYFUNCTION("""COMPUTED_VALUE"""),0)</f>
        <v>0</v>
      </c>
      <c r="F127" s="5">
        <f ca="1">IFERROR(__xludf.DUMMYFUNCTION("""COMPUTED_VALUE"""),0)</f>
        <v>0</v>
      </c>
      <c r="G127" s="5">
        <f ca="1">IFERROR(__xludf.DUMMYFUNCTION("""COMPUTED_VALUE"""),0)</f>
        <v>0</v>
      </c>
      <c r="H127" s="9" t="str">
        <f ca="1">IFERROR(__xludf.DUMMYFUNCTION("""COMPUTED_VALUE"""),"https://www.alaskasnewssource.com/2022/03/18/charges-forwarded-student-shooting-investigation-redington-jrsr-high-school/")</f>
        <v>https://www.alaskasnewssource.com/2022/03/18/charges-forwarded-student-shooting-investigation-redington-jrsr-high-school/</v>
      </c>
      <c r="I127" s="5">
        <f ca="1">IFERROR(__xludf.DUMMYFUNCTION("""COMPUTED_VALUE"""),1)</f>
        <v>1</v>
      </c>
      <c r="J127" s="5" t="str">
        <f ca="1">IFERROR(__xludf.DUMMYFUNCTION("""COMPUTED_VALUE"""),"Local")</f>
        <v>Local</v>
      </c>
      <c r="K127" s="5">
        <f ca="1">IFERROR(__xludf.DUMMYFUNCTION("""COMPUTED_VALUE"""),4)</f>
        <v>4</v>
      </c>
      <c r="L127" s="5" t="str">
        <f ca="1">IFERROR(__xludf.DUMMYFUNCTION("""COMPUTED_VALUE"""),"Spring")</f>
        <v>Spring</v>
      </c>
      <c r="M127" s="5" t="str">
        <f ca="1">IFERROR(__xludf.DUMMYFUNCTION("""COMPUTED_VALUE"""),"Wasilla")</f>
        <v>Wasilla</v>
      </c>
      <c r="N127" s="5" t="str">
        <f ca="1">IFERROR(__xludf.DUMMYFUNCTION("""COMPUTED_VALUE"""),"AK")</f>
        <v>AK</v>
      </c>
      <c r="O127" s="11">
        <f ca="1">IFERROR(__xludf.DUMMYFUNCTION("""COMPUTED_VALUE"""),44724)</f>
        <v>44724</v>
      </c>
      <c r="P127" s="5" t="str">
        <f ca="1">IFERROR(__xludf.DUMMYFUNCTION("""COMPUTED_VALUE"""),"Beside Building")</f>
        <v>Beside Building</v>
      </c>
      <c r="Q127" s="5" t="str">
        <f ca="1">IFERROR(__xludf.DUMMYFUNCTION("""COMPUTED_VALUE"""),"Outside on School Property")</f>
        <v>Outside on School Property</v>
      </c>
      <c r="R127" s="5" t="str">
        <f ca="1">IFERROR(__xludf.DUMMYFUNCTION("""COMPUTED_VALUE"""),"Yes")</f>
        <v>Yes</v>
      </c>
      <c r="S127" s="5" t="str">
        <f ca="1">IFERROR(__xludf.DUMMYFUNCTION("""COMPUTED_VALUE"""),"Dismissal")</f>
        <v>Dismissal</v>
      </c>
      <c r="T127" s="10">
        <f ca="1">IFERROR(__xludf.DUMMYFUNCTION("""COMPUTED_VALUE"""),0.604166666666666)</f>
        <v>0.60416666666666596</v>
      </c>
      <c r="U127" s="5">
        <f ca="1">IFERROR(__xludf.DUMMYFUNCTION("""COMPUTED_VALUE"""),1)</f>
        <v>1</v>
      </c>
      <c r="V127" s="5" t="str">
        <f ca="1">IFERROR(__xludf.DUMMYFUNCTION("""COMPUTED_VALUE"""),"Student fired shot at dismissal, detained by school staff")</f>
        <v>Student fired shot at dismissal, detained by school staff</v>
      </c>
      <c r="W127"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X127" s="5"/>
      <c r="Y127" s="5"/>
      <c r="Z127" s="5" t="str">
        <f ca="1">IFERROR(__xludf.DUMMYFUNCTION("""COMPUTED_VALUE"""),"No")</f>
        <v>No</v>
      </c>
      <c r="AA127" s="5"/>
      <c r="AB127" s="5" t="str">
        <f ca="1">IFERROR(__xludf.DUMMYFUNCTION("""COMPUTED_VALUE"""),"No")</f>
        <v>No</v>
      </c>
      <c r="AC127" s="5" t="str">
        <f ca="1">IFERROR(__xludf.DUMMYFUNCTION("""COMPUTED_VALUE"""),"No")</f>
        <v>No</v>
      </c>
      <c r="AD127" s="5" t="str">
        <f ca="1">IFERROR(__xludf.DUMMYFUNCTION("""COMPUTED_VALUE"""),"No")</f>
        <v>No</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row>
    <row r="128" spans="1:34" ht="12.75">
      <c r="A128" s="5" t="str">
        <f ca="1">IFERROR(__xludf.DUMMYFUNCTION("""COMPUTED_VALUE"""),"20220316CALOR")</f>
        <v>20220316CALOR</v>
      </c>
      <c r="B128" s="8">
        <f ca="1">IFERROR(__xludf.DUMMYFUNCTION("""COMPUTED_VALUE"""),44636)</f>
        <v>44636</v>
      </c>
      <c r="C128" s="5" t="str">
        <f ca="1">IFERROR(__xludf.DUMMYFUNCTION("""COMPUTED_VALUE"""),"Loma Vista Middle School")</f>
        <v>Loma Vista Middle School</v>
      </c>
      <c r="D128" s="5">
        <f ca="1">IFERROR(__xludf.DUMMYFUNCTION("""COMPUTED_VALUE"""),0)</f>
        <v>0</v>
      </c>
      <c r="E128" s="5">
        <f ca="1">IFERROR(__xludf.DUMMYFUNCTION("""COMPUTED_VALUE"""),0)</f>
        <v>0</v>
      </c>
      <c r="F128" s="5">
        <f ca="1">IFERROR(__xludf.DUMMYFUNCTION("""COMPUTED_VALUE"""),0)</f>
        <v>0</v>
      </c>
      <c r="G128" s="5">
        <f ca="1">IFERROR(__xludf.DUMMYFUNCTION("""COMPUTED_VALUE"""),0)</f>
        <v>0</v>
      </c>
      <c r="H128"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I128" s="5">
        <f ca="1">IFERROR(__xludf.DUMMYFUNCTION("""COMPUTED_VALUE"""),10)</f>
        <v>10</v>
      </c>
      <c r="J128" s="5" t="str">
        <f ca="1">IFERROR(__xludf.DUMMYFUNCTION("""COMPUTED_VALUE"""),"National")</f>
        <v>National</v>
      </c>
      <c r="K128" s="5">
        <f ca="1">IFERROR(__xludf.DUMMYFUNCTION("""COMPUTED_VALUE"""),4)</f>
        <v>4</v>
      </c>
      <c r="L128" s="5" t="str">
        <f ca="1">IFERROR(__xludf.DUMMYFUNCTION("""COMPUTED_VALUE"""),"Spring")</f>
        <v>Spring</v>
      </c>
      <c r="M128" s="5" t="str">
        <f ca="1">IFERROR(__xludf.DUMMYFUNCTION("""COMPUTED_VALUE"""),"Riverside")</f>
        <v>Riverside</v>
      </c>
      <c r="N128" s="5" t="str">
        <f ca="1">IFERROR(__xludf.DUMMYFUNCTION("""COMPUTED_VALUE"""),"CA")</f>
        <v>CA</v>
      </c>
      <c r="O128" s="5" t="str">
        <f ca="1">IFERROR(__xludf.DUMMYFUNCTION("""COMPUTED_VALUE"""),"Middle")</f>
        <v>Middle</v>
      </c>
      <c r="P128" s="5" t="str">
        <f ca="1">IFERROR(__xludf.DUMMYFUNCTION("""COMPUTED_VALUE"""),"Classroom")</f>
        <v>Classroom</v>
      </c>
      <c r="Q128" s="5" t="str">
        <f ca="1">IFERROR(__xludf.DUMMYFUNCTION("""COMPUTED_VALUE"""),"Inside School Building")</f>
        <v>Inside School Building</v>
      </c>
      <c r="R128" s="5" t="str">
        <f ca="1">IFERROR(__xludf.DUMMYFUNCTION("""COMPUTED_VALUE"""),"Yes")</f>
        <v>Yes</v>
      </c>
      <c r="S128" s="5" t="str">
        <f ca="1">IFERROR(__xludf.DUMMYFUNCTION("""COMPUTED_VALUE"""),"Afternoon Classes")</f>
        <v>Afternoon Classes</v>
      </c>
      <c r="T128" s="10">
        <f ca="1">IFERROR(__xludf.DUMMYFUNCTION("""COMPUTED_VALUE"""),0.708333333333333)</f>
        <v>0.70833333333333304</v>
      </c>
      <c r="U128" s="5">
        <f ca="1">IFERROR(__xludf.DUMMYFUNCTION("""COMPUTED_VALUE"""),1)</f>
        <v>1</v>
      </c>
      <c r="V128" s="5" t="str">
        <f ca="1">IFERROR(__xludf.DUMMYFUNCTION("""COMPUTED_VALUE"""),"Student fired shot while showing off gun inside school")</f>
        <v>Student fired shot while showing off gun inside school</v>
      </c>
      <c r="W128"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X128" s="5" t="str">
        <f ca="1">IFERROR(__xludf.DUMMYFUNCTION("""COMPUTED_VALUE"""),"Accidental")</f>
        <v>Accidental</v>
      </c>
      <c r="Y128" s="5" t="str">
        <f ca="1">IFERROR(__xludf.DUMMYFUNCTION("""COMPUTED_VALUE"""),"Neither")</f>
        <v>Neither</v>
      </c>
      <c r="Z128" s="5" t="str">
        <f ca="1">IFERROR(__xludf.DUMMYFUNCTION("""COMPUTED_VALUE"""),"No")</f>
        <v>No</v>
      </c>
      <c r="AA128" s="5"/>
      <c r="AB128" s="5" t="str">
        <f ca="1">IFERROR(__xludf.DUMMYFUNCTION("""COMPUTED_VALUE"""),"No")</f>
        <v>No</v>
      </c>
      <c r="AC128" s="5" t="str">
        <f ca="1">IFERROR(__xludf.DUMMYFUNCTION("""COMPUTED_VALUE"""),"No")</f>
        <v>No</v>
      </c>
      <c r="AD128" s="5" t="str">
        <f ca="1">IFERROR(__xludf.DUMMYFUNCTION("""COMPUTED_VALUE"""),"No")</f>
        <v>No</v>
      </c>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row>
    <row r="129" spans="1:34" ht="12.75">
      <c r="A129" s="5" t="str">
        <f ca="1">IFERROR(__xludf.DUMMYFUNCTION("""COMPUTED_VALUE"""),"20220315WAEIY")</f>
        <v>20220315WAEIY</v>
      </c>
      <c r="B129" s="8">
        <f ca="1">IFERROR(__xludf.DUMMYFUNCTION("""COMPUTED_VALUE"""),44635)</f>
        <v>44635</v>
      </c>
      <c r="C129" s="5" t="str">
        <f ca="1">IFERROR(__xludf.DUMMYFUNCTION("""COMPUTED_VALUE"""),"Eisenhower High School")</f>
        <v>Eisenhower High School</v>
      </c>
      <c r="D129" s="5">
        <f ca="1">IFERROR(__xludf.DUMMYFUNCTION("""COMPUTED_VALUE"""),1)</f>
        <v>1</v>
      </c>
      <c r="E129" s="5">
        <f ca="1">IFERROR(__xludf.DUMMYFUNCTION("""COMPUTED_VALUE"""),1)</f>
        <v>1</v>
      </c>
      <c r="F129" s="5">
        <f ca="1">IFERROR(__xludf.DUMMYFUNCTION("""COMPUTED_VALUE"""),2)</f>
        <v>2</v>
      </c>
      <c r="G129" s="5">
        <f ca="1">IFERROR(__xludf.DUMMYFUNCTION("""COMPUTED_VALUE"""),0)</f>
        <v>0</v>
      </c>
      <c r="H129"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I129" s="5">
        <f ca="1">IFERROR(__xludf.DUMMYFUNCTION("""COMPUTED_VALUE"""),99)</f>
        <v>99</v>
      </c>
      <c r="J129" s="5" t="str">
        <f ca="1">IFERROR(__xludf.DUMMYFUNCTION("""COMPUTED_VALUE"""),"National")</f>
        <v>National</v>
      </c>
      <c r="K129" s="5">
        <f ca="1">IFERROR(__xludf.DUMMYFUNCTION("""COMPUTED_VALUE"""),4)</f>
        <v>4</v>
      </c>
      <c r="L129" s="5" t="str">
        <f ca="1">IFERROR(__xludf.DUMMYFUNCTION("""COMPUTED_VALUE"""),"Winter")</f>
        <v>Winter</v>
      </c>
      <c r="M129" s="5" t="str">
        <f ca="1">IFERROR(__xludf.DUMMYFUNCTION("""COMPUTED_VALUE"""),"Yakima")</f>
        <v>Yakima</v>
      </c>
      <c r="N129" s="5" t="str">
        <f ca="1">IFERROR(__xludf.DUMMYFUNCTION("""COMPUTED_VALUE"""),"WA")</f>
        <v>WA</v>
      </c>
      <c r="O129" s="5" t="str">
        <f ca="1">IFERROR(__xludf.DUMMYFUNCTION("""COMPUTED_VALUE"""),"High")</f>
        <v>High</v>
      </c>
      <c r="P129" s="5" t="str">
        <f ca="1">IFERROR(__xludf.DUMMYFUNCTION("""COMPUTED_VALUE"""),"Parking Lot")</f>
        <v>Parking Lot</v>
      </c>
      <c r="Q129" s="5" t="str">
        <f ca="1">IFERROR(__xludf.DUMMYFUNCTION("""COMPUTED_VALUE"""),"Outside on School Property")</f>
        <v>Outside on School Property</v>
      </c>
      <c r="R129" s="5" t="str">
        <f ca="1">IFERROR(__xludf.DUMMYFUNCTION("""COMPUTED_VALUE"""),"Yes")</f>
        <v>Yes</v>
      </c>
      <c r="S129" s="5" t="str">
        <f ca="1">IFERROR(__xludf.DUMMYFUNCTION("""COMPUTED_VALUE"""),"Dismissal")</f>
        <v>Dismissal</v>
      </c>
      <c r="T129" s="10">
        <f ca="1">IFERROR(__xludf.DUMMYFUNCTION("""COMPUTED_VALUE"""),0.625)</f>
        <v>0.625</v>
      </c>
      <c r="U129" s="5">
        <f ca="1">IFERROR(__xludf.DUMMYFUNCTION("""COMPUTED_VALUE"""),1)</f>
        <v>1</v>
      </c>
      <c r="V129" s="5" t="str">
        <f ca="1">IFERROR(__xludf.DUMMYFUNCTION("""COMPUTED_VALUE"""),"Two students shot in parking lot at dismissal")</f>
        <v>Two students shot in parking lot at dismissal</v>
      </c>
      <c r="W129"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X129" s="5" t="str">
        <f ca="1">IFERROR(__xludf.DUMMYFUNCTION("""COMPUTED_VALUE"""),"Escalation of Dispute")</f>
        <v>Escalation of Dispute</v>
      </c>
      <c r="Y129" s="5" t="str">
        <f ca="1">IFERROR(__xludf.DUMMYFUNCTION("""COMPUTED_VALUE"""),"Both")</f>
        <v>Both</v>
      </c>
      <c r="Z129" s="5" t="str">
        <f ca="1">IFERROR(__xludf.DUMMYFUNCTION("""COMPUTED_VALUE"""),"No")</f>
        <v>No</v>
      </c>
      <c r="AA129" s="5"/>
      <c r="AB129" s="5" t="str">
        <f ca="1">IFERROR(__xludf.DUMMYFUNCTION("""COMPUTED_VALUE"""),"No")</f>
        <v>No</v>
      </c>
      <c r="AC129" s="5" t="str">
        <f ca="1">IFERROR(__xludf.DUMMYFUNCTION("""COMPUTED_VALUE"""),"No")</f>
        <v>No</v>
      </c>
      <c r="AD129" s="5" t="str">
        <f ca="1">IFERROR(__xludf.DUMMYFUNCTION("""COMPUTED_VALUE"""),"No")</f>
        <v>No</v>
      </c>
      <c r="AE129" s="5" t="str">
        <f ca="1">IFERROR(__xludf.DUMMYFUNCTION("""COMPUTED_VALUE"""),"No")</f>
        <v>No</v>
      </c>
      <c r="AF129" s="5" t="str">
        <f ca="1">IFERROR(__xludf.DUMMYFUNCTION("""COMPUTED_VALUE"""),"No")</f>
        <v>No</v>
      </c>
      <c r="AG129" s="5" t="str">
        <f ca="1">IFERROR(__xludf.DUMMYFUNCTION("""COMPUTED_VALUE"""),"Yes")</f>
        <v>Yes</v>
      </c>
      <c r="AH129" s="5" t="str">
        <f ca="1">IFERROR(__xludf.DUMMYFUNCTION("""COMPUTED_VALUE"""),"No")</f>
        <v>No</v>
      </c>
    </row>
    <row r="130" spans="1:34" ht="12.75">
      <c r="A130" s="5" t="str">
        <f ca="1">IFERROR(__xludf.DUMMYFUNCTION("""COMPUTED_VALUE"""),"20220315MDPAB")</f>
        <v>20220315MDPAB</v>
      </c>
      <c r="B130" s="8">
        <f ca="1">IFERROR(__xludf.DUMMYFUNCTION("""COMPUTED_VALUE"""),44635)</f>
        <v>44635</v>
      </c>
      <c r="C130" s="5" t="str">
        <f ca="1">IFERROR(__xludf.DUMMYFUNCTION("""COMPUTED_VALUE"""),"Paul Lawrence Dunbar High School")</f>
        <v>Paul Lawrence Dunbar High School</v>
      </c>
      <c r="D130" s="5">
        <f ca="1">IFERROR(__xludf.DUMMYFUNCTION("""COMPUTED_VALUE"""),0)</f>
        <v>0</v>
      </c>
      <c r="E130" s="5">
        <f ca="1">IFERROR(__xludf.DUMMYFUNCTION("""COMPUTED_VALUE"""),1)</f>
        <v>1</v>
      </c>
      <c r="F130" s="5">
        <f ca="1">IFERROR(__xludf.DUMMYFUNCTION("""COMPUTED_VALUE"""),1)</f>
        <v>1</v>
      </c>
      <c r="G130" s="5">
        <f ca="1">IFERROR(__xludf.DUMMYFUNCTION("""COMPUTED_VALUE"""),0)</f>
        <v>0</v>
      </c>
      <c r="H130"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I130" s="5">
        <f ca="1">IFERROR(__xludf.DUMMYFUNCTION("""COMPUTED_VALUE"""),5)</f>
        <v>5</v>
      </c>
      <c r="J130" s="5" t="str">
        <f ca="1">IFERROR(__xludf.DUMMYFUNCTION("""COMPUTED_VALUE"""),"Regional")</f>
        <v>Regional</v>
      </c>
      <c r="K130" s="5">
        <f ca="1">IFERROR(__xludf.DUMMYFUNCTION("""COMPUTED_VALUE"""),4)</f>
        <v>4</v>
      </c>
      <c r="L130" s="5" t="str">
        <f ca="1">IFERROR(__xludf.DUMMYFUNCTION("""COMPUTED_VALUE"""),"Spring")</f>
        <v>Spring</v>
      </c>
      <c r="M130" s="5" t="str">
        <f ca="1">IFERROR(__xludf.DUMMYFUNCTION("""COMPUTED_VALUE"""),"Baltimore")</f>
        <v>Baltimore</v>
      </c>
      <c r="N130" s="5" t="str">
        <f ca="1">IFERROR(__xludf.DUMMYFUNCTION("""COMPUTED_VALUE"""),"MD")</f>
        <v>MD</v>
      </c>
      <c r="O130" s="5" t="str">
        <f ca="1">IFERROR(__xludf.DUMMYFUNCTION("""COMPUTED_VALUE"""),"High")</f>
        <v>High</v>
      </c>
      <c r="P130" s="5" t="str">
        <f ca="1">IFERROR(__xludf.DUMMYFUNCTION("""COMPUTED_VALUE"""),"Beside Building")</f>
        <v>Beside Building</v>
      </c>
      <c r="Q130" s="5" t="str">
        <f ca="1">IFERROR(__xludf.DUMMYFUNCTION("""COMPUTED_VALUE"""),"Outside on School Property")</f>
        <v>Outside on School Property</v>
      </c>
      <c r="R130" s="5" t="str">
        <f ca="1">IFERROR(__xludf.DUMMYFUNCTION("""COMPUTED_VALUE"""),"Yes")</f>
        <v>Yes</v>
      </c>
      <c r="S130" s="5" t="str">
        <f ca="1">IFERROR(__xludf.DUMMYFUNCTION("""COMPUTED_VALUE"""),"Dismissal")</f>
        <v>Dismissal</v>
      </c>
      <c r="T130" s="10">
        <f ca="1">IFERROR(__xludf.DUMMYFUNCTION("""COMPUTED_VALUE"""),0.638888888888888)</f>
        <v>0.63888888888888795</v>
      </c>
      <c r="U130" s="5">
        <f ca="1">IFERROR(__xludf.DUMMYFUNCTION("""COMPUTED_VALUE"""),1)</f>
        <v>1</v>
      </c>
      <c r="V130" s="5" t="str">
        <f ca="1">IFERROR(__xludf.DUMMYFUNCTION("""COMPUTED_VALUE"""),"Student shot during dispute at dismissal")</f>
        <v>Student shot during dispute at dismissal</v>
      </c>
      <c r="W130"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X130" s="5" t="str">
        <f ca="1">IFERROR(__xludf.DUMMYFUNCTION("""COMPUTED_VALUE"""),"Escalation of Dispute")</f>
        <v>Escalation of Dispute</v>
      </c>
      <c r="Y130" s="5" t="str">
        <f ca="1">IFERROR(__xludf.DUMMYFUNCTION("""COMPUTED_VALUE"""),"Victims Targeted")</f>
        <v>Victims Targeted</v>
      </c>
      <c r="Z130" s="5" t="str">
        <f ca="1">IFERROR(__xludf.DUMMYFUNCTION("""COMPUTED_VALUE"""),"No")</f>
        <v>No</v>
      </c>
      <c r="AA130" s="5"/>
      <c r="AB130" s="5" t="str">
        <f ca="1">IFERROR(__xludf.DUMMYFUNCTION("""COMPUTED_VALUE"""),"No")</f>
        <v>No</v>
      </c>
      <c r="AC130" s="5" t="str">
        <f ca="1">IFERROR(__xludf.DUMMYFUNCTION("""COMPUTED_VALUE"""),"No")</f>
        <v>No</v>
      </c>
      <c r="AD130" s="5" t="str">
        <f ca="1">IFERROR(__xludf.DUMMYFUNCTION("""COMPUTED_VALUE"""),"No")</f>
        <v>No</v>
      </c>
      <c r="AE130" s="5" t="str">
        <f ca="1">IFERROR(__xludf.DUMMYFUNCTION("""COMPUTED_VALUE"""),"No")</f>
        <v>No</v>
      </c>
      <c r="AF130" s="5" t="str">
        <f ca="1">IFERROR(__xludf.DUMMYFUNCTION("""COMPUTED_VALUE"""),"No")</f>
        <v>No</v>
      </c>
      <c r="AG130" s="5"/>
      <c r="AH130" s="5" t="str">
        <f ca="1">IFERROR(__xludf.DUMMYFUNCTION("""COMPUTED_VALUE"""),"No")</f>
        <v>No</v>
      </c>
    </row>
    <row r="131" spans="1:34" ht="12.75">
      <c r="A131" s="5" t="str">
        <f ca="1">IFERROR(__xludf.DUMMYFUNCTION("""COMPUTED_VALUE"""),"20220315MATEB")</f>
        <v>20220315MATEB</v>
      </c>
      <c r="B131" s="8">
        <f ca="1">IFERROR(__xludf.DUMMYFUNCTION("""COMPUTED_VALUE"""),44635)</f>
        <v>44635</v>
      </c>
      <c r="C131" s="5" t="str">
        <f ca="1">IFERROR(__xludf.DUMMYFUNCTION("""COMPUTED_VALUE"""),"Tech Academy Boston")</f>
        <v>Tech Academy Boston</v>
      </c>
      <c r="D131" s="5">
        <f ca="1">IFERROR(__xludf.DUMMYFUNCTION("""COMPUTED_VALUE"""),0)</f>
        <v>0</v>
      </c>
      <c r="E131" s="5">
        <f ca="1">IFERROR(__xludf.DUMMYFUNCTION("""COMPUTED_VALUE"""),2)</f>
        <v>2</v>
      </c>
      <c r="F131" s="5">
        <f ca="1">IFERROR(__xludf.DUMMYFUNCTION("""COMPUTED_VALUE"""),2)</f>
        <v>2</v>
      </c>
      <c r="G131" s="5">
        <f ca="1">IFERROR(__xludf.DUMMYFUNCTION("""COMPUTED_VALUE"""),0)</f>
        <v>0</v>
      </c>
      <c r="H131"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I131" s="5">
        <f ca="1">IFERROR(__xludf.DUMMYFUNCTION("""COMPUTED_VALUE"""),10)</f>
        <v>10</v>
      </c>
      <c r="J131" s="5" t="str">
        <f ca="1">IFERROR(__xludf.DUMMYFUNCTION("""COMPUTED_VALUE"""),"Regional")</f>
        <v>Regional</v>
      </c>
      <c r="K131" s="5">
        <f ca="1">IFERROR(__xludf.DUMMYFUNCTION("""COMPUTED_VALUE"""),4)</f>
        <v>4</v>
      </c>
      <c r="L131" s="5" t="str">
        <f ca="1">IFERROR(__xludf.DUMMYFUNCTION("""COMPUTED_VALUE"""),"Spring")</f>
        <v>Spring</v>
      </c>
      <c r="M131" s="5" t="str">
        <f ca="1">IFERROR(__xludf.DUMMYFUNCTION("""COMPUTED_VALUE"""),"Boston")</f>
        <v>Boston</v>
      </c>
      <c r="N131" s="5" t="str">
        <f ca="1">IFERROR(__xludf.DUMMYFUNCTION("""COMPUTED_VALUE"""),"MA")</f>
        <v>MA</v>
      </c>
      <c r="O131" s="5" t="str">
        <f ca="1">IFERROR(__xludf.DUMMYFUNCTION("""COMPUTED_VALUE"""),"High")</f>
        <v>High</v>
      </c>
      <c r="P131" s="5" t="str">
        <f ca="1">IFERROR(__xludf.DUMMYFUNCTION("""COMPUTED_VALUE"""),"Beside Building")</f>
        <v>Beside Building</v>
      </c>
      <c r="Q131" s="5" t="str">
        <f ca="1">IFERROR(__xludf.DUMMYFUNCTION("""COMPUTED_VALUE"""),"Outside on School Property")</f>
        <v>Outside on School Property</v>
      </c>
      <c r="R131" s="5" t="str">
        <f ca="1">IFERROR(__xludf.DUMMYFUNCTION("""COMPUTED_VALUE"""),"No")</f>
        <v>No</v>
      </c>
      <c r="S131" s="5" t="str">
        <f ca="1">IFERROR(__xludf.DUMMYFUNCTION("""COMPUTED_VALUE"""),"Sport Event")</f>
        <v>Sport Event</v>
      </c>
      <c r="T131" s="10">
        <f ca="1">IFERROR(__xludf.DUMMYFUNCTION("""COMPUTED_VALUE"""),0.736111111111111)</f>
        <v>0.73611111111111105</v>
      </c>
      <c r="U131" s="5">
        <f ca="1">IFERROR(__xludf.DUMMYFUNCTION("""COMPUTED_VALUE"""),1)</f>
        <v>1</v>
      </c>
      <c r="V131" s="5" t="str">
        <f ca="1">IFERROR(__xludf.DUMMYFUNCTION("""COMPUTED_VALUE"""),"Shots fired at a group of students and staff outside school")</f>
        <v>Shots fired at a group of students and staff outside school</v>
      </c>
      <c r="W131"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X131" s="5" t="str">
        <f ca="1">IFERROR(__xludf.DUMMYFUNCTION("""COMPUTED_VALUE"""),"Drive-by Shooting")</f>
        <v>Drive-by Shooting</v>
      </c>
      <c r="Y131" s="5" t="str">
        <f ca="1">IFERROR(__xludf.DUMMYFUNCTION("""COMPUTED_VALUE"""),"Both")</f>
        <v>Both</v>
      </c>
      <c r="Z131" s="5" t="str">
        <f ca="1">IFERROR(__xludf.DUMMYFUNCTION("""COMPUTED_VALUE"""),"Yes")</f>
        <v>Yes</v>
      </c>
      <c r="AA131" s="5" t="str">
        <f ca="1">IFERROR(__xludf.DUMMYFUNCTION("""COMPUTED_VALUE"""),"Two teens")</f>
        <v>Two teens</v>
      </c>
      <c r="AB131" s="5" t="str">
        <f ca="1">IFERROR(__xludf.DUMMYFUNCTION("""COMPUTED_VALUE"""),"No")</f>
        <v>No</v>
      </c>
      <c r="AC131" s="5" t="str">
        <f ca="1">IFERROR(__xludf.DUMMYFUNCTION("""COMPUTED_VALUE"""),"No")</f>
        <v>No</v>
      </c>
      <c r="AD131" s="5" t="str">
        <f ca="1">IFERROR(__xludf.DUMMYFUNCTION("""COMPUTED_VALUE"""),"No")</f>
        <v>No</v>
      </c>
      <c r="AE131" s="5" t="str">
        <f ca="1">IFERROR(__xludf.DUMMYFUNCTION("""COMPUTED_VALUE"""),"No")</f>
        <v>No</v>
      </c>
      <c r="AF131" s="5" t="str">
        <f ca="1">IFERROR(__xludf.DUMMYFUNCTION("""COMPUTED_VALUE"""),"No")</f>
        <v>No</v>
      </c>
      <c r="AG131" s="5"/>
      <c r="AH131" s="5" t="str">
        <f ca="1">IFERROR(__xludf.DUMMYFUNCTION("""COMPUTED_VALUE"""),"No")</f>
        <v>No</v>
      </c>
    </row>
    <row r="132" spans="1:34" ht="12.75">
      <c r="A132" s="5" t="str">
        <f ca="1">IFERROR(__xludf.DUMMYFUNCTION("""COMPUTED_VALUE"""),"20220315GAFOF")</f>
        <v>20220315GAFOF</v>
      </c>
      <c r="B132" s="8">
        <f ca="1">IFERROR(__xludf.DUMMYFUNCTION("""COMPUTED_VALUE"""),44635)</f>
        <v>44635</v>
      </c>
      <c r="C132" s="5" t="str">
        <f ca="1">IFERROR(__xludf.DUMMYFUNCTION("""COMPUTED_VALUE"""),"Forest Park Middle School")</f>
        <v>Forest Park Middle School</v>
      </c>
      <c r="D132" s="5">
        <f ca="1">IFERROR(__xludf.DUMMYFUNCTION("""COMPUTED_VALUE"""),0)</f>
        <v>0</v>
      </c>
      <c r="E132" s="5">
        <f ca="1">IFERROR(__xludf.DUMMYFUNCTION("""COMPUTED_VALUE"""),0)</f>
        <v>0</v>
      </c>
      <c r="F132" s="5">
        <f ca="1">IFERROR(__xludf.DUMMYFUNCTION("""COMPUTED_VALUE"""),0)</f>
        <v>0</v>
      </c>
      <c r="G132" s="5">
        <f ca="1">IFERROR(__xludf.DUMMYFUNCTION("""COMPUTED_VALUE"""),0)</f>
        <v>0</v>
      </c>
      <c r="H132" s="9" t="str">
        <f ca="1">IFERROR(__xludf.DUMMYFUNCTION("""COMPUTED_VALUE"""),"https://www.fox5atlanta.com/news/gunshot-fired-in-clayton-county-middle-school-district-says")</f>
        <v>https://www.fox5atlanta.com/news/gunshot-fired-in-clayton-county-middle-school-district-says</v>
      </c>
      <c r="I132" s="5">
        <f ca="1">IFERROR(__xludf.DUMMYFUNCTION("""COMPUTED_VALUE"""),1)</f>
        <v>1</v>
      </c>
      <c r="J132" s="5" t="str">
        <f ca="1">IFERROR(__xludf.DUMMYFUNCTION("""COMPUTED_VALUE"""),"Local")</f>
        <v>Local</v>
      </c>
      <c r="K132" s="5">
        <f ca="1">IFERROR(__xludf.DUMMYFUNCTION("""COMPUTED_VALUE"""),3)</f>
        <v>3</v>
      </c>
      <c r="L132" s="5" t="str">
        <f ca="1">IFERROR(__xludf.DUMMYFUNCTION("""COMPUTED_VALUE"""),"Spring")</f>
        <v>Spring</v>
      </c>
      <c r="M132" s="5" t="str">
        <f ca="1">IFERROR(__xludf.DUMMYFUNCTION("""COMPUTED_VALUE"""),"Forest Park")</f>
        <v>Forest Park</v>
      </c>
      <c r="N132" s="5" t="str">
        <f ca="1">IFERROR(__xludf.DUMMYFUNCTION("""COMPUTED_VALUE"""),"GA")</f>
        <v>GA</v>
      </c>
      <c r="O132" s="5" t="str">
        <f ca="1">IFERROR(__xludf.DUMMYFUNCTION("""COMPUTED_VALUE"""),"Middle")</f>
        <v>Middle</v>
      </c>
      <c r="P132" s="5" t="str">
        <f ca="1">IFERROR(__xludf.DUMMYFUNCTION("""COMPUTED_VALUE"""),"Office")</f>
        <v>Office</v>
      </c>
      <c r="Q132" s="5" t="str">
        <f ca="1">IFERROR(__xludf.DUMMYFUNCTION("""COMPUTED_VALUE"""),"Inside School Building")</f>
        <v>Inside School Building</v>
      </c>
      <c r="R132" s="5" t="str">
        <f ca="1">IFERROR(__xludf.DUMMYFUNCTION("""COMPUTED_VALUE"""),"No")</f>
        <v>No</v>
      </c>
      <c r="S132" s="5" t="str">
        <f ca="1">IFERROR(__xludf.DUMMYFUNCTION("""COMPUTED_VALUE"""),"Night")</f>
        <v>Night</v>
      </c>
      <c r="T132" s="5"/>
      <c r="U132" s="5">
        <f ca="1">IFERROR(__xludf.DUMMYFUNCTION("""COMPUTED_VALUE"""),1)</f>
        <v>1</v>
      </c>
      <c r="V132" s="5" t="str">
        <f ca="1">IFERROR(__xludf.DUMMYFUNCTION("""COMPUTED_VALUE"""),"Shots fired when school police confronted intruder")</f>
        <v>Shots fired when school police confronted intruder</v>
      </c>
      <c r="W132"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X132" s="5" t="str">
        <f ca="1">IFERROR(__xludf.DUMMYFUNCTION("""COMPUTED_VALUE"""),"Illegal Activity")</f>
        <v>Illegal Activity</v>
      </c>
      <c r="Y132" s="5"/>
      <c r="Z132" s="5" t="str">
        <f ca="1">IFERROR(__xludf.DUMMYFUNCTION("""COMPUTED_VALUE"""),"No")</f>
        <v>No</v>
      </c>
      <c r="AA132" s="5"/>
      <c r="AB132" s="5" t="str">
        <f ca="1">IFERROR(__xludf.DUMMYFUNCTION("""COMPUTED_VALUE"""),"No")</f>
        <v>No</v>
      </c>
      <c r="AC132" s="5" t="str">
        <f ca="1">IFERROR(__xludf.DUMMYFUNCTION("""COMPUTED_VALUE"""),"No")</f>
        <v>No</v>
      </c>
      <c r="AD132" s="5" t="str">
        <f ca="1">IFERROR(__xludf.DUMMYFUNCTION("""COMPUTED_VALUE"""),"No")</f>
        <v>No</v>
      </c>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row>
    <row r="133" spans="1:34" ht="12.75">
      <c r="A133" s="5" t="str">
        <f ca="1">IFERROR(__xludf.DUMMYFUNCTION("""COMPUTED_VALUE"""),"20220314CAKRP")</f>
        <v>20220314CAKRP</v>
      </c>
      <c r="B133" s="8">
        <f ca="1">IFERROR(__xludf.DUMMYFUNCTION("""COMPUTED_VALUE"""),44634)</f>
        <v>44634</v>
      </c>
      <c r="C133" s="5" t="str">
        <f ca="1">IFERROR(__xludf.DUMMYFUNCTION("""COMPUTED_VALUE"""),"Kraemer Middle School")</f>
        <v>Kraemer Middle School</v>
      </c>
      <c r="D133" s="5">
        <f ca="1">IFERROR(__xludf.DUMMYFUNCTION("""COMPUTED_VALUE"""),0)</f>
        <v>0</v>
      </c>
      <c r="E133" s="5">
        <f ca="1">IFERROR(__xludf.DUMMYFUNCTION("""COMPUTED_VALUE"""),0)</f>
        <v>0</v>
      </c>
      <c r="F133" s="5">
        <f ca="1">IFERROR(__xludf.DUMMYFUNCTION("""COMPUTED_VALUE"""),0)</f>
        <v>0</v>
      </c>
      <c r="G133" s="5">
        <f ca="1">IFERROR(__xludf.DUMMYFUNCTION("""COMPUTED_VALUE"""),1)</f>
        <v>1</v>
      </c>
      <c r="H133"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I133" s="5">
        <f ca="1">IFERROR(__xludf.DUMMYFUNCTION("""COMPUTED_VALUE"""),20)</f>
        <v>20</v>
      </c>
      <c r="J133" s="5" t="str">
        <f ca="1">IFERROR(__xludf.DUMMYFUNCTION("""COMPUTED_VALUE"""),"National")</f>
        <v>National</v>
      </c>
      <c r="K133" s="5">
        <f ca="1">IFERROR(__xludf.DUMMYFUNCTION("""COMPUTED_VALUE"""),4)</f>
        <v>4</v>
      </c>
      <c r="L133" s="5" t="str">
        <f ca="1">IFERROR(__xludf.DUMMYFUNCTION("""COMPUTED_VALUE"""),"Spring")</f>
        <v>Spring</v>
      </c>
      <c r="M133" s="5" t="str">
        <f ca="1">IFERROR(__xludf.DUMMYFUNCTION("""COMPUTED_VALUE"""),"Placentia")</f>
        <v>Placentia</v>
      </c>
      <c r="N133" s="5" t="str">
        <f ca="1">IFERROR(__xludf.DUMMYFUNCTION("""COMPUTED_VALUE"""),"CA")</f>
        <v>CA</v>
      </c>
      <c r="O133" s="5" t="str">
        <f ca="1">IFERROR(__xludf.DUMMYFUNCTION("""COMPUTED_VALUE"""),"Middle")</f>
        <v>Middle</v>
      </c>
      <c r="P133" s="5" t="str">
        <f ca="1">IFERROR(__xludf.DUMMYFUNCTION("""COMPUTED_VALUE"""),"Office")</f>
        <v>Office</v>
      </c>
      <c r="Q133" s="5" t="str">
        <f ca="1">IFERROR(__xludf.DUMMYFUNCTION("""COMPUTED_VALUE"""),"Inside School Building")</f>
        <v>Inside School Building</v>
      </c>
      <c r="R133" s="5" t="str">
        <f ca="1">IFERROR(__xludf.DUMMYFUNCTION("""COMPUTED_VALUE"""),"Yes")</f>
        <v>Yes</v>
      </c>
      <c r="S133" s="5" t="str">
        <f ca="1">IFERROR(__xludf.DUMMYFUNCTION("""COMPUTED_VALUE"""),"Morning Classes")</f>
        <v>Morning Classes</v>
      </c>
      <c r="T133" s="10">
        <f ca="1">IFERROR(__xludf.DUMMYFUNCTION("""COMPUTED_VALUE"""),0.375)</f>
        <v>0.375</v>
      </c>
      <c r="U133" s="5">
        <f ca="1">IFERROR(__xludf.DUMMYFUNCTION("""COMPUTED_VALUE"""),1)</f>
        <v>1</v>
      </c>
      <c r="V133" s="5" t="str">
        <f ca="1">IFERROR(__xludf.DUMMYFUNCTION("""COMPUTED_VALUE"""),"School administrator commit suicide with firearm in office during school")</f>
        <v>School administrator commit suicide with firearm in office during school</v>
      </c>
      <c r="W133"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X133" s="5" t="str">
        <f ca="1">IFERROR(__xludf.DUMMYFUNCTION("""COMPUTED_VALUE"""),"Suicide/Attempted")</f>
        <v>Suicide/Attempted</v>
      </c>
      <c r="Y133" s="5" t="str">
        <f ca="1">IFERROR(__xludf.DUMMYFUNCTION("""COMPUTED_VALUE"""),"Victims Targeted")</f>
        <v>Victims Targeted</v>
      </c>
      <c r="Z133" s="5" t="str">
        <f ca="1">IFERROR(__xludf.DUMMYFUNCTION("""COMPUTED_VALUE"""),"No")</f>
        <v>No</v>
      </c>
      <c r="AA133" s="5" t="str">
        <f ca="1">IFERROR(__xludf.DUMMYFUNCTION("""COMPUTED_VALUE"""),"No")</f>
        <v>No</v>
      </c>
      <c r="AB133" s="5"/>
      <c r="AC133" s="5" t="str">
        <f ca="1">IFERROR(__xludf.DUMMYFUNCTION("""COMPUTED_VALUE"""),"No")</f>
        <v>No</v>
      </c>
      <c r="AD133" s="5" t="str">
        <f ca="1">IFERROR(__xludf.DUMMYFUNCTION("""COMPUTED_VALUE"""),"No")</f>
        <v>No</v>
      </c>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row>
    <row r="134" spans="1:34" ht="12.75">
      <c r="A134" s="5" t="str">
        <f ca="1">IFERROR(__xludf.DUMMYFUNCTION("""COMPUTED_VALUE"""),"20220313PANEP")</f>
        <v>20220313PANEP</v>
      </c>
      <c r="B134" s="8">
        <f ca="1">IFERROR(__xludf.DUMMYFUNCTION("""COMPUTED_VALUE"""),44633)</f>
        <v>44633</v>
      </c>
      <c r="C134" s="5" t="str">
        <f ca="1">IFERROR(__xludf.DUMMYFUNCTION("""COMPUTED_VALUE"""),"New Foundations Charter School")</f>
        <v>New Foundations Charter School</v>
      </c>
      <c r="D134" s="5">
        <f ca="1">IFERROR(__xludf.DUMMYFUNCTION("""COMPUTED_VALUE"""),0)</f>
        <v>0</v>
      </c>
      <c r="E134" s="5">
        <f ca="1">IFERROR(__xludf.DUMMYFUNCTION("""COMPUTED_VALUE"""),0)</f>
        <v>0</v>
      </c>
      <c r="F134" s="5">
        <f ca="1">IFERROR(__xludf.DUMMYFUNCTION("""COMPUTED_VALUE"""),0)</f>
        <v>0</v>
      </c>
      <c r="G134" s="5">
        <f ca="1">IFERROR(__xludf.DUMMYFUNCTION("""COMPUTED_VALUE"""),0)</f>
        <v>0</v>
      </c>
      <c r="H134" s="9" t="str">
        <f ca="1">IFERROR(__xludf.DUMMYFUNCTION("""COMPUTED_VALUE"""),"https://6abc.com/new-foundations-charter-high-school-bullet-classroom-philadelphia-shooting-torresdale-ave/11651217/")</f>
        <v>https://6abc.com/new-foundations-charter-high-school-bullet-classroom-philadelphia-shooting-torresdale-ave/11651217/</v>
      </c>
      <c r="I134" s="5">
        <f ca="1">IFERROR(__xludf.DUMMYFUNCTION("""COMPUTED_VALUE"""),1)</f>
        <v>1</v>
      </c>
      <c r="J134" s="5" t="str">
        <f ca="1">IFERROR(__xludf.DUMMYFUNCTION("""COMPUTED_VALUE"""),"Local")</f>
        <v>Local</v>
      </c>
      <c r="K134" s="5">
        <f ca="1">IFERROR(__xludf.DUMMYFUNCTION("""COMPUTED_VALUE"""),3)</f>
        <v>3</v>
      </c>
      <c r="L134" s="5" t="str">
        <f ca="1">IFERROR(__xludf.DUMMYFUNCTION("""COMPUTED_VALUE"""),"Spring")</f>
        <v>Spring</v>
      </c>
      <c r="M134" s="5" t="str">
        <f ca="1">IFERROR(__xludf.DUMMYFUNCTION("""COMPUTED_VALUE"""),"Philadelphia")</f>
        <v>Philadelphia</v>
      </c>
      <c r="N134" s="5" t="str">
        <f ca="1">IFERROR(__xludf.DUMMYFUNCTION("""COMPUTED_VALUE"""),"PA")</f>
        <v>PA</v>
      </c>
      <c r="O134" s="5" t="str">
        <f ca="1">IFERROR(__xludf.DUMMYFUNCTION("""COMPUTED_VALUE"""),"K-8")</f>
        <v>K-8</v>
      </c>
      <c r="P134" s="5" t="str">
        <f ca="1">IFERROR(__xludf.DUMMYFUNCTION("""COMPUTED_VALUE"""),"Classroom")</f>
        <v>Classroom</v>
      </c>
      <c r="Q134" s="5" t="str">
        <f ca="1">IFERROR(__xludf.DUMMYFUNCTION("""COMPUTED_VALUE"""),"Both Inside/Outside")</f>
        <v>Both Inside/Outside</v>
      </c>
      <c r="R134" s="5" t="str">
        <f ca="1">IFERROR(__xludf.DUMMYFUNCTION("""COMPUTED_VALUE"""),"No")</f>
        <v>No</v>
      </c>
      <c r="S134" s="5" t="str">
        <f ca="1">IFERROR(__xludf.DUMMYFUNCTION("""COMPUTED_VALUE"""),"Not a School Day")</f>
        <v>Not a School Day</v>
      </c>
      <c r="T134" s="5"/>
      <c r="U134" s="5">
        <f ca="1">IFERROR(__xludf.DUMMYFUNCTION("""COMPUTED_VALUE"""),1)</f>
        <v>1</v>
      </c>
      <c r="V134" s="5" t="str">
        <f ca="1">IFERROR(__xludf.DUMMYFUNCTION("""COMPUTED_VALUE"""),"Classroom window broken by gunshot, bullet found in classroom")</f>
        <v>Classroom window broken by gunshot, bullet found in classroom</v>
      </c>
      <c r="W134"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X134" s="5"/>
      <c r="Y134" s="5"/>
      <c r="Z134" s="5" t="str">
        <f ca="1">IFERROR(__xludf.DUMMYFUNCTION("""COMPUTED_VALUE"""),"No")</f>
        <v>No</v>
      </c>
      <c r="AA134" s="5"/>
      <c r="AB134" s="5" t="str">
        <f ca="1">IFERROR(__xludf.DUMMYFUNCTION("""COMPUTED_VALUE"""),"No")</f>
        <v>No</v>
      </c>
      <c r="AC134" s="5" t="str">
        <f ca="1">IFERROR(__xludf.DUMMYFUNCTION("""COMPUTED_VALUE"""),"No")</f>
        <v>No</v>
      </c>
      <c r="AD134" s="5" t="str">
        <f ca="1">IFERROR(__xludf.DUMMYFUNCTION("""COMPUTED_VALUE"""),"No")</f>
        <v>No</v>
      </c>
      <c r="AE134" s="5" t="str">
        <f ca="1">IFERROR(__xludf.DUMMYFUNCTION("""COMPUTED_VALUE"""),"No")</f>
        <v>No</v>
      </c>
      <c r="AF134" s="5" t="str">
        <f ca="1">IFERROR(__xludf.DUMMYFUNCTION("""COMPUTED_VALUE"""),"No")</f>
        <v>No</v>
      </c>
      <c r="AG134" s="5"/>
      <c r="AH134" s="5" t="str">
        <f ca="1">IFERROR(__xludf.DUMMYFUNCTION("""COMPUTED_VALUE"""),"No")</f>
        <v>No</v>
      </c>
    </row>
    <row r="135" spans="1:34" ht="12.75">
      <c r="A135" s="5" t="str">
        <f ca="1">IFERROR(__xludf.DUMMYFUNCTION("""COMPUTED_VALUE"""),"20220311WIJER")</f>
        <v>20220311WIJER</v>
      </c>
      <c r="B135" s="8">
        <f ca="1">IFERROR(__xludf.DUMMYFUNCTION("""COMPUTED_VALUE"""),44631)</f>
        <v>44631</v>
      </c>
      <c r="C135" s="5" t="str">
        <f ca="1">IFERROR(__xludf.DUMMYFUNCTION("""COMPUTED_VALUE"""),"Jerstad-Agerholm Elementary School")</f>
        <v>Jerstad-Agerholm Elementary School</v>
      </c>
      <c r="D135" s="5">
        <f ca="1">IFERROR(__xludf.DUMMYFUNCTION("""COMPUTED_VALUE"""),0)</f>
        <v>0</v>
      </c>
      <c r="E135" s="5">
        <f ca="1">IFERROR(__xludf.DUMMYFUNCTION("""COMPUTED_VALUE"""),0)</f>
        <v>0</v>
      </c>
      <c r="F135" s="5">
        <f ca="1">IFERROR(__xludf.DUMMYFUNCTION("""COMPUTED_VALUE"""),0)</f>
        <v>0</v>
      </c>
      <c r="G135" s="5">
        <f ca="1">IFERROR(__xludf.DUMMYFUNCTION("""COMPUTED_VALUE"""),0)</f>
        <v>0</v>
      </c>
      <c r="H135" s="9" t="str">
        <f ca="1">IFERROR(__xludf.DUMMYFUNCTION("""COMPUTED_VALUE"""),"https://www.cbs58.com/news/weapon-fired-inside-jerstad-agerholm-elementary-school-in-racine")</f>
        <v>https://www.cbs58.com/news/weapon-fired-inside-jerstad-agerholm-elementary-school-in-racine</v>
      </c>
      <c r="I135" s="5">
        <f ca="1">IFERROR(__xludf.DUMMYFUNCTION("""COMPUTED_VALUE"""),1)</f>
        <v>1</v>
      </c>
      <c r="J135" s="5" t="str">
        <f ca="1">IFERROR(__xludf.DUMMYFUNCTION("""COMPUTED_VALUE"""),"Local")</f>
        <v>Local</v>
      </c>
      <c r="K135" s="5">
        <f ca="1">IFERROR(__xludf.DUMMYFUNCTION("""COMPUTED_VALUE"""),3)</f>
        <v>3</v>
      </c>
      <c r="L135" s="5" t="str">
        <f ca="1">IFERROR(__xludf.DUMMYFUNCTION("""COMPUTED_VALUE"""),"Spring")</f>
        <v>Spring</v>
      </c>
      <c r="M135" s="5" t="str">
        <f ca="1">IFERROR(__xludf.DUMMYFUNCTION("""COMPUTED_VALUE"""),"Racine")</f>
        <v>Racine</v>
      </c>
      <c r="N135" s="5" t="str">
        <f ca="1">IFERROR(__xludf.DUMMYFUNCTION("""COMPUTED_VALUE"""),"WI")</f>
        <v>WI</v>
      </c>
      <c r="O135" s="5" t="str">
        <f ca="1">IFERROR(__xludf.DUMMYFUNCTION("""COMPUTED_VALUE"""),"Elementary")</f>
        <v>Elementary</v>
      </c>
      <c r="P135" s="5" t="str">
        <f ca="1">IFERROR(__xludf.DUMMYFUNCTION("""COMPUTED_VALUE"""),"Bathroom")</f>
        <v>Bathroom</v>
      </c>
      <c r="Q135" s="5" t="str">
        <f ca="1">IFERROR(__xludf.DUMMYFUNCTION("""COMPUTED_VALUE"""),"Inside School Building")</f>
        <v>Inside School Building</v>
      </c>
      <c r="R135" s="5" t="str">
        <f ca="1">IFERROR(__xludf.DUMMYFUNCTION("""COMPUTED_VALUE"""),"Yes")</f>
        <v>Yes</v>
      </c>
      <c r="S135" s="5"/>
      <c r="T135" s="5"/>
      <c r="U135" s="5">
        <f ca="1">IFERROR(__xludf.DUMMYFUNCTION("""COMPUTED_VALUE"""),1)</f>
        <v>1</v>
      </c>
      <c r="V135" s="5" t="str">
        <f ca="1">IFERROR(__xludf.DUMMYFUNCTION("""COMPUTED_VALUE"""),"Student fired shot inside school bathroom")</f>
        <v>Student fired shot inside school bathroom</v>
      </c>
      <c r="W135"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X135" s="5" t="str">
        <f ca="1">IFERROR(__xludf.DUMMYFUNCTION("""COMPUTED_VALUE"""),"Accidental")</f>
        <v>Accidental</v>
      </c>
      <c r="Y135" s="5" t="str">
        <f ca="1">IFERROR(__xludf.DUMMYFUNCTION("""COMPUTED_VALUE"""),"Neither")</f>
        <v>Neither</v>
      </c>
      <c r="Z135" s="5" t="str">
        <f ca="1">IFERROR(__xludf.DUMMYFUNCTION("""COMPUTED_VALUE"""),"Yes")</f>
        <v>Yes</v>
      </c>
      <c r="AA135" s="5" t="str">
        <f ca="1">IFERROR(__xludf.DUMMYFUNCTION("""COMPUTED_VALUE"""),"Two students arrested")</f>
        <v>Two students arrested</v>
      </c>
      <c r="AB135" s="5" t="str">
        <f ca="1">IFERROR(__xludf.DUMMYFUNCTION("""COMPUTED_VALUE"""),"No")</f>
        <v>No</v>
      </c>
      <c r="AC135" s="5" t="str">
        <f ca="1">IFERROR(__xludf.DUMMYFUNCTION("""COMPUTED_VALUE"""),"No")</f>
        <v>No</v>
      </c>
      <c r="AD135" s="5" t="str">
        <f ca="1">IFERROR(__xludf.DUMMYFUNCTION("""COMPUTED_VALUE"""),"No")</f>
        <v>No</v>
      </c>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row>
    <row r="136" spans="1:34" ht="12.75">
      <c r="A136" s="5" t="str">
        <f ca="1">IFERROR(__xludf.DUMMYFUNCTION("""COMPUTED_VALUE"""),"20220311OHFAP")</f>
        <v>20220311OHFAP</v>
      </c>
      <c r="B136" s="8">
        <f ca="1">IFERROR(__xludf.DUMMYFUNCTION("""COMPUTED_VALUE"""),44631)</f>
        <v>44631</v>
      </c>
      <c r="C136" s="5" t="str">
        <f ca="1">IFERROR(__xludf.DUMMYFUNCTION("""COMPUTED_VALUE"""),"Fairland Middle School")</f>
        <v>Fairland Middle School</v>
      </c>
      <c r="D136" s="5">
        <f ca="1">IFERROR(__xludf.DUMMYFUNCTION("""COMPUTED_VALUE"""),0)</f>
        <v>0</v>
      </c>
      <c r="E136" s="5">
        <f ca="1">IFERROR(__xludf.DUMMYFUNCTION("""COMPUTED_VALUE"""),0)</f>
        <v>0</v>
      </c>
      <c r="F136" s="5">
        <f ca="1">IFERROR(__xludf.DUMMYFUNCTION("""COMPUTED_VALUE"""),0)</f>
        <v>0</v>
      </c>
      <c r="G136" s="5">
        <f ca="1">IFERROR(__xludf.DUMMYFUNCTION("""COMPUTED_VALUE"""),0)</f>
        <v>0</v>
      </c>
      <c r="H136" s="9" t="str">
        <f ca="1">IFERROR(__xludf.DUMMYFUNCTION("""COMPUTED_VALUE"""),"https://www.wsaz.com/2022/03/11/school-lockdown-lifted-following-robbery-shots-fired-lawrence-county-fairgrounds/")</f>
        <v>https://www.wsaz.com/2022/03/11/school-lockdown-lifted-following-robbery-shots-fired-lawrence-county-fairgrounds/</v>
      </c>
      <c r="I136" s="5">
        <f ca="1">IFERROR(__xludf.DUMMYFUNCTION("""COMPUTED_VALUE"""),4)</f>
        <v>4</v>
      </c>
      <c r="J136" s="5" t="str">
        <f ca="1">IFERROR(__xludf.DUMMYFUNCTION("""COMPUTED_VALUE"""),"Local")</f>
        <v>Local</v>
      </c>
      <c r="K136" s="5">
        <f ca="1">IFERROR(__xludf.DUMMYFUNCTION("""COMPUTED_VALUE"""),4)</f>
        <v>4</v>
      </c>
      <c r="L136" s="5" t="str">
        <f ca="1">IFERROR(__xludf.DUMMYFUNCTION("""COMPUTED_VALUE"""),"Spring")</f>
        <v>Spring</v>
      </c>
      <c r="M136" s="5" t="str">
        <f ca="1">IFERROR(__xludf.DUMMYFUNCTION("""COMPUTED_VALUE"""),"Proctorville")</f>
        <v>Proctorville</v>
      </c>
      <c r="N136" s="5" t="str">
        <f ca="1">IFERROR(__xludf.DUMMYFUNCTION("""COMPUTED_VALUE"""),"OH")</f>
        <v>OH</v>
      </c>
      <c r="O136" s="5" t="str">
        <f ca="1">IFERROR(__xludf.DUMMYFUNCTION("""COMPUTED_VALUE"""),"Middle")</f>
        <v>Middle</v>
      </c>
      <c r="P136" s="5" t="str">
        <f ca="1">IFERROR(__xludf.DUMMYFUNCTION("""COMPUTED_VALUE"""),"Outside on School Property")</f>
        <v>Outside on School Property</v>
      </c>
      <c r="Q136" s="5" t="str">
        <f ca="1">IFERROR(__xludf.DUMMYFUNCTION("""COMPUTED_VALUE"""),"Off School Property")</f>
        <v>Off School Property</v>
      </c>
      <c r="R136" s="5" t="str">
        <f ca="1">IFERROR(__xludf.DUMMYFUNCTION("""COMPUTED_VALUE"""),"Yes")</f>
        <v>Yes</v>
      </c>
      <c r="S136" s="5" t="str">
        <f ca="1">IFERROR(__xludf.DUMMYFUNCTION("""COMPUTED_VALUE"""),"Lunch")</f>
        <v>Lunch</v>
      </c>
      <c r="T136" s="10">
        <f ca="1">IFERROR(__xludf.DUMMYFUNCTION("""COMPUTED_VALUE"""),0.5)</f>
        <v>0.5</v>
      </c>
      <c r="U136" s="5">
        <f ca="1">IFERROR(__xludf.DUMMYFUNCTION("""COMPUTED_VALUE"""),1)</f>
        <v>1</v>
      </c>
      <c r="V136" s="5" t="str">
        <f ca="1">IFERROR(__xludf.DUMMYFUNCTION("""COMPUTED_VALUE"""),"Fair employee fired three shots at fleeing robber climbing fence to school property")</f>
        <v>Fair employee fired three shots at fleeing robber climbing fence to school property</v>
      </c>
      <c r="W136"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X136" s="5" t="str">
        <f ca="1">IFERROR(__xludf.DUMMYFUNCTION("""COMPUTED_VALUE"""),"Illegal Activity")</f>
        <v>Illegal Activity</v>
      </c>
      <c r="Y136" s="5" t="str">
        <f ca="1">IFERROR(__xludf.DUMMYFUNCTION("""COMPUTED_VALUE"""),"Victims Targeted")</f>
        <v>Victims Targeted</v>
      </c>
      <c r="Z136" s="5" t="str">
        <f ca="1">IFERROR(__xludf.DUMMYFUNCTION("""COMPUTED_VALUE"""),"No")</f>
        <v>No</v>
      </c>
      <c r="AA136" s="5"/>
      <c r="AB136" s="5" t="str">
        <f ca="1">IFERROR(__xludf.DUMMYFUNCTION("""COMPUTED_VALUE"""),"No")</f>
        <v>No</v>
      </c>
      <c r="AC136" s="5" t="str">
        <f ca="1">IFERROR(__xludf.DUMMYFUNCTION("""COMPUTED_VALUE"""),"No")</f>
        <v>No</v>
      </c>
      <c r="AD136" s="5" t="str">
        <f ca="1">IFERROR(__xludf.DUMMYFUNCTION("""COMPUTED_VALUE"""),"No")</f>
        <v>No</v>
      </c>
      <c r="AE136" s="5" t="str">
        <f ca="1">IFERROR(__xludf.DUMMYFUNCTION("""COMPUTED_VALUE"""),"No")</f>
        <v>No</v>
      </c>
      <c r="AF136" s="5" t="str">
        <f ca="1">IFERROR(__xludf.DUMMYFUNCTION("""COMPUTED_VALUE"""),"No")</f>
        <v>No</v>
      </c>
      <c r="AG136" s="5" t="str">
        <f ca="1">IFERROR(__xludf.DUMMYFUNCTION("""COMPUTED_VALUE"""),"No")</f>
        <v>No</v>
      </c>
      <c r="AH136" s="5" t="str">
        <f ca="1">IFERROR(__xludf.DUMMYFUNCTION("""COMPUTED_VALUE"""),"No")</f>
        <v>No</v>
      </c>
    </row>
    <row r="137" spans="1:34" ht="12.75">
      <c r="A137" s="5" t="str">
        <f ca="1">IFERROR(__xludf.DUMMYFUNCTION("""COMPUTED_VALUE"""),"20220311CADER")</f>
        <v>20220311CADER</v>
      </c>
      <c r="B137" s="8">
        <f ca="1">IFERROR(__xludf.DUMMYFUNCTION("""COMPUTED_VALUE"""),44631)</f>
        <v>44631</v>
      </c>
      <c r="C137" s="5" t="str">
        <f ca="1">IFERROR(__xludf.DUMMYFUNCTION("""COMPUTED_VALUE"""),"De Anza High School")</f>
        <v>De Anza High School</v>
      </c>
      <c r="D137" s="5">
        <f ca="1">IFERROR(__xludf.DUMMYFUNCTION("""COMPUTED_VALUE"""),0)</f>
        <v>0</v>
      </c>
      <c r="E137" s="5">
        <f ca="1">IFERROR(__xludf.DUMMYFUNCTION("""COMPUTED_VALUE"""),0)</f>
        <v>0</v>
      </c>
      <c r="F137" s="5">
        <f ca="1">IFERROR(__xludf.DUMMYFUNCTION("""COMPUTED_VALUE"""),0)</f>
        <v>0</v>
      </c>
      <c r="G137" s="5">
        <f ca="1">IFERROR(__xludf.DUMMYFUNCTION("""COMPUTED_VALUE"""),0)</f>
        <v>0</v>
      </c>
      <c r="H137"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I137" s="5">
        <f ca="1">IFERROR(__xludf.DUMMYFUNCTION("""COMPUTED_VALUE"""),2)</f>
        <v>2</v>
      </c>
      <c r="J137" s="5" t="str">
        <f ca="1">IFERROR(__xludf.DUMMYFUNCTION("""COMPUTED_VALUE"""),"Local")</f>
        <v>Local</v>
      </c>
      <c r="K137" s="5">
        <f ca="1">IFERROR(__xludf.DUMMYFUNCTION("""COMPUTED_VALUE"""),4)</f>
        <v>4</v>
      </c>
      <c r="L137" s="5" t="str">
        <f ca="1">IFERROR(__xludf.DUMMYFUNCTION("""COMPUTED_VALUE"""),"Spring")</f>
        <v>Spring</v>
      </c>
      <c r="M137" s="5" t="str">
        <f ca="1">IFERROR(__xludf.DUMMYFUNCTION("""COMPUTED_VALUE"""),"Richmond")</f>
        <v>Richmond</v>
      </c>
      <c r="N137" s="5" t="str">
        <f ca="1">IFERROR(__xludf.DUMMYFUNCTION("""COMPUTED_VALUE"""),"CA")</f>
        <v>CA</v>
      </c>
      <c r="O137" s="5" t="str">
        <f ca="1">IFERROR(__xludf.DUMMYFUNCTION("""COMPUTED_VALUE"""),"High")</f>
        <v>High</v>
      </c>
      <c r="P137" s="5" t="str">
        <f ca="1">IFERROR(__xludf.DUMMYFUNCTION("""COMPUTED_VALUE"""),"Outside on School Property")</f>
        <v>Outside on School Property</v>
      </c>
      <c r="Q137" s="5" t="str">
        <f ca="1">IFERROR(__xludf.DUMMYFUNCTION("""COMPUTED_VALUE"""),"Outside on School Property")</f>
        <v>Outside on School Property</v>
      </c>
      <c r="R137" s="5" t="str">
        <f ca="1">IFERROR(__xludf.DUMMYFUNCTION("""COMPUTED_VALUE"""),"Yes")</f>
        <v>Yes</v>
      </c>
      <c r="S137" s="5" t="str">
        <f ca="1">IFERROR(__xludf.DUMMYFUNCTION("""COMPUTED_VALUE"""),"Dismissal")</f>
        <v>Dismissal</v>
      </c>
      <c r="T137" s="10">
        <f ca="1">IFERROR(__xludf.DUMMYFUNCTION("""COMPUTED_VALUE"""),0.625)</f>
        <v>0.625</v>
      </c>
      <c r="U137" s="5">
        <f ca="1">IFERROR(__xludf.DUMMYFUNCTION("""COMPUTED_VALUE"""),1)</f>
        <v>1</v>
      </c>
      <c r="V137" s="5" t="str">
        <f ca="1">IFERROR(__xludf.DUMMYFUNCTION("""COMPUTED_VALUE"""),"Shots fired during fight at dismissal")</f>
        <v>Shots fired during fight at dismissal</v>
      </c>
      <c r="W137"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X137" s="5" t="str">
        <f ca="1">IFERROR(__xludf.DUMMYFUNCTION("""COMPUTED_VALUE"""),"Escalation of Dispute")</f>
        <v>Escalation of Dispute</v>
      </c>
      <c r="Y137" s="5" t="str">
        <f ca="1">IFERROR(__xludf.DUMMYFUNCTION("""COMPUTED_VALUE"""),"Both")</f>
        <v>Both</v>
      </c>
      <c r="Z137" s="5" t="str">
        <f ca="1">IFERROR(__xludf.DUMMYFUNCTION("""COMPUTED_VALUE"""),"No")</f>
        <v>No</v>
      </c>
      <c r="AA137" s="5"/>
      <c r="AB137" s="5" t="str">
        <f ca="1">IFERROR(__xludf.DUMMYFUNCTION("""COMPUTED_VALUE"""),"No")</f>
        <v>No</v>
      </c>
      <c r="AC137" s="5" t="str">
        <f ca="1">IFERROR(__xludf.DUMMYFUNCTION("""COMPUTED_VALUE"""),"No")</f>
        <v>No</v>
      </c>
      <c r="AD137" s="5" t="str">
        <f ca="1">IFERROR(__xludf.DUMMYFUNCTION("""COMPUTED_VALUE"""),"No")</f>
        <v>No</v>
      </c>
      <c r="AE137" s="5" t="str">
        <f ca="1">IFERROR(__xludf.DUMMYFUNCTION("""COMPUTED_VALUE"""),"No")</f>
        <v>No</v>
      </c>
      <c r="AF137" s="5" t="str">
        <f ca="1">IFERROR(__xludf.DUMMYFUNCTION("""COMPUTED_VALUE"""),"No")</f>
        <v>No</v>
      </c>
      <c r="AG137" s="5"/>
      <c r="AH137" s="5" t="str">
        <f ca="1">IFERROR(__xludf.DUMMYFUNCTION("""COMPUTED_VALUE"""),"No")</f>
        <v>No</v>
      </c>
    </row>
    <row r="138" spans="1:34" ht="12.75">
      <c r="A138" s="5" t="str">
        <f ca="1">IFERROR(__xludf.DUMMYFUNCTION("""COMPUTED_VALUE"""),"20220310TNHAM")</f>
        <v>20220310TNHAM</v>
      </c>
      <c r="B138" s="8">
        <f ca="1">IFERROR(__xludf.DUMMYFUNCTION("""COMPUTED_VALUE"""),44630)</f>
        <v>44630</v>
      </c>
      <c r="C138" s="5" t="str">
        <f ca="1">IFERROR(__xludf.DUMMYFUNCTION("""COMPUTED_VALUE"""),"Hamilton Middle School")</f>
        <v>Hamilton Middle School</v>
      </c>
      <c r="D138" s="5">
        <f ca="1">IFERROR(__xludf.DUMMYFUNCTION("""COMPUTED_VALUE"""),0)</f>
        <v>0</v>
      </c>
      <c r="E138" s="5">
        <f ca="1">IFERROR(__xludf.DUMMYFUNCTION("""COMPUTED_VALUE"""),0)</f>
        <v>0</v>
      </c>
      <c r="F138" s="5">
        <f ca="1">IFERROR(__xludf.DUMMYFUNCTION("""COMPUTED_VALUE"""),0)</f>
        <v>0</v>
      </c>
      <c r="G138" s="5">
        <f ca="1">IFERROR(__xludf.DUMMYFUNCTION("""COMPUTED_VALUE"""),0)</f>
        <v>0</v>
      </c>
      <c r="H138" s="9" t="str">
        <f ca="1">IFERROR(__xludf.DUMMYFUNCTION("""COMPUTED_VALUE"""),"https://www.actionnews5.com/2022/03/11/memphis-mother-accused-pointing-gun-5-children-outside-school/")</f>
        <v>https://www.actionnews5.com/2022/03/11/memphis-mother-accused-pointing-gun-5-children-outside-school/</v>
      </c>
      <c r="I138" s="5">
        <f ca="1">IFERROR(__xludf.DUMMYFUNCTION("""COMPUTED_VALUE"""),1)</f>
        <v>1</v>
      </c>
      <c r="J138" s="5" t="str">
        <f ca="1">IFERROR(__xludf.DUMMYFUNCTION("""COMPUTED_VALUE"""),"Local")</f>
        <v>Local</v>
      </c>
      <c r="K138" s="5">
        <f ca="1">IFERROR(__xludf.DUMMYFUNCTION("""COMPUTED_VALUE"""),3)</f>
        <v>3</v>
      </c>
      <c r="L138" s="5" t="str">
        <f ca="1">IFERROR(__xludf.DUMMYFUNCTION("""COMPUTED_VALUE"""),"Spring")</f>
        <v>Spring</v>
      </c>
      <c r="M138" s="5" t="str">
        <f ca="1">IFERROR(__xludf.DUMMYFUNCTION("""COMPUTED_VALUE"""),"Memphis")</f>
        <v>Memphis</v>
      </c>
      <c r="N138" s="5" t="str">
        <f ca="1">IFERROR(__xludf.DUMMYFUNCTION("""COMPUTED_VALUE"""),"TN")</f>
        <v>TN</v>
      </c>
      <c r="O138" s="5" t="str">
        <f ca="1">IFERROR(__xludf.DUMMYFUNCTION("""COMPUTED_VALUE"""),"K-8")</f>
        <v>K-8</v>
      </c>
      <c r="P138" s="5" t="str">
        <f ca="1">IFERROR(__xludf.DUMMYFUNCTION("""COMPUTED_VALUE"""),"Front of School")</f>
        <v>Front of School</v>
      </c>
      <c r="Q138" s="5" t="str">
        <f ca="1">IFERROR(__xludf.DUMMYFUNCTION("""COMPUTED_VALUE"""),"Outside on School Property")</f>
        <v>Outside on School Property</v>
      </c>
      <c r="R138" s="5" t="str">
        <f ca="1">IFERROR(__xludf.DUMMYFUNCTION("""COMPUTED_VALUE"""),"Yes")</f>
        <v>Yes</v>
      </c>
      <c r="S138" s="5" t="str">
        <f ca="1">IFERROR(__xludf.DUMMYFUNCTION("""COMPUTED_VALUE"""),"School Start")</f>
        <v>School Start</v>
      </c>
      <c r="T138" s="10">
        <f ca="1">IFERROR(__xludf.DUMMYFUNCTION("""COMPUTED_VALUE"""),0.333333333333333)</f>
        <v>0.33333333333333298</v>
      </c>
      <c r="U138" s="5">
        <f ca="1">IFERROR(__xludf.DUMMYFUNCTION("""COMPUTED_VALUE"""),1)</f>
        <v>1</v>
      </c>
      <c r="V138" s="5" t="str">
        <f ca="1">IFERROR(__xludf.DUMMYFUNCTION("""COMPUTED_VALUE"""),"Mother threatened 5 students with gun during argument")</f>
        <v>Mother threatened 5 students with gun during argument</v>
      </c>
      <c r="W138"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X138" s="5" t="str">
        <f ca="1">IFERROR(__xludf.DUMMYFUNCTION("""COMPUTED_VALUE"""),"Escalation of Dispute")</f>
        <v>Escalation of Dispute</v>
      </c>
      <c r="Y138" s="5" t="str">
        <f ca="1">IFERROR(__xludf.DUMMYFUNCTION("""COMPUTED_VALUE"""),"Victims Targeted")</f>
        <v>Victims Targeted</v>
      </c>
      <c r="Z138" s="5" t="str">
        <f ca="1">IFERROR(__xludf.DUMMYFUNCTION("""COMPUTED_VALUE"""),"No")</f>
        <v>No</v>
      </c>
      <c r="AA138" s="5"/>
      <c r="AB138" s="5" t="str">
        <f ca="1">IFERROR(__xludf.DUMMYFUNCTION("""COMPUTED_VALUE"""),"No")</f>
        <v>No</v>
      </c>
      <c r="AC138" s="5" t="str">
        <f ca="1">IFERROR(__xludf.DUMMYFUNCTION("""COMPUTED_VALUE"""),"No")</f>
        <v>No</v>
      </c>
      <c r="AD138" s="5" t="str">
        <f ca="1">IFERROR(__xludf.DUMMYFUNCTION("""COMPUTED_VALUE"""),"No")</f>
        <v>No</v>
      </c>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row>
    <row r="139" spans="1:34" ht="12.75">
      <c r="A139" s="5" t="str">
        <f ca="1">IFERROR(__xludf.DUMMYFUNCTION("""COMPUTED_VALUE"""),"20220310MDCOL")</f>
        <v>20220310MDCOL</v>
      </c>
      <c r="B139" s="8">
        <f ca="1">IFERROR(__xludf.DUMMYFUNCTION("""COMPUTED_VALUE"""),44630)</f>
        <v>44630</v>
      </c>
      <c r="C139" s="5" t="str">
        <f ca="1">IFERROR(__xludf.DUMMYFUNCTION("""COMPUTED_VALUE"""),"Cora L. Rice Elementary School")</f>
        <v>Cora L. Rice Elementary School</v>
      </c>
      <c r="D139" s="5">
        <f ca="1">IFERROR(__xludf.DUMMYFUNCTION("""COMPUTED_VALUE"""),1)</f>
        <v>1</v>
      </c>
      <c r="E139" s="5">
        <f ca="1">IFERROR(__xludf.DUMMYFUNCTION("""COMPUTED_VALUE"""),0)</f>
        <v>0</v>
      </c>
      <c r="F139" s="5">
        <f ca="1">IFERROR(__xludf.DUMMYFUNCTION("""COMPUTED_VALUE"""),1)</f>
        <v>1</v>
      </c>
      <c r="G139" s="5">
        <f ca="1">IFERROR(__xludf.DUMMYFUNCTION("""COMPUTED_VALUE"""),0)</f>
        <v>0</v>
      </c>
      <c r="H139"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I139" s="5">
        <f ca="1">IFERROR(__xludf.DUMMYFUNCTION("""COMPUTED_VALUE"""),2)</f>
        <v>2</v>
      </c>
      <c r="J139" s="5" t="str">
        <f ca="1">IFERROR(__xludf.DUMMYFUNCTION("""COMPUTED_VALUE"""),"Local")</f>
        <v>Local</v>
      </c>
      <c r="K139" s="5">
        <f ca="1">IFERROR(__xludf.DUMMYFUNCTION("""COMPUTED_VALUE"""),3)</f>
        <v>3</v>
      </c>
      <c r="L139" s="5" t="str">
        <f ca="1">IFERROR(__xludf.DUMMYFUNCTION("""COMPUTED_VALUE"""),"Spring")</f>
        <v>Spring</v>
      </c>
      <c r="M139" s="5" t="str">
        <f ca="1">IFERROR(__xludf.DUMMYFUNCTION("""COMPUTED_VALUE"""),"Landover")</f>
        <v>Landover</v>
      </c>
      <c r="N139" s="5" t="str">
        <f ca="1">IFERROR(__xludf.DUMMYFUNCTION("""COMPUTED_VALUE"""),"MD")</f>
        <v>MD</v>
      </c>
      <c r="O139" s="5" t="str">
        <f ca="1">IFERROR(__xludf.DUMMYFUNCTION("""COMPUTED_VALUE"""),"Elementary")</f>
        <v>Elementary</v>
      </c>
      <c r="P139" s="5" t="str">
        <f ca="1">IFERROR(__xludf.DUMMYFUNCTION("""COMPUTED_VALUE"""),"Front of School")</f>
        <v>Front of School</v>
      </c>
      <c r="Q139" s="5" t="str">
        <f ca="1">IFERROR(__xludf.DUMMYFUNCTION("""COMPUTED_VALUE"""),"Outside on School Property")</f>
        <v>Outside on School Property</v>
      </c>
      <c r="R139" s="5" t="str">
        <f ca="1">IFERROR(__xludf.DUMMYFUNCTION("""COMPUTED_VALUE"""),"Yes")</f>
        <v>Yes</v>
      </c>
      <c r="S139" s="5" t="str">
        <f ca="1">IFERROR(__xludf.DUMMYFUNCTION("""COMPUTED_VALUE"""),"Dismissal")</f>
        <v>Dismissal</v>
      </c>
      <c r="T139" s="10">
        <f ca="1">IFERROR(__xludf.DUMMYFUNCTION("""COMPUTED_VALUE"""),0.09375)</f>
        <v>9.375E-2</v>
      </c>
      <c r="U139" s="5">
        <f ca="1">IFERROR(__xludf.DUMMYFUNCTION("""COMPUTED_VALUE"""),1)</f>
        <v>1</v>
      </c>
      <c r="V139" s="5" t="str">
        <f ca="1">IFERROR(__xludf.DUMMYFUNCTION("""COMPUTED_VALUE"""),"Adult man killed and school bus struck by bullet at dismissal")</f>
        <v>Adult man killed and school bus struck by bullet at dismissal</v>
      </c>
      <c r="W139"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X139" s="5"/>
      <c r="Y139" s="5" t="str">
        <f ca="1">IFERROR(__xludf.DUMMYFUNCTION("""COMPUTED_VALUE"""),"Victims Targeted")</f>
        <v>Victims Targeted</v>
      </c>
      <c r="Z139" s="5" t="str">
        <f ca="1">IFERROR(__xludf.DUMMYFUNCTION("""COMPUTED_VALUE"""),"No")</f>
        <v>No</v>
      </c>
      <c r="AA139" s="5"/>
      <c r="AB139" s="5" t="str">
        <f ca="1">IFERROR(__xludf.DUMMYFUNCTION("""COMPUTED_VALUE"""),"No")</f>
        <v>No</v>
      </c>
      <c r="AC139" s="5" t="str">
        <f ca="1">IFERROR(__xludf.DUMMYFUNCTION("""COMPUTED_VALUE"""),"No")</f>
        <v>No</v>
      </c>
      <c r="AD139" s="5" t="str">
        <f ca="1">IFERROR(__xludf.DUMMYFUNCTION("""COMPUTED_VALUE"""),"No")</f>
        <v>No</v>
      </c>
      <c r="AE139" s="5" t="str">
        <f ca="1">IFERROR(__xludf.DUMMYFUNCTION("""COMPUTED_VALUE"""),"No")</f>
        <v>No</v>
      </c>
      <c r="AF139" s="5" t="str">
        <f ca="1">IFERROR(__xludf.DUMMYFUNCTION("""COMPUTED_VALUE"""),"No")</f>
        <v>No</v>
      </c>
      <c r="AG139" s="5"/>
      <c r="AH139" s="5" t="str">
        <f ca="1">IFERROR(__xludf.DUMMYFUNCTION("""COMPUTED_VALUE"""),"No")</f>
        <v>No</v>
      </c>
    </row>
    <row r="140" spans="1:34" ht="12.75">
      <c r="A140" s="5" t="str">
        <f ca="1">IFERROR(__xludf.DUMMYFUNCTION("""COMPUTED_VALUE"""),"20220310COROH")</f>
        <v>20220310COROH</v>
      </c>
      <c r="B140" s="8">
        <f ca="1">IFERROR(__xludf.DUMMYFUNCTION("""COMPUTED_VALUE"""),44630)</f>
        <v>44630</v>
      </c>
      <c r="C140" s="5" t="str">
        <f ca="1">IFERROR(__xludf.DUMMYFUNCTION("""COMPUTED_VALUE"""),"Rock Canyon High School")</f>
        <v>Rock Canyon High School</v>
      </c>
      <c r="D140" s="5">
        <f ca="1">IFERROR(__xludf.DUMMYFUNCTION("""COMPUTED_VALUE"""),0)</f>
        <v>0</v>
      </c>
      <c r="E140" s="5">
        <f ca="1">IFERROR(__xludf.DUMMYFUNCTION("""COMPUTED_VALUE"""),0)</f>
        <v>0</v>
      </c>
      <c r="F140" s="5">
        <f ca="1">IFERROR(__xludf.DUMMYFUNCTION("""COMPUTED_VALUE"""),0)</f>
        <v>0</v>
      </c>
      <c r="G140" s="5">
        <f ca="1">IFERROR(__xludf.DUMMYFUNCTION("""COMPUTED_VALUE"""),0)</f>
        <v>0</v>
      </c>
      <c r="H140" s="9" t="str">
        <f ca="1">IFERROR(__xludf.DUMMYFUNCTION("""COMPUTED_VALUE"""),"https://kdvr.com/news/local/student-brings-pellet-type-gun-to-rock-canyon-hs/")</f>
        <v>https://kdvr.com/news/local/student-brings-pellet-type-gun-to-rock-canyon-hs/</v>
      </c>
      <c r="I140" s="5">
        <f ca="1">IFERROR(__xludf.DUMMYFUNCTION("""COMPUTED_VALUE"""),2)</f>
        <v>2</v>
      </c>
      <c r="J140" s="5" t="str">
        <f ca="1">IFERROR(__xludf.DUMMYFUNCTION("""COMPUTED_VALUE"""),"Local")</f>
        <v>Local</v>
      </c>
      <c r="K140" s="5">
        <f ca="1">IFERROR(__xludf.DUMMYFUNCTION("""COMPUTED_VALUE"""),4)</f>
        <v>4</v>
      </c>
      <c r="L140" s="5" t="str">
        <f ca="1">IFERROR(__xludf.DUMMYFUNCTION("""COMPUTED_VALUE"""),"Spring")</f>
        <v>Spring</v>
      </c>
      <c r="M140" s="5" t="str">
        <f ca="1">IFERROR(__xludf.DUMMYFUNCTION("""COMPUTED_VALUE"""),"Highlands Ranch")</f>
        <v>Highlands Ranch</v>
      </c>
      <c r="N140" s="5" t="str">
        <f ca="1">IFERROR(__xludf.DUMMYFUNCTION("""COMPUTED_VALUE"""),"CO")</f>
        <v>CO</v>
      </c>
      <c r="O140" s="5" t="str">
        <f ca="1">IFERROR(__xludf.DUMMYFUNCTION("""COMPUTED_VALUE"""),"High")</f>
        <v>High</v>
      </c>
      <c r="P140" s="5" t="str">
        <f ca="1">IFERROR(__xludf.DUMMYFUNCTION("""COMPUTED_VALUE"""),"Parking Lot")</f>
        <v>Parking Lot</v>
      </c>
      <c r="Q140" s="5" t="str">
        <f ca="1">IFERROR(__xludf.DUMMYFUNCTION("""COMPUTED_VALUE"""),"Outside on School Property")</f>
        <v>Outside on School Property</v>
      </c>
      <c r="R140" s="5" t="str">
        <f ca="1">IFERROR(__xludf.DUMMYFUNCTION("""COMPUTED_VALUE"""),"Yes")</f>
        <v>Yes</v>
      </c>
      <c r="S140" s="5" t="str">
        <f ca="1">IFERROR(__xludf.DUMMYFUNCTION("""COMPUTED_VALUE"""),"Morning Classes")</f>
        <v>Morning Classes</v>
      </c>
      <c r="T140" s="10">
        <f ca="1">IFERROR(__xludf.DUMMYFUNCTION("""COMPUTED_VALUE"""),0.390277777777777)</f>
        <v>0.390277777777777</v>
      </c>
      <c r="U140" s="5">
        <f ca="1">IFERROR(__xludf.DUMMYFUNCTION("""COMPUTED_VALUE"""),1)</f>
        <v>1</v>
      </c>
      <c r="V140" s="5" t="str">
        <f ca="1">IFERROR(__xludf.DUMMYFUNCTION("""COMPUTED_VALUE"""),"Student fired toy rifle in the parking lot causing lockdown")</f>
        <v>Student fired toy rifle in the parking lot causing lockdown</v>
      </c>
      <c r="W140"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X140" s="5"/>
      <c r="Y140" s="5" t="str">
        <f ca="1">IFERROR(__xludf.DUMMYFUNCTION("""COMPUTED_VALUE"""),"Neither")</f>
        <v>Neither</v>
      </c>
      <c r="Z140" s="5" t="str">
        <f ca="1">IFERROR(__xludf.DUMMYFUNCTION("""COMPUTED_VALUE"""),"No")</f>
        <v>No</v>
      </c>
      <c r="AA140" s="5"/>
      <c r="AB140" s="5" t="str">
        <f ca="1">IFERROR(__xludf.DUMMYFUNCTION("""COMPUTED_VALUE"""),"No")</f>
        <v>No</v>
      </c>
      <c r="AC140" s="5" t="str">
        <f ca="1">IFERROR(__xludf.DUMMYFUNCTION("""COMPUTED_VALUE"""),"No")</f>
        <v>No</v>
      </c>
      <c r="AD140" s="5" t="str">
        <f ca="1">IFERROR(__xludf.DUMMYFUNCTION("""COMPUTED_VALUE"""),"No")</f>
        <v>No</v>
      </c>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row>
    <row r="141" spans="1:34" ht="12.75">
      <c r="A141" s="5" t="str">
        <f ca="1">IFERROR(__xludf.DUMMYFUNCTION("""COMPUTED_VALUE"""),"20220309TXNOH")</f>
        <v>20220309TXNOH</v>
      </c>
      <c r="B141" s="8">
        <f ca="1">IFERROR(__xludf.DUMMYFUNCTION("""COMPUTED_VALUE"""),44629)</f>
        <v>44629</v>
      </c>
      <c r="C141" s="5" t="str">
        <f ca="1">IFERROR(__xludf.DUMMYFUNCTION("""COMPUTED_VALUE"""),"Kimball High School")</f>
        <v>Kimball High School</v>
      </c>
      <c r="D141" s="5">
        <f ca="1">IFERROR(__xludf.DUMMYFUNCTION("""COMPUTED_VALUE"""),0)</f>
        <v>0</v>
      </c>
      <c r="E141" s="5">
        <f ca="1">IFERROR(__xludf.DUMMYFUNCTION("""COMPUTED_VALUE"""),1)</f>
        <v>1</v>
      </c>
      <c r="F141" s="5">
        <f ca="1">IFERROR(__xludf.DUMMYFUNCTION("""COMPUTED_VALUE"""),1)</f>
        <v>1</v>
      </c>
      <c r="G141" s="5">
        <f ca="1">IFERROR(__xludf.DUMMYFUNCTION("""COMPUTED_VALUE"""),0)</f>
        <v>0</v>
      </c>
      <c r="H141"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I141" s="5">
        <f ca="1">IFERROR(__xludf.DUMMYFUNCTION("""COMPUTED_VALUE"""),10)</f>
        <v>10</v>
      </c>
      <c r="J141" s="5" t="str">
        <f ca="1">IFERROR(__xludf.DUMMYFUNCTION("""COMPUTED_VALUE"""),"Regional")</f>
        <v>Regional</v>
      </c>
      <c r="K141" s="5">
        <f ca="1">IFERROR(__xludf.DUMMYFUNCTION("""COMPUTED_VALUE"""),4)</f>
        <v>4</v>
      </c>
      <c r="L141" s="5" t="str">
        <f ca="1">IFERROR(__xludf.DUMMYFUNCTION("""COMPUTED_VALUE"""),"Spring")</f>
        <v>Spring</v>
      </c>
      <c r="M141" s="5" t="str">
        <f ca="1">IFERROR(__xludf.DUMMYFUNCTION("""COMPUTED_VALUE"""),"Houston")</f>
        <v>Houston</v>
      </c>
      <c r="N141" s="5" t="str">
        <f ca="1">IFERROR(__xludf.DUMMYFUNCTION("""COMPUTED_VALUE"""),"TX")</f>
        <v>TX</v>
      </c>
      <c r="O141" s="5" t="str">
        <f ca="1">IFERROR(__xludf.DUMMYFUNCTION("""COMPUTED_VALUE"""),"High")</f>
        <v>High</v>
      </c>
      <c r="P141" s="5" t="str">
        <f ca="1">IFERROR(__xludf.DUMMYFUNCTION("""COMPUTED_VALUE"""),"School Bus")</f>
        <v>School Bus</v>
      </c>
      <c r="Q141" s="5" t="str">
        <f ca="1">IFERROR(__xludf.DUMMYFUNCTION("""COMPUTED_VALUE"""),"School Bus")</f>
        <v>School Bus</v>
      </c>
      <c r="R141" s="5" t="str">
        <f ca="1">IFERROR(__xludf.DUMMYFUNCTION("""COMPUTED_VALUE"""),"No")</f>
        <v>No</v>
      </c>
      <c r="S141" s="5" t="str">
        <f ca="1">IFERROR(__xludf.DUMMYFUNCTION("""COMPUTED_VALUE"""),"Sport Event")</f>
        <v>Sport Event</v>
      </c>
      <c r="T141" s="10">
        <f ca="1">IFERROR(__xludf.DUMMYFUNCTION("""COMPUTED_VALUE"""),0.791666666666666)</f>
        <v>0.79166666666666596</v>
      </c>
      <c r="U141" s="5">
        <f ca="1">IFERROR(__xludf.DUMMYFUNCTION("""COMPUTED_VALUE"""),1)</f>
        <v>1</v>
      </c>
      <c r="V141" s="5" t="str">
        <f ca="1">IFERROR(__xludf.DUMMYFUNCTION("""COMPUTED_VALUE"""),"Team trainer shot in foot on bus after high school game")</f>
        <v>Team trainer shot in foot on bus after high school game</v>
      </c>
      <c r="W141"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X141" s="5" t="str">
        <f ca="1">IFERROR(__xludf.DUMMYFUNCTION("""COMPUTED_VALUE"""),"Accidental")</f>
        <v>Accidental</v>
      </c>
      <c r="Y141" s="5" t="str">
        <f ca="1">IFERROR(__xludf.DUMMYFUNCTION("""COMPUTED_VALUE"""),"Random Shooting")</f>
        <v>Random Shooting</v>
      </c>
      <c r="Z141" s="5" t="str">
        <f ca="1">IFERROR(__xludf.DUMMYFUNCTION("""COMPUTED_VALUE"""),"No")</f>
        <v>No</v>
      </c>
      <c r="AA141" s="5"/>
      <c r="AB141" s="5" t="str">
        <f ca="1">IFERROR(__xludf.DUMMYFUNCTION("""COMPUTED_VALUE"""),"No")</f>
        <v>No</v>
      </c>
      <c r="AC141" s="5" t="str">
        <f ca="1">IFERROR(__xludf.DUMMYFUNCTION("""COMPUTED_VALUE"""),"No")</f>
        <v>No</v>
      </c>
      <c r="AD141" s="5" t="str">
        <f ca="1">IFERROR(__xludf.DUMMYFUNCTION("""COMPUTED_VALUE"""),"No")</f>
        <v>No</v>
      </c>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row>
    <row r="142" spans="1:34" ht="12.75">
      <c r="A142" s="5" t="str">
        <f ca="1">IFERROR(__xludf.DUMMYFUNCTION("""COMPUTED_VALUE"""),"20220309NMESE")</f>
        <v>20220309NMESE</v>
      </c>
      <c r="B142" s="8">
        <f ca="1">IFERROR(__xludf.DUMMYFUNCTION("""COMPUTED_VALUE"""),44629)</f>
        <v>44629</v>
      </c>
      <c r="C142" s="5" t="str">
        <f ca="1">IFERROR(__xludf.DUMMYFUNCTION("""COMPUTED_VALUE"""),"Espanola Valley High School")</f>
        <v>Espanola Valley High School</v>
      </c>
      <c r="D142" s="5">
        <f ca="1">IFERROR(__xludf.DUMMYFUNCTION("""COMPUTED_VALUE"""),0)</f>
        <v>0</v>
      </c>
      <c r="E142" s="5">
        <f ca="1">IFERROR(__xludf.DUMMYFUNCTION("""COMPUTED_VALUE"""),0)</f>
        <v>0</v>
      </c>
      <c r="F142" s="5">
        <f ca="1">IFERROR(__xludf.DUMMYFUNCTION("""COMPUTED_VALUE"""),0)</f>
        <v>0</v>
      </c>
      <c r="G142" s="5">
        <f ca="1">IFERROR(__xludf.DUMMYFUNCTION("""COMPUTED_VALUE"""),0)</f>
        <v>0</v>
      </c>
      <c r="H142" s="9" t="str">
        <f ca="1">IFERROR(__xludf.DUMMYFUNCTION("""COMPUTED_VALUE"""),"https://www.krqe.com/sports/high-school-sports/del-norte-school-bus-shot-with-paintballs-after-espanola-game/")</f>
        <v>https://www.krqe.com/sports/high-school-sports/del-norte-school-bus-shot-with-paintballs-after-espanola-game/</v>
      </c>
      <c r="I142" s="5">
        <f ca="1">IFERROR(__xludf.DUMMYFUNCTION("""COMPUTED_VALUE"""),1)</f>
        <v>1</v>
      </c>
      <c r="J142" s="5" t="str">
        <f ca="1">IFERROR(__xludf.DUMMYFUNCTION("""COMPUTED_VALUE"""),"Local")</f>
        <v>Local</v>
      </c>
      <c r="K142" s="5">
        <f ca="1">IFERROR(__xludf.DUMMYFUNCTION("""COMPUTED_VALUE"""),3)</f>
        <v>3</v>
      </c>
      <c r="L142" s="5" t="str">
        <f ca="1">IFERROR(__xludf.DUMMYFUNCTION("""COMPUTED_VALUE"""),"Spring")</f>
        <v>Spring</v>
      </c>
      <c r="M142" s="5" t="str">
        <f ca="1">IFERROR(__xludf.DUMMYFUNCTION("""COMPUTED_VALUE"""),"Espanola")</f>
        <v>Espanola</v>
      </c>
      <c r="N142" s="5" t="str">
        <f ca="1">IFERROR(__xludf.DUMMYFUNCTION("""COMPUTED_VALUE"""),"NM")</f>
        <v>NM</v>
      </c>
      <c r="O142" s="5" t="str">
        <f ca="1">IFERROR(__xludf.DUMMYFUNCTION("""COMPUTED_VALUE"""),"High")</f>
        <v>High</v>
      </c>
      <c r="P142" s="5" t="str">
        <f ca="1">IFERROR(__xludf.DUMMYFUNCTION("""COMPUTED_VALUE"""),"Parking Lot")</f>
        <v>Parking Lot</v>
      </c>
      <c r="Q142" s="5" t="str">
        <f ca="1">IFERROR(__xludf.DUMMYFUNCTION("""COMPUTED_VALUE"""),"Outside on School Property")</f>
        <v>Outside on School Property</v>
      </c>
      <c r="R142" s="5" t="str">
        <f ca="1">IFERROR(__xludf.DUMMYFUNCTION("""COMPUTED_VALUE"""),"No")</f>
        <v>No</v>
      </c>
      <c r="S142" s="5" t="str">
        <f ca="1">IFERROR(__xludf.DUMMYFUNCTION("""COMPUTED_VALUE"""),"Sport Event")</f>
        <v>Sport Event</v>
      </c>
      <c r="T142" s="10">
        <f ca="1">IFERROR(__xludf.DUMMYFUNCTION("""COMPUTED_VALUE"""),0.875)</f>
        <v>0.875</v>
      </c>
      <c r="U142" s="5">
        <f ca="1">IFERROR(__xludf.DUMMYFUNCTION("""COMPUTED_VALUE"""),1)</f>
        <v>1</v>
      </c>
      <c r="V142" s="5" t="str">
        <f ca="1">IFERROR(__xludf.DUMMYFUNCTION("""COMPUTED_VALUE"""),"Paintballs fired a team bus in parking lot")</f>
        <v>Paintballs fired a team bus in parking lot</v>
      </c>
      <c r="W142"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X142" s="5" t="str">
        <f ca="1">IFERROR(__xludf.DUMMYFUNCTION("""COMPUTED_VALUE"""),"Intentional Property Damage")</f>
        <v>Intentional Property Damage</v>
      </c>
      <c r="Y142" s="5" t="str">
        <f ca="1">IFERROR(__xludf.DUMMYFUNCTION("""COMPUTED_VALUE"""),"Neither")</f>
        <v>Neither</v>
      </c>
      <c r="Z142" s="5" t="str">
        <f ca="1">IFERROR(__xludf.DUMMYFUNCTION("""COMPUTED_VALUE"""),"No")</f>
        <v>No</v>
      </c>
      <c r="AA142" s="5"/>
      <c r="AB142" s="5" t="str">
        <f ca="1">IFERROR(__xludf.DUMMYFUNCTION("""COMPUTED_VALUE"""),"No")</f>
        <v>No</v>
      </c>
      <c r="AC142" s="5" t="str">
        <f ca="1">IFERROR(__xludf.DUMMYFUNCTION("""COMPUTED_VALUE"""),"No")</f>
        <v>No</v>
      </c>
      <c r="AD142" s="5" t="str">
        <f ca="1">IFERROR(__xludf.DUMMYFUNCTION("""COMPUTED_VALUE"""),"No")</f>
        <v>No</v>
      </c>
      <c r="AE142" s="5" t="str">
        <f ca="1">IFERROR(__xludf.DUMMYFUNCTION("""COMPUTED_VALUE"""),"No")</f>
        <v>No</v>
      </c>
      <c r="AF142" s="5" t="str">
        <f ca="1">IFERROR(__xludf.DUMMYFUNCTION("""COMPUTED_VALUE"""),"No")</f>
        <v>No</v>
      </c>
      <c r="AG142" s="5"/>
      <c r="AH142" s="5" t="str">
        <f ca="1">IFERROR(__xludf.DUMMYFUNCTION("""COMPUTED_VALUE"""),"No")</f>
        <v>No</v>
      </c>
    </row>
    <row r="143" spans="1:34" ht="12.75">
      <c r="A143" s="5" t="str">
        <f ca="1">IFERROR(__xludf.DUMMYFUNCTION("""COMPUTED_VALUE"""),"20220309FLNOM")</f>
        <v>20220309FLNOM</v>
      </c>
      <c r="B143" s="8">
        <f ca="1">IFERROR(__xludf.DUMMYFUNCTION("""COMPUTED_VALUE"""),44629)</f>
        <v>44629</v>
      </c>
      <c r="C143" s="5" t="str">
        <f ca="1">IFERROR(__xludf.DUMMYFUNCTION("""COMPUTED_VALUE"""),"North Gardens High School")</f>
        <v>North Gardens High School</v>
      </c>
      <c r="D143" s="5">
        <f ca="1">IFERROR(__xludf.DUMMYFUNCTION("""COMPUTED_VALUE"""),0)</f>
        <v>0</v>
      </c>
      <c r="E143" s="5">
        <f ca="1">IFERROR(__xludf.DUMMYFUNCTION("""COMPUTED_VALUE"""),3)</f>
        <v>3</v>
      </c>
      <c r="F143" s="5">
        <f ca="1">IFERROR(__xludf.DUMMYFUNCTION("""COMPUTED_VALUE"""),3)</f>
        <v>3</v>
      </c>
      <c r="G143" s="5">
        <f ca="1">IFERROR(__xludf.DUMMYFUNCTION("""COMPUTED_VALUE"""),0)</f>
        <v>0</v>
      </c>
      <c r="H143"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I143" s="5">
        <f ca="1">IFERROR(__xludf.DUMMYFUNCTION("""COMPUTED_VALUE"""),10)</f>
        <v>10</v>
      </c>
      <c r="J143" s="5" t="str">
        <f ca="1">IFERROR(__xludf.DUMMYFUNCTION("""COMPUTED_VALUE"""),"Local")</f>
        <v>Local</v>
      </c>
      <c r="K143" s="5">
        <f ca="1">IFERROR(__xludf.DUMMYFUNCTION("""COMPUTED_VALUE"""),4)</f>
        <v>4</v>
      </c>
      <c r="L143" s="5" t="str">
        <f ca="1">IFERROR(__xludf.DUMMYFUNCTION("""COMPUTED_VALUE"""),"Spring")</f>
        <v>Spring</v>
      </c>
      <c r="M143" s="5" t="str">
        <f ca="1">IFERROR(__xludf.DUMMYFUNCTION("""COMPUTED_VALUE"""),"Miami Gardens")</f>
        <v>Miami Gardens</v>
      </c>
      <c r="N143" s="5" t="str">
        <f ca="1">IFERROR(__xludf.DUMMYFUNCTION("""COMPUTED_VALUE"""),"FL")</f>
        <v>FL</v>
      </c>
      <c r="O143" s="5" t="str">
        <f ca="1">IFERROR(__xludf.DUMMYFUNCTION("""COMPUTED_VALUE"""),"High")</f>
        <v>High</v>
      </c>
      <c r="P143" s="5" t="str">
        <f ca="1">IFERROR(__xludf.DUMMYFUNCTION("""COMPUTED_VALUE"""),"Front of School")</f>
        <v>Front of School</v>
      </c>
      <c r="Q143" s="5" t="str">
        <f ca="1">IFERROR(__xludf.DUMMYFUNCTION("""COMPUTED_VALUE"""),"Both Inside/Outside")</f>
        <v>Both Inside/Outside</v>
      </c>
      <c r="R143" s="5" t="str">
        <f ca="1">IFERROR(__xludf.DUMMYFUNCTION("""COMPUTED_VALUE"""),"Yes")</f>
        <v>Yes</v>
      </c>
      <c r="S143" s="5" t="str">
        <f ca="1">IFERROR(__xludf.DUMMYFUNCTION("""COMPUTED_VALUE"""),"Afternoon Classes")</f>
        <v>Afternoon Classes</v>
      </c>
      <c r="T143" s="10">
        <f ca="1">IFERROR(__xludf.DUMMYFUNCTION("""COMPUTED_VALUE"""),0.5625)</f>
        <v>0.5625</v>
      </c>
      <c r="U143" s="5">
        <f ca="1">IFERROR(__xludf.DUMMYFUNCTION("""COMPUTED_VALUE"""),1)</f>
        <v>1</v>
      </c>
      <c r="V143" s="5" t="str">
        <f ca="1">IFERROR(__xludf.DUMMYFUNCTION("""COMPUTED_VALUE"""),"Teens fired from car into school building striking 3 students")</f>
        <v>Teens fired from car into school building striking 3 students</v>
      </c>
      <c r="W143"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X143" s="5" t="str">
        <f ca="1">IFERROR(__xludf.DUMMYFUNCTION("""COMPUTED_VALUE"""),"Drive-by Shooting")</f>
        <v>Drive-by Shooting</v>
      </c>
      <c r="Y143" s="5" t="str">
        <f ca="1">IFERROR(__xludf.DUMMYFUNCTION("""COMPUTED_VALUE"""),"Both")</f>
        <v>Both</v>
      </c>
      <c r="Z143" s="5" t="str">
        <f ca="1">IFERROR(__xludf.DUMMYFUNCTION("""COMPUTED_VALUE"""),"Yes")</f>
        <v>Yes</v>
      </c>
      <c r="AA143" s="5" t="str">
        <f ca="1">IFERROR(__xludf.DUMMYFUNCTION("""COMPUTED_VALUE"""),"Two teens")</f>
        <v>Two teens</v>
      </c>
      <c r="AB143" s="5" t="str">
        <f ca="1">IFERROR(__xludf.DUMMYFUNCTION("""COMPUTED_VALUE"""),"No")</f>
        <v>No</v>
      </c>
      <c r="AC143" s="5" t="str">
        <f ca="1">IFERROR(__xludf.DUMMYFUNCTION("""COMPUTED_VALUE"""),"No")</f>
        <v>No</v>
      </c>
      <c r="AD143" s="5" t="str">
        <f ca="1">IFERROR(__xludf.DUMMYFUNCTION("""COMPUTED_VALUE"""),"No")</f>
        <v>No</v>
      </c>
      <c r="AE143" s="5" t="str">
        <f ca="1">IFERROR(__xludf.DUMMYFUNCTION("""COMPUTED_VALUE"""),"No")</f>
        <v>No</v>
      </c>
      <c r="AF143" s="5" t="str">
        <f ca="1">IFERROR(__xludf.DUMMYFUNCTION("""COMPUTED_VALUE"""),"No")</f>
        <v>No</v>
      </c>
      <c r="AG143" s="5"/>
      <c r="AH143" s="5" t="str">
        <f ca="1">IFERROR(__xludf.DUMMYFUNCTION("""COMPUTED_VALUE"""),"No")</f>
        <v>No</v>
      </c>
    </row>
    <row r="144" spans="1:34" ht="12.75">
      <c r="A144" s="5" t="str">
        <f ca="1">IFERROR(__xludf.DUMMYFUNCTION("""COMPUTED_VALUE"""),"20220307IAEAD")</f>
        <v>20220307IAEAD</v>
      </c>
      <c r="B144" s="8">
        <f ca="1">IFERROR(__xludf.DUMMYFUNCTION("""COMPUTED_VALUE"""),44627)</f>
        <v>44627</v>
      </c>
      <c r="C144" s="5" t="str">
        <f ca="1">IFERROR(__xludf.DUMMYFUNCTION("""COMPUTED_VALUE"""),"East High School")</f>
        <v>East High School</v>
      </c>
      <c r="D144" s="5">
        <f ca="1">IFERROR(__xludf.DUMMYFUNCTION("""COMPUTED_VALUE"""),1)</f>
        <v>1</v>
      </c>
      <c r="E144" s="5">
        <f ca="1">IFERROR(__xludf.DUMMYFUNCTION("""COMPUTED_VALUE"""),2)</f>
        <v>2</v>
      </c>
      <c r="F144" s="5">
        <f ca="1">IFERROR(__xludf.DUMMYFUNCTION("""COMPUTED_VALUE"""),3)</f>
        <v>3</v>
      </c>
      <c r="G144" s="5">
        <f ca="1">IFERROR(__xludf.DUMMYFUNCTION("""COMPUTED_VALUE"""),0)</f>
        <v>0</v>
      </c>
      <c r="H144"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f>
        <v>https://www.kcci.com/article/shooting-reported-outside-des-moines-iowa-school/39359495# https://www.desmoinesregister.com/story/news/crime-and-courts/2022/03/07/des-moines-police-responding-to-report-of-multiple-people-shot-outside-des-moines-east-high-school/9416980002/</v>
      </c>
      <c r="I144" s="5">
        <f ca="1">IFERROR(__xludf.DUMMYFUNCTION("""COMPUTED_VALUE"""),100)</f>
        <v>100</v>
      </c>
      <c r="J144" s="5" t="str">
        <f ca="1">IFERROR(__xludf.DUMMYFUNCTION("""COMPUTED_VALUE"""),"National")</f>
        <v>National</v>
      </c>
      <c r="K144" s="5">
        <f ca="1">IFERROR(__xludf.DUMMYFUNCTION("""COMPUTED_VALUE"""),4)</f>
        <v>4</v>
      </c>
      <c r="L144" s="5" t="str">
        <f ca="1">IFERROR(__xludf.DUMMYFUNCTION("""COMPUTED_VALUE"""),"Spring")</f>
        <v>Spring</v>
      </c>
      <c r="M144" s="5" t="str">
        <f ca="1">IFERROR(__xludf.DUMMYFUNCTION("""COMPUTED_VALUE"""),"Des Moines")</f>
        <v>Des Moines</v>
      </c>
      <c r="N144" s="5" t="str">
        <f ca="1">IFERROR(__xludf.DUMMYFUNCTION("""COMPUTED_VALUE"""),"IA")</f>
        <v>IA</v>
      </c>
      <c r="O144" s="5" t="str">
        <f ca="1">IFERROR(__xludf.DUMMYFUNCTION("""COMPUTED_VALUE"""),"High")</f>
        <v>High</v>
      </c>
      <c r="P144" s="5" t="str">
        <f ca="1">IFERROR(__xludf.DUMMYFUNCTION("""COMPUTED_VALUE"""),"Front of School")</f>
        <v>Front of School</v>
      </c>
      <c r="Q144" s="5" t="str">
        <f ca="1">IFERROR(__xludf.DUMMYFUNCTION("""COMPUTED_VALUE"""),"Outside on School Property")</f>
        <v>Outside on School Property</v>
      </c>
      <c r="R144" s="5" t="str">
        <f ca="1">IFERROR(__xludf.DUMMYFUNCTION("""COMPUTED_VALUE"""),"Yes")</f>
        <v>Yes</v>
      </c>
      <c r="S144" s="5" t="str">
        <f ca="1">IFERROR(__xludf.DUMMYFUNCTION("""COMPUTED_VALUE"""),"Dismissal")</f>
        <v>Dismissal</v>
      </c>
      <c r="T144" s="10">
        <f ca="1">IFERROR(__xludf.DUMMYFUNCTION("""COMPUTED_VALUE"""),0.118055555555555)</f>
        <v>0.118055555555555</v>
      </c>
      <c r="U144" s="5">
        <f ca="1">IFERROR(__xludf.DUMMYFUNCTION("""COMPUTED_VALUE"""),1)</f>
        <v>1</v>
      </c>
      <c r="V144" s="5" t="str">
        <f ca="1">IFERROR(__xludf.DUMMYFUNCTION("""COMPUTED_VALUE"""),"3 teens shot in front of school at dismissal")</f>
        <v>3 teens shot in front of school at dismissal</v>
      </c>
      <c r="W144" s="5" t="str">
        <f ca="1">IFERROR(__xludf.DUMMYFUNCTION("""COMPUTED_VALUE"""),"A 15-year-old male non-student and two female students (16 and 18) were shot during a drive-by shooting in front of the school. 40 shots were fired from 3 different vehicles. Six teens (age 14-17 fired shots, police recorded 6 handguns during search warra"&amp;"nts). The male teen killed was the target and the two girls were bystanders. School went on lockdown. Witnesses said multiple shots were fired. Shooter fled. School cancelled the following day. All six teens charged with first degree murder and attempted "&amp;"murder.")</f>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X144" s="5" t="str">
        <f ca="1">IFERROR(__xludf.DUMMYFUNCTION("""COMPUTED_VALUE"""),"Drive-by Shooting")</f>
        <v>Drive-by Shooting</v>
      </c>
      <c r="Y144" s="5" t="str">
        <f ca="1">IFERROR(__xludf.DUMMYFUNCTION("""COMPUTED_VALUE"""),"Both")</f>
        <v>Both</v>
      </c>
      <c r="Z144" s="5" t="str">
        <f ca="1">IFERROR(__xludf.DUMMYFUNCTION("""COMPUTED_VALUE"""),"Yes")</f>
        <v>Yes</v>
      </c>
      <c r="AA144" s="5" t="str">
        <f ca="1">IFERROR(__xludf.DUMMYFUNCTION("""COMPUTED_VALUE"""),"6 teens arrested with 6 handguns")</f>
        <v>6 teens arrested with 6 handguns</v>
      </c>
      <c r="AB144" s="5" t="str">
        <f ca="1">IFERROR(__xludf.DUMMYFUNCTION("""COMPUTED_VALUE"""),"No")</f>
        <v>No</v>
      </c>
      <c r="AC144" s="5" t="str">
        <f ca="1">IFERROR(__xludf.DUMMYFUNCTION("""COMPUTED_VALUE"""),"No")</f>
        <v>No</v>
      </c>
      <c r="AD144" s="5" t="str">
        <f ca="1">IFERROR(__xludf.DUMMYFUNCTION("""COMPUTED_VALUE"""),"No")</f>
        <v>No</v>
      </c>
      <c r="AE144" s="5" t="str">
        <f ca="1">IFERROR(__xludf.DUMMYFUNCTION("""COMPUTED_VALUE"""),"No")</f>
        <v>No</v>
      </c>
      <c r="AF144" s="5" t="str">
        <f ca="1">IFERROR(__xludf.DUMMYFUNCTION("""COMPUTED_VALUE"""),"No")</f>
        <v>No</v>
      </c>
      <c r="AG144" s="5" t="str">
        <f ca="1">IFERROR(__xludf.DUMMYFUNCTION("""COMPUTED_VALUE"""),"Yes")</f>
        <v>Yes</v>
      </c>
      <c r="AH144" s="5" t="str">
        <f ca="1">IFERROR(__xludf.DUMMYFUNCTION("""COMPUTED_VALUE"""),"No")</f>
        <v>No</v>
      </c>
    </row>
    <row r="145" spans="1:34" ht="12.75">
      <c r="A145" s="5" t="str">
        <f ca="1">IFERROR(__xludf.DUMMYFUNCTION("""COMPUTED_VALUE"""),"20220304KSOLO")</f>
        <v>20220304KSOLO</v>
      </c>
      <c r="B145" s="8">
        <f ca="1">IFERROR(__xludf.DUMMYFUNCTION("""COMPUTED_VALUE"""),44624)</f>
        <v>44624</v>
      </c>
      <c r="C145" s="5" t="str">
        <f ca="1">IFERROR(__xludf.DUMMYFUNCTION("""COMPUTED_VALUE"""),"Olathe East High School")</f>
        <v>Olathe East High School</v>
      </c>
      <c r="D145" s="5">
        <f ca="1">IFERROR(__xludf.DUMMYFUNCTION("""COMPUTED_VALUE"""),0)</f>
        <v>0</v>
      </c>
      <c r="E145" s="5">
        <f ca="1">IFERROR(__xludf.DUMMYFUNCTION("""COMPUTED_VALUE"""),2)</f>
        <v>2</v>
      </c>
      <c r="F145" s="5">
        <f ca="1">IFERROR(__xludf.DUMMYFUNCTION("""COMPUTED_VALUE"""),2)</f>
        <v>2</v>
      </c>
      <c r="G145" s="5">
        <f ca="1">IFERROR(__xludf.DUMMYFUNCTION("""COMPUTED_VALUE"""),0)</f>
        <v>0</v>
      </c>
      <c r="H145"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I145" s="5">
        <f ca="1">IFERROR(__xludf.DUMMYFUNCTION("""COMPUTED_VALUE"""),100)</f>
        <v>100</v>
      </c>
      <c r="J145" s="5" t="str">
        <f ca="1">IFERROR(__xludf.DUMMYFUNCTION("""COMPUTED_VALUE"""),"National")</f>
        <v>National</v>
      </c>
      <c r="K145" s="5">
        <f ca="1">IFERROR(__xludf.DUMMYFUNCTION("""COMPUTED_VALUE"""),4)</f>
        <v>4</v>
      </c>
      <c r="L145" s="5" t="str">
        <f ca="1">IFERROR(__xludf.DUMMYFUNCTION("""COMPUTED_VALUE"""),"Spring")</f>
        <v>Spring</v>
      </c>
      <c r="M145" s="5" t="str">
        <f ca="1">IFERROR(__xludf.DUMMYFUNCTION("""COMPUTED_VALUE"""),"Olathe")</f>
        <v>Olathe</v>
      </c>
      <c r="N145" s="5" t="str">
        <f ca="1">IFERROR(__xludf.DUMMYFUNCTION("""COMPUTED_VALUE"""),"KS")</f>
        <v>KS</v>
      </c>
      <c r="O145" s="5" t="str">
        <f ca="1">IFERROR(__xludf.DUMMYFUNCTION("""COMPUTED_VALUE"""),"High")</f>
        <v>High</v>
      </c>
      <c r="P145" s="5" t="str">
        <f ca="1">IFERROR(__xludf.DUMMYFUNCTION("""COMPUTED_VALUE"""),"Office")</f>
        <v>Office</v>
      </c>
      <c r="Q145" s="5" t="str">
        <f ca="1">IFERROR(__xludf.DUMMYFUNCTION("""COMPUTED_VALUE"""),"Inside School Building")</f>
        <v>Inside School Building</v>
      </c>
      <c r="R145" s="5" t="str">
        <f ca="1">IFERROR(__xludf.DUMMYFUNCTION("""COMPUTED_VALUE"""),"Yes")</f>
        <v>Yes</v>
      </c>
      <c r="S145" s="5" t="str">
        <f ca="1">IFERROR(__xludf.DUMMYFUNCTION("""COMPUTED_VALUE"""),"Morning Classes")</f>
        <v>Morning Classes</v>
      </c>
      <c r="T145" s="10">
        <f ca="1">IFERROR(__xludf.DUMMYFUNCTION("""COMPUTED_VALUE"""),0.4375)</f>
        <v>0.4375</v>
      </c>
      <c r="U145" s="5">
        <f ca="1">IFERROR(__xludf.DUMMYFUNCTION("""COMPUTED_VALUE"""),1)</f>
        <v>1</v>
      </c>
      <c r="V145" s="5" t="str">
        <f ca="1">IFERROR(__xludf.DUMMYFUNCTION("""COMPUTED_VALUE"""),"Student shot principal and SRO in school office")</f>
        <v>Student shot principal and SRO in school office</v>
      </c>
      <c r="W145"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X145" s="5" t="str">
        <f ca="1">IFERROR(__xludf.DUMMYFUNCTION("""COMPUTED_VALUE"""),"Anger Over Grade/Suspension/Discipline")</f>
        <v>Anger Over Grade/Suspension/Discipline</v>
      </c>
      <c r="Y145" s="5" t="str">
        <f ca="1">IFERROR(__xludf.DUMMYFUNCTION("""COMPUTED_VALUE"""),"Victims Targeted")</f>
        <v>Victims Targeted</v>
      </c>
      <c r="Z145" s="5" t="str">
        <f ca="1">IFERROR(__xludf.DUMMYFUNCTION("""COMPUTED_VALUE"""),"No")</f>
        <v>No</v>
      </c>
      <c r="AA145" s="5"/>
      <c r="AB145" s="5" t="str">
        <f ca="1">IFERROR(__xludf.DUMMYFUNCTION("""COMPUTED_VALUE"""),"No")</f>
        <v>No</v>
      </c>
      <c r="AC145" s="5" t="str">
        <f ca="1">IFERROR(__xludf.DUMMYFUNCTION("""COMPUTED_VALUE"""),"No")</f>
        <v>No</v>
      </c>
      <c r="AD145" s="5" t="str">
        <f ca="1">IFERROR(__xludf.DUMMYFUNCTION("""COMPUTED_VALUE"""),"No")</f>
        <v>No</v>
      </c>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row>
    <row r="146" spans="1:34" ht="12.75">
      <c r="A146" s="5" t="str">
        <f ca="1">IFERROR(__xludf.DUMMYFUNCTION("""COMPUTED_VALUE"""),"20220303MIJWL")</f>
        <v>20220303MIJWL</v>
      </c>
      <c r="B146" s="8">
        <f ca="1">IFERROR(__xludf.DUMMYFUNCTION("""COMPUTED_VALUE"""),44623)</f>
        <v>44623</v>
      </c>
      <c r="C146" s="5" t="str">
        <f ca="1">IFERROR(__xludf.DUMMYFUNCTION("""COMPUTED_VALUE"""),"JW Sexton High School")</f>
        <v>JW Sexton High School</v>
      </c>
      <c r="D146" s="5">
        <f ca="1">IFERROR(__xludf.DUMMYFUNCTION("""COMPUTED_VALUE"""),0)</f>
        <v>0</v>
      </c>
      <c r="E146" s="5">
        <f ca="1">IFERROR(__xludf.DUMMYFUNCTION("""COMPUTED_VALUE"""),1)</f>
        <v>1</v>
      </c>
      <c r="F146" s="5">
        <f ca="1">IFERROR(__xludf.DUMMYFUNCTION("""COMPUTED_VALUE"""),1)</f>
        <v>1</v>
      </c>
      <c r="G146" s="5">
        <f ca="1">IFERROR(__xludf.DUMMYFUNCTION("""COMPUTED_VALUE"""),0)</f>
        <v>0</v>
      </c>
      <c r="H146"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I146" s="5">
        <f ca="1">IFERROR(__xludf.DUMMYFUNCTION("""COMPUTED_VALUE"""),3)</f>
        <v>3</v>
      </c>
      <c r="J146" s="5" t="str">
        <f ca="1">IFERROR(__xludf.DUMMYFUNCTION("""COMPUTED_VALUE"""),"Local")</f>
        <v>Local</v>
      </c>
      <c r="K146" s="5">
        <f ca="1">IFERROR(__xludf.DUMMYFUNCTION("""COMPUTED_VALUE"""),4)</f>
        <v>4</v>
      </c>
      <c r="L146" s="5" t="str">
        <f ca="1">IFERROR(__xludf.DUMMYFUNCTION("""COMPUTED_VALUE"""),"Winter")</f>
        <v>Winter</v>
      </c>
      <c r="M146" s="5" t="str">
        <f ca="1">IFERROR(__xludf.DUMMYFUNCTION("""COMPUTED_VALUE"""),"Lansing")</f>
        <v>Lansing</v>
      </c>
      <c r="N146" s="5" t="str">
        <f ca="1">IFERROR(__xludf.DUMMYFUNCTION("""COMPUTED_VALUE"""),"MI")</f>
        <v>MI</v>
      </c>
      <c r="O146" s="5" t="str">
        <f ca="1">IFERROR(__xludf.DUMMYFUNCTION("""COMPUTED_VALUE"""),"High")</f>
        <v>High</v>
      </c>
      <c r="P146" s="5" t="str">
        <f ca="1">IFERROR(__xludf.DUMMYFUNCTION("""COMPUTED_VALUE"""),"Parking Lot")</f>
        <v>Parking Lot</v>
      </c>
      <c r="Q146" s="5" t="str">
        <f ca="1">IFERROR(__xludf.DUMMYFUNCTION("""COMPUTED_VALUE"""),"Outside on School Property")</f>
        <v>Outside on School Property</v>
      </c>
      <c r="R146" s="5" t="str">
        <f ca="1">IFERROR(__xludf.DUMMYFUNCTION("""COMPUTED_VALUE"""),"Yes")</f>
        <v>Yes</v>
      </c>
      <c r="S146" s="5" t="str">
        <f ca="1">IFERROR(__xludf.DUMMYFUNCTION("""COMPUTED_VALUE"""),"Afternoon Classes")</f>
        <v>Afternoon Classes</v>
      </c>
      <c r="T146" s="10">
        <f ca="1">IFERROR(__xludf.DUMMYFUNCTION("""COMPUTED_VALUE"""),0.552083333333333)</f>
        <v>0.55208333333333304</v>
      </c>
      <c r="U146" s="5">
        <f ca="1">IFERROR(__xludf.DUMMYFUNCTION("""COMPUTED_VALUE"""),1)</f>
        <v>1</v>
      </c>
      <c r="V146" s="5" t="str">
        <f ca="1">IFERROR(__xludf.DUMMYFUNCTION("""COMPUTED_VALUE"""),"Teen shot in school parking lot following road rage incident")</f>
        <v>Teen shot in school parking lot following road rage incident</v>
      </c>
      <c r="W146"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X146" s="5" t="str">
        <f ca="1">IFERROR(__xludf.DUMMYFUNCTION("""COMPUTED_VALUE"""),"Escalation of Dispute")</f>
        <v>Escalation of Dispute</v>
      </c>
      <c r="Y146" s="5" t="str">
        <f ca="1">IFERROR(__xludf.DUMMYFUNCTION("""COMPUTED_VALUE"""),"Victims Targeted")</f>
        <v>Victims Targeted</v>
      </c>
      <c r="Z146" s="5" t="str">
        <f ca="1">IFERROR(__xludf.DUMMYFUNCTION("""COMPUTED_VALUE"""),"No")</f>
        <v>No</v>
      </c>
      <c r="AA146" s="5"/>
      <c r="AB146" s="5" t="str">
        <f ca="1">IFERROR(__xludf.DUMMYFUNCTION("""COMPUTED_VALUE"""),"No")</f>
        <v>No</v>
      </c>
      <c r="AC146" s="5" t="str">
        <f ca="1">IFERROR(__xludf.DUMMYFUNCTION("""COMPUTED_VALUE"""),"No")</f>
        <v>No</v>
      </c>
      <c r="AD146" s="5" t="str">
        <f ca="1">IFERROR(__xludf.DUMMYFUNCTION("""COMPUTED_VALUE"""),"No")</f>
        <v>No</v>
      </c>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row>
    <row r="147" spans="1:34" ht="12.75">
      <c r="A147" s="5" t="str">
        <f ca="1">IFERROR(__xludf.DUMMYFUNCTION("""COMPUTED_VALUE"""),"20220228NYBOB")</f>
        <v>20220228NYBOB</v>
      </c>
      <c r="B147" s="8">
        <f ca="1">IFERROR(__xludf.DUMMYFUNCTION("""COMPUTED_VALUE"""),44620)</f>
        <v>44620</v>
      </c>
      <c r="C147" s="5" t="str">
        <f ca="1">IFERROR(__xludf.DUMMYFUNCTION("""COMPUTED_VALUE"""),"Boys and Girls High School")</f>
        <v>Boys and Girls High School</v>
      </c>
      <c r="D147" s="5">
        <f ca="1">IFERROR(__xludf.DUMMYFUNCTION("""COMPUTED_VALUE"""),0)</f>
        <v>0</v>
      </c>
      <c r="E147" s="5">
        <f ca="1">IFERROR(__xludf.DUMMYFUNCTION("""COMPUTED_VALUE"""),1)</f>
        <v>1</v>
      </c>
      <c r="F147" s="5">
        <f ca="1">IFERROR(__xludf.DUMMYFUNCTION("""COMPUTED_VALUE"""),1)</f>
        <v>1</v>
      </c>
      <c r="G147" s="5">
        <f ca="1">IFERROR(__xludf.DUMMYFUNCTION("""COMPUTED_VALUE"""),0)</f>
        <v>0</v>
      </c>
      <c r="H147"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I147" s="5">
        <f ca="1">IFERROR(__xludf.DUMMYFUNCTION("""COMPUTED_VALUE"""),5)</f>
        <v>5</v>
      </c>
      <c r="J147" s="5" t="str">
        <f ca="1">IFERROR(__xludf.DUMMYFUNCTION("""COMPUTED_VALUE"""),"Regional")</f>
        <v>Regional</v>
      </c>
      <c r="K147" s="5">
        <f ca="1">IFERROR(__xludf.DUMMYFUNCTION("""COMPUTED_VALUE"""),4)</f>
        <v>4</v>
      </c>
      <c r="L147" s="5" t="str">
        <f ca="1">IFERROR(__xludf.DUMMYFUNCTION("""COMPUTED_VALUE"""),"Winter")</f>
        <v>Winter</v>
      </c>
      <c r="M147" s="5" t="str">
        <f ca="1">IFERROR(__xludf.DUMMYFUNCTION("""COMPUTED_VALUE"""),"Brooklyn")</f>
        <v>Brooklyn</v>
      </c>
      <c r="N147" s="5" t="str">
        <f ca="1">IFERROR(__xludf.DUMMYFUNCTION("""COMPUTED_VALUE"""),"NY")</f>
        <v>NY</v>
      </c>
      <c r="O147" s="5" t="str">
        <f ca="1">IFERROR(__xludf.DUMMYFUNCTION("""COMPUTED_VALUE"""),"High")</f>
        <v>High</v>
      </c>
      <c r="P147" s="5" t="str">
        <f ca="1">IFERROR(__xludf.DUMMYFUNCTION("""COMPUTED_VALUE"""),"Front of School")</f>
        <v>Front of School</v>
      </c>
      <c r="Q147" s="5" t="str">
        <f ca="1">IFERROR(__xludf.DUMMYFUNCTION("""COMPUTED_VALUE"""),"Outside on School Property")</f>
        <v>Outside on School Property</v>
      </c>
      <c r="R147" s="5" t="str">
        <f ca="1">IFERROR(__xludf.DUMMYFUNCTION("""COMPUTED_VALUE"""),"Yes")</f>
        <v>Yes</v>
      </c>
      <c r="S147" s="5" t="str">
        <f ca="1">IFERROR(__xludf.DUMMYFUNCTION("""COMPUTED_VALUE"""),"Dismissal")</f>
        <v>Dismissal</v>
      </c>
      <c r="T147" s="10">
        <f ca="1">IFERROR(__xludf.DUMMYFUNCTION("""COMPUTED_VALUE"""),0.618055555555555)</f>
        <v>0.61805555555555503</v>
      </c>
      <c r="U147" s="5">
        <f ca="1">IFERROR(__xludf.DUMMYFUNCTION("""COMPUTED_VALUE"""),1)</f>
        <v>1</v>
      </c>
      <c r="V147" s="5" t="str">
        <f ca="1">IFERROR(__xludf.DUMMYFUNCTION("""COMPUTED_VALUE"""),"Student shot at dismissal in front of school")</f>
        <v>Student shot at dismissal in front of school</v>
      </c>
      <c r="W147"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X147" s="5" t="str">
        <f ca="1">IFERROR(__xludf.DUMMYFUNCTION("""COMPUTED_VALUE"""),"Escalation of Dispute")</f>
        <v>Escalation of Dispute</v>
      </c>
      <c r="Y147" s="5" t="str">
        <f ca="1">IFERROR(__xludf.DUMMYFUNCTION("""COMPUTED_VALUE"""),"Both")</f>
        <v>Both</v>
      </c>
      <c r="Z147" s="5" t="str">
        <f ca="1">IFERROR(__xludf.DUMMYFUNCTION("""COMPUTED_VALUE"""),"No")</f>
        <v>No</v>
      </c>
      <c r="AA147" s="5"/>
      <c r="AB147" s="5" t="str">
        <f ca="1">IFERROR(__xludf.DUMMYFUNCTION("""COMPUTED_VALUE"""),"No")</f>
        <v>No</v>
      </c>
      <c r="AC147" s="5" t="str">
        <f ca="1">IFERROR(__xludf.DUMMYFUNCTION("""COMPUTED_VALUE"""),"No")</f>
        <v>No</v>
      </c>
      <c r="AD147" s="5" t="str">
        <f ca="1">IFERROR(__xludf.DUMMYFUNCTION("""COMPUTED_VALUE"""),"No")</f>
        <v>No</v>
      </c>
      <c r="AE147" s="5" t="str">
        <f ca="1">IFERROR(__xludf.DUMMYFUNCTION("""COMPUTED_VALUE"""),"No")</f>
        <v>No</v>
      </c>
      <c r="AF147" s="5" t="str">
        <f ca="1">IFERROR(__xludf.DUMMYFUNCTION("""COMPUTED_VALUE"""),"No")</f>
        <v>No</v>
      </c>
      <c r="AG147" s="5"/>
      <c r="AH147" s="5" t="str">
        <f ca="1">IFERROR(__xludf.DUMMYFUNCTION("""COMPUTED_VALUE"""),"No")</f>
        <v>No</v>
      </c>
    </row>
    <row r="148" spans="1:34" ht="12.75">
      <c r="A148" s="5" t="str">
        <f ca="1">IFERROR(__xludf.DUMMYFUNCTION("""COMPUTED_VALUE"""),"20220227DCDUW")</f>
        <v>20220227DCDUW</v>
      </c>
      <c r="B148" s="8">
        <f ca="1">IFERROR(__xludf.DUMMYFUNCTION("""COMPUTED_VALUE"""),44619)</f>
        <v>44619</v>
      </c>
      <c r="C148" s="5" t="str">
        <f ca="1">IFERROR(__xludf.DUMMYFUNCTION("""COMPUTED_VALUE"""),"Dunbar High School")</f>
        <v>Dunbar High School</v>
      </c>
      <c r="D148" s="5">
        <f ca="1">IFERROR(__xludf.DUMMYFUNCTION("""COMPUTED_VALUE"""),1)</f>
        <v>1</v>
      </c>
      <c r="E148" s="5">
        <f ca="1">IFERROR(__xludf.DUMMYFUNCTION("""COMPUTED_VALUE"""),0)</f>
        <v>0</v>
      </c>
      <c r="F148" s="5">
        <f ca="1">IFERROR(__xludf.DUMMYFUNCTION("""COMPUTED_VALUE"""),1)</f>
        <v>1</v>
      </c>
      <c r="G148" s="5">
        <f ca="1">IFERROR(__xludf.DUMMYFUNCTION("""COMPUTED_VALUE"""),0)</f>
        <v>0</v>
      </c>
      <c r="H148"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I148" s="5">
        <f ca="1">IFERROR(__xludf.DUMMYFUNCTION("""COMPUTED_VALUE"""),2)</f>
        <v>2</v>
      </c>
      <c r="J148" s="5" t="str">
        <f ca="1">IFERROR(__xludf.DUMMYFUNCTION("""COMPUTED_VALUE"""),"Local")</f>
        <v>Local</v>
      </c>
      <c r="K148" s="5">
        <f ca="1">IFERROR(__xludf.DUMMYFUNCTION("""COMPUTED_VALUE"""),3)</f>
        <v>3</v>
      </c>
      <c r="L148" s="5" t="str">
        <f ca="1">IFERROR(__xludf.DUMMYFUNCTION("""COMPUTED_VALUE"""),"Winter")</f>
        <v>Winter</v>
      </c>
      <c r="M148" s="5" t="str">
        <f ca="1">IFERROR(__xludf.DUMMYFUNCTION("""COMPUTED_VALUE"""),"Washington")</f>
        <v>Washington</v>
      </c>
      <c r="N148" s="5" t="str">
        <f ca="1">IFERROR(__xludf.DUMMYFUNCTION("""COMPUTED_VALUE"""),"DC")</f>
        <v>DC</v>
      </c>
      <c r="O148" s="5" t="str">
        <f ca="1">IFERROR(__xludf.DUMMYFUNCTION("""COMPUTED_VALUE"""),"High")</f>
        <v>High</v>
      </c>
      <c r="P148" s="5" t="str">
        <f ca="1">IFERROR(__xludf.DUMMYFUNCTION("""COMPUTED_VALUE"""),"Front of School")</f>
        <v>Front of School</v>
      </c>
      <c r="Q148" s="5" t="str">
        <f ca="1">IFERROR(__xludf.DUMMYFUNCTION("""COMPUTED_VALUE"""),"Outside on School Property")</f>
        <v>Outside on School Property</v>
      </c>
      <c r="R148" s="5" t="str">
        <f ca="1">IFERROR(__xludf.DUMMYFUNCTION("""COMPUTED_VALUE"""),"No")</f>
        <v>No</v>
      </c>
      <c r="S148" s="5" t="str">
        <f ca="1">IFERROR(__xludf.DUMMYFUNCTION("""COMPUTED_VALUE"""),"Not a School Day")</f>
        <v>Not a School Day</v>
      </c>
      <c r="T148" s="10">
        <f ca="1">IFERROR(__xludf.DUMMYFUNCTION("""COMPUTED_VALUE"""),0.215277777777777)</f>
        <v>0.21527777777777701</v>
      </c>
      <c r="U148" s="5">
        <f ca="1">IFERROR(__xludf.DUMMYFUNCTION("""COMPUTED_VALUE"""),1)</f>
        <v>1</v>
      </c>
      <c r="V148" s="5" t="str">
        <f ca="1">IFERROR(__xludf.DUMMYFUNCTION("""COMPUTED_VALUE"""),"Man fatally shot in front of school")</f>
        <v>Man fatally shot in front of school</v>
      </c>
      <c r="W148" s="5" t="str">
        <f ca="1">IFERROR(__xludf.DUMMYFUNCTION("""COMPUTED_VALUE"""),"A 32-year-old man was fatally shot in front of the school. Shooter fled.")</f>
        <v>A 32-year-old man was fatally shot in front of the school. Shooter fled.</v>
      </c>
      <c r="X148" s="5"/>
      <c r="Y148" s="5" t="str">
        <f ca="1">IFERROR(__xludf.DUMMYFUNCTION("""COMPUTED_VALUE"""),"Victims Targeted")</f>
        <v>Victims Targeted</v>
      </c>
      <c r="Z148" s="5" t="str">
        <f ca="1">IFERROR(__xludf.DUMMYFUNCTION("""COMPUTED_VALUE"""),"No")</f>
        <v>No</v>
      </c>
      <c r="AA148" s="5"/>
      <c r="AB148" s="5" t="str">
        <f ca="1">IFERROR(__xludf.DUMMYFUNCTION("""COMPUTED_VALUE"""),"No")</f>
        <v>No</v>
      </c>
      <c r="AC148" s="5" t="str">
        <f ca="1">IFERROR(__xludf.DUMMYFUNCTION("""COMPUTED_VALUE"""),"No")</f>
        <v>No</v>
      </c>
      <c r="AD148" s="5" t="str">
        <f ca="1">IFERROR(__xludf.DUMMYFUNCTION("""COMPUTED_VALUE"""),"No")</f>
        <v>No</v>
      </c>
      <c r="AE148" s="5" t="str">
        <f ca="1">IFERROR(__xludf.DUMMYFUNCTION("""COMPUTED_VALUE"""),"No")</f>
        <v>No</v>
      </c>
      <c r="AF148" s="5" t="str">
        <f ca="1">IFERROR(__xludf.DUMMYFUNCTION("""COMPUTED_VALUE"""),"No")</f>
        <v>No</v>
      </c>
      <c r="AG148" s="5"/>
      <c r="AH148" s="5" t="str">
        <f ca="1">IFERROR(__xludf.DUMMYFUNCTION("""COMPUTED_VALUE"""),"No")</f>
        <v>No</v>
      </c>
    </row>
    <row r="149" spans="1:34" ht="12.75">
      <c r="A149" s="5" t="str">
        <f ca="1">IFERROR(__xludf.DUMMYFUNCTION("""COMPUTED_VALUE"""),"20220225NMWEA")</f>
        <v>20220225NMWEA</v>
      </c>
      <c r="B149" s="8">
        <f ca="1">IFERROR(__xludf.DUMMYFUNCTION("""COMPUTED_VALUE"""),44617)</f>
        <v>44617</v>
      </c>
      <c r="C149" s="5" t="str">
        <f ca="1">IFERROR(__xludf.DUMMYFUNCTION("""COMPUTED_VALUE"""),"West Mesa High School")</f>
        <v>West Mesa High School</v>
      </c>
      <c r="D149" s="5">
        <f ca="1">IFERROR(__xludf.DUMMYFUNCTION("""COMPUTED_VALUE"""),1)</f>
        <v>1</v>
      </c>
      <c r="E149" s="5">
        <f ca="1">IFERROR(__xludf.DUMMYFUNCTION("""COMPUTED_VALUE"""),0)</f>
        <v>0</v>
      </c>
      <c r="F149" s="5">
        <f ca="1">IFERROR(__xludf.DUMMYFUNCTION("""COMPUTED_VALUE"""),1)</f>
        <v>1</v>
      </c>
      <c r="G149" s="5">
        <f ca="1">IFERROR(__xludf.DUMMYFUNCTION("""COMPUTED_VALUE"""),0)</f>
        <v>0</v>
      </c>
      <c r="H149"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I149" s="5">
        <f ca="1">IFERROR(__xludf.DUMMYFUNCTION("""COMPUTED_VALUE"""),100)</f>
        <v>100</v>
      </c>
      <c r="J149" s="5" t="str">
        <f ca="1">IFERROR(__xludf.DUMMYFUNCTION("""COMPUTED_VALUE"""),"National")</f>
        <v>National</v>
      </c>
      <c r="K149" s="5">
        <f ca="1">IFERROR(__xludf.DUMMYFUNCTION("""COMPUTED_VALUE"""),4)</f>
        <v>4</v>
      </c>
      <c r="L149" s="5" t="str">
        <f ca="1">IFERROR(__xludf.DUMMYFUNCTION("""COMPUTED_VALUE"""),"Winter")</f>
        <v>Winter</v>
      </c>
      <c r="M149" s="5" t="str">
        <f ca="1">IFERROR(__xludf.DUMMYFUNCTION("""COMPUTED_VALUE"""),"Albuquerque")</f>
        <v>Albuquerque</v>
      </c>
      <c r="N149" s="5" t="str">
        <f ca="1">IFERROR(__xludf.DUMMYFUNCTION("""COMPUTED_VALUE"""),"NM")</f>
        <v>NM</v>
      </c>
      <c r="O149" s="5" t="str">
        <f ca="1">IFERROR(__xludf.DUMMYFUNCTION("""COMPUTED_VALUE"""),"High")</f>
        <v>High</v>
      </c>
      <c r="P149" s="5" t="str">
        <f ca="1">IFERROR(__xludf.DUMMYFUNCTION("""COMPUTED_VALUE"""),"Football Field/Track")</f>
        <v>Football Field/Track</v>
      </c>
      <c r="Q149" s="5" t="str">
        <f ca="1">IFERROR(__xludf.DUMMYFUNCTION("""COMPUTED_VALUE"""),"Off School Property")</f>
        <v>Off School Property</v>
      </c>
      <c r="R149" s="5" t="str">
        <f ca="1">IFERROR(__xludf.DUMMYFUNCTION("""COMPUTED_VALUE"""),"Yes")</f>
        <v>Yes</v>
      </c>
      <c r="S149" s="5" t="str">
        <f ca="1">IFERROR(__xludf.DUMMYFUNCTION("""COMPUTED_VALUE"""),"Morning Classes")</f>
        <v>Morning Classes</v>
      </c>
      <c r="T149" s="10">
        <f ca="1">IFERROR(__xludf.DUMMYFUNCTION("""COMPUTED_VALUE"""),0.333333333333333)</f>
        <v>0.33333333333333298</v>
      </c>
      <c r="U149" s="5">
        <f ca="1">IFERROR(__xludf.DUMMYFUNCTION("""COMPUTED_VALUE"""),1)</f>
        <v>1</v>
      </c>
      <c r="V149" s="5" t="str">
        <f ca="1">IFERROR(__xludf.DUMMYFUNCTION("""COMPUTED_VALUE"""),"Student fatally shot another student during dispute over stolen ""ghost gun""")</f>
        <v>Student fatally shot another student during dispute over stolen "ghost gun"</v>
      </c>
      <c r="W149"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X149" s="5" t="str">
        <f ca="1">IFERROR(__xludf.DUMMYFUNCTION("""COMPUTED_VALUE"""),"Escalation of Dispute")</f>
        <v>Escalation of Dispute</v>
      </c>
      <c r="Y149" s="5" t="str">
        <f ca="1">IFERROR(__xludf.DUMMYFUNCTION("""COMPUTED_VALUE"""),"Victims Targeted")</f>
        <v>Victims Targeted</v>
      </c>
      <c r="Z149" s="5" t="str">
        <f ca="1">IFERROR(__xludf.DUMMYFUNCTION("""COMPUTED_VALUE"""),"No")</f>
        <v>No</v>
      </c>
      <c r="AA149" s="5"/>
      <c r="AB149" s="5" t="str">
        <f ca="1">IFERROR(__xludf.DUMMYFUNCTION("""COMPUTED_VALUE"""),"No")</f>
        <v>No</v>
      </c>
      <c r="AC149" s="5" t="str">
        <f ca="1">IFERROR(__xludf.DUMMYFUNCTION("""COMPUTED_VALUE"""),"No")</f>
        <v>No</v>
      </c>
      <c r="AD149" s="5" t="str">
        <f ca="1">IFERROR(__xludf.DUMMYFUNCTION("""COMPUTED_VALUE"""),"No")</f>
        <v>No</v>
      </c>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row>
    <row r="150" spans="1:34" ht="12.75">
      <c r="A150" s="5" t="str">
        <f ca="1">IFERROR(__xludf.DUMMYFUNCTION("""COMPUTED_VALUE"""),"20220225ALSOH")</f>
        <v>20220225ALSOH</v>
      </c>
      <c r="B150" s="8">
        <f ca="1">IFERROR(__xludf.DUMMYFUNCTION("""COMPUTED_VALUE"""),44617)</f>
        <v>44617</v>
      </c>
      <c r="C150" s="5" t="str">
        <f ca="1">IFERROR(__xludf.DUMMYFUNCTION("""COMPUTED_VALUE"""),"Sonnie Hereford Elementary")</f>
        <v>Sonnie Hereford Elementary</v>
      </c>
      <c r="D150" s="5">
        <f ca="1">IFERROR(__xludf.DUMMYFUNCTION("""COMPUTED_VALUE"""),0)</f>
        <v>0</v>
      </c>
      <c r="E150" s="5">
        <f ca="1">IFERROR(__xludf.DUMMYFUNCTION("""COMPUTED_VALUE"""),0)</f>
        <v>0</v>
      </c>
      <c r="F150" s="5">
        <f ca="1">IFERROR(__xludf.DUMMYFUNCTION("""COMPUTED_VALUE"""),0)</f>
        <v>0</v>
      </c>
      <c r="G150" s="5">
        <f ca="1">IFERROR(__xludf.DUMMYFUNCTION("""COMPUTED_VALUE"""),0)</f>
        <v>0</v>
      </c>
      <c r="H150"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I150" s="5">
        <f ca="1">IFERROR(__xludf.DUMMYFUNCTION("""COMPUTED_VALUE"""),10)</f>
        <v>10</v>
      </c>
      <c r="J150" s="5" t="str">
        <f ca="1">IFERROR(__xludf.DUMMYFUNCTION("""COMPUTED_VALUE"""),"Regional")</f>
        <v>Regional</v>
      </c>
      <c r="K150" s="5">
        <f ca="1">IFERROR(__xludf.DUMMYFUNCTION("""COMPUTED_VALUE"""),4)</f>
        <v>4</v>
      </c>
      <c r="L150" s="5" t="str">
        <f ca="1">IFERROR(__xludf.DUMMYFUNCTION("""COMPUTED_VALUE"""),"Winter")</f>
        <v>Winter</v>
      </c>
      <c r="M150" s="5" t="str">
        <f ca="1">IFERROR(__xludf.DUMMYFUNCTION("""COMPUTED_VALUE"""),"Huntsville")</f>
        <v>Huntsville</v>
      </c>
      <c r="N150" s="5" t="str">
        <f ca="1">IFERROR(__xludf.DUMMYFUNCTION("""COMPUTED_VALUE"""),"AL")</f>
        <v>AL</v>
      </c>
      <c r="O150" s="5" t="str">
        <f ca="1">IFERROR(__xludf.DUMMYFUNCTION("""COMPUTED_VALUE"""),"Elementary")</f>
        <v>Elementary</v>
      </c>
      <c r="P150" s="5" t="str">
        <f ca="1">IFERROR(__xludf.DUMMYFUNCTION("""COMPUTED_VALUE"""),"Classroom")</f>
        <v>Classroom</v>
      </c>
      <c r="Q150" s="5" t="str">
        <f ca="1">IFERROR(__xludf.DUMMYFUNCTION("""COMPUTED_VALUE"""),"Inside School Building")</f>
        <v>Inside School Building</v>
      </c>
      <c r="R150" s="5" t="str">
        <f ca="1">IFERROR(__xludf.DUMMYFUNCTION("""COMPUTED_VALUE"""),"Yes")</f>
        <v>Yes</v>
      </c>
      <c r="S150" s="5" t="str">
        <f ca="1">IFERROR(__xludf.DUMMYFUNCTION("""COMPUTED_VALUE"""),"Morning Classes")</f>
        <v>Morning Classes</v>
      </c>
      <c r="T150" s="10">
        <f ca="1">IFERROR(__xludf.DUMMYFUNCTION("""COMPUTED_VALUE"""),0.4375)</f>
        <v>0.4375</v>
      </c>
      <c r="U150" s="5">
        <f ca="1">IFERROR(__xludf.DUMMYFUNCTION("""COMPUTED_VALUE"""),1)</f>
        <v>1</v>
      </c>
      <c r="V150" s="5" t="str">
        <f ca="1">IFERROR(__xludf.DUMMYFUNCTION("""COMPUTED_VALUE"""),"4th grader shot themselves inside classroom")</f>
        <v>4th grader shot themselves inside classroom</v>
      </c>
      <c r="W150"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X150" s="5" t="str">
        <f ca="1">IFERROR(__xludf.DUMMYFUNCTION("""COMPUTED_VALUE"""),"Accidental")</f>
        <v>Accidental</v>
      </c>
      <c r="Y150" s="5" t="str">
        <f ca="1">IFERROR(__xludf.DUMMYFUNCTION("""COMPUTED_VALUE"""),"Neither")</f>
        <v>Neither</v>
      </c>
      <c r="Z150" s="5" t="str">
        <f ca="1">IFERROR(__xludf.DUMMYFUNCTION("""COMPUTED_VALUE"""),"No")</f>
        <v>No</v>
      </c>
      <c r="AA150" s="5"/>
      <c r="AB150" s="5" t="str">
        <f ca="1">IFERROR(__xludf.DUMMYFUNCTION("""COMPUTED_VALUE"""),"No")</f>
        <v>No</v>
      </c>
      <c r="AC150" s="5" t="str">
        <f ca="1">IFERROR(__xludf.DUMMYFUNCTION("""COMPUTED_VALUE"""),"No")</f>
        <v>No</v>
      </c>
      <c r="AD150" s="5" t="str">
        <f ca="1">IFERROR(__xludf.DUMMYFUNCTION("""COMPUTED_VALUE"""),"No")</f>
        <v>No</v>
      </c>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row>
    <row r="151" spans="1:34" ht="12.75">
      <c r="A151" s="5" t="str">
        <f ca="1">IFERROR(__xludf.DUMMYFUNCTION("""COMPUTED_VALUE"""),"20220223VAWOW")</f>
        <v>20220223VAWOW</v>
      </c>
      <c r="B151" s="8">
        <f ca="1">IFERROR(__xludf.DUMMYFUNCTION("""COMPUTED_VALUE"""),44615)</f>
        <v>44615</v>
      </c>
      <c r="C151" s="5" t="str">
        <f ca="1">IFERROR(__xludf.DUMMYFUNCTION("""COMPUTED_VALUE"""),"Woodbridge High School")</f>
        <v>Woodbridge High School</v>
      </c>
      <c r="D151" s="5">
        <f ca="1">IFERROR(__xludf.DUMMYFUNCTION("""COMPUTED_VALUE"""),0)</f>
        <v>0</v>
      </c>
      <c r="E151" s="5">
        <f ca="1">IFERROR(__xludf.DUMMYFUNCTION("""COMPUTED_VALUE"""),0)</f>
        <v>0</v>
      </c>
      <c r="F151" s="5">
        <f ca="1">IFERROR(__xludf.DUMMYFUNCTION("""COMPUTED_VALUE"""),0)</f>
        <v>0</v>
      </c>
      <c r="G151" s="5">
        <f ca="1">IFERROR(__xludf.DUMMYFUNCTION("""COMPUTED_VALUE"""),0)</f>
        <v>0</v>
      </c>
      <c r="H151"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I151" s="5">
        <f ca="1">IFERROR(__xludf.DUMMYFUNCTION("""COMPUTED_VALUE"""),2)</f>
        <v>2</v>
      </c>
      <c r="J151" s="5" t="str">
        <f ca="1">IFERROR(__xludf.DUMMYFUNCTION("""COMPUTED_VALUE"""),"Local")</f>
        <v>Local</v>
      </c>
      <c r="K151" s="5">
        <f ca="1">IFERROR(__xludf.DUMMYFUNCTION("""COMPUTED_VALUE"""),4)</f>
        <v>4</v>
      </c>
      <c r="L151" s="5" t="str">
        <f ca="1">IFERROR(__xludf.DUMMYFUNCTION("""COMPUTED_VALUE"""),"Winter")</f>
        <v>Winter</v>
      </c>
      <c r="M151" s="5" t="str">
        <f ca="1">IFERROR(__xludf.DUMMYFUNCTION("""COMPUTED_VALUE"""),"Woodbridge")</f>
        <v>Woodbridge</v>
      </c>
      <c r="N151" s="5" t="str">
        <f ca="1">IFERROR(__xludf.DUMMYFUNCTION("""COMPUTED_VALUE"""),"VA")</f>
        <v>VA</v>
      </c>
      <c r="O151" s="5" t="str">
        <f ca="1">IFERROR(__xludf.DUMMYFUNCTION("""COMPUTED_VALUE"""),"High")</f>
        <v>High</v>
      </c>
      <c r="P151" s="5" t="str">
        <f ca="1">IFERROR(__xludf.DUMMYFUNCTION("""COMPUTED_VALUE"""),"Parking Lot")</f>
        <v>Parking Lot</v>
      </c>
      <c r="Q151" s="5" t="str">
        <f ca="1">IFERROR(__xludf.DUMMYFUNCTION("""COMPUTED_VALUE"""),"Outside on School Property")</f>
        <v>Outside on School Property</v>
      </c>
      <c r="R151" s="5" t="str">
        <f ca="1">IFERROR(__xludf.DUMMYFUNCTION("""COMPUTED_VALUE"""),"No")</f>
        <v>No</v>
      </c>
      <c r="S151" s="5" t="str">
        <f ca="1">IFERROR(__xludf.DUMMYFUNCTION("""COMPUTED_VALUE"""),"Sport Event")</f>
        <v>Sport Event</v>
      </c>
      <c r="T151" s="10">
        <f ca="1">IFERROR(__xludf.DUMMYFUNCTION("""COMPUTED_VALUE"""),0.840277777777777)</f>
        <v>0.84027777777777701</v>
      </c>
      <c r="U151" s="5">
        <f ca="1">IFERROR(__xludf.DUMMYFUNCTION("""COMPUTED_VALUE"""),1)</f>
        <v>1</v>
      </c>
      <c r="V151" s="5" t="str">
        <f ca="1">IFERROR(__xludf.DUMMYFUNCTION("""COMPUTED_VALUE"""),"Shot fired during fight in parking lot outside basketball game")</f>
        <v>Shot fired during fight in parking lot outside basketball game</v>
      </c>
      <c r="W151"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X151" s="5" t="str">
        <f ca="1">IFERROR(__xludf.DUMMYFUNCTION("""COMPUTED_VALUE"""),"Escalation of Dispute")</f>
        <v>Escalation of Dispute</v>
      </c>
      <c r="Y151" s="5" t="str">
        <f ca="1">IFERROR(__xludf.DUMMYFUNCTION("""COMPUTED_VALUE"""),"Victims Targeted")</f>
        <v>Victims Targeted</v>
      </c>
      <c r="Z151" s="5" t="str">
        <f ca="1">IFERROR(__xludf.DUMMYFUNCTION("""COMPUTED_VALUE"""),"No")</f>
        <v>No</v>
      </c>
      <c r="AA151" s="5"/>
      <c r="AB151" s="5" t="str">
        <f ca="1">IFERROR(__xludf.DUMMYFUNCTION("""COMPUTED_VALUE"""),"No")</f>
        <v>No</v>
      </c>
      <c r="AC151" s="5" t="str">
        <f ca="1">IFERROR(__xludf.DUMMYFUNCTION("""COMPUTED_VALUE"""),"No")</f>
        <v>No</v>
      </c>
      <c r="AD151" s="5" t="str">
        <f ca="1">IFERROR(__xludf.DUMMYFUNCTION("""COMPUTED_VALUE"""),"No")</f>
        <v>No</v>
      </c>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row>
    <row r="152" spans="1:34" ht="12.75">
      <c r="A152" s="5" t="str">
        <f ca="1">IFERROR(__xludf.DUMMYFUNCTION("""COMPUTED_VALUE"""),"20220222TXALH")</f>
        <v>20220222TXALH</v>
      </c>
      <c r="B152" s="8">
        <f ca="1">IFERROR(__xludf.DUMMYFUNCTION("""COMPUTED_VALUE"""),44614)</f>
        <v>44614</v>
      </c>
      <c r="C152" s="5" t="str">
        <f ca="1">IFERROR(__xludf.DUMMYFUNCTION("""COMPUTED_VALUE"""),"Alief ISD Center for Advanced Careers")</f>
        <v>Alief ISD Center for Advanced Careers</v>
      </c>
      <c r="D152" s="5">
        <f ca="1">IFERROR(__xludf.DUMMYFUNCTION("""COMPUTED_VALUE"""),1)</f>
        <v>1</v>
      </c>
      <c r="E152" s="5">
        <f ca="1">IFERROR(__xludf.DUMMYFUNCTION("""COMPUTED_VALUE"""),0)</f>
        <v>0</v>
      </c>
      <c r="F152" s="5">
        <f ca="1">IFERROR(__xludf.DUMMYFUNCTION("""COMPUTED_VALUE"""),1)</f>
        <v>1</v>
      </c>
      <c r="G152" s="5">
        <f ca="1">IFERROR(__xludf.DUMMYFUNCTION("""COMPUTED_VALUE"""),0)</f>
        <v>0</v>
      </c>
      <c r="H152"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I152" s="5">
        <f ca="1">IFERROR(__xludf.DUMMYFUNCTION("""COMPUTED_VALUE"""),10)</f>
        <v>10</v>
      </c>
      <c r="J152" s="5" t="str">
        <f ca="1">IFERROR(__xludf.DUMMYFUNCTION("""COMPUTED_VALUE"""),"Regional")</f>
        <v>Regional</v>
      </c>
      <c r="K152" s="5">
        <f ca="1">IFERROR(__xludf.DUMMYFUNCTION("""COMPUTED_VALUE"""),4)</f>
        <v>4</v>
      </c>
      <c r="L152" s="5" t="str">
        <f ca="1">IFERROR(__xludf.DUMMYFUNCTION("""COMPUTED_VALUE"""),"Winter")</f>
        <v>Winter</v>
      </c>
      <c r="M152" s="5" t="str">
        <f ca="1">IFERROR(__xludf.DUMMYFUNCTION("""COMPUTED_VALUE"""),"Houston")</f>
        <v>Houston</v>
      </c>
      <c r="N152" s="5" t="str">
        <f ca="1">IFERROR(__xludf.DUMMYFUNCTION("""COMPUTED_VALUE"""),"TX")</f>
        <v>TX</v>
      </c>
      <c r="O152" s="5" t="str">
        <f ca="1">IFERROR(__xludf.DUMMYFUNCTION("""COMPUTED_VALUE"""),"High")</f>
        <v>High</v>
      </c>
      <c r="P152" s="5" t="str">
        <f ca="1">IFERROR(__xludf.DUMMYFUNCTION("""COMPUTED_VALUE"""),"Parking Lot")</f>
        <v>Parking Lot</v>
      </c>
      <c r="Q152" s="5" t="str">
        <f ca="1">IFERROR(__xludf.DUMMYFUNCTION("""COMPUTED_VALUE"""),"Off School Property")</f>
        <v>Off School Property</v>
      </c>
      <c r="R152" s="5" t="str">
        <f ca="1">IFERROR(__xludf.DUMMYFUNCTION("""COMPUTED_VALUE"""),"No")</f>
        <v>No</v>
      </c>
      <c r="S152" s="5" t="str">
        <f ca="1">IFERROR(__xludf.DUMMYFUNCTION("""COMPUTED_VALUE"""),"After School")</f>
        <v>After School</v>
      </c>
      <c r="T152" s="10">
        <f ca="1">IFERROR(__xludf.DUMMYFUNCTION("""COMPUTED_VALUE"""),0.6875)</f>
        <v>0.6875</v>
      </c>
      <c r="U152" s="5">
        <f ca="1">IFERROR(__xludf.DUMMYFUNCTION("""COMPUTED_VALUE"""),1)</f>
        <v>1</v>
      </c>
      <c r="V152" s="5" t="str">
        <f ca="1">IFERROR(__xludf.DUMMYFUNCTION("""COMPUTED_VALUE"""),"Two men shot in street in front of school, victim collapsed and died in school parking lot near front door")</f>
        <v>Two men shot in street in front of school, victim collapsed and died in school parking lot near front door</v>
      </c>
      <c r="W152"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X152" s="5" t="str">
        <f ca="1">IFERROR(__xludf.DUMMYFUNCTION("""COMPUTED_VALUE"""),"Escalation of Dispute")</f>
        <v>Escalation of Dispute</v>
      </c>
      <c r="Y152" s="5" t="str">
        <f ca="1">IFERROR(__xludf.DUMMYFUNCTION("""COMPUTED_VALUE"""),"Victims Targeted")</f>
        <v>Victims Targeted</v>
      </c>
      <c r="Z152" s="5"/>
      <c r="AA152" s="5"/>
      <c r="AB152" s="5" t="str">
        <f ca="1">IFERROR(__xludf.DUMMYFUNCTION("""COMPUTED_VALUE"""),"No")</f>
        <v>No</v>
      </c>
      <c r="AC152" s="5" t="str">
        <f ca="1">IFERROR(__xludf.DUMMYFUNCTION("""COMPUTED_VALUE"""),"No")</f>
        <v>No</v>
      </c>
      <c r="AD152" s="5" t="str">
        <f ca="1">IFERROR(__xludf.DUMMYFUNCTION("""COMPUTED_VALUE"""),"No")</f>
        <v>No</v>
      </c>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row>
    <row r="153" spans="1:34" ht="12.75">
      <c r="A153" s="5" t="str">
        <f ca="1">IFERROR(__xludf.DUMMYFUNCTION("""COMPUTED_VALUE"""),"20220222COLIP")</f>
        <v>20220222COLIP</v>
      </c>
      <c r="B153" s="8">
        <f ca="1">IFERROR(__xludf.DUMMYFUNCTION("""COMPUTED_VALUE"""),44614)</f>
        <v>44614</v>
      </c>
      <c r="C153" s="5" t="str">
        <f ca="1">IFERROR(__xludf.DUMMYFUNCTION("""COMPUTED_VALUE"""),"Liberty Point International Middle School")</f>
        <v>Liberty Point International Middle School</v>
      </c>
      <c r="D153" s="5">
        <f ca="1">IFERROR(__xludf.DUMMYFUNCTION("""COMPUTED_VALUE"""),1)</f>
        <v>1</v>
      </c>
      <c r="E153" s="5">
        <f ca="1">IFERROR(__xludf.DUMMYFUNCTION("""COMPUTED_VALUE"""),0)</f>
        <v>0</v>
      </c>
      <c r="F153" s="5">
        <f ca="1">IFERROR(__xludf.DUMMYFUNCTION("""COMPUTED_VALUE"""),1)</f>
        <v>1</v>
      </c>
      <c r="G153" s="5">
        <f ca="1">IFERROR(__xludf.DUMMYFUNCTION("""COMPUTED_VALUE"""),0)</f>
        <v>0</v>
      </c>
      <c r="H153" s="5"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I153" s="5">
        <f ca="1">IFERROR(__xludf.DUMMYFUNCTION("""COMPUTED_VALUE"""),5)</f>
        <v>5</v>
      </c>
      <c r="J153" s="5" t="str">
        <f ca="1">IFERROR(__xludf.DUMMYFUNCTION("""COMPUTED_VALUE"""),"Regional")</f>
        <v>Regional</v>
      </c>
      <c r="K153" s="5">
        <f ca="1">IFERROR(__xludf.DUMMYFUNCTION("""COMPUTED_VALUE"""),4)</f>
        <v>4</v>
      </c>
      <c r="L153" s="5" t="str">
        <f ca="1">IFERROR(__xludf.DUMMYFUNCTION("""COMPUTED_VALUE"""),"Winter")</f>
        <v>Winter</v>
      </c>
      <c r="M153" s="5" t="str">
        <f ca="1">IFERROR(__xludf.DUMMYFUNCTION("""COMPUTED_VALUE"""),"Pueblo")</f>
        <v>Pueblo</v>
      </c>
      <c r="N153" s="5" t="str">
        <f ca="1">IFERROR(__xludf.DUMMYFUNCTION("""COMPUTED_VALUE"""),"CO")</f>
        <v>CO</v>
      </c>
      <c r="O153" s="5" t="str">
        <f ca="1">IFERROR(__xludf.DUMMYFUNCTION("""COMPUTED_VALUE"""),"Middle")</f>
        <v>Middle</v>
      </c>
      <c r="P153" s="5" t="str">
        <f ca="1">IFERROR(__xludf.DUMMYFUNCTION("""COMPUTED_VALUE"""),"Beside Building")</f>
        <v>Beside Building</v>
      </c>
      <c r="Q153" s="5" t="str">
        <f ca="1">IFERROR(__xludf.DUMMYFUNCTION("""COMPUTED_VALUE"""),"Outside on School Property")</f>
        <v>Outside on School Property</v>
      </c>
      <c r="R153" s="5" t="str">
        <f ca="1">IFERROR(__xludf.DUMMYFUNCTION("""COMPUTED_VALUE"""),"Yes")</f>
        <v>Yes</v>
      </c>
      <c r="S153" s="5" t="str">
        <f ca="1">IFERROR(__xludf.DUMMYFUNCTION("""COMPUTED_VALUE"""),"Dismissal")</f>
        <v>Dismissal</v>
      </c>
      <c r="T153" s="10">
        <f ca="1">IFERROR(__xludf.DUMMYFUNCTION("""COMPUTED_VALUE"""),0.638888888888888)</f>
        <v>0.63888888888888795</v>
      </c>
      <c r="U153" s="5">
        <f ca="1">IFERROR(__xludf.DUMMYFUNCTION("""COMPUTED_VALUE"""),1)</f>
        <v>1</v>
      </c>
      <c r="V153" s="5" t="str">
        <f ca="1">IFERROR(__xludf.DUMMYFUNCTION("""COMPUTED_VALUE"""),"Officers shot intoxicated and combative man on school property")</f>
        <v>Officers shot intoxicated and combative man on school property</v>
      </c>
      <c r="W153" s="5" t="str">
        <f ca="1">IFERROR(__xludf.DUMMYFUNCTION("""COMPUTED_VALUE"""),"School staff called officers for an intoxicated man on school property. When officers arrived, the man became combative and attacked on of the officers. The other officer fatally shot the man. No students or staff were injured.")</f>
        <v>School staff called officers for an intoxicated man on school property. When officers arrived, the man became combative and attacked on of the officers. The other officer fatally shot the man. No students or staff were injured.</v>
      </c>
      <c r="X153" s="5" t="str">
        <f ca="1">IFERROR(__xludf.DUMMYFUNCTION("""COMPUTED_VALUE"""),"Officer-Involved Shooting")</f>
        <v>Officer-Involved Shooting</v>
      </c>
      <c r="Y153" s="5" t="str">
        <f ca="1">IFERROR(__xludf.DUMMYFUNCTION("""COMPUTED_VALUE"""),"Neither")</f>
        <v>Neither</v>
      </c>
      <c r="Z153" s="5"/>
      <c r="AA153" s="5"/>
      <c r="AB153" s="5"/>
      <c r="AC153" s="5"/>
      <c r="AD153" s="5" t="str">
        <f ca="1">IFERROR(__xludf.DUMMYFUNCTION("""COMPUTED_VALUE"""),"Yes")</f>
        <v>Yes</v>
      </c>
      <c r="AE153" s="5"/>
      <c r="AF153" s="5"/>
      <c r="AG153" s="5"/>
      <c r="AH153" s="5"/>
    </row>
    <row r="154" spans="1:34" ht="12.75">
      <c r="A154" s="5" t="str">
        <f ca="1">IFERROR(__xludf.DUMMYFUNCTION("""COMPUTED_VALUE"""),"20220221MDJOH")</f>
        <v>20220221MDJOH</v>
      </c>
      <c r="B154" s="8">
        <f ca="1">IFERROR(__xludf.DUMMYFUNCTION("""COMPUTED_VALUE"""),44613)</f>
        <v>44613</v>
      </c>
      <c r="C154" s="5" t="str">
        <f ca="1">IFERROR(__xludf.DUMMYFUNCTION("""COMPUTED_VALUE"""),"John Carroll Elementary School")</f>
        <v>John Carroll Elementary School</v>
      </c>
      <c r="D154" s="5">
        <f ca="1">IFERROR(__xludf.DUMMYFUNCTION("""COMPUTED_VALUE"""),1)</f>
        <v>1</v>
      </c>
      <c r="E154" s="5">
        <f ca="1">IFERROR(__xludf.DUMMYFUNCTION("""COMPUTED_VALUE"""),0)</f>
        <v>0</v>
      </c>
      <c r="F154" s="5">
        <f ca="1">IFERROR(__xludf.DUMMYFUNCTION("""COMPUTED_VALUE"""),1)</f>
        <v>1</v>
      </c>
      <c r="G154" s="5">
        <f ca="1">IFERROR(__xludf.DUMMYFUNCTION("""COMPUTED_VALUE"""),0)</f>
        <v>0</v>
      </c>
      <c r="H154"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I154" s="5">
        <f ca="1">IFERROR(__xludf.DUMMYFUNCTION("""COMPUTED_VALUE"""),2)</f>
        <v>2</v>
      </c>
      <c r="J154" s="5" t="str">
        <f ca="1">IFERROR(__xludf.DUMMYFUNCTION("""COMPUTED_VALUE"""),"Local")</f>
        <v>Local</v>
      </c>
      <c r="K154" s="5">
        <f ca="1">IFERROR(__xludf.DUMMYFUNCTION("""COMPUTED_VALUE"""),4)</f>
        <v>4</v>
      </c>
      <c r="L154" s="5" t="str">
        <f ca="1">IFERROR(__xludf.DUMMYFUNCTION("""COMPUTED_VALUE"""),"Winter")</f>
        <v>Winter</v>
      </c>
      <c r="M154" s="5" t="str">
        <f ca="1">IFERROR(__xludf.DUMMYFUNCTION("""COMPUTED_VALUE"""),"Hyattsville")</f>
        <v>Hyattsville</v>
      </c>
      <c r="N154" s="5" t="str">
        <f ca="1">IFERROR(__xludf.DUMMYFUNCTION("""COMPUTED_VALUE"""),"MD")</f>
        <v>MD</v>
      </c>
      <c r="O154" s="5" t="str">
        <f ca="1">IFERROR(__xludf.DUMMYFUNCTION("""COMPUTED_VALUE"""),"Elementary")</f>
        <v>Elementary</v>
      </c>
      <c r="P154" s="5" t="str">
        <f ca="1">IFERROR(__xludf.DUMMYFUNCTION("""COMPUTED_VALUE"""),"Playground")</f>
        <v>Playground</v>
      </c>
      <c r="Q154" s="5" t="str">
        <f ca="1">IFERROR(__xludf.DUMMYFUNCTION("""COMPUTED_VALUE"""),"Outside on School Property")</f>
        <v>Outside on School Property</v>
      </c>
      <c r="R154" s="5" t="str">
        <f ca="1">IFERROR(__xludf.DUMMYFUNCTION("""COMPUTED_VALUE"""),"No")</f>
        <v>No</v>
      </c>
      <c r="S154" s="5" t="str">
        <f ca="1">IFERROR(__xludf.DUMMYFUNCTION("""COMPUTED_VALUE"""),"Evening")</f>
        <v>Evening</v>
      </c>
      <c r="T154" s="10">
        <f ca="1">IFERROR(__xludf.DUMMYFUNCTION("""COMPUTED_VALUE"""),0.722222222222222)</f>
        <v>0.72222222222222199</v>
      </c>
      <c r="U154" s="5">
        <f ca="1">IFERROR(__xludf.DUMMYFUNCTION("""COMPUTED_VALUE"""),1)</f>
        <v>1</v>
      </c>
      <c r="V154" s="5" t="str">
        <f ca="1">IFERROR(__xludf.DUMMYFUNCTION("""COMPUTED_VALUE"""),"Man fatally shot on playground behind school")</f>
        <v>Man fatally shot on playground behind school</v>
      </c>
      <c r="W154"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X154" s="5" t="str">
        <f ca="1">IFERROR(__xludf.DUMMYFUNCTION("""COMPUTED_VALUE"""),"Illegal Activity")</f>
        <v>Illegal Activity</v>
      </c>
      <c r="Y154" s="5" t="str">
        <f ca="1">IFERROR(__xludf.DUMMYFUNCTION("""COMPUTED_VALUE"""),"Victims Targeted")</f>
        <v>Victims Targeted</v>
      </c>
      <c r="Z154" s="5" t="str">
        <f ca="1">IFERROR(__xludf.DUMMYFUNCTION("""COMPUTED_VALUE"""),"No")</f>
        <v>No</v>
      </c>
      <c r="AA154" s="5"/>
      <c r="AB154" s="5" t="str">
        <f ca="1">IFERROR(__xludf.DUMMYFUNCTION("""COMPUTED_VALUE"""),"No")</f>
        <v>No</v>
      </c>
      <c r="AC154" s="5" t="str">
        <f ca="1">IFERROR(__xludf.DUMMYFUNCTION("""COMPUTED_VALUE"""),"No")</f>
        <v>No</v>
      </c>
      <c r="AD154" s="5" t="str">
        <f ca="1">IFERROR(__xludf.DUMMYFUNCTION("""COMPUTED_VALUE"""),"No")</f>
        <v>No</v>
      </c>
      <c r="AE154" s="5" t="str">
        <f ca="1">IFERROR(__xludf.DUMMYFUNCTION("""COMPUTED_VALUE"""),"No")</f>
        <v>No</v>
      </c>
      <c r="AF154" s="5" t="str">
        <f ca="1">IFERROR(__xludf.DUMMYFUNCTION("""COMPUTED_VALUE"""),"No")</f>
        <v>No</v>
      </c>
      <c r="AG154" s="5"/>
      <c r="AH154" s="5" t="str">
        <f ca="1">IFERROR(__xludf.DUMMYFUNCTION("""COMPUTED_VALUE"""),"No")</f>
        <v>No</v>
      </c>
    </row>
    <row r="155" spans="1:34" ht="12.75">
      <c r="A155" s="5" t="str">
        <f ca="1">IFERROR(__xludf.DUMMYFUNCTION("""COMPUTED_VALUE"""),"20220220OKWIW")</f>
        <v>20220220OKWIW</v>
      </c>
      <c r="B155" s="8">
        <f ca="1">IFERROR(__xludf.DUMMYFUNCTION("""COMPUTED_VALUE"""),44612)</f>
        <v>44612</v>
      </c>
      <c r="C155" s="5" t="str">
        <f ca="1">IFERROR(__xludf.DUMMYFUNCTION("""COMPUTED_VALUE"""),"Wilson Middle School")</f>
        <v>Wilson Middle School</v>
      </c>
      <c r="D155" s="5">
        <f ca="1">IFERROR(__xludf.DUMMYFUNCTION("""COMPUTED_VALUE"""),0)</f>
        <v>0</v>
      </c>
      <c r="E155" s="5">
        <f ca="1">IFERROR(__xludf.DUMMYFUNCTION("""COMPUTED_VALUE"""),1)</f>
        <v>1</v>
      </c>
      <c r="F155" s="5">
        <f ca="1">IFERROR(__xludf.DUMMYFUNCTION("""COMPUTED_VALUE"""),1)</f>
        <v>1</v>
      </c>
      <c r="G155" s="5">
        <f ca="1">IFERROR(__xludf.DUMMYFUNCTION("""COMPUTED_VALUE"""),0)</f>
        <v>0</v>
      </c>
      <c r="H155"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I155" s="5">
        <f ca="1">IFERROR(__xludf.DUMMYFUNCTION("""COMPUTED_VALUE"""),3)</f>
        <v>3</v>
      </c>
      <c r="J155" s="5" t="str">
        <f ca="1">IFERROR(__xludf.DUMMYFUNCTION("""COMPUTED_VALUE"""),"Local")</f>
        <v>Local</v>
      </c>
      <c r="K155" s="5">
        <f ca="1">IFERROR(__xludf.DUMMYFUNCTION("""COMPUTED_VALUE"""),4)</f>
        <v>4</v>
      </c>
      <c r="L155" s="5" t="str">
        <f ca="1">IFERROR(__xludf.DUMMYFUNCTION("""COMPUTED_VALUE"""),"Winter")</f>
        <v>Winter</v>
      </c>
      <c r="M155" s="5" t="str">
        <f ca="1">IFERROR(__xludf.DUMMYFUNCTION("""COMPUTED_VALUE"""),"Wilson")</f>
        <v>Wilson</v>
      </c>
      <c r="N155" s="5" t="str">
        <f ca="1">IFERROR(__xludf.DUMMYFUNCTION("""COMPUTED_VALUE"""),"OK")</f>
        <v>OK</v>
      </c>
      <c r="O155" s="5" t="str">
        <f ca="1">IFERROR(__xludf.DUMMYFUNCTION("""COMPUTED_VALUE"""),"Middle")</f>
        <v>Middle</v>
      </c>
      <c r="P155" s="5" t="str">
        <f ca="1">IFERROR(__xludf.DUMMYFUNCTION("""COMPUTED_VALUE"""),"Football Field/Track")</f>
        <v>Football Field/Track</v>
      </c>
      <c r="Q155" s="5" t="str">
        <f ca="1">IFERROR(__xludf.DUMMYFUNCTION("""COMPUTED_VALUE"""),"Outside on School Property")</f>
        <v>Outside on School Property</v>
      </c>
      <c r="R155" s="5" t="str">
        <f ca="1">IFERROR(__xludf.DUMMYFUNCTION("""COMPUTED_VALUE"""),"No")</f>
        <v>No</v>
      </c>
      <c r="S155" s="5" t="str">
        <f ca="1">IFERROR(__xludf.DUMMYFUNCTION("""COMPUTED_VALUE"""),"Night")</f>
        <v>Night</v>
      </c>
      <c r="T155" s="10">
        <f ca="1">IFERROR(__xludf.DUMMYFUNCTION("""COMPUTED_VALUE"""),0.145833333333333)</f>
        <v>0.14583333333333301</v>
      </c>
      <c r="U155" s="5">
        <f ca="1">IFERROR(__xludf.DUMMYFUNCTION("""COMPUTED_VALUE"""),1)</f>
        <v>1</v>
      </c>
      <c r="V155" s="5" t="str">
        <f ca="1">IFERROR(__xludf.DUMMYFUNCTION("""COMPUTED_VALUE"""),"Office shot twice while investigating suspicious man behind school")</f>
        <v>Office shot twice while investigating suspicious man behind school</v>
      </c>
      <c r="W155"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X155" s="5" t="str">
        <f ca="1">IFERROR(__xludf.DUMMYFUNCTION("""COMPUTED_VALUE"""),"Illegal Activity")</f>
        <v>Illegal Activity</v>
      </c>
      <c r="Y155" s="5" t="str">
        <f ca="1">IFERROR(__xludf.DUMMYFUNCTION("""COMPUTED_VALUE"""),"Victims Targeted")</f>
        <v>Victims Targeted</v>
      </c>
      <c r="Z155" s="5" t="str">
        <f ca="1">IFERROR(__xludf.DUMMYFUNCTION("""COMPUTED_VALUE"""),"No")</f>
        <v>No</v>
      </c>
      <c r="AA155" s="5"/>
      <c r="AB155" s="5" t="str">
        <f ca="1">IFERROR(__xludf.DUMMYFUNCTION("""COMPUTED_VALUE"""),"No")</f>
        <v>No</v>
      </c>
      <c r="AC155" s="5" t="str">
        <f ca="1">IFERROR(__xludf.DUMMYFUNCTION("""COMPUTED_VALUE"""),"No")</f>
        <v>No</v>
      </c>
      <c r="AD155" s="5" t="str">
        <f ca="1">IFERROR(__xludf.DUMMYFUNCTION("""COMPUTED_VALUE"""),"No")</f>
        <v>No</v>
      </c>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row>
    <row r="156" spans="1:34" ht="12.75">
      <c r="A156" s="5" t="str">
        <f ca="1">IFERROR(__xludf.DUMMYFUNCTION("""COMPUTED_VALUE"""),"20220220MSMCM")</f>
        <v>20220220MSMCM</v>
      </c>
      <c r="B156" s="8">
        <f ca="1">IFERROR(__xludf.DUMMYFUNCTION("""COMPUTED_VALUE"""),44612)</f>
        <v>44612</v>
      </c>
      <c r="C156" s="5" t="str">
        <f ca="1">IFERROR(__xludf.DUMMYFUNCTION("""COMPUTED_VALUE"""),"McColm High School")</f>
        <v>McColm High School</v>
      </c>
      <c r="D156" s="5">
        <f ca="1">IFERROR(__xludf.DUMMYFUNCTION("""COMPUTED_VALUE"""),1)</f>
        <v>1</v>
      </c>
      <c r="E156" s="5">
        <f ca="1">IFERROR(__xludf.DUMMYFUNCTION("""COMPUTED_VALUE"""),4)</f>
        <v>4</v>
      </c>
      <c r="F156" s="5">
        <f ca="1">IFERROR(__xludf.DUMMYFUNCTION("""COMPUTED_VALUE"""),5)</f>
        <v>5</v>
      </c>
      <c r="G156" s="5">
        <f ca="1">IFERROR(__xludf.DUMMYFUNCTION("""COMPUTED_VALUE"""),0)</f>
        <v>0</v>
      </c>
      <c r="H156"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I156" s="5">
        <f ca="1">IFERROR(__xludf.DUMMYFUNCTION("""COMPUTED_VALUE"""),10)</f>
        <v>10</v>
      </c>
      <c r="J156" s="5" t="str">
        <f ca="1">IFERROR(__xludf.DUMMYFUNCTION("""COMPUTED_VALUE"""),"National")</f>
        <v>National</v>
      </c>
      <c r="K156" s="5">
        <f ca="1">IFERROR(__xludf.DUMMYFUNCTION("""COMPUTED_VALUE"""),4)</f>
        <v>4</v>
      </c>
      <c r="L156" s="5" t="str">
        <f ca="1">IFERROR(__xludf.DUMMYFUNCTION("""COMPUTED_VALUE"""),"Winter")</f>
        <v>Winter</v>
      </c>
      <c r="M156" s="5" t="str">
        <f ca="1">IFERROR(__xludf.DUMMYFUNCTION("""COMPUTED_VALUE"""),"McColm")</f>
        <v>McColm</v>
      </c>
      <c r="N156" s="5" t="str">
        <f ca="1">IFERROR(__xludf.DUMMYFUNCTION("""COMPUTED_VALUE"""),"MS")</f>
        <v>MS</v>
      </c>
      <c r="O156" s="5" t="str">
        <f ca="1">IFERROR(__xludf.DUMMYFUNCTION("""COMPUTED_VALUE"""),"High")</f>
        <v>High</v>
      </c>
      <c r="P156" s="5" t="str">
        <f ca="1">IFERROR(__xludf.DUMMYFUNCTION("""COMPUTED_VALUE"""),"Basketball Court")</f>
        <v>Basketball Court</v>
      </c>
      <c r="Q156" s="5" t="str">
        <f ca="1">IFERROR(__xludf.DUMMYFUNCTION("""COMPUTED_VALUE"""),"Outside on School Property")</f>
        <v>Outside on School Property</v>
      </c>
      <c r="R156" s="5" t="str">
        <f ca="1">IFERROR(__xludf.DUMMYFUNCTION("""COMPUTED_VALUE"""),"No")</f>
        <v>No</v>
      </c>
      <c r="S156" s="5" t="str">
        <f ca="1">IFERROR(__xludf.DUMMYFUNCTION("""COMPUTED_VALUE"""),"Not a School Day")</f>
        <v>Not a School Day</v>
      </c>
      <c r="T156" s="10">
        <f ca="1">IFERROR(__xludf.DUMMYFUNCTION("""COMPUTED_VALUE"""),0.701388888888888)</f>
        <v>0.70138888888888795</v>
      </c>
      <c r="U156" s="5">
        <f ca="1">IFERROR(__xludf.DUMMYFUNCTION("""COMPUTED_VALUE"""),1)</f>
        <v>1</v>
      </c>
      <c r="V156" s="5" t="str">
        <f ca="1">IFERROR(__xludf.DUMMYFUNCTION("""COMPUTED_VALUE"""),"Drive-by shooting following basketball game")</f>
        <v>Drive-by shooting following basketball game</v>
      </c>
      <c r="W156"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X156" s="5" t="str">
        <f ca="1">IFERROR(__xludf.DUMMYFUNCTION("""COMPUTED_VALUE"""),"Drive-by Shooting")</f>
        <v>Drive-by Shooting</v>
      </c>
      <c r="Y156" s="5" t="str">
        <f ca="1">IFERROR(__xludf.DUMMYFUNCTION("""COMPUTED_VALUE"""),"Both")</f>
        <v>Both</v>
      </c>
      <c r="Z156" s="5" t="str">
        <f ca="1">IFERROR(__xludf.DUMMYFUNCTION("""COMPUTED_VALUE"""),"Yes")</f>
        <v>Yes</v>
      </c>
      <c r="AA156" s="5" t="str">
        <f ca="1">IFERROR(__xludf.DUMMYFUNCTION("""COMPUTED_VALUE"""),"4 teens arrested")</f>
        <v>4 teens arrested</v>
      </c>
      <c r="AB156" s="5" t="str">
        <f ca="1">IFERROR(__xludf.DUMMYFUNCTION("""COMPUTED_VALUE"""),"No")</f>
        <v>No</v>
      </c>
      <c r="AC156" s="5" t="str">
        <f ca="1">IFERROR(__xludf.DUMMYFUNCTION("""COMPUTED_VALUE"""),"No")</f>
        <v>No</v>
      </c>
      <c r="AD156" s="5" t="str">
        <f ca="1">IFERROR(__xludf.DUMMYFUNCTION("""COMPUTED_VALUE"""),"No")</f>
        <v>No</v>
      </c>
      <c r="AE156" s="5" t="str">
        <f ca="1">IFERROR(__xludf.DUMMYFUNCTION("""COMPUTED_VALUE"""),"No")</f>
        <v>No</v>
      </c>
      <c r="AF156" s="5" t="str">
        <f ca="1">IFERROR(__xludf.DUMMYFUNCTION("""COMPUTED_VALUE"""),"No")</f>
        <v>No</v>
      </c>
      <c r="AG156" s="5"/>
      <c r="AH156" s="5" t="str">
        <f ca="1">IFERROR(__xludf.DUMMYFUNCTION("""COMPUTED_VALUE"""),"No")</f>
        <v>No</v>
      </c>
    </row>
    <row r="157" spans="1:34" ht="12.75">
      <c r="A157" s="5" t="str">
        <f ca="1">IFERROR(__xludf.DUMMYFUNCTION("""COMPUTED_VALUE"""),"20220219VACAC")</f>
        <v>20220219VACAC</v>
      </c>
      <c r="B157" s="8">
        <f ca="1">IFERROR(__xludf.DUMMYFUNCTION("""COMPUTED_VALUE"""),44611)</f>
        <v>44611</v>
      </c>
      <c r="C157" s="5" t="str">
        <f ca="1">IFERROR(__xludf.DUMMYFUNCTION("""COMPUTED_VALUE"""),"Camelot Elementary School")</f>
        <v>Camelot Elementary School</v>
      </c>
      <c r="D157" s="5">
        <f ca="1">IFERROR(__xludf.DUMMYFUNCTION("""COMPUTED_VALUE"""),1)</f>
        <v>1</v>
      </c>
      <c r="E157" s="5">
        <f ca="1">IFERROR(__xludf.DUMMYFUNCTION("""COMPUTED_VALUE"""),0)</f>
        <v>0</v>
      </c>
      <c r="F157" s="5">
        <f ca="1">IFERROR(__xludf.DUMMYFUNCTION("""COMPUTED_VALUE"""),1)</f>
        <v>1</v>
      </c>
      <c r="G157" s="5">
        <f ca="1">IFERROR(__xludf.DUMMYFUNCTION("""COMPUTED_VALUE"""),0)</f>
        <v>0</v>
      </c>
      <c r="H157"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I157" s="5">
        <f ca="1">IFERROR(__xludf.DUMMYFUNCTION("""COMPUTED_VALUE"""),1)</f>
        <v>1</v>
      </c>
      <c r="J157" s="5" t="str">
        <f ca="1">IFERROR(__xludf.DUMMYFUNCTION("""COMPUTED_VALUE"""),"Local")</f>
        <v>Local</v>
      </c>
      <c r="K157" s="5">
        <f ca="1">IFERROR(__xludf.DUMMYFUNCTION("""COMPUTED_VALUE"""),3)</f>
        <v>3</v>
      </c>
      <c r="L157" s="5" t="str">
        <f ca="1">IFERROR(__xludf.DUMMYFUNCTION("""COMPUTED_VALUE"""),"Winter")</f>
        <v>Winter</v>
      </c>
      <c r="M157" s="5" t="str">
        <f ca="1">IFERROR(__xludf.DUMMYFUNCTION("""COMPUTED_VALUE"""),"Chesapeake")</f>
        <v>Chesapeake</v>
      </c>
      <c r="N157" s="5" t="str">
        <f ca="1">IFERROR(__xludf.DUMMYFUNCTION("""COMPUTED_VALUE"""),"VA")</f>
        <v>VA</v>
      </c>
      <c r="O157" s="5" t="str">
        <f ca="1">IFERROR(__xludf.DUMMYFUNCTION("""COMPUTED_VALUE"""),"Elementary")</f>
        <v>Elementary</v>
      </c>
      <c r="P157" s="5" t="str">
        <f ca="1">IFERROR(__xludf.DUMMYFUNCTION("""COMPUTED_VALUE"""),"Parking Lot")</f>
        <v>Parking Lot</v>
      </c>
      <c r="Q157" s="5" t="str">
        <f ca="1">IFERROR(__xludf.DUMMYFUNCTION("""COMPUTED_VALUE"""),"Outside on School Property")</f>
        <v>Outside on School Property</v>
      </c>
      <c r="R157" s="5" t="str">
        <f ca="1">IFERROR(__xludf.DUMMYFUNCTION("""COMPUTED_VALUE"""),"No")</f>
        <v>No</v>
      </c>
      <c r="S157" s="5" t="str">
        <f ca="1">IFERROR(__xludf.DUMMYFUNCTION("""COMPUTED_VALUE"""),"Not a School Day")</f>
        <v>Not a School Day</v>
      </c>
      <c r="T157" s="10">
        <f ca="1">IFERROR(__xludf.DUMMYFUNCTION("""COMPUTED_VALUE"""),0.546527777777777)</f>
        <v>0.54652777777777695</v>
      </c>
      <c r="U157" s="5">
        <f ca="1">IFERROR(__xludf.DUMMYFUNCTION("""COMPUTED_VALUE"""),1)</f>
        <v>1</v>
      </c>
      <c r="V157" s="5" t="str">
        <f ca="1">IFERROR(__xludf.DUMMYFUNCTION("""COMPUTED_VALUE"""),"Teen shot in parking lot")</f>
        <v>Teen shot in parking lot</v>
      </c>
      <c r="W157"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X157" s="5"/>
      <c r="Y157" s="5"/>
      <c r="Z157" s="5" t="str">
        <f ca="1">IFERROR(__xludf.DUMMYFUNCTION("""COMPUTED_VALUE"""),"No")</f>
        <v>No</v>
      </c>
      <c r="AA157" s="5"/>
      <c r="AB157" s="5" t="str">
        <f ca="1">IFERROR(__xludf.DUMMYFUNCTION("""COMPUTED_VALUE"""),"No")</f>
        <v>No</v>
      </c>
      <c r="AC157" s="5" t="str">
        <f ca="1">IFERROR(__xludf.DUMMYFUNCTION("""COMPUTED_VALUE"""),"No")</f>
        <v>No</v>
      </c>
      <c r="AD157" s="5" t="str">
        <f ca="1">IFERROR(__xludf.DUMMYFUNCTION("""COMPUTED_VALUE"""),"No")</f>
        <v>No</v>
      </c>
      <c r="AE157" s="5" t="str">
        <f ca="1">IFERROR(__xludf.DUMMYFUNCTION("""COMPUTED_VALUE"""),"No")</f>
        <v>No</v>
      </c>
      <c r="AF157" s="5"/>
      <c r="AG157" s="5"/>
      <c r="AH157" s="5" t="str">
        <f ca="1">IFERROR(__xludf.DUMMYFUNCTION("""COMPUTED_VALUE"""),"No")</f>
        <v>No</v>
      </c>
    </row>
    <row r="158" spans="1:34" ht="12.75">
      <c r="A158" s="5" t="str">
        <f ca="1">IFERROR(__xludf.DUMMYFUNCTION("""COMPUTED_VALUE"""),"20220218MATET")</f>
        <v>20220218MATET</v>
      </c>
      <c r="B158" s="8">
        <f ca="1">IFERROR(__xludf.DUMMYFUNCTION("""COMPUTED_VALUE"""),44610)</f>
        <v>44610</v>
      </c>
      <c r="C158" s="5" t="str">
        <f ca="1">IFERROR(__xludf.DUMMYFUNCTION("""COMPUTED_VALUE"""),"Tewksbury High School")</f>
        <v>Tewksbury High School</v>
      </c>
      <c r="D158" s="5">
        <f ca="1">IFERROR(__xludf.DUMMYFUNCTION("""COMPUTED_VALUE"""),0)</f>
        <v>0</v>
      </c>
      <c r="E158" s="5">
        <f ca="1">IFERROR(__xludf.DUMMYFUNCTION("""COMPUTED_VALUE"""),0)</f>
        <v>0</v>
      </c>
      <c r="F158" s="5">
        <f ca="1">IFERROR(__xludf.DUMMYFUNCTION("""COMPUTED_VALUE"""),0)</f>
        <v>0</v>
      </c>
      <c r="G158" s="5">
        <f ca="1">IFERROR(__xludf.DUMMYFUNCTION("""COMPUTED_VALUE"""),0)</f>
        <v>0</v>
      </c>
      <c r="H158"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I158" s="5">
        <f ca="1">IFERROR(__xludf.DUMMYFUNCTION("""COMPUTED_VALUE"""),10)</f>
        <v>10</v>
      </c>
      <c r="J158" s="5" t="str">
        <f ca="1">IFERROR(__xludf.DUMMYFUNCTION("""COMPUTED_VALUE"""),"Regional")</f>
        <v>Regional</v>
      </c>
      <c r="K158" s="5">
        <f ca="1">IFERROR(__xludf.DUMMYFUNCTION("""COMPUTED_VALUE"""),4)</f>
        <v>4</v>
      </c>
      <c r="L158" s="5" t="str">
        <f ca="1">IFERROR(__xludf.DUMMYFUNCTION("""COMPUTED_VALUE"""),"Winter")</f>
        <v>Winter</v>
      </c>
      <c r="M158" s="5" t="str">
        <f ca="1">IFERROR(__xludf.DUMMYFUNCTION("""COMPUTED_VALUE"""),"Tewksbury")</f>
        <v>Tewksbury</v>
      </c>
      <c r="N158" s="5" t="str">
        <f ca="1">IFERROR(__xludf.DUMMYFUNCTION("""COMPUTED_VALUE"""),"MA")</f>
        <v>MA</v>
      </c>
      <c r="O158" s="5" t="str">
        <f ca="1">IFERROR(__xludf.DUMMYFUNCTION("""COMPUTED_VALUE"""),"High")</f>
        <v>High</v>
      </c>
      <c r="P158" s="5" t="str">
        <f ca="1">IFERROR(__xludf.DUMMYFUNCTION("""COMPUTED_VALUE"""),"Parking Lot")</f>
        <v>Parking Lot</v>
      </c>
      <c r="Q158" s="5" t="str">
        <f ca="1">IFERROR(__xludf.DUMMYFUNCTION("""COMPUTED_VALUE"""),"Outside on School Property")</f>
        <v>Outside on School Property</v>
      </c>
      <c r="R158" s="5" t="str">
        <f ca="1">IFERROR(__xludf.DUMMYFUNCTION("""COMPUTED_VALUE"""),"No")</f>
        <v>No</v>
      </c>
      <c r="S158" s="5" t="str">
        <f ca="1">IFERROR(__xludf.DUMMYFUNCTION("""COMPUTED_VALUE"""),"Sport Event")</f>
        <v>Sport Event</v>
      </c>
      <c r="T158" s="10">
        <f ca="1">IFERROR(__xludf.DUMMYFUNCTION("""COMPUTED_VALUE"""),0.840277777777777)</f>
        <v>0.84027777777777701</v>
      </c>
      <c r="U158" s="5">
        <f ca="1">IFERROR(__xludf.DUMMYFUNCTION("""COMPUTED_VALUE"""),1)</f>
        <v>1</v>
      </c>
      <c r="V158" s="5" t="str">
        <f ca="1">IFERROR(__xludf.DUMMYFUNCTION("""COMPUTED_VALUE"""),"4 teens fired pellet guns at crowd leaving basketball game")</f>
        <v>4 teens fired pellet guns at crowd leaving basketball game</v>
      </c>
      <c r="W158"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X158" s="5" t="str">
        <f ca="1">IFERROR(__xludf.DUMMYFUNCTION("""COMPUTED_VALUE"""),"Drive-by Shooting")</f>
        <v>Drive-by Shooting</v>
      </c>
      <c r="Y158" s="5" t="str">
        <f ca="1">IFERROR(__xludf.DUMMYFUNCTION("""COMPUTED_VALUE"""),"Random Shooting")</f>
        <v>Random Shooting</v>
      </c>
      <c r="Z158" s="5" t="str">
        <f ca="1">IFERROR(__xludf.DUMMYFUNCTION("""COMPUTED_VALUE"""),"Yes")</f>
        <v>Yes</v>
      </c>
      <c r="AA158" s="5" t="str">
        <f ca="1">IFERROR(__xludf.DUMMYFUNCTION("""COMPUTED_VALUE"""),"4 teens")</f>
        <v>4 teens</v>
      </c>
      <c r="AB158" s="5" t="str">
        <f ca="1">IFERROR(__xludf.DUMMYFUNCTION("""COMPUTED_VALUE"""),"No")</f>
        <v>No</v>
      </c>
      <c r="AC158" s="5" t="str">
        <f ca="1">IFERROR(__xludf.DUMMYFUNCTION("""COMPUTED_VALUE"""),"No")</f>
        <v>No</v>
      </c>
      <c r="AD158" s="5" t="str">
        <f ca="1">IFERROR(__xludf.DUMMYFUNCTION("""COMPUTED_VALUE"""),"No")</f>
        <v>No</v>
      </c>
      <c r="AE158" s="5" t="str">
        <f ca="1">IFERROR(__xludf.DUMMYFUNCTION("""COMPUTED_VALUE"""),"No")</f>
        <v>No</v>
      </c>
      <c r="AF158" s="5" t="str">
        <f ca="1">IFERROR(__xludf.DUMMYFUNCTION("""COMPUTED_VALUE"""),"No")</f>
        <v>No</v>
      </c>
      <c r="AG158" s="5" t="str">
        <f ca="1">IFERROR(__xludf.DUMMYFUNCTION("""COMPUTED_VALUE"""),"No")</f>
        <v>No</v>
      </c>
      <c r="AH158" s="5" t="str">
        <f ca="1">IFERROR(__xludf.DUMMYFUNCTION("""COMPUTED_VALUE"""),"No")</f>
        <v>No</v>
      </c>
    </row>
    <row r="159" spans="1:34" ht="12.75">
      <c r="A159" s="5" t="str">
        <f ca="1">IFERROR(__xludf.DUMMYFUNCTION("""COMPUTED_VALUE"""),"20220217WAMCG")</f>
        <v>20220217WAMCG</v>
      </c>
      <c r="B159" s="8">
        <f ca="1">IFERROR(__xludf.DUMMYFUNCTION("""COMPUTED_VALUE"""),44609)</f>
        <v>44609</v>
      </c>
      <c r="C159" s="5" t="str">
        <f ca="1">IFERROR(__xludf.DUMMYFUNCTION("""COMPUTED_VALUE"""),"McClure Elementary School")</f>
        <v>McClure Elementary School</v>
      </c>
      <c r="D159" s="5">
        <f ca="1">IFERROR(__xludf.DUMMYFUNCTION("""COMPUTED_VALUE"""),0)</f>
        <v>0</v>
      </c>
      <c r="E159" s="5">
        <f ca="1">IFERROR(__xludf.DUMMYFUNCTION("""COMPUTED_VALUE"""),1)</f>
        <v>1</v>
      </c>
      <c r="F159" s="5">
        <f ca="1">IFERROR(__xludf.DUMMYFUNCTION("""COMPUTED_VALUE"""),1)</f>
        <v>1</v>
      </c>
      <c r="G159" s="5">
        <f ca="1">IFERROR(__xludf.DUMMYFUNCTION("""COMPUTED_VALUE"""),0)</f>
        <v>0</v>
      </c>
      <c r="H159"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I159" s="5">
        <f ca="1">IFERROR(__xludf.DUMMYFUNCTION("""COMPUTED_VALUE"""),2)</f>
        <v>2</v>
      </c>
      <c r="J159" s="5" t="str">
        <f ca="1">IFERROR(__xludf.DUMMYFUNCTION("""COMPUTED_VALUE"""),"Local")</f>
        <v>Local</v>
      </c>
      <c r="K159" s="5">
        <f ca="1">IFERROR(__xludf.DUMMYFUNCTION("""COMPUTED_VALUE"""),4)</f>
        <v>4</v>
      </c>
      <c r="L159" s="5" t="str">
        <f ca="1">IFERROR(__xludf.DUMMYFUNCTION("""COMPUTED_VALUE"""),"Winter")</f>
        <v>Winter</v>
      </c>
      <c r="M159" s="5" t="str">
        <f ca="1">IFERROR(__xludf.DUMMYFUNCTION("""COMPUTED_VALUE"""),"Grandview")</f>
        <v>Grandview</v>
      </c>
      <c r="N159" s="5" t="str">
        <f ca="1">IFERROR(__xludf.DUMMYFUNCTION("""COMPUTED_VALUE"""),"WA")</f>
        <v>WA</v>
      </c>
      <c r="O159" s="5" t="str">
        <f ca="1">IFERROR(__xludf.DUMMYFUNCTION("""COMPUTED_VALUE"""),"Elementary")</f>
        <v>Elementary</v>
      </c>
      <c r="P159" s="5" t="str">
        <f ca="1">IFERROR(__xludf.DUMMYFUNCTION("""COMPUTED_VALUE"""),"Outside on School Property")</f>
        <v>Outside on School Property</v>
      </c>
      <c r="Q159" s="5" t="str">
        <f ca="1">IFERROR(__xludf.DUMMYFUNCTION("""COMPUTED_VALUE"""),"Outside on School Property")</f>
        <v>Outside on School Property</v>
      </c>
      <c r="R159" s="5" t="str">
        <f ca="1">IFERROR(__xludf.DUMMYFUNCTION("""COMPUTED_VALUE"""),"No")</f>
        <v>No</v>
      </c>
      <c r="S159" s="5" t="str">
        <f ca="1">IFERROR(__xludf.DUMMYFUNCTION("""COMPUTED_VALUE"""),"Evening")</f>
        <v>Evening</v>
      </c>
      <c r="T159" s="10">
        <f ca="1">IFERROR(__xludf.DUMMYFUNCTION("""COMPUTED_VALUE"""),0.708333333333333)</f>
        <v>0.70833333333333304</v>
      </c>
      <c r="U159" s="5">
        <f ca="1">IFERROR(__xludf.DUMMYFUNCTION("""COMPUTED_VALUE"""),1)</f>
        <v>1</v>
      </c>
      <c r="V159" s="5" t="str">
        <f ca="1">IFERROR(__xludf.DUMMYFUNCTION("""COMPUTED_VALUE"""),"Man shot next to school, shooter fled")</f>
        <v>Man shot next to school, shooter fled</v>
      </c>
      <c r="W159"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X159" s="5" t="str">
        <f ca="1">IFERROR(__xludf.DUMMYFUNCTION("""COMPUTED_VALUE"""),"Escalation of Dispute")</f>
        <v>Escalation of Dispute</v>
      </c>
      <c r="Y159" s="5" t="str">
        <f ca="1">IFERROR(__xludf.DUMMYFUNCTION("""COMPUTED_VALUE"""),"Victims Targeted")</f>
        <v>Victims Targeted</v>
      </c>
      <c r="Z159" s="5" t="str">
        <f ca="1">IFERROR(__xludf.DUMMYFUNCTION("""COMPUTED_VALUE"""),"No")</f>
        <v>No</v>
      </c>
      <c r="AA159" s="5"/>
      <c r="AB159" s="5" t="str">
        <f ca="1">IFERROR(__xludf.DUMMYFUNCTION("""COMPUTED_VALUE"""),"No")</f>
        <v>No</v>
      </c>
      <c r="AC159" s="5" t="str">
        <f ca="1">IFERROR(__xludf.DUMMYFUNCTION("""COMPUTED_VALUE"""),"No")</f>
        <v>No</v>
      </c>
      <c r="AD159" s="5" t="str">
        <f ca="1">IFERROR(__xludf.DUMMYFUNCTION("""COMPUTED_VALUE"""),"No")</f>
        <v>No</v>
      </c>
      <c r="AE159" s="5" t="str">
        <f ca="1">IFERROR(__xludf.DUMMYFUNCTION("""COMPUTED_VALUE"""),"No")</f>
        <v>No</v>
      </c>
      <c r="AF159" s="5" t="str">
        <f ca="1">IFERROR(__xludf.DUMMYFUNCTION("""COMPUTED_VALUE"""),"No")</f>
        <v>No</v>
      </c>
      <c r="AG159" s="5" t="str">
        <f ca="1">IFERROR(__xludf.DUMMYFUNCTION("""COMPUTED_VALUE"""),"Yes")</f>
        <v>Yes</v>
      </c>
      <c r="AH159" s="5" t="str">
        <f ca="1">IFERROR(__xludf.DUMMYFUNCTION("""COMPUTED_VALUE"""),"No")</f>
        <v>No</v>
      </c>
    </row>
    <row r="160" spans="1:34" ht="12.75">
      <c r="A160" s="5" t="str">
        <f ca="1">IFERROR(__xludf.DUMMYFUNCTION("""COMPUTED_VALUE"""),"20220214FLLAL")</f>
        <v>20220214FLLAL</v>
      </c>
      <c r="B160" s="8">
        <f ca="1">IFERROR(__xludf.DUMMYFUNCTION("""COMPUTED_VALUE"""),44606)</f>
        <v>44606</v>
      </c>
      <c r="C160" s="5" t="str">
        <f ca="1">IFERROR(__xludf.DUMMYFUNCTION("""COMPUTED_VALUE"""),"Lake City Middle School")</f>
        <v>Lake City Middle School</v>
      </c>
      <c r="D160" s="5">
        <f ca="1">IFERROR(__xludf.DUMMYFUNCTION("""COMPUTED_VALUE"""),0)</f>
        <v>0</v>
      </c>
      <c r="E160" s="5">
        <f ca="1">IFERROR(__xludf.DUMMYFUNCTION("""COMPUTED_VALUE"""),0)</f>
        <v>0</v>
      </c>
      <c r="F160" s="5">
        <f ca="1">IFERROR(__xludf.DUMMYFUNCTION("""COMPUTED_VALUE"""),0)</f>
        <v>0</v>
      </c>
      <c r="G160" s="5">
        <f ca="1">IFERROR(__xludf.DUMMYFUNCTION("""COMPUTED_VALUE"""),0)</f>
        <v>0</v>
      </c>
      <c r="H160"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I160" s="5">
        <f ca="1">IFERROR(__xludf.DUMMYFUNCTION("""COMPUTED_VALUE"""),3)</f>
        <v>3</v>
      </c>
      <c r="J160" s="5" t="str">
        <f ca="1">IFERROR(__xludf.DUMMYFUNCTION("""COMPUTED_VALUE"""),"Local")</f>
        <v>Local</v>
      </c>
      <c r="K160" s="5">
        <f ca="1">IFERROR(__xludf.DUMMYFUNCTION("""COMPUTED_VALUE"""),4)</f>
        <v>4</v>
      </c>
      <c r="L160" s="5" t="str">
        <f ca="1">IFERROR(__xludf.DUMMYFUNCTION("""COMPUTED_VALUE"""),"Winter")</f>
        <v>Winter</v>
      </c>
      <c r="M160" s="5" t="str">
        <f ca="1">IFERROR(__xludf.DUMMYFUNCTION("""COMPUTED_VALUE"""),"Lake City")</f>
        <v>Lake City</v>
      </c>
      <c r="N160" s="5" t="str">
        <f ca="1">IFERROR(__xludf.DUMMYFUNCTION("""COMPUTED_VALUE"""),"FL")</f>
        <v>FL</v>
      </c>
      <c r="O160" s="5" t="str">
        <f ca="1">IFERROR(__xludf.DUMMYFUNCTION("""COMPUTED_VALUE"""),"Middle")</f>
        <v>Middle</v>
      </c>
      <c r="P160" s="5" t="str">
        <f ca="1">IFERROR(__xludf.DUMMYFUNCTION("""COMPUTED_VALUE"""),"Front of School")</f>
        <v>Front of School</v>
      </c>
      <c r="Q160" s="5" t="str">
        <f ca="1">IFERROR(__xludf.DUMMYFUNCTION("""COMPUTED_VALUE"""),"Outside on School Property")</f>
        <v>Outside on School Property</v>
      </c>
      <c r="R160" s="5" t="str">
        <f ca="1">IFERROR(__xludf.DUMMYFUNCTION("""COMPUTED_VALUE"""),"Yes")</f>
        <v>Yes</v>
      </c>
      <c r="S160" s="5" t="str">
        <f ca="1">IFERROR(__xludf.DUMMYFUNCTION("""COMPUTED_VALUE"""),"Dismissal")</f>
        <v>Dismissal</v>
      </c>
      <c r="T160" s="10">
        <f ca="1">IFERROR(__xludf.DUMMYFUNCTION("""COMPUTED_VALUE"""),0.625)</f>
        <v>0.625</v>
      </c>
      <c r="U160" s="5">
        <f ca="1">IFERROR(__xludf.DUMMYFUNCTION("""COMPUTED_VALUE"""),1)</f>
        <v>1</v>
      </c>
      <c r="V160" s="5" t="str">
        <f ca="1">IFERROR(__xludf.DUMMYFUNCTION("""COMPUTED_VALUE"""),"Adult man fired shots in front of the school during a dispute at dismissal")</f>
        <v>Adult man fired shots in front of the school during a dispute at dismissal</v>
      </c>
      <c r="W160"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X160" s="5" t="str">
        <f ca="1">IFERROR(__xludf.DUMMYFUNCTION("""COMPUTED_VALUE"""),"Escalation of Dispute")</f>
        <v>Escalation of Dispute</v>
      </c>
      <c r="Y160" s="5" t="str">
        <f ca="1">IFERROR(__xludf.DUMMYFUNCTION("""COMPUTED_VALUE"""),"Victims Targeted")</f>
        <v>Victims Targeted</v>
      </c>
      <c r="Z160" s="5" t="str">
        <f ca="1">IFERROR(__xludf.DUMMYFUNCTION("""COMPUTED_VALUE"""),"No")</f>
        <v>No</v>
      </c>
      <c r="AA160" s="5"/>
      <c r="AB160" s="5" t="str">
        <f ca="1">IFERROR(__xludf.DUMMYFUNCTION("""COMPUTED_VALUE"""),"No")</f>
        <v>No</v>
      </c>
      <c r="AC160" s="5" t="str">
        <f ca="1">IFERROR(__xludf.DUMMYFUNCTION("""COMPUTED_VALUE"""),"No")</f>
        <v>No</v>
      </c>
      <c r="AD160" s="5" t="str">
        <f ca="1">IFERROR(__xludf.DUMMYFUNCTION("""COMPUTED_VALUE"""),"No")</f>
        <v>No</v>
      </c>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row>
    <row r="161" spans="1:34" ht="12.75">
      <c r="A161" s="5" t="str">
        <f ca="1">IFERROR(__xludf.DUMMYFUNCTION("""COMPUTED_VALUE"""),"20220211DCEAW")</f>
        <v>20220211DCEAW</v>
      </c>
      <c r="B161" s="8">
        <f ca="1">IFERROR(__xludf.DUMMYFUNCTION("""COMPUTED_VALUE"""),44603)</f>
        <v>44603</v>
      </c>
      <c r="C161" s="5" t="str">
        <f ca="1">IFERROR(__xludf.DUMMYFUNCTION("""COMPUTED_VALUE"""),"Eagle Academy")</f>
        <v>Eagle Academy</v>
      </c>
      <c r="D161" s="5">
        <f ca="1">IFERROR(__xludf.DUMMYFUNCTION("""COMPUTED_VALUE"""),0)</f>
        <v>0</v>
      </c>
      <c r="E161" s="5">
        <f ca="1">IFERROR(__xludf.DUMMYFUNCTION("""COMPUTED_VALUE"""),1)</f>
        <v>1</v>
      </c>
      <c r="F161" s="5">
        <f ca="1">IFERROR(__xludf.DUMMYFUNCTION("""COMPUTED_VALUE"""),1)</f>
        <v>1</v>
      </c>
      <c r="G161" s="5">
        <f ca="1">IFERROR(__xludf.DUMMYFUNCTION("""COMPUTED_VALUE"""),0)</f>
        <v>0</v>
      </c>
      <c r="H161"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I161" s="5">
        <f ca="1">IFERROR(__xludf.DUMMYFUNCTION("""COMPUTED_VALUE"""),1)</f>
        <v>1</v>
      </c>
      <c r="J161" s="5" t="str">
        <f ca="1">IFERROR(__xludf.DUMMYFUNCTION("""COMPUTED_VALUE"""),"Local")</f>
        <v>Local</v>
      </c>
      <c r="K161" s="5">
        <f ca="1">IFERROR(__xludf.DUMMYFUNCTION("""COMPUTED_VALUE"""),3)</f>
        <v>3</v>
      </c>
      <c r="L161" s="5" t="str">
        <f ca="1">IFERROR(__xludf.DUMMYFUNCTION("""COMPUTED_VALUE"""),"Winter")</f>
        <v>Winter</v>
      </c>
      <c r="M161" s="5" t="str">
        <f ca="1">IFERROR(__xludf.DUMMYFUNCTION("""COMPUTED_VALUE"""),"Washington")</f>
        <v>Washington</v>
      </c>
      <c r="N161" s="5" t="str">
        <f ca="1">IFERROR(__xludf.DUMMYFUNCTION("""COMPUTED_VALUE"""),"DC")</f>
        <v>DC</v>
      </c>
      <c r="O161" s="5" t="str">
        <f ca="1">IFERROR(__xludf.DUMMYFUNCTION("""COMPUTED_VALUE"""),"K-8")</f>
        <v>K-8</v>
      </c>
      <c r="P161" s="5" t="str">
        <f ca="1">IFERROR(__xludf.DUMMYFUNCTION("""COMPUTED_VALUE"""),"Parking Lot")</f>
        <v>Parking Lot</v>
      </c>
      <c r="Q161" s="5" t="str">
        <f ca="1">IFERROR(__xludf.DUMMYFUNCTION("""COMPUTED_VALUE"""),"Outside on School Property")</f>
        <v>Outside on School Property</v>
      </c>
      <c r="R161" s="5" t="str">
        <f ca="1">IFERROR(__xludf.DUMMYFUNCTION("""COMPUTED_VALUE"""),"Yes")</f>
        <v>Yes</v>
      </c>
      <c r="S161" s="5" t="str">
        <f ca="1">IFERROR(__xludf.DUMMYFUNCTION("""COMPUTED_VALUE"""),"Afternoon Classes")</f>
        <v>Afternoon Classes</v>
      </c>
      <c r="T161" s="10">
        <f ca="1">IFERROR(__xludf.DUMMYFUNCTION("""COMPUTED_VALUE"""),0.583333333333333)</f>
        <v>0.58333333333333304</v>
      </c>
      <c r="U161" s="5">
        <f ca="1">IFERROR(__xludf.DUMMYFUNCTION("""COMPUTED_VALUE"""),1)</f>
        <v>1</v>
      </c>
      <c r="V161" s="5" t="str">
        <f ca="1">IFERROR(__xludf.DUMMYFUNCTION("""COMPUTED_VALUE"""),"Man shot in school parking lot")</f>
        <v>Man shot in school parking lot</v>
      </c>
      <c r="W161" s="5" t="str">
        <f ca="1">IFERROR(__xludf.DUMMYFUNCTION("""COMPUTED_VALUE"""),"Man shot in school parking lot. No other information available.")</f>
        <v>Man shot in school parking lot. No other information available.</v>
      </c>
      <c r="X161" s="5"/>
      <c r="Y161" s="5"/>
      <c r="Z161" s="5"/>
      <c r="AA161" s="5"/>
      <c r="AB161" s="5" t="str">
        <f ca="1">IFERROR(__xludf.DUMMYFUNCTION("""COMPUTED_VALUE"""),"No")</f>
        <v>No</v>
      </c>
      <c r="AC161" s="5" t="str">
        <f ca="1">IFERROR(__xludf.DUMMYFUNCTION("""COMPUTED_VALUE"""),"No")</f>
        <v>No</v>
      </c>
      <c r="AD161" s="5" t="str">
        <f ca="1">IFERROR(__xludf.DUMMYFUNCTION("""COMPUTED_VALUE"""),"No")</f>
        <v>No</v>
      </c>
      <c r="AE161" s="5" t="str">
        <f ca="1">IFERROR(__xludf.DUMMYFUNCTION("""COMPUTED_VALUE"""),"No")</f>
        <v>No</v>
      </c>
      <c r="AF161" s="5" t="str">
        <f ca="1">IFERROR(__xludf.DUMMYFUNCTION("""COMPUTED_VALUE"""),"No")</f>
        <v>No</v>
      </c>
      <c r="AG161" s="5"/>
      <c r="AH161" s="5" t="str">
        <f ca="1">IFERROR(__xludf.DUMMYFUNCTION("""COMPUTED_VALUE"""),"No")</f>
        <v>No</v>
      </c>
    </row>
    <row r="162" spans="1:34" ht="12.75">
      <c r="A162" s="5" t="str">
        <f ca="1">IFERROR(__xludf.DUMMYFUNCTION("""COMPUTED_VALUE"""),"20220209NYMCB")</f>
        <v>20220209NYMCB</v>
      </c>
      <c r="B162" s="8">
        <f ca="1">IFERROR(__xludf.DUMMYFUNCTION("""COMPUTED_VALUE"""),44601)</f>
        <v>44601</v>
      </c>
      <c r="C162" s="5" t="str">
        <f ca="1">IFERROR(__xludf.DUMMYFUNCTION("""COMPUTED_VALUE"""),"McKinley High School")</f>
        <v>McKinley High School</v>
      </c>
      <c r="D162" s="5">
        <f ca="1">IFERROR(__xludf.DUMMYFUNCTION("""COMPUTED_VALUE"""),0)</f>
        <v>0</v>
      </c>
      <c r="E162" s="5">
        <f ca="1">IFERROR(__xludf.DUMMYFUNCTION("""COMPUTED_VALUE"""),2)</f>
        <v>2</v>
      </c>
      <c r="F162" s="5">
        <f ca="1">IFERROR(__xludf.DUMMYFUNCTION("""COMPUTED_VALUE"""),2)</f>
        <v>2</v>
      </c>
      <c r="G162" s="5">
        <f ca="1">IFERROR(__xludf.DUMMYFUNCTION("""COMPUTED_VALUE"""),0)</f>
        <v>0</v>
      </c>
      <c r="H162" s="5" t="str">
        <f ca="1">IFERROR(__xludf.DUMMYFUNCTION("""COMPUTED_VALUE"""),"https://www2.erie.gov/da/index.php?q=press/teen-indicted-his-alleged-involvement-assault-stabbing-student-outside-mckinley-high-school https://newyork.cbslocal.com/2022/02/09/student-security-guard-shot-outside-high-school-in-buffalo/ https://buffalonews."&amp;"com/news/local/mckinley-high-school-student-was-stabbed-not-shot-buffalo-police-say/article_316d5f52-89ec-11ec-a13d-8bda870b132e.html https://www.syracuse.com/state/2022/02/police-2-shot-in-buffalo-high-school-parking-lot.html")</f>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I162" s="5">
        <f ca="1">IFERROR(__xludf.DUMMYFUNCTION("""COMPUTED_VALUE"""),10)</f>
        <v>10</v>
      </c>
      <c r="J162" s="5" t="str">
        <f ca="1">IFERROR(__xludf.DUMMYFUNCTION("""COMPUTED_VALUE"""),"Regional")</f>
        <v>Regional</v>
      </c>
      <c r="K162" s="5">
        <f ca="1">IFERROR(__xludf.DUMMYFUNCTION("""COMPUTED_VALUE"""),4)</f>
        <v>4</v>
      </c>
      <c r="L162" s="5" t="str">
        <f ca="1">IFERROR(__xludf.DUMMYFUNCTION("""COMPUTED_VALUE"""),"Winter")</f>
        <v>Winter</v>
      </c>
      <c r="M162" s="5" t="str">
        <f ca="1">IFERROR(__xludf.DUMMYFUNCTION("""COMPUTED_VALUE"""),"Buffalo")</f>
        <v>Buffalo</v>
      </c>
      <c r="N162" s="5" t="str">
        <f ca="1">IFERROR(__xludf.DUMMYFUNCTION("""COMPUTED_VALUE"""),"NY")</f>
        <v>NY</v>
      </c>
      <c r="O162" s="5" t="str">
        <f ca="1">IFERROR(__xludf.DUMMYFUNCTION("""COMPUTED_VALUE"""),"High")</f>
        <v>High</v>
      </c>
      <c r="P162" s="5" t="str">
        <f ca="1">IFERROR(__xludf.DUMMYFUNCTION("""COMPUTED_VALUE"""),"Parking Lot")</f>
        <v>Parking Lot</v>
      </c>
      <c r="Q162" s="5" t="str">
        <f ca="1">IFERROR(__xludf.DUMMYFUNCTION("""COMPUTED_VALUE"""),"Outside on School Property")</f>
        <v>Outside on School Property</v>
      </c>
      <c r="R162" s="5" t="str">
        <f ca="1">IFERROR(__xludf.DUMMYFUNCTION("""COMPUTED_VALUE"""),"Yes")</f>
        <v>Yes</v>
      </c>
      <c r="S162" s="5" t="str">
        <f ca="1">IFERROR(__xludf.DUMMYFUNCTION("""COMPUTED_VALUE"""),"Dismissal")</f>
        <v>Dismissal</v>
      </c>
      <c r="T162" s="10">
        <f ca="1">IFERROR(__xludf.DUMMYFUNCTION("""COMPUTED_VALUE"""),0.65625)</f>
        <v>0.65625</v>
      </c>
      <c r="U162" s="5">
        <f ca="1">IFERROR(__xludf.DUMMYFUNCTION("""COMPUTED_VALUE"""),1)</f>
        <v>1</v>
      </c>
      <c r="V162" s="5" t="str">
        <f ca="1">IFERROR(__xludf.DUMMYFUNCTION("""COMPUTED_VALUE"""),"Student stabbed and security guard shot during fight")</f>
        <v>Student stabbed and security guard shot during fight</v>
      </c>
      <c r="W162"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X162" s="5" t="str">
        <f ca="1">IFERROR(__xludf.DUMMYFUNCTION("""COMPUTED_VALUE"""),"Escalation of Dispute")</f>
        <v>Escalation of Dispute</v>
      </c>
      <c r="Y162" s="5" t="str">
        <f ca="1">IFERROR(__xludf.DUMMYFUNCTION("""COMPUTED_VALUE"""),"Both")</f>
        <v>Both</v>
      </c>
      <c r="Z162" s="5" t="str">
        <f ca="1">IFERROR(__xludf.DUMMYFUNCTION("""COMPUTED_VALUE"""),"Yes")</f>
        <v>Yes</v>
      </c>
      <c r="AA162" s="5" t="str">
        <f ca="1">IFERROR(__xludf.DUMMYFUNCTION("""COMPUTED_VALUE"""),"Large fight")</f>
        <v>Large fight</v>
      </c>
      <c r="AB162" s="5" t="str">
        <f ca="1">IFERROR(__xludf.DUMMYFUNCTION("""COMPUTED_VALUE"""),"No")</f>
        <v>No</v>
      </c>
      <c r="AC162" s="5" t="str">
        <f ca="1">IFERROR(__xludf.DUMMYFUNCTION("""COMPUTED_VALUE"""),"No")</f>
        <v>No</v>
      </c>
      <c r="AD162" s="5" t="str">
        <f ca="1">IFERROR(__xludf.DUMMYFUNCTION("""COMPUTED_VALUE"""),"No")</f>
        <v>No</v>
      </c>
      <c r="AE162" s="5" t="str">
        <f ca="1">IFERROR(__xludf.DUMMYFUNCTION("""COMPUTED_VALUE"""),"No")</f>
        <v>No</v>
      </c>
      <c r="AF162" s="5" t="str">
        <f ca="1">IFERROR(__xludf.DUMMYFUNCTION("""COMPUTED_VALUE"""),"No")</f>
        <v>No</v>
      </c>
      <c r="AG162" s="5"/>
      <c r="AH162" s="5" t="str">
        <f ca="1">IFERROR(__xludf.DUMMYFUNCTION("""COMPUTED_VALUE"""),"No")</f>
        <v>No</v>
      </c>
    </row>
    <row r="163" spans="1:34" ht="12.75">
      <c r="A163" s="5" t="str">
        <f ca="1">IFERROR(__xludf.DUMMYFUNCTION("""COMPUTED_VALUE"""),"20220209MNMIM")</f>
        <v>20220209MNMIM</v>
      </c>
      <c r="B163" s="8">
        <f ca="1">IFERROR(__xludf.DUMMYFUNCTION("""COMPUTED_VALUE"""),44601)</f>
        <v>44601</v>
      </c>
      <c r="C163" s="5" t="str">
        <f ca="1">IFERROR(__xludf.DUMMYFUNCTION("""COMPUTED_VALUE"""),"Minneapolis School Bus")</f>
        <v>Minneapolis School Bus</v>
      </c>
      <c r="D163" s="5">
        <f ca="1">IFERROR(__xludf.DUMMYFUNCTION("""COMPUTED_VALUE"""),0)</f>
        <v>0</v>
      </c>
      <c r="E163" s="5">
        <f ca="1">IFERROR(__xludf.DUMMYFUNCTION("""COMPUTED_VALUE"""),1)</f>
        <v>1</v>
      </c>
      <c r="F163" s="5">
        <f ca="1">IFERROR(__xludf.DUMMYFUNCTION("""COMPUTED_VALUE"""),1)</f>
        <v>1</v>
      </c>
      <c r="G163" s="5">
        <f ca="1">IFERROR(__xludf.DUMMYFUNCTION("""COMPUTED_VALUE"""),0)</f>
        <v>0</v>
      </c>
      <c r="H163"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I163" s="5">
        <f ca="1">IFERROR(__xludf.DUMMYFUNCTION("""COMPUTED_VALUE"""),5)</f>
        <v>5</v>
      </c>
      <c r="J163" s="5" t="str">
        <f ca="1">IFERROR(__xludf.DUMMYFUNCTION("""COMPUTED_VALUE"""),"National")</f>
        <v>National</v>
      </c>
      <c r="K163" s="5">
        <f ca="1">IFERROR(__xludf.DUMMYFUNCTION("""COMPUTED_VALUE"""),4)</f>
        <v>4</v>
      </c>
      <c r="L163" s="5" t="str">
        <f ca="1">IFERROR(__xludf.DUMMYFUNCTION("""COMPUTED_VALUE"""),"Winter")</f>
        <v>Winter</v>
      </c>
      <c r="M163" s="5" t="str">
        <f ca="1">IFERROR(__xludf.DUMMYFUNCTION("""COMPUTED_VALUE"""),"Minneapolis")</f>
        <v>Minneapolis</v>
      </c>
      <c r="N163" s="5" t="str">
        <f ca="1">IFERROR(__xludf.DUMMYFUNCTION("""COMPUTED_VALUE"""),"MN")</f>
        <v>MN</v>
      </c>
      <c r="O163" s="5" t="str">
        <f ca="1">IFERROR(__xludf.DUMMYFUNCTION("""COMPUTED_VALUE"""),"Elementary")</f>
        <v>Elementary</v>
      </c>
      <c r="P163" s="5" t="str">
        <f ca="1">IFERROR(__xludf.DUMMYFUNCTION("""COMPUTED_VALUE"""),"School Bus")</f>
        <v>School Bus</v>
      </c>
      <c r="Q163" s="5" t="str">
        <f ca="1">IFERROR(__xludf.DUMMYFUNCTION("""COMPUTED_VALUE"""),"School Bus")</f>
        <v>School Bus</v>
      </c>
      <c r="R163" s="5" t="str">
        <f ca="1">IFERROR(__xludf.DUMMYFUNCTION("""COMPUTED_VALUE"""),"Yes")</f>
        <v>Yes</v>
      </c>
      <c r="S163" s="5" t="str">
        <f ca="1">IFERROR(__xludf.DUMMYFUNCTION("""COMPUTED_VALUE"""),"Dismissal")</f>
        <v>Dismissal</v>
      </c>
      <c r="T163" s="10">
        <f ca="1">IFERROR(__xludf.DUMMYFUNCTION("""COMPUTED_VALUE"""),0.59375)</f>
        <v>0.59375</v>
      </c>
      <c r="U163" s="5">
        <f ca="1">IFERROR(__xludf.DUMMYFUNCTION("""COMPUTED_VALUE"""),1)</f>
        <v>1</v>
      </c>
      <c r="V163" s="5" t="str">
        <f ca="1">IFERROR(__xludf.DUMMYFUNCTION("""COMPUTED_VALUE"""),"School bus driver shot in the head while driving the bus with children aboard")</f>
        <v>School bus driver shot in the head while driving the bus with children aboard</v>
      </c>
      <c r="W163"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X163" s="5" t="str">
        <f ca="1">IFERROR(__xludf.DUMMYFUNCTION("""COMPUTED_VALUE"""),"Drive-by Shooting")</f>
        <v>Drive-by Shooting</v>
      </c>
      <c r="Y163" s="5" t="str">
        <f ca="1">IFERROR(__xludf.DUMMYFUNCTION("""COMPUTED_VALUE"""),"Both")</f>
        <v>Both</v>
      </c>
      <c r="Z163" s="5" t="str">
        <f ca="1">IFERROR(__xludf.DUMMYFUNCTION("""COMPUTED_VALUE"""),"No")</f>
        <v>No</v>
      </c>
      <c r="AA163" s="5"/>
      <c r="AB163" s="5" t="str">
        <f ca="1">IFERROR(__xludf.DUMMYFUNCTION("""COMPUTED_VALUE"""),"No")</f>
        <v>No</v>
      </c>
      <c r="AC163" s="5" t="str">
        <f ca="1">IFERROR(__xludf.DUMMYFUNCTION("""COMPUTED_VALUE"""),"No")</f>
        <v>No</v>
      </c>
      <c r="AD163" s="5" t="str">
        <f ca="1">IFERROR(__xludf.DUMMYFUNCTION("""COMPUTED_VALUE"""),"No")</f>
        <v>No</v>
      </c>
      <c r="AE163" s="5" t="str">
        <f ca="1">IFERROR(__xludf.DUMMYFUNCTION("""COMPUTED_VALUE"""),"No")</f>
        <v>No</v>
      </c>
      <c r="AF163" s="5" t="str">
        <f ca="1">IFERROR(__xludf.DUMMYFUNCTION("""COMPUTED_VALUE"""),"No")</f>
        <v>No</v>
      </c>
      <c r="AG163" s="5"/>
      <c r="AH163" s="5" t="str">
        <f ca="1">IFERROR(__xludf.DUMMYFUNCTION("""COMPUTED_VALUE"""),"No")</f>
        <v>No</v>
      </c>
    </row>
    <row r="164" spans="1:34" ht="12.75">
      <c r="A164" s="5" t="str">
        <f ca="1">IFERROR(__xludf.DUMMYFUNCTION("""COMPUTED_VALUE"""),"20220208NYMOM")</f>
        <v>20220208NYMOM</v>
      </c>
      <c r="B164" s="8">
        <f ca="1">IFERROR(__xludf.DUMMYFUNCTION("""COMPUTED_VALUE"""),44600)</f>
        <v>44600</v>
      </c>
      <c r="C164" s="5" t="str">
        <f ca="1">IFERROR(__xludf.DUMMYFUNCTION("""COMPUTED_VALUE"""),"Mount Vernon High School")</f>
        <v>Mount Vernon High School</v>
      </c>
      <c r="D164" s="5">
        <f ca="1">IFERROR(__xludf.DUMMYFUNCTION("""COMPUTED_VALUE"""),0)</f>
        <v>0</v>
      </c>
      <c r="E164" s="5">
        <f ca="1">IFERROR(__xludf.DUMMYFUNCTION("""COMPUTED_VALUE"""),0)</f>
        <v>0</v>
      </c>
      <c r="F164" s="5">
        <f ca="1">IFERROR(__xludf.DUMMYFUNCTION("""COMPUTED_VALUE"""),0)</f>
        <v>0</v>
      </c>
      <c r="G164" s="5">
        <f ca="1">IFERROR(__xludf.DUMMYFUNCTION("""COMPUTED_VALUE"""),0)</f>
        <v>0</v>
      </c>
      <c r="H164"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I164" s="5">
        <f ca="1">IFERROR(__xludf.DUMMYFUNCTION("""COMPUTED_VALUE"""),5)</f>
        <v>5</v>
      </c>
      <c r="J164" s="5" t="str">
        <f ca="1">IFERROR(__xludf.DUMMYFUNCTION("""COMPUTED_VALUE"""),"Regional")</f>
        <v>Regional</v>
      </c>
      <c r="K164" s="5">
        <f ca="1">IFERROR(__xludf.DUMMYFUNCTION("""COMPUTED_VALUE"""),4)</f>
        <v>4</v>
      </c>
      <c r="L164" s="5" t="str">
        <f ca="1">IFERROR(__xludf.DUMMYFUNCTION("""COMPUTED_VALUE"""),"Winter")</f>
        <v>Winter</v>
      </c>
      <c r="M164" s="5" t="str">
        <f ca="1">IFERROR(__xludf.DUMMYFUNCTION("""COMPUTED_VALUE"""),"Mount Vernon")</f>
        <v>Mount Vernon</v>
      </c>
      <c r="N164" s="5" t="str">
        <f ca="1">IFERROR(__xludf.DUMMYFUNCTION("""COMPUTED_VALUE"""),"NY")</f>
        <v>NY</v>
      </c>
      <c r="O164" s="5" t="str">
        <f ca="1">IFERROR(__xludf.DUMMYFUNCTION("""COMPUTED_VALUE"""),"High")</f>
        <v>High</v>
      </c>
      <c r="P164" s="5" t="str">
        <f ca="1">IFERROR(__xludf.DUMMYFUNCTION("""COMPUTED_VALUE"""),"Front of School")</f>
        <v>Front of School</v>
      </c>
      <c r="Q164" s="5" t="str">
        <f ca="1">IFERROR(__xludf.DUMMYFUNCTION("""COMPUTED_VALUE"""),"Outside on School Property")</f>
        <v>Outside on School Property</v>
      </c>
      <c r="R164" s="5" t="str">
        <f ca="1">IFERROR(__xludf.DUMMYFUNCTION("""COMPUTED_VALUE"""),"Yes")</f>
        <v>Yes</v>
      </c>
      <c r="S164" s="5" t="str">
        <f ca="1">IFERROR(__xludf.DUMMYFUNCTION("""COMPUTED_VALUE"""),"Dismissal")</f>
        <v>Dismissal</v>
      </c>
      <c r="T164" s="10">
        <f ca="1">IFERROR(__xludf.DUMMYFUNCTION("""COMPUTED_VALUE"""),0.604166666666666)</f>
        <v>0.60416666666666596</v>
      </c>
      <c r="U164" s="5">
        <f ca="1">IFERROR(__xludf.DUMMYFUNCTION("""COMPUTED_VALUE"""),1)</f>
        <v>1</v>
      </c>
      <c r="V164" s="5" t="str">
        <f ca="1">IFERROR(__xludf.DUMMYFUNCTION("""COMPUTED_VALUE"""),"Shots fired outside school prior to dismissal")</f>
        <v>Shots fired outside school prior to dismissal</v>
      </c>
      <c r="W164"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X164" s="5" t="str">
        <f ca="1">IFERROR(__xludf.DUMMYFUNCTION("""COMPUTED_VALUE"""),"Drive-by Shooting")</f>
        <v>Drive-by Shooting</v>
      </c>
      <c r="Y164" s="5"/>
      <c r="Z164" s="5" t="str">
        <f ca="1">IFERROR(__xludf.DUMMYFUNCTION("""COMPUTED_VALUE"""),"No")</f>
        <v>No</v>
      </c>
      <c r="AA164" s="5"/>
      <c r="AB164" s="5" t="str">
        <f ca="1">IFERROR(__xludf.DUMMYFUNCTION("""COMPUTED_VALUE"""),"No")</f>
        <v>No</v>
      </c>
      <c r="AC164" s="5" t="str">
        <f ca="1">IFERROR(__xludf.DUMMYFUNCTION("""COMPUTED_VALUE"""),"No")</f>
        <v>No</v>
      </c>
      <c r="AD164" s="5" t="str">
        <f ca="1">IFERROR(__xludf.DUMMYFUNCTION("""COMPUTED_VALUE"""),"No")</f>
        <v>No</v>
      </c>
      <c r="AE164" s="5" t="str">
        <f ca="1">IFERROR(__xludf.DUMMYFUNCTION("""COMPUTED_VALUE"""),"No")</f>
        <v>No</v>
      </c>
      <c r="AF164" s="5" t="str">
        <f ca="1">IFERROR(__xludf.DUMMYFUNCTION("""COMPUTED_VALUE"""),"No")</f>
        <v>No</v>
      </c>
      <c r="AG164" s="5"/>
      <c r="AH164" s="5" t="str">
        <f ca="1">IFERROR(__xludf.DUMMYFUNCTION("""COMPUTED_VALUE"""),"No")</f>
        <v>No</v>
      </c>
    </row>
    <row r="165" spans="1:34" ht="12.75">
      <c r="A165" s="5" t="str">
        <f ca="1">IFERROR(__xludf.DUMMYFUNCTION("""COMPUTED_VALUE"""),"20220208MDCAC")</f>
        <v>20220208MDCAC</v>
      </c>
      <c r="B165" s="8">
        <f ca="1">IFERROR(__xludf.DUMMYFUNCTION("""COMPUTED_VALUE"""),44600)</f>
        <v>44600</v>
      </c>
      <c r="C165" s="5" t="str">
        <f ca="1">IFERROR(__xludf.DUMMYFUNCTION("""COMPUTED_VALUE"""),"Catonsville High School")</f>
        <v>Catonsville High School</v>
      </c>
      <c r="D165" s="5">
        <f ca="1">IFERROR(__xludf.DUMMYFUNCTION("""COMPUTED_VALUE"""),0)</f>
        <v>0</v>
      </c>
      <c r="E165" s="5">
        <f ca="1">IFERROR(__xludf.DUMMYFUNCTION("""COMPUTED_VALUE"""),2)</f>
        <v>2</v>
      </c>
      <c r="F165" s="5">
        <f ca="1">IFERROR(__xludf.DUMMYFUNCTION("""COMPUTED_VALUE"""),2)</f>
        <v>2</v>
      </c>
      <c r="G165" s="5">
        <f ca="1">IFERROR(__xludf.DUMMYFUNCTION("""COMPUTED_VALUE"""),0)</f>
        <v>0</v>
      </c>
      <c r="H165"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I165" s="5">
        <f ca="1">IFERROR(__xludf.DUMMYFUNCTION("""COMPUTED_VALUE"""),10)</f>
        <v>10</v>
      </c>
      <c r="J165" s="5" t="str">
        <f ca="1">IFERROR(__xludf.DUMMYFUNCTION("""COMPUTED_VALUE"""),"Regional")</f>
        <v>Regional</v>
      </c>
      <c r="K165" s="5">
        <f ca="1">IFERROR(__xludf.DUMMYFUNCTION("""COMPUTED_VALUE"""),4)</f>
        <v>4</v>
      </c>
      <c r="L165" s="5" t="str">
        <f ca="1">IFERROR(__xludf.DUMMYFUNCTION("""COMPUTED_VALUE"""),"Winter")</f>
        <v>Winter</v>
      </c>
      <c r="M165" s="5" t="str">
        <f ca="1">IFERROR(__xludf.DUMMYFUNCTION("""COMPUTED_VALUE"""),"Catonsville")</f>
        <v>Catonsville</v>
      </c>
      <c r="N165" s="5" t="str">
        <f ca="1">IFERROR(__xludf.DUMMYFUNCTION("""COMPUTED_VALUE"""),"MD")</f>
        <v>MD</v>
      </c>
      <c r="O165" s="5" t="str">
        <f ca="1">IFERROR(__xludf.DUMMYFUNCTION("""COMPUTED_VALUE"""),"High")</f>
        <v>High</v>
      </c>
      <c r="P165" s="5" t="str">
        <f ca="1">IFERROR(__xludf.DUMMYFUNCTION("""COMPUTED_VALUE"""),"Parking Lot")</f>
        <v>Parking Lot</v>
      </c>
      <c r="Q165" s="5" t="str">
        <f ca="1">IFERROR(__xludf.DUMMYFUNCTION("""COMPUTED_VALUE"""),"Outside on School Property")</f>
        <v>Outside on School Property</v>
      </c>
      <c r="R165" s="5" t="str">
        <f ca="1">IFERROR(__xludf.DUMMYFUNCTION("""COMPUTED_VALUE"""),"No")</f>
        <v>No</v>
      </c>
      <c r="S165" s="5" t="str">
        <f ca="1">IFERROR(__xludf.DUMMYFUNCTION("""COMPUTED_VALUE"""),"After School")</f>
        <v>After School</v>
      </c>
      <c r="T165" s="10">
        <f ca="1">IFERROR(__xludf.DUMMYFUNCTION("""COMPUTED_VALUE"""),0.625)</f>
        <v>0.625</v>
      </c>
      <c r="U165" s="5">
        <f ca="1">IFERROR(__xludf.DUMMYFUNCTION("""COMPUTED_VALUE"""),1)</f>
        <v>1</v>
      </c>
      <c r="V165" s="5" t="str">
        <f ca="1">IFERROR(__xludf.DUMMYFUNCTION("""COMPUTED_VALUE"""),"Student shot in school parking lot")</f>
        <v>Student shot in school parking lot</v>
      </c>
      <c r="W165"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X165" s="5"/>
      <c r="Y165" s="5" t="str">
        <f ca="1">IFERROR(__xludf.DUMMYFUNCTION("""COMPUTED_VALUE"""),"Victims Targeted")</f>
        <v>Victims Targeted</v>
      </c>
      <c r="Z165" s="5" t="str">
        <f ca="1">IFERROR(__xludf.DUMMYFUNCTION("""COMPUTED_VALUE"""),"No")</f>
        <v>No</v>
      </c>
      <c r="AA165" s="5"/>
      <c r="AB165" s="5" t="str">
        <f ca="1">IFERROR(__xludf.DUMMYFUNCTION("""COMPUTED_VALUE"""),"No")</f>
        <v>No</v>
      </c>
      <c r="AC165" s="5" t="str">
        <f ca="1">IFERROR(__xludf.DUMMYFUNCTION("""COMPUTED_VALUE"""),"No")</f>
        <v>No</v>
      </c>
      <c r="AD165" s="5" t="str">
        <f ca="1">IFERROR(__xludf.DUMMYFUNCTION("""COMPUTED_VALUE"""),"No")</f>
        <v>No</v>
      </c>
      <c r="AE165" s="5" t="str">
        <f ca="1">IFERROR(__xludf.DUMMYFUNCTION("""COMPUTED_VALUE"""),"No")</f>
        <v>No</v>
      </c>
      <c r="AF165" s="5" t="str">
        <f ca="1">IFERROR(__xludf.DUMMYFUNCTION("""COMPUTED_VALUE"""),"No")</f>
        <v>No</v>
      </c>
      <c r="AG165" s="5"/>
      <c r="AH165" s="5" t="str">
        <f ca="1">IFERROR(__xludf.DUMMYFUNCTION("""COMPUTED_VALUE"""),"No")</f>
        <v>No</v>
      </c>
    </row>
    <row r="166" spans="1:34" ht="12.75">
      <c r="A166" s="5" t="str">
        <f ca="1">IFERROR(__xludf.DUMMYFUNCTION("""COMPUTED_VALUE"""),"20220204GASOD")</f>
        <v>20220204GASOD</v>
      </c>
      <c r="B166" s="8">
        <f ca="1">IFERROR(__xludf.DUMMYFUNCTION("""COMPUTED_VALUE"""),44596)</f>
        <v>44596</v>
      </c>
      <c r="C166" s="5" t="str">
        <f ca="1">IFERROR(__xludf.DUMMYFUNCTION("""COMPUTED_VALUE"""),"Southwest DeKalb High School")</f>
        <v>Southwest DeKalb High School</v>
      </c>
      <c r="D166" s="5">
        <f ca="1">IFERROR(__xludf.DUMMYFUNCTION("""COMPUTED_VALUE"""),0)</f>
        <v>0</v>
      </c>
      <c r="E166" s="5">
        <f ca="1">IFERROR(__xludf.DUMMYFUNCTION("""COMPUTED_VALUE"""),0)</f>
        <v>0</v>
      </c>
      <c r="F166" s="5">
        <f ca="1">IFERROR(__xludf.DUMMYFUNCTION("""COMPUTED_VALUE"""),0)</f>
        <v>0</v>
      </c>
      <c r="G166" s="5">
        <f ca="1">IFERROR(__xludf.DUMMYFUNCTION("""COMPUTED_VALUE"""),0)</f>
        <v>0</v>
      </c>
      <c r="H166" s="9" t="str">
        <f ca="1">IFERROR(__xludf.DUMMYFUNCTION("""COMPUTED_VALUE"""),"https://www.fox5atlanta.com/news/southwest-dekalb-high-school-student-accidentally-shot")</f>
        <v>https://www.fox5atlanta.com/news/southwest-dekalb-high-school-student-accidentally-shot</v>
      </c>
      <c r="I166" s="5">
        <f ca="1">IFERROR(__xludf.DUMMYFUNCTION("""COMPUTED_VALUE"""),1)</f>
        <v>1</v>
      </c>
      <c r="J166" s="5" t="str">
        <f ca="1">IFERROR(__xludf.DUMMYFUNCTION("""COMPUTED_VALUE"""),"Local")</f>
        <v>Local</v>
      </c>
      <c r="K166" s="5">
        <f ca="1">IFERROR(__xludf.DUMMYFUNCTION("""COMPUTED_VALUE"""),3)</f>
        <v>3</v>
      </c>
      <c r="L166" s="5" t="str">
        <f ca="1">IFERROR(__xludf.DUMMYFUNCTION("""COMPUTED_VALUE"""),"Winter")</f>
        <v>Winter</v>
      </c>
      <c r="M166" s="5" t="str">
        <f ca="1">IFERROR(__xludf.DUMMYFUNCTION("""COMPUTED_VALUE"""),"Decatur")</f>
        <v>Decatur</v>
      </c>
      <c r="N166" s="5" t="str">
        <f ca="1">IFERROR(__xludf.DUMMYFUNCTION("""COMPUTED_VALUE"""),"GA")</f>
        <v>GA</v>
      </c>
      <c r="O166" s="5" t="str">
        <f ca="1">IFERROR(__xludf.DUMMYFUNCTION("""COMPUTED_VALUE"""),"High")</f>
        <v>High</v>
      </c>
      <c r="P166" s="5" t="str">
        <f ca="1">IFERROR(__xludf.DUMMYFUNCTION("""COMPUTED_VALUE"""),"Parking Lot")</f>
        <v>Parking Lot</v>
      </c>
      <c r="Q166" s="5" t="str">
        <f ca="1">IFERROR(__xludf.DUMMYFUNCTION("""COMPUTED_VALUE"""),"Outside on School Property")</f>
        <v>Outside on School Property</v>
      </c>
      <c r="R166" s="5" t="str">
        <f ca="1">IFERROR(__xludf.DUMMYFUNCTION("""COMPUTED_VALUE"""),"Yes")</f>
        <v>Yes</v>
      </c>
      <c r="S166" s="5" t="str">
        <f ca="1">IFERROR(__xludf.DUMMYFUNCTION("""COMPUTED_VALUE"""),"Dismissal")</f>
        <v>Dismissal</v>
      </c>
      <c r="T166" s="10">
        <f ca="1">IFERROR(__xludf.DUMMYFUNCTION("""COMPUTED_VALUE"""),0.583333333333333)</f>
        <v>0.58333333333333304</v>
      </c>
      <c r="U166" s="5">
        <f ca="1">IFERROR(__xludf.DUMMYFUNCTION("""COMPUTED_VALUE"""),1)</f>
        <v>1</v>
      </c>
      <c r="V166" s="5" t="str">
        <f ca="1">IFERROR(__xludf.DUMMYFUNCTION("""COMPUTED_VALUE"""),"Student shot self in the leg in school parking lot at dismissal")</f>
        <v>Student shot self in the leg in school parking lot at dismissal</v>
      </c>
      <c r="W166"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X166" s="5" t="str">
        <f ca="1">IFERROR(__xludf.DUMMYFUNCTION("""COMPUTED_VALUE"""),"Accidental")</f>
        <v>Accidental</v>
      </c>
      <c r="Y166" s="5" t="str">
        <f ca="1">IFERROR(__xludf.DUMMYFUNCTION("""COMPUTED_VALUE"""),"Neither")</f>
        <v>Neither</v>
      </c>
      <c r="Z166" s="5" t="str">
        <f ca="1">IFERROR(__xludf.DUMMYFUNCTION("""COMPUTED_VALUE"""),"No")</f>
        <v>No</v>
      </c>
      <c r="AA166" s="5"/>
      <c r="AB166" s="5" t="str">
        <f ca="1">IFERROR(__xludf.DUMMYFUNCTION("""COMPUTED_VALUE"""),"No")</f>
        <v>No</v>
      </c>
      <c r="AC166" s="5" t="str">
        <f ca="1">IFERROR(__xludf.DUMMYFUNCTION("""COMPUTED_VALUE"""),"No")</f>
        <v>No</v>
      </c>
      <c r="AD166" s="5" t="str">
        <f ca="1">IFERROR(__xludf.DUMMYFUNCTION("""COMPUTED_VALUE"""),"No")</f>
        <v>No</v>
      </c>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row>
    <row r="167" spans="1:34" ht="12.75">
      <c r="A167" s="5" t="str">
        <f ca="1">IFERROR(__xludf.DUMMYFUNCTION("""COMPUTED_VALUE"""),"20220204ALWEB")</f>
        <v>20220204ALWEB</v>
      </c>
      <c r="B167" s="8">
        <f ca="1">IFERROR(__xludf.DUMMYFUNCTION("""COMPUTED_VALUE"""),44596)</f>
        <v>44596</v>
      </c>
      <c r="C167" s="5" t="str">
        <f ca="1">IFERROR(__xludf.DUMMYFUNCTION("""COMPUTED_VALUE"""),"Wenonah High School")</f>
        <v>Wenonah High School</v>
      </c>
      <c r="D167" s="5">
        <f ca="1">IFERROR(__xludf.DUMMYFUNCTION("""COMPUTED_VALUE"""),0)</f>
        <v>0</v>
      </c>
      <c r="E167" s="5">
        <f ca="1">IFERROR(__xludf.DUMMYFUNCTION("""COMPUTED_VALUE"""),1)</f>
        <v>1</v>
      </c>
      <c r="F167" s="5">
        <f ca="1">IFERROR(__xludf.DUMMYFUNCTION("""COMPUTED_VALUE"""),1)</f>
        <v>1</v>
      </c>
      <c r="G167" s="5">
        <f ca="1">IFERROR(__xludf.DUMMYFUNCTION("""COMPUTED_VALUE"""),0)</f>
        <v>0</v>
      </c>
      <c r="H167"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I167" s="5">
        <f ca="1">IFERROR(__xludf.DUMMYFUNCTION("""COMPUTED_VALUE"""),3)</f>
        <v>3</v>
      </c>
      <c r="J167" s="5" t="str">
        <f ca="1">IFERROR(__xludf.DUMMYFUNCTION("""COMPUTED_VALUE"""),"Local")</f>
        <v>Local</v>
      </c>
      <c r="K167" s="5">
        <f ca="1">IFERROR(__xludf.DUMMYFUNCTION("""COMPUTED_VALUE"""),4)</f>
        <v>4</v>
      </c>
      <c r="L167" s="5" t="str">
        <f ca="1">IFERROR(__xludf.DUMMYFUNCTION("""COMPUTED_VALUE"""),"Winter")</f>
        <v>Winter</v>
      </c>
      <c r="M167" s="5" t="str">
        <f ca="1">IFERROR(__xludf.DUMMYFUNCTION("""COMPUTED_VALUE"""),"Birmingham")</f>
        <v>Birmingham</v>
      </c>
      <c r="N167" s="5" t="str">
        <f ca="1">IFERROR(__xludf.DUMMYFUNCTION("""COMPUTED_VALUE"""),"AL")</f>
        <v>AL</v>
      </c>
      <c r="O167" s="5" t="str">
        <f ca="1">IFERROR(__xludf.DUMMYFUNCTION("""COMPUTED_VALUE"""),"High")</f>
        <v>High</v>
      </c>
      <c r="P167" s="5" t="str">
        <f ca="1">IFERROR(__xludf.DUMMYFUNCTION("""COMPUTED_VALUE"""),"Beside Building")</f>
        <v>Beside Building</v>
      </c>
      <c r="Q167" s="5" t="str">
        <f ca="1">IFERROR(__xludf.DUMMYFUNCTION("""COMPUTED_VALUE"""),"Outside on School Property")</f>
        <v>Outside on School Property</v>
      </c>
      <c r="R167" s="5" t="str">
        <f ca="1">IFERROR(__xludf.DUMMYFUNCTION("""COMPUTED_VALUE"""),"No")</f>
        <v>No</v>
      </c>
      <c r="S167" s="5" t="str">
        <f ca="1">IFERROR(__xludf.DUMMYFUNCTION("""COMPUTED_VALUE"""),"Sport Event")</f>
        <v>Sport Event</v>
      </c>
      <c r="T167" s="10">
        <f ca="1">IFERROR(__xludf.DUMMYFUNCTION("""COMPUTED_VALUE"""),0.885416666666666)</f>
        <v>0.88541666666666596</v>
      </c>
      <c r="U167" s="5">
        <f ca="1">IFERROR(__xludf.DUMMYFUNCTION("""COMPUTED_VALUE"""),1)</f>
        <v>1</v>
      </c>
      <c r="V167" s="5" t="str">
        <f ca="1">IFERROR(__xludf.DUMMYFUNCTION("""COMPUTED_VALUE"""),"Student (not intended target) shot outside of gym following basketball game")</f>
        <v>Student (not intended target) shot outside of gym following basketball game</v>
      </c>
      <c r="W167"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X167" s="5"/>
      <c r="Y167" s="5" t="str">
        <f ca="1">IFERROR(__xludf.DUMMYFUNCTION("""COMPUTED_VALUE"""),"Both")</f>
        <v>Both</v>
      </c>
      <c r="Z167" s="5" t="str">
        <f ca="1">IFERROR(__xludf.DUMMYFUNCTION("""COMPUTED_VALUE"""),"No")</f>
        <v>No</v>
      </c>
      <c r="AA167" s="5"/>
      <c r="AB167" s="5" t="str">
        <f ca="1">IFERROR(__xludf.DUMMYFUNCTION("""COMPUTED_VALUE"""),"No")</f>
        <v>No</v>
      </c>
      <c r="AC167" s="5" t="str">
        <f ca="1">IFERROR(__xludf.DUMMYFUNCTION("""COMPUTED_VALUE"""),"No")</f>
        <v>No</v>
      </c>
      <c r="AD167" s="5" t="str">
        <f ca="1">IFERROR(__xludf.DUMMYFUNCTION("""COMPUTED_VALUE"""),"No")</f>
        <v>No</v>
      </c>
      <c r="AE167" s="5" t="str">
        <f ca="1">IFERROR(__xludf.DUMMYFUNCTION("""COMPUTED_VALUE"""),"No")</f>
        <v>No</v>
      </c>
      <c r="AF167" s="5" t="str">
        <f ca="1">IFERROR(__xludf.DUMMYFUNCTION("""COMPUTED_VALUE"""),"No")</f>
        <v>No</v>
      </c>
      <c r="AG167" s="5"/>
      <c r="AH167" s="5" t="str">
        <f ca="1">IFERROR(__xludf.DUMMYFUNCTION("""COMPUTED_VALUE"""),"No")</f>
        <v>No</v>
      </c>
    </row>
    <row r="168" spans="1:34" ht="12.75">
      <c r="A168" s="5" t="str">
        <f ca="1">IFERROR(__xludf.DUMMYFUNCTION("""COMPUTED_VALUE"""),"20220203NCSPS")</f>
        <v>20220203NCSPS</v>
      </c>
      <c r="B168" s="8">
        <f ca="1">IFERROR(__xludf.DUMMYFUNCTION("""COMPUTED_VALUE"""),44595)</f>
        <v>44595</v>
      </c>
      <c r="C168" s="5" t="str">
        <f ca="1">IFERROR(__xludf.DUMMYFUNCTION("""COMPUTED_VALUE"""),"Speight Middle School")</f>
        <v>Speight Middle School</v>
      </c>
      <c r="D168" s="5">
        <f ca="1">IFERROR(__xludf.DUMMYFUNCTION("""COMPUTED_VALUE"""),0)</f>
        <v>0</v>
      </c>
      <c r="E168" s="5">
        <f ca="1">IFERROR(__xludf.DUMMYFUNCTION("""COMPUTED_VALUE"""),0)</f>
        <v>0</v>
      </c>
      <c r="F168" s="5">
        <f ca="1">IFERROR(__xludf.DUMMYFUNCTION("""COMPUTED_VALUE"""),0)</f>
        <v>0</v>
      </c>
      <c r="G168" s="5">
        <f ca="1">IFERROR(__xludf.DUMMYFUNCTION("""COMPUTED_VALUE"""),0)</f>
        <v>0</v>
      </c>
      <c r="H168"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I168" s="5">
        <f ca="1">IFERROR(__xludf.DUMMYFUNCTION("""COMPUTED_VALUE"""),2)</f>
        <v>2</v>
      </c>
      <c r="J168" s="5" t="str">
        <f ca="1">IFERROR(__xludf.DUMMYFUNCTION("""COMPUTED_VALUE"""),"Local")</f>
        <v>Local</v>
      </c>
      <c r="K168" s="5">
        <f ca="1">IFERROR(__xludf.DUMMYFUNCTION("""COMPUTED_VALUE"""),4)</f>
        <v>4</v>
      </c>
      <c r="L168" s="5" t="str">
        <f ca="1">IFERROR(__xludf.DUMMYFUNCTION("""COMPUTED_VALUE"""),"Winter")</f>
        <v>Winter</v>
      </c>
      <c r="M168" s="5" t="str">
        <f ca="1">IFERROR(__xludf.DUMMYFUNCTION("""COMPUTED_VALUE"""),"Stantonsburg")</f>
        <v>Stantonsburg</v>
      </c>
      <c r="N168" s="5" t="str">
        <f ca="1">IFERROR(__xludf.DUMMYFUNCTION("""COMPUTED_VALUE"""),"NC")</f>
        <v>NC</v>
      </c>
      <c r="O168" s="5" t="str">
        <f ca="1">IFERROR(__xludf.DUMMYFUNCTION("""COMPUTED_VALUE"""),"Middle")</f>
        <v>Middle</v>
      </c>
      <c r="P168" s="5" t="str">
        <f ca="1">IFERROR(__xludf.DUMMYFUNCTION("""COMPUTED_VALUE"""),"School Bus")</f>
        <v>School Bus</v>
      </c>
      <c r="Q168" s="5" t="str">
        <f ca="1">IFERROR(__xludf.DUMMYFUNCTION("""COMPUTED_VALUE"""),"School Bus")</f>
        <v>School Bus</v>
      </c>
      <c r="R168" s="5" t="str">
        <f ca="1">IFERROR(__xludf.DUMMYFUNCTION("""COMPUTED_VALUE"""),"Yes")</f>
        <v>Yes</v>
      </c>
      <c r="S168" s="5" t="str">
        <f ca="1">IFERROR(__xludf.DUMMYFUNCTION("""COMPUTED_VALUE"""),"Dismissal")</f>
        <v>Dismissal</v>
      </c>
      <c r="T168" s="10">
        <f ca="1">IFERROR(__xludf.DUMMYFUNCTION("""COMPUTED_VALUE"""),0.694444444444444)</f>
        <v>0.69444444444444398</v>
      </c>
      <c r="U168" s="5">
        <f ca="1">IFERROR(__xludf.DUMMYFUNCTION("""COMPUTED_VALUE"""),1)</f>
        <v>1</v>
      </c>
      <c r="V168" s="5" t="str">
        <f ca="1">IFERROR(__xludf.DUMMYFUNCTION("""COMPUTED_VALUE"""),"Bullet struck window of occupied school bus")</f>
        <v>Bullet struck window of occupied school bus</v>
      </c>
      <c r="W168"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X168" s="5"/>
      <c r="Y168" s="5"/>
      <c r="Z168" s="5" t="str">
        <f ca="1">IFERROR(__xludf.DUMMYFUNCTION("""COMPUTED_VALUE"""),"No")</f>
        <v>No</v>
      </c>
      <c r="AA168" s="5"/>
      <c r="AB168" s="5" t="str">
        <f ca="1">IFERROR(__xludf.DUMMYFUNCTION("""COMPUTED_VALUE"""),"No")</f>
        <v>No</v>
      </c>
      <c r="AC168" s="5" t="str">
        <f ca="1">IFERROR(__xludf.DUMMYFUNCTION("""COMPUTED_VALUE"""),"No")</f>
        <v>No</v>
      </c>
      <c r="AD168" s="5" t="str">
        <f ca="1">IFERROR(__xludf.DUMMYFUNCTION("""COMPUTED_VALUE"""),"No")</f>
        <v>No</v>
      </c>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row>
    <row r="169" spans="1:34" ht="12.75">
      <c r="A169" s="5" t="str">
        <f ca="1">IFERROR(__xludf.DUMMYFUNCTION("""COMPUTED_VALUE"""),"20220202KYLOR")</f>
        <v>20220202KYLOR</v>
      </c>
      <c r="B169" s="8">
        <f ca="1">IFERROR(__xludf.DUMMYFUNCTION("""COMPUTED_VALUE"""),44594)</f>
        <v>44594</v>
      </c>
      <c r="C169" s="5" t="str">
        <f ca="1">IFERROR(__xludf.DUMMYFUNCTION("""COMPUTED_VALUE"""),"Logan County Community Technology Center")</f>
        <v>Logan County Community Technology Center</v>
      </c>
      <c r="D169" s="5">
        <f ca="1">IFERROR(__xludf.DUMMYFUNCTION("""COMPUTED_VALUE"""),0)</f>
        <v>0</v>
      </c>
      <c r="E169" s="5">
        <f ca="1">IFERROR(__xludf.DUMMYFUNCTION("""COMPUTED_VALUE"""),0)</f>
        <v>0</v>
      </c>
      <c r="F169" s="5">
        <f ca="1">IFERROR(__xludf.DUMMYFUNCTION("""COMPUTED_VALUE"""),0)</f>
        <v>0</v>
      </c>
      <c r="G169" s="5">
        <f ca="1">IFERROR(__xludf.DUMMYFUNCTION("""COMPUTED_VALUE"""),0)</f>
        <v>0</v>
      </c>
      <c r="H169" s="9" t="str">
        <f ca="1">IFERROR(__xludf.DUMMYFUNCTION("""COMPUTED_VALUE"""),"https://www.wnky.com/sheriffs-office-investigating-several-shots-fired-incidences-including-one-at-a-school-no-injuries/")</f>
        <v>https://www.wnky.com/sheriffs-office-investigating-several-shots-fired-incidences-including-one-at-a-school-no-injuries/</v>
      </c>
      <c r="I169" s="5">
        <f ca="1">IFERROR(__xludf.DUMMYFUNCTION("""COMPUTED_VALUE"""),1)</f>
        <v>1</v>
      </c>
      <c r="J169" s="5" t="str">
        <f ca="1">IFERROR(__xludf.DUMMYFUNCTION("""COMPUTED_VALUE"""),"Local")</f>
        <v>Local</v>
      </c>
      <c r="K169" s="5">
        <f ca="1">IFERROR(__xludf.DUMMYFUNCTION("""COMPUTED_VALUE"""),4)</f>
        <v>4</v>
      </c>
      <c r="L169" s="5" t="str">
        <f ca="1">IFERROR(__xludf.DUMMYFUNCTION("""COMPUTED_VALUE"""),"Winter")</f>
        <v>Winter</v>
      </c>
      <c r="M169" s="5" t="str">
        <f ca="1">IFERROR(__xludf.DUMMYFUNCTION("""COMPUTED_VALUE"""),"Russellville")</f>
        <v>Russellville</v>
      </c>
      <c r="N169" s="5" t="str">
        <f ca="1">IFERROR(__xludf.DUMMYFUNCTION("""COMPUTED_VALUE"""),"KY")</f>
        <v>KY</v>
      </c>
      <c r="O169" s="5" t="str">
        <f ca="1">IFERROR(__xludf.DUMMYFUNCTION("""COMPUTED_VALUE"""),"High")</f>
        <v>High</v>
      </c>
      <c r="P169" s="5" t="str">
        <f ca="1">IFERROR(__xludf.DUMMYFUNCTION("""COMPUTED_VALUE"""),"Front of School")</f>
        <v>Front of School</v>
      </c>
      <c r="Q169" s="5" t="str">
        <f ca="1">IFERROR(__xludf.DUMMYFUNCTION("""COMPUTED_VALUE"""),"Outside on School Property")</f>
        <v>Outside on School Property</v>
      </c>
      <c r="R169" s="5" t="str">
        <f ca="1">IFERROR(__xludf.DUMMYFUNCTION("""COMPUTED_VALUE"""),"No")</f>
        <v>No</v>
      </c>
      <c r="S169" s="5" t="str">
        <f ca="1">IFERROR(__xludf.DUMMYFUNCTION("""COMPUTED_VALUE"""),"Before School")</f>
        <v>Before School</v>
      </c>
      <c r="T169" s="10">
        <f ca="1">IFERROR(__xludf.DUMMYFUNCTION("""COMPUTED_VALUE"""),0.34375)</f>
        <v>0.34375</v>
      </c>
      <c r="U169" s="5">
        <f ca="1">IFERROR(__xludf.DUMMYFUNCTION("""COMPUTED_VALUE"""),1)</f>
        <v>1</v>
      </c>
      <c r="V169" s="5" t="str">
        <f ca="1">IFERROR(__xludf.DUMMYFUNCTION("""COMPUTED_VALUE"""),"Two windows of the school building shot")</f>
        <v>Two windows of the school building shot</v>
      </c>
      <c r="W169" s="5" t="str">
        <f ca="1">IFERROR(__xludf.DUMMYFUNCTION("""COMPUTED_VALUE"""),"Two windows of the school building were shot. Not students or staff inside when the shooting occurred.")</f>
        <v>Two windows of the school building were shot. Not students or staff inside when the shooting occurred.</v>
      </c>
      <c r="X169" s="5" t="str">
        <f ca="1">IFERROR(__xludf.DUMMYFUNCTION("""COMPUTED_VALUE"""),"Intentional Property Damage")</f>
        <v>Intentional Property Damage</v>
      </c>
      <c r="Y169" s="5" t="str">
        <f ca="1">IFERROR(__xludf.DUMMYFUNCTION("""COMPUTED_VALUE"""),"Random Shooting")</f>
        <v>Random Shooting</v>
      </c>
      <c r="Z169" s="5" t="str">
        <f ca="1">IFERROR(__xludf.DUMMYFUNCTION("""COMPUTED_VALUE"""),"No")</f>
        <v>No</v>
      </c>
      <c r="AA169" s="5"/>
      <c r="AB169" s="5" t="str">
        <f ca="1">IFERROR(__xludf.DUMMYFUNCTION("""COMPUTED_VALUE"""),"No")</f>
        <v>No</v>
      </c>
      <c r="AC169" s="5" t="str">
        <f ca="1">IFERROR(__xludf.DUMMYFUNCTION("""COMPUTED_VALUE"""),"No")</f>
        <v>No</v>
      </c>
      <c r="AD169" s="5" t="str">
        <f ca="1">IFERROR(__xludf.DUMMYFUNCTION("""COMPUTED_VALUE"""),"No")</f>
        <v>No</v>
      </c>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row>
    <row r="170" spans="1:34" ht="12.75">
      <c r="A170" s="5" t="str">
        <f ca="1">IFERROR(__xludf.DUMMYFUNCTION("""COMPUTED_VALUE"""),"20220201WIRUM")</f>
        <v>20220201WIRUM</v>
      </c>
      <c r="B170" s="8">
        <f ca="1">IFERROR(__xludf.DUMMYFUNCTION("""COMPUTED_VALUE"""),44593)</f>
        <v>44593</v>
      </c>
      <c r="C170" s="5" t="str">
        <f ca="1">IFERROR(__xludf.DUMMYFUNCTION("""COMPUTED_VALUE"""),"Rufus King High School")</f>
        <v>Rufus King High School</v>
      </c>
      <c r="D170" s="5">
        <f ca="1">IFERROR(__xludf.DUMMYFUNCTION("""COMPUTED_VALUE"""),0)</f>
        <v>0</v>
      </c>
      <c r="E170" s="5">
        <f ca="1">IFERROR(__xludf.DUMMYFUNCTION("""COMPUTED_VALUE"""),5)</f>
        <v>5</v>
      </c>
      <c r="F170" s="5">
        <f ca="1">IFERROR(__xludf.DUMMYFUNCTION("""COMPUTED_VALUE"""),5)</f>
        <v>5</v>
      </c>
      <c r="G170" s="5">
        <f ca="1">IFERROR(__xludf.DUMMYFUNCTION("""COMPUTED_VALUE"""),0)</f>
        <v>0</v>
      </c>
      <c r="H170"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I170" s="5">
        <f ca="1">IFERROR(__xludf.DUMMYFUNCTION("""COMPUTED_VALUE"""),50)</f>
        <v>50</v>
      </c>
      <c r="J170" s="5" t="str">
        <f ca="1">IFERROR(__xludf.DUMMYFUNCTION("""COMPUTED_VALUE"""),"National")</f>
        <v>National</v>
      </c>
      <c r="K170" s="5">
        <f ca="1">IFERROR(__xludf.DUMMYFUNCTION("""COMPUTED_VALUE"""),4)</f>
        <v>4</v>
      </c>
      <c r="L170" s="5" t="str">
        <f ca="1">IFERROR(__xludf.DUMMYFUNCTION("""COMPUTED_VALUE"""),"Winter")</f>
        <v>Winter</v>
      </c>
      <c r="M170" s="5" t="str">
        <f ca="1">IFERROR(__xludf.DUMMYFUNCTION("""COMPUTED_VALUE"""),"Milwaukee")</f>
        <v>Milwaukee</v>
      </c>
      <c r="N170" s="5" t="str">
        <f ca="1">IFERROR(__xludf.DUMMYFUNCTION("""COMPUTED_VALUE"""),"WI")</f>
        <v>WI</v>
      </c>
      <c r="O170" s="5" t="str">
        <f ca="1">IFERROR(__xludf.DUMMYFUNCTION("""COMPUTED_VALUE"""),"High")</f>
        <v>High</v>
      </c>
      <c r="P170" s="5" t="str">
        <f ca="1">IFERROR(__xludf.DUMMYFUNCTION("""COMPUTED_VALUE"""),"Parking Lot")</f>
        <v>Parking Lot</v>
      </c>
      <c r="Q170" s="5" t="str">
        <f ca="1">IFERROR(__xludf.DUMMYFUNCTION("""COMPUTED_VALUE"""),"Outside on School Property")</f>
        <v>Outside on School Property</v>
      </c>
      <c r="R170" s="5" t="str">
        <f ca="1">IFERROR(__xludf.DUMMYFUNCTION("""COMPUTED_VALUE"""),"No")</f>
        <v>No</v>
      </c>
      <c r="S170" s="5" t="str">
        <f ca="1">IFERROR(__xludf.DUMMYFUNCTION("""COMPUTED_VALUE"""),"Sport Event")</f>
        <v>Sport Event</v>
      </c>
      <c r="T170" s="10">
        <f ca="1">IFERROR(__xludf.DUMMYFUNCTION("""COMPUTED_VALUE"""),0.822916666666666)</f>
        <v>0.82291666666666596</v>
      </c>
      <c r="U170" s="5">
        <f ca="1">IFERROR(__xludf.DUMMYFUNCTION("""COMPUTED_VALUE"""),1)</f>
        <v>1</v>
      </c>
      <c r="V170" s="5" t="str">
        <f ca="1">IFERROR(__xludf.DUMMYFUNCTION("""COMPUTED_VALUE"""),"Five victims shot during fight outside basketball game")</f>
        <v>Five victims shot during fight outside basketball game</v>
      </c>
      <c r="W170"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X170" s="5" t="str">
        <f ca="1">IFERROR(__xludf.DUMMYFUNCTION("""COMPUTED_VALUE"""),"Escalation of Dispute")</f>
        <v>Escalation of Dispute</v>
      </c>
      <c r="Y170" s="5" t="str">
        <f ca="1">IFERROR(__xludf.DUMMYFUNCTION("""COMPUTED_VALUE"""),"Both")</f>
        <v>Both</v>
      </c>
      <c r="Z170" s="5" t="str">
        <f ca="1">IFERROR(__xludf.DUMMYFUNCTION("""COMPUTED_VALUE"""),"No")</f>
        <v>No</v>
      </c>
      <c r="AA170" s="5"/>
      <c r="AB170" s="5" t="str">
        <f ca="1">IFERROR(__xludf.DUMMYFUNCTION("""COMPUTED_VALUE"""),"No")</f>
        <v>No</v>
      </c>
      <c r="AC170" s="5" t="str">
        <f ca="1">IFERROR(__xludf.DUMMYFUNCTION("""COMPUTED_VALUE"""),"No")</f>
        <v>No</v>
      </c>
      <c r="AD170" s="5" t="str">
        <f ca="1">IFERROR(__xludf.DUMMYFUNCTION("""COMPUTED_VALUE"""),"No")</f>
        <v>No</v>
      </c>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row>
    <row r="171" spans="1:34" ht="12.75">
      <c r="A171" s="5" t="str">
        <f ca="1">IFERROR(__xludf.DUMMYFUNCTION("""COMPUTED_VALUE"""),"20220201PAACS")</f>
        <v>20220201PAACS</v>
      </c>
      <c r="B171" s="8">
        <f ca="1">IFERROR(__xludf.DUMMYFUNCTION("""COMPUTED_VALUE"""),44593)</f>
        <v>44593</v>
      </c>
      <c r="C171" s="5" t="str">
        <f ca="1">IFERROR(__xludf.DUMMYFUNCTION("""COMPUTED_VALUE"""),"Academy Park High School")</f>
        <v>Academy Park High School</v>
      </c>
      <c r="D171" s="5">
        <f ca="1">IFERROR(__xludf.DUMMYFUNCTION("""COMPUTED_VALUE"""),0)</f>
        <v>0</v>
      </c>
      <c r="E171" s="5">
        <f ca="1">IFERROR(__xludf.DUMMYFUNCTION("""COMPUTED_VALUE"""),0)</f>
        <v>0</v>
      </c>
      <c r="F171" s="5">
        <f ca="1">IFERROR(__xludf.DUMMYFUNCTION("""COMPUTED_VALUE"""),0)</f>
        <v>0</v>
      </c>
      <c r="G171" s="5">
        <f ca="1">IFERROR(__xludf.DUMMYFUNCTION("""COMPUTED_VALUE"""),0)</f>
        <v>0</v>
      </c>
      <c r="H171"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I171" s="5">
        <f ca="1">IFERROR(__xludf.DUMMYFUNCTION("""COMPUTED_VALUE"""),5)</f>
        <v>5</v>
      </c>
      <c r="J171" s="5" t="str">
        <f ca="1">IFERROR(__xludf.DUMMYFUNCTION("""COMPUTED_VALUE"""),"Local")</f>
        <v>Local</v>
      </c>
      <c r="K171" s="5">
        <f ca="1">IFERROR(__xludf.DUMMYFUNCTION("""COMPUTED_VALUE"""),4)</f>
        <v>4</v>
      </c>
      <c r="L171" s="5" t="str">
        <f ca="1">IFERROR(__xludf.DUMMYFUNCTION("""COMPUTED_VALUE"""),"Winter")</f>
        <v>Winter</v>
      </c>
      <c r="M171" s="5" t="str">
        <f ca="1">IFERROR(__xludf.DUMMYFUNCTION("""COMPUTED_VALUE"""),"Sharon Hill")</f>
        <v>Sharon Hill</v>
      </c>
      <c r="N171" s="5" t="str">
        <f ca="1">IFERROR(__xludf.DUMMYFUNCTION("""COMPUTED_VALUE"""),"PA")</f>
        <v>PA</v>
      </c>
      <c r="O171" s="5" t="str">
        <f ca="1">IFERROR(__xludf.DUMMYFUNCTION("""COMPUTED_VALUE"""),"High")</f>
        <v>High</v>
      </c>
      <c r="P171" s="5" t="str">
        <f ca="1">IFERROR(__xludf.DUMMYFUNCTION("""COMPUTED_VALUE"""),"Parking Lot")</f>
        <v>Parking Lot</v>
      </c>
      <c r="Q171" s="5" t="str">
        <f ca="1">IFERROR(__xludf.DUMMYFUNCTION("""COMPUTED_VALUE"""),"Outside on School Property")</f>
        <v>Outside on School Property</v>
      </c>
      <c r="R171" s="5" t="str">
        <f ca="1">IFERROR(__xludf.DUMMYFUNCTION("""COMPUTED_VALUE"""),"Yes")</f>
        <v>Yes</v>
      </c>
      <c r="S171" s="5" t="str">
        <f ca="1">IFERROR(__xludf.DUMMYFUNCTION("""COMPUTED_VALUE"""),"Dismissal")</f>
        <v>Dismissal</v>
      </c>
      <c r="T171" s="10">
        <f ca="1">IFERROR(__xludf.DUMMYFUNCTION("""COMPUTED_VALUE"""),0.638888888888888)</f>
        <v>0.63888888888888795</v>
      </c>
      <c r="U171" s="5">
        <f ca="1">IFERROR(__xludf.DUMMYFUNCTION("""COMPUTED_VALUE"""),1)</f>
        <v>1</v>
      </c>
      <c r="V171" s="5" t="str">
        <f ca="1">IFERROR(__xludf.DUMMYFUNCTION("""COMPUTED_VALUE"""),"Shots fired in the school parking lot")</f>
        <v>Shots fired in the school parking lot</v>
      </c>
      <c r="W171" s="5" t="str">
        <f ca="1">IFERROR(__xludf.DUMMYFUNCTION("""COMPUTED_VALUE"""),"Shot fired in the school parking lot. No injuries. Shooter fled.")</f>
        <v>Shot fired in the school parking lot. No injuries. Shooter fled.</v>
      </c>
      <c r="X171" s="5"/>
      <c r="Y171" s="5"/>
      <c r="Z171" s="5" t="str">
        <f ca="1">IFERROR(__xludf.DUMMYFUNCTION("""COMPUTED_VALUE"""),"No")</f>
        <v>No</v>
      </c>
      <c r="AA171" s="5"/>
      <c r="AB171" s="5" t="str">
        <f ca="1">IFERROR(__xludf.DUMMYFUNCTION("""COMPUTED_VALUE"""),"No")</f>
        <v>No</v>
      </c>
      <c r="AC171" s="5" t="str">
        <f ca="1">IFERROR(__xludf.DUMMYFUNCTION("""COMPUTED_VALUE"""),"No")</f>
        <v>No</v>
      </c>
      <c r="AD171" s="5" t="str">
        <f ca="1">IFERROR(__xludf.DUMMYFUNCTION("""COMPUTED_VALUE"""),"No")</f>
        <v>No</v>
      </c>
      <c r="AE171" s="5" t="str">
        <f ca="1">IFERROR(__xludf.DUMMYFUNCTION("""COMPUTED_VALUE"""),"No")</f>
        <v>No</v>
      </c>
      <c r="AF171" s="5" t="str">
        <f ca="1">IFERROR(__xludf.DUMMYFUNCTION("""COMPUTED_VALUE"""),"No")</f>
        <v>No</v>
      </c>
      <c r="AG171" s="5"/>
      <c r="AH171" s="5" t="str">
        <f ca="1">IFERROR(__xludf.DUMMYFUNCTION("""COMPUTED_VALUE"""),"No")</f>
        <v>No</v>
      </c>
    </row>
    <row r="172" spans="1:34" ht="12.75">
      <c r="A172" s="5" t="str">
        <f ca="1">IFERROR(__xludf.DUMMYFUNCTION("""COMPUTED_VALUE"""),"20220201MNSOR")</f>
        <v>20220201MNSOR</v>
      </c>
      <c r="B172" s="8">
        <f ca="1">IFERROR(__xludf.DUMMYFUNCTION("""COMPUTED_VALUE"""),44593)</f>
        <v>44593</v>
      </c>
      <c r="C172" s="5" t="str">
        <f ca="1">IFERROR(__xludf.DUMMYFUNCTION("""COMPUTED_VALUE"""),"South Education Center")</f>
        <v>South Education Center</v>
      </c>
      <c r="D172" s="5">
        <f ca="1">IFERROR(__xludf.DUMMYFUNCTION("""COMPUTED_VALUE"""),1)</f>
        <v>1</v>
      </c>
      <c r="E172" s="5">
        <f ca="1">IFERROR(__xludf.DUMMYFUNCTION("""COMPUTED_VALUE"""),2)</f>
        <v>2</v>
      </c>
      <c r="F172" s="5">
        <f ca="1">IFERROR(__xludf.DUMMYFUNCTION("""COMPUTED_VALUE"""),3)</f>
        <v>3</v>
      </c>
      <c r="G172" s="5">
        <f ca="1">IFERROR(__xludf.DUMMYFUNCTION("""COMPUTED_VALUE"""),0)</f>
        <v>0</v>
      </c>
      <c r="H172" s="9"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v>
      </c>
      <c r="I172" s="5">
        <f ca="1">IFERROR(__xludf.DUMMYFUNCTION("""COMPUTED_VALUE"""),100)</f>
        <v>100</v>
      </c>
      <c r="J172" s="5" t="str">
        <f ca="1">IFERROR(__xludf.DUMMYFUNCTION("""COMPUTED_VALUE"""),"National")</f>
        <v>National</v>
      </c>
      <c r="K172" s="5">
        <f ca="1">IFERROR(__xludf.DUMMYFUNCTION("""COMPUTED_VALUE"""),4)</f>
        <v>4</v>
      </c>
      <c r="L172" s="5" t="str">
        <f ca="1">IFERROR(__xludf.DUMMYFUNCTION("""COMPUTED_VALUE"""),"Winter")</f>
        <v>Winter</v>
      </c>
      <c r="M172" s="5" t="str">
        <f ca="1">IFERROR(__xludf.DUMMYFUNCTION("""COMPUTED_VALUE"""),"Richfield")</f>
        <v>Richfield</v>
      </c>
      <c r="N172" s="5" t="str">
        <f ca="1">IFERROR(__xludf.DUMMYFUNCTION("""COMPUTED_VALUE"""),"MN")</f>
        <v>MN</v>
      </c>
      <c r="O172" s="5" t="str">
        <f ca="1">IFERROR(__xludf.DUMMYFUNCTION("""COMPUTED_VALUE"""),"K-12")</f>
        <v>K-12</v>
      </c>
      <c r="P172" s="5" t="str">
        <f ca="1">IFERROR(__xludf.DUMMYFUNCTION("""COMPUTED_VALUE"""),"Front of School")</f>
        <v>Front of School</v>
      </c>
      <c r="Q172" s="5" t="str">
        <f ca="1">IFERROR(__xludf.DUMMYFUNCTION("""COMPUTED_VALUE"""),"Outside on School Property")</f>
        <v>Outside on School Property</v>
      </c>
      <c r="R172" s="5" t="str">
        <f ca="1">IFERROR(__xludf.DUMMYFUNCTION("""COMPUTED_VALUE"""),"Yes")</f>
        <v>Yes</v>
      </c>
      <c r="S172" s="5" t="str">
        <f ca="1">IFERROR(__xludf.DUMMYFUNCTION("""COMPUTED_VALUE"""),"Lunch")</f>
        <v>Lunch</v>
      </c>
      <c r="T172" s="10">
        <f ca="1">IFERROR(__xludf.DUMMYFUNCTION("""COMPUTED_VALUE"""),0.502777777777777)</f>
        <v>0.50277777777777699</v>
      </c>
      <c r="U172" s="5">
        <f ca="1">IFERROR(__xludf.DUMMYFUNCTION("""COMPUTED_VALUE"""),1)</f>
        <v>1</v>
      </c>
      <c r="V172" s="5" t="str">
        <f ca="1">IFERROR(__xludf.DUMMYFUNCTION("""COMPUTED_VALUE"""),"Three students shot in front of school")</f>
        <v>Three students shot in front of school</v>
      </c>
      <c r="W172"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X172" s="5" t="str">
        <f ca="1">IFERROR(__xludf.DUMMYFUNCTION("""COMPUTED_VALUE"""),"Escalation of Dispute")</f>
        <v>Escalation of Dispute</v>
      </c>
      <c r="Y172" s="5" t="str">
        <f ca="1">IFERROR(__xludf.DUMMYFUNCTION("""COMPUTED_VALUE"""),"Both")</f>
        <v>Both</v>
      </c>
      <c r="Z172" s="5" t="str">
        <f ca="1">IFERROR(__xludf.DUMMYFUNCTION("""COMPUTED_VALUE"""),"Yes")</f>
        <v>Yes</v>
      </c>
      <c r="AA172" s="5" t="str">
        <f ca="1">IFERROR(__xludf.DUMMYFUNCTION("""COMPUTED_VALUE"""),"2 men arrested")</f>
        <v>2 men arrested</v>
      </c>
      <c r="AB172" s="5" t="str">
        <f ca="1">IFERROR(__xludf.DUMMYFUNCTION("""COMPUTED_VALUE"""),"No")</f>
        <v>No</v>
      </c>
      <c r="AC172" s="5" t="str">
        <f ca="1">IFERROR(__xludf.DUMMYFUNCTION("""COMPUTED_VALUE"""),"No")</f>
        <v>No</v>
      </c>
      <c r="AD172" s="5" t="str">
        <f ca="1">IFERROR(__xludf.DUMMYFUNCTION("""COMPUTED_VALUE"""),"No")</f>
        <v>No</v>
      </c>
      <c r="AE172" s="5" t="str">
        <f ca="1">IFERROR(__xludf.DUMMYFUNCTION("""COMPUTED_VALUE"""),"No")</f>
        <v>No</v>
      </c>
      <c r="AF172" s="5" t="str">
        <f ca="1">IFERROR(__xludf.DUMMYFUNCTION("""COMPUTED_VALUE"""),"No")</f>
        <v>No</v>
      </c>
      <c r="AG172" s="5" t="str">
        <f ca="1">IFERROR(__xludf.DUMMYFUNCTION("""COMPUTED_VALUE"""),"Yes")</f>
        <v>Yes</v>
      </c>
      <c r="AH172" s="5" t="str">
        <f ca="1">IFERROR(__xludf.DUMMYFUNCTION("""COMPUTED_VALUE"""),"No")</f>
        <v>No</v>
      </c>
    </row>
    <row r="173" spans="1:34" ht="12.75">
      <c r="A173" s="5" t="str">
        <f ca="1">IFERROR(__xludf.DUMMYFUNCTION("""COMPUTED_VALUE"""),"20220201ILALC")</f>
        <v>20220201ILALC</v>
      </c>
      <c r="B173" s="8">
        <f ca="1">IFERROR(__xludf.DUMMYFUNCTION("""COMPUTED_VALUE"""),44593)</f>
        <v>44593</v>
      </c>
      <c r="C173" s="5" t="str">
        <f ca="1">IFERROR(__xludf.DUMMYFUNCTION("""COMPUTED_VALUE"""),"Alessandro Volta Elementary School")</f>
        <v>Alessandro Volta Elementary School</v>
      </c>
      <c r="D173" s="5">
        <f ca="1">IFERROR(__xludf.DUMMYFUNCTION("""COMPUTED_VALUE"""),0)</f>
        <v>0</v>
      </c>
      <c r="E173" s="5">
        <f ca="1">IFERROR(__xludf.DUMMYFUNCTION("""COMPUTED_VALUE"""),1)</f>
        <v>1</v>
      </c>
      <c r="F173" s="5">
        <f ca="1">IFERROR(__xludf.DUMMYFUNCTION("""COMPUTED_VALUE"""),1)</f>
        <v>1</v>
      </c>
      <c r="G173" s="5">
        <f ca="1">IFERROR(__xludf.DUMMYFUNCTION("""COMPUTED_VALUE"""),0)</f>
        <v>0</v>
      </c>
      <c r="H173"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I173" s="5">
        <f ca="1">IFERROR(__xludf.DUMMYFUNCTION("""COMPUTED_VALUE"""),10)</f>
        <v>10</v>
      </c>
      <c r="J173" s="5" t="str">
        <f ca="1">IFERROR(__xludf.DUMMYFUNCTION("""COMPUTED_VALUE"""),"Regional")</f>
        <v>Regional</v>
      </c>
      <c r="K173" s="5">
        <f ca="1">IFERROR(__xludf.DUMMYFUNCTION("""COMPUTED_VALUE"""),4)</f>
        <v>4</v>
      </c>
      <c r="L173" s="5" t="str">
        <f ca="1">IFERROR(__xludf.DUMMYFUNCTION("""COMPUTED_VALUE"""),"Winter")</f>
        <v>Winter</v>
      </c>
      <c r="M173" s="5" t="str">
        <f ca="1">IFERROR(__xludf.DUMMYFUNCTION("""COMPUTED_VALUE"""),"Chicago")</f>
        <v>Chicago</v>
      </c>
      <c r="N173" s="5" t="str">
        <f ca="1">IFERROR(__xludf.DUMMYFUNCTION("""COMPUTED_VALUE"""),"IL")</f>
        <v>IL</v>
      </c>
      <c r="O173" s="5" t="str">
        <f ca="1">IFERROR(__xludf.DUMMYFUNCTION("""COMPUTED_VALUE"""),"Elementary")</f>
        <v>Elementary</v>
      </c>
      <c r="P173" s="5" t="str">
        <f ca="1">IFERROR(__xludf.DUMMYFUNCTION("""COMPUTED_VALUE"""),"Front of School")</f>
        <v>Front of School</v>
      </c>
      <c r="Q173" s="5" t="str">
        <f ca="1">IFERROR(__xludf.DUMMYFUNCTION("""COMPUTED_VALUE"""),"Outside on School Property")</f>
        <v>Outside on School Property</v>
      </c>
      <c r="R173" s="5" t="str">
        <f ca="1">IFERROR(__xludf.DUMMYFUNCTION("""COMPUTED_VALUE"""),"Yes")</f>
        <v>Yes</v>
      </c>
      <c r="S173" s="5" t="str">
        <f ca="1">IFERROR(__xludf.DUMMYFUNCTION("""COMPUTED_VALUE"""),"Morning Classes")</f>
        <v>Morning Classes</v>
      </c>
      <c r="T173" s="10">
        <f ca="1">IFERROR(__xludf.DUMMYFUNCTION("""COMPUTED_VALUE"""),0.416666666666666)</f>
        <v>0.41666666666666602</v>
      </c>
      <c r="U173" s="5">
        <f ca="1">IFERROR(__xludf.DUMMYFUNCTION("""COMPUTED_VALUE"""),1)</f>
        <v>1</v>
      </c>
      <c r="V173" s="5" t="str">
        <f ca="1">IFERROR(__xludf.DUMMYFUNCTION("""COMPUTED_VALUE"""),"Teen girl shot by front door of school")</f>
        <v>Teen girl shot by front door of school</v>
      </c>
      <c r="W173"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X173" s="5"/>
      <c r="Y173" s="5" t="str">
        <f ca="1">IFERROR(__xludf.DUMMYFUNCTION("""COMPUTED_VALUE"""),"Both")</f>
        <v>Both</v>
      </c>
      <c r="Z173" s="5" t="str">
        <f ca="1">IFERROR(__xludf.DUMMYFUNCTION("""COMPUTED_VALUE"""),"No")</f>
        <v>No</v>
      </c>
      <c r="AA173" s="5"/>
      <c r="AB173" s="5" t="str">
        <f ca="1">IFERROR(__xludf.DUMMYFUNCTION("""COMPUTED_VALUE"""),"No")</f>
        <v>No</v>
      </c>
      <c r="AC173" s="5" t="str">
        <f ca="1">IFERROR(__xludf.DUMMYFUNCTION("""COMPUTED_VALUE"""),"No")</f>
        <v>No</v>
      </c>
      <c r="AD173" s="5" t="str">
        <f ca="1">IFERROR(__xludf.DUMMYFUNCTION("""COMPUTED_VALUE"""),"No")</f>
        <v>No</v>
      </c>
      <c r="AE173" s="5" t="str">
        <f ca="1">IFERROR(__xludf.DUMMYFUNCTION("""COMPUTED_VALUE"""),"No")</f>
        <v>No</v>
      </c>
      <c r="AF173" s="5" t="str">
        <f ca="1">IFERROR(__xludf.DUMMYFUNCTION("""COMPUTED_VALUE"""),"No")</f>
        <v>No</v>
      </c>
      <c r="AG173" s="5"/>
      <c r="AH173" s="5" t="str">
        <f ca="1">IFERROR(__xludf.DUMMYFUNCTION("""COMPUTED_VALUE"""),"No")</f>
        <v>No</v>
      </c>
    </row>
    <row r="174" spans="1:34" ht="12.75">
      <c r="A174" s="5" t="str">
        <f ca="1">IFERROR(__xludf.DUMMYFUNCTION("""COMPUTED_VALUE"""),"20220129WIBEB")</f>
        <v>20220129WIBEB</v>
      </c>
      <c r="B174" s="8">
        <f ca="1">IFERROR(__xludf.DUMMYFUNCTION("""COMPUTED_VALUE"""),44590)</f>
        <v>44590</v>
      </c>
      <c r="C174" s="5" t="str">
        <f ca="1">IFERROR(__xludf.DUMMYFUNCTION("""COMPUTED_VALUE"""),"Beloit Memorial High School")</f>
        <v>Beloit Memorial High School</v>
      </c>
      <c r="D174" s="5">
        <f ca="1">IFERROR(__xludf.DUMMYFUNCTION("""COMPUTED_VALUE"""),1)</f>
        <v>1</v>
      </c>
      <c r="E174" s="5">
        <f ca="1">IFERROR(__xludf.DUMMYFUNCTION("""COMPUTED_VALUE"""),0)</f>
        <v>0</v>
      </c>
      <c r="F174" s="5">
        <f ca="1">IFERROR(__xludf.DUMMYFUNCTION("""COMPUTED_VALUE"""),1)</f>
        <v>1</v>
      </c>
      <c r="G174" s="5">
        <f ca="1">IFERROR(__xludf.DUMMYFUNCTION("""COMPUTED_VALUE"""),0)</f>
        <v>0</v>
      </c>
      <c r="H174" s="5"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I174" s="5">
        <f ca="1">IFERROR(__xludf.DUMMYFUNCTION("""COMPUTED_VALUE"""),5)</f>
        <v>5</v>
      </c>
      <c r="J174" s="5" t="str">
        <f ca="1">IFERROR(__xludf.DUMMYFUNCTION("""COMPUTED_VALUE"""),"Regional")</f>
        <v>Regional</v>
      </c>
      <c r="K174" s="5">
        <f ca="1">IFERROR(__xludf.DUMMYFUNCTION("""COMPUTED_VALUE"""),4)</f>
        <v>4</v>
      </c>
      <c r="L174" s="5" t="str">
        <f ca="1">IFERROR(__xludf.DUMMYFUNCTION("""COMPUTED_VALUE"""),"Winter")</f>
        <v>Winter</v>
      </c>
      <c r="M174" s="5" t="str">
        <f ca="1">IFERROR(__xludf.DUMMYFUNCTION("""COMPUTED_VALUE"""),"Beloit")</f>
        <v>Beloit</v>
      </c>
      <c r="N174" s="5" t="str">
        <f ca="1">IFERROR(__xludf.DUMMYFUNCTION("""COMPUTED_VALUE"""),"WI")</f>
        <v>WI</v>
      </c>
      <c r="O174" s="5" t="str">
        <f ca="1">IFERROR(__xludf.DUMMYFUNCTION("""COMPUTED_VALUE"""),"High")</f>
        <v>High</v>
      </c>
      <c r="P174" s="5" t="str">
        <f ca="1">IFERROR(__xludf.DUMMYFUNCTION("""COMPUTED_VALUE"""),"Parking Lot")</f>
        <v>Parking Lot</v>
      </c>
      <c r="Q174" s="5" t="str">
        <f ca="1">IFERROR(__xludf.DUMMYFUNCTION("""COMPUTED_VALUE"""),"Outside on School Property")</f>
        <v>Outside on School Property</v>
      </c>
      <c r="R174" s="5" t="str">
        <f ca="1">IFERROR(__xludf.DUMMYFUNCTION("""COMPUTED_VALUE"""),"No")</f>
        <v>No</v>
      </c>
      <c r="S174" s="5" t="str">
        <f ca="1">IFERROR(__xludf.DUMMYFUNCTION("""COMPUTED_VALUE"""),"Sport Event")</f>
        <v>Sport Event</v>
      </c>
      <c r="T174" s="10">
        <f ca="1">IFERROR(__xludf.DUMMYFUNCTION("""COMPUTED_VALUE"""),0.871527777777777)</f>
        <v>0.87152777777777701</v>
      </c>
      <c r="U174" s="5">
        <f ca="1">IFERROR(__xludf.DUMMYFUNCTION("""COMPUTED_VALUE"""),1)</f>
        <v>1</v>
      </c>
      <c r="V174" s="5" t="str">
        <f ca="1">IFERROR(__xludf.DUMMYFUNCTION("""COMPUTED_VALUE"""),"Adult man killed outside of high school basketball game")</f>
        <v>Adult man killed outside of high school basketball game</v>
      </c>
      <c r="W174"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X174" s="5"/>
      <c r="Y174" s="5" t="str">
        <f ca="1">IFERROR(__xludf.DUMMYFUNCTION("""COMPUTED_VALUE"""),"Victims Targeted")</f>
        <v>Victims Targeted</v>
      </c>
      <c r="Z174" s="5" t="str">
        <f ca="1">IFERROR(__xludf.DUMMYFUNCTION("""COMPUTED_VALUE"""),"No")</f>
        <v>No</v>
      </c>
      <c r="AA174" s="5"/>
      <c r="AB174" s="5" t="str">
        <f ca="1">IFERROR(__xludf.DUMMYFUNCTION("""COMPUTED_VALUE"""),"No")</f>
        <v>No</v>
      </c>
      <c r="AC174" s="5" t="str">
        <f ca="1">IFERROR(__xludf.DUMMYFUNCTION("""COMPUTED_VALUE"""),"No")</f>
        <v>No</v>
      </c>
      <c r="AD174" s="5" t="str">
        <f ca="1">IFERROR(__xludf.DUMMYFUNCTION("""COMPUTED_VALUE"""),"No")</f>
        <v>No</v>
      </c>
      <c r="AE174" s="5" t="str">
        <f ca="1">IFERROR(__xludf.DUMMYFUNCTION("""COMPUTED_VALUE"""),"No")</f>
        <v>No</v>
      </c>
      <c r="AF174" s="5" t="str">
        <f ca="1">IFERROR(__xludf.DUMMYFUNCTION("""COMPUTED_VALUE"""),"No")</f>
        <v>No</v>
      </c>
      <c r="AG174" s="5"/>
      <c r="AH174" s="5" t="str">
        <f ca="1">IFERROR(__xludf.DUMMYFUNCTION("""COMPUTED_VALUE"""),"No")</f>
        <v>No</v>
      </c>
    </row>
    <row r="175" spans="1:34" ht="12.75">
      <c r="A175" s="5" t="str">
        <f ca="1">IFERROR(__xludf.DUMMYFUNCTION("""COMPUTED_VALUE"""),"20220128LACAM")</f>
        <v>20220128LACAM</v>
      </c>
      <c r="B175" s="8">
        <f ca="1">IFERROR(__xludf.DUMMYFUNCTION("""COMPUTED_VALUE"""),44589)</f>
        <v>44589</v>
      </c>
      <c r="C175" s="5" t="str">
        <f ca="1">IFERROR(__xludf.DUMMYFUNCTION("""COMPUTED_VALUE"""),"Carroll High School")</f>
        <v>Carroll High School</v>
      </c>
      <c r="D175" s="5">
        <f ca="1">IFERROR(__xludf.DUMMYFUNCTION("""COMPUTED_VALUE"""),0)</f>
        <v>0</v>
      </c>
      <c r="E175" s="5">
        <f ca="1">IFERROR(__xludf.DUMMYFUNCTION("""COMPUTED_VALUE"""),0)</f>
        <v>0</v>
      </c>
      <c r="F175" s="5">
        <f ca="1">IFERROR(__xludf.DUMMYFUNCTION("""COMPUTED_VALUE"""),0)</f>
        <v>0</v>
      </c>
      <c r="G175" s="5">
        <f ca="1">IFERROR(__xludf.DUMMYFUNCTION("""COMPUTED_VALUE"""),0)</f>
        <v>0</v>
      </c>
      <c r="H175"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I175" s="5">
        <f ca="1">IFERROR(__xludf.DUMMYFUNCTION("""COMPUTED_VALUE"""),2)</f>
        <v>2</v>
      </c>
      <c r="J175" s="5" t="str">
        <f ca="1">IFERROR(__xludf.DUMMYFUNCTION("""COMPUTED_VALUE"""),"Local")</f>
        <v>Local</v>
      </c>
      <c r="K175" s="5">
        <f ca="1">IFERROR(__xludf.DUMMYFUNCTION("""COMPUTED_VALUE"""),4)</f>
        <v>4</v>
      </c>
      <c r="L175" s="5" t="str">
        <f ca="1">IFERROR(__xludf.DUMMYFUNCTION("""COMPUTED_VALUE"""),"Winter")</f>
        <v>Winter</v>
      </c>
      <c r="M175" s="5" t="str">
        <f ca="1">IFERROR(__xludf.DUMMYFUNCTION("""COMPUTED_VALUE"""),"Monroe")</f>
        <v>Monroe</v>
      </c>
      <c r="N175" s="5" t="str">
        <f ca="1">IFERROR(__xludf.DUMMYFUNCTION("""COMPUTED_VALUE"""),"LA")</f>
        <v>LA</v>
      </c>
      <c r="O175" s="5" t="str">
        <f ca="1">IFERROR(__xludf.DUMMYFUNCTION("""COMPUTED_VALUE"""),"High")</f>
        <v>High</v>
      </c>
      <c r="P175" s="5" t="str">
        <f ca="1">IFERROR(__xludf.DUMMYFUNCTION("""COMPUTED_VALUE"""),"Parking Lot")</f>
        <v>Parking Lot</v>
      </c>
      <c r="Q175" s="5" t="str">
        <f ca="1">IFERROR(__xludf.DUMMYFUNCTION("""COMPUTED_VALUE"""),"Outside on School Property")</f>
        <v>Outside on School Property</v>
      </c>
      <c r="R175" s="5" t="str">
        <f ca="1">IFERROR(__xludf.DUMMYFUNCTION("""COMPUTED_VALUE"""),"No")</f>
        <v>No</v>
      </c>
      <c r="S175" s="5" t="str">
        <f ca="1">IFERROR(__xludf.DUMMYFUNCTION("""COMPUTED_VALUE"""),"School Event")</f>
        <v>School Event</v>
      </c>
      <c r="T175" s="10">
        <f ca="1">IFERROR(__xludf.DUMMYFUNCTION("""COMPUTED_VALUE"""),0.791666666666666)</f>
        <v>0.79166666666666596</v>
      </c>
      <c r="U175" s="5">
        <f ca="1">IFERROR(__xludf.DUMMYFUNCTION("""COMPUTED_VALUE"""),1)</f>
        <v>1</v>
      </c>
      <c r="V175" s="5" t="str">
        <f ca="1">IFERROR(__xludf.DUMMYFUNCTION("""COMPUTED_VALUE"""),"Shots fired by man burglarizing vehicles during basketball game")</f>
        <v>Shots fired by man burglarizing vehicles during basketball game</v>
      </c>
      <c r="W175"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X175" s="5" t="str">
        <f ca="1">IFERROR(__xludf.DUMMYFUNCTION("""COMPUTED_VALUE"""),"Illegal Activity")</f>
        <v>Illegal Activity</v>
      </c>
      <c r="Y175" s="5" t="str">
        <f ca="1">IFERROR(__xludf.DUMMYFUNCTION("""COMPUTED_VALUE"""),"Random Shooting")</f>
        <v>Random Shooting</v>
      </c>
      <c r="Z175" s="5" t="str">
        <f ca="1">IFERROR(__xludf.DUMMYFUNCTION("""COMPUTED_VALUE"""),"Yes")</f>
        <v>Yes</v>
      </c>
      <c r="AA175" s="5" t="str">
        <f ca="1">IFERROR(__xludf.DUMMYFUNCTION("""COMPUTED_VALUE"""),"3 men")</f>
        <v>3 men</v>
      </c>
      <c r="AB175" s="5" t="str">
        <f ca="1">IFERROR(__xludf.DUMMYFUNCTION("""COMPUTED_VALUE"""),"No")</f>
        <v>No</v>
      </c>
      <c r="AC175" s="5" t="str">
        <f ca="1">IFERROR(__xludf.DUMMYFUNCTION("""COMPUTED_VALUE"""),"No")</f>
        <v>No</v>
      </c>
      <c r="AD175" s="5" t="str">
        <f ca="1">IFERROR(__xludf.DUMMYFUNCTION("""COMPUTED_VALUE"""),"No")</f>
        <v>No</v>
      </c>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row>
    <row r="176" spans="1:34" ht="12.75">
      <c r="A176" s="5" t="str">
        <f ca="1">IFERROR(__xludf.DUMMYFUNCTION("""COMPUTED_VALUE"""),"20220127TXMOH")</f>
        <v>20220127TXMOH</v>
      </c>
      <c r="B176" s="8">
        <f ca="1">IFERROR(__xludf.DUMMYFUNCTION("""COMPUTED_VALUE"""),44588)</f>
        <v>44588</v>
      </c>
      <c r="C176" s="5" t="str">
        <f ca="1">IFERROR(__xludf.DUMMYFUNCTION("""COMPUTED_VALUE"""),"Montgomery Elementary School")</f>
        <v>Montgomery Elementary School</v>
      </c>
      <c r="D176" s="5">
        <f ca="1">IFERROR(__xludf.DUMMYFUNCTION("""COMPUTED_VALUE"""),0)</f>
        <v>0</v>
      </c>
      <c r="E176" s="5">
        <f ca="1">IFERROR(__xludf.DUMMYFUNCTION("""COMPUTED_VALUE"""),1)</f>
        <v>1</v>
      </c>
      <c r="F176" s="5">
        <f ca="1">IFERROR(__xludf.DUMMYFUNCTION("""COMPUTED_VALUE"""),1)</f>
        <v>1</v>
      </c>
      <c r="G176" s="5">
        <f ca="1">IFERROR(__xludf.DUMMYFUNCTION("""COMPUTED_VALUE"""),0)</f>
        <v>0</v>
      </c>
      <c r="H176"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I176" s="5">
        <f ca="1">IFERROR(__xludf.DUMMYFUNCTION("""COMPUTED_VALUE"""),5)</f>
        <v>5</v>
      </c>
      <c r="J176" s="5" t="str">
        <f ca="1">IFERROR(__xludf.DUMMYFUNCTION("""COMPUTED_VALUE"""),"Local")</f>
        <v>Local</v>
      </c>
      <c r="K176" s="5">
        <f ca="1">IFERROR(__xludf.DUMMYFUNCTION("""COMPUTED_VALUE"""),4)</f>
        <v>4</v>
      </c>
      <c r="L176" s="5" t="str">
        <f ca="1">IFERROR(__xludf.DUMMYFUNCTION("""COMPUTED_VALUE"""),"Winter")</f>
        <v>Winter</v>
      </c>
      <c r="M176" s="5" t="str">
        <f ca="1">IFERROR(__xludf.DUMMYFUNCTION("""COMPUTED_VALUE"""),"Houston")</f>
        <v>Houston</v>
      </c>
      <c r="N176" s="5" t="str">
        <f ca="1">IFERROR(__xludf.DUMMYFUNCTION("""COMPUTED_VALUE"""),"TX")</f>
        <v>TX</v>
      </c>
      <c r="O176" s="5" t="str">
        <f ca="1">IFERROR(__xludf.DUMMYFUNCTION("""COMPUTED_VALUE"""),"Elementary")</f>
        <v>Elementary</v>
      </c>
      <c r="P176" s="5" t="str">
        <f ca="1">IFERROR(__xludf.DUMMYFUNCTION("""COMPUTED_VALUE"""),"Parking Lot")</f>
        <v>Parking Lot</v>
      </c>
      <c r="Q176" s="5" t="str">
        <f ca="1">IFERROR(__xludf.DUMMYFUNCTION("""COMPUTED_VALUE"""),"Outside on School Property")</f>
        <v>Outside on School Property</v>
      </c>
      <c r="R176" s="5" t="str">
        <f ca="1">IFERROR(__xludf.DUMMYFUNCTION("""COMPUTED_VALUE"""),"No")</f>
        <v>No</v>
      </c>
      <c r="S176" s="5" t="str">
        <f ca="1">IFERROR(__xludf.DUMMYFUNCTION("""COMPUTED_VALUE"""),"Night")</f>
        <v>Night</v>
      </c>
      <c r="T176" s="10">
        <f ca="1">IFERROR(__xludf.DUMMYFUNCTION("""COMPUTED_VALUE"""),0.916666666666666)</f>
        <v>0.91666666666666596</v>
      </c>
      <c r="U176" s="5">
        <f ca="1">IFERROR(__xludf.DUMMYFUNCTION("""COMPUTED_VALUE"""),1)</f>
        <v>1</v>
      </c>
      <c r="V176" s="5" t="str">
        <f ca="1">IFERROR(__xludf.DUMMYFUNCTION("""COMPUTED_VALUE"""),"Woman shot during car sale robbery scam in school parking lot")</f>
        <v>Woman shot during car sale robbery scam in school parking lot</v>
      </c>
      <c r="W176"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X176" s="5" t="str">
        <f ca="1">IFERROR(__xludf.DUMMYFUNCTION("""COMPUTED_VALUE"""),"Illegal Activity")</f>
        <v>Illegal Activity</v>
      </c>
      <c r="Y176" s="5" t="str">
        <f ca="1">IFERROR(__xludf.DUMMYFUNCTION("""COMPUTED_VALUE"""),"Victims Targeted")</f>
        <v>Victims Targeted</v>
      </c>
      <c r="Z176" s="5" t="str">
        <f ca="1">IFERROR(__xludf.DUMMYFUNCTION("""COMPUTED_VALUE"""),"Yes")</f>
        <v>Yes</v>
      </c>
      <c r="AA176" s="5" t="str">
        <f ca="1">IFERROR(__xludf.DUMMYFUNCTION("""COMPUTED_VALUE"""),"Multiple men fled")</f>
        <v>Multiple men fled</v>
      </c>
      <c r="AB176" s="5" t="str">
        <f ca="1">IFERROR(__xludf.DUMMYFUNCTION("""COMPUTED_VALUE"""),"No")</f>
        <v>No</v>
      </c>
      <c r="AC176" s="5" t="str">
        <f ca="1">IFERROR(__xludf.DUMMYFUNCTION("""COMPUTED_VALUE"""),"No")</f>
        <v>No</v>
      </c>
      <c r="AD176" s="5" t="str">
        <f ca="1">IFERROR(__xludf.DUMMYFUNCTION("""COMPUTED_VALUE"""),"No")</f>
        <v>No</v>
      </c>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row>
    <row r="177" spans="1:34" ht="12.75">
      <c r="A177" s="5" t="str">
        <f ca="1">IFERROR(__xludf.DUMMYFUNCTION("""COMPUTED_VALUE"""),"20220126PABAP")</f>
        <v>20220126PABAP</v>
      </c>
      <c r="B177" s="8">
        <f ca="1">IFERROR(__xludf.DUMMYFUNCTION("""COMPUTED_VALUE"""),44587)</f>
        <v>44587</v>
      </c>
      <c r="C177" s="5" t="str">
        <f ca="1">IFERROR(__xludf.DUMMYFUNCTION("""COMPUTED_VALUE"""),"Bartram High School")</f>
        <v>Bartram High School</v>
      </c>
      <c r="D177" s="5">
        <f ca="1">IFERROR(__xludf.DUMMYFUNCTION("""COMPUTED_VALUE"""),1)</f>
        <v>1</v>
      </c>
      <c r="E177" s="5">
        <f ca="1">IFERROR(__xludf.DUMMYFUNCTION("""COMPUTED_VALUE"""),0)</f>
        <v>0</v>
      </c>
      <c r="F177" s="5">
        <f ca="1">IFERROR(__xludf.DUMMYFUNCTION("""COMPUTED_VALUE"""),1)</f>
        <v>1</v>
      </c>
      <c r="G177" s="5">
        <f ca="1">IFERROR(__xludf.DUMMYFUNCTION("""COMPUTED_VALUE"""),0)</f>
        <v>0</v>
      </c>
      <c r="H177"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I177" s="5">
        <f ca="1">IFERROR(__xludf.DUMMYFUNCTION("""COMPUTED_VALUE"""),10)</f>
        <v>10</v>
      </c>
      <c r="J177" s="5" t="str">
        <f ca="1">IFERROR(__xludf.DUMMYFUNCTION("""COMPUTED_VALUE"""),"Regional")</f>
        <v>Regional</v>
      </c>
      <c r="K177" s="5">
        <f ca="1">IFERROR(__xludf.DUMMYFUNCTION("""COMPUTED_VALUE"""),4)</f>
        <v>4</v>
      </c>
      <c r="L177" s="5" t="str">
        <f ca="1">IFERROR(__xludf.DUMMYFUNCTION("""COMPUTED_VALUE"""),"Winter")</f>
        <v>Winter</v>
      </c>
      <c r="M177" s="5" t="str">
        <f ca="1">IFERROR(__xludf.DUMMYFUNCTION("""COMPUTED_VALUE"""),"Philadelphia")</f>
        <v>Philadelphia</v>
      </c>
      <c r="N177" s="5" t="str">
        <f ca="1">IFERROR(__xludf.DUMMYFUNCTION("""COMPUTED_VALUE"""),"PA")</f>
        <v>PA</v>
      </c>
      <c r="O177" s="5" t="str">
        <f ca="1">IFERROR(__xludf.DUMMYFUNCTION("""COMPUTED_VALUE"""),"High")</f>
        <v>High</v>
      </c>
      <c r="P177" s="5" t="str">
        <f ca="1">IFERROR(__xludf.DUMMYFUNCTION("""COMPUTED_VALUE"""),"Front of School")</f>
        <v>Front of School</v>
      </c>
      <c r="Q177" s="5" t="str">
        <f ca="1">IFERROR(__xludf.DUMMYFUNCTION("""COMPUTED_VALUE"""),"Off School Property")</f>
        <v>Off School Property</v>
      </c>
      <c r="R177" s="5" t="str">
        <f ca="1">IFERROR(__xludf.DUMMYFUNCTION("""COMPUTED_VALUE"""),"Yes")</f>
        <v>Yes</v>
      </c>
      <c r="S177" s="5" t="str">
        <f ca="1">IFERROR(__xludf.DUMMYFUNCTION("""COMPUTED_VALUE"""),"Dismissal")</f>
        <v>Dismissal</v>
      </c>
      <c r="T177" s="10">
        <f ca="1">IFERROR(__xludf.DUMMYFUNCTION("""COMPUTED_VALUE"""),0.620833333333333)</f>
        <v>0.62083333333333302</v>
      </c>
      <c r="U177" s="5">
        <f ca="1">IFERROR(__xludf.DUMMYFUNCTION("""COMPUTED_VALUE"""),1)</f>
        <v>1</v>
      </c>
      <c r="V177" s="5" t="str">
        <f ca="1">IFERROR(__xludf.DUMMYFUNCTION("""COMPUTED_VALUE"""),"A 17-year-old male student was fatally shot in the chest while leaving the campus at dismissal.")</f>
        <v>A 17-year-old male student was fatally shot in the chest while leaving the campus at dismissal.</v>
      </c>
      <c r="W177"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X177" s="5"/>
      <c r="Y177" s="5" t="str">
        <f ca="1">IFERROR(__xludf.DUMMYFUNCTION("""COMPUTED_VALUE"""),"Victims Targeted")</f>
        <v>Victims Targeted</v>
      </c>
      <c r="Z177" s="5" t="str">
        <f ca="1">IFERROR(__xludf.DUMMYFUNCTION("""COMPUTED_VALUE"""),"No")</f>
        <v>No</v>
      </c>
      <c r="AA177" s="5"/>
      <c r="AB177" s="5" t="str">
        <f ca="1">IFERROR(__xludf.DUMMYFUNCTION("""COMPUTED_VALUE"""),"No")</f>
        <v>No</v>
      </c>
      <c r="AC177" s="5" t="str">
        <f ca="1">IFERROR(__xludf.DUMMYFUNCTION("""COMPUTED_VALUE"""),"No")</f>
        <v>No</v>
      </c>
      <c r="AD177" s="5" t="str">
        <f ca="1">IFERROR(__xludf.DUMMYFUNCTION("""COMPUTED_VALUE"""),"No")</f>
        <v>No</v>
      </c>
      <c r="AE177" s="5" t="str">
        <f ca="1">IFERROR(__xludf.DUMMYFUNCTION("""COMPUTED_VALUE"""),"No")</f>
        <v>No</v>
      </c>
      <c r="AF177" s="5" t="str">
        <f ca="1">IFERROR(__xludf.DUMMYFUNCTION("""COMPUTED_VALUE"""),"No")</f>
        <v>No</v>
      </c>
      <c r="AG177" s="5"/>
      <c r="AH177" s="5" t="str">
        <f ca="1">IFERROR(__xludf.DUMMYFUNCTION("""COMPUTED_VALUE"""),"No")</f>
        <v>No</v>
      </c>
    </row>
    <row r="178" spans="1:34" ht="12.75">
      <c r="A178" s="5" t="str">
        <f ca="1">IFERROR(__xludf.DUMMYFUNCTION("""COMPUTED_VALUE"""),"20220124NVSUL")</f>
        <v>20220124NVSUL</v>
      </c>
      <c r="B178" s="8">
        <f ca="1">IFERROR(__xludf.DUMMYFUNCTION("""COMPUTED_VALUE"""),44585)</f>
        <v>44585</v>
      </c>
      <c r="C178" s="5" t="str">
        <f ca="1">IFERROR(__xludf.DUMMYFUNCTION("""COMPUTED_VALUE"""),"Sunrise Mountain High School")</f>
        <v>Sunrise Mountain High School</v>
      </c>
      <c r="D178" s="5">
        <f ca="1">IFERROR(__xludf.DUMMYFUNCTION("""COMPUTED_VALUE"""),0)</f>
        <v>0</v>
      </c>
      <c r="E178" s="5">
        <f ca="1">IFERROR(__xludf.DUMMYFUNCTION("""COMPUTED_VALUE"""),1)</f>
        <v>1</v>
      </c>
      <c r="F178" s="5">
        <f ca="1">IFERROR(__xludf.DUMMYFUNCTION("""COMPUTED_VALUE"""),1)</f>
        <v>1</v>
      </c>
      <c r="G178" s="5">
        <f ca="1">IFERROR(__xludf.DUMMYFUNCTION("""COMPUTED_VALUE"""),0)</f>
        <v>0</v>
      </c>
      <c r="H178"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I178" s="5">
        <f ca="1">IFERROR(__xludf.DUMMYFUNCTION("""COMPUTED_VALUE"""),3)</f>
        <v>3</v>
      </c>
      <c r="J178" s="5" t="str">
        <f ca="1">IFERROR(__xludf.DUMMYFUNCTION("""COMPUTED_VALUE"""),"Local")</f>
        <v>Local</v>
      </c>
      <c r="K178" s="5">
        <f ca="1">IFERROR(__xludf.DUMMYFUNCTION("""COMPUTED_VALUE"""),3)</f>
        <v>3</v>
      </c>
      <c r="L178" s="5" t="str">
        <f ca="1">IFERROR(__xludf.DUMMYFUNCTION("""COMPUTED_VALUE"""),"Winter")</f>
        <v>Winter</v>
      </c>
      <c r="M178" s="5" t="str">
        <f ca="1">IFERROR(__xludf.DUMMYFUNCTION("""COMPUTED_VALUE"""),"Las Vegas")</f>
        <v>Las Vegas</v>
      </c>
      <c r="N178" s="5" t="str">
        <f ca="1">IFERROR(__xludf.DUMMYFUNCTION("""COMPUTED_VALUE"""),"NV")</f>
        <v>NV</v>
      </c>
      <c r="O178" s="5" t="str">
        <f ca="1">IFERROR(__xludf.DUMMYFUNCTION("""COMPUTED_VALUE"""),"High")</f>
        <v>High</v>
      </c>
      <c r="P178" s="5" t="str">
        <f ca="1">IFERROR(__xludf.DUMMYFUNCTION("""COMPUTED_VALUE"""),"Parking Lot")</f>
        <v>Parking Lot</v>
      </c>
      <c r="Q178" s="5" t="str">
        <f ca="1">IFERROR(__xludf.DUMMYFUNCTION("""COMPUTED_VALUE"""),"Outside on School Property")</f>
        <v>Outside on School Property</v>
      </c>
      <c r="R178" s="5" t="str">
        <f ca="1">IFERROR(__xludf.DUMMYFUNCTION("""COMPUTED_VALUE"""),"Yes")</f>
        <v>Yes</v>
      </c>
      <c r="S178" s="5" t="str">
        <f ca="1">IFERROR(__xludf.DUMMYFUNCTION("""COMPUTED_VALUE"""),"Lunch")</f>
        <v>Lunch</v>
      </c>
      <c r="T178" s="10">
        <f ca="1">IFERROR(__xludf.DUMMYFUNCTION("""COMPUTED_VALUE"""),0.520833333333333)</f>
        <v>0.52083333333333304</v>
      </c>
      <c r="U178" s="5">
        <f ca="1">IFERROR(__xludf.DUMMYFUNCTION("""COMPUTED_VALUE"""),1)</f>
        <v>1</v>
      </c>
      <c r="V178" s="5" t="str">
        <f ca="1">IFERROR(__xludf.DUMMYFUNCTION("""COMPUTED_VALUE"""),"Unidentified person shot in school parking lot during school day")</f>
        <v>Unidentified person shot in school parking lot during school day</v>
      </c>
      <c r="W178"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X178" s="5"/>
      <c r="Y178" s="5" t="str">
        <f ca="1">IFERROR(__xludf.DUMMYFUNCTION("""COMPUTED_VALUE"""),"Victims Targeted")</f>
        <v>Victims Targeted</v>
      </c>
      <c r="Z178" s="5" t="str">
        <f ca="1">IFERROR(__xludf.DUMMYFUNCTION("""COMPUTED_VALUE"""),"No")</f>
        <v>No</v>
      </c>
      <c r="AA178" s="5"/>
      <c r="AB178" s="5" t="str">
        <f ca="1">IFERROR(__xludf.DUMMYFUNCTION("""COMPUTED_VALUE"""),"No")</f>
        <v>No</v>
      </c>
      <c r="AC178" s="5" t="str">
        <f ca="1">IFERROR(__xludf.DUMMYFUNCTION("""COMPUTED_VALUE"""),"No")</f>
        <v>No</v>
      </c>
      <c r="AD178" s="5" t="str">
        <f ca="1">IFERROR(__xludf.DUMMYFUNCTION("""COMPUTED_VALUE"""),"No")</f>
        <v>No</v>
      </c>
      <c r="AE178" s="5" t="str">
        <f ca="1">IFERROR(__xludf.DUMMYFUNCTION("""COMPUTED_VALUE"""),"No")</f>
        <v>No</v>
      </c>
      <c r="AF178" s="5" t="str">
        <f ca="1">IFERROR(__xludf.DUMMYFUNCTION("""COMPUTED_VALUE"""),"No")</f>
        <v>No</v>
      </c>
      <c r="AG178" s="5"/>
      <c r="AH178" s="5" t="str">
        <f ca="1">IFERROR(__xludf.DUMMYFUNCTION("""COMPUTED_VALUE"""),"No")</f>
        <v>No</v>
      </c>
    </row>
    <row r="179" spans="1:34" ht="12.75">
      <c r="A179" s="5" t="str">
        <f ca="1">IFERROR(__xludf.DUMMYFUNCTION("""COMPUTED_VALUE"""),"20220121MDMAR")</f>
        <v>20220121MDMAR</v>
      </c>
      <c r="B179" s="8">
        <f ca="1">IFERROR(__xludf.DUMMYFUNCTION("""COMPUTED_VALUE"""),44582)</f>
        <v>44582</v>
      </c>
      <c r="C179" s="5" t="str">
        <f ca="1">IFERROR(__xludf.DUMMYFUNCTION("""COMPUTED_VALUE"""),"Magruder High School")</f>
        <v>Magruder High School</v>
      </c>
      <c r="D179" s="5">
        <f ca="1">IFERROR(__xludf.DUMMYFUNCTION("""COMPUTED_VALUE"""),0)</f>
        <v>0</v>
      </c>
      <c r="E179" s="5">
        <f ca="1">IFERROR(__xludf.DUMMYFUNCTION("""COMPUTED_VALUE"""),1)</f>
        <v>1</v>
      </c>
      <c r="F179" s="5">
        <f ca="1">IFERROR(__xludf.DUMMYFUNCTION("""COMPUTED_VALUE"""),1)</f>
        <v>1</v>
      </c>
      <c r="G179" s="5">
        <f ca="1">IFERROR(__xludf.DUMMYFUNCTION("""COMPUTED_VALUE"""),0)</f>
        <v>0</v>
      </c>
      <c r="H179"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I179" s="5">
        <f ca="1">IFERROR(__xludf.DUMMYFUNCTION("""COMPUTED_VALUE"""),100)</f>
        <v>100</v>
      </c>
      <c r="J179" s="5" t="str">
        <f ca="1">IFERROR(__xludf.DUMMYFUNCTION("""COMPUTED_VALUE"""),"Regional")</f>
        <v>Regional</v>
      </c>
      <c r="K179" s="5">
        <f ca="1">IFERROR(__xludf.DUMMYFUNCTION("""COMPUTED_VALUE"""),5)</f>
        <v>5</v>
      </c>
      <c r="L179" s="5" t="str">
        <f ca="1">IFERROR(__xludf.DUMMYFUNCTION("""COMPUTED_VALUE"""),"Fall")</f>
        <v>Fall</v>
      </c>
      <c r="M179" s="5" t="str">
        <f ca="1">IFERROR(__xludf.DUMMYFUNCTION("""COMPUTED_VALUE"""),"Rockville")</f>
        <v>Rockville</v>
      </c>
      <c r="N179" s="5" t="str">
        <f ca="1">IFERROR(__xludf.DUMMYFUNCTION("""COMPUTED_VALUE"""),"MD")</f>
        <v>MD</v>
      </c>
      <c r="O179" s="5" t="str">
        <f ca="1">IFERROR(__xludf.DUMMYFUNCTION("""COMPUTED_VALUE"""),"High")</f>
        <v>High</v>
      </c>
      <c r="P179" s="5" t="str">
        <f ca="1">IFERROR(__xludf.DUMMYFUNCTION("""COMPUTED_VALUE"""),"Bathroom")</f>
        <v>Bathroom</v>
      </c>
      <c r="Q179" s="5" t="str">
        <f ca="1">IFERROR(__xludf.DUMMYFUNCTION("""COMPUTED_VALUE"""),"Inside School Building")</f>
        <v>Inside School Building</v>
      </c>
      <c r="R179" s="5" t="str">
        <f ca="1">IFERROR(__xludf.DUMMYFUNCTION("""COMPUTED_VALUE"""),"Yes")</f>
        <v>Yes</v>
      </c>
      <c r="S179" s="5" t="str">
        <f ca="1">IFERROR(__xludf.DUMMYFUNCTION("""COMPUTED_VALUE"""),"Afternoon Classes")</f>
        <v>Afternoon Classes</v>
      </c>
      <c r="T179" s="10">
        <f ca="1">IFERROR(__xludf.DUMMYFUNCTION("""COMPUTED_VALUE"""),0.536805555555555)</f>
        <v>0.53680555555555498</v>
      </c>
      <c r="U179" s="5">
        <f ca="1">IFERROR(__xludf.DUMMYFUNCTION("""COMPUTED_VALUE"""),1)</f>
        <v>1</v>
      </c>
      <c r="V179" s="5" t="str">
        <f ca="1">IFERROR(__xludf.DUMMYFUNCTION("""COMPUTED_VALUE"""),"Student shot in school bathroom, shooter found in school 3 hours later")</f>
        <v>Student shot in school bathroom, shooter found in school 3 hours later</v>
      </c>
      <c r="W179"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X179" s="5" t="str">
        <f ca="1">IFERROR(__xludf.DUMMYFUNCTION("""COMPUTED_VALUE"""),"Escalation of Dispute")</f>
        <v>Escalation of Dispute</v>
      </c>
      <c r="Y179" s="5" t="str">
        <f ca="1">IFERROR(__xludf.DUMMYFUNCTION("""COMPUTED_VALUE"""),"Victims Targeted")</f>
        <v>Victims Targeted</v>
      </c>
      <c r="Z179" s="5" t="str">
        <f ca="1">IFERROR(__xludf.DUMMYFUNCTION("""COMPUTED_VALUE"""),"No")</f>
        <v>No</v>
      </c>
      <c r="AA179" s="5"/>
      <c r="AB179" s="5" t="str">
        <f ca="1">IFERROR(__xludf.DUMMYFUNCTION("""COMPUTED_VALUE"""),"No")</f>
        <v>No</v>
      </c>
      <c r="AC179" s="5" t="str">
        <f ca="1">IFERROR(__xludf.DUMMYFUNCTION("""COMPUTED_VALUE"""),"No")</f>
        <v>No</v>
      </c>
      <c r="AD179" s="5" t="str">
        <f ca="1">IFERROR(__xludf.DUMMYFUNCTION("""COMPUTED_VALUE"""),"No")</f>
        <v>No</v>
      </c>
      <c r="AE179" s="5" t="str">
        <f ca="1">IFERROR(__xludf.DUMMYFUNCTION("""COMPUTED_VALUE"""),"No")</f>
        <v>No</v>
      </c>
      <c r="AF179" s="5" t="str">
        <f ca="1">IFERROR(__xludf.DUMMYFUNCTION("""COMPUTED_VALUE"""),"No")</f>
        <v>No</v>
      </c>
      <c r="AG179" s="5"/>
      <c r="AH179" s="5" t="str">
        <f ca="1">IFERROR(__xludf.DUMMYFUNCTION("""COMPUTED_VALUE"""),"No")</f>
        <v>No</v>
      </c>
    </row>
    <row r="180" spans="1:34" ht="12.75">
      <c r="A180" s="5" t="str">
        <f ca="1">IFERROR(__xludf.DUMMYFUNCTION("""COMPUTED_VALUE"""),"20220121GAMCA")</f>
        <v>20220121GAMCA</v>
      </c>
      <c r="B180" s="8">
        <f ca="1">IFERROR(__xludf.DUMMYFUNCTION("""COMPUTED_VALUE"""),44582)</f>
        <v>44582</v>
      </c>
      <c r="C180" s="5" t="str">
        <f ca="1">IFERROR(__xludf.DUMMYFUNCTION("""COMPUTED_VALUE"""),"McNair High School")</f>
        <v>McNair High School</v>
      </c>
      <c r="D180" s="5">
        <f ca="1">IFERROR(__xludf.DUMMYFUNCTION("""COMPUTED_VALUE"""),0)</f>
        <v>0</v>
      </c>
      <c r="E180" s="5">
        <f ca="1">IFERROR(__xludf.DUMMYFUNCTION("""COMPUTED_VALUE"""),0)</f>
        <v>0</v>
      </c>
      <c r="F180" s="5">
        <f ca="1">IFERROR(__xludf.DUMMYFUNCTION("""COMPUTED_VALUE"""),0)</f>
        <v>0</v>
      </c>
      <c r="G180" s="5">
        <f ca="1">IFERROR(__xludf.DUMMYFUNCTION("""COMPUTED_VALUE"""),0)</f>
        <v>0</v>
      </c>
      <c r="H180"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I180" s="5">
        <f ca="1">IFERROR(__xludf.DUMMYFUNCTION("""COMPUTED_VALUE"""),3)</f>
        <v>3</v>
      </c>
      <c r="J180" s="5" t="str">
        <f ca="1">IFERROR(__xludf.DUMMYFUNCTION("""COMPUTED_VALUE"""),"Local")</f>
        <v>Local</v>
      </c>
      <c r="K180" s="5">
        <f ca="1">IFERROR(__xludf.DUMMYFUNCTION("""COMPUTED_VALUE"""),4)</f>
        <v>4</v>
      </c>
      <c r="L180" s="5" t="str">
        <f ca="1">IFERROR(__xludf.DUMMYFUNCTION("""COMPUTED_VALUE"""),"Fall")</f>
        <v>Fall</v>
      </c>
      <c r="M180" s="5" t="str">
        <f ca="1">IFERROR(__xludf.DUMMYFUNCTION("""COMPUTED_VALUE"""),"Atlanta")</f>
        <v>Atlanta</v>
      </c>
      <c r="N180" s="5" t="str">
        <f ca="1">IFERROR(__xludf.DUMMYFUNCTION("""COMPUTED_VALUE"""),"GA")</f>
        <v>GA</v>
      </c>
      <c r="O180" s="5" t="str">
        <f ca="1">IFERROR(__xludf.DUMMYFUNCTION("""COMPUTED_VALUE"""),"High")</f>
        <v>High</v>
      </c>
      <c r="P180" s="5" t="str">
        <f ca="1">IFERROR(__xludf.DUMMYFUNCTION("""COMPUTED_VALUE"""),"Parking Lot")</f>
        <v>Parking Lot</v>
      </c>
      <c r="Q180" s="5" t="str">
        <f ca="1">IFERROR(__xludf.DUMMYFUNCTION("""COMPUTED_VALUE"""),"Outside on School Property")</f>
        <v>Outside on School Property</v>
      </c>
      <c r="R180" s="5" t="str">
        <f ca="1">IFERROR(__xludf.DUMMYFUNCTION("""COMPUTED_VALUE"""),"Yes")</f>
        <v>Yes</v>
      </c>
      <c r="S180" s="5" t="str">
        <f ca="1">IFERROR(__xludf.DUMMYFUNCTION("""COMPUTED_VALUE"""),"Afternoon Classes")</f>
        <v>Afternoon Classes</v>
      </c>
      <c r="T180" s="10">
        <f ca="1">IFERROR(__xludf.DUMMYFUNCTION("""COMPUTED_VALUE"""),0.604166666666666)</f>
        <v>0.60416666666666596</v>
      </c>
      <c r="U180" s="5">
        <f ca="1">IFERROR(__xludf.DUMMYFUNCTION("""COMPUTED_VALUE"""),1)</f>
        <v>1</v>
      </c>
      <c r="V180" s="5" t="str">
        <f ca="1">IFERROR(__xludf.DUMMYFUNCTION("""COMPUTED_VALUE"""),"Shots fired in school parking lot prior to dismissal")</f>
        <v>Shots fired in school parking lot prior to dismissal</v>
      </c>
      <c r="W180"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X180" s="5" t="str">
        <f ca="1">IFERROR(__xludf.DUMMYFUNCTION("""COMPUTED_VALUE"""),"Drive-by Shooting")</f>
        <v>Drive-by Shooting</v>
      </c>
      <c r="Y180" s="5"/>
      <c r="Z180" s="5" t="str">
        <f ca="1">IFERROR(__xludf.DUMMYFUNCTION("""COMPUTED_VALUE"""),"No")</f>
        <v>No</v>
      </c>
      <c r="AA180" s="5"/>
      <c r="AB180" s="5" t="str">
        <f ca="1">IFERROR(__xludf.DUMMYFUNCTION("""COMPUTED_VALUE"""),"No")</f>
        <v>No</v>
      </c>
      <c r="AC180" s="5" t="str">
        <f ca="1">IFERROR(__xludf.DUMMYFUNCTION("""COMPUTED_VALUE"""),"No")</f>
        <v>No</v>
      </c>
      <c r="AD180" s="5" t="str">
        <f ca="1">IFERROR(__xludf.DUMMYFUNCTION("""COMPUTED_VALUE"""),"No")</f>
        <v>No</v>
      </c>
      <c r="AE180" s="5" t="str">
        <f ca="1">IFERROR(__xludf.DUMMYFUNCTION("""COMPUTED_VALUE"""),"No")</f>
        <v>No</v>
      </c>
      <c r="AF180" s="5" t="str">
        <f ca="1">IFERROR(__xludf.DUMMYFUNCTION("""COMPUTED_VALUE"""),"No")</f>
        <v>No</v>
      </c>
      <c r="AG180" s="5"/>
      <c r="AH180" s="5" t="str">
        <f ca="1">IFERROR(__xludf.DUMMYFUNCTION("""COMPUTED_VALUE"""),"No")</f>
        <v>No</v>
      </c>
    </row>
    <row r="181" spans="1:34" ht="12.75">
      <c r="A181" s="5" t="str">
        <f ca="1">IFERROR(__xludf.DUMMYFUNCTION("""COMPUTED_VALUE"""),"20220119VAMAP")</f>
        <v>20220119VAMAP</v>
      </c>
      <c r="B181" s="8">
        <f ca="1">IFERROR(__xludf.DUMMYFUNCTION("""COMPUTED_VALUE"""),44580)</f>
        <v>44580</v>
      </c>
      <c r="C181" s="5" t="str">
        <f ca="1">IFERROR(__xludf.DUMMYFUNCTION("""COMPUTED_VALUE"""),"Manor High School")</f>
        <v>Manor High School</v>
      </c>
      <c r="D181" s="5">
        <f ca="1">IFERROR(__xludf.DUMMYFUNCTION("""COMPUTED_VALUE"""),0)</f>
        <v>0</v>
      </c>
      <c r="E181" s="5">
        <f ca="1">IFERROR(__xludf.DUMMYFUNCTION("""COMPUTED_VALUE"""),1)</f>
        <v>1</v>
      </c>
      <c r="F181" s="5">
        <f ca="1">IFERROR(__xludf.DUMMYFUNCTION("""COMPUTED_VALUE"""),1)</f>
        <v>1</v>
      </c>
      <c r="G181" s="5">
        <f ca="1">IFERROR(__xludf.DUMMYFUNCTION("""COMPUTED_VALUE"""),0)</f>
        <v>0</v>
      </c>
      <c r="H181" s="5" t="str">
        <f ca="1">IFERROR(__xludf.DUMMYFUNCTION("""COMPUTED_VALUE"""),"https://www.wtkr.com/news/juvenile-victim-left-with-life-threatening-injuries-after-shooting-near-manor-high-school-in-portsmouth https://www.wavy.com/news/local-news/portsmouth/portsmouth-police-investigate-walk-in-gunshot-victim/")</f>
        <v>https://www.wtkr.com/news/juvenile-victim-left-with-life-threatening-injuries-after-shooting-near-manor-high-school-in-portsmouth https://www.wavy.com/news/local-news/portsmouth/portsmouth-police-investigate-walk-in-gunshot-victim/</v>
      </c>
      <c r="I181" s="5">
        <f ca="1">IFERROR(__xludf.DUMMYFUNCTION("""COMPUTED_VALUE"""),2)</f>
        <v>2</v>
      </c>
      <c r="J181" s="5" t="str">
        <f ca="1">IFERROR(__xludf.DUMMYFUNCTION("""COMPUTED_VALUE"""),"Local")</f>
        <v>Local</v>
      </c>
      <c r="K181" s="5">
        <f ca="1">IFERROR(__xludf.DUMMYFUNCTION("""COMPUTED_VALUE"""),3)</f>
        <v>3</v>
      </c>
      <c r="L181" s="5" t="str">
        <f ca="1">IFERROR(__xludf.DUMMYFUNCTION("""COMPUTED_VALUE"""),"Winter")</f>
        <v>Winter</v>
      </c>
      <c r="M181" s="5" t="str">
        <f ca="1">IFERROR(__xludf.DUMMYFUNCTION("""COMPUTED_VALUE"""),"Portsmouth")</f>
        <v>Portsmouth</v>
      </c>
      <c r="N181" s="5" t="str">
        <f ca="1">IFERROR(__xludf.DUMMYFUNCTION("""COMPUTED_VALUE"""),"VA")</f>
        <v>VA</v>
      </c>
      <c r="O181" s="5" t="str">
        <f ca="1">IFERROR(__xludf.DUMMYFUNCTION("""COMPUTED_VALUE"""),"High")</f>
        <v>High</v>
      </c>
      <c r="P181" s="5" t="str">
        <f ca="1">IFERROR(__xludf.DUMMYFUNCTION("""COMPUTED_VALUE"""),"Parking Lot")</f>
        <v>Parking Lot</v>
      </c>
      <c r="Q181" s="5" t="str">
        <f ca="1">IFERROR(__xludf.DUMMYFUNCTION("""COMPUTED_VALUE"""),"Outside on School Property")</f>
        <v>Outside on School Property</v>
      </c>
      <c r="R181" s="5" t="str">
        <f ca="1">IFERROR(__xludf.DUMMYFUNCTION("""COMPUTED_VALUE"""),"Yes")</f>
        <v>Yes</v>
      </c>
      <c r="S181" s="5" t="str">
        <f ca="1">IFERROR(__xludf.DUMMYFUNCTION("""COMPUTED_VALUE"""),"Dismissal")</f>
        <v>Dismissal</v>
      </c>
      <c r="T181" s="10">
        <f ca="1">IFERROR(__xludf.DUMMYFUNCTION("""COMPUTED_VALUE"""),0.625)</f>
        <v>0.625</v>
      </c>
      <c r="U181" s="5">
        <f ca="1">IFERROR(__xludf.DUMMYFUNCTION("""COMPUTED_VALUE"""),1)</f>
        <v>1</v>
      </c>
      <c r="V181" s="5" t="str">
        <f ca="1">IFERROR(__xludf.DUMMYFUNCTION("""COMPUTED_VALUE"""),"Student fatally shot behind school after dismissal")</f>
        <v>Student fatally shot behind school after dismissal</v>
      </c>
      <c r="W181"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X181" s="5"/>
      <c r="Y181" s="5" t="str">
        <f ca="1">IFERROR(__xludf.DUMMYFUNCTION("""COMPUTED_VALUE"""),"Victims Targeted")</f>
        <v>Victims Targeted</v>
      </c>
      <c r="Z181" s="5" t="str">
        <f ca="1">IFERROR(__xludf.DUMMYFUNCTION("""COMPUTED_VALUE"""),"Yes")</f>
        <v>Yes</v>
      </c>
      <c r="AA181" s="5" t="str">
        <f ca="1">IFERROR(__xludf.DUMMYFUNCTION("""COMPUTED_VALUE"""),"3 teens, conspiracy to commit murder")</f>
        <v>3 teens, conspiracy to commit murder</v>
      </c>
      <c r="AB181" s="5" t="str">
        <f ca="1">IFERROR(__xludf.DUMMYFUNCTION("""COMPUTED_VALUE"""),"No")</f>
        <v>No</v>
      </c>
      <c r="AC181" s="5" t="str">
        <f ca="1">IFERROR(__xludf.DUMMYFUNCTION("""COMPUTED_VALUE"""),"No")</f>
        <v>No</v>
      </c>
      <c r="AD181" s="5" t="str">
        <f ca="1">IFERROR(__xludf.DUMMYFUNCTION("""COMPUTED_VALUE"""),"No")</f>
        <v>No</v>
      </c>
      <c r="AE181" s="5" t="str">
        <f ca="1">IFERROR(__xludf.DUMMYFUNCTION("""COMPUTED_VALUE"""),"No")</f>
        <v>No</v>
      </c>
      <c r="AF181" s="5" t="str">
        <f ca="1">IFERROR(__xludf.DUMMYFUNCTION("""COMPUTED_VALUE"""),"No")</f>
        <v>No</v>
      </c>
      <c r="AG181" s="5"/>
      <c r="AH181" s="5" t="str">
        <f ca="1">IFERROR(__xludf.DUMMYFUNCTION("""COMPUTED_VALUE"""),"No")</f>
        <v>No</v>
      </c>
    </row>
    <row r="182" spans="1:34" ht="12.75">
      <c r="A182" s="5" t="str">
        <f ca="1">IFERROR(__xludf.DUMMYFUNCTION("""COMPUTED_VALUE"""),"20220119PAPIP")</f>
        <v>20220119PAPIP</v>
      </c>
      <c r="B182" s="8">
        <f ca="1">IFERROR(__xludf.DUMMYFUNCTION("""COMPUTED_VALUE"""),44580)</f>
        <v>44580</v>
      </c>
      <c r="C182" s="5" t="str">
        <f ca="1">IFERROR(__xludf.DUMMYFUNCTION("""COMPUTED_VALUE"""),"Pittsburgh Oliver Citywide Academy")</f>
        <v>Pittsburgh Oliver Citywide Academy</v>
      </c>
      <c r="D182" s="5">
        <f ca="1">IFERROR(__xludf.DUMMYFUNCTION("""COMPUTED_VALUE"""),1)</f>
        <v>1</v>
      </c>
      <c r="E182" s="5">
        <f ca="1">IFERROR(__xludf.DUMMYFUNCTION("""COMPUTED_VALUE"""),0)</f>
        <v>0</v>
      </c>
      <c r="F182" s="5">
        <f ca="1">IFERROR(__xludf.DUMMYFUNCTION("""COMPUTED_VALUE"""),1)</f>
        <v>1</v>
      </c>
      <c r="G182" s="5">
        <f ca="1">IFERROR(__xludf.DUMMYFUNCTION("""COMPUTED_VALUE"""),0)</f>
        <v>0</v>
      </c>
      <c r="H182" s="5"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I182" s="5">
        <f ca="1">IFERROR(__xludf.DUMMYFUNCTION("""COMPUTED_VALUE"""),10)</f>
        <v>10</v>
      </c>
      <c r="J182" s="5" t="str">
        <f ca="1">IFERROR(__xludf.DUMMYFUNCTION("""COMPUTED_VALUE"""),"Regional")</f>
        <v>Regional</v>
      </c>
      <c r="K182" s="5">
        <f ca="1">IFERROR(__xludf.DUMMYFUNCTION("""COMPUTED_VALUE"""),4)</f>
        <v>4</v>
      </c>
      <c r="L182" s="5" t="str">
        <f ca="1">IFERROR(__xludf.DUMMYFUNCTION("""COMPUTED_VALUE"""),"Winter")</f>
        <v>Winter</v>
      </c>
      <c r="M182" s="5" t="str">
        <f ca="1">IFERROR(__xludf.DUMMYFUNCTION("""COMPUTED_VALUE"""),"Pittsburgh")</f>
        <v>Pittsburgh</v>
      </c>
      <c r="N182" s="5" t="str">
        <f ca="1">IFERROR(__xludf.DUMMYFUNCTION("""COMPUTED_VALUE"""),"PA")</f>
        <v>PA</v>
      </c>
      <c r="O182" s="5" t="str">
        <f ca="1">IFERROR(__xludf.DUMMYFUNCTION("""COMPUTED_VALUE"""),"K-12")</f>
        <v>K-12</v>
      </c>
      <c r="P182" s="5" t="str">
        <f ca="1">IFERROR(__xludf.DUMMYFUNCTION("""COMPUTED_VALUE"""),"Front of School")</f>
        <v>Front of School</v>
      </c>
      <c r="Q182" s="5" t="str">
        <f ca="1">IFERROR(__xludf.DUMMYFUNCTION("""COMPUTED_VALUE"""),"Outside on School Property")</f>
        <v>Outside on School Property</v>
      </c>
      <c r="R182" s="5" t="str">
        <f ca="1">IFERROR(__xludf.DUMMYFUNCTION("""COMPUTED_VALUE"""),"Yes")</f>
        <v>Yes</v>
      </c>
      <c r="S182" s="5" t="str">
        <f ca="1">IFERROR(__xludf.DUMMYFUNCTION("""COMPUTED_VALUE"""),"Dismissal")</f>
        <v>Dismissal</v>
      </c>
      <c r="T182" s="10">
        <f ca="1">IFERROR(__xludf.DUMMYFUNCTION("""COMPUTED_VALUE"""),0.583333333333333)</f>
        <v>0.58333333333333304</v>
      </c>
      <c r="U182" s="5">
        <f ca="1">IFERROR(__xludf.DUMMYFUNCTION("""COMPUTED_VALUE"""),1)</f>
        <v>1</v>
      </c>
      <c r="V182" s="5" t="str">
        <f ca="1">IFERROR(__xludf.DUMMYFUNCTION("""COMPUTED_VALUE"""),"Special education student sitting in school van at dismissal shot by 2 gunmen")</f>
        <v>Special education student sitting in school van at dismissal shot by 2 gunmen</v>
      </c>
      <c r="W182"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f>
        <v>A 15-year-old special education student was sitting inside a school van at dismissal when he was fatally shot by 2 gunmen. Shooters fled. Students dismissing went back into school and locked down for 2 hours. No suspects identified. Police describe shooting at "senseless".</v>
      </c>
      <c r="X182" s="5"/>
      <c r="Y182" s="5" t="str">
        <f ca="1">IFERROR(__xludf.DUMMYFUNCTION("""COMPUTED_VALUE"""),"Victims Targeted")</f>
        <v>Victims Targeted</v>
      </c>
      <c r="Z182" s="5" t="str">
        <f ca="1">IFERROR(__xludf.DUMMYFUNCTION("""COMPUTED_VALUE"""),"Yes")</f>
        <v>Yes</v>
      </c>
      <c r="AA182" s="5" t="str">
        <f ca="1">IFERROR(__xludf.DUMMYFUNCTION("""COMPUTED_VALUE"""),"2 gunmen")</f>
        <v>2 gunmen</v>
      </c>
      <c r="AB182" s="5" t="str">
        <f ca="1">IFERROR(__xludf.DUMMYFUNCTION("""COMPUTED_VALUE"""),"No")</f>
        <v>No</v>
      </c>
      <c r="AC182" s="5" t="str">
        <f ca="1">IFERROR(__xludf.DUMMYFUNCTION("""COMPUTED_VALUE"""),"No")</f>
        <v>No</v>
      </c>
      <c r="AD182" s="5" t="str">
        <f ca="1">IFERROR(__xludf.DUMMYFUNCTION("""COMPUTED_VALUE"""),"No")</f>
        <v>No</v>
      </c>
      <c r="AE182" s="5" t="str">
        <f ca="1">IFERROR(__xludf.DUMMYFUNCTION("""COMPUTED_VALUE"""),"No")</f>
        <v>No</v>
      </c>
      <c r="AF182" s="5" t="str">
        <f ca="1">IFERROR(__xludf.DUMMYFUNCTION("""COMPUTED_VALUE"""),"No")</f>
        <v>No</v>
      </c>
      <c r="AG182" s="5"/>
      <c r="AH182" s="5" t="str">
        <f ca="1">IFERROR(__xludf.DUMMYFUNCTION("""COMPUTED_VALUE"""),"No")</f>
        <v>No</v>
      </c>
    </row>
    <row r="183" spans="1:34" ht="12.75">
      <c r="A183" s="5" t="str">
        <f ca="1">IFERROR(__xludf.DUMMYFUNCTION("""COMPUTED_VALUE"""),"20220119FLSES")</f>
        <v>20220119FLSES</v>
      </c>
      <c r="B183" s="8">
        <f ca="1">IFERROR(__xludf.DUMMYFUNCTION("""COMPUTED_VALUE"""),44580)</f>
        <v>44580</v>
      </c>
      <c r="C183" s="5" t="str">
        <f ca="1">IFERROR(__xludf.DUMMYFUNCTION("""COMPUTED_VALUE"""),"Seminole High School")</f>
        <v>Seminole High School</v>
      </c>
      <c r="D183" s="5">
        <f ca="1">IFERROR(__xludf.DUMMYFUNCTION("""COMPUTED_VALUE"""),0)</f>
        <v>0</v>
      </c>
      <c r="E183" s="5">
        <f ca="1">IFERROR(__xludf.DUMMYFUNCTION("""COMPUTED_VALUE"""),1)</f>
        <v>1</v>
      </c>
      <c r="F183" s="5">
        <f ca="1">IFERROR(__xludf.DUMMYFUNCTION("""COMPUTED_VALUE"""),1)</f>
        <v>1</v>
      </c>
      <c r="G183" s="5">
        <f ca="1">IFERROR(__xludf.DUMMYFUNCTION("""COMPUTED_VALUE"""),0)</f>
        <v>0</v>
      </c>
      <c r="H183"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I183" s="5">
        <f ca="1">IFERROR(__xludf.DUMMYFUNCTION("""COMPUTED_VALUE"""),10)</f>
        <v>10</v>
      </c>
      <c r="J183" s="5" t="str">
        <f ca="1">IFERROR(__xludf.DUMMYFUNCTION("""COMPUTED_VALUE"""),"Regional")</f>
        <v>Regional</v>
      </c>
      <c r="K183" s="5">
        <f ca="1">IFERROR(__xludf.DUMMYFUNCTION("""COMPUTED_VALUE"""),4)</f>
        <v>4</v>
      </c>
      <c r="L183" s="5" t="str">
        <f ca="1">IFERROR(__xludf.DUMMYFUNCTION("""COMPUTED_VALUE"""),"Winter")</f>
        <v>Winter</v>
      </c>
      <c r="M183" s="5" t="str">
        <f ca="1">IFERROR(__xludf.DUMMYFUNCTION("""COMPUTED_VALUE"""),"Sanford")</f>
        <v>Sanford</v>
      </c>
      <c r="N183" s="5" t="str">
        <f ca="1">IFERROR(__xludf.DUMMYFUNCTION("""COMPUTED_VALUE"""),"FL")</f>
        <v>FL</v>
      </c>
      <c r="O183" s="5" t="str">
        <f ca="1">IFERROR(__xludf.DUMMYFUNCTION("""COMPUTED_VALUE"""),"High")</f>
        <v>High</v>
      </c>
      <c r="P183" s="5" t="str">
        <f ca="1">IFERROR(__xludf.DUMMYFUNCTION("""COMPUTED_VALUE"""),"Bathroom")</f>
        <v>Bathroom</v>
      </c>
      <c r="Q183" s="5" t="str">
        <f ca="1">IFERROR(__xludf.DUMMYFUNCTION("""COMPUTED_VALUE"""),"Inside School Building")</f>
        <v>Inside School Building</v>
      </c>
      <c r="R183" s="5" t="str">
        <f ca="1">IFERROR(__xludf.DUMMYFUNCTION("""COMPUTED_VALUE"""),"Yes")</f>
        <v>Yes</v>
      </c>
      <c r="S183" s="5" t="str">
        <f ca="1">IFERROR(__xludf.DUMMYFUNCTION("""COMPUTED_VALUE"""),"Lunch")</f>
        <v>Lunch</v>
      </c>
      <c r="T183" s="10">
        <f ca="1">IFERROR(__xludf.DUMMYFUNCTION("""COMPUTED_VALUE"""),0.997916666666666)</f>
        <v>0.99791666666666601</v>
      </c>
      <c r="U183" s="5">
        <f ca="1">IFERROR(__xludf.DUMMYFUNCTION("""COMPUTED_VALUE"""),1)</f>
        <v>1</v>
      </c>
      <c r="V183" s="5" t="str">
        <f ca="1">IFERROR(__xludf.DUMMYFUNCTION("""COMPUTED_VALUE"""),"Student shot 3 times inside school, shooter fled")</f>
        <v>Student shot 3 times inside school, shooter fled</v>
      </c>
      <c r="W183"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X183" s="5" t="str">
        <f ca="1">IFERROR(__xludf.DUMMYFUNCTION("""COMPUTED_VALUE"""),"Domestic w/ Targeted Victim")</f>
        <v>Domestic w/ Targeted Victim</v>
      </c>
      <c r="Y183" s="5" t="str">
        <f ca="1">IFERROR(__xludf.DUMMYFUNCTION("""COMPUTED_VALUE"""),"Victims Targeted")</f>
        <v>Victims Targeted</v>
      </c>
      <c r="Z183" s="5" t="str">
        <f ca="1">IFERROR(__xludf.DUMMYFUNCTION("""COMPUTED_VALUE"""),"No")</f>
        <v>No</v>
      </c>
      <c r="AA183" s="5"/>
      <c r="AB183" s="5" t="str">
        <f ca="1">IFERROR(__xludf.DUMMYFUNCTION("""COMPUTED_VALUE"""),"No")</f>
        <v>No</v>
      </c>
      <c r="AC183" s="5" t="str">
        <f ca="1">IFERROR(__xludf.DUMMYFUNCTION("""COMPUTED_VALUE"""),"No")</f>
        <v>No</v>
      </c>
      <c r="AD183" s="5" t="str">
        <f ca="1">IFERROR(__xludf.DUMMYFUNCTION("""COMPUTED_VALUE"""),"No")</f>
        <v>No</v>
      </c>
      <c r="AE183" s="5" t="str">
        <f ca="1">IFERROR(__xludf.DUMMYFUNCTION("""COMPUTED_VALUE"""),"No")</f>
        <v>No</v>
      </c>
      <c r="AF183" s="5" t="str">
        <f ca="1">IFERROR(__xludf.DUMMYFUNCTION("""COMPUTED_VALUE"""),"Yes")</f>
        <v>Yes</v>
      </c>
      <c r="AG183" s="5" t="str">
        <f ca="1">IFERROR(__xludf.DUMMYFUNCTION("""COMPUTED_VALUE"""),"No")</f>
        <v>No</v>
      </c>
      <c r="AH183" s="5" t="str">
        <f ca="1">IFERROR(__xludf.DUMMYFUNCTION("""COMPUTED_VALUE"""),"No")</f>
        <v>No</v>
      </c>
    </row>
    <row r="184" spans="1:34" ht="12.75">
      <c r="A184" s="5" t="str">
        <f ca="1">IFERROR(__xludf.DUMMYFUNCTION("""COMPUTED_VALUE"""),"20220119DCANW")</f>
        <v>20220119DCANW</v>
      </c>
      <c r="B184" s="8">
        <f ca="1">IFERROR(__xludf.DUMMYFUNCTION("""COMPUTED_VALUE"""),44580)</f>
        <v>44580</v>
      </c>
      <c r="C184" s="5" t="str">
        <f ca="1">IFERROR(__xludf.DUMMYFUNCTION("""COMPUTED_VALUE"""),"Anacostia High School")</f>
        <v>Anacostia High School</v>
      </c>
      <c r="D184" s="5">
        <f ca="1">IFERROR(__xludf.DUMMYFUNCTION("""COMPUTED_VALUE"""),0)</f>
        <v>0</v>
      </c>
      <c r="E184" s="5">
        <f ca="1">IFERROR(__xludf.DUMMYFUNCTION("""COMPUTED_VALUE"""),0)</f>
        <v>0</v>
      </c>
      <c r="F184" s="5">
        <f ca="1">IFERROR(__xludf.DUMMYFUNCTION("""COMPUTED_VALUE"""),0)</f>
        <v>0</v>
      </c>
      <c r="G184" s="5">
        <f ca="1">IFERROR(__xludf.DUMMYFUNCTION("""COMPUTED_VALUE"""),0)</f>
        <v>0</v>
      </c>
      <c r="H184"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I184" s="5">
        <f ca="1">IFERROR(__xludf.DUMMYFUNCTION("""COMPUTED_VALUE"""),1)</f>
        <v>1</v>
      </c>
      <c r="J184" s="5" t="str">
        <f ca="1">IFERROR(__xludf.DUMMYFUNCTION("""COMPUTED_VALUE"""),"Local")</f>
        <v>Local</v>
      </c>
      <c r="K184" s="5">
        <f ca="1">IFERROR(__xludf.DUMMYFUNCTION("""COMPUTED_VALUE"""),4)</f>
        <v>4</v>
      </c>
      <c r="L184" s="5" t="str">
        <f ca="1">IFERROR(__xludf.DUMMYFUNCTION("""COMPUTED_VALUE"""),"Winter")</f>
        <v>Winter</v>
      </c>
      <c r="M184" s="5" t="str">
        <f ca="1">IFERROR(__xludf.DUMMYFUNCTION("""COMPUTED_VALUE"""),"Washington")</f>
        <v>Washington</v>
      </c>
      <c r="N184" s="5" t="str">
        <f ca="1">IFERROR(__xludf.DUMMYFUNCTION("""COMPUTED_VALUE"""),"DC")</f>
        <v>DC</v>
      </c>
      <c r="O184" s="5" t="str">
        <f ca="1">IFERROR(__xludf.DUMMYFUNCTION("""COMPUTED_VALUE"""),"High")</f>
        <v>High</v>
      </c>
      <c r="P184" s="5" t="str">
        <f ca="1">IFERROR(__xludf.DUMMYFUNCTION("""COMPUTED_VALUE"""),"Front of School")</f>
        <v>Front of School</v>
      </c>
      <c r="Q184" s="5" t="str">
        <f ca="1">IFERROR(__xludf.DUMMYFUNCTION("""COMPUTED_VALUE"""),"Outside on School Property")</f>
        <v>Outside on School Property</v>
      </c>
      <c r="R184" s="5" t="str">
        <f ca="1">IFERROR(__xludf.DUMMYFUNCTION("""COMPUTED_VALUE"""),"No")</f>
        <v>No</v>
      </c>
      <c r="S184" s="5" t="str">
        <f ca="1">IFERROR(__xludf.DUMMYFUNCTION("""COMPUTED_VALUE"""),"After School")</f>
        <v>After School</v>
      </c>
      <c r="T184" s="10">
        <f ca="1">IFERROR(__xludf.DUMMYFUNCTION("""COMPUTED_VALUE"""),0.666666666666666)</f>
        <v>0.66666666666666596</v>
      </c>
      <c r="U184" s="5">
        <f ca="1">IFERROR(__xludf.DUMMYFUNCTION("""COMPUTED_VALUE"""),1)</f>
        <v>1</v>
      </c>
      <c r="V184" s="5" t="str">
        <f ca="1">IFERROR(__xludf.DUMMYFUNCTION("""COMPUTED_VALUE"""),"Two shots stuck the front door of the school")</f>
        <v>Two shots stuck the front door of the school</v>
      </c>
      <c r="W184"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X184" s="5"/>
      <c r="Y184" s="5" t="str">
        <f ca="1">IFERROR(__xludf.DUMMYFUNCTION("""COMPUTED_VALUE"""),"Victims Targeted")</f>
        <v>Victims Targeted</v>
      </c>
      <c r="Z184" s="5" t="str">
        <f ca="1">IFERROR(__xludf.DUMMYFUNCTION("""COMPUTED_VALUE"""),"No")</f>
        <v>No</v>
      </c>
      <c r="AA184" s="5"/>
      <c r="AB184" s="5" t="str">
        <f ca="1">IFERROR(__xludf.DUMMYFUNCTION("""COMPUTED_VALUE"""),"No")</f>
        <v>No</v>
      </c>
      <c r="AC184" s="5" t="str">
        <f ca="1">IFERROR(__xludf.DUMMYFUNCTION("""COMPUTED_VALUE"""),"No")</f>
        <v>No</v>
      </c>
      <c r="AD184" s="5" t="str">
        <f ca="1">IFERROR(__xludf.DUMMYFUNCTION("""COMPUTED_VALUE"""),"No")</f>
        <v>No</v>
      </c>
      <c r="AE184" s="5" t="str">
        <f ca="1">IFERROR(__xludf.DUMMYFUNCTION("""COMPUTED_VALUE"""),"No")</f>
        <v>No</v>
      </c>
      <c r="AF184" s="5" t="str">
        <f ca="1">IFERROR(__xludf.DUMMYFUNCTION("""COMPUTED_VALUE"""),"No")</f>
        <v>No</v>
      </c>
      <c r="AG184" s="5"/>
      <c r="AH184" s="5" t="str">
        <f ca="1">IFERROR(__xludf.DUMMYFUNCTION("""COMPUTED_VALUE"""),"No")</f>
        <v>No</v>
      </c>
    </row>
    <row r="185" spans="1:34" ht="12.75">
      <c r="A185" s="5" t="str">
        <f ca="1">IFERROR(__xludf.DUMMYFUNCTION("""COMPUTED_VALUE"""),"20220117TXPYH")</f>
        <v>20220117TXPYH</v>
      </c>
      <c r="B185" s="8">
        <f ca="1">IFERROR(__xludf.DUMMYFUNCTION("""COMPUTED_VALUE"""),44578)</f>
        <v>44578</v>
      </c>
      <c r="C185" s="5" t="str">
        <f ca="1">IFERROR(__xludf.DUMMYFUNCTION("""COMPUTED_VALUE"""),"Pyburn Elementary School")</f>
        <v>Pyburn Elementary School</v>
      </c>
      <c r="D185" s="5">
        <f ca="1">IFERROR(__xludf.DUMMYFUNCTION("""COMPUTED_VALUE"""),2)</f>
        <v>2</v>
      </c>
      <c r="E185" s="5">
        <f ca="1">IFERROR(__xludf.DUMMYFUNCTION("""COMPUTED_VALUE"""),0)</f>
        <v>0</v>
      </c>
      <c r="F185" s="5">
        <f ca="1">IFERROR(__xludf.DUMMYFUNCTION("""COMPUTED_VALUE"""),2)</f>
        <v>2</v>
      </c>
      <c r="G185" s="5">
        <f ca="1">IFERROR(__xludf.DUMMYFUNCTION("""COMPUTED_VALUE"""),0)</f>
        <v>0</v>
      </c>
      <c r="H185"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I185" s="5">
        <f ca="1">IFERROR(__xludf.DUMMYFUNCTION("""COMPUTED_VALUE"""),1)</f>
        <v>1</v>
      </c>
      <c r="J185" s="5" t="str">
        <f ca="1">IFERROR(__xludf.DUMMYFUNCTION("""COMPUTED_VALUE"""),"Local")</f>
        <v>Local</v>
      </c>
      <c r="K185" s="5">
        <f ca="1">IFERROR(__xludf.DUMMYFUNCTION("""COMPUTED_VALUE"""),4)</f>
        <v>4</v>
      </c>
      <c r="L185" s="5" t="str">
        <f ca="1">IFERROR(__xludf.DUMMYFUNCTION("""COMPUTED_VALUE"""),"Winter")</f>
        <v>Winter</v>
      </c>
      <c r="M185" s="5" t="str">
        <f ca="1">IFERROR(__xludf.DUMMYFUNCTION("""COMPUTED_VALUE"""),"Houston")</f>
        <v>Houston</v>
      </c>
      <c r="N185" s="5" t="str">
        <f ca="1">IFERROR(__xludf.DUMMYFUNCTION("""COMPUTED_VALUE"""),"TX")</f>
        <v>TX</v>
      </c>
      <c r="O185" s="5" t="str">
        <f ca="1">IFERROR(__xludf.DUMMYFUNCTION("""COMPUTED_VALUE"""),"Elementary")</f>
        <v>Elementary</v>
      </c>
      <c r="P185" s="5" t="str">
        <f ca="1">IFERROR(__xludf.DUMMYFUNCTION("""COMPUTED_VALUE"""),"Parking Lot")</f>
        <v>Parking Lot</v>
      </c>
      <c r="Q185" s="5" t="str">
        <f ca="1">IFERROR(__xludf.DUMMYFUNCTION("""COMPUTED_VALUE"""),"Outside on School Property")</f>
        <v>Outside on School Property</v>
      </c>
      <c r="R185" s="5" t="str">
        <f ca="1">IFERROR(__xludf.DUMMYFUNCTION("""COMPUTED_VALUE"""),"No")</f>
        <v>No</v>
      </c>
      <c r="S185" s="5" t="str">
        <f ca="1">IFERROR(__xludf.DUMMYFUNCTION("""COMPUTED_VALUE"""),"Night")</f>
        <v>Night</v>
      </c>
      <c r="T185" s="10">
        <f ca="1">IFERROR(__xludf.DUMMYFUNCTION("""COMPUTED_VALUE"""),0.472222222222222)</f>
        <v>0.47222222222222199</v>
      </c>
      <c r="U185" s="5">
        <f ca="1">IFERROR(__xludf.DUMMYFUNCTION("""COMPUTED_VALUE"""),1)</f>
        <v>1</v>
      </c>
      <c r="V185" s="5" t="str">
        <f ca="1">IFERROR(__xludf.DUMMYFUNCTION("""COMPUTED_VALUE"""),"Man and woman fatally shot during robbery")</f>
        <v>Man and woman fatally shot during robbery</v>
      </c>
      <c r="W185"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X185" s="5" t="str">
        <f ca="1">IFERROR(__xludf.DUMMYFUNCTION("""COMPUTED_VALUE"""),"Illegal Activity")</f>
        <v>Illegal Activity</v>
      </c>
      <c r="Y185" s="5" t="str">
        <f ca="1">IFERROR(__xludf.DUMMYFUNCTION("""COMPUTED_VALUE"""),"Victims Targeted")</f>
        <v>Victims Targeted</v>
      </c>
      <c r="Z185" s="5" t="str">
        <f ca="1">IFERROR(__xludf.DUMMYFUNCTION("""COMPUTED_VALUE"""),"Yes")</f>
        <v>Yes</v>
      </c>
      <c r="AA185" s="5" t="str">
        <f ca="1">IFERROR(__xludf.DUMMYFUNCTION("""COMPUTED_VALUE"""),"3 men")</f>
        <v>3 men</v>
      </c>
      <c r="AB185" s="5" t="str">
        <f ca="1">IFERROR(__xludf.DUMMYFUNCTION("""COMPUTED_VALUE"""),"No")</f>
        <v>No</v>
      </c>
      <c r="AC185" s="5" t="str">
        <f ca="1">IFERROR(__xludf.DUMMYFUNCTION("""COMPUTED_VALUE"""),"No")</f>
        <v>No</v>
      </c>
      <c r="AD185" s="5" t="str">
        <f ca="1">IFERROR(__xludf.DUMMYFUNCTION("""COMPUTED_VALUE"""),"No")</f>
        <v>No</v>
      </c>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row>
    <row r="186" spans="1:34" ht="12.75">
      <c r="A186" s="5" t="str">
        <f ca="1">IFERROR(__xludf.DUMMYFUNCTION("""COMPUTED_VALUE"""),"20220114MDGAG")</f>
        <v>20220114MDGAG</v>
      </c>
      <c r="B186" s="8">
        <f ca="1">IFERROR(__xludf.DUMMYFUNCTION("""COMPUTED_VALUE"""),44575)</f>
        <v>44575</v>
      </c>
      <c r="C186" s="5" t="str">
        <f ca="1">IFERROR(__xludf.DUMMYFUNCTION("""COMPUTED_VALUE"""),"Gaithersburg High School")</f>
        <v>Gaithersburg High School</v>
      </c>
      <c r="D186" s="5">
        <f ca="1">IFERROR(__xludf.DUMMYFUNCTION("""COMPUTED_VALUE"""),0)</f>
        <v>0</v>
      </c>
      <c r="E186" s="5">
        <f ca="1">IFERROR(__xludf.DUMMYFUNCTION("""COMPUTED_VALUE"""),0)</f>
        <v>0</v>
      </c>
      <c r="F186" s="5">
        <f ca="1">IFERROR(__xludf.DUMMYFUNCTION("""COMPUTED_VALUE"""),0)</f>
        <v>0</v>
      </c>
      <c r="G186" s="5">
        <f ca="1">IFERROR(__xludf.DUMMYFUNCTION("""COMPUTED_VALUE"""),0)</f>
        <v>0</v>
      </c>
      <c r="H186" s="9" t="str">
        <f ca="1">IFERROR(__xludf.DUMMYFUNCTION("""COMPUTED_VALUE"""),"https://www.fox5dc.com/news/man-found-with-gun-at-gaithersburg-high-school-is-second-incident-in-montgomery-county-this-month")</f>
        <v>https://www.fox5dc.com/news/man-found-with-gun-at-gaithersburg-high-school-is-second-incident-in-montgomery-county-this-month</v>
      </c>
      <c r="I186" s="5"/>
      <c r="J186" s="5" t="str">
        <f ca="1">IFERROR(__xludf.DUMMYFUNCTION("""COMPUTED_VALUE"""),"Local")</f>
        <v>Local</v>
      </c>
      <c r="K186" s="5">
        <f ca="1">IFERROR(__xludf.DUMMYFUNCTION("""COMPUTED_VALUE"""),4)</f>
        <v>4</v>
      </c>
      <c r="L186" s="5" t="str">
        <f ca="1">IFERROR(__xludf.DUMMYFUNCTION("""COMPUTED_VALUE"""),"Winter")</f>
        <v>Winter</v>
      </c>
      <c r="M186" s="5" t="str">
        <f ca="1">IFERROR(__xludf.DUMMYFUNCTION("""COMPUTED_VALUE"""),"Gaithersburg")</f>
        <v>Gaithersburg</v>
      </c>
      <c r="N186" s="5" t="str">
        <f ca="1">IFERROR(__xludf.DUMMYFUNCTION("""COMPUTED_VALUE"""),"MD")</f>
        <v>MD</v>
      </c>
      <c r="O186" s="5" t="str">
        <f ca="1">IFERROR(__xludf.DUMMYFUNCTION("""COMPUTED_VALUE"""),"High")</f>
        <v>High</v>
      </c>
      <c r="P186" s="5" t="str">
        <f ca="1">IFERROR(__xludf.DUMMYFUNCTION("""COMPUTED_VALUE"""),"Parking Lot")</f>
        <v>Parking Lot</v>
      </c>
      <c r="Q186" s="5" t="str">
        <f ca="1">IFERROR(__xludf.DUMMYFUNCTION("""COMPUTED_VALUE"""),"Outside on School Property")</f>
        <v>Outside on School Property</v>
      </c>
      <c r="R186" s="5" t="str">
        <f ca="1">IFERROR(__xludf.DUMMYFUNCTION("""COMPUTED_VALUE"""),"Yes")</f>
        <v>Yes</v>
      </c>
      <c r="S186" s="5" t="str">
        <f ca="1">IFERROR(__xludf.DUMMYFUNCTION("""COMPUTED_VALUE"""),"School Start")</f>
        <v>School Start</v>
      </c>
      <c r="T186" s="10">
        <f ca="1">IFERROR(__xludf.DUMMYFUNCTION("""COMPUTED_VALUE"""),0.284722222222222)</f>
        <v>0.28472222222222199</v>
      </c>
      <c r="U186" s="5">
        <f ca="1">IFERROR(__xludf.DUMMYFUNCTION("""COMPUTED_VALUE"""),1)</f>
        <v>1</v>
      </c>
      <c r="V186" s="5" t="str">
        <f ca="1">IFERROR(__xludf.DUMMYFUNCTION("""COMPUTED_VALUE"""),"Man arrested with loaded AR-15 outside of school")</f>
        <v>Man arrested with loaded AR-15 outside of school</v>
      </c>
      <c r="W186"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X186" s="5" t="str">
        <f ca="1">IFERROR(__xludf.DUMMYFUNCTION("""COMPUTED_VALUE"""),"Illegal Activity")</f>
        <v>Illegal Activity</v>
      </c>
      <c r="Y186" s="5"/>
      <c r="Z186" s="5" t="str">
        <f ca="1">IFERROR(__xludf.DUMMYFUNCTION("""COMPUTED_VALUE"""),"No")</f>
        <v>No</v>
      </c>
      <c r="AA186" s="5"/>
      <c r="AB186" s="5" t="str">
        <f ca="1">IFERROR(__xludf.DUMMYFUNCTION("""COMPUTED_VALUE"""),"No")</f>
        <v>No</v>
      </c>
      <c r="AC186" s="5" t="str">
        <f ca="1">IFERROR(__xludf.DUMMYFUNCTION("""COMPUTED_VALUE"""),"No")</f>
        <v>No</v>
      </c>
      <c r="AD186" s="5" t="str">
        <f ca="1">IFERROR(__xludf.DUMMYFUNCTION("""COMPUTED_VALUE"""),"No")</f>
        <v>No</v>
      </c>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row>
    <row r="187" spans="1:34" ht="12.75">
      <c r="A187" s="5" t="str">
        <f ca="1">IFERROR(__xludf.DUMMYFUNCTION("""COMPUTED_VALUE"""),"20220111NMVAA")</f>
        <v>20220111NMVAA</v>
      </c>
      <c r="B187" s="8">
        <f ca="1">IFERROR(__xludf.DUMMYFUNCTION("""COMPUTED_VALUE"""),44572)</f>
        <v>44572</v>
      </c>
      <c r="C187" s="5" t="str">
        <f ca="1">IFERROR(__xludf.DUMMYFUNCTION("""COMPUTED_VALUE"""),"Valley High School")</f>
        <v>Valley High School</v>
      </c>
      <c r="D187" s="5">
        <f ca="1">IFERROR(__xludf.DUMMYFUNCTION("""COMPUTED_VALUE"""),0)</f>
        <v>0</v>
      </c>
      <c r="E187" s="5">
        <f ca="1">IFERROR(__xludf.DUMMYFUNCTION("""COMPUTED_VALUE"""),0)</f>
        <v>0</v>
      </c>
      <c r="F187" s="5">
        <f ca="1">IFERROR(__xludf.DUMMYFUNCTION("""COMPUTED_VALUE"""),0)</f>
        <v>0</v>
      </c>
      <c r="G187" s="5">
        <f ca="1">IFERROR(__xludf.DUMMYFUNCTION("""COMPUTED_VALUE"""),0)</f>
        <v>0</v>
      </c>
      <c r="H187"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I187" s="5">
        <f ca="1">IFERROR(__xludf.DUMMYFUNCTION("""COMPUTED_VALUE"""),4)</f>
        <v>4</v>
      </c>
      <c r="J187" s="5" t="str">
        <f ca="1">IFERROR(__xludf.DUMMYFUNCTION("""COMPUTED_VALUE"""),"Local")</f>
        <v>Local</v>
      </c>
      <c r="K187" s="5">
        <f ca="1">IFERROR(__xludf.DUMMYFUNCTION("""COMPUTED_VALUE"""),4)</f>
        <v>4</v>
      </c>
      <c r="L187" s="5" t="str">
        <f ca="1">IFERROR(__xludf.DUMMYFUNCTION("""COMPUTED_VALUE"""),"Fall")</f>
        <v>Fall</v>
      </c>
      <c r="M187" s="5" t="str">
        <f ca="1">IFERROR(__xludf.DUMMYFUNCTION("""COMPUTED_VALUE"""),"Albuquerque")</f>
        <v>Albuquerque</v>
      </c>
      <c r="N187" s="5" t="str">
        <f ca="1">IFERROR(__xludf.DUMMYFUNCTION("""COMPUTED_VALUE"""),"NM")</f>
        <v>NM</v>
      </c>
      <c r="O187" s="5" t="str">
        <f ca="1">IFERROR(__xludf.DUMMYFUNCTION("""COMPUTED_VALUE"""),"High")</f>
        <v>High</v>
      </c>
      <c r="P187" s="5" t="str">
        <f ca="1">IFERROR(__xludf.DUMMYFUNCTION("""COMPUTED_VALUE"""),"Parking Lot")</f>
        <v>Parking Lot</v>
      </c>
      <c r="Q187" s="5" t="str">
        <f ca="1">IFERROR(__xludf.DUMMYFUNCTION("""COMPUTED_VALUE"""),"Outside on School Property")</f>
        <v>Outside on School Property</v>
      </c>
      <c r="R187" s="5" t="str">
        <f ca="1">IFERROR(__xludf.DUMMYFUNCTION("""COMPUTED_VALUE"""),"No")</f>
        <v>No</v>
      </c>
      <c r="S187" s="5" t="str">
        <f ca="1">IFERROR(__xludf.DUMMYFUNCTION("""COMPUTED_VALUE"""),"Sport Event")</f>
        <v>Sport Event</v>
      </c>
      <c r="T187" s="10">
        <f ca="1">IFERROR(__xludf.DUMMYFUNCTION("""COMPUTED_VALUE"""),0.819444444444444)</f>
        <v>0.81944444444444398</v>
      </c>
      <c r="U187" s="5">
        <f ca="1">IFERROR(__xludf.DUMMYFUNCTION("""COMPUTED_VALUE"""),1)</f>
        <v>1</v>
      </c>
      <c r="V187" s="5" t="str">
        <f ca="1">IFERROR(__xludf.DUMMYFUNCTION("""COMPUTED_VALUE"""),"15 shots fired in parking lot during high school basketball game")</f>
        <v>15 shots fired in parking lot during high school basketball game</v>
      </c>
      <c r="W187"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X187" s="5"/>
      <c r="Y187" s="5"/>
      <c r="Z187" s="5" t="str">
        <f ca="1">IFERROR(__xludf.DUMMYFUNCTION("""COMPUTED_VALUE"""),"No")</f>
        <v>No</v>
      </c>
      <c r="AA187" s="5"/>
      <c r="AB187" s="5" t="str">
        <f ca="1">IFERROR(__xludf.DUMMYFUNCTION("""COMPUTED_VALUE"""),"No")</f>
        <v>No</v>
      </c>
      <c r="AC187" s="5" t="str">
        <f ca="1">IFERROR(__xludf.DUMMYFUNCTION("""COMPUTED_VALUE"""),"No")</f>
        <v>No</v>
      </c>
      <c r="AD187" s="5" t="str">
        <f ca="1">IFERROR(__xludf.DUMMYFUNCTION("""COMPUTED_VALUE"""),"No")</f>
        <v>No</v>
      </c>
      <c r="AE187" s="5" t="str">
        <f ca="1">IFERROR(__xludf.DUMMYFUNCTION("""COMPUTED_VALUE"""),"No")</f>
        <v>No</v>
      </c>
      <c r="AF187" s="5" t="str">
        <f ca="1">IFERROR(__xludf.DUMMYFUNCTION("""COMPUTED_VALUE"""),"No")</f>
        <v>No</v>
      </c>
      <c r="AG187" s="5"/>
      <c r="AH187" s="5" t="str">
        <f ca="1">IFERROR(__xludf.DUMMYFUNCTION("""COMPUTED_VALUE"""),"No")</f>
        <v>No</v>
      </c>
    </row>
    <row r="188" spans="1:34" ht="12.75">
      <c r="A188" s="5" t="str">
        <f ca="1">IFERROR(__xludf.DUMMYFUNCTION("""COMPUTED_VALUE"""),"20220106CAFLS")</f>
        <v>20220106CAFLS</v>
      </c>
      <c r="B188" s="8">
        <f ca="1">IFERROR(__xludf.DUMMYFUNCTION("""COMPUTED_VALUE"""),44567)</f>
        <v>44567</v>
      </c>
      <c r="C188" s="5" t="str">
        <f ca="1">IFERROR(__xludf.DUMMYFUNCTION("""COMPUTED_VALUE"""),"Florin High School")</f>
        <v>Florin High School</v>
      </c>
      <c r="D188" s="5">
        <f ca="1">IFERROR(__xludf.DUMMYFUNCTION("""COMPUTED_VALUE"""),0)</f>
        <v>0</v>
      </c>
      <c r="E188" s="5">
        <f ca="1">IFERROR(__xludf.DUMMYFUNCTION("""COMPUTED_VALUE"""),2)</f>
        <v>2</v>
      </c>
      <c r="F188" s="5">
        <f ca="1">IFERROR(__xludf.DUMMYFUNCTION("""COMPUTED_VALUE"""),2)</f>
        <v>2</v>
      </c>
      <c r="G188" s="5">
        <f ca="1">IFERROR(__xludf.DUMMYFUNCTION("""COMPUTED_VALUE"""),0)</f>
        <v>0</v>
      </c>
      <c r="H188"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I188" s="5">
        <f ca="1">IFERROR(__xludf.DUMMYFUNCTION("""COMPUTED_VALUE"""),10)</f>
        <v>10</v>
      </c>
      <c r="J188" s="5" t="str">
        <f ca="1">IFERROR(__xludf.DUMMYFUNCTION("""COMPUTED_VALUE"""),"Regional")</f>
        <v>Regional</v>
      </c>
      <c r="K188" s="5">
        <f ca="1">IFERROR(__xludf.DUMMYFUNCTION("""COMPUTED_VALUE"""),4)</f>
        <v>4</v>
      </c>
      <c r="L188" s="5" t="str">
        <f ca="1">IFERROR(__xludf.DUMMYFUNCTION("""COMPUTED_VALUE"""),"Winter")</f>
        <v>Winter</v>
      </c>
      <c r="M188" s="5" t="str">
        <f ca="1">IFERROR(__xludf.DUMMYFUNCTION("""COMPUTED_VALUE"""),"Sacramento")</f>
        <v>Sacramento</v>
      </c>
      <c r="N188" s="5" t="str">
        <f ca="1">IFERROR(__xludf.DUMMYFUNCTION("""COMPUTED_VALUE"""),"CA")</f>
        <v>CA</v>
      </c>
      <c r="O188" s="5" t="str">
        <f ca="1">IFERROR(__xludf.DUMMYFUNCTION("""COMPUTED_VALUE"""),"High")</f>
        <v>High</v>
      </c>
      <c r="P188" s="5" t="str">
        <f ca="1">IFERROR(__xludf.DUMMYFUNCTION("""COMPUTED_VALUE"""),"Field (General)")</f>
        <v>Field (General)</v>
      </c>
      <c r="Q188" s="5" t="str">
        <f ca="1">IFERROR(__xludf.DUMMYFUNCTION("""COMPUTED_VALUE"""),"Outside on School Property")</f>
        <v>Outside on School Property</v>
      </c>
      <c r="R188" s="5" t="str">
        <f ca="1">IFERROR(__xludf.DUMMYFUNCTION("""COMPUTED_VALUE"""),"No")</f>
        <v>No</v>
      </c>
      <c r="S188" s="5" t="str">
        <f ca="1">IFERROR(__xludf.DUMMYFUNCTION("""COMPUTED_VALUE"""),"After School")</f>
        <v>After School</v>
      </c>
      <c r="T188" s="10">
        <f ca="1">IFERROR(__xludf.DUMMYFUNCTION("""COMPUTED_VALUE"""),0.652777777777777)</f>
        <v>0.65277777777777701</v>
      </c>
      <c r="U188" s="5">
        <f ca="1">IFERROR(__xludf.DUMMYFUNCTION("""COMPUTED_VALUE"""),1)</f>
        <v>1</v>
      </c>
      <c r="V188" s="5" t="str">
        <f ca="1">IFERROR(__xludf.DUMMYFUNCTION("""COMPUTED_VALUE"""),"Two students shot at the back gate to the school campus")</f>
        <v>Two students shot at the back gate to the school campus</v>
      </c>
      <c r="W188"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X188" s="5" t="str">
        <f ca="1">IFERROR(__xludf.DUMMYFUNCTION("""COMPUTED_VALUE"""),"Escalation of Dispute")</f>
        <v>Escalation of Dispute</v>
      </c>
      <c r="Y188" s="5" t="str">
        <f ca="1">IFERROR(__xludf.DUMMYFUNCTION("""COMPUTED_VALUE"""),"Both")</f>
        <v>Both</v>
      </c>
      <c r="Z188" s="5" t="str">
        <f ca="1">IFERROR(__xludf.DUMMYFUNCTION("""COMPUTED_VALUE"""),"No")</f>
        <v>No</v>
      </c>
      <c r="AA188" s="5"/>
      <c r="AB188" s="5" t="str">
        <f ca="1">IFERROR(__xludf.DUMMYFUNCTION("""COMPUTED_VALUE"""),"No")</f>
        <v>No</v>
      </c>
      <c r="AC188" s="5" t="str">
        <f ca="1">IFERROR(__xludf.DUMMYFUNCTION("""COMPUTED_VALUE"""),"No")</f>
        <v>No</v>
      </c>
      <c r="AD188" s="5" t="str">
        <f ca="1">IFERROR(__xludf.DUMMYFUNCTION("""COMPUTED_VALUE"""),"No")</f>
        <v>No</v>
      </c>
      <c r="AE188" s="5" t="str">
        <f ca="1">IFERROR(__xludf.DUMMYFUNCTION("""COMPUTED_VALUE"""),"No")</f>
        <v>No</v>
      </c>
      <c r="AF188" s="5" t="str">
        <f ca="1">IFERROR(__xludf.DUMMYFUNCTION("""COMPUTED_VALUE"""),"No")</f>
        <v>No</v>
      </c>
      <c r="AG188" s="5"/>
      <c r="AH188" s="5" t="str">
        <f ca="1">IFERROR(__xludf.DUMMYFUNCTION("""COMPUTED_VALUE"""),"No")</f>
        <v>No</v>
      </c>
    </row>
    <row r="189" spans="1:34" ht="12.75">
      <c r="A189" s="5" t="str">
        <f ca="1">IFERROR(__xludf.DUMMYFUNCTION("""COMPUTED_VALUE"""),"20220104ILAUR")</f>
        <v>20220104ILAUR</v>
      </c>
      <c r="B189" s="8">
        <f ca="1">IFERROR(__xludf.DUMMYFUNCTION("""COMPUTED_VALUE"""),44565)</f>
        <v>44565</v>
      </c>
      <c r="C189" s="5" t="str">
        <f ca="1">IFERROR(__xludf.DUMMYFUNCTION("""COMPUTED_VALUE"""),"Auburn High School")</f>
        <v>Auburn High School</v>
      </c>
      <c r="D189" s="5">
        <f ca="1">IFERROR(__xludf.DUMMYFUNCTION("""COMPUTED_VALUE"""),0)</f>
        <v>0</v>
      </c>
      <c r="E189" s="5">
        <f ca="1">IFERROR(__xludf.DUMMYFUNCTION("""COMPUTED_VALUE"""),2)</f>
        <v>2</v>
      </c>
      <c r="F189" s="5">
        <f ca="1">IFERROR(__xludf.DUMMYFUNCTION("""COMPUTED_VALUE"""),2)</f>
        <v>2</v>
      </c>
      <c r="G189" s="5">
        <f ca="1">IFERROR(__xludf.DUMMYFUNCTION("""COMPUTED_VALUE"""),0)</f>
        <v>0</v>
      </c>
      <c r="H189"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I189" s="5">
        <f ca="1">IFERROR(__xludf.DUMMYFUNCTION("""COMPUTED_VALUE"""),50)</f>
        <v>50</v>
      </c>
      <c r="J189" s="5" t="str">
        <f ca="1">IFERROR(__xludf.DUMMYFUNCTION("""COMPUTED_VALUE"""),"National")</f>
        <v>National</v>
      </c>
      <c r="K189" s="5">
        <f ca="1">IFERROR(__xludf.DUMMYFUNCTION("""COMPUTED_VALUE"""),4)</f>
        <v>4</v>
      </c>
      <c r="L189" s="5" t="str">
        <f ca="1">IFERROR(__xludf.DUMMYFUNCTION("""COMPUTED_VALUE"""),"Winter")</f>
        <v>Winter</v>
      </c>
      <c r="M189" s="5" t="str">
        <f ca="1">IFERROR(__xludf.DUMMYFUNCTION("""COMPUTED_VALUE"""),"Rockford")</f>
        <v>Rockford</v>
      </c>
      <c r="N189" s="5" t="str">
        <f ca="1">IFERROR(__xludf.DUMMYFUNCTION("""COMPUTED_VALUE"""),"IL")</f>
        <v>IL</v>
      </c>
      <c r="O189" s="5" t="str">
        <f ca="1">IFERROR(__xludf.DUMMYFUNCTION("""COMPUTED_VALUE"""),"High")</f>
        <v>High</v>
      </c>
      <c r="P189" s="5" t="str">
        <f ca="1">IFERROR(__xludf.DUMMYFUNCTION("""COMPUTED_VALUE"""),"Parking Lot")</f>
        <v>Parking Lot</v>
      </c>
      <c r="Q189" s="5" t="str">
        <f ca="1">IFERROR(__xludf.DUMMYFUNCTION("""COMPUTED_VALUE"""),"Outside on School Property")</f>
        <v>Outside on School Property</v>
      </c>
      <c r="R189" s="5" t="str">
        <f ca="1">IFERROR(__xludf.DUMMYFUNCTION("""COMPUTED_VALUE"""),"Yes")</f>
        <v>Yes</v>
      </c>
      <c r="S189" s="5" t="str">
        <f ca="1">IFERROR(__xludf.DUMMYFUNCTION("""COMPUTED_VALUE"""),"Afternoon Classes")</f>
        <v>Afternoon Classes</v>
      </c>
      <c r="T189" s="10">
        <f ca="1">IFERROR(__xludf.DUMMYFUNCTION("""COMPUTED_VALUE"""),0.576388888888888)</f>
        <v>0.57638888888888795</v>
      </c>
      <c r="U189" s="5">
        <f ca="1">IFERROR(__xludf.DUMMYFUNCTION("""COMPUTED_VALUE"""),1)</f>
        <v>1</v>
      </c>
      <c r="V189" s="5" t="str">
        <f ca="1">IFERROR(__xludf.DUMMYFUNCTION("""COMPUTED_VALUE"""),"Two student shot inside vehicle in school parking lot by 2 other students")</f>
        <v>Two student shot inside vehicle in school parking lot by 2 other students</v>
      </c>
      <c r="W189"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X189" s="5"/>
      <c r="Y189" s="5" t="str">
        <f ca="1">IFERROR(__xludf.DUMMYFUNCTION("""COMPUTED_VALUE"""),"Victims Targeted")</f>
        <v>Victims Targeted</v>
      </c>
      <c r="Z189" s="5" t="str">
        <f ca="1">IFERROR(__xludf.DUMMYFUNCTION("""COMPUTED_VALUE"""),"Yes")</f>
        <v>Yes</v>
      </c>
      <c r="AA189" s="5" t="str">
        <f ca="1">IFERROR(__xludf.DUMMYFUNCTION("""COMPUTED_VALUE"""),"3 students arrested")</f>
        <v>3 students arrested</v>
      </c>
      <c r="AB189" s="5" t="str">
        <f ca="1">IFERROR(__xludf.DUMMYFUNCTION("""COMPUTED_VALUE"""),"No")</f>
        <v>No</v>
      </c>
      <c r="AC189" s="5" t="str">
        <f ca="1">IFERROR(__xludf.DUMMYFUNCTION("""COMPUTED_VALUE"""),"No")</f>
        <v>No</v>
      </c>
      <c r="AD189" s="5" t="str">
        <f ca="1">IFERROR(__xludf.DUMMYFUNCTION("""COMPUTED_VALUE"""),"No")</f>
        <v>No</v>
      </c>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row>
    <row r="190" spans="1:34" ht="12.75">
      <c r="A190" s="5" t="str">
        <f ca="1">IFERROR(__xludf.DUMMYFUNCTION("""COMPUTED_VALUE"""),"20220103WACHP")</f>
        <v>20220103WACHP</v>
      </c>
      <c r="B190" s="8">
        <f ca="1">IFERROR(__xludf.DUMMYFUNCTION("""COMPUTED_VALUE"""),44564)</f>
        <v>44564</v>
      </c>
      <c r="C190" s="5" t="str">
        <f ca="1">IFERROR(__xludf.DUMMYFUNCTION("""COMPUTED_VALUE"""),"Childpeace Montessori School")</f>
        <v>Childpeace Montessori School</v>
      </c>
      <c r="D190" s="5">
        <f ca="1">IFERROR(__xludf.DUMMYFUNCTION("""COMPUTED_VALUE"""),0)</f>
        <v>0</v>
      </c>
      <c r="E190" s="5">
        <f ca="1">IFERROR(__xludf.DUMMYFUNCTION("""COMPUTED_VALUE"""),0)</f>
        <v>0</v>
      </c>
      <c r="F190" s="5">
        <f ca="1">IFERROR(__xludf.DUMMYFUNCTION("""COMPUTED_VALUE"""),0)</f>
        <v>0</v>
      </c>
      <c r="G190" s="5">
        <f ca="1">IFERROR(__xludf.DUMMYFUNCTION("""COMPUTED_VALUE"""),0)</f>
        <v>0</v>
      </c>
      <c r="H190"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I190" s="5">
        <f ca="1">IFERROR(__xludf.DUMMYFUNCTION("""COMPUTED_VALUE"""),4)</f>
        <v>4</v>
      </c>
      <c r="J190" s="5" t="str">
        <f ca="1">IFERROR(__xludf.DUMMYFUNCTION("""COMPUTED_VALUE"""),"Local")</f>
        <v>Local</v>
      </c>
      <c r="K190" s="5">
        <f ca="1">IFERROR(__xludf.DUMMYFUNCTION("""COMPUTED_VALUE"""),4)</f>
        <v>4</v>
      </c>
      <c r="L190" s="5" t="str">
        <f ca="1">IFERROR(__xludf.DUMMYFUNCTION("""COMPUTED_VALUE"""),"Winter")</f>
        <v>Winter</v>
      </c>
      <c r="M190" s="5" t="str">
        <f ca="1">IFERROR(__xludf.DUMMYFUNCTION("""COMPUTED_VALUE"""),"Portland")</f>
        <v>Portland</v>
      </c>
      <c r="N190" s="5" t="str">
        <f ca="1">IFERROR(__xludf.DUMMYFUNCTION("""COMPUTED_VALUE"""),"OR")</f>
        <v>OR</v>
      </c>
      <c r="O190" s="5" t="str">
        <f ca="1">IFERROR(__xludf.DUMMYFUNCTION("""COMPUTED_VALUE"""),"K-8")</f>
        <v>K-8</v>
      </c>
      <c r="P190" s="5" t="str">
        <f ca="1">IFERROR(__xludf.DUMMYFUNCTION("""COMPUTED_VALUE"""),"Front of School")</f>
        <v>Front of School</v>
      </c>
      <c r="Q190" s="5" t="str">
        <f ca="1">IFERROR(__xludf.DUMMYFUNCTION("""COMPUTED_VALUE"""),"Off School Property")</f>
        <v>Off School Property</v>
      </c>
      <c r="R190" s="5" t="str">
        <f ca="1">IFERROR(__xludf.DUMMYFUNCTION("""COMPUTED_VALUE"""),"Yes")</f>
        <v>Yes</v>
      </c>
      <c r="S190" s="5" t="str">
        <f ca="1">IFERROR(__xludf.DUMMYFUNCTION("""COMPUTED_VALUE"""),"Afternoon Classes")</f>
        <v>Afternoon Classes</v>
      </c>
      <c r="T190" s="10">
        <f ca="1">IFERROR(__xludf.DUMMYFUNCTION("""COMPUTED_VALUE"""),0.541666666666666)</f>
        <v>0.54166666666666596</v>
      </c>
      <c r="U190" s="5">
        <f ca="1">IFERROR(__xludf.DUMMYFUNCTION("""COMPUTED_VALUE"""),1)</f>
        <v>1</v>
      </c>
      <c r="V190" s="5" t="str">
        <f ca="1">IFERROR(__xludf.DUMMYFUNCTION("""COMPUTED_VALUE"""),"Shots fired from a vehicle in front of the school")</f>
        <v>Shots fired from a vehicle in front of the school</v>
      </c>
      <c r="W190"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X190" s="5" t="str">
        <f ca="1">IFERROR(__xludf.DUMMYFUNCTION("""COMPUTED_VALUE"""),"Drive-by Shooting")</f>
        <v>Drive-by Shooting</v>
      </c>
      <c r="Y190" s="5" t="str">
        <f ca="1">IFERROR(__xludf.DUMMYFUNCTION("""COMPUTED_VALUE"""),"Random Shooting")</f>
        <v>Random Shooting</v>
      </c>
      <c r="Z190" s="5" t="str">
        <f ca="1">IFERROR(__xludf.DUMMYFUNCTION("""COMPUTED_VALUE"""),"No")</f>
        <v>No</v>
      </c>
      <c r="AA190" s="5"/>
      <c r="AB190" s="5" t="str">
        <f ca="1">IFERROR(__xludf.DUMMYFUNCTION("""COMPUTED_VALUE"""),"No")</f>
        <v>No</v>
      </c>
      <c r="AC190" s="5" t="str">
        <f ca="1">IFERROR(__xludf.DUMMYFUNCTION("""COMPUTED_VALUE"""),"No")</f>
        <v>No</v>
      </c>
      <c r="AD190" s="5" t="str">
        <f ca="1">IFERROR(__xludf.DUMMYFUNCTION("""COMPUTED_VALUE"""),"No")</f>
        <v>No</v>
      </c>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row>
    <row r="191" spans="1:34" ht="12.75">
      <c r="A191" s="5" t="str">
        <f ca="1">IFERROR(__xludf.DUMMYFUNCTION("""COMPUTED_VALUE"""),"20220103OHCOC")</f>
        <v>20220103OHCOC</v>
      </c>
      <c r="B191" s="8">
        <f ca="1">IFERROR(__xludf.DUMMYFUNCTION("""COMPUTED_VALUE"""),44564)</f>
        <v>44564</v>
      </c>
      <c r="C191" s="5" t="str">
        <f ca="1">IFERROR(__xludf.DUMMYFUNCTION("""COMPUTED_VALUE"""),"Columbus School Bus")</f>
        <v>Columbus School Bus</v>
      </c>
      <c r="D191" s="5">
        <f ca="1">IFERROR(__xludf.DUMMYFUNCTION("""COMPUTED_VALUE"""),0)</f>
        <v>0</v>
      </c>
      <c r="E191" s="5">
        <f ca="1">IFERROR(__xludf.DUMMYFUNCTION("""COMPUTED_VALUE"""),0)</f>
        <v>0</v>
      </c>
      <c r="F191" s="5">
        <f ca="1">IFERROR(__xludf.DUMMYFUNCTION("""COMPUTED_VALUE"""),0)</f>
        <v>0</v>
      </c>
      <c r="G191" s="5">
        <f ca="1">IFERROR(__xludf.DUMMYFUNCTION("""COMPUTED_VALUE"""),0)</f>
        <v>0</v>
      </c>
      <c r="H191" s="9" t="str">
        <f ca="1">IFERROR(__xludf.DUMMYFUNCTION("""COMPUTED_VALUE"""),"https://www.10tv.com/article/news/local/columbus-school-bus-hit-gunfire-i-670/530-4688dd7c-6ed3-4e46-9ac9-284f273997c6")</f>
        <v>https://www.10tv.com/article/news/local/columbus-school-bus-hit-gunfire-i-670/530-4688dd7c-6ed3-4e46-9ac9-284f273997c6</v>
      </c>
      <c r="I191" s="5">
        <f ca="1">IFERROR(__xludf.DUMMYFUNCTION("""COMPUTED_VALUE"""),1)</f>
        <v>1</v>
      </c>
      <c r="J191" s="5" t="str">
        <f ca="1">IFERROR(__xludf.DUMMYFUNCTION("""COMPUTED_VALUE"""),"Local")</f>
        <v>Local</v>
      </c>
      <c r="K191" s="5">
        <f ca="1">IFERROR(__xludf.DUMMYFUNCTION("""COMPUTED_VALUE"""),3)</f>
        <v>3</v>
      </c>
      <c r="L191" s="5" t="str">
        <f ca="1">IFERROR(__xludf.DUMMYFUNCTION("""COMPUTED_VALUE"""),"Winter")</f>
        <v>Winter</v>
      </c>
      <c r="M191" s="5" t="str">
        <f ca="1">IFERROR(__xludf.DUMMYFUNCTION("""COMPUTED_VALUE"""),"Columbus")</f>
        <v>Columbus</v>
      </c>
      <c r="N191" s="5" t="str">
        <f ca="1">IFERROR(__xludf.DUMMYFUNCTION("""COMPUTED_VALUE"""),"OH")</f>
        <v>OH</v>
      </c>
      <c r="O191" s="5"/>
      <c r="P191" s="5" t="str">
        <f ca="1">IFERROR(__xludf.DUMMYFUNCTION("""COMPUTED_VALUE"""),"School Bus")</f>
        <v>School Bus</v>
      </c>
      <c r="Q191" s="5" t="str">
        <f ca="1">IFERROR(__xludf.DUMMYFUNCTION("""COMPUTED_VALUE"""),"School Bus")</f>
        <v>School Bus</v>
      </c>
      <c r="R191" s="5" t="str">
        <f ca="1">IFERROR(__xludf.DUMMYFUNCTION("""COMPUTED_VALUE"""),"Yes")</f>
        <v>Yes</v>
      </c>
      <c r="S191" s="5" t="str">
        <f ca="1">IFERROR(__xludf.DUMMYFUNCTION("""COMPUTED_VALUE"""),"Before School")</f>
        <v>Before School</v>
      </c>
      <c r="T191" s="10">
        <f ca="1">IFERROR(__xludf.DUMMYFUNCTION("""COMPUTED_VALUE"""),0.236111111111111)</f>
        <v>0.23611111111111099</v>
      </c>
      <c r="U191" s="5">
        <f ca="1">IFERROR(__xludf.DUMMYFUNCTION("""COMPUTED_VALUE"""),1)</f>
        <v>1</v>
      </c>
      <c r="V191" s="5" t="str">
        <f ca="1">IFERROR(__xludf.DUMMYFUNCTION("""COMPUTED_VALUE"""),"School bus struck by bullet while driving")</f>
        <v>School bus struck by bullet while driving</v>
      </c>
      <c r="W191"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X191" s="5"/>
      <c r="Y191" s="5"/>
      <c r="Z191" s="5" t="str">
        <f ca="1">IFERROR(__xludf.DUMMYFUNCTION("""COMPUTED_VALUE"""),"No")</f>
        <v>No</v>
      </c>
      <c r="AA191" s="5"/>
      <c r="AB191" s="5" t="str">
        <f ca="1">IFERROR(__xludf.DUMMYFUNCTION("""COMPUTED_VALUE"""),"No")</f>
        <v>No</v>
      </c>
      <c r="AC191" s="5" t="str">
        <f ca="1">IFERROR(__xludf.DUMMYFUNCTION("""COMPUTED_VALUE"""),"No")</f>
        <v>No</v>
      </c>
      <c r="AD191" s="5" t="str">
        <f ca="1">IFERROR(__xludf.DUMMYFUNCTION("""COMPUTED_VALUE"""),"No")</f>
        <v>No</v>
      </c>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row>
    <row r="192" spans="1:34" ht="12.75">
      <c r="A192" s="5" t="str">
        <f ca="1">IFERROR(__xludf.DUMMYFUNCTION("""COMPUTED_VALUE"""),"20211229NCCAS")</f>
        <v>20211229NCCAS</v>
      </c>
      <c r="B192" s="8">
        <f ca="1">IFERROR(__xludf.DUMMYFUNCTION("""COMPUTED_VALUE"""),44559)</f>
        <v>44559</v>
      </c>
      <c r="C192" s="5" t="str">
        <f ca="1">IFERROR(__xludf.DUMMYFUNCTION("""COMPUTED_VALUE"""),"Catawba College (high school tournament)")</f>
        <v>Catawba College (high school tournament)</v>
      </c>
      <c r="D192" s="5">
        <f ca="1">IFERROR(__xludf.DUMMYFUNCTION("""COMPUTED_VALUE"""),0)</f>
        <v>0</v>
      </c>
      <c r="E192" s="5">
        <f ca="1">IFERROR(__xludf.DUMMYFUNCTION("""COMPUTED_VALUE"""),2)</f>
        <v>2</v>
      </c>
      <c r="F192" s="5">
        <f ca="1">IFERROR(__xludf.DUMMYFUNCTION("""COMPUTED_VALUE"""),2)</f>
        <v>2</v>
      </c>
      <c r="G192" s="5">
        <f ca="1">IFERROR(__xludf.DUMMYFUNCTION("""COMPUTED_VALUE"""),0)</f>
        <v>0</v>
      </c>
      <c r="H192"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I192" s="5">
        <f ca="1">IFERROR(__xludf.DUMMYFUNCTION("""COMPUTED_VALUE"""),20)</f>
        <v>20</v>
      </c>
      <c r="J192" s="5" t="str">
        <f ca="1">IFERROR(__xludf.DUMMYFUNCTION("""COMPUTED_VALUE"""),"Regional")</f>
        <v>Regional</v>
      </c>
      <c r="K192" s="5">
        <f ca="1">IFERROR(__xludf.DUMMYFUNCTION("""COMPUTED_VALUE"""),4)</f>
        <v>4</v>
      </c>
      <c r="L192" s="5" t="str">
        <f ca="1">IFERROR(__xludf.DUMMYFUNCTION("""COMPUTED_VALUE"""),"Winter")</f>
        <v>Winter</v>
      </c>
      <c r="M192" s="5" t="str">
        <f ca="1">IFERROR(__xludf.DUMMYFUNCTION("""COMPUTED_VALUE"""),"Salisbury")</f>
        <v>Salisbury</v>
      </c>
      <c r="N192" s="5" t="str">
        <f ca="1">IFERROR(__xludf.DUMMYFUNCTION("""COMPUTED_VALUE"""),"NC")</f>
        <v>NC</v>
      </c>
      <c r="O192" s="5" t="str">
        <f ca="1">IFERROR(__xludf.DUMMYFUNCTION("""COMPUTED_VALUE"""),"High")</f>
        <v>High</v>
      </c>
      <c r="P192" s="5" t="str">
        <f ca="1">IFERROR(__xludf.DUMMYFUNCTION("""COMPUTED_VALUE"""),"Gym")</f>
        <v>Gym</v>
      </c>
      <c r="Q192" s="5" t="str">
        <f ca="1">IFERROR(__xludf.DUMMYFUNCTION("""COMPUTED_VALUE"""),"Inside School Building")</f>
        <v>Inside School Building</v>
      </c>
      <c r="R192" s="5" t="str">
        <f ca="1">IFERROR(__xludf.DUMMYFUNCTION("""COMPUTED_VALUE"""),"No")</f>
        <v>No</v>
      </c>
      <c r="S192" s="5" t="str">
        <f ca="1">IFERROR(__xludf.DUMMYFUNCTION("""COMPUTED_VALUE"""),"Sport Event")</f>
        <v>Sport Event</v>
      </c>
      <c r="T192" s="10">
        <f ca="1">IFERROR(__xludf.DUMMYFUNCTION("""COMPUTED_VALUE"""),0.84375)</f>
        <v>0.84375</v>
      </c>
      <c r="U192" s="5">
        <f ca="1">IFERROR(__xludf.DUMMYFUNCTION("""COMPUTED_VALUE"""),1)</f>
        <v>1</v>
      </c>
      <c r="V192" s="5" t="str">
        <f ca="1">IFERROR(__xludf.DUMMYFUNCTION("""COMPUTED_VALUE"""),"Two teens shot during fight in entryway to gym")</f>
        <v>Two teens shot during fight in entryway to gym</v>
      </c>
      <c r="W192"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X192" s="5" t="str">
        <f ca="1">IFERROR(__xludf.DUMMYFUNCTION("""COMPUTED_VALUE"""),"Escalation of Dispute")</f>
        <v>Escalation of Dispute</v>
      </c>
      <c r="Y192" s="5" t="str">
        <f ca="1">IFERROR(__xludf.DUMMYFUNCTION("""COMPUTED_VALUE"""),"Victims Targeted")</f>
        <v>Victims Targeted</v>
      </c>
      <c r="Z192" s="5" t="str">
        <f ca="1">IFERROR(__xludf.DUMMYFUNCTION("""COMPUTED_VALUE"""),"Yes")</f>
        <v>Yes</v>
      </c>
      <c r="AA192" s="5" t="str">
        <f ca="1">IFERROR(__xludf.DUMMYFUNCTION("""COMPUTED_VALUE"""),"Two teens fired shots")</f>
        <v>Two teens fired shots</v>
      </c>
      <c r="AB192" s="5" t="str">
        <f ca="1">IFERROR(__xludf.DUMMYFUNCTION("""COMPUTED_VALUE"""),"No")</f>
        <v>No</v>
      </c>
      <c r="AC192" s="5" t="str">
        <f ca="1">IFERROR(__xludf.DUMMYFUNCTION("""COMPUTED_VALUE"""),"No")</f>
        <v>No</v>
      </c>
      <c r="AD192" s="5" t="str">
        <f ca="1">IFERROR(__xludf.DUMMYFUNCTION("""COMPUTED_VALUE"""),"No")</f>
        <v>No</v>
      </c>
      <c r="AE192" s="5" t="str">
        <f ca="1">IFERROR(__xludf.DUMMYFUNCTION("""COMPUTED_VALUE"""),"No")</f>
        <v>No</v>
      </c>
      <c r="AF192" s="5" t="str">
        <f ca="1">IFERROR(__xludf.DUMMYFUNCTION("""COMPUTED_VALUE"""),"No")</f>
        <v>No</v>
      </c>
      <c r="AG192" s="5"/>
      <c r="AH192" s="5" t="str">
        <f ca="1">IFERROR(__xludf.DUMMYFUNCTION("""COMPUTED_VALUE"""),"No")</f>
        <v>No</v>
      </c>
    </row>
    <row r="193" spans="1:34" ht="12.75">
      <c r="A193" s="5" t="str">
        <f ca="1">IFERROR(__xludf.DUMMYFUNCTION("""COMPUTED_VALUE"""),"20211217TXWOD")</f>
        <v>20211217TXWOD</v>
      </c>
      <c r="B193" s="8">
        <f ca="1">IFERROR(__xludf.DUMMYFUNCTION("""COMPUTED_VALUE"""),44547)</f>
        <v>44547</v>
      </c>
      <c r="C193" s="5" t="str">
        <f ca="1">IFERROR(__xludf.DUMMYFUNCTION("""COMPUTED_VALUE"""),"Woodrow Wilson Junior High")</f>
        <v>Woodrow Wilson Junior High</v>
      </c>
      <c r="D193" s="5">
        <f ca="1">IFERROR(__xludf.DUMMYFUNCTION("""COMPUTED_VALUE"""),0)</f>
        <v>0</v>
      </c>
      <c r="E193" s="5">
        <f ca="1">IFERROR(__xludf.DUMMYFUNCTION("""COMPUTED_VALUE"""),0)</f>
        <v>0</v>
      </c>
      <c r="F193" s="5">
        <f ca="1">IFERROR(__xludf.DUMMYFUNCTION("""COMPUTED_VALUE"""),0)</f>
        <v>0</v>
      </c>
      <c r="G193" s="5">
        <f ca="1">IFERROR(__xludf.DUMMYFUNCTION("""COMPUTED_VALUE"""),0)</f>
        <v>0</v>
      </c>
      <c r="H193"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I193" s="5">
        <f ca="1">IFERROR(__xludf.DUMMYFUNCTION("""COMPUTED_VALUE"""),10)</f>
        <v>10</v>
      </c>
      <c r="J193" s="5" t="str">
        <f ca="1">IFERROR(__xludf.DUMMYFUNCTION("""COMPUTED_VALUE"""),"National")</f>
        <v>National</v>
      </c>
      <c r="K193" s="5">
        <f ca="1">IFERROR(__xludf.DUMMYFUNCTION("""COMPUTED_VALUE"""),4)</f>
        <v>4</v>
      </c>
      <c r="L193" s="5" t="str">
        <f ca="1">IFERROR(__xludf.DUMMYFUNCTION("""COMPUTED_VALUE"""),"Fall")</f>
        <v>Fall</v>
      </c>
      <c r="M193" s="5" t="str">
        <f ca="1">IFERROR(__xludf.DUMMYFUNCTION("""COMPUTED_VALUE"""),"Dayton")</f>
        <v>Dayton</v>
      </c>
      <c r="N193" s="5" t="str">
        <f ca="1">IFERROR(__xludf.DUMMYFUNCTION("""COMPUTED_VALUE"""),"TX")</f>
        <v>TX</v>
      </c>
      <c r="O193" s="5" t="str">
        <f ca="1">IFERROR(__xludf.DUMMYFUNCTION("""COMPUTED_VALUE"""),"High")</f>
        <v>High</v>
      </c>
      <c r="P193" s="5" t="str">
        <f ca="1">IFERROR(__xludf.DUMMYFUNCTION("""COMPUTED_VALUE"""),"School Bus")</f>
        <v>School Bus</v>
      </c>
      <c r="Q193" s="5" t="str">
        <f ca="1">IFERROR(__xludf.DUMMYFUNCTION("""COMPUTED_VALUE"""),"School Bus")</f>
        <v>School Bus</v>
      </c>
      <c r="R193" s="5" t="str">
        <f ca="1">IFERROR(__xludf.DUMMYFUNCTION("""COMPUTED_VALUE"""),"Yes")</f>
        <v>Yes</v>
      </c>
      <c r="S193" s="5" t="str">
        <f ca="1">IFERROR(__xludf.DUMMYFUNCTION("""COMPUTED_VALUE"""),"Dismissal")</f>
        <v>Dismissal</v>
      </c>
      <c r="T193" s="10">
        <f ca="1">IFERROR(__xludf.DUMMYFUNCTION("""COMPUTED_VALUE"""),0.625)</f>
        <v>0.625</v>
      </c>
      <c r="U193" s="5">
        <f ca="1">IFERROR(__xludf.DUMMYFUNCTION("""COMPUTED_VALUE"""),1)</f>
        <v>1</v>
      </c>
      <c r="V193" s="5" t="str">
        <f ca="1">IFERROR(__xludf.DUMMYFUNCTION("""COMPUTED_VALUE"""),"Student in vehicle pointed BB rifle at school bus causing panic aboard")</f>
        <v>Student in vehicle pointed BB rifle at school bus causing panic aboard</v>
      </c>
      <c r="W193" s="5"/>
      <c r="X193" s="5" t="str">
        <f ca="1">IFERROR(__xludf.DUMMYFUNCTION("""COMPUTED_VALUE"""),"Drive-by Shooting")</f>
        <v>Drive-by Shooting</v>
      </c>
      <c r="Y193" s="5" t="str">
        <f ca="1">IFERROR(__xludf.DUMMYFUNCTION("""COMPUTED_VALUE"""),"Neither")</f>
        <v>Neither</v>
      </c>
      <c r="Z193" s="5" t="str">
        <f ca="1">IFERROR(__xludf.DUMMYFUNCTION("""COMPUTED_VALUE"""),"Yes")</f>
        <v>Yes</v>
      </c>
      <c r="AA193" s="5" t="str">
        <f ca="1">IFERROR(__xludf.DUMMYFUNCTION("""COMPUTED_VALUE"""),"Vehicle driver")</f>
        <v>Vehicle driver</v>
      </c>
      <c r="AB193" s="5" t="str">
        <f ca="1">IFERROR(__xludf.DUMMYFUNCTION("""COMPUTED_VALUE"""),"No")</f>
        <v>No</v>
      </c>
      <c r="AC193" s="5" t="str">
        <f ca="1">IFERROR(__xludf.DUMMYFUNCTION("""COMPUTED_VALUE"""),"No")</f>
        <v>No</v>
      </c>
      <c r="AD193" s="5" t="str">
        <f ca="1">IFERROR(__xludf.DUMMYFUNCTION("""COMPUTED_VALUE"""),"No")</f>
        <v>No</v>
      </c>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row>
    <row r="194" spans="1:34" ht="12.75">
      <c r="A194" s="5" t="str">
        <f ca="1">IFERROR(__xludf.DUMMYFUNCTION("""COMPUTED_VALUE"""),"20211216SCEAC")</f>
        <v>20211216SCEAC</v>
      </c>
      <c r="B194" s="8">
        <f ca="1">IFERROR(__xludf.DUMMYFUNCTION("""COMPUTED_VALUE"""),44546)</f>
        <v>44546</v>
      </c>
      <c r="C194" s="5" t="str">
        <f ca="1">IFERROR(__xludf.DUMMYFUNCTION("""COMPUTED_VALUE"""),"Eau Claire High School")</f>
        <v>Eau Claire High School</v>
      </c>
      <c r="D194" s="5">
        <f ca="1">IFERROR(__xludf.DUMMYFUNCTION("""COMPUTED_VALUE"""),0)</f>
        <v>0</v>
      </c>
      <c r="E194" s="5">
        <f ca="1">IFERROR(__xludf.DUMMYFUNCTION("""COMPUTED_VALUE"""),0)</f>
        <v>0</v>
      </c>
      <c r="F194" s="5">
        <f ca="1">IFERROR(__xludf.DUMMYFUNCTION("""COMPUTED_VALUE"""),0)</f>
        <v>0</v>
      </c>
      <c r="G194" s="5">
        <f ca="1">IFERROR(__xludf.DUMMYFUNCTION("""COMPUTED_VALUE"""),0)</f>
        <v>0</v>
      </c>
      <c r="H194"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I194" s="5">
        <f ca="1">IFERROR(__xludf.DUMMYFUNCTION("""COMPUTED_VALUE"""),5)</f>
        <v>5</v>
      </c>
      <c r="J194" s="5" t="str">
        <f ca="1">IFERROR(__xludf.DUMMYFUNCTION("""COMPUTED_VALUE"""),"Local")</f>
        <v>Local</v>
      </c>
      <c r="K194" s="5">
        <f ca="1">IFERROR(__xludf.DUMMYFUNCTION("""COMPUTED_VALUE"""),4)</f>
        <v>4</v>
      </c>
      <c r="L194" s="5" t="str">
        <f ca="1">IFERROR(__xludf.DUMMYFUNCTION("""COMPUTED_VALUE"""),"Winter")</f>
        <v>Winter</v>
      </c>
      <c r="M194" s="5" t="str">
        <f ca="1">IFERROR(__xludf.DUMMYFUNCTION("""COMPUTED_VALUE"""),"Columbia")</f>
        <v>Columbia</v>
      </c>
      <c r="N194" s="5" t="str">
        <f ca="1">IFERROR(__xludf.DUMMYFUNCTION("""COMPUTED_VALUE"""),"SC")</f>
        <v>SC</v>
      </c>
      <c r="O194" s="5" t="str">
        <f ca="1">IFERROR(__xludf.DUMMYFUNCTION("""COMPUTED_VALUE"""),"High")</f>
        <v>High</v>
      </c>
      <c r="P194" s="5" t="str">
        <f ca="1">IFERROR(__xludf.DUMMYFUNCTION("""COMPUTED_VALUE"""),"Parking Lot")</f>
        <v>Parking Lot</v>
      </c>
      <c r="Q194" s="5" t="str">
        <f ca="1">IFERROR(__xludf.DUMMYFUNCTION("""COMPUTED_VALUE"""),"Outside on School Property")</f>
        <v>Outside on School Property</v>
      </c>
      <c r="R194" s="5" t="str">
        <f ca="1">IFERROR(__xludf.DUMMYFUNCTION("""COMPUTED_VALUE"""),"Yes")</f>
        <v>Yes</v>
      </c>
      <c r="S194" s="5" t="str">
        <f ca="1">IFERROR(__xludf.DUMMYFUNCTION("""COMPUTED_VALUE"""),"Dismissal")</f>
        <v>Dismissal</v>
      </c>
      <c r="T194" s="10">
        <f ca="1">IFERROR(__xludf.DUMMYFUNCTION("""COMPUTED_VALUE"""),0.625)</f>
        <v>0.625</v>
      </c>
      <c r="U194" s="5">
        <f ca="1">IFERROR(__xludf.DUMMYFUNCTION("""COMPUTED_VALUE"""),1)</f>
        <v>1</v>
      </c>
      <c r="V194" s="5" t="str">
        <f ca="1">IFERROR(__xludf.DUMMYFUNCTION("""COMPUTED_VALUE"""),"Student fired shots during dismissal then fled")</f>
        <v>Student fired shots during dismissal then fled</v>
      </c>
      <c r="W194"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X194" s="5" t="str">
        <f ca="1">IFERROR(__xludf.DUMMYFUNCTION("""COMPUTED_VALUE"""),"Escalation of Dispute")</f>
        <v>Escalation of Dispute</v>
      </c>
      <c r="Y194" s="5" t="str">
        <f ca="1">IFERROR(__xludf.DUMMYFUNCTION("""COMPUTED_VALUE"""),"Victims Targeted")</f>
        <v>Victims Targeted</v>
      </c>
      <c r="Z194" s="5" t="str">
        <f ca="1">IFERROR(__xludf.DUMMYFUNCTION("""COMPUTED_VALUE"""),"No")</f>
        <v>No</v>
      </c>
      <c r="AA194" s="5"/>
      <c r="AB194" s="5" t="str">
        <f ca="1">IFERROR(__xludf.DUMMYFUNCTION("""COMPUTED_VALUE"""),"No")</f>
        <v>No</v>
      </c>
      <c r="AC194" s="5" t="str">
        <f ca="1">IFERROR(__xludf.DUMMYFUNCTION("""COMPUTED_VALUE"""),"No")</f>
        <v>No</v>
      </c>
      <c r="AD194" s="5" t="str">
        <f ca="1">IFERROR(__xludf.DUMMYFUNCTION("""COMPUTED_VALUE"""),"No")</f>
        <v>No</v>
      </c>
      <c r="AE194" s="5"/>
      <c r="AF194" s="5" t="str">
        <f ca="1">IFERROR(__xludf.DUMMYFUNCTION("""COMPUTED_VALUE"""),"No")</f>
        <v>No</v>
      </c>
      <c r="AG194" s="5"/>
      <c r="AH194" s="5" t="str">
        <f ca="1">IFERROR(__xludf.DUMMYFUNCTION("""COMPUTED_VALUE"""),"No")</f>
        <v>No</v>
      </c>
    </row>
    <row r="195" spans="1:34" ht="12.75">
      <c r="A195" s="5" t="str">
        <f ca="1">IFERROR(__xludf.DUMMYFUNCTION("""COMPUTED_VALUE"""),"20211216NYPSB")</f>
        <v>20211216NYPSB</v>
      </c>
      <c r="B195" s="8">
        <f ca="1">IFERROR(__xludf.DUMMYFUNCTION("""COMPUTED_VALUE"""),44546)</f>
        <v>44546</v>
      </c>
      <c r="C195" s="5" t="str">
        <f ca="1">IFERROR(__xludf.DUMMYFUNCTION("""COMPUTED_VALUE"""),"P.S. 026 Jesse Owens")</f>
        <v>P.S. 026 Jesse Owens</v>
      </c>
      <c r="D195" s="5">
        <f ca="1">IFERROR(__xludf.DUMMYFUNCTION("""COMPUTED_VALUE"""),0)</f>
        <v>0</v>
      </c>
      <c r="E195" s="5">
        <f ca="1">IFERROR(__xludf.DUMMYFUNCTION("""COMPUTED_VALUE"""),0)</f>
        <v>0</v>
      </c>
      <c r="F195" s="5">
        <f ca="1">IFERROR(__xludf.DUMMYFUNCTION("""COMPUTED_VALUE"""),0)</f>
        <v>0</v>
      </c>
      <c r="G195" s="5">
        <f ca="1">IFERROR(__xludf.DUMMYFUNCTION("""COMPUTED_VALUE"""),0)</f>
        <v>0</v>
      </c>
      <c r="H195" s="9" t="str">
        <f ca="1">IFERROR(__xludf.DUMMYFUNCTION("""COMPUTED_VALUE"""),"https://bronx.news12.com/nypd-shots-fired-outside-of-p-s-26-in-brooklyn-no-injuries-reported")</f>
        <v>https://bronx.news12.com/nypd-shots-fired-outside-of-p-s-26-in-brooklyn-no-injuries-reported</v>
      </c>
      <c r="I195" s="5">
        <f ca="1">IFERROR(__xludf.DUMMYFUNCTION("""COMPUTED_VALUE"""),1)</f>
        <v>1</v>
      </c>
      <c r="J195" s="5" t="str">
        <f ca="1">IFERROR(__xludf.DUMMYFUNCTION("""COMPUTED_VALUE"""),"Local")</f>
        <v>Local</v>
      </c>
      <c r="K195" s="5">
        <f ca="1">IFERROR(__xludf.DUMMYFUNCTION("""COMPUTED_VALUE"""),3)</f>
        <v>3</v>
      </c>
      <c r="L195" s="5" t="str">
        <f ca="1">IFERROR(__xludf.DUMMYFUNCTION("""COMPUTED_VALUE"""),"Winter")</f>
        <v>Winter</v>
      </c>
      <c r="M195" s="5" t="str">
        <f ca="1">IFERROR(__xludf.DUMMYFUNCTION("""COMPUTED_VALUE"""),"Brooklyn")</f>
        <v>Brooklyn</v>
      </c>
      <c r="N195" s="5" t="str">
        <f ca="1">IFERROR(__xludf.DUMMYFUNCTION("""COMPUTED_VALUE"""),"NY")</f>
        <v>NY</v>
      </c>
      <c r="O195" s="5" t="str">
        <f ca="1">IFERROR(__xludf.DUMMYFUNCTION("""COMPUTED_VALUE"""),"Elementary")</f>
        <v>Elementary</v>
      </c>
      <c r="P195" s="5" t="str">
        <f ca="1">IFERROR(__xludf.DUMMYFUNCTION("""COMPUTED_VALUE"""),"Front of School")</f>
        <v>Front of School</v>
      </c>
      <c r="Q195" s="5" t="str">
        <f ca="1">IFERROR(__xludf.DUMMYFUNCTION("""COMPUTED_VALUE"""),"Outside on School Property")</f>
        <v>Outside on School Property</v>
      </c>
      <c r="R195" s="5" t="str">
        <f ca="1">IFERROR(__xludf.DUMMYFUNCTION("""COMPUTED_VALUE"""),"Yes")</f>
        <v>Yes</v>
      </c>
      <c r="S195" s="5" t="str">
        <f ca="1">IFERROR(__xludf.DUMMYFUNCTION("""COMPUTED_VALUE"""),"Morning Classes")</f>
        <v>Morning Classes</v>
      </c>
      <c r="T195" s="10">
        <f ca="1">IFERROR(__xludf.DUMMYFUNCTION("""COMPUTED_VALUE"""),0.371527777777777)</f>
        <v>0.37152777777777701</v>
      </c>
      <c r="U195" s="5">
        <f ca="1">IFERROR(__xludf.DUMMYFUNCTION("""COMPUTED_VALUE"""),1)</f>
        <v>1</v>
      </c>
      <c r="V195" s="5" t="str">
        <f ca="1">IFERROR(__xludf.DUMMYFUNCTION("""COMPUTED_VALUE"""),"Shots fired in front of school")</f>
        <v>Shots fired in front of school</v>
      </c>
      <c r="W195"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X195" s="5"/>
      <c r="Y195" s="5"/>
      <c r="Z195" s="5" t="str">
        <f ca="1">IFERROR(__xludf.DUMMYFUNCTION("""COMPUTED_VALUE"""),"No")</f>
        <v>No</v>
      </c>
      <c r="AA195" s="5"/>
      <c r="AB195" s="5" t="str">
        <f ca="1">IFERROR(__xludf.DUMMYFUNCTION("""COMPUTED_VALUE"""),"No")</f>
        <v>No</v>
      </c>
      <c r="AC195" s="5" t="str">
        <f ca="1">IFERROR(__xludf.DUMMYFUNCTION("""COMPUTED_VALUE"""),"No")</f>
        <v>No</v>
      </c>
      <c r="AD195" s="5" t="str">
        <f ca="1">IFERROR(__xludf.DUMMYFUNCTION("""COMPUTED_VALUE"""),"No")</f>
        <v>No</v>
      </c>
      <c r="AE195" s="5" t="str">
        <f ca="1">IFERROR(__xludf.DUMMYFUNCTION("""COMPUTED_VALUE"""),"No")</f>
        <v>No</v>
      </c>
      <c r="AF195" s="5" t="str">
        <f ca="1">IFERROR(__xludf.DUMMYFUNCTION("""COMPUTED_VALUE"""),"No")</f>
        <v>No</v>
      </c>
      <c r="AG195" s="5"/>
      <c r="AH195" s="5" t="str">
        <f ca="1">IFERROR(__xludf.DUMMYFUNCTION("""COMPUTED_VALUE"""),"No")</f>
        <v>No</v>
      </c>
    </row>
    <row r="196" spans="1:34" ht="12.75">
      <c r="A196" s="5" t="str">
        <f ca="1">IFERROR(__xludf.DUMMYFUNCTION("""COMPUTED_VALUE"""),"20211214WISOM")</f>
        <v>20211214WISOM</v>
      </c>
      <c r="B196" s="8">
        <f ca="1">IFERROR(__xludf.DUMMYFUNCTION("""COMPUTED_VALUE"""),44544)</f>
        <v>44544</v>
      </c>
      <c r="C196" s="5" t="str">
        <f ca="1">IFERROR(__xludf.DUMMYFUNCTION("""COMPUTED_VALUE"""),"South Division High School")</f>
        <v>South Division High School</v>
      </c>
      <c r="D196" s="5">
        <f ca="1">IFERROR(__xludf.DUMMYFUNCTION("""COMPUTED_VALUE"""),0)</f>
        <v>0</v>
      </c>
      <c r="E196" s="5">
        <f ca="1">IFERROR(__xludf.DUMMYFUNCTION("""COMPUTED_VALUE"""),0)</f>
        <v>0</v>
      </c>
      <c r="F196" s="5">
        <f ca="1">IFERROR(__xludf.DUMMYFUNCTION("""COMPUTED_VALUE"""),0)</f>
        <v>0</v>
      </c>
      <c r="G196" s="5">
        <f ca="1">IFERROR(__xludf.DUMMYFUNCTION("""COMPUTED_VALUE"""),0)</f>
        <v>0</v>
      </c>
      <c r="H196"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I196" s="5">
        <f ca="1">IFERROR(__xludf.DUMMYFUNCTION("""COMPUTED_VALUE"""),3)</f>
        <v>3</v>
      </c>
      <c r="J196" s="5" t="str">
        <f ca="1">IFERROR(__xludf.DUMMYFUNCTION("""COMPUTED_VALUE"""),"Local")</f>
        <v>Local</v>
      </c>
      <c r="K196" s="5">
        <f ca="1">IFERROR(__xludf.DUMMYFUNCTION("""COMPUTED_VALUE"""),4)</f>
        <v>4</v>
      </c>
      <c r="L196" s="5" t="str">
        <f ca="1">IFERROR(__xludf.DUMMYFUNCTION("""COMPUTED_VALUE"""),"Winter")</f>
        <v>Winter</v>
      </c>
      <c r="M196" s="5" t="str">
        <f ca="1">IFERROR(__xludf.DUMMYFUNCTION("""COMPUTED_VALUE"""),"Milwaukee")</f>
        <v>Milwaukee</v>
      </c>
      <c r="N196" s="5" t="str">
        <f ca="1">IFERROR(__xludf.DUMMYFUNCTION("""COMPUTED_VALUE"""),"WI")</f>
        <v>WI</v>
      </c>
      <c r="O196" s="5" t="str">
        <f ca="1">IFERROR(__xludf.DUMMYFUNCTION("""COMPUTED_VALUE"""),"High")</f>
        <v>High</v>
      </c>
      <c r="P196" s="5" t="str">
        <f ca="1">IFERROR(__xludf.DUMMYFUNCTION("""COMPUTED_VALUE"""),"Front of School")</f>
        <v>Front of School</v>
      </c>
      <c r="Q196" s="5" t="str">
        <f ca="1">IFERROR(__xludf.DUMMYFUNCTION("""COMPUTED_VALUE"""),"Outside on School Property")</f>
        <v>Outside on School Property</v>
      </c>
      <c r="R196" s="5" t="str">
        <f ca="1">IFERROR(__xludf.DUMMYFUNCTION("""COMPUTED_VALUE"""),"Yes")</f>
        <v>Yes</v>
      </c>
      <c r="S196" s="5" t="str">
        <f ca="1">IFERROR(__xludf.DUMMYFUNCTION("""COMPUTED_VALUE"""),"Lunch")</f>
        <v>Lunch</v>
      </c>
      <c r="T196" s="10">
        <f ca="1">IFERROR(__xludf.DUMMYFUNCTION("""COMPUTED_VALUE"""),0.479166666666666)</f>
        <v>0.47916666666666602</v>
      </c>
      <c r="U196" s="5">
        <f ca="1">IFERROR(__xludf.DUMMYFUNCTION("""COMPUTED_VALUE"""),1)</f>
        <v>1</v>
      </c>
      <c r="V196" s="5" t="str">
        <f ca="1">IFERROR(__xludf.DUMMYFUNCTION("""COMPUTED_VALUE"""),"Student fired shots into the air by the front door of the school")</f>
        <v>Student fired shots into the air by the front door of the school</v>
      </c>
      <c r="W196"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X196" s="5" t="str">
        <f ca="1">IFERROR(__xludf.DUMMYFUNCTION("""COMPUTED_VALUE"""),"Escalation of Dispute")</f>
        <v>Escalation of Dispute</v>
      </c>
      <c r="Y196" s="5" t="str">
        <f ca="1">IFERROR(__xludf.DUMMYFUNCTION("""COMPUTED_VALUE"""),"Neither")</f>
        <v>Neither</v>
      </c>
      <c r="Z196" s="5" t="str">
        <f ca="1">IFERROR(__xludf.DUMMYFUNCTION("""COMPUTED_VALUE"""),"No")</f>
        <v>No</v>
      </c>
      <c r="AA196" s="5"/>
      <c r="AB196" s="5" t="str">
        <f ca="1">IFERROR(__xludf.DUMMYFUNCTION("""COMPUTED_VALUE"""),"No")</f>
        <v>No</v>
      </c>
      <c r="AC196" s="5" t="str">
        <f ca="1">IFERROR(__xludf.DUMMYFUNCTION("""COMPUTED_VALUE"""),"No")</f>
        <v>No</v>
      </c>
      <c r="AD196" s="5" t="str">
        <f ca="1">IFERROR(__xludf.DUMMYFUNCTION("""COMPUTED_VALUE"""),"No")</f>
        <v>No</v>
      </c>
      <c r="AE196" s="5" t="str">
        <f ca="1">IFERROR(__xludf.DUMMYFUNCTION("""COMPUTED_VALUE"""),"No")</f>
        <v>No</v>
      </c>
      <c r="AF196" s="5" t="str">
        <f ca="1">IFERROR(__xludf.DUMMYFUNCTION("""COMPUTED_VALUE"""),"No")</f>
        <v>No</v>
      </c>
      <c r="AG196" s="5"/>
      <c r="AH196" s="5" t="str">
        <f ca="1">IFERROR(__xludf.DUMMYFUNCTION("""COMPUTED_VALUE"""),"No")</f>
        <v>No</v>
      </c>
    </row>
    <row r="197" spans="1:34" ht="12.75">
      <c r="A197" s="5" t="str">
        <f ca="1">IFERROR(__xludf.DUMMYFUNCTION("""COMPUTED_VALUE"""),"20211214VAMEN")</f>
        <v>20211214VAMEN</v>
      </c>
      <c r="B197" s="8">
        <f ca="1">IFERROR(__xludf.DUMMYFUNCTION("""COMPUTED_VALUE"""),44544)</f>
        <v>44544</v>
      </c>
      <c r="C197" s="5" t="str">
        <f ca="1">IFERROR(__xludf.DUMMYFUNCTION("""COMPUTED_VALUE"""),"Menchville High School")</f>
        <v>Menchville High School</v>
      </c>
      <c r="D197" s="5">
        <f ca="1">IFERROR(__xludf.DUMMYFUNCTION("""COMPUTED_VALUE"""),1)</f>
        <v>1</v>
      </c>
      <c r="E197" s="5">
        <f ca="1">IFERROR(__xludf.DUMMYFUNCTION("""COMPUTED_VALUE"""),0)</f>
        <v>0</v>
      </c>
      <c r="F197" s="5">
        <f ca="1">IFERROR(__xludf.DUMMYFUNCTION("""COMPUTED_VALUE"""),1)</f>
        <v>1</v>
      </c>
      <c r="G197" s="5">
        <f ca="1">IFERROR(__xludf.DUMMYFUNCTION("""COMPUTED_VALUE"""),0)</f>
        <v>0</v>
      </c>
      <c r="H197" s="5" t="str">
        <f ca="1">IFERROR(__xludf.DUMMYFUNCTION("""COMPUTED_VALUE"""),"https://www.wtkr.com/warwick-high-school-student-arrested-after-murder-of-woodside-high-school-student-following-basketball-game https://www.pilotonline.com/news/crime/vp-nw-newport-news-basketball-game-shooting-20211215-2txl5qnt3vbijo4ve3iyxujjf4-story.h"&amp;"tml https://www.wtkr.com/news/teen-shot-killed-after-basketball-game-at-menchville-high-school-in-newport-news https://www.wavy.com/news/local-news/newport-news/newport-news-police-teen-shot-and-killed-after-basketball-game-at-menchville-high-school/")</f>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I197" s="5">
        <f ca="1">IFERROR(__xludf.DUMMYFUNCTION("""COMPUTED_VALUE"""),10)</f>
        <v>10</v>
      </c>
      <c r="J197" s="5" t="str">
        <f ca="1">IFERROR(__xludf.DUMMYFUNCTION("""COMPUTED_VALUE"""),"Regional")</f>
        <v>Regional</v>
      </c>
      <c r="K197" s="5">
        <f ca="1">IFERROR(__xludf.DUMMYFUNCTION("""COMPUTED_VALUE"""),4)</f>
        <v>4</v>
      </c>
      <c r="L197" s="5" t="str">
        <f ca="1">IFERROR(__xludf.DUMMYFUNCTION("""COMPUTED_VALUE"""),"Winter")</f>
        <v>Winter</v>
      </c>
      <c r="M197" s="5" t="str">
        <f ca="1">IFERROR(__xludf.DUMMYFUNCTION("""COMPUTED_VALUE"""),"Newport News")</f>
        <v>Newport News</v>
      </c>
      <c r="N197" s="5" t="str">
        <f ca="1">IFERROR(__xludf.DUMMYFUNCTION("""COMPUTED_VALUE"""),"VA")</f>
        <v>VA</v>
      </c>
      <c r="O197" s="5" t="str">
        <f ca="1">IFERROR(__xludf.DUMMYFUNCTION("""COMPUTED_VALUE"""),"High")</f>
        <v>High</v>
      </c>
      <c r="P197" s="5" t="str">
        <f ca="1">IFERROR(__xludf.DUMMYFUNCTION("""COMPUTED_VALUE"""),"Parking Lot")</f>
        <v>Parking Lot</v>
      </c>
      <c r="Q197" s="5" t="str">
        <f ca="1">IFERROR(__xludf.DUMMYFUNCTION("""COMPUTED_VALUE"""),"Outside on School Property")</f>
        <v>Outside on School Property</v>
      </c>
      <c r="R197" s="5" t="str">
        <f ca="1">IFERROR(__xludf.DUMMYFUNCTION("""COMPUTED_VALUE"""),"No")</f>
        <v>No</v>
      </c>
      <c r="S197" s="5" t="str">
        <f ca="1">IFERROR(__xludf.DUMMYFUNCTION("""COMPUTED_VALUE"""),"School Event")</f>
        <v>School Event</v>
      </c>
      <c r="T197" s="10">
        <f ca="1">IFERROR(__xludf.DUMMYFUNCTION("""COMPUTED_VALUE"""),0.861111111111111)</f>
        <v>0.86111111111111105</v>
      </c>
      <c r="U197" s="5">
        <f ca="1">IFERROR(__xludf.DUMMYFUNCTION("""COMPUTED_VALUE"""),1)</f>
        <v>1</v>
      </c>
      <c r="V197" s="5" t="str">
        <f ca="1">IFERROR(__xludf.DUMMYFUNCTION("""COMPUTED_VALUE"""),"Student fatally shot in school parking lot during basketball game")</f>
        <v>Student fatally shot in school parking lot during basketball game</v>
      </c>
      <c r="W197"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v>
      </c>
      <c r="X197" s="5" t="str">
        <f ca="1">IFERROR(__xludf.DUMMYFUNCTION("""COMPUTED_VALUE"""),"Escalation of Dispute")</f>
        <v>Escalation of Dispute</v>
      </c>
      <c r="Y197" s="5" t="str">
        <f ca="1">IFERROR(__xludf.DUMMYFUNCTION("""COMPUTED_VALUE"""),"Victims Targeted")</f>
        <v>Victims Targeted</v>
      </c>
      <c r="Z197" s="5" t="str">
        <f ca="1">IFERROR(__xludf.DUMMYFUNCTION("""COMPUTED_VALUE"""),"Yes")</f>
        <v>Yes</v>
      </c>
      <c r="AA197" s="5" t="str">
        <f ca="1">IFERROR(__xludf.DUMMYFUNCTION("""COMPUTED_VALUE"""),"Group of teens from rival group")</f>
        <v>Group of teens from rival group</v>
      </c>
      <c r="AB197" s="5" t="str">
        <f ca="1">IFERROR(__xludf.DUMMYFUNCTION("""COMPUTED_VALUE"""),"No")</f>
        <v>No</v>
      </c>
      <c r="AC197" s="5" t="str">
        <f ca="1">IFERROR(__xludf.DUMMYFUNCTION("""COMPUTED_VALUE"""),"No")</f>
        <v>No</v>
      </c>
      <c r="AD197" s="5" t="str">
        <f ca="1">IFERROR(__xludf.DUMMYFUNCTION("""COMPUTED_VALUE"""),"No")</f>
        <v>No</v>
      </c>
      <c r="AE197" s="5" t="str">
        <f ca="1">IFERROR(__xludf.DUMMYFUNCTION("""COMPUTED_VALUE"""),"No")</f>
        <v>No</v>
      </c>
      <c r="AF197" s="5" t="str">
        <f ca="1">IFERROR(__xludf.DUMMYFUNCTION("""COMPUTED_VALUE"""),"No")</f>
        <v>No</v>
      </c>
      <c r="AG197" s="5" t="str">
        <f ca="1">IFERROR(__xludf.DUMMYFUNCTION("""COMPUTED_VALUE"""),"Yes")</f>
        <v>Yes</v>
      </c>
      <c r="AH197" s="5" t="str">
        <f ca="1">IFERROR(__xludf.DUMMYFUNCTION("""COMPUTED_VALUE"""),"No")</f>
        <v>No</v>
      </c>
    </row>
    <row r="198" spans="1:34" ht="12.75">
      <c r="A198" s="5" t="str">
        <f ca="1">IFERROR(__xludf.DUMMYFUNCTION("""COMPUTED_VALUE"""),"20211213NCWEC")</f>
        <v>20211213NCWEC</v>
      </c>
      <c r="B198" s="8">
        <f ca="1">IFERROR(__xludf.DUMMYFUNCTION("""COMPUTED_VALUE"""),44543)</f>
        <v>44543</v>
      </c>
      <c r="C198" s="5" t="str">
        <f ca="1">IFERROR(__xludf.DUMMYFUNCTION("""COMPUTED_VALUE"""),"West Charlotte High School")</f>
        <v>West Charlotte High School</v>
      </c>
      <c r="D198" s="5">
        <f ca="1">IFERROR(__xludf.DUMMYFUNCTION("""COMPUTED_VALUE"""),0)</f>
        <v>0</v>
      </c>
      <c r="E198" s="5">
        <f ca="1">IFERROR(__xludf.DUMMYFUNCTION("""COMPUTED_VALUE"""),0)</f>
        <v>0</v>
      </c>
      <c r="F198" s="5">
        <f ca="1">IFERROR(__xludf.DUMMYFUNCTION("""COMPUTED_VALUE"""),0)</f>
        <v>0</v>
      </c>
      <c r="G198" s="5">
        <f ca="1">IFERROR(__xludf.DUMMYFUNCTION("""COMPUTED_VALUE"""),0)</f>
        <v>0</v>
      </c>
      <c r="H198"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I198" s="5">
        <f ca="1">IFERROR(__xludf.DUMMYFUNCTION("""COMPUTED_VALUE"""),10)</f>
        <v>10</v>
      </c>
      <c r="J198" s="5" t="str">
        <f ca="1">IFERROR(__xludf.DUMMYFUNCTION("""COMPUTED_VALUE"""),"Regional")</f>
        <v>Regional</v>
      </c>
      <c r="K198" s="5">
        <f ca="1">IFERROR(__xludf.DUMMYFUNCTION("""COMPUTED_VALUE"""),4)</f>
        <v>4</v>
      </c>
      <c r="L198" s="5" t="str">
        <f ca="1">IFERROR(__xludf.DUMMYFUNCTION("""COMPUTED_VALUE"""),"Winter")</f>
        <v>Winter</v>
      </c>
      <c r="M198" s="5" t="str">
        <f ca="1">IFERROR(__xludf.DUMMYFUNCTION("""COMPUTED_VALUE"""),"Charlotte")</f>
        <v>Charlotte</v>
      </c>
      <c r="N198" s="5" t="str">
        <f ca="1">IFERROR(__xludf.DUMMYFUNCTION("""COMPUTED_VALUE"""),"NC")</f>
        <v>NC</v>
      </c>
      <c r="O198" s="5" t="str">
        <f ca="1">IFERROR(__xludf.DUMMYFUNCTION("""COMPUTED_VALUE"""),"High")</f>
        <v>High</v>
      </c>
      <c r="P198" s="5" t="str">
        <f ca="1">IFERROR(__xludf.DUMMYFUNCTION("""COMPUTED_VALUE"""),"Parking Lot")</f>
        <v>Parking Lot</v>
      </c>
      <c r="Q198" s="5" t="str">
        <f ca="1">IFERROR(__xludf.DUMMYFUNCTION("""COMPUTED_VALUE"""),"Outside on School Property")</f>
        <v>Outside on School Property</v>
      </c>
      <c r="R198" s="5" t="str">
        <f ca="1">IFERROR(__xludf.DUMMYFUNCTION("""COMPUTED_VALUE"""),"Yes")</f>
        <v>Yes</v>
      </c>
      <c r="S198" s="5" t="str">
        <f ca="1">IFERROR(__xludf.DUMMYFUNCTION("""COMPUTED_VALUE"""),"Dismissal")</f>
        <v>Dismissal</v>
      </c>
      <c r="T198" s="10">
        <f ca="1">IFERROR(__xludf.DUMMYFUNCTION("""COMPUTED_VALUE"""),0.594444444444444)</f>
        <v>0.594444444444444</v>
      </c>
      <c r="U198" s="5">
        <f ca="1">IFERROR(__xludf.DUMMYFUNCTION("""COMPUTED_VALUE"""),1)</f>
        <v>1</v>
      </c>
      <c r="V198" s="5" t="str">
        <f ca="1">IFERROR(__xludf.DUMMYFUNCTION("""COMPUTED_VALUE"""),"Shot fired during fight at dismissal")</f>
        <v>Shot fired during fight at dismissal</v>
      </c>
      <c r="W198"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X198" s="5" t="str">
        <f ca="1">IFERROR(__xludf.DUMMYFUNCTION("""COMPUTED_VALUE"""),"Escalation of Dispute")</f>
        <v>Escalation of Dispute</v>
      </c>
      <c r="Y198" s="5" t="str">
        <f ca="1">IFERROR(__xludf.DUMMYFUNCTION("""COMPUTED_VALUE"""),"Victims Targeted")</f>
        <v>Victims Targeted</v>
      </c>
      <c r="Z198" s="5" t="str">
        <f ca="1">IFERROR(__xludf.DUMMYFUNCTION("""COMPUTED_VALUE"""),"No")</f>
        <v>No</v>
      </c>
      <c r="AA198" s="5"/>
      <c r="AB198" s="5" t="str">
        <f ca="1">IFERROR(__xludf.DUMMYFUNCTION("""COMPUTED_VALUE"""),"No")</f>
        <v>No</v>
      </c>
      <c r="AC198" s="5" t="str">
        <f ca="1">IFERROR(__xludf.DUMMYFUNCTION("""COMPUTED_VALUE"""),"No")</f>
        <v>No</v>
      </c>
      <c r="AD198" s="5" t="str">
        <f ca="1">IFERROR(__xludf.DUMMYFUNCTION("""COMPUTED_VALUE"""),"No")</f>
        <v>No</v>
      </c>
      <c r="AE198" s="5" t="str">
        <f ca="1">IFERROR(__xludf.DUMMYFUNCTION("""COMPUTED_VALUE"""),"No")</f>
        <v>No</v>
      </c>
      <c r="AF198" s="5" t="str">
        <f ca="1">IFERROR(__xludf.DUMMYFUNCTION("""COMPUTED_VALUE"""),"No")</f>
        <v>No</v>
      </c>
      <c r="AG198" s="5" t="str">
        <f ca="1">IFERROR(__xludf.DUMMYFUNCTION("""COMPUTED_VALUE"""),"No")</f>
        <v>No</v>
      </c>
      <c r="AH198" s="5" t="str">
        <f ca="1">IFERROR(__xludf.DUMMYFUNCTION("""COMPUTED_VALUE"""),"No")</f>
        <v>No</v>
      </c>
    </row>
    <row r="199" spans="1:34" ht="12.75">
      <c r="A199" s="5" t="str">
        <f ca="1">IFERROR(__xludf.DUMMYFUNCTION("""COMPUTED_VALUE"""),"20211213FLEAO")</f>
        <v>20211213FLEAO</v>
      </c>
      <c r="B199" s="8">
        <f ca="1">IFERROR(__xludf.DUMMYFUNCTION("""COMPUTED_VALUE"""),44543)</f>
        <v>44543</v>
      </c>
      <c r="C199" s="5" t="str">
        <f ca="1">IFERROR(__xludf.DUMMYFUNCTION("""COMPUTED_VALUE"""),"East River High School")</f>
        <v>East River High School</v>
      </c>
      <c r="D199" s="5">
        <f ca="1">IFERROR(__xludf.DUMMYFUNCTION("""COMPUTED_VALUE"""),0)</f>
        <v>0</v>
      </c>
      <c r="E199" s="5">
        <f ca="1">IFERROR(__xludf.DUMMYFUNCTION("""COMPUTED_VALUE"""),0)</f>
        <v>0</v>
      </c>
      <c r="F199" s="5">
        <f ca="1">IFERROR(__xludf.DUMMYFUNCTION("""COMPUTED_VALUE"""),0)</f>
        <v>0</v>
      </c>
      <c r="G199" s="5">
        <f ca="1">IFERROR(__xludf.DUMMYFUNCTION("""COMPUTED_VALUE"""),0)</f>
        <v>0</v>
      </c>
      <c r="H199"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I199" s="5">
        <f ca="1">IFERROR(__xludf.DUMMYFUNCTION("""COMPUTED_VALUE"""),10)</f>
        <v>10</v>
      </c>
      <c r="J199" s="5" t="str">
        <f ca="1">IFERROR(__xludf.DUMMYFUNCTION("""COMPUTED_VALUE"""),"Regional")</f>
        <v>Regional</v>
      </c>
      <c r="K199" s="5">
        <f ca="1">IFERROR(__xludf.DUMMYFUNCTION("""COMPUTED_VALUE"""),4)</f>
        <v>4</v>
      </c>
      <c r="L199" s="5" t="str">
        <f ca="1">IFERROR(__xludf.DUMMYFUNCTION("""COMPUTED_VALUE"""),"Winter")</f>
        <v>Winter</v>
      </c>
      <c r="M199" s="5" t="str">
        <f ca="1">IFERROR(__xludf.DUMMYFUNCTION("""COMPUTED_VALUE"""),"Orlando")</f>
        <v>Orlando</v>
      </c>
      <c r="N199" s="5" t="str">
        <f ca="1">IFERROR(__xludf.DUMMYFUNCTION("""COMPUTED_VALUE"""),"FL")</f>
        <v>FL</v>
      </c>
      <c r="O199" s="5" t="str">
        <f ca="1">IFERROR(__xludf.DUMMYFUNCTION("""COMPUTED_VALUE"""),"High")</f>
        <v>High</v>
      </c>
      <c r="P199" s="5" t="str">
        <f ca="1">IFERROR(__xludf.DUMMYFUNCTION("""COMPUTED_VALUE"""),"Parking Lot")</f>
        <v>Parking Lot</v>
      </c>
      <c r="Q199" s="5" t="str">
        <f ca="1">IFERROR(__xludf.DUMMYFUNCTION("""COMPUTED_VALUE"""),"Outside on School Property")</f>
        <v>Outside on School Property</v>
      </c>
      <c r="R199" s="5" t="str">
        <f ca="1">IFERROR(__xludf.DUMMYFUNCTION("""COMPUTED_VALUE"""),"Yes")</f>
        <v>Yes</v>
      </c>
      <c r="S199" s="5" t="str">
        <f ca="1">IFERROR(__xludf.DUMMYFUNCTION("""COMPUTED_VALUE"""),"Dismissal")</f>
        <v>Dismissal</v>
      </c>
      <c r="T199" s="10">
        <f ca="1">IFERROR(__xludf.DUMMYFUNCTION("""COMPUTED_VALUE"""),0.625)</f>
        <v>0.625</v>
      </c>
      <c r="U199" s="5">
        <f ca="1">IFERROR(__xludf.DUMMYFUNCTION("""COMPUTED_VALUE"""),1)</f>
        <v>1</v>
      </c>
      <c r="V199" s="5" t="str">
        <f ca="1">IFERROR(__xludf.DUMMYFUNCTION("""COMPUTED_VALUE"""),"Shot fired in the school parking lot during dismissal")</f>
        <v>Shot fired in the school parking lot during dismissal</v>
      </c>
      <c r="W199"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X199" s="5"/>
      <c r="Y199" s="5"/>
      <c r="Z199" s="5" t="str">
        <f ca="1">IFERROR(__xludf.DUMMYFUNCTION("""COMPUTED_VALUE"""),"No")</f>
        <v>No</v>
      </c>
      <c r="AA199" s="5"/>
      <c r="AB199" s="5" t="str">
        <f ca="1">IFERROR(__xludf.DUMMYFUNCTION("""COMPUTED_VALUE"""),"No")</f>
        <v>No</v>
      </c>
      <c r="AC199" s="5" t="str">
        <f ca="1">IFERROR(__xludf.DUMMYFUNCTION("""COMPUTED_VALUE"""),"No")</f>
        <v>No</v>
      </c>
      <c r="AD199" s="5" t="str">
        <f ca="1">IFERROR(__xludf.DUMMYFUNCTION("""COMPUTED_VALUE"""),"No")</f>
        <v>No</v>
      </c>
      <c r="AE199" s="5" t="str">
        <f ca="1">IFERROR(__xludf.DUMMYFUNCTION("""COMPUTED_VALUE"""),"No")</f>
        <v>No</v>
      </c>
      <c r="AF199" s="5" t="str">
        <f ca="1">IFERROR(__xludf.DUMMYFUNCTION("""COMPUTED_VALUE"""),"No")</f>
        <v>No</v>
      </c>
      <c r="AG199" s="5"/>
      <c r="AH199" s="5" t="str">
        <f ca="1">IFERROR(__xludf.DUMMYFUNCTION("""COMPUTED_VALUE"""),"No")</f>
        <v>No</v>
      </c>
    </row>
    <row r="200" spans="1:34" ht="12.75">
      <c r="A200" s="5" t="str">
        <f ca="1">IFERROR(__xludf.DUMMYFUNCTION("""COMPUTED_VALUE"""),"20211212NYSCR")</f>
        <v>20211212NYSCR</v>
      </c>
      <c r="B200" s="8">
        <f ca="1">IFERROR(__xludf.DUMMYFUNCTION("""COMPUTED_VALUE"""),44542)</f>
        <v>44542</v>
      </c>
      <c r="C200" s="5" t="str">
        <f ca="1">IFERROR(__xludf.DUMMYFUNCTION("""COMPUTED_VALUE"""),"School No. 17")</f>
        <v>School No. 17</v>
      </c>
      <c r="D200" s="5">
        <f ca="1">IFERROR(__xludf.DUMMYFUNCTION("""COMPUTED_VALUE"""),1)</f>
        <v>1</v>
      </c>
      <c r="E200" s="5">
        <f ca="1">IFERROR(__xludf.DUMMYFUNCTION("""COMPUTED_VALUE"""),0)</f>
        <v>0</v>
      </c>
      <c r="F200" s="5">
        <f ca="1">IFERROR(__xludf.DUMMYFUNCTION("""COMPUTED_VALUE"""),1)</f>
        <v>1</v>
      </c>
      <c r="G200" s="5">
        <f ca="1">IFERROR(__xludf.DUMMYFUNCTION("""COMPUTED_VALUE"""),0)</f>
        <v>0</v>
      </c>
      <c r="H200"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I200" s="5">
        <f ca="1">IFERROR(__xludf.DUMMYFUNCTION("""COMPUTED_VALUE"""),2)</f>
        <v>2</v>
      </c>
      <c r="J200" s="5" t="str">
        <f ca="1">IFERROR(__xludf.DUMMYFUNCTION("""COMPUTED_VALUE"""),"Local")</f>
        <v>Local</v>
      </c>
      <c r="K200" s="5">
        <f ca="1">IFERROR(__xludf.DUMMYFUNCTION("""COMPUTED_VALUE"""),4)</f>
        <v>4</v>
      </c>
      <c r="L200" s="5" t="str">
        <f ca="1">IFERROR(__xludf.DUMMYFUNCTION("""COMPUTED_VALUE"""),"Winter")</f>
        <v>Winter</v>
      </c>
      <c r="M200" s="5" t="str">
        <f ca="1">IFERROR(__xludf.DUMMYFUNCTION("""COMPUTED_VALUE"""),"Rochester")</f>
        <v>Rochester</v>
      </c>
      <c r="N200" s="5" t="str">
        <f ca="1">IFERROR(__xludf.DUMMYFUNCTION("""COMPUTED_VALUE"""),"NY")</f>
        <v>NY</v>
      </c>
      <c r="O200" s="5" t="str">
        <f ca="1">IFERROR(__xludf.DUMMYFUNCTION("""COMPUTED_VALUE"""),"K-8")</f>
        <v>K-8</v>
      </c>
      <c r="P200" s="5" t="str">
        <f ca="1">IFERROR(__xludf.DUMMYFUNCTION("""COMPUTED_VALUE"""),"Playground")</f>
        <v>Playground</v>
      </c>
      <c r="Q200" s="5" t="str">
        <f ca="1">IFERROR(__xludf.DUMMYFUNCTION("""COMPUTED_VALUE"""),"Outside on School Property")</f>
        <v>Outside on School Property</v>
      </c>
      <c r="R200" s="5" t="str">
        <f ca="1">IFERROR(__xludf.DUMMYFUNCTION("""COMPUTED_VALUE"""),"No")</f>
        <v>No</v>
      </c>
      <c r="S200" s="5" t="str">
        <f ca="1">IFERROR(__xludf.DUMMYFUNCTION("""COMPUTED_VALUE"""),"Evening")</f>
        <v>Evening</v>
      </c>
      <c r="T200" s="10">
        <f ca="1">IFERROR(__xludf.DUMMYFUNCTION("""COMPUTED_VALUE"""),0.770833333333333)</f>
        <v>0.77083333333333304</v>
      </c>
      <c r="U200" s="5">
        <f ca="1">IFERROR(__xludf.DUMMYFUNCTION("""COMPUTED_VALUE"""),1)</f>
        <v>1</v>
      </c>
      <c r="V200" s="5" t="str">
        <f ca="1">IFERROR(__xludf.DUMMYFUNCTION("""COMPUTED_VALUE"""),"Adult male fatally shot during dispute on school playground")</f>
        <v>Adult male fatally shot during dispute on school playground</v>
      </c>
      <c r="W200"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X200" s="5" t="str">
        <f ca="1">IFERROR(__xludf.DUMMYFUNCTION("""COMPUTED_VALUE"""),"Escalation of Dispute")</f>
        <v>Escalation of Dispute</v>
      </c>
      <c r="Y200" s="5" t="str">
        <f ca="1">IFERROR(__xludf.DUMMYFUNCTION("""COMPUTED_VALUE"""),"Victims Targeted")</f>
        <v>Victims Targeted</v>
      </c>
      <c r="Z200" s="5" t="str">
        <f ca="1">IFERROR(__xludf.DUMMYFUNCTION("""COMPUTED_VALUE"""),"No")</f>
        <v>No</v>
      </c>
      <c r="AA200" s="5"/>
      <c r="AB200" s="5" t="str">
        <f ca="1">IFERROR(__xludf.DUMMYFUNCTION("""COMPUTED_VALUE"""),"No")</f>
        <v>No</v>
      </c>
      <c r="AC200" s="5" t="str">
        <f ca="1">IFERROR(__xludf.DUMMYFUNCTION("""COMPUTED_VALUE"""),"No")</f>
        <v>No</v>
      </c>
      <c r="AD200" s="5" t="str">
        <f ca="1">IFERROR(__xludf.DUMMYFUNCTION("""COMPUTED_VALUE"""),"No")</f>
        <v>No</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row>
    <row r="201" spans="1:34" ht="12.75">
      <c r="A201" s="5" t="str">
        <f ca="1">IFERROR(__xludf.DUMMYFUNCTION("""COMPUTED_VALUE"""),"20211211GAJOG")</f>
        <v>20211211GAJOG</v>
      </c>
      <c r="B201" s="8">
        <f ca="1">IFERROR(__xludf.DUMMYFUNCTION("""COMPUTED_VALUE"""),44541)</f>
        <v>44541</v>
      </c>
      <c r="C201" s="5" t="str">
        <f ca="1">IFERROR(__xludf.DUMMYFUNCTION("""COMPUTED_VALUE"""),"Jones County High School")</f>
        <v>Jones County High School</v>
      </c>
      <c r="D201" s="5">
        <f ca="1">IFERROR(__xludf.DUMMYFUNCTION("""COMPUTED_VALUE"""),0)</f>
        <v>0</v>
      </c>
      <c r="E201" s="5">
        <f ca="1">IFERROR(__xludf.DUMMYFUNCTION("""COMPUTED_VALUE"""),0)</f>
        <v>0</v>
      </c>
      <c r="F201" s="5">
        <f ca="1">IFERROR(__xludf.DUMMYFUNCTION("""COMPUTED_VALUE"""),0)</f>
        <v>0</v>
      </c>
      <c r="G201" s="5">
        <f ca="1">IFERROR(__xludf.DUMMYFUNCTION("""COMPUTED_VALUE"""),0)</f>
        <v>0</v>
      </c>
      <c r="H201"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I201" s="5">
        <f ca="1">IFERROR(__xludf.DUMMYFUNCTION("""COMPUTED_VALUE"""),2)</f>
        <v>2</v>
      </c>
      <c r="J201" s="5" t="str">
        <f ca="1">IFERROR(__xludf.DUMMYFUNCTION("""COMPUTED_VALUE"""),"Local")</f>
        <v>Local</v>
      </c>
      <c r="K201" s="5">
        <f ca="1">IFERROR(__xludf.DUMMYFUNCTION("""COMPUTED_VALUE"""),4)</f>
        <v>4</v>
      </c>
      <c r="L201" s="5" t="str">
        <f ca="1">IFERROR(__xludf.DUMMYFUNCTION("""COMPUTED_VALUE"""),"Winter")</f>
        <v>Winter</v>
      </c>
      <c r="M201" s="5" t="str">
        <f ca="1">IFERROR(__xludf.DUMMYFUNCTION("""COMPUTED_VALUE"""),"Gray")</f>
        <v>Gray</v>
      </c>
      <c r="N201" s="5" t="str">
        <f ca="1">IFERROR(__xludf.DUMMYFUNCTION("""COMPUTED_VALUE"""),"GA")</f>
        <v>GA</v>
      </c>
      <c r="O201" s="5" t="str">
        <f ca="1">IFERROR(__xludf.DUMMYFUNCTION("""COMPUTED_VALUE"""),"High")</f>
        <v>High</v>
      </c>
      <c r="P201" s="5" t="str">
        <f ca="1">IFERROR(__xludf.DUMMYFUNCTION("""COMPUTED_VALUE"""),"Gym")</f>
        <v>Gym</v>
      </c>
      <c r="Q201" s="5" t="str">
        <f ca="1">IFERROR(__xludf.DUMMYFUNCTION("""COMPUTED_VALUE"""),"Inside School Building")</f>
        <v>Inside School Building</v>
      </c>
      <c r="R201" s="5" t="str">
        <f ca="1">IFERROR(__xludf.DUMMYFUNCTION("""COMPUTED_VALUE"""),"No")</f>
        <v>No</v>
      </c>
      <c r="S201" s="5" t="str">
        <f ca="1">IFERROR(__xludf.DUMMYFUNCTION("""COMPUTED_VALUE"""),"Sport Event")</f>
        <v>Sport Event</v>
      </c>
      <c r="T201" s="10">
        <f ca="1">IFERROR(__xludf.DUMMYFUNCTION("""COMPUTED_VALUE"""),0.84375)</f>
        <v>0.84375</v>
      </c>
      <c r="U201" s="5">
        <f ca="1">IFERROR(__xludf.DUMMYFUNCTION("""COMPUTED_VALUE"""),1)</f>
        <v>1</v>
      </c>
      <c r="V201" s="5" t="str">
        <f ca="1">IFERROR(__xludf.DUMMYFUNCTION("""COMPUTED_VALUE"""),"Shot fired in the gym during high school basketball game")</f>
        <v>Shot fired in the gym during high school basketball game</v>
      </c>
      <c r="W201"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X201" s="5" t="str">
        <f ca="1">IFERROR(__xludf.DUMMYFUNCTION("""COMPUTED_VALUE"""),"Escalation of Dispute")</f>
        <v>Escalation of Dispute</v>
      </c>
      <c r="Y201" s="5" t="str">
        <f ca="1">IFERROR(__xludf.DUMMYFUNCTION("""COMPUTED_VALUE"""),"Victims Targeted")</f>
        <v>Victims Targeted</v>
      </c>
      <c r="Z201" s="5" t="str">
        <f ca="1">IFERROR(__xludf.DUMMYFUNCTION("""COMPUTED_VALUE"""),"Yes")</f>
        <v>Yes</v>
      </c>
      <c r="AA201" s="5" t="str">
        <f ca="1">IFERROR(__xludf.DUMMYFUNCTION("""COMPUTED_VALUE"""),"4 teens arrested")</f>
        <v>4 teens arrested</v>
      </c>
      <c r="AB201" s="5" t="str">
        <f ca="1">IFERROR(__xludf.DUMMYFUNCTION("""COMPUTED_VALUE"""),"No")</f>
        <v>No</v>
      </c>
      <c r="AC201" s="5" t="str">
        <f ca="1">IFERROR(__xludf.DUMMYFUNCTION("""COMPUTED_VALUE"""),"No")</f>
        <v>No</v>
      </c>
      <c r="AD201" s="5" t="str">
        <f ca="1">IFERROR(__xludf.DUMMYFUNCTION("""COMPUTED_VALUE"""),"No")</f>
        <v>No</v>
      </c>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row>
    <row r="202" spans="1:34" ht="12.75">
      <c r="A202" s="5" t="str">
        <f ca="1">IFERROR(__xludf.DUMMYFUNCTION("""COMPUTED_VALUE"""),"20211211FLEDL")</f>
        <v>20211211FLEDL</v>
      </c>
      <c r="B202" s="8">
        <f ca="1">IFERROR(__xludf.DUMMYFUNCTION("""COMPUTED_VALUE"""),44541)</f>
        <v>44541</v>
      </c>
      <c r="C202" s="5" t="str">
        <f ca="1">IFERROR(__xludf.DUMMYFUNCTION("""COMPUTED_VALUE"""),"Edward A. Upthegrove Elementary School")</f>
        <v>Edward A. Upthegrove Elementary School</v>
      </c>
      <c r="D202" s="5">
        <f ca="1">IFERROR(__xludf.DUMMYFUNCTION("""COMPUTED_VALUE"""),0)</f>
        <v>0</v>
      </c>
      <c r="E202" s="5">
        <f ca="1">IFERROR(__xludf.DUMMYFUNCTION("""COMPUTED_VALUE"""),1)</f>
        <v>1</v>
      </c>
      <c r="F202" s="5">
        <f ca="1">IFERROR(__xludf.DUMMYFUNCTION("""COMPUTED_VALUE"""),1)</f>
        <v>1</v>
      </c>
      <c r="G202" s="5">
        <f ca="1">IFERROR(__xludf.DUMMYFUNCTION("""COMPUTED_VALUE"""),0)</f>
        <v>0</v>
      </c>
      <c r="H202"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I202" s="5">
        <f ca="1">IFERROR(__xludf.DUMMYFUNCTION("""COMPUTED_VALUE"""),3)</f>
        <v>3</v>
      </c>
      <c r="J202" s="5" t="str">
        <f ca="1">IFERROR(__xludf.DUMMYFUNCTION("""COMPUTED_VALUE"""),"Local")</f>
        <v>Local</v>
      </c>
      <c r="K202" s="5">
        <f ca="1">IFERROR(__xludf.DUMMYFUNCTION("""COMPUTED_VALUE"""),4)</f>
        <v>4</v>
      </c>
      <c r="L202" s="5" t="str">
        <f ca="1">IFERROR(__xludf.DUMMYFUNCTION("""COMPUTED_VALUE"""),"Winter")</f>
        <v>Winter</v>
      </c>
      <c r="M202" s="5" t="str">
        <f ca="1">IFERROR(__xludf.DUMMYFUNCTION("""COMPUTED_VALUE"""),"LaBelle")</f>
        <v>LaBelle</v>
      </c>
      <c r="N202" s="5" t="str">
        <f ca="1">IFERROR(__xludf.DUMMYFUNCTION("""COMPUTED_VALUE"""),"FL")</f>
        <v>FL</v>
      </c>
      <c r="O202" s="5" t="str">
        <f ca="1">IFERROR(__xludf.DUMMYFUNCTION("""COMPUTED_VALUE"""),"Elementary")</f>
        <v>Elementary</v>
      </c>
      <c r="P202" s="5" t="str">
        <f ca="1">IFERROR(__xludf.DUMMYFUNCTION("""COMPUTED_VALUE"""),"Gym")</f>
        <v>Gym</v>
      </c>
      <c r="Q202" s="5" t="str">
        <f ca="1">IFERROR(__xludf.DUMMYFUNCTION("""COMPUTED_VALUE"""),"Inside School Building")</f>
        <v>Inside School Building</v>
      </c>
      <c r="R202" s="5" t="str">
        <f ca="1">IFERROR(__xludf.DUMMYFUNCTION("""COMPUTED_VALUE"""),"No")</f>
        <v>No</v>
      </c>
      <c r="S202" s="5" t="str">
        <f ca="1">IFERROR(__xludf.DUMMYFUNCTION("""COMPUTED_VALUE"""),"Sport Event")</f>
        <v>Sport Event</v>
      </c>
      <c r="T202" s="10">
        <f ca="1">IFERROR(__xludf.DUMMYFUNCTION("""COMPUTED_VALUE"""),0.583333333333333)</f>
        <v>0.58333333333333304</v>
      </c>
      <c r="U202" s="5">
        <f ca="1">IFERROR(__xludf.DUMMYFUNCTION("""COMPUTED_VALUE"""),1)</f>
        <v>1</v>
      </c>
      <c r="V202" s="5" t="str">
        <f ca="1">IFERROR(__xludf.DUMMYFUNCTION("""COMPUTED_VALUE"""),"Shots fired in the school gym during youth basketball game")</f>
        <v>Shots fired in the school gym during youth basketball game</v>
      </c>
      <c r="W202"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X202" s="5"/>
      <c r="Y202" s="5" t="str">
        <f ca="1">IFERROR(__xludf.DUMMYFUNCTION("""COMPUTED_VALUE"""),"Victims Targeted")</f>
        <v>Victims Targeted</v>
      </c>
      <c r="Z202" s="5" t="str">
        <f ca="1">IFERROR(__xludf.DUMMYFUNCTION("""COMPUTED_VALUE"""),"No")</f>
        <v>No</v>
      </c>
      <c r="AA202" s="5"/>
      <c r="AB202" s="5" t="str">
        <f ca="1">IFERROR(__xludf.DUMMYFUNCTION("""COMPUTED_VALUE"""),"No")</f>
        <v>No</v>
      </c>
      <c r="AC202" s="5" t="str">
        <f ca="1">IFERROR(__xludf.DUMMYFUNCTION("""COMPUTED_VALUE"""),"No")</f>
        <v>No</v>
      </c>
      <c r="AD202" s="5" t="str">
        <f ca="1">IFERROR(__xludf.DUMMYFUNCTION("""COMPUTED_VALUE"""),"No")</f>
        <v>No</v>
      </c>
      <c r="AE202" s="5" t="str">
        <f ca="1">IFERROR(__xludf.DUMMYFUNCTION("""COMPUTED_VALUE"""),"No")</f>
        <v>No</v>
      </c>
      <c r="AF202" s="5"/>
      <c r="AG202" s="5"/>
      <c r="AH202" s="5" t="str">
        <f ca="1">IFERROR(__xludf.DUMMYFUNCTION("""COMPUTED_VALUE"""),"No")</f>
        <v>No</v>
      </c>
    </row>
    <row r="203" spans="1:34" ht="12.75">
      <c r="A203" s="5" t="str">
        <f ca="1">IFERROR(__xludf.DUMMYFUNCTION("""COMPUTED_VALUE"""),"20211210OHCAC")</f>
        <v>20211210OHCAC</v>
      </c>
      <c r="B203" s="8">
        <f ca="1">IFERROR(__xludf.DUMMYFUNCTION("""COMPUTED_VALUE"""),44540)</f>
        <v>44540</v>
      </c>
      <c r="C203" s="5" t="str">
        <f ca="1">IFERROR(__xludf.DUMMYFUNCTION("""COMPUTED_VALUE"""),"Canal Winchester High School")</f>
        <v>Canal Winchester High School</v>
      </c>
      <c r="D203" s="5">
        <f ca="1">IFERROR(__xludf.DUMMYFUNCTION("""COMPUTED_VALUE"""),0)</f>
        <v>0</v>
      </c>
      <c r="E203" s="5">
        <f ca="1">IFERROR(__xludf.DUMMYFUNCTION("""COMPUTED_VALUE"""),0)</f>
        <v>0</v>
      </c>
      <c r="F203" s="5">
        <f ca="1">IFERROR(__xludf.DUMMYFUNCTION("""COMPUTED_VALUE"""),0)</f>
        <v>0</v>
      </c>
      <c r="G203" s="5">
        <f ca="1">IFERROR(__xludf.DUMMYFUNCTION("""COMPUTED_VALUE"""),0)</f>
        <v>0</v>
      </c>
      <c r="H203"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I203" s="5">
        <f ca="1">IFERROR(__xludf.DUMMYFUNCTION("""COMPUTED_VALUE"""),5)</f>
        <v>5</v>
      </c>
      <c r="J203" s="5" t="str">
        <f ca="1">IFERROR(__xludf.DUMMYFUNCTION("""COMPUTED_VALUE"""),"Local")</f>
        <v>Local</v>
      </c>
      <c r="K203" s="5">
        <f ca="1">IFERROR(__xludf.DUMMYFUNCTION("""COMPUTED_VALUE"""),4)</f>
        <v>4</v>
      </c>
      <c r="L203" s="5" t="str">
        <f ca="1">IFERROR(__xludf.DUMMYFUNCTION("""COMPUTED_VALUE"""),"Winter")</f>
        <v>Winter</v>
      </c>
      <c r="M203" s="5" t="str">
        <f ca="1">IFERROR(__xludf.DUMMYFUNCTION("""COMPUTED_VALUE"""),"Canal Winchester")</f>
        <v>Canal Winchester</v>
      </c>
      <c r="N203" s="5" t="str">
        <f ca="1">IFERROR(__xludf.DUMMYFUNCTION("""COMPUTED_VALUE"""),"OH")</f>
        <v>OH</v>
      </c>
      <c r="O203" s="5" t="str">
        <f ca="1">IFERROR(__xludf.DUMMYFUNCTION("""COMPUTED_VALUE"""),"High")</f>
        <v>High</v>
      </c>
      <c r="P203" s="5" t="str">
        <f ca="1">IFERROR(__xludf.DUMMYFUNCTION("""COMPUTED_VALUE"""),"Field (General)")</f>
        <v>Field (General)</v>
      </c>
      <c r="Q203" s="5" t="str">
        <f ca="1">IFERROR(__xludf.DUMMYFUNCTION("""COMPUTED_VALUE"""),"Outside on School Property")</f>
        <v>Outside on School Property</v>
      </c>
      <c r="R203" s="5" t="str">
        <f ca="1">IFERROR(__xludf.DUMMYFUNCTION("""COMPUTED_VALUE"""),"No")</f>
        <v>No</v>
      </c>
      <c r="S203" s="5" t="str">
        <f ca="1">IFERROR(__xludf.DUMMYFUNCTION("""COMPUTED_VALUE"""),"Before School")</f>
        <v>Before School</v>
      </c>
      <c r="T203" s="10">
        <f ca="1">IFERROR(__xludf.DUMMYFUNCTION("""COMPUTED_VALUE"""),0.243055555555555)</f>
        <v>0.243055555555555</v>
      </c>
      <c r="U203" s="5">
        <f ca="1">IFERROR(__xludf.DUMMYFUNCTION("""COMPUTED_VALUE"""),1)</f>
        <v>1</v>
      </c>
      <c r="V203" s="5" t="str">
        <f ca="1">IFERROR(__xludf.DUMMYFUNCTION("""COMPUTED_VALUE"""),"Man fired shots at officers and fled across campus")</f>
        <v>Man fired shots at officers and fled across campus</v>
      </c>
      <c r="W203"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X203" s="5" t="str">
        <f ca="1">IFERROR(__xludf.DUMMYFUNCTION("""COMPUTED_VALUE"""),"Illegal Activity")</f>
        <v>Illegal Activity</v>
      </c>
      <c r="Y203" s="5" t="str">
        <f ca="1">IFERROR(__xludf.DUMMYFUNCTION("""COMPUTED_VALUE"""),"Random Shooting")</f>
        <v>Random Shooting</v>
      </c>
      <c r="Z203" s="5" t="str">
        <f ca="1">IFERROR(__xludf.DUMMYFUNCTION("""COMPUTED_VALUE"""),"No")</f>
        <v>No</v>
      </c>
      <c r="AA203" s="5"/>
      <c r="AB203" s="5" t="str">
        <f ca="1">IFERROR(__xludf.DUMMYFUNCTION("""COMPUTED_VALUE"""),"No")</f>
        <v>No</v>
      </c>
      <c r="AC203" s="5" t="str">
        <f ca="1">IFERROR(__xludf.DUMMYFUNCTION("""COMPUTED_VALUE"""),"No")</f>
        <v>No</v>
      </c>
      <c r="AD203" s="5" t="str">
        <f ca="1">IFERROR(__xludf.DUMMYFUNCTION("""COMPUTED_VALUE"""),"No")</f>
        <v>No</v>
      </c>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row>
    <row r="204" spans="1:34" ht="12.75">
      <c r="A204" s="5" t="str">
        <f ca="1">IFERROR(__xludf.DUMMYFUNCTION("""COMPUTED_VALUE"""),"20211210NCJEC")</f>
        <v>20211210NCJEC</v>
      </c>
      <c r="B204" s="8">
        <f ca="1">IFERROR(__xludf.DUMMYFUNCTION("""COMPUTED_VALUE"""),44539)</f>
        <v>44539</v>
      </c>
      <c r="C204" s="5" t="str">
        <f ca="1">IFERROR(__xludf.DUMMYFUNCTION("""COMPUTED_VALUE"""),"Jesse C. Carson High")</f>
        <v>Jesse C. Carson High</v>
      </c>
      <c r="D204" s="5">
        <f ca="1">IFERROR(__xludf.DUMMYFUNCTION("""COMPUTED_VALUE"""),0)</f>
        <v>0</v>
      </c>
      <c r="E204" s="5">
        <f ca="1">IFERROR(__xludf.DUMMYFUNCTION("""COMPUTED_VALUE"""),0)</f>
        <v>0</v>
      </c>
      <c r="F204" s="5">
        <f ca="1">IFERROR(__xludf.DUMMYFUNCTION("""COMPUTED_VALUE"""),0)</f>
        <v>0</v>
      </c>
      <c r="G204" s="5">
        <f ca="1">IFERROR(__xludf.DUMMYFUNCTION("""COMPUTED_VALUE"""),0)</f>
        <v>0</v>
      </c>
      <c r="H204" s="9" t="str">
        <f ca="1">IFERROR(__xludf.DUMMYFUNCTION("""COMPUTED_VALUE"""),"https://www.wbtv.com/2021/12/09/shots-hit-cars-high-school-parking-lot-rowan-county-prompting-lockdown/")</f>
        <v>https://www.wbtv.com/2021/12/09/shots-hit-cars-high-school-parking-lot-rowan-county-prompting-lockdown/</v>
      </c>
      <c r="I204" s="5">
        <f ca="1">IFERROR(__xludf.DUMMYFUNCTION("""COMPUTED_VALUE"""),1)</f>
        <v>1</v>
      </c>
      <c r="J204" s="5" t="str">
        <f ca="1">IFERROR(__xludf.DUMMYFUNCTION("""COMPUTED_VALUE"""),"Local")</f>
        <v>Local</v>
      </c>
      <c r="K204" s="5">
        <f ca="1">IFERROR(__xludf.DUMMYFUNCTION("""COMPUTED_VALUE"""),4)</f>
        <v>4</v>
      </c>
      <c r="L204" s="5" t="str">
        <f ca="1">IFERROR(__xludf.DUMMYFUNCTION("""COMPUTED_VALUE"""),"Winter")</f>
        <v>Winter</v>
      </c>
      <c r="M204" s="5" t="str">
        <f ca="1">IFERROR(__xludf.DUMMYFUNCTION("""COMPUTED_VALUE"""),"China Grove")</f>
        <v>China Grove</v>
      </c>
      <c r="N204" s="5" t="str">
        <f ca="1">IFERROR(__xludf.DUMMYFUNCTION("""COMPUTED_VALUE"""),"NC")</f>
        <v>NC</v>
      </c>
      <c r="O204" s="5" t="str">
        <f ca="1">IFERROR(__xludf.DUMMYFUNCTION("""COMPUTED_VALUE"""),"High")</f>
        <v>High</v>
      </c>
      <c r="P204" s="5" t="str">
        <f ca="1">IFERROR(__xludf.DUMMYFUNCTION("""COMPUTED_VALUE"""),"Parking Lot")</f>
        <v>Parking Lot</v>
      </c>
      <c r="Q204" s="5" t="str">
        <f ca="1">IFERROR(__xludf.DUMMYFUNCTION("""COMPUTED_VALUE"""),"Outside on School Property")</f>
        <v>Outside on School Property</v>
      </c>
      <c r="R204" s="5" t="str">
        <f ca="1">IFERROR(__xludf.DUMMYFUNCTION("""COMPUTED_VALUE"""),"Yes")</f>
        <v>Yes</v>
      </c>
      <c r="S204" s="5" t="str">
        <f ca="1">IFERROR(__xludf.DUMMYFUNCTION("""COMPUTED_VALUE"""),"Afternoon Classes")</f>
        <v>Afternoon Classes</v>
      </c>
      <c r="T204" s="10">
        <f ca="1">IFERROR(__xludf.DUMMYFUNCTION("""COMPUTED_VALUE"""),0.583333333333333)</f>
        <v>0.58333333333333304</v>
      </c>
      <c r="U204" s="5">
        <f ca="1">IFERROR(__xludf.DUMMYFUNCTION("""COMPUTED_VALUE"""),1)</f>
        <v>1</v>
      </c>
      <c r="V204" s="5" t="str">
        <f ca="1">IFERROR(__xludf.DUMMYFUNCTION("""COMPUTED_VALUE"""),"Target shooters struck vehicles in the school parking lot")</f>
        <v>Target shooters struck vehicles in the school parking lot</v>
      </c>
      <c r="W204"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X204" s="5" t="str">
        <f ca="1">IFERROR(__xludf.DUMMYFUNCTION("""COMPUTED_VALUE"""),"Accidental")</f>
        <v>Accidental</v>
      </c>
      <c r="Y204" s="5" t="str">
        <f ca="1">IFERROR(__xludf.DUMMYFUNCTION("""COMPUTED_VALUE"""),"Neither")</f>
        <v>Neither</v>
      </c>
      <c r="Z204" s="5" t="str">
        <f ca="1">IFERROR(__xludf.DUMMYFUNCTION("""COMPUTED_VALUE"""),"Yes")</f>
        <v>Yes</v>
      </c>
      <c r="AA204" s="5" t="str">
        <f ca="1">IFERROR(__xludf.DUMMYFUNCTION("""COMPUTED_VALUE"""),"Target shooters")</f>
        <v>Target shooters</v>
      </c>
      <c r="AB204" s="5" t="str">
        <f ca="1">IFERROR(__xludf.DUMMYFUNCTION("""COMPUTED_VALUE"""),"No")</f>
        <v>No</v>
      </c>
      <c r="AC204" s="5" t="str">
        <f ca="1">IFERROR(__xludf.DUMMYFUNCTION("""COMPUTED_VALUE"""),"No")</f>
        <v>No</v>
      </c>
      <c r="AD204" s="5" t="str">
        <f ca="1">IFERROR(__xludf.DUMMYFUNCTION("""COMPUTED_VALUE"""),"No")</f>
        <v>No</v>
      </c>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row>
    <row r="205" spans="1:34" ht="12.75">
      <c r="A205" s="5" t="str">
        <f ca="1">IFERROR(__xludf.DUMMYFUNCTION("""COMPUTED_VALUE"""),"20211209NYGRN")</f>
        <v>20211209NYGRN</v>
      </c>
      <c r="B205" s="8">
        <f ca="1">IFERROR(__xludf.DUMMYFUNCTION("""COMPUTED_VALUE"""),44539)</f>
        <v>44539</v>
      </c>
      <c r="C205" s="5" t="str">
        <f ca="1">IFERROR(__xludf.DUMMYFUNCTION("""COMPUTED_VALUE"""),"Greater Oaks Charter School")</f>
        <v>Greater Oaks Charter School</v>
      </c>
      <c r="D205" s="5">
        <f ca="1">IFERROR(__xludf.DUMMYFUNCTION("""COMPUTED_VALUE"""),0)</f>
        <v>0</v>
      </c>
      <c r="E205" s="5">
        <f ca="1">IFERROR(__xludf.DUMMYFUNCTION("""COMPUTED_VALUE"""),0)</f>
        <v>0</v>
      </c>
      <c r="F205" s="5">
        <f ca="1">IFERROR(__xludf.DUMMYFUNCTION("""COMPUTED_VALUE"""),0)</f>
        <v>0</v>
      </c>
      <c r="G205" s="5">
        <f ca="1">IFERROR(__xludf.DUMMYFUNCTION("""COMPUTED_VALUE"""),0)</f>
        <v>0</v>
      </c>
      <c r="H205"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I205" s="5">
        <f ca="1">IFERROR(__xludf.DUMMYFUNCTION("""COMPUTED_VALUE"""),10)</f>
        <v>10</v>
      </c>
      <c r="J205" s="5" t="str">
        <f ca="1">IFERROR(__xludf.DUMMYFUNCTION("""COMPUTED_VALUE"""),"Local")</f>
        <v>Local</v>
      </c>
      <c r="K205" s="5">
        <f ca="1">IFERROR(__xludf.DUMMYFUNCTION("""COMPUTED_VALUE"""),4)</f>
        <v>4</v>
      </c>
      <c r="L205" s="5" t="str">
        <f ca="1">IFERROR(__xludf.DUMMYFUNCTION("""COMPUTED_VALUE"""),"Winter")</f>
        <v>Winter</v>
      </c>
      <c r="M205" s="5" t="str">
        <f ca="1">IFERROR(__xludf.DUMMYFUNCTION("""COMPUTED_VALUE"""),"New York")</f>
        <v>New York</v>
      </c>
      <c r="N205" s="5" t="str">
        <f ca="1">IFERROR(__xludf.DUMMYFUNCTION("""COMPUTED_VALUE"""),"NY")</f>
        <v>NY</v>
      </c>
      <c r="O205" s="5" t="str">
        <f ca="1">IFERROR(__xludf.DUMMYFUNCTION("""COMPUTED_VALUE"""),"Elementary")</f>
        <v>Elementary</v>
      </c>
      <c r="P205" s="5" t="str">
        <f ca="1">IFERROR(__xludf.DUMMYFUNCTION("""COMPUTED_VALUE"""),"Front of School")</f>
        <v>Front of School</v>
      </c>
      <c r="Q205" s="5" t="str">
        <f ca="1">IFERROR(__xludf.DUMMYFUNCTION("""COMPUTED_VALUE"""),"Outside on School Property")</f>
        <v>Outside on School Property</v>
      </c>
      <c r="R205" s="5" t="str">
        <f ca="1">IFERROR(__xludf.DUMMYFUNCTION("""COMPUTED_VALUE"""),"Yes")</f>
        <v>Yes</v>
      </c>
      <c r="S205" s="5" t="str">
        <f ca="1">IFERROR(__xludf.DUMMYFUNCTION("""COMPUTED_VALUE"""),"Morning Classes")</f>
        <v>Morning Classes</v>
      </c>
      <c r="T205" s="10">
        <f ca="1">IFERROR(__xludf.DUMMYFUNCTION("""COMPUTED_VALUE"""),0.395833333333333)</f>
        <v>0.39583333333333298</v>
      </c>
      <c r="U205" s="5">
        <f ca="1">IFERROR(__xludf.DUMMYFUNCTION("""COMPUTED_VALUE"""),1)</f>
        <v>1</v>
      </c>
      <c r="V205" s="5" t="str">
        <f ca="1">IFERROR(__xludf.DUMMYFUNCTION("""COMPUTED_VALUE"""),"Bullet broke classroom window")</f>
        <v>Bullet broke classroom window</v>
      </c>
      <c r="W205"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X205" s="5" t="str">
        <f ca="1">IFERROR(__xludf.DUMMYFUNCTION("""COMPUTED_VALUE"""),"Escalation of Dispute")</f>
        <v>Escalation of Dispute</v>
      </c>
      <c r="Y205" s="5" t="str">
        <f ca="1">IFERROR(__xludf.DUMMYFUNCTION("""COMPUTED_VALUE"""),"Victims Targeted")</f>
        <v>Victims Targeted</v>
      </c>
      <c r="Z205" s="5" t="str">
        <f ca="1">IFERROR(__xludf.DUMMYFUNCTION("""COMPUTED_VALUE"""),"No")</f>
        <v>No</v>
      </c>
      <c r="AA205" s="5"/>
      <c r="AB205" s="5" t="str">
        <f ca="1">IFERROR(__xludf.DUMMYFUNCTION("""COMPUTED_VALUE"""),"No")</f>
        <v>No</v>
      </c>
      <c r="AC205" s="5" t="str">
        <f ca="1">IFERROR(__xludf.DUMMYFUNCTION("""COMPUTED_VALUE"""),"No")</f>
        <v>No</v>
      </c>
      <c r="AD205" s="5" t="str">
        <f ca="1">IFERROR(__xludf.DUMMYFUNCTION("""COMPUTED_VALUE"""),"No")</f>
        <v>No</v>
      </c>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row>
    <row r="206" spans="1:34" ht="12.75">
      <c r="A206" s="5" t="str">
        <f ca="1">IFERROR(__xludf.DUMMYFUNCTION("""COMPUTED_VALUE"""),"20211208MOEWK")</f>
        <v>20211208MOEWK</v>
      </c>
      <c r="B206" s="8">
        <f ca="1">IFERROR(__xludf.DUMMYFUNCTION("""COMPUTED_VALUE"""),44538)</f>
        <v>44538</v>
      </c>
      <c r="C206" s="5" t="str">
        <f ca="1">IFERROR(__xludf.DUMMYFUNCTION("""COMPUTED_VALUE"""),"Ewing Marion Kauffman School")</f>
        <v>Ewing Marion Kauffman School</v>
      </c>
      <c r="D206" s="5">
        <f ca="1">IFERROR(__xludf.DUMMYFUNCTION("""COMPUTED_VALUE"""),0)</f>
        <v>0</v>
      </c>
      <c r="E206" s="5">
        <f ca="1">IFERROR(__xludf.DUMMYFUNCTION("""COMPUTED_VALUE"""),2)</f>
        <v>2</v>
      </c>
      <c r="F206" s="5">
        <f ca="1">IFERROR(__xludf.DUMMYFUNCTION("""COMPUTED_VALUE"""),2)</f>
        <v>2</v>
      </c>
      <c r="G206" s="5">
        <f ca="1">IFERROR(__xludf.DUMMYFUNCTION("""COMPUTED_VALUE"""),0)</f>
        <v>0</v>
      </c>
      <c r="H206"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I206" s="5">
        <f ca="1">IFERROR(__xludf.DUMMYFUNCTION("""COMPUTED_VALUE"""),10)</f>
        <v>10</v>
      </c>
      <c r="J206" s="5" t="str">
        <f ca="1">IFERROR(__xludf.DUMMYFUNCTION("""COMPUTED_VALUE"""),"Regional")</f>
        <v>Regional</v>
      </c>
      <c r="K206" s="5">
        <f ca="1">IFERROR(__xludf.DUMMYFUNCTION("""COMPUTED_VALUE"""),4)</f>
        <v>4</v>
      </c>
      <c r="L206" s="5" t="str">
        <f ca="1">IFERROR(__xludf.DUMMYFUNCTION("""COMPUTED_VALUE"""),"Winter")</f>
        <v>Winter</v>
      </c>
      <c r="M206" s="5" t="str">
        <f ca="1">IFERROR(__xludf.DUMMYFUNCTION("""COMPUTED_VALUE"""),"Kansas City")</f>
        <v>Kansas City</v>
      </c>
      <c r="N206" s="5" t="str">
        <f ca="1">IFERROR(__xludf.DUMMYFUNCTION("""COMPUTED_VALUE"""),"MO")</f>
        <v>MO</v>
      </c>
      <c r="O206" s="5" t="str">
        <f ca="1">IFERROR(__xludf.DUMMYFUNCTION("""COMPUTED_VALUE"""),"High")</f>
        <v>High</v>
      </c>
      <c r="P206" s="5" t="str">
        <f ca="1">IFERROR(__xludf.DUMMYFUNCTION("""COMPUTED_VALUE"""),"Parking Lot")</f>
        <v>Parking Lot</v>
      </c>
      <c r="Q206" s="5" t="str">
        <f ca="1">IFERROR(__xludf.DUMMYFUNCTION("""COMPUTED_VALUE"""),"Outside on School Property")</f>
        <v>Outside on School Property</v>
      </c>
      <c r="R206" s="5" t="str">
        <f ca="1">IFERROR(__xludf.DUMMYFUNCTION("""COMPUTED_VALUE"""),"No")</f>
        <v>No</v>
      </c>
      <c r="S206" s="5" t="str">
        <f ca="1">IFERROR(__xludf.DUMMYFUNCTION("""COMPUTED_VALUE"""),"Sport Event")</f>
        <v>Sport Event</v>
      </c>
      <c r="T206" s="10">
        <f ca="1">IFERROR(__xludf.DUMMYFUNCTION("""COMPUTED_VALUE"""),0.854166666666666)</f>
        <v>0.85416666666666596</v>
      </c>
      <c r="U206" s="5">
        <f ca="1">IFERROR(__xludf.DUMMYFUNCTION("""COMPUTED_VALUE"""),1)</f>
        <v>1</v>
      </c>
      <c r="V206" s="5" t="str">
        <f ca="1">IFERROR(__xludf.DUMMYFUNCTION("""COMPUTED_VALUE"""),"Two teens shot in school parking lot during basketball game")</f>
        <v>Two teens shot in school parking lot during basketball game</v>
      </c>
      <c r="W206"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X206" s="5"/>
      <c r="Y206" s="5"/>
      <c r="Z206" s="5"/>
      <c r="AA206" s="5"/>
      <c r="AB206" s="5" t="str">
        <f ca="1">IFERROR(__xludf.DUMMYFUNCTION("""COMPUTED_VALUE"""),"No")</f>
        <v>No</v>
      </c>
      <c r="AC206" s="5" t="str">
        <f ca="1">IFERROR(__xludf.DUMMYFUNCTION("""COMPUTED_VALUE"""),"No")</f>
        <v>No</v>
      </c>
      <c r="AD206" s="5" t="str">
        <f ca="1">IFERROR(__xludf.DUMMYFUNCTION("""COMPUTED_VALUE"""),"No")</f>
        <v>No</v>
      </c>
      <c r="AE206" s="5" t="str">
        <f ca="1">IFERROR(__xludf.DUMMYFUNCTION("""COMPUTED_VALUE"""),"No")</f>
        <v>No</v>
      </c>
      <c r="AF206" s="5" t="str">
        <f ca="1">IFERROR(__xludf.DUMMYFUNCTION("""COMPUTED_VALUE"""),"No")</f>
        <v>No</v>
      </c>
      <c r="AG206" s="5"/>
      <c r="AH206" s="5" t="str">
        <f ca="1">IFERROR(__xludf.DUMMYFUNCTION("""COMPUTED_VALUE"""),"No")</f>
        <v>No</v>
      </c>
    </row>
    <row r="207" spans="1:34" ht="12.75">
      <c r="A207" s="5" t="str">
        <f ca="1">IFERROR(__xludf.DUMMYFUNCTION("""COMPUTED_VALUE"""),"20211208KYSTL")</f>
        <v>20211208KYSTL</v>
      </c>
      <c r="B207" s="8">
        <f ca="1">IFERROR(__xludf.DUMMYFUNCTION("""COMPUTED_VALUE"""),44538)</f>
        <v>44538</v>
      </c>
      <c r="C207" s="5" t="str">
        <f ca="1">IFERROR(__xludf.DUMMYFUNCTION("""COMPUTED_VALUE"""),"St. Matthews Elementary School")</f>
        <v>St. Matthews Elementary School</v>
      </c>
      <c r="D207" s="5">
        <f ca="1">IFERROR(__xludf.DUMMYFUNCTION("""COMPUTED_VALUE"""),0)</f>
        <v>0</v>
      </c>
      <c r="E207" s="5">
        <f ca="1">IFERROR(__xludf.DUMMYFUNCTION("""COMPUTED_VALUE"""),0)</f>
        <v>0</v>
      </c>
      <c r="F207" s="5">
        <f ca="1">IFERROR(__xludf.DUMMYFUNCTION("""COMPUTED_VALUE"""),0)</f>
        <v>0</v>
      </c>
      <c r="G207" s="5">
        <f ca="1">IFERROR(__xludf.DUMMYFUNCTION("""COMPUTED_VALUE"""),0)</f>
        <v>0</v>
      </c>
      <c r="H207" s="9" t="str">
        <f ca="1">IFERROR(__xludf.DUMMYFUNCTION("""COMPUTED_VALUE"""),"https://www.wave3.com/2021/12/08/shooting-near-st-matthews-elementary-school-under-investigation/")</f>
        <v>https://www.wave3.com/2021/12/08/shooting-near-st-matthews-elementary-school-under-investigation/</v>
      </c>
      <c r="I207" s="5">
        <f ca="1">IFERROR(__xludf.DUMMYFUNCTION("""COMPUTED_VALUE"""),1)</f>
        <v>1</v>
      </c>
      <c r="J207" s="5" t="str">
        <f ca="1">IFERROR(__xludf.DUMMYFUNCTION("""COMPUTED_VALUE"""),"Local")</f>
        <v>Local</v>
      </c>
      <c r="K207" s="5">
        <f ca="1">IFERROR(__xludf.DUMMYFUNCTION("""COMPUTED_VALUE"""),3)</f>
        <v>3</v>
      </c>
      <c r="L207" s="5" t="str">
        <f ca="1">IFERROR(__xludf.DUMMYFUNCTION("""COMPUTED_VALUE"""),"Winter")</f>
        <v>Winter</v>
      </c>
      <c r="M207" s="5" t="str">
        <f ca="1">IFERROR(__xludf.DUMMYFUNCTION("""COMPUTED_VALUE"""),"Louisville")</f>
        <v>Louisville</v>
      </c>
      <c r="N207" s="5" t="str">
        <f ca="1">IFERROR(__xludf.DUMMYFUNCTION("""COMPUTED_VALUE"""),"KY")</f>
        <v>KY</v>
      </c>
      <c r="O207" s="5" t="str">
        <f ca="1">IFERROR(__xludf.DUMMYFUNCTION("""COMPUTED_VALUE"""),"Elementary")</f>
        <v>Elementary</v>
      </c>
      <c r="P207" s="5" t="str">
        <f ca="1">IFERROR(__xludf.DUMMYFUNCTION("""COMPUTED_VALUE"""),"Parking Lot")</f>
        <v>Parking Lot</v>
      </c>
      <c r="Q207" s="5" t="str">
        <f ca="1">IFERROR(__xludf.DUMMYFUNCTION("""COMPUTED_VALUE"""),"Outside on School Property")</f>
        <v>Outside on School Property</v>
      </c>
      <c r="R207" s="5" t="str">
        <f ca="1">IFERROR(__xludf.DUMMYFUNCTION("""COMPUTED_VALUE"""),"No")</f>
        <v>No</v>
      </c>
      <c r="S207" s="5" t="str">
        <f ca="1">IFERROR(__xludf.DUMMYFUNCTION("""COMPUTED_VALUE"""),"Night")</f>
        <v>Night</v>
      </c>
      <c r="T207" s="10">
        <f ca="1">IFERROR(__xludf.DUMMYFUNCTION("""COMPUTED_VALUE"""),0.895833333333333)</f>
        <v>0.89583333333333304</v>
      </c>
      <c r="U207" s="5">
        <f ca="1">IFERROR(__xludf.DUMMYFUNCTION("""COMPUTED_VALUE"""),1)</f>
        <v>1</v>
      </c>
      <c r="V207" s="5" t="str">
        <f ca="1">IFERROR(__xludf.DUMMYFUNCTION("""COMPUTED_VALUE"""),"Person inside a car was shot at several times in school parking lot")</f>
        <v>Person inside a car was shot at several times in school parking lot</v>
      </c>
      <c r="W207"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X207" s="5"/>
      <c r="Y207" s="5" t="str">
        <f ca="1">IFERROR(__xludf.DUMMYFUNCTION("""COMPUTED_VALUE"""),"Victims Targeted")</f>
        <v>Victims Targeted</v>
      </c>
      <c r="Z207" s="5"/>
      <c r="AA207" s="5"/>
      <c r="AB207" s="5" t="str">
        <f ca="1">IFERROR(__xludf.DUMMYFUNCTION("""COMPUTED_VALUE"""),"No")</f>
        <v>No</v>
      </c>
      <c r="AC207" s="5" t="str">
        <f ca="1">IFERROR(__xludf.DUMMYFUNCTION("""COMPUTED_VALUE"""),"No")</f>
        <v>No</v>
      </c>
      <c r="AD207" s="5" t="str">
        <f ca="1">IFERROR(__xludf.DUMMYFUNCTION("""COMPUTED_VALUE"""),"No")</f>
        <v>No</v>
      </c>
      <c r="AE207" s="5" t="str">
        <f ca="1">IFERROR(__xludf.DUMMYFUNCTION("""COMPUTED_VALUE"""),"No")</f>
        <v>No</v>
      </c>
      <c r="AF207" s="5"/>
      <c r="AG207" s="5"/>
      <c r="AH207" s="5" t="str">
        <f ca="1">IFERROR(__xludf.DUMMYFUNCTION("""COMPUTED_VALUE"""),"No")</f>
        <v>No</v>
      </c>
    </row>
    <row r="208" spans="1:34" ht="12.75">
      <c r="A208" s="5" t="str">
        <f ca="1">IFERROR(__xludf.DUMMYFUNCTION("""COMPUTED_VALUE"""),"20211207ILHAC")</f>
        <v>20211207ILHAC</v>
      </c>
      <c r="B208" s="8">
        <f ca="1">IFERROR(__xludf.DUMMYFUNCTION("""COMPUTED_VALUE"""),44537)</f>
        <v>44537</v>
      </c>
      <c r="C208" s="5" t="str">
        <f ca="1">IFERROR(__xludf.DUMMYFUNCTION("""COMPUTED_VALUE"""),"Haines Elementary School")</f>
        <v>Haines Elementary School</v>
      </c>
      <c r="D208" s="5">
        <f ca="1">IFERROR(__xludf.DUMMYFUNCTION("""COMPUTED_VALUE"""),1)</f>
        <v>1</v>
      </c>
      <c r="E208" s="5">
        <f ca="1">IFERROR(__xludf.DUMMYFUNCTION("""COMPUTED_VALUE"""),0)</f>
        <v>0</v>
      </c>
      <c r="F208" s="5">
        <f ca="1">IFERROR(__xludf.DUMMYFUNCTION("""COMPUTED_VALUE"""),1)</f>
        <v>1</v>
      </c>
      <c r="G208" s="5">
        <f ca="1">IFERROR(__xludf.DUMMYFUNCTION("""COMPUTED_VALUE"""),0)</f>
        <v>0</v>
      </c>
      <c r="H208"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I208" s="5">
        <f ca="1">IFERROR(__xludf.DUMMYFUNCTION("""COMPUTED_VALUE"""),5)</f>
        <v>5</v>
      </c>
      <c r="J208" s="5" t="str">
        <f ca="1">IFERROR(__xludf.DUMMYFUNCTION("""COMPUTED_VALUE"""),"Local")</f>
        <v>Local</v>
      </c>
      <c r="K208" s="5">
        <f ca="1">IFERROR(__xludf.DUMMYFUNCTION("""COMPUTED_VALUE"""),4)</f>
        <v>4</v>
      </c>
      <c r="L208" s="5" t="str">
        <f ca="1">IFERROR(__xludf.DUMMYFUNCTION("""COMPUTED_VALUE"""),"Winter")</f>
        <v>Winter</v>
      </c>
      <c r="M208" s="5" t="str">
        <f ca="1">IFERROR(__xludf.DUMMYFUNCTION("""COMPUTED_VALUE"""),"Chicago")</f>
        <v>Chicago</v>
      </c>
      <c r="N208" s="5" t="str">
        <f ca="1">IFERROR(__xludf.DUMMYFUNCTION("""COMPUTED_VALUE"""),"IL")</f>
        <v>IL</v>
      </c>
      <c r="O208" s="5" t="str">
        <f ca="1">IFERROR(__xludf.DUMMYFUNCTION("""COMPUTED_VALUE"""),"Elementary")</f>
        <v>Elementary</v>
      </c>
      <c r="P208" s="5" t="str">
        <f ca="1">IFERROR(__xludf.DUMMYFUNCTION("""COMPUTED_VALUE"""),"Front of School")</f>
        <v>Front of School</v>
      </c>
      <c r="Q208" s="5" t="str">
        <f ca="1">IFERROR(__xludf.DUMMYFUNCTION("""COMPUTED_VALUE"""),"Off School Property")</f>
        <v>Off School Property</v>
      </c>
      <c r="R208" s="5" t="str">
        <f ca="1">IFERROR(__xludf.DUMMYFUNCTION("""COMPUTED_VALUE"""),"Yes")</f>
        <v>Yes</v>
      </c>
      <c r="S208" s="5" t="str">
        <f ca="1">IFERROR(__xludf.DUMMYFUNCTION("""COMPUTED_VALUE"""),"Lunch")</f>
        <v>Lunch</v>
      </c>
      <c r="T208" s="10">
        <f ca="1">IFERROR(__xludf.DUMMYFUNCTION("""COMPUTED_VALUE"""),0.520833333333333)</f>
        <v>0.52083333333333304</v>
      </c>
      <c r="U208" s="5">
        <f ca="1">IFERROR(__xludf.DUMMYFUNCTION("""COMPUTED_VALUE"""),1)</f>
        <v>1</v>
      </c>
      <c r="V208" s="5" t="str">
        <f ca="1">IFERROR(__xludf.DUMMYFUNCTION("""COMPUTED_VALUE"""),"Man shot multiple times in front of school")</f>
        <v>Man shot multiple times in front of school</v>
      </c>
      <c r="W208"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X208" s="5" t="str">
        <f ca="1">IFERROR(__xludf.DUMMYFUNCTION("""COMPUTED_VALUE"""),"Illegal Activity")</f>
        <v>Illegal Activity</v>
      </c>
      <c r="Y208" s="5" t="str">
        <f ca="1">IFERROR(__xludf.DUMMYFUNCTION("""COMPUTED_VALUE"""),"Victims Targeted")</f>
        <v>Victims Targeted</v>
      </c>
      <c r="Z208" s="5" t="str">
        <f ca="1">IFERROR(__xludf.DUMMYFUNCTION("""COMPUTED_VALUE"""),"No")</f>
        <v>No</v>
      </c>
      <c r="AA208" s="5"/>
      <c r="AB208" s="5"/>
      <c r="AC208" s="5" t="str">
        <f ca="1">IFERROR(__xludf.DUMMYFUNCTION("""COMPUTED_VALUE"""),"No")</f>
        <v>No</v>
      </c>
      <c r="AD208" s="5" t="str">
        <f ca="1">IFERROR(__xludf.DUMMYFUNCTION("""COMPUTED_VALUE"""),"No")</f>
        <v>No</v>
      </c>
      <c r="AE208" s="5" t="str">
        <f ca="1">IFERROR(__xludf.DUMMYFUNCTION("""COMPUTED_VALUE"""),"No")</f>
        <v>No</v>
      </c>
      <c r="AF208" s="5" t="str">
        <f ca="1">IFERROR(__xludf.DUMMYFUNCTION("""COMPUTED_VALUE"""),"No")</f>
        <v>No</v>
      </c>
      <c r="AG208" s="5"/>
      <c r="AH208" s="5" t="str">
        <f ca="1">IFERROR(__xludf.DUMMYFUNCTION("""COMPUTED_VALUE"""),"No")</f>
        <v>No</v>
      </c>
    </row>
    <row r="209" spans="1:34" ht="12.75">
      <c r="A209" s="5" t="str">
        <f ca="1">IFERROR(__xludf.DUMMYFUNCTION("""COMPUTED_VALUE"""),"20211206NYSUS")</f>
        <v>20211206NYSUS</v>
      </c>
      <c r="B209" s="8">
        <f ca="1">IFERROR(__xludf.DUMMYFUNCTION("""COMPUTED_VALUE"""),44536)</f>
        <v>44536</v>
      </c>
      <c r="C209" s="5" t="str">
        <f ca="1">IFERROR(__xludf.DUMMYFUNCTION("""COMPUTED_VALUE"""),"Susan E. Wagner High School")</f>
        <v>Susan E. Wagner High School</v>
      </c>
      <c r="D209" s="5">
        <f ca="1">IFERROR(__xludf.DUMMYFUNCTION("""COMPUTED_VALUE"""),0)</f>
        <v>0</v>
      </c>
      <c r="E209" s="5">
        <f ca="1">IFERROR(__xludf.DUMMYFUNCTION("""COMPUTED_VALUE"""),1)</f>
        <v>1</v>
      </c>
      <c r="F209" s="5">
        <f ca="1">IFERROR(__xludf.DUMMYFUNCTION("""COMPUTED_VALUE"""),1)</f>
        <v>1</v>
      </c>
      <c r="G209" s="5">
        <f ca="1">IFERROR(__xludf.DUMMYFUNCTION("""COMPUTED_VALUE"""),0)</f>
        <v>0</v>
      </c>
      <c r="H209"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I209" s="5">
        <f ca="1">IFERROR(__xludf.DUMMYFUNCTION("""COMPUTED_VALUE"""),10)</f>
        <v>10</v>
      </c>
      <c r="J209" s="5" t="str">
        <f ca="1">IFERROR(__xludf.DUMMYFUNCTION("""COMPUTED_VALUE"""),"Regional")</f>
        <v>Regional</v>
      </c>
      <c r="K209" s="5">
        <f ca="1">IFERROR(__xludf.DUMMYFUNCTION("""COMPUTED_VALUE"""),4)</f>
        <v>4</v>
      </c>
      <c r="L209" s="5" t="str">
        <f ca="1">IFERROR(__xludf.DUMMYFUNCTION("""COMPUTED_VALUE"""),"Winter")</f>
        <v>Winter</v>
      </c>
      <c r="M209" s="5" t="str">
        <f ca="1">IFERROR(__xludf.DUMMYFUNCTION("""COMPUTED_VALUE"""),"Staten Island")</f>
        <v>Staten Island</v>
      </c>
      <c r="N209" s="5" t="str">
        <f ca="1">IFERROR(__xludf.DUMMYFUNCTION("""COMPUTED_VALUE"""),"NY")</f>
        <v>NY</v>
      </c>
      <c r="O209" s="5" t="str">
        <f ca="1">IFERROR(__xludf.DUMMYFUNCTION("""COMPUTED_VALUE"""),"High")</f>
        <v>High</v>
      </c>
      <c r="P209" s="5" t="str">
        <f ca="1">IFERROR(__xludf.DUMMYFUNCTION("""COMPUTED_VALUE"""),"Front of School")</f>
        <v>Front of School</v>
      </c>
      <c r="Q209" s="5" t="str">
        <f ca="1">IFERROR(__xludf.DUMMYFUNCTION("""COMPUTED_VALUE"""),"Outside on School Property")</f>
        <v>Outside on School Property</v>
      </c>
      <c r="R209" s="5" t="str">
        <f ca="1">IFERROR(__xludf.DUMMYFUNCTION("""COMPUTED_VALUE"""),"Yes")</f>
        <v>Yes</v>
      </c>
      <c r="S209" s="5" t="str">
        <f ca="1">IFERROR(__xludf.DUMMYFUNCTION("""COMPUTED_VALUE"""),"Dismissal")</f>
        <v>Dismissal</v>
      </c>
      <c r="T209" s="10">
        <f ca="1">IFERROR(__xludf.DUMMYFUNCTION("""COMPUTED_VALUE"""),0.625)</f>
        <v>0.625</v>
      </c>
      <c r="U209" s="5">
        <f ca="1">IFERROR(__xludf.DUMMYFUNCTION("""COMPUTED_VALUE"""),1)</f>
        <v>1</v>
      </c>
      <c r="V209" s="5" t="str">
        <f ca="1">IFERROR(__xludf.DUMMYFUNCTION("""COMPUTED_VALUE"""),"Student waiting for bus was attacked and pistol whipped by 2 teens")</f>
        <v>Student waiting for bus was attacked and pistol whipped by 2 teens</v>
      </c>
      <c r="W209"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X209" s="5"/>
      <c r="Y209" s="5" t="str">
        <f ca="1">IFERROR(__xludf.DUMMYFUNCTION("""COMPUTED_VALUE"""),"Victims Targeted")</f>
        <v>Victims Targeted</v>
      </c>
      <c r="Z209" s="5" t="str">
        <f ca="1">IFERROR(__xludf.DUMMYFUNCTION("""COMPUTED_VALUE"""),"Yes")</f>
        <v>Yes</v>
      </c>
      <c r="AA209" s="5" t="str">
        <f ca="1">IFERROR(__xludf.DUMMYFUNCTION("""COMPUTED_VALUE"""),"Two teens")</f>
        <v>Two teens</v>
      </c>
      <c r="AB209" s="5" t="str">
        <f ca="1">IFERROR(__xludf.DUMMYFUNCTION("""COMPUTED_VALUE"""),"No")</f>
        <v>No</v>
      </c>
      <c r="AC209" s="5" t="str">
        <f ca="1">IFERROR(__xludf.DUMMYFUNCTION("""COMPUTED_VALUE"""),"No")</f>
        <v>No</v>
      </c>
      <c r="AD209" s="5" t="str">
        <f ca="1">IFERROR(__xludf.DUMMYFUNCTION("""COMPUTED_VALUE"""),"No")</f>
        <v>No</v>
      </c>
      <c r="AE209" s="5"/>
      <c r="AF209" s="5" t="str">
        <f ca="1">IFERROR(__xludf.DUMMYFUNCTION("""COMPUTED_VALUE"""),"No")</f>
        <v>No</v>
      </c>
      <c r="AG209" s="5"/>
      <c r="AH209" s="5" t="str">
        <f ca="1">IFERROR(__xludf.DUMMYFUNCTION("""COMPUTED_VALUE"""),"No")</f>
        <v>No</v>
      </c>
    </row>
    <row r="210" spans="1:34" ht="12.75">
      <c r="A210" s="5" t="str">
        <f ca="1">IFERROR(__xludf.DUMMYFUNCTION("""COMPUTED_VALUE"""),"20211206CAWIW")</f>
        <v>20211206CAWIW</v>
      </c>
      <c r="B210" s="8">
        <f ca="1">IFERROR(__xludf.DUMMYFUNCTION("""COMPUTED_VALUE"""),44536)</f>
        <v>44536</v>
      </c>
      <c r="C210" s="5" t="str">
        <f ca="1">IFERROR(__xludf.DUMMYFUNCTION("""COMPUTED_VALUE"""),"Wilmington Park Elementary School")</f>
        <v>Wilmington Park Elementary School</v>
      </c>
      <c r="D210" s="5">
        <f ca="1">IFERROR(__xludf.DUMMYFUNCTION("""COMPUTED_VALUE"""),1)</f>
        <v>1</v>
      </c>
      <c r="E210" s="5">
        <f ca="1">IFERROR(__xludf.DUMMYFUNCTION("""COMPUTED_VALUE"""),2)</f>
        <v>2</v>
      </c>
      <c r="F210" s="5">
        <f ca="1">IFERROR(__xludf.DUMMYFUNCTION("""COMPUTED_VALUE"""),3)</f>
        <v>3</v>
      </c>
      <c r="G210" s="5">
        <f ca="1">IFERROR(__xludf.DUMMYFUNCTION("""COMPUTED_VALUE"""),0)</f>
        <v>0</v>
      </c>
      <c r="H210"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I210" s="5">
        <f ca="1">IFERROR(__xludf.DUMMYFUNCTION("""COMPUTED_VALUE"""),10)</f>
        <v>10</v>
      </c>
      <c r="J210" s="5" t="str">
        <f ca="1">IFERROR(__xludf.DUMMYFUNCTION("""COMPUTED_VALUE"""),"Regional")</f>
        <v>Regional</v>
      </c>
      <c r="K210" s="5">
        <f ca="1">IFERROR(__xludf.DUMMYFUNCTION("""COMPUTED_VALUE"""),4)</f>
        <v>4</v>
      </c>
      <c r="L210" s="5" t="str">
        <f ca="1">IFERROR(__xludf.DUMMYFUNCTION("""COMPUTED_VALUE"""),"Winter")</f>
        <v>Winter</v>
      </c>
      <c r="M210" s="5" t="str">
        <f ca="1">IFERROR(__xludf.DUMMYFUNCTION("""COMPUTED_VALUE"""),"Wilmington")</f>
        <v>Wilmington</v>
      </c>
      <c r="N210" s="5" t="str">
        <f ca="1">IFERROR(__xludf.DUMMYFUNCTION("""COMPUTED_VALUE"""),"CA")</f>
        <v>CA</v>
      </c>
      <c r="O210" s="5" t="str">
        <f ca="1">IFERROR(__xludf.DUMMYFUNCTION("""COMPUTED_VALUE"""),"Elementary")</f>
        <v>Elementary</v>
      </c>
      <c r="P210" s="5" t="str">
        <f ca="1">IFERROR(__xludf.DUMMYFUNCTION("""COMPUTED_VALUE"""),"Playground")</f>
        <v>Playground</v>
      </c>
      <c r="Q210" s="5" t="str">
        <f ca="1">IFERROR(__xludf.DUMMYFUNCTION("""COMPUTED_VALUE"""),"Outside on School Property")</f>
        <v>Outside on School Property</v>
      </c>
      <c r="R210" s="5" t="str">
        <f ca="1">IFERROR(__xludf.DUMMYFUNCTION("""COMPUTED_VALUE"""),"Yes")</f>
        <v>Yes</v>
      </c>
      <c r="S210" s="5" t="str">
        <f ca="1">IFERROR(__xludf.DUMMYFUNCTION("""COMPUTED_VALUE"""),"After School")</f>
        <v>After School</v>
      </c>
      <c r="T210" s="10">
        <f ca="1">IFERROR(__xludf.DUMMYFUNCTION("""COMPUTED_VALUE"""),0.698611111111111)</f>
        <v>0.69861111111111096</v>
      </c>
      <c r="U210" s="5">
        <f ca="1">IFERROR(__xludf.DUMMYFUNCTION("""COMPUTED_VALUE"""),1)</f>
        <v>1</v>
      </c>
      <c r="V210" s="5" t="str">
        <f ca="1">IFERROR(__xludf.DUMMYFUNCTION("""COMPUTED_VALUE"""),"9-year-old girl critically injured by stray shot while on school playground")</f>
        <v>9-year-old girl critically injured by stray shot while on school playground</v>
      </c>
      <c r="W210"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X210" s="5"/>
      <c r="Y210" s="5" t="str">
        <f ca="1">IFERROR(__xludf.DUMMYFUNCTION("""COMPUTED_VALUE"""),"Both")</f>
        <v>Both</v>
      </c>
      <c r="Z210" s="5" t="str">
        <f ca="1">IFERROR(__xludf.DUMMYFUNCTION("""COMPUTED_VALUE"""),"Yes")</f>
        <v>Yes</v>
      </c>
      <c r="AA210" s="5" t="str">
        <f ca="1">IFERROR(__xludf.DUMMYFUNCTION("""COMPUTED_VALUE"""),"2 shooters")</f>
        <v>2 shooters</v>
      </c>
      <c r="AB210" s="5" t="str">
        <f ca="1">IFERROR(__xludf.DUMMYFUNCTION("""COMPUTED_VALUE"""),"No")</f>
        <v>No</v>
      </c>
      <c r="AC210" s="5" t="str">
        <f ca="1">IFERROR(__xludf.DUMMYFUNCTION("""COMPUTED_VALUE"""),"No")</f>
        <v>No</v>
      </c>
      <c r="AD210" s="5" t="str">
        <f ca="1">IFERROR(__xludf.DUMMYFUNCTION("""COMPUTED_VALUE"""),"No")</f>
        <v>No</v>
      </c>
      <c r="AE210" s="5" t="str">
        <f ca="1">IFERROR(__xludf.DUMMYFUNCTION("""COMPUTED_VALUE"""),"No")</f>
        <v>No</v>
      </c>
      <c r="AF210" s="5"/>
      <c r="AG210" s="5"/>
      <c r="AH210" s="5" t="str">
        <f ca="1">IFERROR(__xludf.DUMMYFUNCTION("""COMPUTED_VALUE"""),"No")</f>
        <v>No</v>
      </c>
    </row>
    <row r="211" spans="1:34" ht="12.75">
      <c r="A211" s="5" t="str">
        <f ca="1">IFERROR(__xludf.DUMMYFUNCTION("""COMPUTED_VALUE"""),"20211203ARBLB")</f>
        <v>20211203ARBLB</v>
      </c>
      <c r="B211" s="8">
        <f ca="1">IFERROR(__xludf.DUMMYFUNCTION("""COMPUTED_VALUE"""),44533)</f>
        <v>44533</v>
      </c>
      <c r="C211" s="5" t="str">
        <f ca="1">IFERROR(__xludf.DUMMYFUNCTION("""COMPUTED_VALUE"""),"Blytheville High School")</f>
        <v>Blytheville High School</v>
      </c>
      <c r="D211" s="5">
        <f ca="1">IFERROR(__xludf.DUMMYFUNCTION("""COMPUTED_VALUE"""),0)</f>
        <v>0</v>
      </c>
      <c r="E211" s="5">
        <f ca="1">IFERROR(__xludf.DUMMYFUNCTION("""COMPUTED_VALUE"""),0)</f>
        <v>0</v>
      </c>
      <c r="F211" s="5">
        <f ca="1">IFERROR(__xludf.DUMMYFUNCTION("""COMPUTED_VALUE"""),0)</f>
        <v>0</v>
      </c>
      <c r="G211" s="5">
        <f ca="1">IFERROR(__xludf.DUMMYFUNCTION("""COMPUTED_VALUE"""),0)</f>
        <v>0</v>
      </c>
      <c r="H211" s="9" t="str">
        <f ca="1">IFERROR(__xludf.DUMMYFUNCTION("""COMPUTED_VALUE"""),"https://www.kait8.com/2021/12/06/man-arrested-following-school-parking-lot-shooting/")</f>
        <v>https://www.kait8.com/2021/12/06/man-arrested-following-school-parking-lot-shooting/</v>
      </c>
      <c r="I211" s="5">
        <f ca="1">IFERROR(__xludf.DUMMYFUNCTION("""COMPUTED_VALUE"""),1)</f>
        <v>1</v>
      </c>
      <c r="J211" s="5" t="str">
        <f ca="1">IFERROR(__xludf.DUMMYFUNCTION("""COMPUTED_VALUE"""),"Local")</f>
        <v>Local</v>
      </c>
      <c r="K211" s="5">
        <f ca="1">IFERROR(__xludf.DUMMYFUNCTION("""COMPUTED_VALUE"""),4)</f>
        <v>4</v>
      </c>
      <c r="L211" s="5" t="str">
        <f ca="1">IFERROR(__xludf.DUMMYFUNCTION("""COMPUTED_VALUE"""),"Winter")</f>
        <v>Winter</v>
      </c>
      <c r="M211" s="5" t="str">
        <f ca="1">IFERROR(__xludf.DUMMYFUNCTION("""COMPUTED_VALUE"""),"Blytheville")</f>
        <v>Blytheville</v>
      </c>
      <c r="N211" s="5" t="str">
        <f ca="1">IFERROR(__xludf.DUMMYFUNCTION("""COMPUTED_VALUE"""),"AR")</f>
        <v>AR</v>
      </c>
      <c r="O211" s="5" t="str">
        <f ca="1">IFERROR(__xludf.DUMMYFUNCTION("""COMPUTED_VALUE"""),"High")</f>
        <v>High</v>
      </c>
      <c r="P211" s="5" t="str">
        <f ca="1">IFERROR(__xludf.DUMMYFUNCTION("""COMPUTED_VALUE"""),"Parking Lot")</f>
        <v>Parking Lot</v>
      </c>
      <c r="Q211" s="5" t="str">
        <f ca="1">IFERROR(__xludf.DUMMYFUNCTION("""COMPUTED_VALUE"""),"Outside on School Property")</f>
        <v>Outside on School Property</v>
      </c>
      <c r="R211" s="5" t="str">
        <f ca="1">IFERROR(__xludf.DUMMYFUNCTION("""COMPUTED_VALUE"""),"No")</f>
        <v>No</v>
      </c>
      <c r="S211" s="5" t="str">
        <f ca="1">IFERROR(__xludf.DUMMYFUNCTION("""COMPUTED_VALUE"""),"Night")</f>
        <v>Night</v>
      </c>
      <c r="T211" s="10">
        <f ca="1">IFERROR(__xludf.DUMMYFUNCTION("""COMPUTED_VALUE"""),0.885416666666666)</f>
        <v>0.88541666666666596</v>
      </c>
      <c r="U211" s="5">
        <f ca="1">IFERROR(__xludf.DUMMYFUNCTION("""COMPUTED_VALUE"""),1)</f>
        <v>1</v>
      </c>
      <c r="V211" s="5" t="str">
        <f ca="1">IFERROR(__xludf.DUMMYFUNCTION("""COMPUTED_VALUE"""),"Teen fired multiple shots at person inside vehicle in the parking lot")</f>
        <v>Teen fired multiple shots at person inside vehicle in the parking lot</v>
      </c>
      <c r="W211"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X211" s="5" t="str">
        <f ca="1">IFERROR(__xludf.DUMMYFUNCTION("""COMPUTED_VALUE"""),"Escalation of Dispute")</f>
        <v>Escalation of Dispute</v>
      </c>
      <c r="Y211" s="5" t="str">
        <f ca="1">IFERROR(__xludf.DUMMYFUNCTION("""COMPUTED_VALUE"""),"Victims Targeted")</f>
        <v>Victims Targeted</v>
      </c>
      <c r="Z211" s="5" t="str">
        <f ca="1">IFERROR(__xludf.DUMMYFUNCTION("""COMPUTED_VALUE"""),"No")</f>
        <v>No</v>
      </c>
      <c r="AA211" s="5"/>
      <c r="AB211" s="5" t="str">
        <f ca="1">IFERROR(__xludf.DUMMYFUNCTION("""COMPUTED_VALUE"""),"No")</f>
        <v>No</v>
      </c>
      <c r="AC211" s="5" t="str">
        <f ca="1">IFERROR(__xludf.DUMMYFUNCTION("""COMPUTED_VALUE"""),"No")</f>
        <v>No</v>
      </c>
      <c r="AD211" s="5" t="str">
        <f ca="1">IFERROR(__xludf.DUMMYFUNCTION("""COMPUTED_VALUE"""),"No")</f>
        <v>No</v>
      </c>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row>
    <row r="212" spans="1:34" ht="12.75">
      <c r="A212" s="5" t="str">
        <f ca="1">IFERROR(__xludf.DUMMYFUNCTION("""COMPUTED_VALUE"""),"20211202WAGAS")</f>
        <v>20211202WAGAS</v>
      </c>
      <c r="B212" s="8">
        <f ca="1">IFERROR(__xludf.DUMMYFUNCTION("""COMPUTED_VALUE"""),44533)</f>
        <v>44533</v>
      </c>
      <c r="C212" s="5" t="str">
        <f ca="1">IFERROR(__xludf.DUMMYFUNCTION("""COMPUTED_VALUE"""),"Garfield High School")</f>
        <v>Garfield High School</v>
      </c>
      <c r="D212" s="5">
        <f ca="1">IFERROR(__xludf.DUMMYFUNCTION("""COMPUTED_VALUE"""),0)</f>
        <v>0</v>
      </c>
      <c r="E212" s="5">
        <f ca="1">IFERROR(__xludf.DUMMYFUNCTION("""COMPUTED_VALUE"""),0)</f>
        <v>0</v>
      </c>
      <c r="F212" s="5">
        <f ca="1">IFERROR(__xludf.DUMMYFUNCTION("""COMPUTED_VALUE"""),0)</f>
        <v>0</v>
      </c>
      <c r="G212" s="5">
        <f ca="1">IFERROR(__xludf.DUMMYFUNCTION("""COMPUTED_VALUE"""),0)</f>
        <v>0</v>
      </c>
      <c r="H212"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I212" s="5">
        <f ca="1">IFERROR(__xludf.DUMMYFUNCTION("""COMPUTED_VALUE"""),2)</f>
        <v>2</v>
      </c>
      <c r="J212" s="5" t="str">
        <f ca="1">IFERROR(__xludf.DUMMYFUNCTION("""COMPUTED_VALUE"""),"Local")</f>
        <v>Local</v>
      </c>
      <c r="K212" s="5">
        <f ca="1">IFERROR(__xludf.DUMMYFUNCTION("""COMPUTED_VALUE"""),3)</f>
        <v>3</v>
      </c>
      <c r="L212" s="5" t="str">
        <f ca="1">IFERROR(__xludf.DUMMYFUNCTION("""COMPUTED_VALUE"""),"Winter")</f>
        <v>Winter</v>
      </c>
      <c r="M212" s="5" t="str">
        <f ca="1">IFERROR(__xludf.DUMMYFUNCTION("""COMPUTED_VALUE"""),"Seattle")</f>
        <v>Seattle</v>
      </c>
      <c r="N212" s="5" t="str">
        <f ca="1">IFERROR(__xludf.DUMMYFUNCTION("""COMPUTED_VALUE"""),"WA")</f>
        <v>WA</v>
      </c>
      <c r="O212" s="5" t="str">
        <f ca="1">IFERROR(__xludf.DUMMYFUNCTION("""COMPUTED_VALUE"""),"High")</f>
        <v>High</v>
      </c>
      <c r="P212" s="5" t="str">
        <f ca="1">IFERROR(__xludf.DUMMYFUNCTION("""COMPUTED_VALUE"""),"Parking Lot")</f>
        <v>Parking Lot</v>
      </c>
      <c r="Q212" s="5" t="str">
        <f ca="1">IFERROR(__xludf.DUMMYFUNCTION("""COMPUTED_VALUE"""),"Outside on School Property")</f>
        <v>Outside on School Property</v>
      </c>
      <c r="R212" s="5" t="str">
        <f ca="1">IFERROR(__xludf.DUMMYFUNCTION("""COMPUTED_VALUE"""),"No")</f>
        <v>No</v>
      </c>
      <c r="S212" s="5" t="str">
        <f ca="1">IFERROR(__xludf.DUMMYFUNCTION("""COMPUTED_VALUE"""),"After School")</f>
        <v>After School</v>
      </c>
      <c r="T212" s="10">
        <f ca="1">IFERROR(__xludf.DUMMYFUNCTION("""COMPUTED_VALUE"""),0.6875)</f>
        <v>0.6875</v>
      </c>
      <c r="U212" s="5">
        <f ca="1">IFERROR(__xludf.DUMMYFUNCTION("""COMPUTED_VALUE"""),1)</f>
        <v>1</v>
      </c>
      <c r="V212" s="5" t="str">
        <f ca="1">IFERROR(__xludf.DUMMYFUNCTION("""COMPUTED_VALUE"""),"30 shots fired in school parking lot during basketball practice")</f>
        <v>30 shots fired in school parking lot during basketball practice</v>
      </c>
      <c r="W212"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X212" s="5"/>
      <c r="Y212" s="5" t="str">
        <f ca="1">IFERROR(__xludf.DUMMYFUNCTION("""COMPUTED_VALUE"""),"Both")</f>
        <v>Both</v>
      </c>
      <c r="Z212" s="5" t="str">
        <f ca="1">IFERROR(__xludf.DUMMYFUNCTION("""COMPUTED_VALUE"""),"No")</f>
        <v>No</v>
      </c>
      <c r="AA212" s="5"/>
      <c r="AB212" s="5" t="str">
        <f ca="1">IFERROR(__xludf.DUMMYFUNCTION("""COMPUTED_VALUE"""),"No")</f>
        <v>No</v>
      </c>
      <c r="AC212" s="5" t="str">
        <f ca="1">IFERROR(__xludf.DUMMYFUNCTION("""COMPUTED_VALUE"""),"No")</f>
        <v>No</v>
      </c>
      <c r="AD212" s="5" t="str">
        <f ca="1">IFERROR(__xludf.DUMMYFUNCTION("""COMPUTED_VALUE"""),"No")</f>
        <v>No</v>
      </c>
      <c r="AE212" s="5"/>
      <c r="AF212" s="5" t="str">
        <f ca="1">IFERROR(__xludf.DUMMYFUNCTION("""COMPUTED_VALUE"""),"No")</f>
        <v>No</v>
      </c>
      <c r="AG212" s="5"/>
      <c r="AH212" s="5" t="str">
        <f ca="1">IFERROR(__xludf.DUMMYFUNCTION("""COMPUTED_VALUE"""),"No")</f>
        <v>No</v>
      </c>
    </row>
    <row r="213" spans="1:34" ht="12.75">
      <c r="A213" s="5" t="str">
        <f ca="1">IFERROR(__xludf.DUMMYFUNCTION("""COMPUTED_VALUE"""),"20211201TXSAP")</f>
        <v>20211201TXSAP</v>
      </c>
      <c r="B213" s="8">
        <f ca="1">IFERROR(__xludf.DUMMYFUNCTION("""COMPUTED_VALUE"""),44531)</f>
        <v>44531</v>
      </c>
      <c r="C213" s="5" t="str">
        <f ca="1">IFERROR(__xludf.DUMMYFUNCTION("""COMPUTED_VALUE"""),"Sam Rayburn High School")</f>
        <v>Sam Rayburn High School</v>
      </c>
      <c r="D213" s="5">
        <f ca="1">IFERROR(__xludf.DUMMYFUNCTION("""COMPUTED_VALUE"""),0)</f>
        <v>0</v>
      </c>
      <c r="E213" s="5">
        <f ca="1">IFERROR(__xludf.DUMMYFUNCTION("""COMPUTED_VALUE"""),0)</f>
        <v>0</v>
      </c>
      <c r="F213" s="5">
        <f ca="1">IFERROR(__xludf.DUMMYFUNCTION("""COMPUTED_VALUE"""),0)</f>
        <v>0</v>
      </c>
      <c r="G213" s="5">
        <f ca="1">IFERROR(__xludf.DUMMYFUNCTION("""COMPUTED_VALUE"""),0)</f>
        <v>0</v>
      </c>
      <c r="H213" s="9" t="str">
        <f ca="1">IFERROR(__xludf.DUMMYFUNCTION("""COMPUTED_VALUE"""),"https://www.khou.com/article/news/crime/armed-robbery-sam-rayburn-high-school/285-06becca9-eb0b-46ce-85e6-b710d108e7dc")</f>
        <v>https://www.khou.com/article/news/crime/armed-robbery-sam-rayburn-high-school/285-06becca9-eb0b-46ce-85e6-b710d108e7dc</v>
      </c>
      <c r="I213" s="5"/>
      <c r="J213" s="5" t="str">
        <f ca="1">IFERROR(__xludf.DUMMYFUNCTION("""COMPUTED_VALUE"""),"Local")</f>
        <v>Local</v>
      </c>
      <c r="K213" s="5">
        <f ca="1">IFERROR(__xludf.DUMMYFUNCTION("""COMPUTED_VALUE"""),4)</f>
        <v>4</v>
      </c>
      <c r="L213" s="5" t="str">
        <f ca="1">IFERROR(__xludf.DUMMYFUNCTION("""COMPUTED_VALUE"""),"Winter")</f>
        <v>Winter</v>
      </c>
      <c r="M213" s="5" t="str">
        <f ca="1">IFERROR(__xludf.DUMMYFUNCTION("""COMPUTED_VALUE"""),"Pasadena")</f>
        <v>Pasadena</v>
      </c>
      <c r="N213" s="5" t="str">
        <f ca="1">IFERROR(__xludf.DUMMYFUNCTION("""COMPUTED_VALUE"""),"TX")</f>
        <v>TX</v>
      </c>
      <c r="O213" s="5" t="str">
        <f ca="1">IFERROR(__xludf.DUMMYFUNCTION("""COMPUTED_VALUE"""),"High")</f>
        <v>High</v>
      </c>
      <c r="P213" s="5" t="str">
        <f ca="1">IFERROR(__xludf.DUMMYFUNCTION("""COMPUTED_VALUE"""),"Football Field/Track")</f>
        <v>Football Field/Track</v>
      </c>
      <c r="Q213" s="5" t="str">
        <f ca="1">IFERROR(__xludf.DUMMYFUNCTION("""COMPUTED_VALUE"""),"Outside on School Property")</f>
        <v>Outside on School Property</v>
      </c>
      <c r="R213" s="5" t="str">
        <f ca="1">IFERROR(__xludf.DUMMYFUNCTION("""COMPUTED_VALUE"""),"Yes")</f>
        <v>Yes</v>
      </c>
      <c r="S213" s="5" t="str">
        <f ca="1">IFERROR(__xludf.DUMMYFUNCTION("""COMPUTED_VALUE"""),"Morning Classes")</f>
        <v>Morning Classes</v>
      </c>
      <c r="T213" s="10">
        <f ca="1">IFERROR(__xludf.DUMMYFUNCTION("""COMPUTED_VALUE"""),0.458333333333333)</f>
        <v>0.45833333333333298</v>
      </c>
      <c r="U213" s="5">
        <f ca="1">IFERROR(__xludf.DUMMYFUNCTION("""COMPUTED_VALUE"""),1)</f>
        <v>1</v>
      </c>
      <c r="V213" s="5" t="str">
        <f ca="1">IFERROR(__xludf.DUMMYFUNCTION("""COMPUTED_VALUE"""),"Adult man robbed student at gunpoint and fired shot on the athletic field")</f>
        <v>Adult man robbed student at gunpoint and fired shot on the athletic field</v>
      </c>
      <c r="W213"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X213" s="5" t="str">
        <f ca="1">IFERROR(__xludf.DUMMYFUNCTION("""COMPUTED_VALUE"""),"Illegal Activity")</f>
        <v>Illegal Activity</v>
      </c>
      <c r="Y213" s="5" t="str">
        <f ca="1">IFERROR(__xludf.DUMMYFUNCTION("""COMPUTED_VALUE"""),"Victims Targeted")</f>
        <v>Victims Targeted</v>
      </c>
      <c r="Z213" s="5" t="str">
        <f ca="1">IFERROR(__xludf.DUMMYFUNCTION("""COMPUTED_VALUE"""),"No")</f>
        <v>No</v>
      </c>
      <c r="AA213" s="5"/>
      <c r="AB213" s="5" t="str">
        <f ca="1">IFERROR(__xludf.DUMMYFUNCTION("""COMPUTED_VALUE"""),"No")</f>
        <v>No</v>
      </c>
      <c r="AC213" s="5" t="str">
        <f ca="1">IFERROR(__xludf.DUMMYFUNCTION("""COMPUTED_VALUE"""),"No")</f>
        <v>No</v>
      </c>
      <c r="AD213" s="5" t="str">
        <f ca="1">IFERROR(__xludf.DUMMYFUNCTION("""COMPUTED_VALUE"""),"No")</f>
        <v>No</v>
      </c>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row>
    <row r="214" spans="1:34" ht="12.75">
      <c r="A214" s="5" t="str">
        <f ca="1">IFERROR(__xludf.DUMMYFUNCTION("""COMPUTED_VALUE"""),"20211130TNHUH")</f>
        <v>20211130TNHUH</v>
      </c>
      <c r="B214" s="8">
        <f ca="1">IFERROR(__xludf.DUMMYFUNCTION("""COMPUTED_VALUE"""),44530)</f>
        <v>44530</v>
      </c>
      <c r="C214" s="5" t="str">
        <f ca="1">IFERROR(__xludf.DUMMYFUNCTION("""COMPUTED_VALUE"""),"Humboldt High School")</f>
        <v>Humboldt High School</v>
      </c>
      <c r="D214" s="5">
        <f ca="1">IFERROR(__xludf.DUMMYFUNCTION("""COMPUTED_VALUE"""),1)</f>
        <v>1</v>
      </c>
      <c r="E214" s="5">
        <f ca="1">IFERROR(__xludf.DUMMYFUNCTION("""COMPUTED_VALUE"""),2)</f>
        <v>2</v>
      </c>
      <c r="F214" s="5">
        <f ca="1">IFERROR(__xludf.DUMMYFUNCTION("""COMPUTED_VALUE"""),3)</f>
        <v>3</v>
      </c>
      <c r="G214" s="5">
        <f ca="1">IFERROR(__xludf.DUMMYFUNCTION("""COMPUTED_VALUE"""),0)</f>
        <v>0</v>
      </c>
      <c r="H214"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I214" s="5">
        <f ca="1">IFERROR(__xludf.DUMMYFUNCTION("""COMPUTED_VALUE"""),5)</f>
        <v>5</v>
      </c>
      <c r="J214" s="5" t="str">
        <f ca="1">IFERROR(__xludf.DUMMYFUNCTION("""COMPUTED_VALUE"""),"Regional")</f>
        <v>Regional</v>
      </c>
      <c r="K214" s="5">
        <f ca="1">IFERROR(__xludf.DUMMYFUNCTION("""COMPUTED_VALUE"""),4)</f>
        <v>4</v>
      </c>
      <c r="L214" s="5" t="str">
        <f ca="1">IFERROR(__xludf.DUMMYFUNCTION("""COMPUTED_VALUE"""),"Fall")</f>
        <v>Fall</v>
      </c>
      <c r="M214" s="5" t="str">
        <f ca="1">IFERROR(__xludf.DUMMYFUNCTION("""COMPUTED_VALUE"""),"Humboldt")</f>
        <v>Humboldt</v>
      </c>
      <c r="N214" s="5" t="str">
        <f ca="1">IFERROR(__xludf.DUMMYFUNCTION("""COMPUTED_VALUE"""),"TN")</f>
        <v>TN</v>
      </c>
      <c r="O214" s="5" t="str">
        <f ca="1">IFERROR(__xludf.DUMMYFUNCTION("""COMPUTED_VALUE"""),"High")</f>
        <v>High</v>
      </c>
      <c r="P214" s="5" t="str">
        <f ca="1">IFERROR(__xludf.DUMMYFUNCTION("""COMPUTED_VALUE"""),"Gym")</f>
        <v>Gym</v>
      </c>
      <c r="Q214" s="5" t="str">
        <f ca="1">IFERROR(__xludf.DUMMYFUNCTION("""COMPUTED_VALUE"""),"Inside School Building")</f>
        <v>Inside School Building</v>
      </c>
      <c r="R214" s="5" t="str">
        <f ca="1">IFERROR(__xludf.DUMMYFUNCTION("""COMPUTED_VALUE"""),"No")</f>
        <v>No</v>
      </c>
      <c r="S214" s="5" t="str">
        <f ca="1">IFERROR(__xludf.DUMMYFUNCTION("""COMPUTED_VALUE"""),"School Event")</f>
        <v>School Event</v>
      </c>
      <c r="T214" s="10">
        <f ca="1">IFERROR(__xludf.DUMMYFUNCTION("""COMPUTED_VALUE"""),0.854166666666666)</f>
        <v>0.85416666666666596</v>
      </c>
      <c r="U214" s="5">
        <f ca="1">IFERROR(__xludf.DUMMYFUNCTION("""COMPUTED_VALUE"""),1)</f>
        <v>1</v>
      </c>
      <c r="V214" s="5" t="str">
        <f ca="1">IFERROR(__xludf.DUMMYFUNCTION("""COMPUTED_VALUE"""),"3 people shot during high school basketball game")</f>
        <v>3 people shot during high school basketball game</v>
      </c>
      <c r="W214"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X214" s="5" t="str">
        <f ca="1">IFERROR(__xludf.DUMMYFUNCTION("""COMPUTED_VALUE"""),"Escalation of Dispute")</f>
        <v>Escalation of Dispute</v>
      </c>
      <c r="Y214" s="5" t="str">
        <f ca="1">IFERROR(__xludf.DUMMYFUNCTION("""COMPUTED_VALUE"""),"Both")</f>
        <v>Both</v>
      </c>
      <c r="Z214" s="5" t="str">
        <f ca="1">IFERROR(__xludf.DUMMYFUNCTION("""COMPUTED_VALUE"""),"No")</f>
        <v>No</v>
      </c>
      <c r="AA214" s="5"/>
      <c r="AB214" s="5" t="str">
        <f ca="1">IFERROR(__xludf.DUMMYFUNCTION("""COMPUTED_VALUE"""),"No")</f>
        <v>No</v>
      </c>
      <c r="AC214" s="5" t="str">
        <f ca="1">IFERROR(__xludf.DUMMYFUNCTION("""COMPUTED_VALUE"""),"No")</f>
        <v>No</v>
      </c>
      <c r="AD214" s="5" t="str">
        <f ca="1">IFERROR(__xludf.DUMMYFUNCTION("""COMPUTED_VALUE"""),"No")</f>
        <v>No</v>
      </c>
      <c r="AE214" s="5" t="str">
        <f ca="1">IFERROR(__xludf.DUMMYFUNCTION("""COMPUTED_VALUE"""),"No")</f>
        <v>No</v>
      </c>
      <c r="AF214" s="5" t="str">
        <f ca="1">IFERROR(__xludf.DUMMYFUNCTION("""COMPUTED_VALUE"""),"No")</f>
        <v>No</v>
      </c>
      <c r="AG214" s="5"/>
      <c r="AH214" s="5" t="str">
        <f ca="1">IFERROR(__xludf.DUMMYFUNCTION("""COMPUTED_VALUE"""),"No")</f>
        <v>No</v>
      </c>
    </row>
    <row r="215" spans="1:34" ht="12.75">
      <c r="A215" s="5" t="str">
        <f ca="1">IFERROR(__xludf.DUMMYFUNCTION("""COMPUTED_VALUE"""),"20211130OHWHW")</f>
        <v>20211130OHWHW</v>
      </c>
      <c r="B215" s="8">
        <f ca="1">IFERROR(__xludf.DUMMYFUNCTION("""COMPUTED_VALUE"""),44530)</f>
        <v>44530</v>
      </c>
      <c r="C215" s="5" t="str">
        <f ca="1">IFERROR(__xludf.DUMMYFUNCTION("""COMPUTED_VALUE"""),"Whitehall Yearling High School")</f>
        <v>Whitehall Yearling High School</v>
      </c>
      <c r="D215" s="5">
        <f ca="1">IFERROR(__xludf.DUMMYFUNCTION("""COMPUTED_VALUE"""),0)</f>
        <v>0</v>
      </c>
      <c r="E215" s="5">
        <f ca="1">IFERROR(__xludf.DUMMYFUNCTION("""COMPUTED_VALUE"""),0)</f>
        <v>0</v>
      </c>
      <c r="F215" s="5">
        <f ca="1">IFERROR(__xludf.DUMMYFUNCTION("""COMPUTED_VALUE"""),0)</f>
        <v>0</v>
      </c>
      <c r="G215" s="5">
        <f ca="1">IFERROR(__xludf.DUMMYFUNCTION("""COMPUTED_VALUE"""),0)</f>
        <v>0</v>
      </c>
      <c r="H215"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I215" s="5">
        <f ca="1">IFERROR(__xludf.DUMMYFUNCTION("""COMPUTED_VALUE"""),2)</f>
        <v>2</v>
      </c>
      <c r="J215" s="5" t="str">
        <f ca="1">IFERROR(__xludf.DUMMYFUNCTION("""COMPUTED_VALUE"""),"Local")</f>
        <v>Local</v>
      </c>
      <c r="K215" s="5">
        <f ca="1">IFERROR(__xludf.DUMMYFUNCTION("""COMPUTED_VALUE"""),4)</f>
        <v>4</v>
      </c>
      <c r="L215" s="5" t="str">
        <f ca="1">IFERROR(__xludf.DUMMYFUNCTION("""COMPUTED_VALUE"""),"Fall")</f>
        <v>Fall</v>
      </c>
      <c r="M215" s="5" t="str">
        <f ca="1">IFERROR(__xludf.DUMMYFUNCTION("""COMPUTED_VALUE"""),"Whitehall")</f>
        <v>Whitehall</v>
      </c>
      <c r="N215" s="5" t="str">
        <f ca="1">IFERROR(__xludf.DUMMYFUNCTION("""COMPUTED_VALUE"""),"OH")</f>
        <v>OH</v>
      </c>
      <c r="O215" s="5" t="str">
        <f ca="1">IFERROR(__xludf.DUMMYFUNCTION("""COMPUTED_VALUE"""),"High")</f>
        <v>High</v>
      </c>
      <c r="P215" s="5" t="str">
        <f ca="1">IFERROR(__xludf.DUMMYFUNCTION("""COMPUTED_VALUE"""),"Parking Lot")</f>
        <v>Parking Lot</v>
      </c>
      <c r="Q215" s="5" t="str">
        <f ca="1">IFERROR(__xludf.DUMMYFUNCTION("""COMPUTED_VALUE"""),"Outside on School Property")</f>
        <v>Outside on School Property</v>
      </c>
      <c r="R215" s="5" t="str">
        <f ca="1">IFERROR(__xludf.DUMMYFUNCTION("""COMPUTED_VALUE"""),"No")</f>
        <v>No</v>
      </c>
      <c r="S215" s="5" t="str">
        <f ca="1">IFERROR(__xludf.DUMMYFUNCTION("""COMPUTED_VALUE"""),"Evening")</f>
        <v>Evening</v>
      </c>
      <c r="T215" s="10">
        <f ca="1">IFERROR(__xludf.DUMMYFUNCTION("""COMPUTED_VALUE"""),0.75)</f>
        <v>0.75</v>
      </c>
      <c r="U215" s="5">
        <f ca="1">IFERROR(__xludf.DUMMYFUNCTION("""COMPUTED_VALUE"""),1)</f>
        <v>1</v>
      </c>
      <c r="V215" s="5" t="str">
        <f ca="1">IFERROR(__xludf.DUMMYFUNCTION("""COMPUTED_VALUE"""),"Teen shot himself while engaged in horseplay with two other teens")</f>
        <v>Teen shot himself while engaged in horseplay with two other teens</v>
      </c>
      <c r="W215"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X215" s="5" t="str">
        <f ca="1">IFERROR(__xludf.DUMMYFUNCTION("""COMPUTED_VALUE"""),"Accidental")</f>
        <v>Accidental</v>
      </c>
      <c r="Y215" s="5" t="str">
        <f ca="1">IFERROR(__xludf.DUMMYFUNCTION("""COMPUTED_VALUE"""),"Neither")</f>
        <v>Neither</v>
      </c>
      <c r="Z215" s="5" t="str">
        <f ca="1">IFERROR(__xludf.DUMMYFUNCTION("""COMPUTED_VALUE"""),"Yes")</f>
        <v>Yes</v>
      </c>
      <c r="AA215" s="5" t="str">
        <f ca="1">IFERROR(__xludf.DUMMYFUNCTION("""COMPUTED_VALUE"""),"Asked other teen to hide gun")</f>
        <v>Asked other teen to hide gun</v>
      </c>
      <c r="AB215" s="5" t="str">
        <f ca="1">IFERROR(__xludf.DUMMYFUNCTION("""COMPUTED_VALUE"""),"No")</f>
        <v>No</v>
      </c>
      <c r="AC215" s="5" t="str">
        <f ca="1">IFERROR(__xludf.DUMMYFUNCTION("""COMPUTED_VALUE"""),"No")</f>
        <v>No</v>
      </c>
      <c r="AD215" s="5" t="str">
        <f ca="1">IFERROR(__xludf.DUMMYFUNCTION("""COMPUTED_VALUE"""),"No")</f>
        <v>No</v>
      </c>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row>
    <row r="216" spans="1:34" ht="12.75">
      <c r="A216" s="5" t="str">
        <f ca="1">IFERROR(__xludf.DUMMYFUNCTION("""COMPUTED_VALUE"""),"20211130MIOXO")</f>
        <v>20211130MIOXO</v>
      </c>
      <c r="B216" s="8">
        <f ca="1">IFERROR(__xludf.DUMMYFUNCTION("""COMPUTED_VALUE"""),44530)</f>
        <v>44530</v>
      </c>
      <c r="C216" s="5" t="str">
        <f ca="1">IFERROR(__xludf.DUMMYFUNCTION("""COMPUTED_VALUE"""),"Oxford High School")</f>
        <v>Oxford High School</v>
      </c>
      <c r="D216" s="5">
        <f ca="1">IFERROR(__xludf.DUMMYFUNCTION("""COMPUTED_VALUE"""),4)</f>
        <v>4</v>
      </c>
      <c r="E216" s="5">
        <f ca="1">IFERROR(__xludf.DUMMYFUNCTION("""COMPUTED_VALUE"""),7)</f>
        <v>7</v>
      </c>
      <c r="F216" s="5">
        <f ca="1">IFERROR(__xludf.DUMMYFUNCTION("""COMPUTED_VALUE"""),11)</f>
        <v>11</v>
      </c>
      <c r="G216" s="5">
        <f ca="1">IFERROR(__xludf.DUMMYFUNCTION("""COMPUTED_VALUE"""),0)</f>
        <v>0</v>
      </c>
      <c r="H216" s="5" t="str">
        <f ca="1">IFERROR(__xludf.DUMMYFUNCTION("""COMPUTED_VALUE"""),"https://www.freep.com/story/news/local/michigan/oakland/2021/11/30/oxford-high-school-shooting-suspect-used-gun-dad-bought/8817406002/ https://www.cnn.com/2021/11/30/us/michigan-oxford-high-school-incident/index.html https://www.nytimes.com/live/2021/11/3"&amp;"0/us/school-shooting-michigan")</f>
        <v>https://www.freep.com/story/news/local/michigan/oakland/2021/11/30/oxford-high-school-shooting-suspect-used-gun-dad-bought/8817406002/ https://www.cnn.com/2021/11/30/us/michigan-oxford-high-school-incident/index.html https://www.nytimes.com/live/2021/11/30/us/school-shooting-michigan</v>
      </c>
      <c r="I216" s="5">
        <f ca="1">IFERROR(__xludf.DUMMYFUNCTION("""COMPUTED_VALUE"""),999)</f>
        <v>999</v>
      </c>
      <c r="J216" s="5" t="str">
        <f ca="1">IFERROR(__xludf.DUMMYFUNCTION("""COMPUTED_VALUE"""),"International")</f>
        <v>International</v>
      </c>
      <c r="K216" s="5">
        <f ca="1">IFERROR(__xludf.DUMMYFUNCTION("""COMPUTED_VALUE"""),4)</f>
        <v>4</v>
      </c>
      <c r="L216" s="5" t="str">
        <f ca="1">IFERROR(__xludf.DUMMYFUNCTION("""COMPUTED_VALUE"""),"Fall")</f>
        <v>Fall</v>
      </c>
      <c r="M216" s="5" t="str">
        <f ca="1">IFERROR(__xludf.DUMMYFUNCTION("""COMPUTED_VALUE"""),"Oxford")</f>
        <v>Oxford</v>
      </c>
      <c r="N216" s="5" t="str">
        <f ca="1">IFERROR(__xludf.DUMMYFUNCTION("""COMPUTED_VALUE"""),"MI")</f>
        <v>MI</v>
      </c>
      <c r="O216" s="5" t="str">
        <f ca="1">IFERROR(__xludf.DUMMYFUNCTION("""COMPUTED_VALUE"""),"High")</f>
        <v>High</v>
      </c>
      <c r="P216" s="5" t="str">
        <f ca="1">IFERROR(__xludf.DUMMYFUNCTION("""COMPUTED_VALUE"""),"Inside School Building")</f>
        <v>Inside School Building</v>
      </c>
      <c r="Q216" s="5" t="str">
        <f ca="1">IFERROR(__xludf.DUMMYFUNCTION("""COMPUTED_VALUE"""),"Inside School Building")</f>
        <v>Inside School Building</v>
      </c>
      <c r="R216" s="5" t="str">
        <f ca="1">IFERROR(__xludf.DUMMYFUNCTION("""COMPUTED_VALUE"""),"Yes")</f>
        <v>Yes</v>
      </c>
      <c r="S216" s="5" t="str">
        <f ca="1">IFERROR(__xludf.DUMMYFUNCTION("""COMPUTED_VALUE"""),"Afternoon Classes")</f>
        <v>Afternoon Classes</v>
      </c>
      <c r="T216" s="10">
        <f ca="1">IFERROR(__xludf.DUMMYFUNCTION("""COMPUTED_VALUE"""),0.535416666666666)</f>
        <v>0.53541666666666599</v>
      </c>
      <c r="U216" s="5">
        <f ca="1">IFERROR(__xludf.DUMMYFUNCTION("""COMPUTED_VALUE"""),1)</f>
        <v>1</v>
      </c>
      <c r="V216" s="5" t="str">
        <f ca="1">IFERROR(__xludf.DUMMYFUNCTION("""COMPUTED_VALUE"""),"11 students shot during planned attack at school")</f>
        <v>11 students shot during planned attack at school</v>
      </c>
      <c r="W216" s="5" t="str">
        <f ca="1">IFERROR(__xludf.DUMMYFUNCTION("""COMPUTED_VALUE"""),"A 15-year-old male student fired 15-20 shots inside the high school killing 4 students, and injuring 6 students and 1 teacher. School went on lockdown and students barricaded classroom doors. Shooter was disarmed by police officer while walking out of bat"&amp;"hroom and was not injured.")</f>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X216" s="5" t="str">
        <f ca="1">IFERROR(__xludf.DUMMYFUNCTION("""COMPUTED_VALUE"""),"Indiscriminate Shooting")</f>
        <v>Indiscriminate Shooting</v>
      </c>
      <c r="Y216" s="5" t="str">
        <f ca="1">IFERROR(__xludf.DUMMYFUNCTION("""COMPUTED_VALUE"""),"Both")</f>
        <v>Both</v>
      </c>
      <c r="Z216" s="5" t="str">
        <f ca="1">IFERROR(__xludf.DUMMYFUNCTION("""COMPUTED_VALUE"""),"No")</f>
        <v>No</v>
      </c>
      <c r="AA216" s="5"/>
      <c r="AB216" s="5" t="str">
        <f ca="1">IFERROR(__xludf.DUMMYFUNCTION("""COMPUTED_VALUE"""),"No")</f>
        <v>No</v>
      </c>
      <c r="AC216" s="5" t="str">
        <f ca="1">IFERROR(__xludf.DUMMYFUNCTION("""COMPUTED_VALUE"""),"No")</f>
        <v>No</v>
      </c>
      <c r="AD216" s="5" t="str">
        <f ca="1">IFERROR(__xludf.DUMMYFUNCTION("""COMPUTED_VALUE"""),"No")</f>
        <v>No</v>
      </c>
      <c r="AE216" s="5"/>
      <c r="AF216" s="5" t="str">
        <f ca="1">IFERROR(__xludf.DUMMYFUNCTION("""COMPUTED_VALUE"""),"No")</f>
        <v>No</v>
      </c>
      <c r="AG216" s="5" t="str">
        <f ca="1">IFERROR(__xludf.DUMMYFUNCTION("""COMPUTED_VALUE"""),"No")</f>
        <v>No</v>
      </c>
      <c r="AH216" s="5" t="str">
        <f ca="1">IFERROR(__xludf.DUMMYFUNCTION("""COMPUTED_VALUE"""),"Yes")</f>
        <v>Yes</v>
      </c>
    </row>
    <row r="217" spans="1:34" ht="12.75">
      <c r="A217" s="5" t="str">
        <f ca="1">IFERROR(__xludf.DUMMYFUNCTION("""COMPUTED_VALUE"""),"20211130CALOL")</f>
        <v>20211130CALOL</v>
      </c>
      <c r="B217" s="8">
        <f ca="1">IFERROR(__xludf.DUMMYFUNCTION("""COMPUTED_VALUE"""),44530)</f>
        <v>44530</v>
      </c>
      <c r="C217" s="5" t="str">
        <f ca="1">IFERROR(__xludf.DUMMYFUNCTION("""COMPUTED_VALUE"""),"Los Angeles School Bus")</f>
        <v>Los Angeles School Bus</v>
      </c>
      <c r="D217" s="5">
        <f ca="1">IFERROR(__xludf.DUMMYFUNCTION("""COMPUTED_VALUE"""),0)</f>
        <v>0</v>
      </c>
      <c r="E217" s="5">
        <f ca="1">IFERROR(__xludf.DUMMYFUNCTION("""COMPUTED_VALUE"""),0)</f>
        <v>0</v>
      </c>
      <c r="F217" s="5">
        <f ca="1">IFERROR(__xludf.DUMMYFUNCTION("""COMPUTED_VALUE"""),0)</f>
        <v>0</v>
      </c>
      <c r="G217" s="5">
        <f ca="1">IFERROR(__xludf.DUMMYFUNCTION("""COMPUTED_VALUE"""),0)</f>
        <v>0</v>
      </c>
      <c r="H217" s="9" t="str">
        <f ca="1">IFERROR(__xludf.DUMMYFUNCTION("""COMPUTED_VALUE"""),"https://losangeles.cbslocal.com/video/6166005-school-bus-hit-by-bb-gun/")</f>
        <v>https://losangeles.cbslocal.com/video/6166005-school-bus-hit-by-bb-gun/</v>
      </c>
      <c r="I217" s="5">
        <f ca="1">IFERROR(__xludf.DUMMYFUNCTION("""COMPUTED_VALUE"""),1)</f>
        <v>1</v>
      </c>
      <c r="J217" s="5" t="str">
        <f ca="1">IFERROR(__xludf.DUMMYFUNCTION("""COMPUTED_VALUE"""),"Local")</f>
        <v>Local</v>
      </c>
      <c r="K217" s="5">
        <f ca="1">IFERROR(__xludf.DUMMYFUNCTION("""COMPUTED_VALUE"""),3)</f>
        <v>3</v>
      </c>
      <c r="L217" s="5" t="str">
        <f ca="1">IFERROR(__xludf.DUMMYFUNCTION("""COMPUTED_VALUE"""),"Fall")</f>
        <v>Fall</v>
      </c>
      <c r="M217" s="5" t="str">
        <f ca="1">IFERROR(__xludf.DUMMYFUNCTION("""COMPUTED_VALUE"""),"Los Angeles")</f>
        <v>Los Angeles</v>
      </c>
      <c r="N217" s="5" t="str">
        <f ca="1">IFERROR(__xludf.DUMMYFUNCTION("""COMPUTED_VALUE"""),"CA")</f>
        <v>CA</v>
      </c>
      <c r="O217" s="5"/>
      <c r="P217" s="5" t="str">
        <f ca="1">IFERROR(__xludf.DUMMYFUNCTION("""COMPUTED_VALUE"""),"School Bus")</f>
        <v>School Bus</v>
      </c>
      <c r="Q217" s="5" t="str">
        <f ca="1">IFERROR(__xludf.DUMMYFUNCTION("""COMPUTED_VALUE"""),"School Bus")</f>
        <v>School Bus</v>
      </c>
      <c r="R217" s="5" t="str">
        <f ca="1">IFERROR(__xludf.DUMMYFUNCTION("""COMPUTED_VALUE"""),"No")</f>
        <v>No</v>
      </c>
      <c r="S217" s="5" t="str">
        <f ca="1">IFERROR(__xludf.DUMMYFUNCTION("""COMPUTED_VALUE"""),"Evening")</f>
        <v>Evening</v>
      </c>
      <c r="T217" s="10">
        <f ca="1">IFERROR(__xludf.DUMMYFUNCTION("""COMPUTED_VALUE"""),0.729166666666666)</f>
        <v>0.72916666666666596</v>
      </c>
      <c r="U217" s="5">
        <f ca="1">IFERROR(__xludf.DUMMYFUNCTION("""COMPUTED_VALUE"""),1)</f>
        <v>1</v>
      </c>
      <c r="V217" s="5" t="str">
        <f ca="1">IFERROR(__xludf.DUMMYFUNCTION("""COMPUTED_VALUE"""),"Back window of school bus shot out while driving")</f>
        <v>Back window of school bus shot out while driving</v>
      </c>
      <c r="W217"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X217" s="5" t="str">
        <f ca="1">IFERROR(__xludf.DUMMYFUNCTION("""COMPUTED_VALUE"""),"Intentional Property Damage")</f>
        <v>Intentional Property Damage</v>
      </c>
      <c r="Y217" s="5" t="str">
        <f ca="1">IFERROR(__xludf.DUMMYFUNCTION("""COMPUTED_VALUE"""),"Neither")</f>
        <v>Neither</v>
      </c>
      <c r="Z217" s="5" t="str">
        <f ca="1">IFERROR(__xludf.DUMMYFUNCTION("""COMPUTED_VALUE"""),"No")</f>
        <v>No</v>
      </c>
      <c r="AA217" s="5"/>
      <c r="AB217" s="5" t="str">
        <f ca="1">IFERROR(__xludf.DUMMYFUNCTION("""COMPUTED_VALUE"""),"No")</f>
        <v>No</v>
      </c>
      <c r="AC217" s="5" t="str">
        <f ca="1">IFERROR(__xludf.DUMMYFUNCTION("""COMPUTED_VALUE"""),"No")</f>
        <v>No</v>
      </c>
      <c r="AD217" s="5" t="str">
        <f ca="1">IFERROR(__xludf.DUMMYFUNCTION("""COMPUTED_VALUE"""),"No")</f>
        <v>No</v>
      </c>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row>
    <row r="218" spans="1:34" ht="12.75">
      <c r="A218" s="5" t="str">
        <f ca="1">IFERROR(__xludf.DUMMYFUNCTION("""COMPUTED_VALUE"""),"20211129ILWER")</f>
        <v>20211129ILWER</v>
      </c>
      <c r="B218" s="8">
        <f ca="1">IFERROR(__xludf.DUMMYFUNCTION("""COMPUTED_VALUE"""),44529)</f>
        <v>44529</v>
      </c>
      <c r="C218" s="5" t="str">
        <f ca="1">IFERROR(__xludf.DUMMYFUNCTION("""COMPUTED_VALUE"""),"West Middle School")</f>
        <v>West Middle School</v>
      </c>
      <c r="D218" s="5">
        <f ca="1">IFERROR(__xludf.DUMMYFUNCTION("""COMPUTED_VALUE"""),0)</f>
        <v>0</v>
      </c>
      <c r="E218" s="5">
        <f ca="1">IFERROR(__xludf.DUMMYFUNCTION("""COMPUTED_VALUE"""),0)</f>
        <v>0</v>
      </c>
      <c r="F218" s="5">
        <f ca="1">IFERROR(__xludf.DUMMYFUNCTION("""COMPUTED_VALUE"""),0)</f>
        <v>0</v>
      </c>
      <c r="G218" s="5">
        <f ca="1">IFERROR(__xludf.DUMMYFUNCTION("""COMPUTED_VALUE"""),0)</f>
        <v>0</v>
      </c>
      <c r="H218" s="9" t="str">
        <f ca="1">IFERROR(__xludf.DUMMYFUNCTION("""COMPUTED_VALUE"""),"https://www.wifr.com/2021/11/29/shots-fired-behind-west-middle-school/")</f>
        <v>https://www.wifr.com/2021/11/29/shots-fired-behind-west-middle-school/</v>
      </c>
      <c r="I218" s="5">
        <f ca="1">IFERROR(__xludf.DUMMYFUNCTION("""COMPUTED_VALUE"""),1)</f>
        <v>1</v>
      </c>
      <c r="J218" s="5" t="str">
        <f ca="1">IFERROR(__xludf.DUMMYFUNCTION("""COMPUTED_VALUE"""),"Local")</f>
        <v>Local</v>
      </c>
      <c r="K218" s="5">
        <f ca="1">IFERROR(__xludf.DUMMYFUNCTION("""COMPUTED_VALUE"""),2)</f>
        <v>2</v>
      </c>
      <c r="L218" s="5" t="str">
        <f ca="1">IFERROR(__xludf.DUMMYFUNCTION("""COMPUTED_VALUE"""),"Fall")</f>
        <v>Fall</v>
      </c>
      <c r="M218" s="5" t="str">
        <f ca="1">IFERROR(__xludf.DUMMYFUNCTION("""COMPUTED_VALUE"""),"Rockford")</f>
        <v>Rockford</v>
      </c>
      <c r="N218" s="5" t="str">
        <f ca="1">IFERROR(__xludf.DUMMYFUNCTION("""COMPUTED_VALUE"""),"IL")</f>
        <v>IL</v>
      </c>
      <c r="O218" s="5" t="str">
        <f ca="1">IFERROR(__xludf.DUMMYFUNCTION("""COMPUTED_VALUE"""),"Middle")</f>
        <v>Middle</v>
      </c>
      <c r="P218" s="5" t="str">
        <f ca="1">IFERROR(__xludf.DUMMYFUNCTION("""COMPUTED_VALUE"""),"Beside Building")</f>
        <v>Beside Building</v>
      </c>
      <c r="Q218" s="5" t="str">
        <f ca="1">IFERROR(__xludf.DUMMYFUNCTION("""COMPUTED_VALUE"""),"Outside on School Property")</f>
        <v>Outside on School Property</v>
      </c>
      <c r="R218" s="5" t="str">
        <f ca="1">IFERROR(__xludf.DUMMYFUNCTION("""COMPUTED_VALUE"""),"No")</f>
        <v>No</v>
      </c>
      <c r="S218" s="5" t="str">
        <f ca="1">IFERROR(__xludf.DUMMYFUNCTION("""COMPUTED_VALUE"""),"After School")</f>
        <v>After School</v>
      </c>
      <c r="T218" s="10">
        <f ca="1">IFERROR(__xludf.DUMMYFUNCTION("""COMPUTED_VALUE"""),0.666666666666666)</f>
        <v>0.66666666666666596</v>
      </c>
      <c r="U218" s="5">
        <f ca="1">IFERROR(__xludf.DUMMYFUNCTION("""COMPUTED_VALUE"""),1)</f>
        <v>1</v>
      </c>
      <c r="V218" s="5" t="str">
        <f ca="1">IFERROR(__xludf.DUMMYFUNCTION("""COMPUTED_VALUE"""),"Shot fired behind the school, 4 teens seen running away")</f>
        <v>Shot fired behind the school, 4 teens seen running away</v>
      </c>
      <c r="W218"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X218" s="5"/>
      <c r="Y218" s="5"/>
      <c r="Z218" s="5" t="str">
        <f ca="1">IFERROR(__xludf.DUMMYFUNCTION("""COMPUTED_VALUE"""),"No")</f>
        <v>No</v>
      </c>
      <c r="AA218" s="5"/>
      <c r="AB218" s="5" t="str">
        <f ca="1">IFERROR(__xludf.DUMMYFUNCTION("""COMPUTED_VALUE"""),"No")</f>
        <v>No</v>
      </c>
      <c r="AC218" s="5" t="str">
        <f ca="1">IFERROR(__xludf.DUMMYFUNCTION("""COMPUTED_VALUE"""),"No")</f>
        <v>No</v>
      </c>
      <c r="AD218" s="5" t="str">
        <f ca="1">IFERROR(__xludf.DUMMYFUNCTION("""COMPUTED_VALUE"""),"No")</f>
        <v>No</v>
      </c>
      <c r="AE218" s="5" t="str">
        <f ca="1">IFERROR(__xludf.DUMMYFUNCTION("""COMPUTED_VALUE"""),"No")</f>
        <v>No</v>
      </c>
      <c r="AF218" s="5" t="str">
        <f ca="1">IFERROR(__xludf.DUMMYFUNCTION("""COMPUTED_VALUE"""),"No")</f>
        <v>No</v>
      </c>
      <c r="AG218" s="5"/>
      <c r="AH218" s="5" t="str">
        <f ca="1">IFERROR(__xludf.DUMMYFUNCTION("""COMPUTED_VALUE"""),"No")</f>
        <v>No</v>
      </c>
    </row>
    <row r="219" spans="1:34" ht="12.75">
      <c r="A219" s="5" t="str">
        <f ca="1">IFERROR(__xludf.DUMMYFUNCTION("""COMPUTED_VALUE"""),"20211129AZCHP")</f>
        <v>20211129AZCHP</v>
      </c>
      <c r="B219" s="8">
        <f ca="1">IFERROR(__xludf.DUMMYFUNCTION("""COMPUTED_VALUE"""),44529)</f>
        <v>44529</v>
      </c>
      <c r="C219" s="5" t="str">
        <f ca="1">IFERROR(__xludf.DUMMYFUNCTION("""COMPUTED_VALUE"""),"Cesar Chavez High School")</f>
        <v>Cesar Chavez High School</v>
      </c>
      <c r="D219" s="5">
        <f ca="1">IFERROR(__xludf.DUMMYFUNCTION("""COMPUTED_VALUE"""),0)</f>
        <v>0</v>
      </c>
      <c r="E219" s="5">
        <f ca="1">IFERROR(__xludf.DUMMYFUNCTION("""COMPUTED_VALUE"""),1)</f>
        <v>1</v>
      </c>
      <c r="F219" s="5">
        <f ca="1">IFERROR(__xludf.DUMMYFUNCTION("""COMPUTED_VALUE"""),1)</f>
        <v>1</v>
      </c>
      <c r="G219" s="5">
        <f ca="1">IFERROR(__xludf.DUMMYFUNCTION("""COMPUTED_VALUE"""),0)</f>
        <v>0</v>
      </c>
      <c r="H219"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I219" s="5">
        <f ca="1">IFERROR(__xludf.DUMMYFUNCTION("""COMPUTED_VALUE"""),10)</f>
        <v>10</v>
      </c>
      <c r="J219" s="5" t="str">
        <f ca="1">IFERROR(__xludf.DUMMYFUNCTION("""COMPUTED_VALUE"""),"Regional")</f>
        <v>Regional</v>
      </c>
      <c r="K219" s="5">
        <f ca="1">IFERROR(__xludf.DUMMYFUNCTION("""COMPUTED_VALUE"""),4)</f>
        <v>4</v>
      </c>
      <c r="L219" s="5" t="str">
        <f ca="1">IFERROR(__xludf.DUMMYFUNCTION("""COMPUTED_VALUE"""),"Fall")</f>
        <v>Fall</v>
      </c>
      <c r="M219" s="5" t="str">
        <f ca="1">IFERROR(__xludf.DUMMYFUNCTION("""COMPUTED_VALUE"""),"Phoenix")</f>
        <v>Phoenix</v>
      </c>
      <c r="N219" s="5" t="str">
        <f ca="1">IFERROR(__xludf.DUMMYFUNCTION("""COMPUTED_VALUE"""),"AZ")</f>
        <v>AZ</v>
      </c>
      <c r="O219" s="5" t="str">
        <f ca="1">IFERROR(__xludf.DUMMYFUNCTION("""COMPUTED_VALUE"""),"High")</f>
        <v>High</v>
      </c>
      <c r="P219" s="5" t="str">
        <f ca="1">IFERROR(__xludf.DUMMYFUNCTION("""COMPUTED_VALUE"""),"Bathroom")</f>
        <v>Bathroom</v>
      </c>
      <c r="Q219" s="5" t="str">
        <f ca="1">IFERROR(__xludf.DUMMYFUNCTION("""COMPUTED_VALUE"""),"Inside School Building")</f>
        <v>Inside School Building</v>
      </c>
      <c r="R219" s="5" t="str">
        <f ca="1">IFERROR(__xludf.DUMMYFUNCTION("""COMPUTED_VALUE"""),"Yes")</f>
        <v>Yes</v>
      </c>
      <c r="S219" s="5" t="str">
        <f ca="1">IFERROR(__xludf.DUMMYFUNCTION("""COMPUTED_VALUE"""),"Afternoon Classes")</f>
        <v>Afternoon Classes</v>
      </c>
      <c r="T219" s="10">
        <f ca="1">IFERROR(__xludf.DUMMYFUNCTION("""COMPUTED_VALUE"""),0.625)</f>
        <v>0.625</v>
      </c>
      <c r="U219" s="5">
        <f ca="1">IFERROR(__xludf.DUMMYFUNCTION("""COMPUTED_VALUE"""),1)</f>
        <v>1</v>
      </c>
      <c r="V219" s="5" t="str">
        <f ca="1">IFERROR(__xludf.DUMMYFUNCTION("""COMPUTED_VALUE"""),"Student shot during fight in bathroom")</f>
        <v>Student shot during fight in bathroom</v>
      </c>
      <c r="W219"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X219" s="5" t="str">
        <f ca="1">IFERROR(__xludf.DUMMYFUNCTION("""COMPUTED_VALUE"""),"Escalation of Dispute")</f>
        <v>Escalation of Dispute</v>
      </c>
      <c r="Y219" s="5" t="str">
        <f ca="1">IFERROR(__xludf.DUMMYFUNCTION("""COMPUTED_VALUE"""),"Victims Targeted")</f>
        <v>Victims Targeted</v>
      </c>
      <c r="Z219" s="5" t="str">
        <f ca="1">IFERROR(__xludf.DUMMYFUNCTION("""COMPUTED_VALUE"""),"No")</f>
        <v>No</v>
      </c>
      <c r="AA219" s="5"/>
      <c r="AB219" s="5" t="str">
        <f ca="1">IFERROR(__xludf.DUMMYFUNCTION("""COMPUTED_VALUE"""),"No")</f>
        <v>No</v>
      </c>
      <c r="AC219" s="5" t="str">
        <f ca="1">IFERROR(__xludf.DUMMYFUNCTION("""COMPUTED_VALUE"""),"No")</f>
        <v>No</v>
      </c>
      <c r="AD219" s="5" t="str">
        <f ca="1">IFERROR(__xludf.DUMMYFUNCTION("""COMPUTED_VALUE"""),"No")</f>
        <v>No</v>
      </c>
      <c r="AE219" s="5"/>
      <c r="AF219" s="5" t="str">
        <f ca="1">IFERROR(__xludf.DUMMYFUNCTION("""COMPUTED_VALUE"""),"No")</f>
        <v>No</v>
      </c>
      <c r="AG219" s="5" t="str">
        <f ca="1">IFERROR(__xludf.DUMMYFUNCTION("""COMPUTED_VALUE"""),"No")</f>
        <v>No</v>
      </c>
      <c r="AH219" s="5" t="str">
        <f ca="1">IFERROR(__xludf.DUMMYFUNCTION("""COMPUTED_VALUE"""),"No")</f>
        <v>No</v>
      </c>
    </row>
    <row r="220" spans="1:34" ht="12.75">
      <c r="A220" s="5" t="str">
        <f ca="1">IFERROR(__xludf.DUMMYFUNCTION("""COMPUTED_VALUE"""),"20211126CAWES")</f>
        <v>20211126CAWES</v>
      </c>
      <c r="B220" s="8">
        <f ca="1">IFERROR(__xludf.DUMMYFUNCTION("""COMPUTED_VALUE"""),44526)</f>
        <v>44526</v>
      </c>
      <c r="C220" s="5" t="str">
        <f ca="1">IFERROR(__xludf.DUMMYFUNCTION("""COMPUTED_VALUE"""),"Westmount High School")</f>
        <v>Westmount High School</v>
      </c>
      <c r="D220" s="5">
        <f ca="1">IFERROR(__xludf.DUMMYFUNCTION("""COMPUTED_VALUE"""),0)</f>
        <v>0</v>
      </c>
      <c r="E220" s="5">
        <f ca="1">IFERROR(__xludf.DUMMYFUNCTION("""COMPUTED_VALUE"""),2)</f>
        <v>2</v>
      </c>
      <c r="F220" s="5">
        <f ca="1">IFERROR(__xludf.DUMMYFUNCTION("""COMPUTED_VALUE"""),2)</f>
        <v>2</v>
      </c>
      <c r="G220" s="5">
        <f ca="1">IFERROR(__xludf.DUMMYFUNCTION("""COMPUTED_VALUE"""),0)</f>
        <v>0</v>
      </c>
      <c r="H220"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I220" s="5">
        <f ca="1">IFERROR(__xludf.DUMMYFUNCTION("""COMPUTED_VALUE"""),50)</f>
        <v>50</v>
      </c>
      <c r="J220" s="5" t="str">
        <f ca="1">IFERROR(__xludf.DUMMYFUNCTION("""COMPUTED_VALUE"""),"Regional")</f>
        <v>Regional</v>
      </c>
      <c r="K220" s="5">
        <f ca="1">IFERROR(__xludf.DUMMYFUNCTION("""COMPUTED_VALUE"""),4)</f>
        <v>4</v>
      </c>
      <c r="L220" s="5" t="str">
        <f ca="1">IFERROR(__xludf.DUMMYFUNCTION("""COMPUTED_VALUE"""),"Fall")</f>
        <v>Fall</v>
      </c>
      <c r="M220" s="5" t="str">
        <f ca="1">IFERROR(__xludf.DUMMYFUNCTION("""COMPUTED_VALUE"""),"San Jose")</f>
        <v>San Jose</v>
      </c>
      <c r="N220" s="5" t="str">
        <f ca="1">IFERROR(__xludf.DUMMYFUNCTION("""COMPUTED_VALUE"""),"CA")</f>
        <v>CA</v>
      </c>
      <c r="O220" s="5" t="str">
        <f ca="1">IFERROR(__xludf.DUMMYFUNCTION("""COMPUTED_VALUE"""),"High")</f>
        <v>High</v>
      </c>
      <c r="P220" s="5" t="str">
        <f ca="1">IFERROR(__xludf.DUMMYFUNCTION("""COMPUTED_VALUE"""),"Parking Lot")</f>
        <v>Parking Lot</v>
      </c>
      <c r="Q220" s="5" t="str">
        <f ca="1">IFERROR(__xludf.DUMMYFUNCTION("""COMPUTED_VALUE"""),"Outside on School Property")</f>
        <v>Outside on School Property</v>
      </c>
      <c r="R220" s="5" t="str">
        <f ca="1">IFERROR(__xludf.DUMMYFUNCTION("""COMPUTED_VALUE"""),"No")</f>
        <v>No</v>
      </c>
      <c r="S220" s="5" t="str">
        <f ca="1">IFERROR(__xludf.DUMMYFUNCTION("""COMPUTED_VALUE"""),"Sport Event")</f>
        <v>Sport Event</v>
      </c>
      <c r="T220" s="10">
        <f ca="1">IFERROR(__xludf.DUMMYFUNCTION("""COMPUTED_VALUE"""),0.875)</f>
        <v>0.875</v>
      </c>
      <c r="U220" s="5">
        <f ca="1">IFERROR(__xludf.DUMMYFUNCTION("""COMPUTED_VALUE"""),1)</f>
        <v>1</v>
      </c>
      <c r="V220" s="5" t="str">
        <f ca="1">IFERROR(__xludf.DUMMYFUNCTION("""COMPUTED_VALUE"""),"Two men shot in the parking lot during playoff football game, stadium evacuated")</f>
        <v>Two men shot in the parking lot during playoff football game, stadium evacuated</v>
      </c>
      <c r="W220"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X220" s="5" t="str">
        <f ca="1">IFERROR(__xludf.DUMMYFUNCTION("""COMPUTED_VALUE"""),"Escalation of Dispute")</f>
        <v>Escalation of Dispute</v>
      </c>
      <c r="Y220" s="5" t="str">
        <f ca="1">IFERROR(__xludf.DUMMYFUNCTION("""COMPUTED_VALUE"""),"Victims Targeted")</f>
        <v>Victims Targeted</v>
      </c>
      <c r="Z220" s="5" t="str">
        <f ca="1">IFERROR(__xludf.DUMMYFUNCTION("""COMPUTED_VALUE"""),"No")</f>
        <v>No</v>
      </c>
      <c r="AA220" s="5"/>
      <c r="AB220" s="5" t="str">
        <f ca="1">IFERROR(__xludf.DUMMYFUNCTION("""COMPUTED_VALUE"""),"No")</f>
        <v>No</v>
      </c>
      <c r="AC220" s="5" t="str">
        <f ca="1">IFERROR(__xludf.DUMMYFUNCTION("""COMPUTED_VALUE"""),"No")</f>
        <v>No</v>
      </c>
      <c r="AD220" s="5" t="str">
        <f ca="1">IFERROR(__xludf.DUMMYFUNCTION("""COMPUTED_VALUE"""),"No")</f>
        <v>No</v>
      </c>
      <c r="AE220" s="5" t="str">
        <f ca="1">IFERROR(__xludf.DUMMYFUNCTION("""COMPUTED_VALUE"""),"No")</f>
        <v>No</v>
      </c>
      <c r="AF220" s="5" t="str">
        <f ca="1">IFERROR(__xludf.DUMMYFUNCTION("""COMPUTED_VALUE"""),"No")</f>
        <v>No</v>
      </c>
      <c r="AG220" s="5"/>
      <c r="AH220" s="5" t="str">
        <f ca="1">IFERROR(__xludf.DUMMYFUNCTION("""COMPUTED_VALUE"""),"No")</f>
        <v>No</v>
      </c>
    </row>
    <row r="221" spans="1:34" ht="12.75">
      <c r="A221" s="5" t="str">
        <f ca="1">IFERROR(__xludf.DUMMYFUNCTION("""COMPUTED_VALUE"""),"20211124ILTHH")</f>
        <v>20211124ILTHH</v>
      </c>
      <c r="B221" s="8">
        <f ca="1">IFERROR(__xludf.DUMMYFUNCTION("""COMPUTED_VALUE"""),44524)</f>
        <v>44524</v>
      </c>
      <c r="C221" s="5" t="str">
        <f ca="1">IFERROR(__xludf.DUMMYFUNCTION("""COMPUTED_VALUE"""),"Thornton Township High School")</f>
        <v>Thornton Township High School</v>
      </c>
      <c r="D221" s="5">
        <f ca="1">IFERROR(__xludf.DUMMYFUNCTION("""COMPUTED_VALUE"""),0)</f>
        <v>0</v>
      </c>
      <c r="E221" s="5">
        <f ca="1">IFERROR(__xludf.DUMMYFUNCTION("""COMPUTED_VALUE"""),0)</f>
        <v>0</v>
      </c>
      <c r="F221" s="5">
        <f ca="1">IFERROR(__xludf.DUMMYFUNCTION("""COMPUTED_VALUE"""),0)</f>
        <v>0</v>
      </c>
      <c r="G221" s="5">
        <f ca="1">IFERROR(__xludf.DUMMYFUNCTION("""COMPUTED_VALUE"""),0)</f>
        <v>0</v>
      </c>
      <c r="H221"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I221" s="5">
        <f ca="1">IFERROR(__xludf.DUMMYFUNCTION("""COMPUTED_VALUE"""),1)</f>
        <v>1</v>
      </c>
      <c r="J221" s="5" t="str">
        <f ca="1">IFERROR(__xludf.DUMMYFUNCTION("""COMPUTED_VALUE"""),"Local")</f>
        <v>Local</v>
      </c>
      <c r="K221" s="5">
        <f ca="1">IFERROR(__xludf.DUMMYFUNCTION("""COMPUTED_VALUE"""),3)</f>
        <v>3</v>
      </c>
      <c r="L221" s="5" t="str">
        <f ca="1">IFERROR(__xludf.DUMMYFUNCTION("""COMPUTED_VALUE"""),"Fall")</f>
        <v>Fall</v>
      </c>
      <c r="M221" s="5" t="str">
        <f ca="1">IFERROR(__xludf.DUMMYFUNCTION("""COMPUTED_VALUE"""),"Harvey")</f>
        <v>Harvey</v>
      </c>
      <c r="N221" s="5" t="str">
        <f ca="1">IFERROR(__xludf.DUMMYFUNCTION("""COMPUTED_VALUE"""),"IL")</f>
        <v>IL</v>
      </c>
      <c r="O221" s="5" t="str">
        <f ca="1">IFERROR(__xludf.DUMMYFUNCTION("""COMPUTED_VALUE"""),"High")</f>
        <v>High</v>
      </c>
      <c r="P221" s="5" t="str">
        <f ca="1">IFERROR(__xludf.DUMMYFUNCTION("""COMPUTED_VALUE"""),"Front of School")</f>
        <v>Front of School</v>
      </c>
      <c r="Q221" s="5" t="str">
        <f ca="1">IFERROR(__xludf.DUMMYFUNCTION("""COMPUTED_VALUE"""),"Outside on School Property")</f>
        <v>Outside on School Property</v>
      </c>
      <c r="R221" s="5" t="str">
        <f ca="1">IFERROR(__xludf.DUMMYFUNCTION("""COMPUTED_VALUE"""),"Yes")</f>
        <v>Yes</v>
      </c>
      <c r="S221" s="5" t="str">
        <f ca="1">IFERROR(__xludf.DUMMYFUNCTION("""COMPUTED_VALUE"""),"Dismissal")</f>
        <v>Dismissal</v>
      </c>
      <c r="T221" s="10">
        <f ca="1">IFERROR(__xludf.DUMMYFUNCTION("""COMPUTED_VALUE"""),0.625)</f>
        <v>0.625</v>
      </c>
      <c r="U221" s="5">
        <f ca="1">IFERROR(__xludf.DUMMYFUNCTION("""COMPUTED_VALUE"""),1)</f>
        <v>1</v>
      </c>
      <c r="V221" s="5" t="str">
        <f ca="1">IFERROR(__xludf.DUMMYFUNCTION("""COMPUTED_VALUE"""),"Shots fired outside school at dismissal")</f>
        <v>Shots fired outside school at dismissal</v>
      </c>
      <c r="W221"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X221" s="5"/>
      <c r="Y221" s="5"/>
      <c r="Z221" s="5" t="str">
        <f ca="1">IFERROR(__xludf.DUMMYFUNCTION("""COMPUTED_VALUE"""),"No")</f>
        <v>No</v>
      </c>
      <c r="AA221" s="5"/>
      <c r="AB221" s="5" t="str">
        <f ca="1">IFERROR(__xludf.DUMMYFUNCTION("""COMPUTED_VALUE"""),"No")</f>
        <v>No</v>
      </c>
      <c r="AC221" s="5" t="str">
        <f ca="1">IFERROR(__xludf.DUMMYFUNCTION("""COMPUTED_VALUE"""),"No")</f>
        <v>No</v>
      </c>
      <c r="AD221" s="5" t="str">
        <f ca="1">IFERROR(__xludf.DUMMYFUNCTION("""COMPUTED_VALUE"""),"No")</f>
        <v>No</v>
      </c>
      <c r="AE221" s="5" t="str">
        <f ca="1">IFERROR(__xludf.DUMMYFUNCTION("""COMPUTED_VALUE"""),"No")</f>
        <v>No</v>
      </c>
      <c r="AF221" s="5" t="str">
        <f ca="1">IFERROR(__xludf.DUMMYFUNCTION("""COMPUTED_VALUE"""),"No")</f>
        <v>No</v>
      </c>
      <c r="AG221" s="5"/>
      <c r="AH221" s="5" t="str">
        <f ca="1">IFERROR(__xludf.DUMMYFUNCTION("""COMPUTED_VALUE"""),"No")</f>
        <v>No</v>
      </c>
    </row>
    <row r="222" spans="1:34" ht="12.75">
      <c r="A222" s="5" t="str">
        <f ca="1">IFERROR(__xludf.DUMMYFUNCTION("""COMPUTED_VALUE"""),"20211123OHCLC")</f>
        <v>20211123OHCLC</v>
      </c>
      <c r="B222" s="8">
        <f ca="1">IFERROR(__xludf.DUMMYFUNCTION("""COMPUTED_VALUE"""),44523)</f>
        <v>44523</v>
      </c>
      <c r="C222" s="5" t="str">
        <f ca="1">IFERROR(__xludf.DUMMYFUNCTION("""COMPUTED_VALUE"""),"Cleveland School Bus")</f>
        <v>Cleveland School Bus</v>
      </c>
      <c r="D222" s="5">
        <f ca="1">IFERROR(__xludf.DUMMYFUNCTION("""COMPUTED_VALUE"""),0)</f>
        <v>0</v>
      </c>
      <c r="E222" s="5">
        <f ca="1">IFERROR(__xludf.DUMMYFUNCTION("""COMPUTED_VALUE"""),0)</f>
        <v>0</v>
      </c>
      <c r="F222" s="5">
        <f ca="1">IFERROR(__xludf.DUMMYFUNCTION("""COMPUTED_VALUE"""),0)</f>
        <v>0</v>
      </c>
      <c r="G222" s="5">
        <f ca="1">IFERROR(__xludf.DUMMYFUNCTION("""COMPUTED_VALUE"""),0)</f>
        <v>0</v>
      </c>
      <c r="H222" s="9" t="str">
        <f ca="1">IFERROR(__xludf.DUMMYFUNCTION("""COMPUTED_VALUE"""),"https://fox8.com/news/cleveland-school-bus-driver-robbed-at-gunpoint/")</f>
        <v>https://fox8.com/news/cleveland-school-bus-driver-robbed-at-gunpoint/</v>
      </c>
      <c r="I222" s="5">
        <f ca="1">IFERROR(__xludf.DUMMYFUNCTION("""COMPUTED_VALUE"""),1)</f>
        <v>1</v>
      </c>
      <c r="J222" s="5" t="str">
        <f ca="1">IFERROR(__xludf.DUMMYFUNCTION("""COMPUTED_VALUE"""),"Local")</f>
        <v>Local</v>
      </c>
      <c r="K222" s="5">
        <f ca="1">IFERROR(__xludf.DUMMYFUNCTION("""COMPUTED_VALUE"""),3)</f>
        <v>3</v>
      </c>
      <c r="L222" s="5" t="str">
        <f ca="1">IFERROR(__xludf.DUMMYFUNCTION("""COMPUTED_VALUE"""),"Fall")</f>
        <v>Fall</v>
      </c>
      <c r="M222" s="5" t="str">
        <f ca="1">IFERROR(__xludf.DUMMYFUNCTION("""COMPUTED_VALUE"""),"Cleveland")</f>
        <v>Cleveland</v>
      </c>
      <c r="N222" s="5" t="str">
        <f ca="1">IFERROR(__xludf.DUMMYFUNCTION("""COMPUTED_VALUE"""),"OH")</f>
        <v>OH</v>
      </c>
      <c r="O222" s="5"/>
      <c r="P222" s="5" t="str">
        <f ca="1">IFERROR(__xludf.DUMMYFUNCTION("""COMPUTED_VALUE"""),"School Bus")</f>
        <v>School Bus</v>
      </c>
      <c r="Q222" s="5" t="str">
        <f ca="1">IFERROR(__xludf.DUMMYFUNCTION("""COMPUTED_VALUE"""),"School Bus")</f>
        <v>School Bus</v>
      </c>
      <c r="R222" s="5" t="str">
        <f ca="1">IFERROR(__xludf.DUMMYFUNCTION("""COMPUTED_VALUE"""),"Yes")</f>
        <v>Yes</v>
      </c>
      <c r="S222" s="5" t="str">
        <f ca="1">IFERROR(__xludf.DUMMYFUNCTION("""COMPUTED_VALUE"""),"Before School")</f>
        <v>Before School</v>
      </c>
      <c r="T222" s="10">
        <f ca="1">IFERROR(__xludf.DUMMYFUNCTION("""COMPUTED_VALUE"""),0.3125)</f>
        <v>0.3125</v>
      </c>
      <c r="U222" s="5">
        <f ca="1">IFERROR(__xludf.DUMMYFUNCTION("""COMPUTED_VALUE"""),1)</f>
        <v>1</v>
      </c>
      <c r="V222" s="5" t="str">
        <f ca="1">IFERROR(__xludf.DUMMYFUNCTION("""COMPUTED_VALUE"""),"Man robbed school bus driver at gunpoint")</f>
        <v>Man robbed school bus driver at gunpoint</v>
      </c>
      <c r="W222"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X222" s="5" t="str">
        <f ca="1">IFERROR(__xludf.DUMMYFUNCTION("""COMPUTED_VALUE"""),"Illegal Activity")</f>
        <v>Illegal Activity</v>
      </c>
      <c r="Y222" s="5" t="str">
        <f ca="1">IFERROR(__xludf.DUMMYFUNCTION("""COMPUTED_VALUE"""),"Neither")</f>
        <v>Neither</v>
      </c>
      <c r="Z222" s="5" t="str">
        <f ca="1">IFERROR(__xludf.DUMMYFUNCTION("""COMPUTED_VALUE"""),"No")</f>
        <v>No</v>
      </c>
      <c r="AA222" s="5"/>
      <c r="AB222" s="5" t="str">
        <f ca="1">IFERROR(__xludf.DUMMYFUNCTION("""COMPUTED_VALUE"""),"No")</f>
        <v>No</v>
      </c>
      <c r="AC222" s="5" t="str">
        <f ca="1">IFERROR(__xludf.DUMMYFUNCTION("""COMPUTED_VALUE"""),"No")</f>
        <v>No</v>
      </c>
      <c r="AD222" s="5" t="str">
        <f ca="1">IFERROR(__xludf.DUMMYFUNCTION("""COMPUTED_VALUE"""),"No")</f>
        <v>No</v>
      </c>
      <c r="AE222" s="5" t="str">
        <f ca="1">IFERROR(__xludf.DUMMYFUNCTION("""COMPUTED_VALUE"""),"No")</f>
        <v>No</v>
      </c>
      <c r="AF222" s="5" t="str">
        <f ca="1">IFERROR(__xludf.DUMMYFUNCTION("""COMPUTED_VALUE"""),"No")</f>
        <v>No</v>
      </c>
      <c r="AG222" s="5" t="str">
        <f ca="1">IFERROR(__xludf.DUMMYFUNCTION("""COMPUTED_VALUE"""),"No")</f>
        <v>No</v>
      </c>
      <c r="AH222" s="5" t="str">
        <f ca="1">IFERROR(__xludf.DUMMYFUNCTION("""COMPUTED_VALUE"""),"No")</f>
        <v>No</v>
      </c>
    </row>
    <row r="223" spans="1:34" ht="12.75">
      <c r="A223" s="5" t="str">
        <f ca="1">IFERROR(__xludf.DUMMYFUNCTION("""COMPUTED_VALUE"""),"20211119COHIA")</f>
        <v>20211119COHIA</v>
      </c>
      <c r="B223" s="8">
        <f ca="1">IFERROR(__xludf.DUMMYFUNCTION("""COMPUTED_VALUE"""),44519)</f>
        <v>44519</v>
      </c>
      <c r="C223" s="5" t="str">
        <f ca="1">IFERROR(__xludf.DUMMYFUNCTION("""COMPUTED_VALUE"""),"Hinkley High School")</f>
        <v>Hinkley High School</v>
      </c>
      <c r="D223" s="5">
        <f ca="1">IFERROR(__xludf.DUMMYFUNCTION("""COMPUTED_VALUE"""),0)</f>
        <v>0</v>
      </c>
      <c r="E223" s="5">
        <f ca="1">IFERROR(__xludf.DUMMYFUNCTION("""COMPUTED_VALUE"""),3)</f>
        <v>3</v>
      </c>
      <c r="F223" s="5">
        <f ca="1">IFERROR(__xludf.DUMMYFUNCTION("""COMPUTED_VALUE"""),3)</f>
        <v>3</v>
      </c>
      <c r="G223" s="5">
        <f ca="1">IFERROR(__xludf.DUMMYFUNCTION("""COMPUTED_VALUE"""),0)</f>
        <v>0</v>
      </c>
      <c r="H223" s="5" t="str">
        <f ca="1">IFERROR(__xludf.DUMMYFUNCTION("""COMPUTED_VALUE"""),"https://www.denverpost.com/2021/11/19/aurora-high-school-shooting-central-hinkley-gun-violence-colorado/ https://www.thedenverchannel.com/news/local-news/2-injured-in-shooting-in-hinkley-high-school-parking-lot-aurora-police-say https://kdvr.com/news/loca"&amp;"l/aps-security-officer-heroically-returned-fire-at-hinkley-hs-parking-lot-shooting-chief-wilson-said/ https://www.cnn.com/2021/11/20/us/colorado-high-school-shooting-attempted-murder-charge/index.html")</f>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I223" s="5">
        <f ca="1">IFERROR(__xludf.DUMMYFUNCTION("""COMPUTED_VALUE"""),999)</f>
        <v>999</v>
      </c>
      <c r="J223" s="5" t="str">
        <f ca="1">IFERROR(__xludf.DUMMYFUNCTION("""COMPUTED_VALUE"""),"International")</f>
        <v>International</v>
      </c>
      <c r="K223" s="5">
        <f ca="1">IFERROR(__xludf.DUMMYFUNCTION("""COMPUTED_VALUE"""),4)</f>
        <v>4</v>
      </c>
      <c r="L223" s="5" t="str">
        <f ca="1">IFERROR(__xludf.DUMMYFUNCTION("""COMPUTED_VALUE"""),"Fall")</f>
        <v>Fall</v>
      </c>
      <c r="M223" s="5" t="str">
        <f ca="1">IFERROR(__xludf.DUMMYFUNCTION("""COMPUTED_VALUE"""),"Aurora")</f>
        <v>Aurora</v>
      </c>
      <c r="N223" s="5" t="str">
        <f ca="1">IFERROR(__xludf.DUMMYFUNCTION("""COMPUTED_VALUE"""),"CO")</f>
        <v>CO</v>
      </c>
      <c r="O223" s="5" t="str">
        <f ca="1">IFERROR(__xludf.DUMMYFUNCTION("""COMPUTED_VALUE"""),"High")</f>
        <v>High</v>
      </c>
      <c r="P223" s="5" t="str">
        <f ca="1">IFERROR(__xludf.DUMMYFUNCTION("""COMPUTED_VALUE"""),"Parking Lot")</f>
        <v>Parking Lot</v>
      </c>
      <c r="Q223" s="5" t="str">
        <f ca="1">IFERROR(__xludf.DUMMYFUNCTION("""COMPUTED_VALUE"""),"Outside on School Property")</f>
        <v>Outside on School Property</v>
      </c>
      <c r="R223" s="5"/>
      <c r="S223" s="5"/>
      <c r="T223" s="10">
        <f ca="1">IFERROR(__xludf.DUMMYFUNCTION("""COMPUTED_VALUE"""),0.576388888888888)</f>
        <v>0.57638888888888795</v>
      </c>
      <c r="U223" s="5">
        <f ca="1">IFERROR(__xludf.DUMMYFUNCTION("""COMPUTED_VALUE"""),1)</f>
        <v>1</v>
      </c>
      <c r="V223" s="5" t="str">
        <f ca="1">IFERROR(__xludf.DUMMYFUNCTION("""COMPUTED_VALUE"""),"3 students shot in the school parking lot during fight")</f>
        <v>3 students shot in the school parking lot during fight</v>
      </c>
      <c r="W223"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X223" s="5" t="str">
        <f ca="1">IFERROR(__xludf.DUMMYFUNCTION("""COMPUTED_VALUE"""),"Escalation of Dispute")</f>
        <v>Escalation of Dispute</v>
      </c>
      <c r="Y223" s="5" t="str">
        <f ca="1">IFERROR(__xludf.DUMMYFUNCTION("""COMPUTED_VALUE"""),"Victims Targeted")</f>
        <v>Victims Targeted</v>
      </c>
      <c r="Z223" s="5" t="str">
        <f ca="1">IFERROR(__xludf.DUMMYFUNCTION("""COMPUTED_VALUE"""),"Yes")</f>
        <v>Yes</v>
      </c>
      <c r="AA223" s="5" t="str">
        <f ca="1">IFERROR(__xludf.DUMMYFUNCTION("""COMPUTED_VALUE"""),"Two shooters")</f>
        <v>Two shooters</v>
      </c>
      <c r="AB223" s="5" t="str">
        <f ca="1">IFERROR(__xludf.DUMMYFUNCTION("""COMPUTED_VALUE"""),"No")</f>
        <v>No</v>
      </c>
      <c r="AC223" s="5" t="str">
        <f ca="1">IFERROR(__xludf.DUMMYFUNCTION("""COMPUTED_VALUE"""),"No")</f>
        <v>No</v>
      </c>
      <c r="AD223" s="5" t="str">
        <f ca="1">IFERROR(__xludf.DUMMYFUNCTION("""COMPUTED_VALUE"""),"No")</f>
        <v>No</v>
      </c>
      <c r="AE223" s="5" t="str">
        <f ca="1">IFERROR(__xludf.DUMMYFUNCTION("""COMPUTED_VALUE"""),"No")</f>
        <v>No</v>
      </c>
      <c r="AF223" s="5" t="str">
        <f ca="1">IFERROR(__xludf.DUMMYFUNCTION("""COMPUTED_VALUE"""),"No")</f>
        <v>No</v>
      </c>
      <c r="AG223" s="5"/>
      <c r="AH223" s="5" t="str">
        <f ca="1">IFERROR(__xludf.DUMMYFUNCTION("""COMPUTED_VALUE"""),"No")</f>
        <v>No</v>
      </c>
    </row>
    <row r="224" spans="1:34" ht="12.75">
      <c r="A224" s="5" t="str">
        <f ca="1">IFERROR(__xludf.DUMMYFUNCTION("""COMPUTED_VALUE"""),"20211119MDGIB")</f>
        <v>20211119MDGIB</v>
      </c>
      <c r="B224" s="8">
        <f ca="1">IFERROR(__xludf.DUMMYFUNCTION("""COMPUTED_VALUE"""),44518)</f>
        <v>44518</v>
      </c>
      <c r="C224" s="5" t="str">
        <f ca="1">IFERROR(__xludf.DUMMYFUNCTION("""COMPUTED_VALUE"""),"Gilmor Elementary School")</f>
        <v>Gilmor Elementary School</v>
      </c>
      <c r="D224" s="5">
        <f ca="1">IFERROR(__xludf.DUMMYFUNCTION("""COMPUTED_VALUE"""),1)</f>
        <v>1</v>
      </c>
      <c r="E224" s="5">
        <f ca="1">IFERROR(__xludf.DUMMYFUNCTION("""COMPUTED_VALUE"""),0)</f>
        <v>0</v>
      </c>
      <c r="F224" s="5">
        <f ca="1">IFERROR(__xludf.DUMMYFUNCTION("""COMPUTED_VALUE"""),1)</f>
        <v>1</v>
      </c>
      <c r="G224" s="5">
        <f ca="1">IFERROR(__xludf.DUMMYFUNCTION("""COMPUTED_VALUE"""),0)</f>
        <v>0</v>
      </c>
      <c r="H224"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I224" s="5">
        <f ca="1">IFERROR(__xludf.DUMMYFUNCTION("""COMPUTED_VALUE"""),5)</f>
        <v>5</v>
      </c>
      <c r="J224" s="5" t="str">
        <f ca="1">IFERROR(__xludf.DUMMYFUNCTION("""COMPUTED_VALUE"""),"Local")</f>
        <v>Local</v>
      </c>
      <c r="K224" s="5">
        <f ca="1">IFERROR(__xludf.DUMMYFUNCTION("""COMPUTED_VALUE"""),4)</f>
        <v>4</v>
      </c>
      <c r="L224" s="5" t="str">
        <f ca="1">IFERROR(__xludf.DUMMYFUNCTION("""COMPUTED_VALUE"""),"Fall")</f>
        <v>Fall</v>
      </c>
      <c r="M224" s="5" t="str">
        <f ca="1">IFERROR(__xludf.DUMMYFUNCTION("""COMPUTED_VALUE"""),"Baltimore")</f>
        <v>Baltimore</v>
      </c>
      <c r="N224" s="5" t="str">
        <f ca="1">IFERROR(__xludf.DUMMYFUNCTION("""COMPUTED_VALUE"""),"MD")</f>
        <v>MD</v>
      </c>
      <c r="O224" s="5" t="str">
        <f ca="1">IFERROR(__xludf.DUMMYFUNCTION("""COMPUTED_VALUE"""),"Elementary")</f>
        <v>Elementary</v>
      </c>
      <c r="P224" s="5" t="str">
        <f ca="1">IFERROR(__xludf.DUMMYFUNCTION("""COMPUTED_VALUE"""),"Front of School")</f>
        <v>Front of School</v>
      </c>
      <c r="Q224" s="5" t="str">
        <f ca="1">IFERROR(__xludf.DUMMYFUNCTION("""COMPUTED_VALUE"""),"Outside on School Property")</f>
        <v>Outside on School Property</v>
      </c>
      <c r="R224" s="5" t="str">
        <f ca="1">IFERROR(__xludf.DUMMYFUNCTION("""COMPUTED_VALUE"""),"No")</f>
        <v>No</v>
      </c>
      <c r="S224" s="5" t="str">
        <f ca="1">IFERROR(__xludf.DUMMYFUNCTION("""COMPUTED_VALUE"""),"Evening")</f>
        <v>Evening</v>
      </c>
      <c r="T224" s="10">
        <f ca="1">IFERROR(__xludf.DUMMYFUNCTION("""COMPUTED_VALUE"""),0.794444444444444)</f>
        <v>0.79444444444444395</v>
      </c>
      <c r="U224" s="5">
        <f ca="1">IFERROR(__xludf.DUMMYFUNCTION("""COMPUTED_VALUE"""),1)</f>
        <v>1</v>
      </c>
      <c r="V224" s="5" t="str">
        <f ca="1">IFERROR(__xludf.DUMMYFUNCTION("""COMPUTED_VALUE"""),"13-year-old girl shot outside of school")</f>
        <v>13-year-old girl shot outside of school</v>
      </c>
      <c r="W224"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X224" s="5"/>
      <c r="Y224" s="5" t="str">
        <f ca="1">IFERROR(__xludf.DUMMYFUNCTION("""COMPUTED_VALUE"""),"Victims Targeted")</f>
        <v>Victims Targeted</v>
      </c>
      <c r="Z224" s="5"/>
      <c r="AA224" s="5"/>
      <c r="AB224" s="5" t="str">
        <f ca="1">IFERROR(__xludf.DUMMYFUNCTION("""COMPUTED_VALUE"""),"No")</f>
        <v>No</v>
      </c>
      <c r="AC224" s="5" t="str">
        <f ca="1">IFERROR(__xludf.DUMMYFUNCTION("""COMPUTED_VALUE"""),"No")</f>
        <v>No</v>
      </c>
      <c r="AD224" s="5" t="str">
        <f ca="1">IFERROR(__xludf.DUMMYFUNCTION("""COMPUTED_VALUE"""),"No")</f>
        <v>No</v>
      </c>
      <c r="AE224" s="5" t="str">
        <f ca="1">IFERROR(__xludf.DUMMYFUNCTION("""COMPUTED_VALUE"""),"No")</f>
        <v>No</v>
      </c>
      <c r="AF224" s="5"/>
      <c r="AG224" s="5"/>
      <c r="AH224" s="5" t="str">
        <f ca="1">IFERROR(__xludf.DUMMYFUNCTION("""COMPUTED_VALUE"""),"No")</f>
        <v>No</v>
      </c>
    </row>
    <row r="225" spans="1:34" ht="12.75">
      <c r="A225" s="5" t="str">
        <f ca="1">IFERROR(__xludf.DUMMYFUNCTION("""COMPUTED_VALUE"""),"20211116NYPSB")</f>
        <v>20211116NYPSB</v>
      </c>
      <c r="B225" s="8">
        <f ca="1">IFERROR(__xludf.DUMMYFUNCTION("""COMPUTED_VALUE"""),44516)</f>
        <v>44516</v>
      </c>
      <c r="C225" s="5" t="str">
        <f ca="1">IFERROR(__xludf.DUMMYFUNCTION("""COMPUTED_VALUE"""),"P.S. 44")</f>
        <v>P.S. 44</v>
      </c>
      <c r="D225" s="5">
        <f ca="1">IFERROR(__xludf.DUMMYFUNCTION("""COMPUTED_VALUE"""),0)</f>
        <v>0</v>
      </c>
      <c r="E225" s="5">
        <f ca="1">IFERROR(__xludf.DUMMYFUNCTION("""COMPUTED_VALUE"""),0)</f>
        <v>0</v>
      </c>
      <c r="F225" s="5">
        <f ca="1">IFERROR(__xludf.DUMMYFUNCTION("""COMPUTED_VALUE"""),0)</f>
        <v>0</v>
      </c>
      <c r="G225" s="5">
        <f ca="1">IFERROR(__xludf.DUMMYFUNCTION("""COMPUTED_VALUE"""),0)</f>
        <v>0</v>
      </c>
      <c r="H225" s="9" t="str">
        <f ca="1">IFERROR(__xludf.DUMMYFUNCTION("""COMPUTED_VALUE"""),"https://nypost.com/2021/11/18/cops-arrest-gunman-who-fired-outside-nyc-school-police-say/")</f>
        <v>https://nypost.com/2021/11/18/cops-arrest-gunman-who-fired-outside-nyc-school-police-say/</v>
      </c>
      <c r="I225" s="5">
        <f ca="1">IFERROR(__xludf.DUMMYFUNCTION("""COMPUTED_VALUE"""),1)</f>
        <v>1</v>
      </c>
      <c r="J225" s="5" t="str">
        <f ca="1">IFERROR(__xludf.DUMMYFUNCTION("""COMPUTED_VALUE"""),"Local")</f>
        <v>Local</v>
      </c>
      <c r="K225" s="5">
        <f ca="1">IFERROR(__xludf.DUMMYFUNCTION("""COMPUTED_VALUE"""),3)</f>
        <v>3</v>
      </c>
      <c r="L225" s="5" t="str">
        <f ca="1">IFERROR(__xludf.DUMMYFUNCTION("""COMPUTED_VALUE"""),"Fall")</f>
        <v>Fall</v>
      </c>
      <c r="M225" s="5" t="str">
        <f ca="1">IFERROR(__xludf.DUMMYFUNCTION("""COMPUTED_VALUE"""),"Bronx")</f>
        <v>Bronx</v>
      </c>
      <c r="N225" s="5" t="str">
        <f ca="1">IFERROR(__xludf.DUMMYFUNCTION("""COMPUTED_VALUE"""),"NY")</f>
        <v>NY</v>
      </c>
      <c r="O225" s="5" t="str">
        <f ca="1">IFERROR(__xludf.DUMMYFUNCTION("""COMPUTED_VALUE"""),"Elementary")</f>
        <v>Elementary</v>
      </c>
      <c r="P225" s="5" t="str">
        <f ca="1">IFERROR(__xludf.DUMMYFUNCTION("""COMPUTED_VALUE"""),"Front of School")</f>
        <v>Front of School</v>
      </c>
      <c r="Q225" s="5" t="str">
        <f ca="1">IFERROR(__xludf.DUMMYFUNCTION("""COMPUTED_VALUE"""),"Outside on School Property")</f>
        <v>Outside on School Property</v>
      </c>
      <c r="R225" s="5" t="str">
        <f ca="1">IFERROR(__xludf.DUMMYFUNCTION("""COMPUTED_VALUE"""),"Yes")</f>
        <v>Yes</v>
      </c>
      <c r="S225" s="5" t="str">
        <f ca="1">IFERROR(__xludf.DUMMYFUNCTION("""COMPUTED_VALUE"""),"Dismissal")</f>
        <v>Dismissal</v>
      </c>
      <c r="T225" s="10">
        <f ca="1">IFERROR(__xludf.DUMMYFUNCTION("""COMPUTED_VALUE"""),0.59375)</f>
        <v>0.59375</v>
      </c>
      <c r="U225" s="5">
        <f ca="1">IFERROR(__xludf.DUMMYFUNCTION("""COMPUTED_VALUE"""),1)</f>
        <v>1</v>
      </c>
      <c r="V225" s="5" t="str">
        <f ca="1">IFERROR(__xludf.DUMMYFUNCTION("""COMPUTED_VALUE"""),"Shots fired outside school at dismissal by adult male")</f>
        <v>Shots fired outside school at dismissal by adult male</v>
      </c>
      <c r="W225"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X225" s="5"/>
      <c r="Y225" s="5" t="str">
        <f ca="1">IFERROR(__xludf.DUMMYFUNCTION("""COMPUTED_VALUE"""),"Victims Targeted")</f>
        <v>Victims Targeted</v>
      </c>
      <c r="Z225" s="5" t="str">
        <f ca="1">IFERROR(__xludf.DUMMYFUNCTION("""COMPUTED_VALUE"""),"No")</f>
        <v>No</v>
      </c>
      <c r="AA225" s="5"/>
      <c r="AB225" s="5" t="str">
        <f ca="1">IFERROR(__xludf.DUMMYFUNCTION("""COMPUTED_VALUE"""),"No")</f>
        <v>No</v>
      </c>
      <c r="AC225" s="5" t="str">
        <f ca="1">IFERROR(__xludf.DUMMYFUNCTION("""COMPUTED_VALUE"""),"No")</f>
        <v>No</v>
      </c>
      <c r="AD225" s="5" t="str">
        <f ca="1">IFERROR(__xludf.DUMMYFUNCTION("""COMPUTED_VALUE"""),"No")</f>
        <v>No</v>
      </c>
      <c r="AE225" s="5" t="str">
        <f ca="1">IFERROR(__xludf.DUMMYFUNCTION("""COMPUTED_VALUE"""),"No")</f>
        <v>No</v>
      </c>
      <c r="AF225" s="5" t="str">
        <f ca="1">IFERROR(__xludf.DUMMYFUNCTION("""COMPUTED_VALUE"""),"No")</f>
        <v>No</v>
      </c>
      <c r="AG225" s="5"/>
      <c r="AH225" s="5" t="str">
        <f ca="1">IFERROR(__xludf.DUMMYFUNCTION("""COMPUTED_VALUE"""),"No")</f>
        <v>No</v>
      </c>
    </row>
    <row r="226" spans="1:34" ht="12.75">
      <c r="A226" s="5" t="str">
        <f ca="1">IFERROR(__xludf.DUMMYFUNCTION("""COMPUTED_VALUE"""),"20211116FLJAJ")</f>
        <v>20211116FLJAJ</v>
      </c>
      <c r="B226" s="8">
        <f ca="1">IFERROR(__xludf.DUMMYFUNCTION("""COMPUTED_VALUE"""),44516)</f>
        <v>44516</v>
      </c>
      <c r="C226" s="5" t="str">
        <f ca="1">IFERROR(__xludf.DUMMYFUNCTION("""COMPUTED_VALUE"""),"Jacksonville School Bus")</f>
        <v>Jacksonville School Bus</v>
      </c>
      <c r="D226" s="5">
        <f ca="1">IFERROR(__xludf.DUMMYFUNCTION("""COMPUTED_VALUE"""),0)</f>
        <v>0</v>
      </c>
      <c r="E226" s="5">
        <f ca="1">IFERROR(__xludf.DUMMYFUNCTION("""COMPUTED_VALUE"""),0)</f>
        <v>0</v>
      </c>
      <c r="F226" s="5">
        <f ca="1">IFERROR(__xludf.DUMMYFUNCTION("""COMPUTED_VALUE"""),0)</f>
        <v>0</v>
      </c>
      <c r="G226" s="5">
        <f ca="1">IFERROR(__xludf.DUMMYFUNCTION("""COMPUTED_VALUE"""),0)</f>
        <v>0</v>
      </c>
      <c r="H226"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I226" s="5">
        <f ca="1">IFERROR(__xludf.DUMMYFUNCTION("""COMPUTED_VALUE"""),1)</f>
        <v>1</v>
      </c>
      <c r="J226" s="5" t="str">
        <f ca="1">IFERROR(__xludf.DUMMYFUNCTION("""COMPUTED_VALUE"""),"Local")</f>
        <v>Local</v>
      </c>
      <c r="K226" s="5">
        <f ca="1">IFERROR(__xludf.DUMMYFUNCTION("""COMPUTED_VALUE"""),3)</f>
        <v>3</v>
      </c>
      <c r="L226" s="5" t="str">
        <f ca="1">IFERROR(__xludf.DUMMYFUNCTION("""COMPUTED_VALUE"""),"Fall")</f>
        <v>Fall</v>
      </c>
      <c r="M226" s="5" t="str">
        <f ca="1">IFERROR(__xludf.DUMMYFUNCTION("""COMPUTED_VALUE"""),"Jacksonville")</f>
        <v>Jacksonville</v>
      </c>
      <c r="N226" s="5" t="str">
        <f ca="1">IFERROR(__xludf.DUMMYFUNCTION("""COMPUTED_VALUE"""),"FL")</f>
        <v>FL</v>
      </c>
      <c r="O226" s="5"/>
      <c r="P226" s="5" t="str">
        <f ca="1">IFERROR(__xludf.DUMMYFUNCTION("""COMPUTED_VALUE"""),"School Bus")</f>
        <v>School Bus</v>
      </c>
      <c r="Q226" s="5" t="str">
        <f ca="1">IFERROR(__xludf.DUMMYFUNCTION("""COMPUTED_VALUE"""),"School Bus")</f>
        <v>School Bus</v>
      </c>
      <c r="R226" s="5" t="str">
        <f ca="1">IFERROR(__xludf.DUMMYFUNCTION("""COMPUTED_VALUE"""),"Yes")</f>
        <v>Yes</v>
      </c>
      <c r="S226" s="5" t="str">
        <f ca="1">IFERROR(__xludf.DUMMYFUNCTION("""COMPUTED_VALUE"""),"Evening")</f>
        <v>Evening</v>
      </c>
      <c r="T226" s="10">
        <f ca="1">IFERROR(__xludf.DUMMYFUNCTION("""COMPUTED_VALUE"""),0.75)</f>
        <v>0.75</v>
      </c>
      <c r="U226" s="5">
        <f ca="1">IFERROR(__xludf.DUMMYFUNCTION("""COMPUTED_VALUE"""),1)</f>
        <v>1</v>
      </c>
      <c r="V226" s="5" t="str">
        <f ca="1">IFERROR(__xludf.DUMMYFUNCTION("""COMPUTED_VALUE"""),"Occupied school bus struck by bullets")</f>
        <v>Occupied school bus struck by bullets</v>
      </c>
      <c r="W226"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X226" s="5"/>
      <c r="Y226" s="5" t="str">
        <f ca="1">IFERROR(__xludf.DUMMYFUNCTION("""COMPUTED_VALUE"""),"Both")</f>
        <v>Both</v>
      </c>
      <c r="Z226" s="5"/>
      <c r="AA226" s="5"/>
      <c r="AB226" s="5" t="str">
        <f ca="1">IFERROR(__xludf.DUMMYFUNCTION("""COMPUTED_VALUE"""),"No")</f>
        <v>No</v>
      </c>
      <c r="AC226" s="5" t="str">
        <f ca="1">IFERROR(__xludf.DUMMYFUNCTION("""COMPUTED_VALUE"""),"No")</f>
        <v>No</v>
      </c>
      <c r="AD226" s="5" t="str">
        <f ca="1">IFERROR(__xludf.DUMMYFUNCTION("""COMPUTED_VALUE"""),"No")</f>
        <v>No</v>
      </c>
      <c r="AE226" s="5" t="str">
        <f ca="1">IFERROR(__xludf.DUMMYFUNCTION("""COMPUTED_VALUE"""),"No")</f>
        <v>No</v>
      </c>
      <c r="AF226" s="5" t="str">
        <f ca="1">IFERROR(__xludf.DUMMYFUNCTION("""COMPUTED_VALUE"""),"No")</f>
        <v>No</v>
      </c>
      <c r="AG226" s="5"/>
      <c r="AH226" s="5" t="str">
        <f ca="1">IFERROR(__xludf.DUMMYFUNCTION("""COMPUTED_VALUE"""),"No")</f>
        <v>No</v>
      </c>
    </row>
    <row r="227" spans="1:34" ht="12.75">
      <c r="A227" s="5" t="str">
        <f ca="1">IFERROR(__xludf.DUMMYFUNCTION("""COMPUTED_VALUE"""),"20211115NYPOP")</f>
        <v>20211115NYPOP</v>
      </c>
      <c r="B227" s="8">
        <f ca="1">IFERROR(__xludf.DUMMYFUNCTION("""COMPUTED_VALUE"""),44515)</f>
        <v>44515</v>
      </c>
      <c r="C227" s="5" t="str">
        <f ca="1">IFERROR(__xludf.DUMMYFUNCTION("""COMPUTED_VALUE"""),"Poughkeepsie High School")</f>
        <v>Poughkeepsie High School</v>
      </c>
      <c r="D227" s="5">
        <f ca="1">IFERROR(__xludf.DUMMYFUNCTION("""COMPUTED_VALUE"""),0)</f>
        <v>0</v>
      </c>
      <c r="E227" s="5">
        <f ca="1">IFERROR(__xludf.DUMMYFUNCTION("""COMPUTED_VALUE"""),0)</f>
        <v>0</v>
      </c>
      <c r="F227" s="5">
        <f ca="1">IFERROR(__xludf.DUMMYFUNCTION("""COMPUTED_VALUE"""),0)</f>
        <v>0</v>
      </c>
      <c r="G227" s="5">
        <f ca="1">IFERROR(__xludf.DUMMYFUNCTION("""COMPUTED_VALUE"""),0)</f>
        <v>0</v>
      </c>
      <c r="H227"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I227" s="5">
        <f ca="1">IFERROR(__xludf.DUMMYFUNCTION("""COMPUTED_VALUE"""),5)</f>
        <v>5</v>
      </c>
      <c r="J227" s="5" t="str">
        <f ca="1">IFERROR(__xludf.DUMMYFUNCTION("""COMPUTED_VALUE"""),"Regional")</f>
        <v>Regional</v>
      </c>
      <c r="K227" s="5">
        <f ca="1">IFERROR(__xludf.DUMMYFUNCTION("""COMPUTED_VALUE"""),4)</f>
        <v>4</v>
      </c>
      <c r="L227" s="5" t="str">
        <f ca="1">IFERROR(__xludf.DUMMYFUNCTION("""COMPUTED_VALUE"""),"Fall")</f>
        <v>Fall</v>
      </c>
      <c r="M227" s="5" t="str">
        <f ca="1">IFERROR(__xludf.DUMMYFUNCTION("""COMPUTED_VALUE"""),"Poughkeepsie")</f>
        <v>Poughkeepsie</v>
      </c>
      <c r="N227" s="5" t="str">
        <f ca="1">IFERROR(__xludf.DUMMYFUNCTION("""COMPUTED_VALUE"""),"NY")</f>
        <v>NY</v>
      </c>
      <c r="O227" s="5" t="str">
        <f ca="1">IFERROR(__xludf.DUMMYFUNCTION("""COMPUTED_VALUE"""),"High")</f>
        <v>High</v>
      </c>
      <c r="P227" s="5" t="str">
        <f ca="1">IFERROR(__xludf.DUMMYFUNCTION("""COMPUTED_VALUE"""),"Front of School")</f>
        <v>Front of School</v>
      </c>
      <c r="Q227" s="5" t="str">
        <f ca="1">IFERROR(__xludf.DUMMYFUNCTION("""COMPUTED_VALUE"""),"Outside on School Property")</f>
        <v>Outside on School Property</v>
      </c>
      <c r="R227" s="5" t="str">
        <f ca="1">IFERROR(__xludf.DUMMYFUNCTION("""COMPUTED_VALUE"""),"Yes")</f>
        <v>Yes</v>
      </c>
      <c r="S227" s="5" t="str">
        <f ca="1">IFERROR(__xludf.DUMMYFUNCTION("""COMPUTED_VALUE"""),"Dismissal")</f>
        <v>Dismissal</v>
      </c>
      <c r="T227" s="10">
        <f ca="1">IFERROR(__xludf.DUMMYFUNCTION("""COMPUTED_VALUE"""),0.635416666666666)</f>
        <v>0.63541666666666596</v>
      </c>
      <c r="U227" s="5">
        <f ca="1">IFERROR(__xludf.DUMMYFUNCTION("""COMPUTED_VALUE"""),1)</f>
        <v>1</v>
      </c>
      <c r="V227" s="5" t="str">
        <f ca="1">IFERROR(__xludf.DUMMYFUNCTION("""COMPUTED_VALUE"""),"Shots fired during fight in front of the school at dismissal")</f>
        <v>Shots fired during fight in front of the school at dismissal</v>
      </c>
      <c r="W227"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X227" s="5" t="str">
        <f ca="1">IFERROR(__xludf.DUMMYFUNCTION("""COMPUTED_VALUE"""),"Escalation of Dispute")</f>
        <v>Escalation of Dispute</v>
      </c>
      <c r="Y227" s="5" t="str">
        <f ca="1">IFERROR(__xludf.DUMMYFUNCTION("""COMPUTED_VALUE"""),"Victims Targeted")</f>
        <v>Victims Targeted</v>
      </c>
      <c r="Z227" s="5" t="str">
        <f ca="1">IFERROR(__xludf.DUMMYFUNCTION("""COMPUTED_VALUE"""),"Yes")</f>
        <v>Yes</v>
      </c>
      <c r="AA227" s="5" t="str">
        <f ca="1">IFERROR(__xludf.DUMMYFUNCTION("""COMPUTED_VALUE"""),"15-year-old also questioned")</f>
        <v>15-year-old also questioned</v>
      </c>
      <c r="AB227" s="5" t="str">
        <f ca="1">IFERROR(__xludf.DUMMYFUNCTION("""COMPUTED_VALUE"""),"No")</f>
        <v>No</v>
      </c>
      <c r="AC227" s="5" t="str">
        <f ca="1">IFERROR(__xludf.DUMMYFUNCTION("""COMPUTED_VALUE"""),"No")</f>
        <v>No</v>
      </c>
      <c r="AD227" s="5" t="str">
        <f ca="1">IFERROR(__xludf.DUMMYFUNCTION("""COMPUTED_VALUE"""),"No")</f>
        <v>No</v>
      </c>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row>
    <row r="228" spans="1:34" ht="12.75">
      <c r="A228" s="5" t="str">
        <f ca="1">IFERROR(__xludf.DUMMYFUNCTION("""COMPUTED_VALUE"""),"20211110NYITI")</f>
        <v>20211110NYITI</v>
      </c>
      <c r="B228" s="8">
        <f ca="1">IFERROR(__xludf.DUMMYFUNCTION("""COMPUTED_VALUE"""),44510)</f>
        <v>44510</v>
      </c>
      <c r="C228" s="5" t="str">
        <f ca="1">IFERROR(__xludf.DUMMYFUNCTION("""COMPUTED_VALUE"""),"Ithaca High School")</f>
        <v>Ithaca High School</v>
      </c>
      <c r="D228" s="5">
        <f ca="1">IFERROR(__xludf.DUMMYFUNCTION("""COMPUTED_VALUE"""),0)</f>
        <v>0</v>
      </c>
      <c r="E228" s="5">
        <f ca="1">IFERROR(__xludf.DUMMYFUNCTION("""COMPUTED_VALUE"""),0)</f>
        <v>0</v>
      </c>
      <c r="F228" s="5">
        <f ca="1">IFERROR(__xludf.DUMMYFUNCTION("""COMPUTED_VALUE"""),0)</f>
        <v>0</v>
      </c>
      <c r="G228" s="5">
        <f ca="1">IFERROR(__xludf.DUMMYFUNCTION("""COMPUTED_VALUE"""),0)</f>
        <v>0</v>
      </c>
      <c r="H228"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I228" s="5">
        <f ca="1">IFERROR(__xludf.DUMMYFUNCTION("""COMPUTED_VALUE"""),5)</f>
        <v>5</v>
      </c>
      <c r="J228" s="5" t="str">
        <f ca="1">IFERROR(__xludf.DUMMYFUNCTION("""COMPUTED_VALUE"""),"Local")</f>
        <v>Local</v>
      </c>
      <c r="K228" s="5">
        <f ca="1">IFERROR(__xludf.DUMMYFUNCTION("""COMPUTED_VALUE"""),4)</f>
        <v>4</v>
      </c>
      <c r="L228" s="5" t="str">
        <f ca="1">IFERROR(__xludf.DUMMYFUNCTION("""COMPUTED_VALUE"""),"Fall")</f>
        <v>Fall</v>
      </c>
      <c r="M228" s="5" t="str">
        <f ca="1">IFERROR(__xludf.DUMMYFUNCTION("""COMPUTED_VALUE"""),"Ithaca")</f>
        <v>Ithaca</v>
      </c>
      <c r="N228" s="5" t="str">
        <f ca="1">IFERROR(__xludf.DUMMYFUNCTION("""COMPUTED_VALUE"""),"NY")</f>
        <v>NY</v>
      </c>
      <c r="O228" s="5" t="str">
        <f ca="1">IFERROR(__xludf.DUMMYFUNCTION("""COMPUTED_VALUE"""),"High")</f>
        <v>High</v>
      </c>
      <c r="P228" s="5" t="str">
        <f ca="1">IFERROR(__xludf.DUMMYFUNCTION("""COMPUTED_VALUE"""),"School Bus")</f>
        <v>School Bus</v>
      </c>
      <c r="Q228" s="5" t="str">
        <f ca="1">IFERROR(__xludf.DUMMYFUNCTION("""COMPUTED_VALUE"""),"School Bus")</f>
        <v>School Bus</v>
      </c>
      <c r="R228" s="5" t="str">
        <f ca="1">IFERROR(__xludf.DUMMYFUNCTION("""COMPUTED_VALUE"""),"No")</f>
        <v>No</v>
      </c>
      <c r="S228" s="5" t="str">
        <f ca="1">IFERROR(__xludf.DUMMYFUNCTION("""COMPUTED_VALUE"""),"Evening")</f>
        <v>Evening</v>
      </c>
      <c r="T228" s="10">
        <f ca="1">IFERROR(__xludf.DUMMYFUNCTION("""COMPUTED_VALUE"""),0.770833333333333)</f>
        <v>0.77083333333333304</v>
      </c>
      <c r="U228" s="5">
        <f ca="1">IFERROR(__xludf.DUMMYFUNCTION("""COMPUTED_VALUE"""),1)</f>
        <v>1</v>
      </c>
      <c r="V228" s="5" t="str">
        <f ca="1">IFERROR(__xludf.DUMMYFUNCTION("""COMPUTED_VALUE"""),"Door of school bus shot, driver not injured")</f>
        <v>Door of school bus shot, driver not injured</v>
      </c>
      <c r="W228"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X228" s="5"/>
      <c r="Y228" s="5"/>
      <c r="Z228" s="5" t="str">
        <f ca="1">IFERROR(__xludf.DUMMYFUNCTION("""COMPUTED_VALUE"""),"No")</f>
        <v>No</v>
      </c>
      <c r="AA228" s="5"/>
      <c r="AB228" s="5" t="str">
        <f ca="1">IFERROR(__xludf.DUMMYFUNCTION("""COMPUTED_VALUE"""),"No")</f>
        <v>No</v>
      </c>
      <c r="AC228" s="5" t="str">
        <f ca="1">IFERROR(__xludf.DUMMYFUNCTION("""COMPUTED_VALUE"""),"No")</f>
        <v>No</v>
      </c>
      <c r="AD228" s="5" t="str">
        <f ca="1">IFERROR(__xludf.DUMMYFUNCTION("""COMPUTED_VALUE"""),"No")</f>
        <v>No</v>
      </c>
      <c r="AE228" s="5" t="str">
        <f ca="1">IFERROR(__xludf.DUMMYFUNCTION("""COMPUTED_VALUE"""),"No")</f>
        <v>No</v>
      </c>
      <c r="AF228" s="5" t="str">
        <f ca="1">IFERROR(__xludf.DUMMYFUNCTION("""COMPUTED_VALUE"""),"No")</f>
        <v>No</v>
      </c>
      <c r="AG228" s="5"/>
      <c r="AH228" s="5" t="str">
        <f ca="1">IFERROR(__xludf.DUMMYFUNCTION("""COMPUTED_VALUE"""),"No")</f>
        <v>No</v>
      </c>
    </row>
    <row r="229" spans="1:34" ht="12.75">
      <c r="A229" s="5" t="str">
        <f ca="1">IFERROR(__xludf.DUMMYFUNCTION("""COMPUTED_VALUE"""),"20211109NMMEL")</f>
        <v>20211109NMMEL</v>
      </c>
      <c r="B229" s="8">
        <f ca="1">IFERROR(__xludf.DUMMYFUNCTION("""COMPUTED_VALUE"""),44509)</f>
        <v>44509</v>
      </c>
      <c r="C229" s="5" t="str">
        <f ca="1">IFERROR(__xludf.DUMMYFUNCTION("""COMPUTED_VALUE"""),"Mesilla Valley Leadership Academy")</f>
        <v>Mesilla Valley Leadership Academy</v>
      </c>
      <c r="D229" s="5">
        <f ca="1">IFERROR(__xludf.DUMMYFUNCTION("""COMPUTED_VALUE"""),0)</f>
        <v>0</v>
      </c>
      <c r="E229" s="5">
        <f ca="1">IFERROR(__xludf.DUMMYFUNCTION("""COMPUTED_VALUE"""),0)</f>
        <v>0</v>
      </c>
      <c r="F229" s="5">
        <f ca="1">IFERROR(__xludf.DUMMYFUNCTION("""COMPUTED_VALUE"""),0)</f>
        <v>0</v>
      </c>
      <c r="G229" s="5">
        <f ca="1">IFERROR(__xludf.DUMMYFUNCTION("""COMPUTED_VALUE"""),1)</f>
        <v>1</v>
      </c>
      <c r="H229"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I229" s="5">
        <f ca="1">IFERROR(__xludf.DUMMYFUNCTION("""COMPUTED_VALUE"""),5)</f>
        <v>5</v>
      </c>
      <c r="J229" s="5" t="str">
        <f ca="1">IFERROR(__xludf.DUMMYFUNCTION("""COMPUTED_VALUE"""),"Local")</f>
        <v>Local</v>
      </c>
      <c r="K229" s="5">
        <f ca="1">IFERROR(__xludf.DUMMYFUNCTION("""COMPUTED_VALUE"""),4)</f>
        <v>4</v>
      </c>
      <c r="L229" s="5" t="str">
        <f ca="1">IFERROR(__xludf.DUMMYFUNCTION("""COMPUTED_VALUE"""),"Fall")</f>
        <v>Fall</v>
      </c>
      <c r="M229" s="5" t="str">
        <f ca="1">IFERROR(__xludf.DUMMYFUNCTION("""COMPUTED_VALUE"""),"Las Cruces")</f>
        <v>Las Cruces</v>
      </c>
      <c r="N229" s="5" t="str">
        <f ca="1">IFERROR(__xludf.DUMMYFUNCTION("""COMPUTED_VALUE"""),"NM")</f>
        <v>NM</v>
      </c>
      <c r="O229" s="5"/>
      <c r="P229" s="5" t="str">
        <f ca="1">IFERROR(__xludf.DUMMYFUNCTION("""COMPUTED_VALUE"""),"Beside Building")</f>
        <v>Beside Building</v>
      </c>
      <c r="Q229" s="5" t="str">
        <f ca="1">IFERROR(__xludf.DUMMYFUNCTION("""COMPUTED_VALUE"""),"Outside on School Property")</f>
        <v>Outside on School Property</v>
      </c>
      <c r="R229" s="5" t="str">
        <f ca="1">IFERROR(__xludf.DUMMYFUNCTION("""COMPUTED_VALUE"""),"Yes")</f>
        <v>Yes</v>
      </c>
      <c r="S229" s="5" t="str">
        <f ca="1">IFERROR(__xludf.DUMMYFUNCTION("""COMPUTED_VALUE"""),"Morning Classes")</f>
        <v>Morning Classes</v>
      </c>
      <c r="T229" s="10">
        <f ca="1">IFERROR(__xludf.DUMMYFUNCTION("""COMPUTED_VALUE"""),0.333333333333333)</f>
        <v>0.33333333333333298</v>
      </c>
      <c r="U229" s="5">
        <f ca="1">IFERROR(__xludf.DUMMYFUNCTION("""COMPUTED_VALUE"""),210)</f>
        <v>210</v>
      </c>
      <c r="V229" s="5" t="str">
        <f ca="1">IFERROR(__xludf.DUMMYFUNCTION("""COMPUTED_VALUE"""),"SWAT standoff after man crashed stolen police car into school")</f>
        <v>SWAT standoff after man crashed stolen police car into school</v>
      </c>
      <c r="W229"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X229" s="5" t="str">
        <f ca="1">IFERROR(__xludf.DUMMYFUNCTION("""COMPUTED_VALUE"""),"Hostage/Standoff")</f>
        <v>Hostage/Standoff</v>
      </c>
      <c r="Y229" s="5" t="str">
        <f ca="1">IFERROR(__xludf.DUMMYFUNCTION("""COMPUTED_VALUE"""),"Neither")</f>
        <v>Neither</v>
      </c>
      <c r="Z229" s="5" t="str">
        <f ca="1">IFERROR(__xludf.DUMMYFUNCTION("""COMPUTED_VALUE"""),"No")</f>
        <v>No</v>
      </c>
      <c r="AA229" s="5"/>
      <c r="AB229" s="5" t="str">
        <f ca="1">IFERROR(__xludf.DUMMYFUNCTION("""COMPUTED_VALUE"""),"No")</f>
        <v>No</v>
      </c>
      <c r="AC229" s="5" t="str">
        <f ca="1">IFERROR(__xludf.DUMMYFUNCTION("""COMPUTED_VALUE"""),"No")</f>
        <v>No</v>
      </c>
      <c r="AD229" s="5" t="str">
        <f ca="1">IFERROR(__xludf.DUMMYFUNCTION("""COMPUTED_VALUE"""),"No")</f>
        <v>No</v>
      </c>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row>
    <row r="230" spans="1:34" ht="12.75">
      <c r="A230" s="5" t="str">
        <f ca="1">IFERROR(__xludf.DUMMYFUNCTION("""COMPUTED_VALUE"""),"20211108NYTHB")</f>
        <v>20211108NYTHB</v>
      </c>
      <c r="B230" s="8">
        <f ca="1">IFERROR(__xludf.DUMMYFUNCTION("""COMPUTED_VALUE"""),44508)</f>
        <v>44508</v>
      </c>
      <c r="C230" s="5" t="str">
        <f ca="1">IFERROR(__xludf.DUMMYFUNCTION("""COMPUTED_VALUE"""),"Theodore Roosevelt High School")</f>
        <v>Theodore Roosevelt High School</v>
      </c>
      <c r="D230" s="5">
        <f ca="1">IFERROR(__xludf.DUMMYFUNCTION("""COMPUTED_VALUE"""),0)</f>
        <v>0</v>
      </c>
      <c r="E230" s="5">
        <f ca="1">IFERROR(__xludf.DUMMYFUNCTION("""COMPUTED_VALUE"""),1)</f>
        <v>1</v>
      </c>
      <c r="F230" s="5">
        <f ca="1">IFERROR(__xludf.DUMMYFUNCTION("""COMPUTED_VALUE"""),1)</f>
        <v>1</v>
      </c>
      <c r="G230" s="5">
        <f ca="1">IFERROR(__xludf.DUMMYFUNCTION("""COMPUTED_VALUE"""),0)</f>
        <v>0</v>
      </c>
      <c r="H230"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I230" s="5">
        <f ca="1">IFERROR(__xludf.DUMMYFUNCTION("""COMPUTED_VALUE"""),3)</f>
        <v>3</v>
      </c>
      <c r="J230" s="5" t="str">
        <f ca="1">IFERROR(__xludf.DUMMYFUNCTION("""COMPUTED_VALUE"""),"Local")</f>
        <v>Local</v>
      </c>
      <c r="K230" s="5">
        <f ca="1">IFERROR(__xludf.DUMMYFUNCTION("""COMPUTED_VALUE"""),4)</f>
        <v>4</v>
      </c>
      <c r="L230" s="5" t="str">
        <f ca="1">IFERROR(__xludf.DUMMYFUNCTION("""COMPUTED_VALUE"""),"Fall")</f>
        <v>Fall</v>
      </c>
      <c r="M230" s="5" t="str">
        <f ca="1">IFERROR(__xludf.DUMMYFUNCTION("""COMPUTED_VALUE"""),"Bronx")</f>
        <v>Bronx</v>
      </c>
      <c r="N230" s="5" t="str">
        <f ca="1">IFERROR(__xludf.DUMMYFUNCTION("""COMPUTED_VALUE"""),"NY")</f>
        <v>NY</v>
      </c>
      <c r="O230" s="5" t="str">
        <f ca="1">IFERROR(__xludf.DUMMYFUNCTION("""COMPUTED_VALUE"""),"High")</f>
        <v>High</v>
      </c>
      <c r="P230" s="5" t="str">
        <f ca="1">IFERROR(__xludf.DUMMYFUNCTION("""COMPUTED_VALUE"""),"Front of School")</f>
        <v>Front of School</v>
      </c>
      <c r="Q230" s="5" t="str">
        <f ca="1">IFERROR(__xludf.DUMMYFUNCTION("""COMPUTED_VALUE"""),"Outside on School Property")</f>
        <v>Outside on School Property</v>
      </c>
      <c r="R230" s="5" t="str">
        <f ca="1">IFERROR(__xludf.DUMMYFUNCTION("""COMPUTED_VALUE"""),"Yes")</f>
        <v>Yes</v>
      </c>
      <c r="S230" s="5" t="str">
        <f ca="1">IFERROR(__xludf.DUMMYFUNCTION("""COMPUTED_VALUE"""),"Dismissal")</f>
        <v>Dismissal</v>
      </c>
      <c r="T230" s="10">
        <f ca="1">IFERROR(__xludf.DUMMYFUNCTION("""COMPUTED_VALUE"""),0.611111111111111)</f>
        <v>0.61111111111111105</v>
      </c>
      <c r="U230" s="5">
        <f ca="1">IFERROR(__xludf.DUMMYFUNCTION("""COMPUTED_VALUE"""),1)</f>
        <v>1</v>
      </c>
      <c r="V230" s="5" t="str">
        <f ca="1">IFERROR(__xludf.DUMMYFUNCTION("""COMPUTED_VALUE"""),"Student shot at dismissal on sidewalk in front of school")</f>
        <v>Student shot at dismissal on sidewalk in front of school</v>
      </c>
      <c r="W230"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X230" s="5" t="str">
        <f ca="1">IFERROR(__xludf.DUMMYFUNCTION("""COMPUTED_VALUE"""),"Drive-by Shooting")</f>
        <v>Drive-by Shooting</v>
      </c>
      <c r="Y230" s="5" t="str">
        <f ca="1">IFERROR(__xludf.DUMMYFUNCTION("""COMPUTED_VALUE"""),"Victims Targeted")</f>
        <v>Victims Targeted</v>
      </c>
      <c r="Z230" s="5" t="str">
        <f ca="1">IFERROR(__xludf.DUMMYFUNCTION("""COMPUTED_VALUE"""),"Yes")</f>
        <v>Yes</v>
      </c>
      <c r="AA230" s="5" t="str">
        <f ca="1">IFERROR(__xludf.DUMMYFUNCTION("""COMPUTED_VALUE"""),"Driver, other students in vehicle")</f>
        <v>Driver, other students in vehicle</v>
      </c>
      <c r="AB230" s="5" t="str">
        <f ca="1">IFERROR(__xludf.DUMMYFUNCTION("""COMPUTED_VALUE"""),"No")</f>
        <v>No</v>
      </c>
      <c r="AC230" s="5" t="str">
        <f ca="1">IFERROR(__xludf.DUMMYFUNCTION("""COMPUTED_VALUE"""),"No")</f>
        <v>No</v>
      </c>
      <c r="AD230" s="5" t="str">
        <f ca="1">IFERROR(__xludf.DUMMYFUNCTION("""COMPUTED_VALUE"""),"No")</f>
        <v>No</v>
      </c>
      <c r="AE230" s="5" t="str">
        <f ca="1">IFERROR(__xludf.DUMMYFUNCTION("""COMPUTED_VALUE"""),"No")</f>
        <v>No</v>
      </c>
      <c r="AF230" s="5" t="str">
        <f ca="1">IFERROR(__xludf.DUMMYFUNCTION("""COMPUTED_VALUE"""),"No")</f>
        <v>No</v>
      </c>
      <c r="AG230" s="5"/>
      <c r="AH230" s="5" t="str">
        <f ca="1">IFERROR(__xludf.DUMMYFUNCTION("""COMPUTED_VALUE"""),"No")</f>
        <v>No</v>
      </c>
    </row>
    <row r="231" spans="1:34" ht="12.75">
      <c r="A231" s="5" t="str">
        <f ca="1">IFERROR(__xludf.DUMMYFUNCTION("""COMPUTED_VALUE"""),"20211106FLOVO")</f>
        <v>20211106FLOVO</v>
      </c>
      <c r="B231" s="8">
        <f ca="1">IFERROR(__xludf.DUMMYFUNCTION("""COMPUTED_VALUE"""),44506)</f>
        <v>44506</v>
      </c>
      <c r="C231" s="5" t="str">
        <f ca="1">IFERROR(__xludf.DUMMYFUNCTION("""COMPUTED_VALUE"""),"Oviedo High School")</f>
        <v>Oviedo High School</v>
      </c>
      <c r="D231" s="5">
        <f ca="1">IFERROR(__xludf.DUMMYFUNCTION("""COMPUTED_VALUE"""),0)</f>
        <v>0</v>
      </c>
      <c r="E231" s="5">
        <f ca="1">IFERROR(__xludf.DUMMYFUNCTION("""COMPUTED_VALUE"""),0)</f>
        <v>0</v>
      </c>
      <c r="F231" s="5">
        <f ca="1">IFERROR(__xludf.DUMMYFUNCTION("""COMPUTED_VALUE"""),0)</f>
        <v>0</v>
      </c>
      <c r="G231" s="5">
        <f ca="1">IFERROR(__xludf.DUMMYFUNCTION("""COMPUTED_VALUE"""),0)</f>
        <v>0</v>
      </c>
      <c r="H231"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I231" s="5">
        <f ca="1">IFERROR(__xludf.DUMMYFUNCTION("""COMPUTED_VALUE"""),10)</f>
        <v>10</v>
      </c>
      <c r="J231" s="5" t="str">
        <f ca="1">IFERROR(__xludf.DUMMYFUNCTION("""COMPUTED_VALUE"""),"Local")</f>
        <v>Local</v>
      </c>
      <c r="K231" s="5">
        <f ca="1">IFERROR(__xludf.DUMMYFUNCTION("""COMPUTED_VALUE"""),4)</f>
        <v>4</v>
      </c>
      <c r="L231" s="5" t="str">
        <f ca="1">IFERROR(__xludf.DUMMYFUNCTION("""COMPUTED_VALUE"""),"Fall")</f>
        <v>Fall</v>
      </c>
      <c r="M231" s="5" t="str">
        <f ca="1">IFERROR(__xludf.DUMMYFUNCTION("""COMPUTED_VALUE"""),"Oviedo")</f>
        <v>Oviedo</v>
      </c>
      <c r="N231" s="5" t="str">
        <f ca="1">IFERROR(__xludf.DUMMYFUNCTION("""COMPUTED_VALUE"""),"FL")</f>
        <v>FL</v>
      </c>
      <c r="O231" s="5" t="str">
        <f ca="1">IFERROR(__xludf.DUMMYFUNCTION("""COMPUTED_VALUE"""),"High")</f>
        <v>High</v>
      </c>
      <c r="P231" s="5" t="str">
        <f ca="1">IFERROR(__xludf.DUMMYFUNCTION("""COMPUTED_VALUE"""),"Gym")</f>
        <v>Gym</v>
      </c>
      <c r="Q231" s="5" t="str">
        <f ca="1">IFERROR(__xludf.DUMMYFUNCTION("""COMPUTED_VALUE"""),"Inside School Building")</f>
        <v>Inside School Building</v>
      </c>
      <c r="R231" s="5" t="str">
        <f ca="1">IFERROR(__xludf.DUMMYFUNCTION("""COMPUTED_VALUE"""),"No")</f>
        <v>No</v>
      </c>
      <c r="S231" s="5" t="str">
        <f ca="1">IFERROR(__xludf.DUMMYFUNCTION("""COMPUTED_VALUE"""),"School Event")</f>
        <v>School Event</v>
      </c>
      <c r="T231" s="10">
        <f ca="1">IFERROR(__xludf.DUMMYFUNCTION("""COMPUTED_VALUE"""),0.916666666666666)</f>
        <v>0.91666666666666596</v>
      </c>
      <c r="U231" s="5">
        <f ca="1">IFERROR(__xludf.DUMMYFUNCTION("""COMPUTED_VALUE"""),1)</f>
        <v>1</v>
      </c>
      <c r="V231" s="5" t="str">
        <f ca="1">IFERROR(__xludf.DUMMYFUNCTION("""COMPUTED_VALUE"""),"Student brandish gun during fight at homecoming dance")</f>
        <v>Student brandish gun during fight at homecoming dance</v>
      </c>
      <c r="W231"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X231" s="5" t="str">
        <f ca="1">IFERROR(__xludf.DUMMYFUNCTION("""COMPUTED_VALUE"""),"Escalation of Dispute")</f>
        <v>Escalation of Dispute</v>
      </c>
      <c r="Y231" s="5" t="str">
        <f ca="1">IFERROR(__xludf.DUMMYFUNCTION("""COMPUTED_VALUE"""),"Neither")</f>
        <v>Neither</v>
      </c>
      <c r="Z231" s="5" t="str">
        <f ca="1">IFERROR(__xludf.DUMMYFUNCTION("""COMPUTED_VALUE"""),"No")</f>
        <v>No</v>
      </c>
      <c r="AA231" s="5"/>
      <c r="AB231" s="5" t="str">
        <f ca="1">IFERROR(__xludf.DUMMYFUNCTION("""COMPUTED_VALUE"""),"No")</f>
        <v>No</v>
      </c>
      <c r="AC231" s="5" t="str">
        <f ca="1">IFERROR(__xludf.DUMMYFUNCTION("""COMPUTED_VALUE"""),"No")</f>
        <v>No</v>
      </c>
      <c r="AD231" s="5" t="str">
        <f ca="1">IFERROR(__xludf.DUMMYFUNCTION("""COMPUTED_VALUE"""),"No")</f>
        <v>No</v>
      </c>
      <c r="AE231" s="5" t="str">
        <f ca="1">IFERROR(__xludf.DUMMYFUNCTION("""COMPUTED_VALUE"""),"No")</f>
        <v>No</v>
      </c>
      <c r="AF231" s="5" t="str">
        <f ca="1">IFERROR(__xludf.DUMMYFUNCTION("""COMPUTED_VALUE"""),"No")</f>
        <v>No</v>
      </c>
      <c r="AG231" s="5"/>
      <c r="AH231" s="5" t="str">
        <f ca="1">IFERROR(__xludf.DUMMYFUNCTION("""COMPUTED_VALUE"""),"No")</f>
        <v>No</v>
      </c>
    </row>
    <row r="232" spans="1:34" ht="12.75">
      <c r="A232" s="5" t="str">
        <f ca="1">IFERROR(__xludf.DUMMYFUNCTION("""COMPUTED_VALUE"""),"20211125SCCEP")</f>
        <v>20211125SCCEP</v>
      </c>
      <c r="B232" s="8">
        <f ca="1">IFERROR(__xludf.DUMMYFUNCTION("""COMPUTED_VALUE"""),44504)</f>
        <v>44504</v>
      </c>
      <c r="C232" s="5" t="str">
        <f ca="1">IFERROR(__xludf.DUMMYFUNCTION("""COMPUTED_VALUE"""),"Central High School")</f>
        <v>Central High School</v>
      </c>
      <c r="D232" s="5">
        <f ca="1">IFERROR(__xludf.DUMMYFUNCTION("""COMPUTED_VALUE"""),0)</f>
        <v>0</v>
      </c>
      <c r="E232" s="5">
        <f ca="1">IFERROR(__xludf.DUMMYFUNCTION("""COMPUTED_VALUE"""),0)</f>
        <v>0</v>
      </c>
      <c r="F232" s="5">
        <f ca="1">IFERROR(__xludf.DUMMYFUNCTION("""COMPUTED_VALUE"""),0)</f>
        <v>0</v>
      </c>
      <c r="G232" s="5">
        <f ca="1">IFERROR(__xludf.DUMMYFUNCTION("""COMPUTED_VALUE"""),0)</f>
        <v>0</v>
      </c>
      <c r="H232"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I232" s="5">
        <f ca="1">IFERROR(__xludf.DUMMYFUNCTION("""COMPUTED_VALUE"""),3)</f>
        <v>3</v>
      </c>
      <c r="J232" s="5" t="str">
        <f ca="1">IFERROR(__xludf.DUMMYFUNCTION("""COMPUTED_VALUE"""),"Local")</f>
        <v>Local</v>
      </c>
      <c r="K232" s="5">
        <f ca="1">IFERROR(__xludf.DUMMYFUNCTION("""COMPUTED_VALUE"""),4)</f>
        <v>4</v>
      </c>
      <c r="L232" s="5" t="str">
        <f ca="1">IFERROR(__xludf.DUMMYFUNCTION("""COMPUTED_VALUE"""),"Fall")</f>
        <v>Fall</v>
      </c>
      <c r="M232" s="5" t="str">
        <f ca="1">IFERROR(__xludf.DUMMYFUNCTION("""COMPUTED_VALUE"""),"Pageland")</f>
        <v>Pageland</v>
      </c>
      <c r="N232" s="5" t="str">
        <f ca="1">IFERROR(__xludf.DUMMYFUNCTION("""COMPUTED_VALUE"""),"SC")</f>
        <v>SC</v>
      </c>
      <c r="O232" s="5" t="str">
        <f ca="1">IFERROR(__xludf.DUMMYFUNCTION("""COMPUTED_VALUE"""),"High")</f>
        <v>High</v>
      </c>
      <c r="P232" s="5" t="str">
        <f ca="1">IFERROR(__xludf.DUMMYFUNCTION("""COMPUTED_VALUE"""),"Outside on School Property")</f>
        <v>Outside on School Property</v>
      </c>
      <c r="Q232" s="5" t="str">
        <f ca="1">IFERROR(__xludf.DUMMYFUNCTION("""COMPUTED_VALUE"""),"Outside on School Property")</f>
        <v>Outside on School Property</v>
      </c>
      <c r="R232" s="5" t="str">
        <f ca="1">IFERROR(__xludf.DUMMYFUNCTION("""COMPUTED_VALUE"""),"No")</f>
        <v>No</v>
      </c>
      <c r="S232" s="5" t="str">
        <f ca="1">IFERROR(__xludf.DUMMYFUNCTION("""COMPUTED_VALUE"""),"Night")</f>
        <v>Night</v>
      </c>
      <c r="T232" s="5"/>
      <c r="U232" s="5">
        <f ca="1">IFERROR(__xludf.DUMMYFUNCTION("""COMPUTED_VALUE"""),1)</f>
        <v>1</v>
      </c>
      <c r="V232" s="5" t="str">
        <f ca="1">IFERROR(__xludf.DUMMYFUNCTION("""COMPUTED_VALUE"""),"Multiple FFA goats and chickens shot")</f>
        <v>Multiple FFA goats and chickens shot</v>
      </c>
      <c r="W232"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X232" s="5"/>
      <c r="Y232" s="5"/>
      <c r="Z232" s="5"/>
      <c r="AA232" s="5"/>
      <c r="AB232" s="5" t="str">
        <f ca="1">IFERROR(__xludf.DUMMYFUNCTION("""COMPUTED_VALUE"""),"No")</f>
        <v>No</v>
      </c>
      <c r="AC232" s="5" t="str">
        <f ca="1">IFERROR(__xludf.DUMMYFUNCTION("""COMPUTED_VALUE"""),"No")</f>
        <v>No</v>
      </c>
      <c r="AD232" s="5" t="str">
        <f ca="1">IFERROR(__xludf.DUMMYFUNCTION("""COMPUTED_VALUE"""),"No")</f>
        <v>No</v>
      </c>
      <c r="AE232" s="5"/>
      <c r="AF232" s="5" t="str">
        <f ca="1">IFERROR(__xludf.DUMMYFUNCTION("""COMPUTED_VALUE"""),"No")</f>
        <v>No</v>
      </c>
      <c r="AG232" s="5" t="str">
        <f ca="1">IFERROR(__xludf.DUMMYFUNCTION("""COMPUTED_VALUE"""),"No")</f>
        <v>No</v>
      </c>
      <c r="AH232" s="5" t="str">
        <f ca="1">IFERROR(__xludf.DUMMYFUNCTION("""COMPUTED_VALUE"""),"No")</f>
        <v>No</v>
      </c>
    </row>
    <row r="233" spans="1:34" ht="12.75">
      <c r="A233" s="5" t="str">
        <f ca="1">IFERROR(__xludf.DUMMYFUNCTION("""COMPUTED_VALUE"""),"20211102NMHIH")</f>
        <v>20211102NMHIH</v>
      </c>
      <c r="B233" s="8">
        <f ca="1">IFERROR(__xludf.DUMMYFUNCTION("""COMPUTED_VALUE"""),44502)</f>
        <v>44502</v>
      </c>
      <c r="C233" s="5" t="str">
        <f ca="1">IFERROR(__xludf.DUMMYFUNCTION("""COMPUTED_VALUE"""),"Highland Middle School")</f>
        <v>Highland Middle School</v>
      </c>
      <c r="D233" s="5">
        <f ca="1">IFERROR(__xludf.DUMMYFUNCTION("""COMPUTED_VALUE"""),0)</f>
        <v>0</v>
      </c>
      <c r="E233" s="5">
        <f ca="1">IFERROR(__xludf.DUMMYFUNCTION("""COMPUTED_VALUE"""),3)</f>
        <v>3</v>
      </c>
      <c r="F233" s="5">
        <f ca="1">IFERROR(__xludf.DUMMYFUNCTION("""COMPUTED_VALUE"""),3)</f>
        <v>3</v>
      </c>
      <c r="G233" s="5">
        <f ca="1">IFERROR(__xludf.DUMMYFUNCTION("""COMPUTED_VALUE"""),0)</f>
        <v>0</v>
      </c>
      <c r="H233"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I233" s="5">
        <f ca="1">IFERROR(__xludf.DUMMYFUNCTION("""COMPUTED_VALUE"""),2)</f>
        <v>2</v>
      </c>
      <c r="J233" s="5" t="str">
        <f ca="1">IFERROR(__xludf.DUMMYFUNCTION("""COMPUTED_VALUE"""),"Local")</f>
        <v>Local</v>
      </c>
      <c r="K233" s="5">
        <f ca="1">IFERROR(__xludf.DUMMYFUNCTION("""COMPUTED_VALUE"""),4)</f>
        <v>4</v>
      </c>
      <c r="L233" s="5" t="str">
        <f ca="1">IFERROR(__xludf.DUMMYFUNCTION("""COMPUTED_VALUE"""),"Fall")</f>
        <v>Fall</v>
      </c>
      <c r="M233" s="5" t="str">
        <f ca="1">IFERROR(__xludf.DUMMYFUNCTION("""COMPUTED_VALUE"""),"Hobbs")</f>
        <v>Hobbs</v>
      </c>
      <c r="N233" s="5" t="str">
        <f ca="1">IFERROR(__xludf.DUMMYFUNCTION("""COMPUTED_VALUE"""),"NM")</f>
        <v>NM</v>
      </c>
      <c r="O233" s="5" t="str">
        <f ca="1">IFERROR(__xludf.DUMMYFUNCTION("""COMPUTED_VALUE"""),"Middle")</f>
        <v>Middle</v>
      </c>
      <c r="P233" s="5" t="str">
        <f ca="1">IFERROR(__xludf.DUMMYFUNCTION("""COMPUTED_VALUE"""),"Parking Lot")</f>
        <v>Parking Lot</v>
      </c>
      <c r="Q233" s="5" t="str">
        <f ca="1">IFERROR(__xludf.DUMMYFUNCTION("""COMPUTED_VALUE"""),"Outside on School Property")</f>
        <v>Outside on School Property</v>
      </c>
      <c r="R233" s="5" t="str">
        <f ca="1">IFERROR(__xludf.DUMMYFUNCTION("""COMPUTED_VALUE"""),"Yes")</f>
        <v>Yes</v>
      </c>
      <c r="S233" s="5" t="str">
        <f ca="1">IFERROR(__xludf.DUMMYFUNCTION("""COMPUTED_VALUE"""),"Dismissal")</f>
        <v>Dismissal</v>
      </c>
      <c r="T233" s="10">
        <f ca="1">IFERROR(__xludf.DUMMYFUNCTION("""COMPUTED_VALUE"""),0.625)</f>
        <v>0.625</v>
      </c>
      <c r="U233" s="5">
        <f ca="1">IFERROR(__xludf.DUMMYFUNCTION("""COMPUTED_VALUE"""),1)</f>
        <v>1</v>
      </c>
      <c r="V233" s="5" t="str">
        <f ca="1">IFERROR(__xludf.DUMMYFUNCTION("""COMPUTED_VALUE"""),"12-year-old and friend shot at students outside the school with BB gun")</f>
        <v>12-year-old and friend shot at students outside the school with BB gun</v>
      </c>
      <c r="W233"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X233" s="5" t="str">
        <f ca="1">IFERROR(__xludf.DUMMYFUNCTION("""COMPUTED_VALUE"""),"Indiscriminate Shooting")</f>
        <v>Indiscriminate Shooting</v>
      </c>
      <c r="Y233" s="5" t="str">
        <f ca="1">IFERROR(__xludf.DUMMYFUNCTION("""COMPUTED_VALUE"""),"Random Shooting")</f>
        <v>Random Shooting</v>
      </c>
      <c r="Z233" s="5" t="str">
        <f ca="1">IFERROR(__xludf.DUMMYFUNCTION("""COMPUTED_VALUE"""),"Yes")</f>
        <v>Yes</v>
      </c>
      <c r="AA233" s="5" t="str">
        <f ca="1">IFERROR(__xludf.DUMMYFUNCTION("""COMPUTED_VALUE"""),"12YOM male friend, mother")</f>
        <v>12YOM male friend, mother</v>
      </c>
      <c r="AB233" s="5" t="str">
        <f ca="1">IFERROR(__xludf.DUMMYFUNCTION("""COMPUTED_VALUE"""),"No")</f>
        <v>No</v>
      </c>
      <c r="AC233" s="5" t="str">
        <f ca="1">IFERROR(__xludf.DUMMYFUNCTION("""COMPUTED_VALUE"""),"No")</f>
        <v>No</v>
      </c>
      <c r="AD233" s="5" t="str">
        <f ca="1">IFERROR(__xludf.DUMMYFUNCTION("""COMPUTED_VALUE"""),"No")</f>
        <v>No</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row>
    <row r="234" spans="1:34" ht="12.75">
      <c r="A234" s="5" t="str">
        <f ca="1">IFERROR(__xludf.DUMMYFUNCTION("""COMPUTED_VALUE"""),"20211030PASTM")</f>
        <v>20211030PASTM</v>
      </c>
      <c r="B234" s="8">
        <f ca="1">IFERROR(__xludf.DUMMYFUNCTION("""COMPUTED_VALUE"""),44499)</f>
        <v>44499</v>
      </c>
      <c r="C234" s="5" t="str">
        <f ca="1">IFERROR(__xludf.DUMMYFUNCTION("""COMPUTED_VALUE"""),"Sto Rox High School")</f>
        <v>Sto Rox High School</v>
      </c>
      <c r="D234" s="5">
        <f ca="1">IFERROR(__xludf.DUMMYFUNCTION("""COMPUTED_VALUE"""),0)</f>
        <v>0</v>
      </c>
      <c r="E234" s="5">
        <f ca="1">IFERROR(__xludf.DUMMYFUNCTION("""COMPUTED_VALUE"""),1)</f>
        <v>1</v>
      </c>
      <c r="F234" s="5">
        <f ca="1">IFERROR(__xludf.DUMMYFUNCTION("""COMPUTED_VALUE"""),1)</f>
        <v>1</v>
      </c>
      <c r="G234" s="5">
        <f ca="1">IFERROR(__xludf.DUMMYFUNCTION("""COMPUTED_VALUE"""),0)</f>
        <v>0</v>
      </c>
      <c r="H234"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I234" s="5">
        <f ca="1">IFERROR(__xludf.DUMMYFUNCTION("""COMPUTED_VALUE"""),5)</f>
        <v>5</v>
      </c>
      <c r="J234" s="5" t="str">
        <f ca="1">IFERROR(__xludf.DUMMYFUNCTION("""COMPUTED_VALUE"""),"Regional")</f>
        <v>Regional</v>
      </c>
      <c r="K234" s="5">
        <f ca="1">IFERROR(__xludf.DUMMYFUNCTION("""COMPUTED_VALUE"""),4)</f>
        <v>4</v>
      </c>
      <c r="L234" s="5" t="str">
        <f ca="1">IFERROR(__xludf.DUMMYFUNCTION("""COMPUTED_VALUE"""),"Fall")</f>
        <v>Fall</v>
      </c>
      <c r="M234" s="5" t="str">
        <f ca="1">IFERROR(__xludf.DUMMYFUNCTION("""COMPUTED_VALUE"""),"McKees Rock")</f>
        <v>McKees Rock</v>
      </c>
      <c r="N234" s="5" t="str">
        <f ca="1">IFERROR(__xludf.DUMMYFUNCTION("""COMPUTED_VALUE"""),"PA")</f>
        <v>PA</v>
      </c>
      <c r="O234" s="5" t="str">
        <f ca="1">IFERROR(__xludf.DUMMYFUNCTION("""COMPUTED_VALUE"""),"High")</f>
        <v>High</v>
      </c>
      <c r="P234" s="5" t="str">
        <f ca="1">IFERROR(__xludf.DUMMYFUNCTION("""COMPUTED_VALUE"""),"Parking Lot")</f>
        <v>Parking Lot</v>
      </c>
      <c r="Q234" s="5" t="str">
        <f ca="1">IFERROR(__xludf.DUMMYFUNCTION("""COMPUTED_VALUE"""),"Outside on School Property")</f>
        <v>Outside on School Property</v>
      </c>
      <c r="R234" s="5" t="str">
        <f ca="1">IFERROR(__xludf.DUMMYFUNCTION("""COMPUTED_VALUE"""),"No")</f>
        <v>No</v>
      </c>
      <c r="S234" s="5" t="str">
        <f ca="1">IFERROR(__xludf.DUMMYFUNCTION("""COMPUTED_VALUE"""),"Sport Event")</f>
        <v>Sport Event</v>
      </c>
      <c r="T234" s="10">
        <f ca="1">IFERROR(__xludf.DUMMYFUNCTION("""COMPUTED_VALUE"""),0.697916666666666)</f>
        <v>0.69791666666666596</v>
      </c>
      <c r="U234" s="5">
        <f ca="1">IFERROR(__xludf.DUMMYFUNCTION("""COMPUTED_VALUE"""),1)</f>
        <v>1</v>
      </c>
      <c r="V234" s="5" t="str">
        <f ca="1">IFERROR(__xludf.DUMMYFUNCTION("""COMPUTED_VALUE"""),"Man shot outside football stadium during dispute over parking")</f>
        <v>Man shot outside football stadium during dispute over parking</v>
      </c>
      <c r="W234"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X234" s="5" t="str">
        <f ca="1">IFERROR(__xludf.DUMMYFUNCTION("""COMPUTED_VALUE"""),"Escalation of Dispute")</f>
        <v>Escalation of Dispute</v>
      </c>
      <c r="Y234" s="5" t="str">
        <f ca="1">IFERROR(__xludf.DUMMYFUNCTION("""COMPUTED_VALUE"""),"Victims Targeted")</f>
        <v>Victims Targeted</v>
      </c>
      <c r="Z234" s="5" t="str">
        <f ca="1">IFERROR(__xludf.DUMMYFUNCTION("""COMPUTED_VALUE"""),"No")</f>
        <v>No</v>
      </c>
      <c r="AA234" s="5"/>
      <c r="AB234" s="5" t="str">
        <f ca="1">IFERROR(__xludf.DUMMYFUNCTION("""COMPUTED_VALUE"""),"No")</f>
        <v>No</v>
      </c>
      <c r="AC234" s="5" t="str">
        <f ca="1">IFERROR(__xludf.DUMMYFUNCTION("""COMPUTED_VALUE"""),"No")</f>
        <v>No</v>
      </c>
      <c r="AD234" s="5" t="str">
        <f ca="1">IFERROR(__xludf.DUMMYFUNCTION("""COMPUTED_VALUE"""),"No")</f>
        <v>No</v>
      </c>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row>
    <row r="235" spans="1:34" ht="12.75">
      <c r="A235" s="5" t="str">
        <f ca="1">IFERROR(__xludf.DUMMYFUNCTION("""COMPUTED_VALUE"""),"20211027SCCAS")</f>
        <v>20211027SCCAS</v>
      </c>
      <c r="B235" s="8">
        <f ca="1">IFERROR(__xludf.DUMMYFUNCTION("""COMPUTED_VALUE"""),44496)</f>
        <v>44496</v>
      </c>
      <c r="C235" s="5" t="str">
        <f ca="1">IFERROR(__xludf.DUMMYFUNCTION("""COMPUTED_VALUE"""),"Calhoun County High School")</f>
        <v>Calhoun County High School</v>
      </c>
      <c r="D235" s="5">
        <f ca="1">IFERROR(__xludf.DUMMYFUNCTION("""COMPUTED_VALUE"""),0)</f>
        <v>0</v>
      </c>
      <c r="E235" s="5">
        <f ca="1">IFERROR(__xludf.DUMMYFUNCTION("""COMPUTED_VALUE"""),0)</f>
        <v>0</v>
      </c>
      <c r="F235" s="5">
        <f ca="1">IFERROR(__xludf.DUMMYFUNCTION("""COMPUTED_VALUE"""),0)</f>
        <v>0</v>
      </c>
      <c r="G235" s="5">
        <f ca="1">IFERROR(__xludf.DUMMYFUNCTION("""COMPUTED_VALUE"""),0)</f>
        <v>0</v>
      </c>
      <c r="H235" s="9" t="str">
        <f ca="1">IFERROR(__xludf.DUMMYFUNCTION("""COMPUTED_VALUE"""),"https://www.wltx.com/article/news/crime/calhoun-county-gunfire-teen-arrested/101-f7c8bca9-d90a-4583-a83e-0ceb27a6bd67")</f>
        <v>https://www.wltx.com/article/news/crime/calhoun-county-gunfire-teen-arrested/101-f7c8bca9-d90a-4583-a83e-0ceb27a6bd67</v>
      </c>
      <c r="I235" s="5">
        <f ca="1">IFERROR(__xludf.DUMMYFUNCTION("""COMPUTED_VALUE"""),1)</f>
        <v>1</v>
      </c>
      <c r="J235" s="5" t="str">
        <f ca="1">IFERROR(__xludf.DUMMYFUNCTION("""COMPUTED_VALUE"""),"Local")</f>
        <v>Local</v>
      </c>
      <c r="K235" s="5">
        <f ca="1">IFERROR(__xludf.DUMMYFUNCTION("""COMPUTED_VALUE"""),4)</f>
        <v>4</v>
      </c>
      <c r="L235" s="5" t="str">
        <f ca="1">IFERROR(__xludf.DUMMYFUNCTION("""COMPUTED_VALUE"""),"Fall")</f>
        <v>Fall</v>
      </c>
      <c r="M235" s="5" t="str">
        <f ca="1">IFERROR(__xludf.DUMMYFUNCTION("""COMPUTED_VALUE"""),"St. Matthews")</f>
        <v>St. Matthews</v>
      </c>
      <c r="N235" s="5" t="str">
        <f ca="1">IFERROR(__xludf.DUMMYFUNCTION("""COMPUTED_VALUE"""),"SC")</f>
        <v>SC</v>
      </c>
      <c r="O235" s="5" t="str">
        <f ca="1">IFERROR(__xludf.DUMMYFUNCTION("""COMPUTED_VALUE"""),"High")</f>
        <v>High</v>
      </c>
      <c r="P235" s="5" t="str">
        <f ca="1">IFERROR(__xludf.DUMMYFUNCTION("""COMPUTED_VALUE"""),"Parking Lot")</f>
        <v>Parking Lot</v>
      </c>
      <c r="Q235" s="5" t="str">
        <f ca="1">IFERROR(__xludf.DUMMYFUNCTION("""COMPUTED_VALUE"""),"Outside on School Property")</f>
        <v>Outside on School Property</v>
      </c>
      <c r="R235" s="5" t="str">
        <f ca="1">IFERROR(__xludf.DUMMYFUNCTION("""COMPUTED_VALUE"""),"No")</f>
        <v>No</v>
      </c>
      <c r="S235" s="5" t="str">
        <f ca="1">IFERROR(__xludf.DUMMYFUNCTION("""COMPUTED_VALUE"""),"Evening")</f>
        <v>Evening</v>
      </c>
      <c r="T235" s="10">
        <f ca="1">IFERROR(__xludf.DUMMYFUNCTION("""COMPUTED_VALUE"""),0.833333333333333)</f>
        <v>0.83333333333333304</v>
      </c>
      <c r="U235" s="5">
        <f ca="1">IFERROR(__xludf.DUMMYFUNCTION("""COMPUTED_VALUE"""),1)</f>
        <v>1</v>
      </c>
      <c r="V235" s="5" t="str">
        <f ca="1">IFERROR(__xludf.DUMMYFUNCTION("""COMPUTED_VALUE"""),"Student fired shots during fight following football game")</f>
        <v>Student fired shots during fight following football game</v>
      </c>
      <c r="W235"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X235" s="5" t="str">
        <f ca="1">IFERROR(__xludf.DUMMYFUNCTION("""COMPUTED_VALUE"""),"Escalation of Dispute")</f>
        <v>Escalation of Dispute</v>
      </c>
      <c r="Y235" s="5" t="str">
        <f ca="1">IFERROR(__xludf.DUMMYFUNCTION("""COMPUTED_VALUE"""),"Victims Targeted")</f>
        <v>Victims Targeted</v>
      </c>
      <c r="Z235" s="5" t="str">
        <f ca="1">IFERROR(__xludf.DUMMYFUNCTION("""COMPUTED_VALUE"""),"No")</f>
        <v>No</v>
      </c>
      <c r="AA235" s="5"/>
      <c r="AB235" s="5" t="str">
        <f ca="1">IFERROR(__xludf.DUMMYFUNCTION("""COMPUTED_VALUE"""),"No")</f>
        <v>No</v>
      </c>
      <c r="AC235" s="5" t="str">
        <f ca="1">IFERROR(__xludf.DUMMYFUNCTION("""COMPUTED_VALUE"""),"No")</f>
        <v>No</v>
      </c>
      <c r="AD235" s="5" t="str">
        <f ca="1">IFERROR(__xludf.DUMMYFUNCTION("""COMPUTED_VALUE"""),"No")</f>
        <v>No</v>
      </c>
      <c r="AE235" s="5" t="str">
        <f ca="1">IFERROR(__xludf.DUMMYFUNCTION("""COMPUTED_VALUE"""),"No")</f>
        <v>No</v>
      </c>
      <c r="AF235" s="5" t="str">
        <f ca="1">IFERROR(__xludf.DUMMYFUNCTION("""COMPUTED_VALUE"""),"No")</f>
        <v>No</v>
      </c>
      <c r="AG235" s="5"/>
      <c r="AH235" s="5" t="str">
        <f ca="1">IFERROR(__xludf.DUMMYFUNCTION("""COMPUTED_VALUE"""),"No")</f>
        <v>No</v>
      </c>
    </row>
    <row r="236" spans="1:34" ht="12.75">
      <c r="A236" s="5" t="str">
        <f ca="1">IFERROR(__xludf.DUMMYFUNCTION("""COMPUTED_VALUE"""),"20211026MSCAN")</f>
        <v>20211026MSCAN</v>
      </c>
      <c r="B236" s="8">
        <f ca="1">IFERROR(__xludf.DUMMYFUNCTION("""COMPUTED_VALUE"""),44495)</f>
        <v>44495</v>
      </c>
      <c r="C236" s="5" t="str">
        <f ca="1">IFERROR(__xludf.DUMMYFUNCTION("""COMPUTED_VALUE"""),"Cathedral School")</f>
        <v>Cathedral School</v>
      </c>
      <c r="D236" s="5">
        <f ca="1">IFERROR(__xludf.DUMMYFUNCTION("""COMPUTED_VALUE"""),0)</f>
        <v>0</v>
      </c>
      <c r="E236" s="5">
        <f ca="1">IFERROR(__xludf.DUMMYFUNCTION("""COMPUTED_VALUE"""),0)</f>
        <v>0</v>
      </c>
      <c r="F236" s="5">
        <f ca="1">IFERROR(__xludf.DUMMYFUNCTION("""COMPUTED_VALUE"""),0)</f>
        <v>0</v>
      </c>
      <c r="G236" s="5">
        <f ca="1">IFERROR(__xludf.DUMMYFUNCTION("""COMPUTED_VALUE"""),0)</f>
        <v>0</v>
      </c>
      <c r="H236"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I236" s="5">
        <f ca="1">IFERROR(__xludf.DUMMYFUNCTION("""COMPUTED_VALUE"""),2)</f>
        <v>2</v>
      </c>
      <c r="J236" s="5" t="str">
        <f ca="1">IFERROR(__xludf.DUMMYFUNCTION("""COMPUTED_VALUE"""),"Local")</f>
        <v>Local</v>
      </c>
      <c r="K236" s="5">
        <f ca="1">IFERROR(__xludf.DUMMYFUNCTION("""COMPUTED_VALUE"""),4)</f>
        <v>4</v>
      </c>
      <c r="L236" s="5" t="str">
        <f ca="1">IFERROR(__xludf.DUMMYFUNCTION("""COMPUTED_VALUE"""),"Fall")</f>
        <v>Fall</v>
      </c>
      <c r="M236" s="5" t="str">
        <f ca="1">IFERROR(__xludf.DUMMYFUNCTION("""COMPUTED_VALUE"""),"Natchez")</f>
        <v>Natchez</v>
      </c>
      <c r="N236" s="5" t="str">
        <f ca="1">IFERROR(__xludf.DUMMYFUNCTION("""COMPUTED_VALUE"""),"MS")</f>
        <v>MS</v>
      </c>
      <c r="O236" s="5" t="str">
        <f ca="1">IFERROR(__xludf.DUMMYFUNCTION("""COMPUTED_VALUE"""),"K-12")</f>
        <v>K-12</v>
      </c>
      <c r="P236" s="5" t="str">
        <f ca="1">IFERROR(__xludf.DUMMYFUNCTION("""COMPUTED_VALUE"""),"Classroom")</f>
        <v>Classroom</v>
      </c>
      <c r="Q236" s="5" t="str">
        <f ca="1">IFERROR(__xludf.DUMMYFUNCTION("""COMPUTED_VALUE"""),"Outside on School Property")</f>
        <v>Outside on School Property</v>
      </c>
      <c r="R236" s="5" t="str">
        <f ca="1">IFERROR(__xludf.DUMMYFUNCTION("""COMPUTED_VALUE"""),"Yes")</f>
        <v>Yes</v>
      </c>
      <c r="S236" s="5" t="str">
        <f ca="1">IFERROR(__xludf.DUMMYFUNCTION("""COMPUTED_VALUE"""),"Morning Classes")</f>
        <v>Morning Classes</v>
      </c>
      <c r="T236" s="10">
        <f ca="1">IFERROR(__xludf.DUMMYFUNCTION("""COMPUTED_VALUE"""),0.388888888888888)</f>
        <v>0.38888888888888801</v>
      </c>
      <c r="U236" s="5">
        <f ca="1">IFERROR(__xludf.DUMMYFUNCTION("""COMPUTED_VALUE"""),1)</f>
        <v>1</v>
      </c>
      <c r="V236" s="5" t="str">
        <f ca="1">IFERROR(__xludf.DUMMYFUNCTION("""COMPUTED_VALUE"""),"Shot fired from shotgun broke occupied classroom window")</f>
        <v>Shot fired from shotgun broke occupied classroom window</v>
      </c>
      <c r="W236"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X236" s="5" t="str">
        <f ca="1">IFERROR(__xludf.DUMMYFUNCTION("""COMPUTED_VALUE"""),"Accidental")</f>
        <v>Accidental</v>
      </c>
      <c r="Y236" s="5" t="str">
        <f ca="1">IFERROR(__xludf.DUMMYFUNCTION("""COMPUTED_VALUE"""),"Neither")</f>
        <v>Neither</v>
      </c>
      <c r="Z236" s="5" t="str">
        <f ca="1">IFERROR(__xludf.DUMMYFUNCTION("""COMPUTED_VALUE"""),"No")</f>
        <v>No</v>
      </c>
      <c r="AA236" s="5"/>
      <c r="AB236" s="5" t="str">
        <f ca="1">IFERROR(__xludf.DUMMYFUNCTION("""COMPUTED_VALUE"""),"No")</f>
        <v>No</v>
      </c>
      <c r="AC236" s="5" t="str">
        <f ca="1">IFERROR(__xludf.DUMMYFUNCTION("""COMPUTED_VALUE"""),"No")</f>
        <v>No</v>
      </c>
      <c r="AD236" s="5" t="str">
        <f ca="1">IFERROR(__xludf.DUMMYFUNCTION("""COMPUTED_VALUE"""),"No")</f>
        <v>No</v>
      </c>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row>
    <row r="237" spans="1:34" ht="12.75">
      <c r="A237" s="5" t="str">
        <f ca="1">IFERROR(__xludf.DUMMYFUNCTION("""COMPUTED_VALUE"""),"20211026ILWIC")</f>
        <v>20211026ILWIC</v>
      </c>
      <c r="B237" s="8">
        <f ca="1">IFERROR(__xludf.DUMMYFUNCTION("""COMPUTED_VALUE"""),44495)</f>
        <v>44495</v>
      </c>
      <c r="C237" s="5" t="str">
        <f ca="1">IFERROR(__xludf.DUMMYFUNCTION("""COMPUTED_VALUE"""),"Jose de Diego Community Academy")</f>
        <v>Jose de Diego Community Academy</v>
      </c>
      <c r="D237" s="5">
        <f ca="1">IFERROR(__xludf.DUMMYFUNCTION("""COMPUTED_VALUE"""),0)</f>
        <v>0</v>
      </c>
      <c r="E237" s="5">
        <f ca="1">IFERROR(__xludf.DUMMYFUNCTION("""COMPUTED_VALUE"""),0)</f>
        <v>0</v>
      </c>
      <c r="F237" s="5">
        <f ca="1">IFERROR(__xludf.DUMMYFUNCTION("""COMPUTED_VALUE"""),0)</f>
        <v>0</v>
      </c>
      <c r="G237" s="5">
        <f ca="1">IFERROR(__xludf.DUMMYFUNCTION("""COMPUTED_VALUE"""),0)</f>
        <v>0</v>
      </c>
      <c r="H237" s="9" t="str">
        <f ca="1">IFERROR(__xludf.DUMMYFUNCTION("""COMPUTED_VALUE"""),"https://blockclubchicago.org/2021/10/26/shots-fired-during-fight-outside-west-town-school/")</f>
        <v>https://blockclubchicago.org/2021/10/26/shots-fired-during-fight-outside-west-town-school/</v>
      </c>
      <c r="I237" s="5">
        <f ca="1">IFERROR(__xludf.DUMMYFUNCTION("""COMPUTED_VALUE"""),1)</f>
        <v>1</v>
      </c>
      <c r="J237" s="5" t="str">
        <f ca="1">IFERROR(__xludf.DUMMYFUNCTION("""COMPUTED_VALUE"""),"Local")</f>
        <v>Local</v>
      </c>
      <c r="K237" s="5">
        <f ca="1">IFERROR(__xludf.DUMMYFUNCTION("""COMPUTED_VALUE"""),3)</f>
        <v>3</v>
      </c>
      <c r="L237" s="5"/>
      <c r="M237" s="5" t="str">
        <f ca="1">IFERROR(__xludf.DUMMYFUNCTION("""COMPUTED_VALUE"""),"Chicago")</f>
        <v>Chicago</v>
      </c>
      <c r="N237" s="5" t="str">
        <f ca="1">IFERROR(__xludf.DUMMYFUNCTION("""COMPUTED_VALUE"""),"IL")</f>
        <v>IL</v>
      </c>
      <c r="O237" s="5" t="str">
        <f ca="1">IFERROR(__xludf.DUMMYFUNCTION("""COMPUTED_VALUE"""),"K-12")</f>
        <v>K-12</v>
      </c>
      <c r="P237" s="5" t="str">
        <f ca="1">IFERROR(__xludf.DUMMYFUNCTION("""COMPUTED_VALUE"""),"Front of School")</f>
        <v>Front of School</v>
      </c>
      <c r="Q237" s="5" t="str">
        <f ca="1">IFERROR(__xludf.DUMMYFUNCTION("""COMPUTED_VALUE"""),"Outside on School Property")</f>
        <v>Outside on School Property</v>
      </c>
      <c r="R237" s="5" t="str">
        <f ca="1">IFERROR(__xludf.DUMMYFUNCTION("""COMPUTED_VALUE"""),"No")</f>
        <v>No</v>
      </c>
      <c r="S237" s="5" t="str">
        <f ca="1">IFERROR(__xludf.DUMMYFUNCTION("""COMPUTED_VALUE"""),"After School")</f>
        <v>After School</v>
      </c>
      <c r="T237" s="10">
        <f ca="1">IFERROR(__xludf.DUMMYFUNCTION("""COMPUTED_VALUE"""),0.656944444444444)</f>
        <v>0.656944444444444</v>
      </c>
      <c r="U237" s="5">
        <f ca="1">IFERROR(__xludf.DUMMYFUNCTION("""COMPUTED_VALUE"""),1)</f>
        <v>1</v>
      </c>
      <c r="V237" s="5" t="str">
        <f ca="1">IFERROR(__xludf.DUMMYFUNCTION("""COMPUTED_VALUE"""),"Two shots fired during fight between two men")</f>
        <v>Two shots fired during fight between two men</v>
      </c>
      <c r="W237"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X237" s="5" t="str">
        <f ca="1">IFERROR(__xludf.DUMMYFUNCTION("""COMPUTED_VALUE"""),"Escalation of Dispute")</f>
        <v>Escalation of Dispute</v>
      </c>
      <c r="Y237" s="5" t="str">
        <f ca="1">IFERROR(__xludf.DUMMYFUNCTION("""COMPUTED_VALUE"""),"Victims Targeted")</f>
        <v>Victims Targeted</v>
      </c>
      <c r="Z237" s="5" t="str">
        <f ca="1">IFERROR(__xludf.DUMMYFUNCTION("""COMPUTED_VALUE"""),"No")</f>
        <v>No</v>
      </c>
      <c r="AA237" s="5"/>
      <c r="AB237" s="5" t="str">
        <f ca="1">IFERROR(__xludf.DUMMYFUNCTION("""COMPUTED_VALUE"""),"No")</f>
        <v>No</v>
      </c>
      <c r="AC237" s="5" t="str">
        <f ca="1">IFERROR(__xludf.DUMMYFUNCTION("""COMPUTED_VALUE"""),"No")</f>
        <v>No</v>
      </c>
      <c r="AD237" s="5" t="str">
        <f ca="1">IFERROR(__xludf.DUMMYFUNCTION("""COMPUTED_VALUE"""),"No")</f>
        <v>No</v>
      </c>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row>
    <row r="238" spans="1:34" ht="12.75">
      <c r="A238" s="5" t="str">
        <f ca="1">IFERROR(__xludf.DUMMYFUNCTION("""COMPUTED_VALUE"""),"20211022PAPHP")</f>
        <v>20211022PAPHP</v>
      </c>
      <c r="B238" s="8">
        <f ca="1">IFERROR(__xludf.DUMMYFUNCTION("""COMPUTED_VALUE"""),44491)</f>
        <v>44491</v>
      </c>
      <c r="C238" s="5" t="str">
        <f ca="1">IFERROR(__xludf.DUMMYFUNCTION("""COMPUTED_VALUE"""),"Philadelphia Learning Academy South")</f>
        <v>Philadelphia Learning Academy South</v>
      </c>
      <c r="D238" s="5">
        <f ca="1">IFERROR(__xludf.DUMMYFUNCTION("""COMPUTED_VALUE"""),0)</f>
        <v>0</v>
      </c>
      <c r="E238" s="5">
        <f ca="1">IFERROR(__xludf.DUMMYFUNCTION("""COMPUTED_VALUE"""),0)</f>
        <v>0</v>
      </c>
      <c r="F238" s="5">
        <f ca="1">IFERROR(__xludf.DUMMYFUNCTION("""COMPUTED_VALUE"""),0)</f>
        <v>0</v>
      </c>
      <c r="G238" s="5">
        <f ca="1">IFERROR(__xludf.DUMMYFUNCTION("""COMPUTED_VALUE"""),0)</f>
        <v>0</v>
      </c>
      <c r="H238"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I238" s="5">
        <f ca="1">IFERROR(__xludf.DUMMYFUNCTION("""COMPUTED_VALUE"""),10)</f>
        <v>10</v>
      </c>
      <c r="J238" s="5" t="str">
        <f ca="1">IFERROR(__xludf.DUMMYFUNCTION("""COMPUTED_VALUE"""),"Local")</f>
        <v>Local</v>
      </c>
      <c r="K238" s="5">
        <f ca="1">IFERROR(__xludf.DUMMYFUNCTION("""COMPUTED_VALUE"""),4)</f>
        <v>4</v>
      </c>
      <c r="L238" s="5" t="str">
        <f ca="1">IFERROR(__xludf.DUMMYFUNCTION("""COMPUTED_VALUE"""),"Fall")</f>
        <v>Fall</v>
      </c>
      <c r="M238" s="5" t="str">
        <f ca="1">IFERROR(__xludf.DUMMYFUNCTION("""COMPUTED_VALUE"""),"Philadelphia")</f>
        <v>Philadelphia</v>
      </c>
      <c r="N238" s="5" t="str">
        <f ca="1">IFERROR(__xludf.DUMMYFUNCTION("""COMPUTED_VALUE"""),"PA")</f>
        <v>PA</v>
      </c>
      <c r="O238" s="5" t="str">
        <f ca="1">IFERROR(__xludf.DUMMYFUNCTION("""COMPUTED_VALUE"""),"High")</f>
        <v>High</v>
      </c>
      <c r="P238" s="5" t="str">
        <f ca="1">IFERROR(__xludf.DUMMYFUNCTION("""COMPUTED_VALUE"""),"Gym")</f>
        <v>Gym</v>
      </c>
      <c r="Q238" s="5" t="str">
        <f ca="1">IFERROR(__xludf.DUMMYFUNCTION("""COMPUTED_VALUE"""),"Inside School Building")</f>
        <v>Inside School Building</v>
      </c>
      <c r="R238" s="5" t="str">
        <f ca="1">IFERROR(__xludf.DUMMYFUNCTION("""COMPUTED_VALUE"""),"Yes")</f>
        <v>Yes</v>
      </c>
      <c r="S238" s="5" t="str">
        <f ca="1">IFERROR(__xludf.DUMMYFUNCTION("""COMPUTED_VALUE"""),"Afternoon Classes")</f>
        <v>Afternoon Classes</v>
      </c>
      <c r="T238" s="10">
        <f ca="1">IFERROR(__xludf.DUMMYFUNCTION("""COMPUTED_VALUE"""),0.541666666666666)</f>
        <v>0.54166666666666596</v>
      </c>
      <c r="U238" s="5">
        <f ca="1">IFERROR(__xludf.DUMMYFUNCTION("""COMPUTED_VALUE"""),1)</f>
        <v>1</v>
      </c>
      <c r="V238" s="5" t="str">
        <f ca="1">IFERROR(__xludf.DUMMYFUNCTION("""COMPUTED_VALUE"""),"Student shot himself in the leg in the gym")</f>
        <v>Student shot himself in the leg in the gym</v>
      </c>
      <c r="W238"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X238" s="5" t="str">
        <f ca="1">IFERROR(__xludf.DUMMYFUNCTION("""COMPUTED_VALUE"""),"Accidental")</f>
        <v>Accidental</v>
      </c>
      <c r="Y238" s="5" t="str">
        <f ca="1">IFERROR(__xludf.DUMMYFUNCTION("""COMPUTED_VALUE"""),"Neither")</f>
        <v>Neither</v>
      </c>
      <c r="Z238" s="5" t="str">
        <f ca="1">IFERROR(__xludf.DUMMYFUNCTION("""COMPUTED_VALUE"""),"Yes")</f>
        <v>Yes</v>
      </c>
      <c r="AA238" s="5" t="str">
        <f ca="1">IFERROR(__xludf.DUMMYFUNCTION("""COMPUTED_VALUE"""),"Someone took the weapon out of the school")</f>
        <v>Someone took the weapon out of the school</v>
      </c>
      <c r="AB238" s="5" t="str">
        <f ca="1">IFERROR(__xludf.DUMMYFUNCTION("""COMPUTED_VALUE"""),"No")</f>
        <v>No</v>
      </c>
      <c r="AC238" s="5" t="str">
        <f ca="1">IFERROR(__xludf.DUMMYFUNCTION("""COMPUTED_VALUE"""),"No")</f>
        <v>No</v>
      </c>
      <c r="AD238" s="5" t="str">
        <f ca="1">IFERROR(__xludf.DUMMYFUNCTION("""COMPUTED_VALUE"""),"No")</f>
        <v>No</v>
      </c>
      <c r="AE238" s="5" t="str">
        <f ca="1">IFERROR(__xludf.DUMMYFUNCTION("""COMPUTED_VALUE"""),"No")</f>
        <v>No</v>
      </c>
      <c r="AF238" s="5" t="str">
        <f ca="1">IFERROR(__xludf.DUMMYFUNCTION("""COMPUTED_VALUE"""),"No")</f>
        <v>No</v>
      </c>
      <c r="AG238" s="5"/>
      <c r="AH238" s="5" t="str">
        <f ca="1">IFERROR(__xludf.DUMMYFUNCTION("""COMPUTED_VALUE"""),"No")</f>
        <v>No</v>
      </c>
    </row>
    <row r="239" spans="1:34" ht="12.75">
      <c r="A239" s="5" t="str">
        <f ca="1">IFERROR(__xludf.DUMMYFUNCTION("""COMPUTED_VALUE"""),"20211021NYPSB")</f>
        <v>20211021NYPSB</v>
      </c>
      <c r="B239" s="8">
        <f ca="1">IFERROR(__xludf.DUMMYFUNCTION("""COMPUTED_VALUE"""),44490)</f>
        <v>44490</v>
      </c>
      <c r="C239" s="5" t="str">
        <f ca="1">IFERROR(__xludf.DUMMYFUNCTION("""COMPUTED_VALUE"""),"P. S. 65 Mother Hale Academy")</f>
        <v>P. S. 65 Mother Hale Academy</v>
      </c>
      <c r="D239" s="5">
        <f ca="1">IFERROR(__xludf.DUMMYFUNCTION("""COMPUTED_VALUE"""),0)</f>
        <v>0</v>
      </c>
      <c r="E239" s="5">
        <f ca="1">IFERROR(__xludf.DUMMYFUNCTION("""COMPUTED_VALUE"""),1)</f>
        <v>1</v>
      </c>
      <c r="F239" s="5">
        <f ca="1">IFERROR(__xludf.DUMMYFUNCTION("""COMPUTED_VALUE"""),1)</f>
        <v>1</v>
      </c>
      <c r="G239" s="5">
        <f ca="1">IFERROR(__xludf.DUMMYFUNCTION("""COMPUTED_VALUE"""),0)</f>
        <v>0</v>
      </c>
      <c r="H239"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I239" s="5">
        <f ca="1">IFERROR(__xludf.DUMMYFUNCTION("""COMPUTED_VALUE"""),3)</f>
        <v>3</v>
      </c>
      <c r="J239" s="5" t="str">
        <f ca="1">IFERROR(__xludf.DUMMYFUNCTION("""COMPUTED_VALUE"""),"Local")</f>
        <v>Local</v>
      </c>
      <c r="K239" s="5">
        <f ca="1">IFERROR(__xludf.DUMMYFUNCTION("""COMPUTED_VALUE"""),3)</f>
        <v>3</v>
      </c>
      <c r="L239" s="5" t="str">
        <f ca="1">IFERROR(__xludf.DUMMYFUNCTION("""COMPUTED_VALUE"""),"Fall")</f>
        <v>Fall</v>
      </c>
      <c r="M239" s="5" t="str">
        <f ca="1">IFERROR(__xludf.DUMMYFUNCTION("""COMPUTED_VALUE"""),"Bronx")</f>
        <v>Bronx</v>
      </c>
      <c r="N239" s="5" t="str">
        <f ca="1">IFERROR(__xludf.DUMMYFUNCTION("""COMPUTED_VALUE"""),"NY")</f>
        <v>NY</v>
      </c>
      <c r="O239" s="5" t="str">
        <f ca="1">IFERROR(__xludf.DUMMYFUNCTION("""COMPUTED_VALUE"""),"Elementary")</f>
        <v>Elementary</v>
      </c>
      <c r="P239" s="5" t="str">
        <f ca="1">IFERROR(__xludf.DUMMYFUNCTION("""COMPUTED_VALUE"""),"Beside Building")</f>
        <v>Beside Building</v>
      </c>
      <c r="Q239" s="5" t="str">
        <f ca="1">IFERROR(__xludf.DUMMYFUNCTION("""COMPUTED_VALUE"""),"Outside on School Property")</f>
        <v>Outside on School Property</v>
      </c>
      <c r="R239" s="5" t="str">
        <f ca="1">IFERROR(__xludf.DUMMYFUNCTION("""COMPUTED_VALUE"""),"Yes")</f>
        <v>Yes</v>
      </c>
      <c r="S239" s="5" t="str">
        <f ca="1">IFERROR(__xludf.DUMMYFUNCTION("""COMPUTED_VALUE"""),"Dismissal")</f>
        <v>Dismissal</v>
      </c>
      <c r="T239" s="10">
        <f ca="1">IFERROR(__xludf.DUMMYFUNCTION("""COMPUTED_VALUE"""),0.583333333333333)</f>
        <v>0.58333333333333304</v>
      </c>
      <c r="U239" s="5">
        <f ca="1">IFERROR(__xludf.DUMMYFUNCTION("""COMPUTED_VALUE"""),1)</f>
        <v>1</v>
      </c>
      <c r="V239" s="5" t="str">
        <f ca="1">IFERROR(__xludf.DUMMYFUNCTION("""COMPUTED_VALUE"""),"Shot fired during argument between two men")</f>
        <v>Shot fired during argument between two men</v>
      </c>
      <c r="W239"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X239" s="5" t="str">
        <f ca="1">IFERROR(__xludf.DUMMYFUNCTION("""COMPUTED_VALUE"""),"Escalation of Dispute")</f>
        <v>Escalation of Dispute</v>
      </c>
      <c r="Y239" s="5" t="str">
        <f ca="1">IFERROR(__xludf.DUMMYFUNCTION("""COMPUTED_VALUE"""),"Victims Targeted")</f>
        <v>Victims Targeted</v>
      </c>
      <c r="Z239" s="5" t="str">
        <f ca="1">IFERROR(__xludf.DUMMYFUNCTION("""COMPUTED_VALUE"""),"No")</f>
        <v>No</v>
      </c>
      <c r="AA239" s="5"/>
      <c r="AB239" s="5" t="str">
        <f ca="1">IFERROR(__xludf.DUMMYFUNCTION("""COMPUTED_VALUE"""),"No")</f>
        <v>No</v>
      </c>
      <c r="AC239" s="5" t="str">
        <f ca="1">IFERROR(__xludf.DUMMYFUNCTION("""COMPUTED_VALUE"""),"No")</f>
        <v>No</v>
      </c>
      <c r="AD239" s="5" t="str">
        <f ca="1">IFERROR(__xludf.DUMMYFUNCTION("""COMPUTED_VALUE"""),"No")</f>
        <v>No</v>
      </c>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row>
    <row r="240" spans="1:34" ht="12.75">
      <c r="A240" s="5" t="str">
        <f ca="1">IFERROR(__xludf.DUMMYFUNCTION("""COMPUTED_VALUE"""),"20211021GABES")</f>
        <v>20211021GABES</v>
      </c>
      <c r="B240" s="8">
        <f ca="1">IFERROR(__xludf.DUMMYFUNCTION("""COMPUTED_VALUE"""),44490)</f>
        <v>44490</v>
      </c>
      <c r="C240" s="5" t="str">
        <f ca="1">IFERROR(__xludf.DUMMYFUNCTION("""COMPUTED_VALUE"""),"Bethesda Academy")</f>
        <v>Bethesda Academy</v>
      </c>
      <c r="D240" s="5">
        <f ca="1">IFERROR(__xludf.DUMMYFUNCTION("""COMPUTED_VALUE"""),0)</f>
        <v>0</v>
      </c>
      <c r="E240" s="5">
        <f ca="1">IFERROR(__xludf.DUMMYFUNCTION("""COMPUTED_VALUE"""),0)</f>
        <v>0</v>
      </c>
      <c r="F240" s="5">
        <f ca="1">IFERROR(__xludf.DUMMYFUNCTION("""COMPUTED_VALUE"""),0)</f>
        <v>0</v>
      </c>
      <c r="G240" s="5">
        <f ca="1">IFERROR(__xludf.DUMMYFUNCTION("""COMPUTED_VALUE"""),0)</f>
        <v>0</v>
      </c>
      <c r="H240"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I240" s="5">
        <f ca="1">IFERROR(__xludf.DUMMYFUNCTION("""COMPUTED_VALUE"""),10)</f>
        <v>10</v>
      </c>
      <c r="J240" s="5" t="str">
        <f ca="1">IFERROR(__xludf.DUMMYFUNCTION("""COMPUTED_VALUE"""),"Local")</f>
        <v>Local</v>
      </c>
      <c r="K240" s="5">
        <f ca="1">IFERROR(__xludf.DUMMYFUNCTION("""COMPUTED_VALUE"""),4)</f>
        <v>4</v>
      </c>
      <c r="L240" s="5" t="str">
        <f ca="1">IFERROR(__xludf.DUMMYFUNCTION("""COMPUTED_VALUE"""),"Fall")</f>
        <v>Fall</v>
      </c>
      <c r="M240" s="5" t="str">
        <f ca="1">IFERROR(__xludf.DUMMYFUNCTION("""COMPUTED_VALUE"""),"Savannah")</f>
        <v>Savannah</v>
      </c>
      <c r="N240" s="5" t="str">
        <f ca="1">IFERROR(__xludf.DUMMYFUNCTION("""COMPUTED_VALUE"""),"GA")</f>
        <v>GA</v>
      </c>
      <c r="O240" s="11">
        <f ca="1">IFERROR(__xludf.DUMMYFUNCTION("""COMPUTED_VALUE"""),44724)</f>
        <v>44724</v>
      </c>
      <c r="P240" s="5" t="str">
        <f ca="1">IFERROR(__xludf.DUMMYFUNCTION("""COMPUTED_VALUE"""),"Parking Lot")</f>
        <v>Parking Lot</v>
      </c>
      <c r="Q240" s="5" t="str">
        <f ca="1">IFERROR(__xludf.DUMMYFUNCTION("""COMPUTED_VALUE"""),"Outside on School Property")</f>
        <v>Outside on School Property</v>
      </c>
      <c r="R240" s="5" t="str">
        <f ca="1">IFERROR(__xludf.DUMMYFUNCTION("""COMPUTED_VALUE"""),"No")</f>
        <v>No</v>
      </c>
      <c r="S240" s="5" t="str">
        <f ca="1">IFERROR(__xludf.DUMMYFUNCTION("""COMPUTED_VALUE"""),"Evening")</f>
        <v>Evening</v>
      </c>
      <c r="T240" s="10">
        <f ca="1">IFERROR(__xludf.DUMMYFUNCTION("""COMPUTED_VALUE"""),0.791666666666666)</f>
        <v>0.79166666666666596</v>
      </c>
      <c r="U240" s="5">
        <f ca="1">IFERROR(__xludf.DUMMYFUNCTION("""COMPUTED_VALUE"""),1)</f>
        <v>1</v>
      </c>
      <c r="V240" s="5" t="str">
        <f ca="1">IFERROR(__xludf.DUMMYFUNCTION("""COMPUTED_VALUE"""),"Man fired shots at occupied vehicles in the school parking lot")</f>
        <v>Man fired shots at occupied vehicles in the school parking lot</v>
      </c>
      <c r="W240"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X240" s="5" t="str">
        <f ca="1">IFERROR(__xludf.DUMMYFUNCTION("""COMPUTED_VALUE"""),"Indiscriminate Shooting")</f>
        <v>Indiscriminate Shooting</v>
      </c>
      <c r="Y240" s="5" t="str">
        <f ca="1">IFERROR(__xludf.DUMMYFUNCTION("""COMPUTED_VALUE"""),"Random Shooting")</f>
        <v>Random Shooting</v>
      </c>
      <c r="Z240" s="5" t="str">
        <f ca="1">IFERROR(__xludf.DUMMYFUNCTION("""COMPUTED_VALUE"""),"No")</f>
        <v>No</v>
      </c>
      <c r="AA240" s="5"/>
      <c r="AB240" s="5" t="str">
        <f ca="1">IFERROR(__xludf.DUMMYFUNCTION("""COMPUTED_VALUE"""),"No")</f>
        <v>No</v>
      </c>
      <c r="AC240" s="5" t="str">
        <f ca="1">IFERROR(__xludf.DUMMYFUNCTION("""COMPUTED_VALUE"""),"No")</f>
        <v>No</v>
      </c>
      <c r="AD240" s="5" t="str">
        <f ca="1">IFERROR(__xludf.DUMMYFUNCTION("""COMPUTED_VALUE"""),"No")</f>
        <v>No</v>
      </c>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IFERROR(__xludf.DUMMYFUNCTION("""COMPUTED_VALUE"""),"Yes")</f>
        <v>Yes</v>
      </c>
    </row>
    <row r="241" spans="1:34" ht="12.75">
      <c r="A241" s="5" t="str">
        <f ca="1">IFERROR(__xludf.DUMMYFUNCTION("""COMPUTED_VALUE"""),"20211018PALIP")</f>
        <v>20211018PALIP</v>
      </c>
      <c r="B241" s="8">
        <f ca="1">IFERROR(__xludf.DUMMYFUNCTION("""COMPUTED_VALUE"""),44487)</f>
        <v>44487</v>
      </c>
      <c r="C241" s="5" t="str">
        <f ca="1">IFERROR(__xludf.DUMMYFUNCTION("""COMPUTED_VALUE"""),"Lincoln High School")</f>
        <v>Lincoln High School</v>
      </c>
      <c r="D241" s="5">
        <f ca="1">IFERROR(__xludf.DUMMYFUNCTION("""COMPUTED_VALUE"""),0)</f>
        <v>0</v>
      </c>
      <c r="E241" s="5">
        <f ca="1">IFERROR(__xludf.DUMMYFUNCTION("""COMPUTED_VALUE"""),2)</f>
        <v>2</v>
      </c>
      <c r="F241" s="5">
        <f ca="1">IFERROR(__xludf.DUMMYFUNCTION("""COMPUTED_VALUE"""),2)</f>
        <v>2</v>
      </c>
      <c r="G241" s="5">
        <f ca="1">IFERROR(__xludf.DUMMYFUNCTION("""COMPUTED_VALUE"""),0)</f>
        <v>0</v>
      </c>
      <c r="H241"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I241" s="5">
        <f ca="1">IFERROR(__xludf.DUMMYFUNCTION("""COMPUTED_VALUE"""),5)</f>
        <v>5</v>
      </c>
      <c r="J241" s="5" t="str">
        <f ca="1">IFERROR(__xludf.DUMMYFUNCTION("""COMPUTED_VALUE"""),"Local")</f>
        <v>Local</v>
      </c>
      <c r="K241" s="5">
        <f ca="1">IFERROR(__xludf.DUMMYFUNCTION("""COMPUTED_VALUE"""),4)</f>
        <v>4</v>
      </c>
      <c r="L241" s="5" t="str">
        <f ca="1">IFERROR(__xludf.DUMMYFUNCTION("""COMPUTED_VALUE"""),"Fall")</f>
        <v>Fall</v>
      </c>
      <c r="M241" s="5" t="str">
        <f ca="1">IFERROR(__xludf.DUMMYFUNCTION("""COMPUTED_VALUE"""),"Philadelphia")</f>
        <v>Philadelphia</v>
      </c>
      <c r="N241" s="5" t="str">
        <f ca="1">IFERROR(__xludf.DUMMYFUNCTION("""COMPUTED_VALUE"""),"PA")</f>
        <v>PA</v>
      </c>
      <c r="O241" s="5" t="str">
        <f ca="1">IFERROR(__xludf.DUMMYFUNCTION("""COMPUTED_VALUE"""),"High")</f>
        <v>High</v>
      </c>
      <c r="P241" s="5" t="str">
        <f ca="1">IFERROR(__xludf.DUMMYFUNCTION("""COMPUTED_VALUE"""),"Field (General)")</f>
        <v>Field (General)</v>
      </c>
      <c r="Q241" s="5" t="str">
        <f ca="1">IFERROR(__xludf.DUMMYFUNCTION("""COMPUTED_VALUE"""),"Outside on School Property")</f>
        <v>Outside on School Property</v>
      </c>
      <c r="R241" s="5" t="str">
        <f ca="1">IFERROR(__xludf.DUMMYFUNCTION("""COMPUTED_VALUE"""),"Yes")</f>
        <v>Yes</v>
      </c>
      <c r="S241" s="5" t="str">
        <f ca="1">IFERROR(__xludf.DUMMYFUNCTION("""COMPUTED_VALUE"""),"Dismissal")</f>
        <v>Dismissal</v>
      </c>
      <c r="T241" s="10">
        <f ca="1">IFERROR(__xludf.DUMMYFUNCTION("""COMPUTED_VALUE"""),0.614583333333333)</f>
        <v>0.61458333333333304</v>
      </c>
      <c r="U241" s="5">
        <f ca="1">IFERROR(__xludf.DUMMYFUNCTION("""COMPUTED_VALUE"""),1)</f>
        <v>1</v>
      </c>
      <c r="V241" s="5" t="str">
        <f ca="1">IFERROR(__xludf.DUMMYFUNCTION("""COMPUTED_VALUE"""),"Brother of student fired 15 shots at group of students during fight")</f>
        <v>Brother of student fired 15 shots at group of students during fight</v>
      </c>
      <c r="W241"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X241" s="5" t="str">
        <f ca="1">IFERROR(__xludf.DUMMYFUNCTION("""COMPUTED_VALUE"""),"Escalation of Dispute")</f>
        <v>Escalation of Dispute</v>
      </c>
      <c r="Y241" s="5" t="str">
        <f ca="1">IFERROR(__xludf.DUMMYFUNCTION("""COMPUTED_VALUE"""),"Both")</f>
        <v>Both</v>
      </c>
      <c r="Z241" s="5" t="str">
        <f ca="1">IFERROR(__xludf.DUMMYFUNCTION("""COMPUTED_VALUE"""),"No")</f>
        <v>No</v>
      </c>
      <c r="AA241" s="5"/>
      <c r="AB241" s="5" t="str">
        <f ca="1">IFERROR(__xludf.DUMMYFUNCTION("""COMPUTED_VALUE"""),"No")</f>
        <v>No</v>
      </c>
      <c r="AC241" s="5" t="str">
        <f ca="1">IFERROR(__xludf.DUMMYFUNCTION("""COMPUTED_VALUE"""),"No")</f>
        <v>No</v>
      </c>
      <c r="AD241" s="5" t="str">
        <f ca="1">IFERROR(__xludf.DUMMYFUNCTION("""COMPUTED_VALUE"""),"No")</f>
        <v>No</v>
      </c>
      <c r="AE241" s="5" t="str">
        <f ca="1">IFERROR(__xludf.DUMMYFUNCTION("""COMPUTED_VALUE"""),"No")</f>
        <v>No</v>
      </c>
      <c r="AF241" s="5" t="str">
        <f ca="1">IFERROR(__xludf.DUMMYFUNCTION("""COMPUTED_VALUE"""),"No")</f>
        <v>No</v>
      </c>
      <c r="AG241" s="5"/>
      <c r="AH241" s="5" t="str">
        <f ca="1">IFERROR(__xludf.DUMMYFUNCTION("""COMPUTED_VALUE"""),"No")</f>
        <v>No</v>
      </c>
    </row>
    <row r="242" spans="1:34" ht="12.75">
      <c r="A242" s="5" t="str">
        <f ca="1">IFERROR(__xludf.DUMMYFUNCTION("""COMPUTED_VALUE"""),"20211017ARROR")</f>
        <v>20211017ARROR</v>
      </c>
      <c r="B242" s="8">
        <f ca="1">IFERROR(__xludf.DUMMYFUNCTION("""COMPUTED_VALUE"""),44486)</f>
        <v>44486</v>
      </c>
      <c r="C242" s="5" t="str">
        <f ca="1">IFERROR(__xludf.DUMMYFUNCTION("""COMPUTED_VALUE"""),"Rogers High School")</f>
        <v>Rogers High School</v>
      </c>
      <c r="D242" s="5">
        <f ca="1">IFERROR(__xludf.DUMMYFUNCTION("""COMPUTED_VALUE"""),0)</f>
        <v>0</v>
      </c>
      <c r="E242" s="5">
        <f ca="1">IFERROR(__xludf.DUMMYFUNCTION("""COMPUTED_VALUE"""),0)</f>
        <v>0</v>
      </c>
      <c r="F242" s="5">
        <f ca="1">IFERROR(__xludf.DUMMYFUNCTION("""COMPUTED_VALUE"""),0)</f>
        <v>0</v>
      </c>
      <c r="G242" s="5">
        <f ca="1">IFERROR(__xludf.DUMMYFUNCTION("""COMPUTED_VALUE"""),0)</f>
        <v>0</v>
      </c>
      <c r="H242"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I242" s="5">
        <f ca="1">IFERROR(__xludf.DUMMYFUNCTION("""COMPUTED_VALUE"""),5)</f>
        <v>5</v>
      </c>
      <c r="J242" s="5" t="str">
        <f ca="1">IFERROR(__xludf.DUMMYFUNCTION("""COMPUTED_VALUE"""),"Local")</f>
        <v>Local</v>
      </c>
      <c r="K242" s="5">
        <f ca="1">IFERROR(__xludf.DUMMYFUNCTION("""COMPUTED_VALUE"""),4)</f>
        <v>4</v>
      </c>
      <c r="L242" s="5"/>
      <c r="M242" s="5" t="str">
        <f ca="1">IFERROR(__xludf.DUMMYFUNCTION("""COMPUTED_VALUE"""),"Rogers")</f>
        <v>Rogers</v>
      </c>
      <c r="N242" s="5" t="str">
        <f ca="1">IFERROR(__xludf.DUMMYFUNCTION("""COMPUTED_VALUE"""),"AR")</f>
        <v>AR</v>
      </c>
      <c r="O242" s="5" t="str">
        <f ca="1">IFERROR(__xludf.DUMMYFUNCTION("""COMPUTED_VALUE"""),"High")</f>
        <v>High</v>
      </c>
      <c r="P242" s="5" t="str">
        <f ca="1">IFERROR(__xludf.DUMMYFUNCTION("""COMPUTED_VALUE"""),"Football Field/Track")</f>
        <v>Football Field/Track</v>
      </c>
      <c r="Q242" s="5" t="str">
        <f ca="1">IFERROR(__xludf.DUMMYFUNCTION("""COMPUTED_VALUE"""),"Outside on School Property")</f>
        <v>Outside on School Property</v>
      </c>
      <c r="R242" s="5" t="str">
        <f ca="1">IFERROR(__xludf.DUMMYFUNCTION("""COMPUTED_VALUE"""),"No")</f>
        <v>No</v>
      </c>
      <c r="S242" s="5" t="str">
        <f ca="1">IFERROR(__xludf.DUMMYFUNCTION("""COMPUTED_VALUE"""),"Evening")</f>
        <v>Evening</v>
      </c>
      <c r="T242" s="10">
        <f ca="1">IFERROR(__xludf.DUMMYFUNCTION("""COMPUTED_VALUE"""),0.836805555555555)</f>
        <v>0.83680555555555503</v>
      </c>
      <c r="U242" s="5">
        <f ca="1">IFERROR(__xludf.DUMMYFUNCTION("""COMPUTED_VALUE"""),1)</f>
        <v>1</v>
      </c>
      <c r="V242" s="5" t="str">
        <f ca="1">IFERROR(__xludf.DUMMYFUNCTION("""COMPUTED_VALUE"""),"Man fired 16 shots at stadium press box")</f>
        <v>Man fired 16 shots at stadium press box</v>
      </c>
      <c r="W242"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X242" s="5" t="str">
        <f ca="1">IFERROR(__xludf.DUMMYFUNCTION("""COMPUTED_VALUE"""),"Intentional Property Damage")</f>
        <v>Intentional Property Damage</v>
      </c>
      <c r="Y242" s="5" t="str">
        <f ca="1">IFERROR(__xludf.DUMMYFUNCTION("""COMPUTED_VALUE"""),"Neither")</f>
        <v>Neither</v>
      </c>
      <c r="Z242" s="5" t="str">
        <f ca="1">IFERROR(__xludf.DUMMYFUNCTION("""COMPUTED_VALUE"""),"No")</f>
        <v>No</v>
      </c>
      <c r="AA242" s="5"/>
      <c r="AB242" s="5" t="str">
        <f ca="1">IFERROR(__xludf.DUMMYFUNCTION("""COMPUTED_VALUE"""),"No")</f>
        <v>No</v>
      </c>
      <c r="AC242" s="5" t="str">
        <f ca="1">IFERROR(__xludf.DUMMYFUNCTION("""COMPUTED_VALUE"""),"No")</f>
        <v>No</v>
      </c>
      <c r="AD242" s="5" t="str">
        <f ca="1">IFERROR(__xludf.DUMMYFUNCTION("""COMPUTED_VALUE"""),"No")</f>
        <v>No</v>
      </c>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row>
    <row r="243" spans="1:34" ht="12.75">
      <c r="A243" s="5" t="str">
        <f ca="1">IFERROR(__xludf.DUMMYFUNCTION("""COMPUTED_VALUE"""),"20211015CAKEF")</f>
        <v>20211015CAKEF</v>
      </c>
      <c r="B243" s="8">
        <f ca="1">IFERROR(__xludf.DUMMYFUNCTION("""COMPUTED_VALUE"""),44484)</f>
        <v>44484</v>
      </c>
      <c r="C243" s="5" t="str">
        <f ca="1">IFERROR(__xludf.DUMMYFUNCTION("""COMPUTED_VALUE"""),"Kepler Community School")</f>
        <v>Kepler Community School</v>
      </c>
      <c r="D243" s="5">
        <f ca="1">IFERROR(__xludf.DUMMYFUNCTION("""COMPUTED_VALUE"""),0)</f>
        <v>0</v>
      </c>
      <c r="E243" s="5">
        <f ca="1">IFERROR(__xludf.DUMMYFUNCTION("""COMPUTED_VALUE"""),1)</f>
        <v>1</v>
      </c>
      <c r="F243" s="5">
        <f ca="1">IFERROR(__xludf.DUMMYFUNCTION("""COMPUTED_VALUE"""),1)</f>
        <v>1</v>
      </c>
      <c r="G243" s="5">
        <f ca="1">IFERROR(__xludf.DUMMYFUNCTION("""COMPUTED_VALUE"""),0)</f>
        <v>0</v>
      </c>
      <c r="H243"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I243" s="5">
        <f ca="1">IFERROR(__xludf.DUMMYFUNCTION("""COMPUTED_VALUE"""),5)</f>
        <v>5</v>
      </c>
      <c r="J243" s="5" t="str">
        <f ca="1">IFERROR(__xludf.DUMMYFUNCTION("""COMPUTED_VALUE"""),"Local")</f>
        <v>Local</v>
      </c>
      <c r="K243" s="5">
        <f ca="1">IFERROR(__xludf.DUMMYFUNCTION("""COMPUTED_VALUE"""),4)</f>
        <v>4</v>
      </c>
      <c r="L243" s="5" t="str">
        <f ca="1">IFERROR(__xludf.DUMMYFUNCTION("""COMPUTED_VALUE"""),"Fall")</f>
        <v>Fall</v>
      </c>
      <c r="M243" s="5" t="str">
        <f ca="1">IFERROR(__xludf.DUMMYFUNCTION("""COMPUTED_VALUE"""),"Fresno")</f>
        <v>Fresno</v>
      </c>
      <c r="N243" s="5" t="str">
        <f ca="1">IFERROR(__xludf.DUMMYFUNCTION("""COMPUTED_VALUE"""),"CA")</f>
        <v>CA</v>
      </c>
      <c r="O243" s="5" t="str">
        <f ca="1">IFERROR(__xludf.DUMMYFUNCTION("""COMPUTED_VALUE"""),"Elementary")</f>
        <v>Elementary</v>
      </c>
      <c r="P243" s="5" t="str">
        <f ca="1">IFERROR(__xludf.DUMMYFUNCTION("""COMPUTED_VALUE"""),"Playground")</f>
        <v>Playground</v>
      </c>
      <c r="Q243" s="5" t="str">
        <f ca="1">IFERROR(__xludf.DUMMYFUNCTION("""COMPUTED_VALUE"""),"Outside on School Property")</f>
        <v>Outside on School Property</v>
      </c>
      <c r="R243" s="5" t="str">
        <f ca="1">IFERROR(__xludf.DUMMYFUNCTION("""COMPUTED_VALUE"""),"Yes")</f>
        <v>Yes</v>
      </c>
      <c r="S243" s="5" t="str">
        <f ca="1">IFERROR(__xludf.DUMMYFUNCTION("""COMPUTED_VALUE"""),"Morning Classes")</f>
        <v>Morning Classes</v>
      </c>
      <c r="T243" s="10">
        <f ca="1">IFERROR(__xludf.DUMMYFUNCTION("""COMPUTED_VALUE"""),0.430555555555555)</f>
        <v>0.43055555555555503</v>
      </c>
      <c r="U243" s="5">
        <f ca="1">IFERROR(__xludf.DUMMYFUNCTION("""COMPUTED_VALUE"""),1)</f>
        <v>1</v>
      </c>
      <c r="V243" s="5" t="str">
        <f ca="1">IFERROR(__xludf.DUMMYFUNCTION("""COMPUTED_VALUE"""),"Gym teacher talked down man with gun on school playground")</f>
        <v>Gym teacher talked down man with gun on school playground</v>
      </c>
      <c r="W243"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X243" s="5" t="str">
        <f ca="1">IFERROR(__xludf.DUMMYFUNCTION("""COMPUTED_VALUE"""),"Hostage/Standoff")</f>
        <v>Hostage/Standoff</v>
      </c>
      <c r="Y243" s="5" t="str">
        <f ca="1">IFERROR(__xludf.DUMMYFUNCTION("""COMPUTED_VALUE"""),"Neither")</f>
        <v>Neither</v>
      </c>
      <c r="Z243" s="5" t="str">
        <f ca="1">IFERROR(__xludf.DUMMYFUNCTION("""COMPUTED_VALUE"""),"No")</f>
        <v>No</v>
      </c>
      <c r="AA243" s="5"/>
      <c r="AB243" s="5" t="str">
        <f ca="1">IFERROR(__xludf.DUMMYFUNCTION("""COMPUTED_VALUE"""),"No")</f>
        <v>No</v>
      </c>
      <c r="AC243" s="5" t="str">
        <f ca="1">IFERROR(__xludf.DUMMYFUNCTION("""COMPUTED_VALUE"""),"No")</f>
        <v>No</v>
      </c>
      <c r="AD243" s="5" t="str">
        <f ca="1">IFERROR(__xludf.DUMMYFUNCTION("""COMPUTED_VALUE"""),"No")</f>
        <v>No</v>
      </c>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row>
    <row r="244" spans="1:34" ht="12.75">
      <c r="A244" s="5" t="str">
        <f ca="1">IFERROR(__xludf.DUMMYFUNCTION("""COMPUTED_VALUE"""),"20211015ALWIM")</f>
        <v>20211015ALWIM</v>
      </c>
      <c r="B244" s="8">
        <f ca="1">IFERROR(__xludf.DUMMYFUNCTION("""COMPUTED_VALUE"""),44484)</f>
        <v>44484</v>
      </c>
      <c r="C244" s="5" t="str">
        <f ca="1">IFERROR(__xludf.DUMMYFUNCTION("""COMPUTED_VALUE"""),"Williamson High School")</f>
        <v>Williamson High School</v>
      </c>
      <c r="D244" s="5">
        <f ca="1">IFERROR(__xludf.DUMMYFUNCTION("""COMPUTED_VALUE"""),0)</f>
        <v>0</v>
      </c>
      <c r="E244" s="5">
        <f ca="1">IFERROR(__xludf.DUMMYFUNCTION("""COMPUTED_VALUE"""),4)</f>
        <v>4</v>
      </c>
      <c r="F244" s="5">
        <f ca="1">IFERROR(__xludf.DUMMYFUNCTION("""COMPUTED_VALUE"""),4)</f>
        <v>4</v>
      </c>
      <c r="G244" s="5">
        <f ca="1">IFERROR(__xludf.DUMMYFUNCTION("""COMPUTED_VALUE"""),0)</f>
        <v>0</v>
      </c>
      <c r="H244"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I244" s="5">
        <f ca="1">IFERROR(__xludf.DUMMYFUNCTION("""COMPUTED_VALUE"""),100)</f>
        <v>100</v>
      </c>
      <c r="J244" s="5" t="str">
        <f ca="1">IFERROR(__xludf.DUMMYFUNCTION("""COMPUTED_VALUE"""),"International")</f>
        <v>International</v>
      </c>
      <c r="K244" s="5">
        <f ca="1">IFERROR(__xludf.DUMMYFUNCTION("""COMPUTED_VALUE"""),4)</f>
        <v>4</v>
      </c>
      <c r="L244" s="5"/>
      <c r="M244" s="5" t="str">
        <f ca="1">IFERROR(__xludf.DUMMYFUNCTION("""COMPUTED_VALUE"""),"Mobile")</f>
        <v>Mobile</v>
      </c>
      <c r="N244" s="5" t="str">
        <f ca="1">IFERROR(__xludf.DUMMYFUNCTION("""COMPUTED_VALUE"""),"AL")</f>
        <v>AL</v>
      </c>
      <c r="O244" s="11">
        <f ca="1">IFERROR(__xludf.DUMMYFUNCTION("""COMPUTED_VALUE"""),44724)</f>
        <v>44724</v>
      </c>
      <c r="P244" s="5" t="str">
        <f ca="1">IFERROR(__xludf.DUMMYFUNCTION("""COMPUTED_VALUE"""),"Football Field/Track")</f>
        <v>Football Field/Track</v>
      </c>
      <c r="Q244" s="5" t="str">
        <f ca="1">IFERROR(__xludf.DUMMYFUNCTION("""COMPUTED_VALUE"""),"Outside on School Property")</f>
        <v>Outside on School Property</v>
      </c>
      <c r="R244" s="5" t="str">
        <f ca="1">IFERROR(__xludf.DUMMYFUNCTION("""COMPUTED_VALUE"""),"No")</f>
        <v>No</v>
      </c>
      <c r="S244" s="5" t="str">
        <f ca="1">IFERROR(__xludf.DUMMYFUNCTION("""COMPUTED_VALUE"""),"Sport Event")</f>
        <v>Sport Event</v>
      </c>
      <c r="T244" s="10">
        <f ca="1">IFERROR(__xludf.DUMMYFUNCTION("""COMPUTED_VALUE"""),0.913888888888888)</f>
        <v>0.91388888888888797</v>
      </c>
      <c r="U244" s="5">
        <f ca="1">IFERROR(__xludf.DUMMYFUNCTION("""COMPUTED_VALUE"""),1)</f>
        <v>1</v>
      </c>
      <c r="V244" s="5" t="str">
        <f ca="1">IFERROR(__xludf.DUMMYFUNCTION("""COMPUTED_VALUE"""),"4 shot inside the football stadium during game")</f>
        <v>4 shot inside the football stadium during game</v>
      </c>
      <c r="W244"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X244" s="5"/>
      <c r="Y244" s="5" t="str">
        <f ca="1">IFERROR(__xludf.DUMMYFUNCTION("""COMPUTED_VALUE"""),"Both")</f>
        <v>Both</v>
      </c>
      <c r="Z244" s="5" t="str">
        <f ca="1">IFERROR(__xludf.DUMMYFUNCTION("""COMPUTED_VALUE"""),"Yes")</f>
        <v>Yes</v>
      </c>
      <c r="AA244" s="5" t="str">
        <f ca="1">IFERROR(__xludf.DUMMYFUNCTION("""COMPUTED_VALUE"""),"Two suspects fled")</f>
        <v>Two suspects fled</v>
      </c>
      <c r="AB244" s="5" t="str">
        <f ca="1">IFERROR(__xludf.DUMMYFUNCTION("""COMPUTED_VALUE"""),"No")</f>
        <v>No</v>
      </c>
      <c r="AC244" s="5" t="str">
        <f ca="1">IFERROR(__xludf.DUMMYFUNCTION("""COMPUTED_VALUE"""),"No")</f>
        <v>No</v>
      </c>
      <c r="AD244" s="5" t="str">
        <f ca="1">IFERROR(__xludf.DUMMYFUNCTION("""COMPUTED_VALUE"""),"No")</f>
        <v>No</v>
      </c>
      <c r="AE244" s="5" t="str">
        <f ca="1">IFERROR(__xludf.DUMMYFUNCTION("""COMPUTED_VALUE"""),"No")</f>
        <v>No</v>
      </c>
      <c r="AF244" s="5" t="str">
        <f ca="1">IFERROR(__xludf.DUMMYFUNCTION("""COMPUTED_VALUE"""),"No")</f>
        <v>No</v>
      </c>
      <c r="AG244" s="5"/>
      <c r="AH244" s="5" t="str">
        <f ca="1">IFERROR(__xludf.DUMMYFUNCTION("""COMPUTED_VALUE"""),"No")</f>
        <v>No</v>
      </c>
    </row>
    <row r="245" spans="1:34" ht="12.75">
      <c r="A245" s="5" t="str">
        <f ca="1">IFERROR(__xludf.DUMMYFUNCTION("""COMPUTED_VALUE"""),"20211014MEREP")</f>
        <v>20211014MEREP</v>
      </c>
      <c r="B245" s="8">
        <f ca="1">IFERROR(__xludf.DUMMYFUNCTION("""COMPUTED_VALUE"""),44483)</f>
        <v>44483</v>
      </c>
      <c r="C245" s="5" t="str">
        <f ca="1">IFERROR(__xludf.DUMMYFUNCTION("""COMPUTED_VALUE"""),"Reiche Community School")</f>
        <v>Reiche Community School</v>
      </c>
      <c r="D245" s="5">
        <f ca="1">IFERROR(__xludf.DUMMYFUNCTION("""COMPUTED_VALUE"""),1)</f>
        <v>1</v>
      </c>
      <c r="E245" s="5">
        <f ca="1">IFERROR(__xludf.DUMMYFUNCTION("""COMPUTED_VALUE"""),0)</f>
        <v>0</v>
      </c>
      <c r="F245" s="5">
        <f ca="1">IFERROR(__xludf.DUMMYFUNCTION("""COMPUTED_VALUE"""),1)</f>
        <v>1</v>
      </c>
      <c r="G245" s="5">
        <f ca="1">IFERROR(__xludf.DUMMYFUNCTION("""COMPUTED_VALUE"""),0)</f>
        <v>0</v>
      </c>
      <c r="H245"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I245" s="5">
        <f ca="1">IFERROR(__xludf.DUMMYFUNCTION("""COMPUTED_VALUE"""),2)</f>
        <v>2</v>
      </c>
      <c r="J245" s="5" t="str">
        <f ca="1">IFERROR(__xludf.DUMMYFUNCTION("""COMPUTED_VALUE"""),"Local")</f>
        <v>Local</v>
      </c>
      <c r="K245" s="5">
        <f ca="1">IFERROR(__xludf.DUMMYFUNCTION("""COMPUTED_VALUE"""),3)</f>
        <v>3</v>
      </c>
      <c r="L245" s="5" t="str">
        <f ca="1">IFERROR(__xludf.DUMMYFUNCTION("""COMPUTED_VALUE"""),"Fall")</f>
        <v>Fall</v>
      </c>
      <c r="M245" s="5" t="str">
        <f ca="1">IFERROR(__xludf.DUMMYFUNCTION("""COMPUTED_VALUE"""),"Portland")</f>
        <v>Portland</v>
      </c>
      <c r="N245" s="5" t="str">
        <f ca="1">IFERROR(__xludf.DUMMYFUNCTION("""COMPUTED_VALUE"""),"ME")</f>
        <v>ME</v>
      </c>
      <c r="O245" s="5" t="str">
        <f ca="1">IFERROR(__xludf.DUMMYFUNCTION("""COMPUTED_VALUE"""),"Elementary")</f>
        <v>Elementary</v>
      </c>
      <c r="P245" s="5" t="str">
        <f ca="1">IFERROR(__xludf.DUMMYFUNCTION("""COMPUTED_VALUE"""),"Playground")</f>
        <v>Playground</v>
      </c>
      <c r="Q245" s="5" t="str">
        <f ca="1">IFERROR(__xludf.DUMMYFUNCTION("""COMPUTED_VALUE"""),"Outside on School Property")</f>
        <v>Outside on School Property</v>
      </c>
      <c r="R245" s="5" t="str">
        <f ca="1">IFERROR(__xludf.DUMMYFUNCTION("""COMPUTED_VALUE"""),"No")</f>
        <v>No</v>
      </c>
      <c r="S245" s="5" t="str">
        <f ca="1">IFERROR(__xludf.DUMMYFUNCTION("""COMPUTED_VALUE"""),"Night")</f>
        <v>Night</v>
      </c>
      <c r="T245" s="10">
        <f ca="1">IFERROR(__xludf.DUMMYFUNCTION("""COMPUTED_VALUE"""),0.96875)</f>
        <v>0.96875</v>
      </c>
      <c r="U245" s="5">
        <f ca="1">IFERROR(__xludf.DUMMYFUNCTION("""COMPUTED_VALUE"""),1)</f>
        <v>1</v>
      </c>
      <c r="V245" s="5" t="str">
        <f ca="1">IFERROR(__xludf.DUMMYFUNCTION("""COMPUTED_VALUE"""),"Person shot on the school playground")</f>
        <v>Person shot on the school playground</v>
      </c>
      <c r="W245"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X245" s="5"/>
      <c r="Y245" s="5" t="str">
        <f ca="1">IFERROR(__xludf.DUMMYFUNCTION("""COMPUTED_VALUE"""),"Victims Targeted")</f>
        <v>Victims Targeted</v>
      </c>
      <c r="Z245" s="5" t="str">
        <f ca="1">IFERROR(__xludf.DUMMYFUNCTION("""COMPUTED_VALUE"""),"No")</f>
        <v>No</v>
      </c>
      <c r="AA245" s="5"/>
      <c r="AB245" s="5" t="str">
        <f ca="1">IFERROR(__xludf.DUMMYFUNCTION("""COMPUTED_VALUE"""),"No")</f>
        <v>No</v>
      </c>
      <c r="AC245" s="5" t="str">
        <f ca="1">IFERROR(__xludf.DUMMYFUNCTION("""COMPUTED_VALUE"""),"No")</f>
        <v>No</v>
      </c>
      <c r="AD245" s="5" t="str">
        <f ca="1">IFERROR(__xludf.DUMMYFUNCTION("""COMPUTED_VALUE"""),"No")</f>
        <v>No</v>
      </c>
      <c r="AE245" s="5" t="str">
        <f ca="1">IFERROR(__xludf.DUMMYFUNCTION("""COMPUTED_VALUE"""),"No")</f>
        <v>No</v>
      </c>
      <c r="AF245" s="5" t="str">
        <f ca="1">IFERROR(__xludf.DUMMYFUNCTION("""COMPUTED_VALUE"""),"No")</f>
        <v>No</v>
      </c>
      <c r="AG245" s="5"/>
      <c r="AH245" s="5" t="str">
        <f ca="1">IFERROR(__xludf.DUMMYFUNCTION("""COMPUTED_VALUE"""),"No")</f>
        <v>No</v>
      </c>
    </row>
    <row r="246" spans="1:34" ht="12.75">
      <c r="A246" s="5" t="str">
        <f ca="1">IFERROR(__xludf.DUMMYFUNCTION("""COMPUTED_VALUE"""),"20211013PACHD")</f>
        <v>20211013PACHD</v>
      </c>
      <c r="B246" s="8">
        <f ca="1">IFERROR(__xludf.DUMMYFUNCTION("""COMPUTED_VALUE"""),44482)</f>
        <v>44482</v>
      </c>
      <c r="C246" s="5" t="str">
        <f ca="1">IFERROR(__xludf.DUMMYFUNCTION("""COMPUTED_VALUE"""),"Charles Kelly Elementary")</f>
        <v>Charles Kelly Elementary</v>
      </c>
      <c r="D246" s="5">
        <f ca="1">IFERROR(__xludf.DUMMYFUNCTION("""COMPUTED_VALUE"""),0)</f>
        <v>0</v>
      </c>
      <c r="E246" s="5">
        <f ca="1">IFERROR(__xludf.DUMMYFUNCTION("""COMPUTED_VALUE"""),0)</f>
        <v>0</v>
      </c>
      <c r="F246" s="5">
        <f ca="1">IFERROR(__xludf.DUMMYFUNCTION("""COMPUTED_VALUE"""),0)</f>
        <v>0</v>
      </c>
      <c r="G246" s="5">
        <f ca="1">IFERROR(__xludf.DUMMYFUNCTION("""COMPUTED_VALUE"""),0)</f>
        <v>0</v>
      </c>
      <c r="H246"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I246" s="5">
        <f ca="1">IFERROR(__xludf.DUMMYFUNCTION("""COMPUTED_VALUE"""),2)</f>
        <v>2</v>
      </c>
      <c r="J246" s="5" t="str">
        <f ca="1">IFERROR(__xludf.DUMMYFUNCTION("""COMPUTED_VALUE"""),"Local")</f>
        <v>Local</v>
      </c>
      <c r="K246" s="5">
        <f ca="1">IFERROR(__xludf.DUMMYFUNCTION("""COMPUTED_VALUE"""),4)</f>
        <v>4</v>
      </c>
      <c r="L246" s="5" t="str">
        <f ca="1">IFERROR(__xludf.DUMMYFUNCTION("""COMPUTED_VALUE"""),"Fall")</f>
        <v>Fall</v>
      </c>
      <c r="M246" s="5" t="str">
        <f ca="1">IFERROR(__xludf.DUMMYFUNCTION("""COMPUTED_VALUE"""),"Drexel Hill")</f>
        <v>Drexel Hill</v>
      </c>
      <c r="N246" s="5" t="str">
        <f ca="1">IFERROR(__xludf.DUMMYFUNCTION("""COMPUTED_VALUE"""),"PA")</f>
        <v>PA</v>
      </c>
      <c r="O246" s="5" t="str">
        <f ca="1">IFERROR(__xludf.DUMMYFUNCTION("""COMPUTED_VALUE"""),"Elementary")</f>
        <v>Elementary</v>
      </c>
      <c r="P246" s="5" t="str">
        <f ca="1">IFERROR(__xludf.DUMMYFUNCTION("""COMPUTED_VALUE"""),"School Bus")</f>
        <v>School Bus</v>
      </c>
      <c r="Q246" s="5" t="str">
        <f ca="1">IFERROR(__xludf.DUMMYFUNCTION("""COMPUTED_VALUE"""),"School Bus")</f>
        <v>School Bus</v>
      </c>
      <c r="R246" s="5" t="str">
        <f ca="1">IFERROR(__xludf.DUMMYFUNCTION("""COMPUTED_VALUE"""),"Yes")</f>
        <v>Yes</v>
      </c>
      <c r="S246" s="5" t="str">
        <f ca="1">IFERROR(__xludf.DUMMYFUNCTION("""COMPUTED_VALUE"""),"School Start")</f>
        <v>School Start</v>
      </c>
      <c r="T246" s="10">
        <f ca="1">IFERROR(__xludf.DUMMYFUNCTION("""COMPUTED_VALUE"""),0.333333333333333)</f>
        <v>0.33333333333333298</v>
      </c>
      <c r="U246" s="5">
        <f ca="1">IFERROR(__xludf.DUMMYFUNCTION("""COMPUTED_VALUE"""),10)</f>
        <v>10</v>
      </c>
      <c r="V246" s="5" t="str">
        <f ca="1">IFERROR(__xludf.DUMMYFUNCTION("""COMPUTED_VALUE"""),"Two students shot 4 classmates with pellet gun")</f>
        <v>Two students shot 4 classmates with pellet gun</v>
      </c>
      <c r="W246"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X246" s="5" t="str">
        <f ca="1">IFERROR(__xludf.DUMMYFUNCTION("""COMPUTED_VALUE"""),"Indiscriminate Shooting")</f>
        <v>Indiscriminate Shooting</v>
      </c>
      <c r="Y246" s="5" t="str">
        <f ca="1">IFERROR(__xludf.DUMMYFUNCTION("""COMPUTED_VALUE"""),"Both")</f>
        <v>Both</v>
      </c>
      <c r="Z246" s="5" t="str">
        <f ca="1">IFERROR(__xludf.DUMMYFUNCTION("""COMPUTED_VALUE"""),"Yes")</f>
        <v>Yes</v>
      </c>
      <c r="AA246" s="5" t="str">
        <f ca="1">IFERROR(__xludf.DUMMYFUNCTION("""COMPUTED_VALUE"""),"Two students fired weapon")</f>
        <v>Two students fired weapon</v>
      </c>
      <c r="AB246" s="5" t="str">
        <f ca="1">IFERROR(__xludf.DUMMYFUNCTION("""COMPUTED_VALUE"""),"No")</f>
        <v>No</v>
      </c>
      <c r="AC246" s="5" t="str">
        <f ca="1">IFERROR(__xludf.DUMMYFUNCTION("""COMPUTED_VALUE"""),"No")</f>
        <v>No</v>
      </c>
      <c r="AD246" s="5" t="str">
        <f ca="1">IFERROR(__xludf.DUMMYFUNCTION("""COMPUTED_VALUE"""),"No")</f>
        <v>No</v>
      </c>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row>
    <row r="247" spans="1:34" ht="12.75">
      <c r="A247" s="5" t="str">
        <f ca="1">IFERROR(__xludf.DUMMYFUNCTION("""COMPUTED_VALUE"""),"20211013ILMCC")</f>
        <v>20211013ILMCC</v>
      </c>
      <c r="B247" s="8">
        <f ca="1">IFERROR(__xludf.DUMMYFUNCTION("""COMPUTED_VALUE"""),44482)</f>
        <v>44482</v>
      </c>
      <c r="C247" s="5" t="str">
        <f ca="1">IFERROR(__xludf.DUMMYFUNCTION("""COMPUTED_VALUE"""),"McDade Classical Elementary School")</f>
        <v>McDade Classical Elementary School</v>
      </c>
      <c r="D247" s="5">
        <f ca="1">IFERROR(__xludf.DUMMYFUNCTION("""COMPUTED_VALUE"""),0)</f>
        <v>0</v>
      </c>
      <c r="E247" s="5">
        <f ca="1">IFERROR(__xludf.DUMMYFUNCTION("""COMPUTED_VALUE"""),0)</f>
        <v>0</v>
      </c>
      <c r="F247" s="5">
        <f ca="1">IFERROR(__xludf.DUMMYFUNCTION("""COMPUTED_VALUE"""),0)</f>
        <v>0</v>
      </c>
      <c r="G247" s="5">
        <f ca="1">IFERROR(__xludf.DUMMYFUNCTION("""COMPUTED_VALUE"""),0)</f>
        <v>0</v>
      </c>
      <c r="H247" s="9" t="str">
        <f ca="1">IFERROR(__xludf.DUMMYFUNCTION("""COMPUTED_VALUE"""),"https://wgntv.com/news/chicagocrime/separate-shooting-incidents-outside-cps-schools-has-parents-on-edge/")</f>
        <v>https://wgntv.com/news/chicagocrime/separate-shooting-incidents-outside-cps-schools-has-parents-on-edge/</v>
      </c>
      <c r="I247" s="5">
        <f ca="1">IFERROR(__xludf.DUMMYFUNCTION("""COMPUTED_VALUE"""),5)</f>
        <v>5</v>
      </c>
      <c r="J247" s="5" t="str">
        <f ca="1">IFERROR(__xludf.DUMMYFUNCTION("""COMPUTED_VALUE"""),"Local")</f>
        <v>Local</v>
      </c>
      <c r="K247" s="5">
        <f ca="1">IFERROR(__xludf.DUMMYFUNCTION("""COMPUTED_VALUE"""),4)</f>
        <v>4</v>
      </c>
      <c r="L247" s="5" t="str">
        <f ca="1">IFERROR(__xludf.DUMMYFUNCTION("""COMPUTED_VALUE"""),"Fall")</f>
        <v>Fall</v>
      </c>
      <c r="M247" s="5" t="str">
        <f ca="1">IFERROR(__xludf.DUMMYFUNCTION("""COMPUTED_VALUE"""),"Chicago")</f>
        <v>Chicago</v>
      </c>
      <c r="N247" s="5" t="str">
        <f ca="1">IFERROR(__xludf.DUMMYFUNCTION("""COMPUTED_VALUE"""),"IL")</f>
        <v>IL</v>
      </c>
      <c r="O247" s="5" t="str">
        <f ca="1">IFERROR(__xludf.DUMMYFUNCTION("""COMPUTED_VALUE"""),"Elementary")</f>
        <v>Elementary</v>
      </c>
      <c r="P247" s="5" t="str">
        <f ca="1">IFERROR(__xludf.DUMMYFUNCTION("""COMPUTED_VALUE"""),"Front of School")</f>
        <v>Front of School</v>
      </c>
      <c r="Q247" s="5" t="str">
        <f ca="1">IFERROR(__xludf.DUMMYFUNCTION("""COMPUTED_VALUE"""),"Outside on School Property")</f>
        <v>Outside on School Property</v>
      </c>
      <c r="R247" s="5" t="str">
        <f ca="1">IFERROR(__xludf.DUMMYFUNCTION("""COMPUTED_VALUE"""),"Yes")</f>
        <v>Yes</v>
      </c>
      <c r="S247" s="5" t="str">
        <f ca="1">IFERROR(__xludf.DUMMYFUNCTION("""COMPUTED_VALUE"""),"School Start")</f>
        <v>School Start</v>
      </c>
      <c r="T247" s="10">
        <f ca="1">IFERROR(__xludf.DUMMYFUNCTION("""COMPUTED_VALUE"""),0.360416666666666)</f>
        <v>0.360416666666666</v>
      </c>
      <c r="U247" s="5">
        <f ca="1">IFERROR(__xludf.DUMMYFUNCTION("""COMPUTED_VALUE"""),1)</f>
        <v>1</v>
      </c>
      <c r="V247" s="5" t="str">
        <f ca="1">IFERROR(__xludf.DUMMYFUNCTION("""COMPUTED_VALUE"""),"28 shots fired from a vehicle, multiple bullets hit school building")</f>
        <v>28 shots fired from a vehicle, multiple bullets hit school building</v>
      </c>
      <c r="W247"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X247" s="5" t="str">
        <f ca="1">IFERROR(__xludf.DUMMYFUNCTION("""COMPUTED_VALUE"""),"Drive-by Shooting")</f>
        <v>Drive-by Shooting</v>
      </c>
      <c r="Y247" s="5" t="str">
        <f ca="1">IFERROR(__xludf.DUMMYFUNCTION("""COMPUTED_VALUE"""),"Random Shooting")</f>
        <v>Random Shooting</v>
      </c>
      <c r="Z247" s="5"/>
      <c r="AA247" s="5"/>
      <c r="AB247" s="5" t="str">
        <f ca="1">IFERROR(__xludf.DUMMYFUNCTION("""COMPUTED_VALUE"""),"No")</f>
        <v>No</v>
      </c>
      <c r="AC247" s="5" t="str">
        <f ca="1">IFERROR(__xludf.DUMMYFUNCTION("""COMPUTED_VALUE"""),"No")</f>
        <v>No</v>
      </c>
      <c r="AD247" s="5" t="str">
        <f ca="1">IFERROR(__xludf.DUMMYFUNCTION("""COMPUTED_VALUE"""),"No")</f>
        <v>No</v>
      </c>
      <c r="AE247" s="5" t="str">
        <f ca="1">IFERROR(__xludf.DUMMYFUNCTION("""COMPUTED_VALUE"""),"No")</f>
        <v>No</v>
      </c>
      <c r="AF247" s="5" t="str">
        <f ca="1">IFERROR(__xludf.DUMMYFUNCTION("""COMPUTED_VALUE"""),"No")</f>
        <v>No</v>
      </c>
      <c r="AG247" s="5"/>
      <c r="AH247" s="5" t="str">
        <f ca="1">IFERROR(__xludf.DUMMYFUNCTION("""COMPUTED_VALUE"""),"No")</f>
        <v>No</v>
      </c>
    </row>
    <row r="248" spans="1:34" ht="12.75">
      <c r="A248" s="5" t="str">
        <f ca="1">IFERROR(__xludf.DUMMYFUNCTION("""COMPUTED_VALUE"""),"20211012OKUNT")</f>
        <v>20211012OKUNT</v>
      </c>
      <c r="B248" s="8">
        <f ca="1">IFERROR(__xludf.DUMMYFUNCTION("""COMPUTED_VALUE"""),44481)</f>
        <v>44481</v>
      </c>
      <c r="C248" s="5" t="str">
        <f ca="1">IFERROR(__xludf.DUMMYFUNCTION("""COMPUTED_VALUE"""),"Union High School")</f>
        <v>Union High School</v>
      </c>
      <c r="D248" s="5">
        <f ca="1">IFERROR(__xludf.DUMMYFUNCTION("""COMPUTED_VALUE"""),0)</f>
        <v>0</v>
      </c>
      <c r="E248" s="5">
        <f ca="1">IFERROR(__xludf.DUMMYFUNCTION("""COMPUTED_VALUE"""),0)</f>
        <v>0</v>
      </c>
      <c r="F248" s="5">
        <f ca="1">IFERROR(__xludf.DUMMYFUNCTION("""COMPUTED_VALUE"""),0)</f>
        <v>0</v>
      </c>
      <c r="G248" s="5">
        <f ca="1">IFERROR(__xludf.DUMMYFUNCTION("""COMPUTED_VALUE"""),0)</f>
        <v>0</v>
      </c>
      <c r="H248"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I248" s="5">
        <f ca="1">IFERROR(__xludf.DUMMYFUNCTION("""COMPUTED_VALUE"""),5)</f>
        <v>5</v>
      </c>
      <c r="J248" s="5" t="str">
        <f ca="1">IFERROR(__xludf.DUMMYFUNCTION("""COMPUTED_VALUE"""),"Local")</f>
        <v>Local</v>
      </c>
      <c r="K248" s="5">
        <f ca="1">IFERROR(__xludf.DUMMYFUNCTION("""COMPUTED_VALUE"""),4)</f>
        <v>4</v>
      </c>
      <c r="L248" s="5" t="str">
        <f ca="1">IFERROR(__xludf.DUMMYFUNCTION("""COMPUTED_VALUE"""),"Fall")</f>
        <v>Fall</v>
      </c>
      <c r="M248" s="5" t="str">
        <f ca="1">IFERROR(__xludf.DUMMYFUNCTION("""COMPUTED_VALUE"""),"Tulsa")</f>
        <v>Tulsa</v>
      </c>
      <c r="N248" s="5" t="str">
        <f ca="1">IFERROR(__xludf.DUMMYFUNCTION("""COMPUTED_VALUE"""),"OK")</f>
        <v>OK</v>
      </c>
      <c r="O248" s="5" t="str">
        <f ca="1">IFERROR(__xludf.DUMMYFUNCTION("""COMPUTED_VALUE"""),"High")</f>
        <v>High</v>
      </c>
      <c r="P248" s="5" t="str">
        <f ca="1">IFERROR(__xludf.DUMMYFUNCTION("""COMPUTED_VALUE"""),"Front of School")</f>
        <v>Front of School</v>
      </c>
      <c r="Q248" s="5" t="str">
        <f ca="1">IFERROR(__xludf.DUMMYFUNCTION("""COMPUTED_VALUE"""),"Outside on School Property")</f>
        <v>Outside on School Property</v>
      </c>
      <c r="R248" s="5" t="str">
        <f ca="1">IFERROR(__xludf.DUMMYFUNCTION("""COMPUTED_VALUE"""),"Yes")</f>
        <v>Yes</v>
      </c>
      <c r="S248" s="5" t="str">
        <f ca="1">IFERROR(__xludf.DUMMYFUNCTION("""COMPUTED_VALUE"""),"Dismissal")</f>
        <v>Dismissal</v>
      </c>
      <c r="T248" s="10">
        <f ca="1">IFERROR(__xludf.DUMMYFUNCTION("""COMPUTED_VALUE"""),0.604166666666666)</f>
        <v>0.60416666666666596</v>
      </c>
      <c r="U248" s="5">
        <f ca="1">IFERROR(__xludf.DUMMYFUNCTION("""COMPUTED_VALUE"""),1)</f>
        <v>1</v>
      </c>
      <c r="V248" s="5" t="str">
        <f ca="1">IFERROR(__xludf.DUMMYFUNCTION("""COMPUTED_VALUE"""),"Student fired plastic projectile gun at group of students and staff waiting for the buses")</f>
        <v>Student fired plastic projectile gun at group of students and staff waiting for the buses</v>
      </c>
      <c r="W248"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X248" s="5" t="str">
        <f ca="1">IFERROR(__xludf.DUMMYFUNCTION("""COMPUTED_VALUE"""),"Drive-by Shooting")</f>
        <v>Drive-by Shooting</v>
      </c>
      <c r="Y248" s="5" t="str">
        <f ca="1">IFERROR(__xludf.DUMMYFUNCTION("""COMPUTED_VALUE"""),"Random Shooting")</f>
        <v>Random Shooting</v>
      </c>
      <c r="Z248" s="5" t="str">
        <f ca="1">IFERROR(__xludf.DUMMYFUNCTION("""COMPUTED_VALUE"""),"Yes")</f>
        <v>Yes</v>
      </c>
      <c r="AA248" s="5" t="str">
        <f ca="1">IFERROR(__xludf.DUMMYFUNCTION("""COMPUTED_VALUE"""),"Shooter and driver")</f>
        <v>Shooter and driver</v>
      </c>
      <c r="AB248" s="5" t="str">
        <f ca="1">IFERROR(__xludf.DUMMYFUNCTION("""COMPUTED_VALUE"""),"No")</f>
        <v>No</v>
      </c>
      <c r="AC248" s="5" t="str">
        <f ca="1">IFERROR(__xludf.DUMMYFUNCTION("""COMPUTED_VALUE"""),"No")</f>
        <v>No</v>
      </c>
      <c r="AD248" s="5" t="str">
        <f ca="1">IFERROR(__xludf.DUMMYFUNCTION("""COMPUTED_VALUE"""),"No")</f>
        <v>No</v>
      </c>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row>
    <row r="249" spans="1:34" ht="12.75">
      <c r="A249" s="5" t="str">
        <f ca="1">IFERROR(__xludf.DUMMYFUNCTION("""COMPUTED_VALUE"""),"20211012MIELK")</f>
        <v>20211012MIELK</v>
      </c>
      <c r="B249" s="8">
        <f ca="1">IFERROR(__xludf.DUMMYFUNCTION("""COMPUTED_VALUE"""),44481)</f>
        <v>44481</v>
      </c>
      <c r="C249" s="5" t="str">
        <f ca="1">IFERROR(__xludf.DUMMYFUNCTION("""COMPUTED_VALUE"""),"El Sol Academy")</f>
        <v>El Sol Academy</v>
      </c>
      <c r="D249" s="5">
        <f ca="1">IFERROR(__xludf.DUMMYFUNCTION("""COMPUTED_VALUE"""),0)</f>
        <v>0</v>
      </c>
      <c r="E249" s="5">
        <f ca="1">IFERROR(__xludf.DUMMYFUNCTION("""COMPUTED_VALUE"""),2)</f>
        <v>2</v>
      </c>
      <c r="F249" s="5">
        <f ca="1">IFERROR(__xludf.DUMMYFUNCTION("""COMPUTED_VALUE"""),2)</f>
        <v>2</v>
      </c>
      <c r="G249" s="5">
        <f ca="1">IFERROR(__xludf.DUMMYFUNCTION("""COMPUTED_VALUE"""),0)</f>
        <v>0</v>
      </c>
      <c r="H249"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I249" s="5">
        <f ca="1">IFERROR(__xludf.DUMMYFUNCTION("""COMPUTED_VALUE"""),5)</f>
        <v>5</v>
      </c>
      <c r="J249" s="5" t="str">
        <f ca="1">IFERROR(__xludf.DUMMYFUNCTION("""COMPUTED_VALUE"""),"Local")</f>
        <v>Local</v>
      </c>
      <c r="K249" s="5">
        <f ca="1">IFERROR(__xludf.DUMMYFUNCTION("""COMPUTED_VALUE"""),4)</f>
        <v>4</v>
      </c>
      <c r="L249" s="5" t="str">
        <f ca="1">IFERROR(__xludf.DUMMYFUNCTION("""COMPUTED_VALUE"""),"Fall")</f>
        <v>Fall</v>
      </c>
      <c r="M249" s="5" t="str">
        <f ca="1">IFERROR(__xludf.DUMMYFUNCTION("""COMPUTED_VALUE"""),"Kalamazoo")</f>
        <v>Kalamazoo</v>
      </c>
      <c r="N249" s="5" t="str">
        <f ca="1">IFERROR(__xludf.DUMMYFUNCTION("""COMPUTED_VALUE"""),"MI")</f>
        <v>MI</v>
      </c>
      <c r="O249" s="5" t="str">
        <f ca="1">IFERROR(__xludf.DUMMYFUNCTION("""COMPUTED_VALUE"""),"Elementary")</f>
        <v>Elementary</v>
      </c>
      <c r="P249" s="5" t="str">
        <f ca="1">IFERROR(__xludf.DUMMYFUNCTION("""COMPUTED_VALUE"""),"Parking Lot")</f>
        <v>Parking Lot</v>
      </c>
      <c r="Q249" s="5" t="str">
        <f ca="1">IFERROR(__xludf.DUMMYFUNCTION("""COMPUTED_VALUE"""),"Outside on School Property")</f>
        <v>Outside on School Property</v>
      </c>
      <c r="R249" s="5" t="str">
        <f ca="1">IFERROR(__xludf.DUMMYFUNCTION("""COMPUTED_VALUE"""),"No")</f>
        <v>No</v>
      </c>
      <c r="S249" s="5" t="str">
        <f ca="1">IFERROR(__xludf.DUMMYFUNCTION("""COMPUTED_VALUE"""),"After School")</f>
        <v>After School</v>
      </c>
      <c r="T249" s="10">
        <f ca="1">IFERROR(__xludf.DUMMYFUNCTION("""COMPUTED_VALUE"""),0.666666666666666)</f>
        <v>0.66666666666666596</v>
      </c>
      <c r="U249" s="5">
        <f ca="1">IFERROR(__xludf.DUMMYFUNCTION("""COMPUTED_VALUE"""),1)</f>
        <v>1</v>
      </c>
      <c r="V249" s="5" t="str">
        <f ca="1">IFERROR(__xludf.DUMMYFUNCTION("""COMPUTED_VALUE"""),"Group of teens was shot by a masked gunman")</f>
        <v>Group of teens was shot by a masked gunman</v>
      </c>
      <c r="W249"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X249" s="5"/>
      <c r="Y249" s="5" t="str">
        <f ca="1">IFERROR(__xludf.DUMMYFUNCTION("""COMPUTED_VALUE"""),"Victims Targeted")</f>
        <v>Victims Targeted</v>
      </c>
      <c r="Z249" s="5" t="str">
        <f ca="1">IFERROR(__xludf.DUMMYFUNCTION("""COMPUTED_VALUE"""),"No")</f>
        <v>No</v>
      </c>
      <c r="AA249" s="5"/>
      <c r="AB249" s="5" t="str">
        <f ca="1">IFERROR(__xludf.DUMMYFUNCTION("""COMPUTED_VALUE"""),"No")</f>
        <v>No</v>
      </c>
      <c r="AC249" s="5" t="str">
        <f ca="1">IFERROR(__xludf.DUMMYFUNCTION("""COMPUTED_VALUE"""),"No")</f>
        <v>No</v>
      </c>
      <c r="AD249" s="5" t="str">
        <f ca="1">IFERROR(__xludf.DUMMYFUNCTION("""COMPUTED_VALUE"""),"No")</f>
        <v>No</v>
      </c>
      <c r="AE249" s="5" t="str">
        <f ca="1">IFERROR(__xludf.DUMMYFUNCTION("""COMPUTED_VALUE"""),"No")</f>
        <v>No</v>
      </c>
      <c r="AF249" s="5" t="str">
        <f ca="1">IFERROR(__xludf.DUMMYFUNCTION("""COMPUTED_VALUE"""),"No")</f>
        <v>No</v>
      </c>
      <c r="AG249" s="5"/>
      <c r="AH249" s="5" t="str">
        <f ca="1">IFERROR(__xludf.DUMMYFUNCTION("""COMPUTED_VALUE"""),"No")</f>
        <v>No</v>
      </c>
    </row>
    <row r="250" spans="1:34" ht="12.75">
      <c r="A250" s="5" t="str">
        <f ca="1">IFERROR(__xludf.DUMMYFUNCTION("""COMPUTED_VALUE"""),"20211012ILWEC")</f>
        <v>20211012ILWEC</v>
      </c>
      <c r="B250" s="8">
        <f ca="1">IFERROR(__xludf.DUMMYFUNCTION("""COMPUTED_VALUE"""),44481)</f>
        <v>44481</v>
      </c>
      <c r="C250" s="5" t="str">
        <f ca="1">IFERROR(__xludf.DUMMYFUNCTION("""COMPUTED_VALUE"""),"Wendell Phillips Academy High School")</f>
        <v>Wendell Phillips Academy High School</v>
      </c>
      <c r="D250" s="5">
        <f ca="1">IFERROR(__xludf.DUMMYFUNCTION("""COMPUTED_VALUE"""),0)</f>
        <v>0</v>
      </c>
      <c r="E250" s="5">
        <f ca="1">IFERROR(__xludf.DUMMYFUNCTION("""COMPUTED_VALUE"""),2)</f>
        <v>2</v>
      </c>
      <c r="F250" s="5">
        <f ca="1">IFERROR(__xludf.DUMMYFUNCTION("""COMPUTED_VALUE"""),2)</f>
        <v>2</v>
      </c>
      <c r="G250" s="5">
        <f ca="1">IFERROR(__xludf.DUMMYFUNCTION("""COMPUTED_VALUE"""),0)</f>
        <v>0</v>
      </c>
      <c r="H250"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I250" s="5">
        <f ca="1">IFERROR(__xludf.DUMMYFUNCTION("""COMPUTED_VALUE"""),10)</f>
        <v>10</v>
      </c>
      <c r="J250" s="5" t="str">
        <f ca="1">IFERROR(__xludf.DUMMYFUNCTION("""COMPUTED_VALUE"""),"Regional")</f>
        <v>Regional</v>
      </c>
      <c r="K250" s="5">
        <f ca="1">IFERROR(__xludf.DUMMYFUNCTION("""COMPUTED_VALUE"""),4)</f>
        <v>4</v>
      </c>
      <c r="L250" s="5" t="str">
        <f ca="1">IFERROR(__xludf.DUMMYFUNCTION("""COMPUTED_VALUE"""),"Fall")</f>
        <v>Fall</v>
      </c>
      <c r="M250" s="5" t="str">
        <f ca="1">IFERROR(__xludf.DUMMYFUNCTION("""COMPUTED_VALUE"""),"Chicago")</f>
        <v>Chicago</v>
      </c>
      <c r="N250" s="5" t="str">
        <f ca="1">IFERROR(__xludf.DUMMYFUNCTION("""COMPUTED_VALUE"""),"IL")</f>
        <v>IL</v>
      </c>
      <c r="O250" s="5" t="str">
        <f ca="1">IFERROR(__xludf.DUMMYFUNCTION("""COMPUTED_VALUE"""),"High")</f>
        <v>High</v>
      </c>
      <c r="P250" s="5" t="str">
        <f ca="1">IFERROR(__xludf.DUMMYFUNCTION("""COMPUTED_VALUE"""),"Entryway")</f>
        <v>Entryway</v>
      </c>
      <c r="Q250" s="5" t="str">
        <f ca="1">IFERROR(__xludf.DUMMYFUNCTION("""COMPUTED_VALUE"""),"Outside on School Property")</f>
        <v>Outside on School Property</v>
      </c>
      <c r="R250" s="5" t="str">
        <f ca="1">IFERROR(__xludf.DUMMYFUNCTION("""COMPUTED_VALUE"""),"Yes")</f>
        <v>Yes</v>
      </c>
      <c r="S250" s="5" t="str">
        <f ca="1">IFERROR(__xludf.DUMMYFUNCTION("""COMPUTED_VALUE"""),"Dismissal")</f>
        <v>Dismissal</v>
      </c>
      <c r="T250" s="10">
        <f ca="1">IFERROR(__xludf.DUMMYFUNCTION("""COMPUTED_VALUE"""),0.604166666666666)</f>
        <v>0.60416666666666596</v>
      </c>
      <c r="U250" s="5">
        <f ca="1">IFERROR(__xludf.DUMMYFUNCTION("""COMPUTED_VALUE"""),1)</f>
        <v>1</v>
      </c>
      <c r="V250" s="5" t="str">
        <f ca="1">IFERROR(__xludf.DUMMYFUNCTION("""COMPUTED_VALUE"""),"SRO and student shot multiple times when they exited school at dismissal")</f>
        <v>SRO and student shot multiple times when they exited school at dismissal</v>
      </c>
      <c r="W250"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X250" s="5"/>
      <c r="Y250" s="5" t="str">
        <f ca="1">IFERROR(__xludf.DUMMYFUNCTION("""COMPUTED_VALUE"""),"Both")</f>
        <v>Both</v>
      </c>
      <c r="Z250" s="5" t="str">
        <f ca="1">IFERROR(__xludf.DUMMYFUNCTION("""COMPUTED_VALUE"""),"No")</f>
        <v>No</v>
      </c>
      <c r="AA250" s="5"/>
      <c r="AB250" s="5" t="str">
        <f ca="1">IFERROR(__xludf.DUMMYFUNCTION("""COMPUTED_VALUE"""),"No")</f>
        <v>No</v>
      </c>
      <c r="AC250" s="5" t="str">
        <f ca="1">IFERROR(__xludf.DUMMYFUNCTION("""COMPUTED_VALUE"""),"No")</f>
        <v>No</v>
      </c>
      <c r="AD250" s="5" t="str">
        <f ca="1">IFERROR(__xludf.DUMMYFUNCTION("""COMPUTED_VALUE"""),"No")</f>
        <v>No</v>
      </c>
      <c r="AE250" s="5" t="str">
        <f ca="1">IFERROR(__xludf.DUMMYFUNCTION("""COMPUTED_VALUE"""),"No")</f>
        <v>No</v>
      </c>
      <c r="AF250" s="5" t="str">
        <f ca="1">IFERROR(__xludf.DUMMYFUNCTION("""COMPUTED_VALUE"""),"No")</f>
        <v>No</v>
      </c>
      <c r="AG250" s="5"/>
      <c r="AH250" s="5" t="str">
        <f ca="1">IFERROR(__xludf.DUMMYFUNCTION("""COMPUTED_VALUE"""),"No")</f>
        <v>No</v>
      </c>
    </row>
    <row r="251" spans="1:34" ht="12.75">
      <c r="A251" s="5" t="str">
        <f ca="1">IFERROR(__xludf.DUMMYFUNCTION("""COMPUTED_VALUE"""),"20211012ARLIL")</f>
        <v>20211012ARLIL</v>
      </c>
      <c r="B251" s="8">
        <f ca="1">IFERROR(__xludf.DUMMYFUNCTION("""COMPUTED_VALUE"""),44481)</f>
        <v>44481</v>
      </c>
      <c r="C251" s="5" t="str">
        <f ca="1">IFERROR(__xludf.DUMMYFUNCTION("""COMPUTED_VALUE"""),"Little Rock Central High School")</f>
        <v>Little Rock Central High School</v>
      </c>
      <c r="D251" s="5">
        <f ca="1">IFERROR(__xludf.DUMMYFUNCTION("""COMPUTED_VALUE"""),0)</f>
        <v>0</v>
      </c>
      <c r="E251" s="5">
        <f ca="1">IFERROR(__xludf.DUMMYFUNCTION("""COMPUTED_VALUE"""),0)</f>
        <v>0</v>
      </c>
      <c r="F251" s="5">
        <f ca="1">IFERROR(__xludf.DUMMYFUNCTION("""COMPUTED_VALUE"""),0)</f>
        <v>0</v>
      </c>
      <c r="G251" s="5">
        <f ca="1">IFERROR(__xludf.DUMMYFUNCTION("""COMPUTED_VALUE"""),0)</f>
        <v>0</v>
      </c>
      <c r="H251"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I251" s="5">
        <f ca="1">IFERROR(__xludf.DUMMYFUNCTION("""COMPUTED_VALUE"""),5)</f>
        <v>5</v>
      </c>
      <c r="J251" s="5" t="str">
        <f ca="1">IFERROR(__xludf.DUMMYFUNCTION("""COMPUTED_VALUE"""),"Local")</f>
        <v>Local</v>
      </c>
      <c r="K251" s="5">
        <f ca="1">IFERROR(__xludf.DUMMYFUNCTION("""COMPUTED_VALUE"""),4)</f>
        <v>4</v>
      </c>
      <c r="L251" s="5" t="str">
        <f ca="1">IFERROR(__xludf.DUMMYFUNCTION("""COMPUTED_VALUE"""),"Fall")</f>
        <v>Fall</v>
      </c>
      <c r="M251" s="5" t="str">
        <f ca="1">IFERROR(__xludf.DUMMYFUNCTION("""COMPUTED_VALUE"""),"Little Rock")</f>
        <v>Little Rock</v>
      </c>
      <c r="N251" s="5" t="str">
        <f ca="1">IFERROR(__xludf.DUMMYFUNCTION("""COMPUTED_VALUE"""),"AR")</f>
        <v>AR</v>
      </c>
      <c r="O251" s="5" t="str">
        <f ca="1">IFERROR(__xludf.DUMMYFUNCTION("""COMPUTED_VALUE"""),"High")</f>
        <v>High</v>
      </c>
      <c r="P251" s="5" t="str">
        <f ca="1">IFERROR(__xludf.DUMMYFUNCTION("""COMPUTED_VALUE"""),"Front of School")</f>
        <v>Front of School</v>
      </c>
      <c r="Q251" s="5" t="str">
        <f ca="1">IFERROR(__xludf.DUMMYFUNCTION("""COMPUTED_VALUE"""),"Outside on School Property")</f>
        <v>Outside on School Property</v>
      </c>
      <c r="R251" s="5" t="str">
        <f ca="1">IFERROR(__xludf.DUMMYFUNCTION("""COMPUTED_VALUE"""),"Yes")</f>
        <v>Yes</v>
      </c>
      <c r="S251" s="5" t="str">
        <f ca="1">IFERROR(__xludf.DUMMYFUNCTION("""COMPUTED_VALUE"""),"Morning Classes")</f>
        <v>Morning Classes</v>
      </c>
      <c r="T251" s="10">
        <f ca="1">IFERROR(__xludf.DUMMYFUNCTION("""COMPUTED_VALUE"""),0.493055555555555)</f>
        <v>0.49305555555555503</v>
      </c>
      <c r="U251" s="5">
        <f ca="1">IFERROR(__xludf.DUMMYFUNCTION("""COMPUTED_VALUE"""),1)</f>
        <v>1</v>
      </c>
      <c r="V251" s="5" t="str">
        <f ca="1">IFERROR(__xludf.DUMMYFUNCTION("""COMPUTED_VALUE"""),"Multiple bullets struck school and broke an occupied classroom window")</f>
        <v>Multiple bullets struck school and broke an occupied classroom window</v>
      </c>
      <c r="W251"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X251" s="5" t="str">
        <f ca="1">IFERROR(__xludf.DUMMYFUNCTION("""COMPUTED_VALUE"""),"Drive-by Shooting")</f>
        <v>Drive-by Shooting</v>
      </c>
      <c r="Y251" s="5" t="str">
        <f ca="1">IFERROR(__xludf.DUMMYFUNCTION("""COMPUTED_VALUE"""),"Random Shooting")</f>
        <v>Random Shooting</v>
      </c>
      <c r="Z251" s="5"/>
      <c r="AA251" s="5"/>
      <c r="AB251" s="5" t="str">
        <f ca="1">IFERROR(__xludf.DUMMYFUNCTION("""COMPUTED_VALUE"""),"No")</f>
        <v>No</v>
      </c>
      <c r="AC251" s="5" t="str">
        <f ca="1">IFERROR(__xludf.DUMMYFUNCTION("""COMPUTED_VALUE"""),"No")</f>
        <v>No</v>
      </c>
      <c r="AD251" s="5" t="str">
        <f ca="1">IFERROR(__xludf.DUMMYFUNCTION("""COMPUTED_VALUE"""),"No")</f>
        <v>No</v>
      </c>
      <c r="AE251" s="5" t="str">
        <f ca="1">IFERROR(__xludf.DUMMYFUNCTION("""COMPUTED_VALUE"""),"No")</f>
        <v>No</v>
      </c>
      <c r="AF251" s="5" t="str">
        <f ca="1">IFERROR(__xludf.DUMMYFUNCTION("""COMPUTED_VALUE"""),"No")</f>
        <v>No</v>
      </c>
      <c r="AG251" s="5"/>
      <c r="AH251" s="5" t="str">
        <f ca="1">IFERROR(__xludf.DUMMYFUNCTION("""COMPUTED_VALUE"""),"No")</f>
        <v>No</v>
      </c>
    </row>
    <row r="252" spans="1:34" ht="12.75">
      <c r="A252" s="5" t="str">
        <f ca="1">IFERROR(__xludf.DUMMYFUNCTION("""COMPUTED_VALUE"""),"20211011ORROP")</f>
        <v>20211011ORROP</v>
      </c>
      <c r="B252" s="8">
        <f ca="1">IFERROR(__xludf.DUMMYFUNCTION("""COMPUTED_VALUE"""),44480)</f>
        <v>44480</v>
      </c>
      <c r="C252" s="5" t="str">
        <f ca="1">IFERROR(__xludf.DUMMYFUNCTION("""COMPUTED_VALUE"""),"Rosemary Anderson High School")</f>
        <v>Rosemary Anderson High School</v>
      </c>
      <c r="D252" s="5">
        <f ca="1">IFERROR(__xludf.DUMMYFUNCTION("""COMPUTED_VALUE"""),0)</f>
        <v>0</v>
      </c>
      <c r="E252" s="5">
        <f ca="1">IFERROR(__xludf.DUMMYFUNCTION("""COMPUTED_VALUE"""),1)</f>
        <v>1</v>
      </c>
      <c r="F252" s="5">
        <f ca="1">IFERROR(__xludf.DUMMYFUNCTION("""COMPUTED_VALUE"""),1)</f>
        <v>1</v>
      </c>
      <c r="G252" s="5">
        <f ca="1">IFERROR(__xludf.DUMMYFUNCTION("""COMPUTED_VALUE"""),0)</f>
        <v>0</v>
      </c>
      <c r="H252"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I252" s="5">
        <f ca="1">IFERROR(__xludf.DUMMYFUNCTION("""COMPUTED_VALUE"""),2)</f>
        <v>2</v>
      </c>
      <c r="J252" s="5" t="str">
        <f ca="1">IFERROR(__xludf.DUMMYFUNCTION("""COMPUTED_VALUE"""),"Local")</f>
        <v>Local</v>
      </c>
      <c r="K252" s="5">
        <f ca="1">IFERROR(__xludf.DUMMYFUNCTION("""COMPUTED_VALUE"""),3)</f>
        <v>3</v>
      </c>
      <c r="L252" s="5" t="str">
        <f ca="1">IFERROR(__xludf.DUMMYFUNCTION("""COMPUTED_VALUE"""),"Fall")</f>
        <v>Fall</v>
      </c>
      <c r="M252" s="5" t="str">
        <f ca="1">IFERROR(__xludf.DUMMYFUNCTION("""COMPUTED_VALUE"""),"Portland")</f>
        <v>Portland</v>
      </c>
      <c r="N252" s="5" t="str">
        <f ca="1">IFERROR(__xludf.DUMMYFUNCTION("""COMPUTED_VALUE"""),"OR")</f>
        <v>OR</v>
      </c>
      <c r="O252" s="5" t="str">
        <f ca="1">IFERROR(__xludf.DUMMYFUNCTION("""COMPUTED_VALUE"""),"High")</f>
        <v>High</v>
      </c>
      <c r="P252" s="5" t="str">
        <f ca="1">IFERROR(__xludf.DUMMYFUNCTION("""COMPUTED_VALUE"""),"Off School Property")</f>
        <v>Off School Property</v>
      </c>
      <c r="Q252" s="5" t="str">
        <f ca="1">IFERROR(__xludf.DUMMYFUNCTION("""COMPUTED_VALUE"""),"Off School Property")</f>
        <v>Off School Property</v>
      </c>
      <c r="R252" s="5" t="str">
        <f ca="1">IFERROR(__xludf.DUMMYFUNCTION("""COMPUTED_VALUE"""),"Yes")</f>
        <v>Yes</v>
      </c>
      <c r="S252" s="5" t="str">
        <f ca="1">IFERROR(__xludf.DUMMYFUNCTION("""COMPUTED_VALUE"""),"Morning Classes")</f>
        <v>Morning Classes</v>
      </c>
      <c r="T252" s="10">
        <f ca="1">IFERROR(__xludf.DUMMYFUNCTION("""COMPUTED_VALUE"""),0.375)</f>
        <v>0.375</v>
      </c>
      <c r="U252" s="5">
        <f ca="1">IFERROR(__xludf.DUMMYFUNCTION("""COMPUTED_VALUE"""),1)</f>
        <v>1</v>
      </c>
      <c r="V252" s="5" t="str">
        <f ca="1">IFERROR(__xludf.DUMMYFUNCTION("""COMPUTED_VALUE"""),"Teen student was shot at shopping center, to school for assistance")</f>
        <v>Teen student was shot at shopping center, to school for assistance</v>
      </c>
      <c r="W252"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X252" s="5"/>
      <c r="Y252" s="5"/>
      <c r="Z252" s="5" t="str">
        <f ca="1">IFERROR(__xludf.DUMMYFUNCTION("""COMPUTED_VALUE"""),"No")</f>
        <v>No</v>
      </c>
      <c r="AA252" s="5"/>
      <c r="AB252" s="5" t="str">
        <f ca="1">IFERROR(__xludf.DUMMYFUNCTION("""COMPUTED_VALUE"""),"No")</f>
        <v>No</v>
      </c>
      <c r="AC252" s="5" t="str">
        <f ca="1">IFERROR(__xludf.DUMMYFUNCTION("""COMPUTED_VALUE"""),"No")</f>
        <v>No</v>
      </c>
      <c r="AD252" s="5" t="str">
        <f ca="1">IFERROR(__xludf.DUMMYFUNCTION("""COMPUTED_VALUE"""),"No")</f>
        <v>No</v>
      </c>
      <c r="AE252" s="5" t="str">
        <f ca="1">IFERROR(__xludf.DUMMYFUNCTION("""COMPUTED_VALUE"""),"No")</f>
        <v>No</v>
      </c>
      <c r="AF252" s="5" t="str">
        <f ca="1">IFERROR(__xludf.DUMMYFUNCTION("""COMPUTED_VALUE"""),"No")</f>
        <v>No</v>
      </c>
      <c r="AG252" s="5"/>
      <c r="AH252" s="5" t="str">
        <f ca="1">IFERROR(__xludf.DUMMYFUNCTION("""COMPUTED_VALUE"""),"No")</f>
        <v>No</v>
      </c>
    </row>
    <row r="253" spans="1:34" ht="12.75">
      <c r="A253" s="5" t="str">
        <f ca="1">IFERROR(__xludf.DUMMYFUNCTION("""COMPUTED_VALUE"""),"20211008OKCOC")</f>
        <v>20211008OKCOC</v>
      </c>
      <c r="B253" s="8">
        <f ca="1">IFERROR(__xludf.DUMMYFUNCTION("""COMPUTED_VALUE"""),44477)</f>
        <v>44477</v>
      </c>
      <c r="C253" s="5" t="str">
        <f ca="1">IFERROR(__xludf.DUMMYFUNCTION("""COMPUTED_VALUE"""),"Comanche Middle School")</f>
        <v>Comanche Middle School</v>
      </c>
      <c r="D253" s="5">
        <f ca="1">IFERROR(__xludf.DUMMYFUNCTION("""COMPUTED_VALUE"""),0)</f>
        <v>0</v>
      </c>
      <c r="E253" s="5">
        <f ca="1">IFERROR(__xludf.DUMMYFUNCTION("""COMPUTED_VALUE"""),0)</f>
        <v>0</v>
      </c>
      <c r="F253" s="5">
        <f ca="1">IFERROR(__xludf.DUMMYFUNCTION("""COMPUTED_VALUE"""),0)</f>
        <v>0</v>
      </c>
      <c r="G253" s="5">
        <f ca="1">IFERROR(__xludf.DUMMYFUNCTION("""COMPUTED_VALUE"""),0)</f>
        <v>0</v>
      </c>
      <c r="H253"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I253" s="5">
        <f ca="1">IFERROR(__xludf.DUMMYFUNCTION("""COMPUTED_VALUE"""),2)</f>
        <v>2</v>
      </c>
      <c r="J253" s="5" t="str">
        <f ca="1">IFERROR(__xludf.DUMMYFUNCTION("""COMPUTED_VALUE"""),"Local")</f>
        <v>Local</v>
      </c>
      <c r="K253" s="5">
        <f ca="1">IFERROR(__xludf.DUMMYFUNCTION("""COMPUTED_VALUE"""),4)</f>
        <v>4</v>
      </c>
      <c r="L253" s="5" t="str">
        <f ca="1">IFERROR(__xludf.DUMMYFUNCTION("""COMPUTED_VALUE"""),"Fall")</f>
        <v>Fall</v>
      </c>
      <c r="M253" s="5" t="str">
        <f ca="1">IFERROR(__xludf.DUMMYFUNCTION("""COMPUTED_VALUE"""),"Comanche")</f>
        <v>Comanche</v>
      </c>
      <c r="N253" s="5" t="str">
        <f ca="1">IFERROR(__xludf.DUMMYFUNCTION("""COMPUTED_VALUE"""),"OK")</f>
        <v>OK</v>
      </c>
      <c r="O253" s="5" t="str">
        <f ca="1">IFERROR(__xludf.DUMMYFUNCTION("""COMPUTED_VALUE"""),"Middle")</f>
        <v>Middle</v>
      </c>
      <c r="P253" s="5" t="str">
        <f ca="1">IFERROR(__xludf.DUMMYFUNCTION("""COMPUTED_VALUE"""),"Cafeteria")</f>
        <v>Cafeteria</v>
      </c>
      <c r="Q253" s="5" t="str">
        <f ca="1">IFERROR(__xludf.DUMMYFUNCTION("""COMPUTED_VALUE"""),"Outside on School Property")</f>
        <v>Outside on School Property</v>
      </c>
      <c r="R253" s="5" t="str">
        <f ca="1">IFERROR(__xludf.DUMMYFUNCTION("""COMPUTED_VALUE"""),"No")</f>
        <v>No</v>
      </c>
      <c r="S253" s="5" t="str">
        <f ca="1">IFERROR(__xludf.DUMMYFUNCTION("""COMPUTED_VALUE"""),"After School")</f>
        <v>After School</v>
      </c>
      <c r="T253" s="10">
        <f ca="1">IFERROR(__xludf.DUMMYFUNCTION("""COMPUTED_VALUE"""),0.6875)</f>
        <v>0.6875</v>
      </c>
      <c r="U253" s="5">
        <f ca="1">IFERROR(__xludf.DUMMYFUNCTION("""COMPUTED_VALUE"""),1)</f>
        <v>1</v>
      </c>
      <c r="V253" s="5" t="str">
        <f ca="1">IFERROR(__xludf.DUMMYFUNCTION("""COMPUTED_VALUE"""),"Student shot out glass door to cafeteria, staff member was inside")</f>
        <v>Student shot out glass door to cafeteria, staff member was inside</v>
      </c>
      <c r="W253"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X253" s="5"/>
      <c r="Y253" s="5" t="str">
        <f ca="1">IFERROR(__xludf.DUMMYFUNCTION("""COMPUTED_VALUE"""),"Random Shooting")</f>
        <v>Random Shooting</v>
      </c>
      <c r="Z253" s="5" t="str">
        <f ca="1">IFERROR(__xludf.DUMMYFUNCTION("""COMPUTED_VALUE"""),"No")</f>
        <v>No</v>
      </c>
      <c r="AA253" s="5"/>
      <c r="AB253" s="5" t="str">
        <f ca="1">IFERROR(__xludf.DUMMYFUNCTION("""COMPUTED_VALUE"""),"No")</f>
        <v>No</v>
      </c>
      <c r="AC253" s="5" t="str">
        <f ca="1">IFERROR(__xludf.DUMMYFUNCTION("""COMPUTED_VALUE"""),"No")</f>
        <v>No</v>
      </c>
      <c r="AD253" s="5" t="str">
        <f ca="1">IFERROR(__xludf.DUMMYFUNCTION("""COMPUTED_VALUE"""),"No")</f>
        <v>No</v>
      </c>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row>
    <row r="254" spans="1:34" ht="12.75">
      <c r="A254" s="5" t="str">
        <f ca="1">IFERROR(__xludf.DUMMYFUNCTION("""COMPUTED_VALUE"""),"20211007TXEAW")</f>
        <v>20211007TXEAW</v>
      </c>
      <c r="B254" s="8">
        <f ca="1">IFERROR(__xludf.DUMMYFUNCTION("""COMPUTED_VALUE"""),44476)</f>
        <v>44476</v>
      </c>
      <c r="C254" s="5" t="str">
        <f ca="1">IFERROR(__xludf.DUMMYFUNCTION("""COMPUTED_VALUE"""),"East Chambers High School")</f>
        <v>East Chambers High School</v>
      </c>
      <c r="D254" s="5">
        <f ca="1">IFERROR(__xludf.DUMMYFUNCTION("""COMPUTED_VALUE"""),0)</f>
        <v>0</v>
      </c>
      <c r="E254" s="5">
        <f ca="1">IFERROR(__xludf.DUMMYFUNCTION("""COMPUTED_VALUE"""),1)</f>
        <v>1</v>
      </c>
      <c r="F254" s="5">
        <f ca="1">IFERROR(__xludf.DUMMYFUNCTION("""COMPUTED_VALUE"""),1)</f>
        <v>1</v>
      </c>
      <c r="G254" s="5">
        <f ca="1">IFERROR(__xludf.DUMMYFUNCTION("""COMPUTED_VALUE"""),0)</f>
        <v>0</v>
      </c>
      <c r="H254"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I254" s="5">
        <f ca="1">IFERROR(__xludf.DUMMYFUNCTION("""COMPUTED_VALUE"""),2)</f>
        <v>2</v>
      </c>
      <c r="J254" s="5" t="str">
        <f ca="1">IFERROR(__xludf.DUMMYFUNCTION("""COMPUTED_VALUE"""),"Local")</f>
        <v>Local</v>
      </c>
      <c r="K254" s="5">
        <f ca="1">IFERROR(__xludf.DUMMYFUNCTION("""COMPUTED_VALUE"""),4)</f>
        <v>4</v>
      </c>
      <c r="L254" s="5" t="str">
        <f ca="1">IFERROR(__xludf.DUMMYFUNCTION("""COMPUTED_VALUE"""),"Fall")</f>
        <v>Fall</v>
      </c>
      <c r="M254" s="5" t="str">
        <f ca="1">IFERROR(__xludf.DUMMYFUNCTION("""COMPUTED_VALUE"""),"Winnie")</f>
        <v>Winnie</v>
      </c>
      <c r="N254" s="5" t="str">
        <f ca="1">IFERROR(__xludf.DUMMYFUNCTION("""COMPUTED_VALUE"""),"TX")</f>
        <v>TX</v>
      </c>
      <c r="O254" s="5" t="str">
        <f ca="1">IFERROR(__xludf.DUMMYFUNCTION("""COMPUTED_VALUE"""),"High")</f>
        <v>High</v>
      </c>
      <c r="P254" s="5" t="str">
        <f ca="1">IFERROR(__xludf.DUMMYFUNCTION("""COMPUTED_VALUE"""),"Football Field/Track")</f>
        <v>Football Field/Track</v>
      </c>
      <c r="Q254" s="5" t="str">
        <f ca="1">IFERROR(__xludf.DUMMYFUNCTION("""COMPUTED_VALUE"""),"Outside on School Property")</f>
        <v>Outside on School Property</v>
      </c>
      <c r="R254" s="5" t="str">
        <f ca="1">IFERROR(__xludf.DUMMYFUNCTION("""COMPUTED_VALUE"""),"No")</f>
        <v>No</v>
      </c>
      <c r="S254" s="5" t="str">
        <f ca="1">IFERROR(__xludf.DUMMYFUNCTION("""COMPUTED_VALUE"""),"Sport Event")</f>
        <v>Sport Event</v>
      </c>
      <c r="T254" s="10">
        <f ca="1">IFERROR(__xludf.DUMMYFUNCTION("""COMPUTED_VALUE"""),0.833333333333333)</f>
        <v>0.83333333333333304</v>
      </c>
      <c r="U254" s="5">
        <f ca="1">IFERROR(__xludf.DUMMYFUNCTION("""COMPUTED_VALUE"""),1)</f>
        <v>1</v>
      </c>
      <c r="V254" s="5" t="str">
        <f ca="1">IFERROR(__xludf.DUMMYFUNCTION("""COMPUTED_VALUE"""),"Teen girl hit by stray bullet")</f>
        <v>Teen girl hit by stray bullet</v>
      </c>
      <c r="W254"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X254" s="5" t="str">
        <f ca="1">IFERROR(__xludf.DUMMYFUNCTION("""COMPUTED_VALUE"""),"Accidental")</f>
        <v>Accidental</v>
      </c>
      <c r="Y254" s="5" t="str">
        <f ca="1">IFERROR(__xludf.DUMMYFUNCTION("""COMPUTED_VALUE"""),"Random Shooting")</f>
        <v>Random Shooting</v>
      </c>
      <c r="Z254" s="5" t="str">
        <f ca="1">IFERROR(__xludf.DUMMYFUNCTION("""COMPUTED_VALUE"""),"No")</f>
        <v>No</v>
      </c>
      <c r="AA254" s="5"/>
      <c r="AB254" s="5" t="str">
        <f ca="1">IFERROR(__xludf.DUMMYFUNCTION("""COMPUTED_VALUE"""),"No")</f>
        <v>No</v>
      </c>
      <c r="AC254" s="5" t="str">
        <f ca="1">IFERROR(__xludf.DUMMYFUNCTION("""COMPUTED_VALUE"""),"No")</f>
        <v>No</v>
      </c>
      <c r="AD254" s="5" t="str">
        <f ca="1">IFERROR(__xludf.DUMMYFUNCTION("""COMPUTED_VALUE"""),"No")</f>
        <v>No</v>
      </c>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row>
    <row r="255" spans="1:34" ht="12.75">
      <c r="A255" s="5" t="str">
        <f ca="1">IFERROR(__xludf.DUMMYFUNCTION("""COMPUTED_VALUE"""),"20211007PAANP")</f>
        <v>20211007PAANP</v>
      </c>
      <c r="B255" s="8">
        <f ca="1">IFERROR(__xludf.DUMMYFUNCTION("""COMPUTED_VALUE"""),44476)</f>
        <v>44476</v>
      </c>
      <c r="C255" s="5" t="str">
        <f ca="1">IFERROR(__xludf.DUMMYFUNCTION("""COMPUTED_VALUE"""),"Antonia Pantoja Charter School")</f>
        <v>Antonia Pantoja Charter School</v>
      </c>
      <c r="D255" s="5">
        <f ca="1">IFERROR(__xludf.DUMMYFUNCTION("""COMPUTED_VALUE"""),0)</f>
        <v>0</v>
      </c>
      <c r="E255" s="5">
        <f ca="1">IFERROR(__xludf.DUMMYFUNCTION("""COMPUTED_VALUE"""),0)</f>
        <v>0</v>
      </c>
      <c r="F255" s="5">
        <f ca="1">IFERROR(__xludf.DUMMYFUNCTION("""COMPUTED_VALUE"""),0)</f>
        <v>0</v>
      </c>
      <c r="G255" s="5">
        <f ca="1">IFERROR(__xludf.DUMMYFUNCTION("""COMPUTED_VALUE"""),0)</f>
        <v>0</v>
      </c>
      <c r="H255"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I255" s="5">
        <f ca="1">IFERROR(__xludf.DUMMYFUNCTION("""COMPUTED_VALUE"""),4)</f>
        <v>4</v>
      </c>
      <c r="J255" s="5" t="str">
        <f ca="1">IFERROR(__xludf.DUMMYFUNCTION("""COMPUTED_VALUE"""),"Local")</f>
        <v>Local</v>
      </c>
      <c r="K255" s="5">
        <f ca="1">IFERROR(__xludf.DUMMYFUNCTION("""COMPUTED_VALUE"""),4)</f>
        <v>4</v>
      </c>
      <c r="L255" s="5" t="str">
        <f ca="1">IFERROR(__xludf.DUMMYFUNCTION("""COMPUTED_VALUE"""),"Fall")</f>
        <v>Fall</v>
      </c>
      <c r="M255" s="5" t="str">
        <f ca="1">IFERROR(__xludf.DUMMYFUNCTION("""COMPUTED_VALUE"""),"Philadelphia")</f>
        <v>Philadelphia</v>
      </c>
      <c r="N255" s="5" t="str">
        <f ca="1">IFERROR(__xludf.DUMMYFUNCTION("""COMPUTED_VALUE"""),"PA")</f>
        <v>PA</v>
      </c>
      <c r="O255" s="5" t="str">
        <f ca="1">IFERROR(__xludf.DUMMYFUNCTION("""COMPUTED_VALUE"""),"K-8")</f>
        <v>K-8</v>
      </c>
      <c r="P255" s="5" t="str">
        <f ca="1">IFERROR(__xludf.DUMMYFUNCTION("""COMPUTED_VALUE"""),"Cafeteria")</f>
        <v>Cafeteria</v>
      </c>
      <c r="Q255" s="5" t="str">
        <f ca="1">IFERROR(__xludf.DUMMYFUNCTION("""COMPUTED_VALUE"""),"Both Inside/Outside")</f>
        <v>Both Inside/Outside</v>
      </c>
      <c r="R255" s="5" t="str">
        <f ca="1">IFERROR(__xludf.DUMMYFUNCTION("""COMPUTED_VALUE"""),"No")</f>
        <v>No</v>
      </c>
      <c r="S255" s="5" t="str">
        <f ca="1">IFERROR(__xludf.DUMMYFUNCTION("""COMPUTED_VALUE"""),"Night")</f>
        <v>Night</v>
      </c>
      <c r="T255" s="5"/>
      <c r="U255" s="5">
        <f ca="1">IFERROR(__xludf.DUMMYFUNCTION("""COMPUTED_VALUE"""),1)</f>
        <v>1</v>
      </c>
      <c r="V255" s="5" t="str">
        <f ca="1">IFERROR(__xludf.DUMMYFUNCTION("""COMPUTED_VALUE"""),"Multiple shots broke windows of the cafeteria, bullets found inside")</f>
        <v>Multiple shots broke windows of the cafeteria, bullets found inside</v>
      </c>
      <c r="W255"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X255" s="5" t="str">
        <f ca="1">IFERROR(__xludf.DUMMYFUNCTION("""COMPUTED_VALUE"""),"Intentional Property Damage")</f>
        <v>Intentional Property Damage</v>
      </c>
      <c r="Y255" s="5" t="str">
        <f ca="1">IFERROR(__xludf.DUMMYFUNCTION("""COMPUTED_VALUE"""),"Neither")</f>
        <v>Neither</v>
      </c>
      <c r="Z255" s="5"/>
      <c r="AA255" s="5"/>
      <c r="AB255" s="5" t="str">
        <f ca="1">IFERROR(__xludf.DUMMYFUNCTION("""COMPUTED_VALUE"""),"No")</f>
        <v>No</v>
      </c>
      <c r="AC255" s="5" t="str">
        <f ca="1">IFERROR(__xludf.DUMMYFUNCTION("""COMPUTED_VALUE"""),"No")</f>
        <v>No</v>
      </c>
      <c r="AD255" s="5" t="str">
        <f ca="1">IFERROR(__xludf.DUMMYFUNCTION("""COMPUTED_VALUE"""),"No")</f>
        <v>No</v>
      </c>
      <c r="AE255" s="5" t="str">
        <f ca="1">IFERROR(__xludf.DUMMYFUNCTION("""COMPUTED_VALUE"""),"No")</f>
        <v>No</v>
      </c>
      <c r="AF255" s="5" t="str">
        <f ca="1">IFERROR(__xludf.DUMMYFUNCTION("""COMPUTED_VALUE"""),"No")</f>
        <v>No</v>
      </c>
      <c r="AG255" s="5"/>
      <c r="AH255" s="5" t="str">
        <f ca="1">IFERROR(__xludf.DUMMYFUNCTION("""COMPUTED_VALUE"""),"No")</f>
        <v>No</v>
      </c>
    </row>
    <row r="256" spans="1:34" ht="12.75">
      <c r="A256" s="5" t="str">
        <f ca="1">IFERROR(__xludf.DUMMYFUNCTION("""COMPUTED_VALUE"""),"20211007NCEAD")</f>
        <v>20211007NCEAD</v>
      </c>
      <c r="B256" s="8">
        <f ca="1">IFERROR(__xludf.DUMMYFUNCTION("""COMPUTED_VALUE"""),44476)</f>
        <v>44476</v>
      </c>
      <c r="C256" s="5" t="str">
        <f ca="1">IFERROR(__xludf.DUMMYFUNCTION("""COMPUTED_VALUE"""),"Eastway Elementary School")</f>
        <v>Eastway Elementary School</v>
      </c>
      <c r="D256" s="5">
        <f ca="1">IFERROR(__xludf.DUMMYFUNCTION("""COMPUTED_VALUE"""),0)</f>
        <v>0</v>
      </c>
      <c r="E256" s="5">
        <f ca="1">IFERROR(__xludf.DUMMYFUNCTION("""COMPUTED_VALUE"""),0)</f>
        <v>0</v>
      </c>
      <c r="F256" s="5">
        <f ca="1">IFERROR(__xludf.DUMMYFUNCTION("""COMPUTED_VALUE"""),0)</f>
        <v>0</v>
      </c>
      <c r="G256" s="5">
        <f ca="1">IFERROR(__xludf.DUMMYFUNCTION("""COMPUTED_VALUE"""),1)</f>
        <v>1</v>
      </c>
      <c r="H256"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I256" s="5">
        <f ca="1">IFERROR(__xludf.DUMMYFUNCTION("""COMPUTED_VALUE"""),10)</f>
        <v>10</v>
      </c>
      <c r="J256" s="5" t="str">
        <f ca="1">IFERROR(__xludf.DUMMYFUNCTION("""COMPUTED_VALUE"""),"Regional")</f>
        <v>Regional</v>
      </c>
      <c r="K256" s="5">
        <f ca="1">IFERROR(__xludf.DUMMYFUNCTION("""COMPUTED_VALUE"""),4)</f>
        <v>4</v>
      </c>
      <c r="L256" s="5" t="str">
        <f ca="1">IFERROR(__xludf.DUMMYFUNCTION("""COMPUTED_VALUE"""),"Fall")</f>
        <v>Fall</v>
      </c>
      <c r="M256" s="5" t="str">
        <f ca="1">IFERROR(__xludf.DUMMYFUNCTION("""COMPUTED_VALUE"""),"Durham")</f>
        <v>Durham</v>
      </c>
      <c r="N256" s="5" t="str">
        <f ca="1">IFERROR(__xludf.DUMMYFUNCTION("""COMPUTED_VALUE"""),"NC")</f>
        <v>NC</v>
      </c>
      <c r="O256" s="5" t="str">
        <f ca="1">IFERROR(__xludf.DUMMYFUNCTION("""COMPUTED_VALUE"""),"Elementary")</f>
        <v>Elementary</v>
      </c>
      <c r="P256" s="5" t="str">
        <f ca="1">IFERROR(__xludf.DUMMYFUNCTION("""COMPUTED_VALUE"""),"Parking Lot")</f>
        <v>Parking Lot</v>
      </c>
      <c r="Q256" s="5" t="str">
        <f ca="1">IFERROR(__xludf.DUMMYFUNCTION("""COMPUTED_VALUE"""),"Outside on School Property")</f>
        <v>Outside on School Property</v>
      </c>
      <c r="R256" s="5" t="str">
        <f ca="1">IFERROR(__xludf.DUMMYFUNCTION("""COMPUTED_VALUE"""),"No")</f>
        <v>No</v>
      </c>
      <c r="S256" s="5" t="str">
        <f ca="1">IFERROR(__xludf.DUMMYFUNCTION("""COMPUTED_VALUE"""),"After School")</f>
        <v>After School</v>
      </c>
      <c r="T256" s="10">
        <f ca="1">IFERROR(__xludf.DUMMYFUNCTION("""COMPUTED_VALUE"""),0.6875)</f>
        <v>0.6875</v>
      </c>
      <c r="U256" s="5">
        <f ca="1">IFERROR(__xludf.DUMMYFUNCTION("""COMPUTED_VALUE"""),1)</f>
        <v>1</v>
      </c>
      <c r="V256" s="5" t="str">
        <f ca="1">IFERROR(__xludf.DUMMYFUNCTION("""COMPUTED_VALUE"""),"Man found dead in vehicle in the school parking lot")</f>
        <v>Man found dead in vehicle in the school parking lot</v>
      </c>
      <c r="W256"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X256" s="5" t="str">
        <f ca="1">IFERROR(__xludf.DUMMYFUNCTION("""COMPUTED_VALUE"""),"Suicide/Attempted")</f>
        <v>Suicide/Attempted</v>
      </c>
      <c r="Y256" s="5" t="str">
        <f ca="1">IFERROR(__xludf.DUMMYFUNCTION("""COMPUTED_VALUE"""),"Victims Targeted")</f>
        <v>Victims Targeted</v>
      </c>
      <c r="Z256" s="5" t="str">
        <f ca="1">IFERROR(__xludf.DUMMYFUNCTION("""COMPUTED_VALUE"""),"No")</f>
        <v>No</v>
      </c>
      <c r="AA256" s="5"/>
      <c r="AB256" s="5" t="str">
        <f ca="1">IFERROR(__xludf.DUMMYFUNCTION("""COMPUTED_VALUE"""),"No")</f>
        <v>No</v>
      </c>
      <c r="AC256" s="5" t="str">
        <f ca="1">IFERROR(__xludf.DUMMYFUNCTION("""COMPUTED_VALUE"""),"No")</f>
        <v>No</v>
      </c>
      <c r="AD256" s="5" t="str">
        <f ca="1">IFERROR(__xludf.DUMMYFUNCTION("""COMPUTED_VALUE"""),"No")</f>
        <v>No</v>
      </c>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row>
    <row r="257" spans="1:34" ht="12.75">
      <c r="A257" s="5" t="str">
        <f ca="1">IFERROR(__xludf.DUMMYFUNCTION("""COMPUTED_VALUE"""),"20211007DCWAW")</f>
        <v>20211007DCWAW</v>
      </c>
      <c r="B257" s="8">
        <f ca="1">IFERROR(__xludf.DUMMYFUNCTION("""COMPUTED_VALUE"""),44476)</f>
        <v>44476</v>
      </c>
      <c r="C257" s="5" t="str">
        <f ca="1">IFERROR(__xludf.DUMMYFUNCTION("""COMPUTED_VALUE"""),"Walkins Elementary School")</f>
        <v>Walkins Elementary School</v>
      </c>
      <c r="D257" s="5">
        <f ca="1">IFERROR(__xludf.DUMMYFUNCTION("""COMPUTED_VALUE"""),1)</f>
        <v>1</v>
      </c>
      <c r="E257" s="5">
        <f ca="1">IFERROR(__xludf.DUMMYFUNCTION("""COMPUTED_VALUE"""),0)</f>
        <v>0</v>
      </c>
      <c r="F257" s="5">
        <f ca="1">IFERROR(__xludf.DUMMYFUNCTION("""COMPUTED_VALUE"""),1)</f>
        <v>1</v>
      </c>
      <c r="G257" s="5">
        <f ca="1">IFERROR(__xludf.DUMMYFUNCTION("""COMPUTED_VALUE"""),0)</f>
        <v>0</v>
      </c>
      <c r="H257"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I257" s="5">
        <f ca="1">IFERROR(__xludf.DUMMYFUNCTION("""COMPUTED_VALUE"""),3)</f>
        <v>3</v>
      </c>
      <c r="J257" s="5" t="str">
        <f ca="1">IFERROR(__xludf.DUMMYFUNCTION("""COMPUTED_VALUE"""),"Local")</f>
        <v>Local</v>
      </c>
      <c r="K257" s="5">
        <f ca="1">IFERROR(__xludf.DUMMYFUNCTION("""COMPUTED_VALUE"""),4)</f>
        <v>4</v>
      </c>
      <c r="L257" s="5" t="str">
        <f ca="1">IFERROR(__xludf.DUMMYFUNCTION("""COMPUTED_VALUE"""),"Fall")</f>
        <v>Fall</v>
      </c>
      <c r="M257" s="5" t="str">
        <f ca="1">IFERROR(__xludf.DUMMYFUNCTION("""COMPUTED_VALUE"""),"Washington")</f>
        <v>Washington</v>
      </c>
      <c r="N257" s="5" t="str">
        <f ca="1">IFERROR(__xludf.DUMMYFUNCTION("""COMPUTED_VALUE"""),"DC")</f>
        <v>DC</v>
      </c>
      <c r="O257" s="5" t="str">
        <f ca="1">IFERROR(__xludf.DUMMYFUNCTION("""COMPUTED_VALUE"""),"Elementary")</f>
        <v>Elementary</v>
      </c>
      <c r="P257" s="5" t="str">
        <f ca="1">IFERROR(__xludf.DUMMYFUNCTION("""COMPUTED_VALUE"""),"Football Field/Track")</f>
        <v>Football Field/Track</v>
      </c>
      <c r="Q257" s="5" t="str">
        <f ca="1">IFERROR(__xludf.DUMMYFUNCTION("""COMPUTED_VALUE"""),"Outside on School Property")</f>
        <v>Outside on School Property</v>
      </c>
      <c r="R257" s="5" t="str">
        <f ca="1">IFERROR(__xludf.DUMMYFUNCTION("""COMPUTED_VALUE"""),"No")</f>
        <v>No</v>
      </c>
      <c r="S257" s="5" t="str">
        <f ca="1">IFERROR(__xludf.DUMMYFUNCTION("""COMPUTED_VALUE"""),"Sport Event")</f>
        <v>Sport Event</v>
      </c>
      <c r="T257" s="10">
        <f ca="1">IFERROR(__xludf.DUMMYFUNCTION("""COMPUTED_VALUE"""),0.907638888888888)</f>
        <v>0.907638888888888</v>
      </c>
      <c r="U257" s="5">
        <f ca="1">IFERROR(__xludf.DUMMYFUNCTION("""COMPUTED_VALUE"""),1)</f>
        <v>1</v>
      </c>
      <c r="V257" s="5" t="str">
        <f ca="1">IFERROR(__xludf.DUMMYFUNCTION("""COMPUTED_VALUE"""),"Man shot following flag football game")</f>
        <v>Man shot following flag football game</v>
      </c>
      <c r="W257"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X257" s="5" t="str">
        <f ca="1">IFERROR(__xludf.DUMMYFUNCTION("""COMPUTED_VALUE"""),"Escalation of Dispute")</f>
        <v>Escalation of Dispute</v>
      </c>
      <c r="Y257" s="5" t="str">
        <f ca="1">IFERROR(__xludf.DUMMYFUNCTION("""COMPUTED_VALUE"""),"Victims Targeted")</f>
        <v>Victims Targeted</v>
      </c>
      <c r="Z257" s="5"/>
      <c r="AA257" s="5"/>
      <c r="AB257" s="5" t="str">
        <f ca="1">IFERROR(__xludf.DUMMYFUNCTION("""COMPUTED_VALUE"""),"No")</f>
        <v>No</v>
      </c>
      <c r="AC257" s="5" t="str">
        <f ca="1">IFERROR(__xludf.DUMMYFUNCTION("""COMPUTED_VALUE"""),"No")</f>
        <v>No</v>
      </c>
      <c r="AD257" s="5" t="str">
        <f ca="1">IFERROR(__xludf.DUMMYFUNCTION("""COMPUTED_VALUE"""),"No")</f>
        <v>No</v>
      </c>
      <c r="AE257" s="5" t="str">
        <f ca="1">IFERROR(__xludf.DUMMYFUNCTION("""COMPUTED_VALUE"""),"No")</f>
        <v>No</v>
      </c>
      <c r="AF257" s="5" t="str">
        <f ca="1">IFERROR(__xludf.DUMMYFUNCTION("""COMPUTED_VALUE"""),"No")</f>
        <v>No</v>
      </c>
      <c r="AG257" s="5"/>
      <c r="AH257" s="5" t="str">
        <f ca="1">IFERROR(__xludf.DUMMYFUNCTION("""COMPUTED_VALUE"""),"No")</f>
        <v>No</v>
      </c>
    </row>
    <row r="258" spans="1:34" ht="12.75">
      <c r="A258" s="5" t="str">
        <f ca="1">IFERROR(__xludf.DUMMYFUNCTION("""COMPUTED_VALUE"""),"20211006TXTIA")</f>
        <v>20211006TXTIA</v>
      </c>
      <c r="B258" s="8">
        <f ca="1">IFERROR(__xludf.DUMMYFUNCTION("""COMPUTED_VALUE"""),44475)</f>
        <v>44475</v>
      </c>
      <c r="C258" s="5" t="str">
        <f ca="1">IFERROR(__xludf.DUMMYFUNCTION("""COMPUTED_VALUE"""),"Timberview High School")</f>
        <v>Timberview High School</v>
      </c>
      <c r="D258" s="5">
        <f ca="1">IFERROR(__xludf.DUMMYFUNCTION("""COMPUTED_VALUE"""),0)</f>
        <v>0</v>
      </c>
      <c r="E258" s="5">
        <f ca="1">IFERROR(__xludf.DUMMYFUNCTION("""COMPUTED_VALUE"""),3)</f>
        <v>3</v>
      </c>
      <c r="F258" s="5">
        <f ca="1">IFERROR(__xludf.DUMMYFUNCTION("""COMPUTED_VALUE"""),3)</f>
        <v>3</v>
      </c>
      <c r="G258" s="5">
        <f ca="1">IFERROR(__xludf.DUMMYFUNCTION("""COMPUTED_VALUE"""),0)</f>
        <v>0</v>
      </c>
      <c r="H258"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I258" s="5">
        <f ca="1">IFERROR(__xludf.DUMMYFUNCTION("""COMPUTED_VALUE"""),999)</f>
        <v>999</v>
      </c>
      <c r="J258" s="5" t="str">
        <f ca="1">IFERROR(__xludf.DUMMYFUNCTION("""COMPUTED_VALUE"""),"International")</f>
        <v>International</v>
      </c>
      <c r="K258" s="5">
        <f ca="1">IFERROR(__xludf.DUMMYFUNCTION("""COMPUTED_VALUE"""),4)</f>
        <v>4</v>
      </c>
      <c r="L258" s="5" t="str">
        <f ca="1">IFERROR(__xludf.DUMMYFUNCTION("""COMPUTED_VALUE"""),"Fall")</f>
        <v>Fall</v>
      </c>
      <c r="M258" s="5" t="str">
        <f ca="1">IFERROR(__xludf.DUMMYFUNCTION("""COMPUTED_VALUE"""),"Arlington")</f>
        <v>Arlington</v>
      </c>
      <c r="N258" s="5" t="str">
        <f ca="1">IFERROR(__xludf.DUMMYFUNCTION("""COMPUTED_VALUE"""),"TX")</f>
        <v>TX</v>
      </c>
      <c r="O258" s="5" t="str">
        <f ca="1">IFERROR(__xludf.DUMMYFUNCTION("""COMPUTED_VALUE"""),"High")</f>
        <v>High</v>
      </c>
      <c r="P258" s="5" t="str">
        <f ca="1">IFERROR(__xludf.DUMMYFUNCTION("""COMPUTED_VALUE"""),"Classroom")</f>
        <v>Classroom</v>
      </c>
      <c r="Q258" s="5" t="str">
        <f ca="1">IFERROR(__xludf.DUMMYFUNCTION("""COMPUTED_VALUE"""),"Inside School Building")</f>
        <v>Inside School Building</v>
      </c>
      <c r="R258" s="5" t="str">
        <f ca="1">IFERROR(__xludf.DUMMYFUNCTION("""COMPUTED_VALUE"""),"Yes")</f>
        <v>Yes</v>
      </c>
      <c r="S258" s="5" t="str">
        <f ca="1">IFERROR(__xludf.DUMMYFUNCTION("""COMPUTED_VALUE"""),"Morning Classes")</f>
        <v>Morning Classes</v>
      </c>
      <c r="T258" s="10">
        <f ca="1">IFERROR(__xludf.DUMMYFUNCTION("""COMPUTED_VALUE"""),0.385416666666666)</f>
        <v>0.38541666666666602</v>
      </c>
      <c r="U258" s="5">
        <f ca="1">IFERROR(__xludf.DUMMYFUNCTION("""COMPUTED_VALUE"""),1)</f>
        <v>1</v>
      </c>
      <c r="V258" s="5" t="str">
        <f ca="1">IFERROR(__xludf.DUMMYFUNCTION("""COMPUTED_VALUE"""),"Shots fired during fight inside a classroom")</f>
        <v>Shots fired during fight inside a classroom</v>
      </c>
      <c r="W258"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X258" s="5" t="str">
        <f ca="1">IFERROR(__xludf.DUMMYFUNCTION("""COMPUTED_VALUE"""),"Escalation of Dispute")</f>
        <v>Escalation of Dispute</v>
      </c>
      <c r="Y258" s="5" t="str">
        <f ca="1">IFERROR(__xludf.DUMMYFUNCTION("""COMPUTED_VALUE"""),"Both")</f>
        <v>Both</v>
      </c>
      <c r="Z258" s="5" t="str">
        <f ca="1">IFERROR(__xludf.DUMMYFUNCTION("""COMPUTED_VALUE"""),"No")</f>
        <v>No</v>
      </c>
      <c r="AA258" s="5"/>
      <c r="AB258" s="5" t="str">
        <f ca="1">IFERROR(__xludf.DUMMYFUNCTION("""COMPUTED_VALUE"""),"No")</f>
        <v>No</v>
      </c>
      <c r="AC258" s="5" t="str">
        <f ca="1">IFERROR(__xludf.DUMMYFUNCTION("""COMPUTED_VALUE"""),"No")</f>
        <v>No</v>
      </c>
      <c r="AD258" s="5" t="str">
        <f ca="1">IFERROR(__xludf.DUMMYFUNCTION("""COMPUTED_VALUE"""),"No")</f>
        <v>No</v>
      </c>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row>
    <row r="259" spans="1:34" ht="12.75">
      <c r="A259" s="5" t="str">
        <f ca="1">IFERROR(__xludf.DUMMYFUNCTION("""COMPUTED_VALUE"""),"20211005NDHEH")</f>
        <v>20211005NDHEH</v>
      </c>
      <c r="B259" s="8">
        <f ca="1">IFERROR(__xludf.DUMMYFUNCTION("""COMPUTED_VALUE"""),44474)</f>
        <v>44474</v>
      </c>
      <c r="C259" s="5" t="str">
        <f ca="1">IFERROR(__xludf.DUMMYFUNCTION("""COMPUTED_VALUE"""),"Hettinger Public School")</f>
        <v>Hettinger Public School</v>
      </c>
      <c r="D259" s="5">
        <f ca="1">IFERROR(__xludf.DUMMYFUNCTION("""COMPUTED_VALUE"""),0)</f>
        <v>0</v>
      </c>
      <c r="E259" s="5">
        <f ca="1">IFERROR(__xludf.DUMMYFUNCTION("""COMPUTED_VALUE"""),0)</f>
        <v>0</v>
      </c>
      <c r="F259" s="5">
        <f ca="1">IFERROR(__xludf.DUMMYFUNCTION("""COMPUTED_VALUE"""),0)</f>
        <v>0</v>
      </c>
      <c r="G259" s="5">
        <f ca="1">IFERROR(__xludf.DUMMYFUNCTION("""COMPUTED_VALUE"""),0)</f>
        <v>0</v>
      </c>
      <c r="H259"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I259" s="5">
        <f ca="1">IFERROR(__xludf.DUMMYFUNCTION("""COMPUTED_VALUE"""),5)</f>
        <v>5</v>
      </c>
      <c r="J259" s="5" t="str">
        <f ca="1">IFERROR(__xludf.DUMMYFUNCTION("""COMPUTED_VALUE"""),"Local")</f>
        <v>Local</v>
      </c>
      <c r="K259" s="5">
        <f ca="1">IFERROR(__xludf.DUMMYFUNCTION("""COMPUTED_VALUE"""),4)</f>
        <v>4</v>
      </c>
      <c r="L259" s="5" t="str">
        <f ca="1">IFERROR(__xludf.DUMMYFUNCTION("""COMPUTED_VALUE"""),"Fall")</f>
        <v>Fall</v>
      </c>
      <c r="M259" s="5" t="str">
        <f ca="1">IFERROR(__xludf.DUMMYFUNCTION("""COMPUTED_VALUE"""),"Hettinger")</f>
        <v>Hettinger</v>
      </c>
      <c r="N259" s="5" t="str">
        <f ca="1">IFERROR(__xludf.DUMMYFUNCTION("""COMPUTED_VALUE"""),"ND")</f>
        <v>ND</v>
      </c>
      <c r="O259" s="5" t="str">
        <f ca="1">IFERROR(__xludf.DUMMYFUNCTION("""COMPUTED_VALUE"""),"K-12")</f>
        <v>K-12</v>
      </c>
      <c r="P259" s="5" t="str">
        <f ca="1">IFERROR(__xludf.DUMMYFUNCTION("""COMPUTED_VALUE"""),"Classroom")</f>
        <v>Classroom</v>
      </c>
      <c r="Q259" s="5" t="str">
        <f ca="1">IFERROR(__xludf.DUMMYFUNCTION("""COMPUTED_VALUE"""),"Inside School Building")</f>
        <v>Inside School Building</v>
      </c>
      <c r="R259" s="5" t="str">
        <f ca="1">IFERROR(__xludf.DUMMYFUNCTION("""COMPUTED_VALUE"""),"Yes")</f>
        <v>Yes</v>
      </c>
      <c r="S259" s="5" t="str">
        <f ca="1">IFERROR(__xludf.DUMMYFUNCTION("""COMPUTED_VALUE"""),"Morning Classes")</f>
        <v>Morning Classes</v>
      </c>
      <c r="T259" s="10">
        <f ca="1">IFERROR(__xludf.DUMMYFUNCTION("""COMPUTED_VALUE"""),0.402083333333333)</f>
        <v>0.40208333333333302</v>
      </c>
      <c r="U259" s="5">
        <f ca="1">IFERROR(__xludf.DUMMYFUNCTION("""COMPUTED_VALUE"""),1)</f>
        <v>1</v>
      </c>
      <c r="V259" s="5" t="str">
        <f ca="1">IFERROR(__xludf.DUMMYFUNCTION("""COMPUTED_VALUE"""),"Student walked into classroom and shot self in front of the class")</f>
        <v>Student walked into classroom and shot self in front of the class</v>
      </c>
      <c r="W259"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X259" s="5" t="str">
        <f ca="1">IFERROR(__xludf.DUMMYFUNCTION("""COMPUTED_VALUE"""),"Suicide/Attempted")</f>
        <v>Suicide/Attempted</v>
      </c>
      <c r="Y259" s="5" t="str">
        <f ca="1">IFERROR(__xludf.DUMMYFUNCTION("""COMPUTED_VALUE"""),"Victims Targeted")</f>
        <v>Victims Targeted</v>
      </c>
      <c r="Z259" s="5" t="str">
        <f ca="1">IFERROR(__xludf.DUMMYFUNCTION("""COMPUTED_VALUE"""),"No")</f>
        <v>No</v>
      </c>
      <c r="AA259" s="5"/>
      <c r="AB259" s="5" t="str">
        <f ca="1">IFERROR(__xludf.DUMMYFUNCTION("""COMPUTED_VALUE"""),"No")</f>
        <v>No</v>
      </c>
      <c r="AC259" s="5" t="str">
        <f ca="1">IFERROR(__xludf.DUMMYFUNCTION("""COMPUTED_VALUE"""),"No")</f>
        <v>No</v>
      </c>
      <c r="AD259" s="5" t="str">
        <f ca="1">IFERROR(__xludf.DUMMYFUNCTION("""COMPUTED_VALUE"""),"No")</f>
        <v>No</v>
      </c>
      <c r="AE259" s="5"/>
      <c r="AF259" s="5" t="str">
        <f ca="1">IFERROR(__xludf.DUMMYFUNCTION("""COMPUTED_VALUE"""),"No")</f>
        <v>No</v>
      </c>
      <c r="AG259" s="5" t="str">
        <f ca="1">IFERROR(__xludf.DUMMYFUNCTION("""COMPUTED_VALUE"""),"No")</f>
        <v>No</v>
      </c>
      <c r="AH259" s="5" t="str">
        <f ca="1">IFERROR(__xludf.DUMMYFUNCTION("""COMPUTED_VALUE"""),"No")</f>
        <v>No</v>
      </c>
    </row>
    <row r="260" spans="1:34" ht="12.75">
      <c r="A260" s="5" t="str">
        <f ca="1">IFERROR(__xludf.DUMMYFUNCTION("""COMPUTED_VALUE"""),"20211005NCGAC")</f>
        <v>20211005NCGAC</v>
      </c>
      <c r="B260" s="8">
        <f ca="1">IFERROR(__xludf.DUMMYFUNCTION("""COMPUTED_VALUE"""),44474)</f>
        <v>44474</v>
      </c>
      <c r="C260" s="5" t="str">
        <f ca="1">IFERROR(__xludf.DUMMYFUNCTION("""COMPUTED_VALUE"""),"Garinger High School")</f>
        <v>Garinger High School</v>
      </c>
      <c r="D260" s="5">
        <f ca="1">IFERROR(__xludf.DUMMYFUNCTION("""COMPUTED_VALUE"""),0)</f>
        <v>0</v>
      </c>
      <c r="E260" s="5">
        <f ca="1">IFERROR(__xludf.DUMMYFUNCTION("""COMPUTED_VALUE"""),0)</f>
        <v>0</v>
      </c>
      <c r="F260" s="5">
        <f ca="1">IFERROR(__xludf.DUMMYFUNCTION("""COMPUTED_VALUE"""),0)</f>
        <v>0</v>
      </c>
      <c r="G260" s="5">
        <f ca="1">IFERROR(__xludf.DUMMYFUNCTION("""COMPUTED_VALUE"""),0)</f>
        <v>0</v>
      </c>
      <c r="H260"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I260" s="5">
        <f ca="1">IFERROR(__xludf.DUMMYFUNCTION("""COMPUTED_VALUE"""),10)</f>
        <v>10</v>
      </c>
      <c r="J260" s="5" t="str">
        <f ca="1">IFERROR(__xludf.DUMMYFUNCTION("""COMPUTED_VALUE"""),"Local")</f>
        <v>Local</v>
      </c>
      <c r="K260" s="5">
        <f ca="1">IFERROR(__xludf.DUMMYFUNCTION("""COMPUTED_VALUE"""),4)</f>
        <v>4</v>
      </c>
      <c r="L260" s="5" t="str">
        <f ca="1">IFERROR(__xludf.DUMMYFUNCTION("""COMPUTED_VALUE"""),"Fall")</f>
        <v>Fall</v>
      </c>
      <c r="M260" s="5" t="str">
        <f ca="1">IFERROR(__xludf.DUMMYFUNCTION("""COMPUTED_VALUE"""),"Charlotte")</f>
        <v>Charlotte</v>
      </c>
      <c r="N260" s="5" t="str">
        <f ca="1">IFERROR(__xludf.DUMMYFUNCTION("""COMPUTED_VALUE"""),"NC")</f>
        <v>NC</v>
      </c>
      <c r="O260" s="5" t="str">
        <f ca="1">IFERROR(__xludf.DUMMYFUNCTION("""COMPUTED_VALUE"""),"High")</f>
        <v>High</v>
      </c>
      <c r="P260" s="5" t="str">
        <f ca="1">IFERROR(__xludf.DUMMYFUNCTION("""COMPUTED_VALUE"""),"Front of School")</f>
        <v>Front of School</v>
      </c>
      <c r="Q260" s="5" t="str">
        <f ca="1">IFERROR(__xludf.DUMMYFUNCTION("""COMPUTED_VALUE"""),"Outside on School Property")</f>
        <v>Outside on School Property</v>
      </c>
      <c r="R260" s="5" t="str">
        <f ca="1">IFERROR(__xludf.DUMMYFUNCTION("""COMPUTED_VALUE"""),"Yes")</f>
        <v>Yes</v>
      </c>
      <c r="S260" s="5" t="str">
        <f ca="1">IFERROR(__xludf.DUMMYFUNCTION("""COMPUTED_VALUE"""),"Morning Classes")</f>
        <v>Morning Classes</v>
      </c>
      <c r="T260" s="10">
        <f ca="1">IFERROR(__xludf.DUMMYFUNCTION("""COMPUTED_VALUE"""),0.291666666666666)</f>
        <v>0.29166666666666602</v>
      </c>
      <c r="U260" s="5">
        <f ca="1">IFERROR(__xludf.DUMMYFUNCTION("""COMPUTED_VALUE"""),1)</f>
        <v>1</v>
      </c>
      <c r="V260" s="5" t="str">
        <f ca="1">IFERROR(__xludf.DUMMYFUNCTION("""COMPUTED_VALUE"""),"Student fired shot at vehicle and then ran inside the school, lockdown, gun recovered")</f>
        <v>Student fired shot at vehicle and then ran inside the school, lockdown, gun recovered</v>
      </c>
      <c r="W260"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X260" s="5" t="str">
        <f ca="1">IFERROR(__xludf.DUMMYFUNCTION("""COMPUTED_VALUE"""),"Drive-by Shooting")</f>
        <v>Drive-by Shooting</v>
      </c>
      <c r="Y260" s="5" t="str">
        <f ca="1">IFERROR(__xludf.DUMMYFUNCTION("""COMPUTED_VALUE"""),"Victims Targeted")</f>
        <v>Victims Targeted</v>
      </c>
      <c r="Z260" s="5" t="str">
        <f ca="1">IFERROR(__xludf.DUMMYFUNCTION("""COMPUTED_VALUE"""),"Yes")</f>
        <v>Yes</v>
      </c>
      <c r="AA260" s="5"/>
      <c r="AB260" s="5"/>
      <c r="AC260" s="5" t="str">
        <f ca="1">IFERROR(__xludf.DUMMYFUNCTION("""COMPUTED_VALUE"""),"No")</f>
        <v>No</v>
      </c>
      <c r="AD260" s="5" t="str">
        <f ca="1">IFERROR(__xludf.DUMMYFUNCTION("""COMPUTED_VALUE"""),"No")</f>
        <v>No</v>
      </c>
      <c r="AE260" s="5" t="str">
        <f ca="1">IFERROR(__xludf.DUMMYFUNCTION("""COMPUTED_VALUE"""),"No")</f>
        <v>No</v>
      </c>
      <c r="AF260" s="5" t="str">
        <f ca="1">IFERROR(__xludf.DUMMYFUNCTION("""COMPUTED_VALUE"""),"No")</f>
        <v>No</v>
      </c>
      <c r="AG260" s="5"/>
      <c r="AH260" s="5" t="str">
        <f ca="1">IFERROR(__xludf.DUMMYFUNCTION("""COMPUTED_VALUE"""),"No")</f>
        <v>No</v>
      </c>
    </row>
    <row r="261" spans="1:34" ht="12.75">
      <c r="A261" s="5" t="str">
        <f ca="1">IFERROR(__xludf.DUMMYFUNCTION("""COMPUTED_VALUE"""),"20211004PASCP")</f>
        <v>20211004PASCP</v>
      </c>
      <c r="B261" s="8">
        <f ca="1">IFERROR(__xludf.DUMMYFUNCTION("""COMPUTED_VALUE"""),44473)</f>
        <v>44473</v>
      </c>
      <c r="C261" s="5" t="str">
        <f ca="1">IFERROR(__xludf.DUMMYFUNCTION("""COMPUTED_VALUE"""),"School of the Future")</f>
        <v>School of the Future</v>
      </c>
      <c r="D261" s="5">
        <f ca="1">IFERROR(__xludf.DUMMYFUNCTION("""COMPUTED_VALUE"""),0)</f>
        <v>0</v>
      </c>
      <c r="E261" s="5">
        <f ca="1">IFERROR(__xludf.DUMMYFUNCTION("""COMPUTED_VALUE"""),2)</f>
        <v>2</v>
      </c>
      <c r="F261" s="5">
        <f ca="1">IFERROR(__xludf.DUMMYFUNCTION("""COMPUTED_VALUE"""),2)</f>
        <v>2</v>
      </c>
      <c r="G261" s="5">
        <f ca="1">IFERROR(__xludf.DUMMYFUNCTION("""COMPUTED_VALUE"""),0)</f>
        <v>0</v>
      </c>
      <c r="H261"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I261" s="5">
        <f ca="1">IFERROR(__xludf.DUMMYFUNCTION("""COMPUTED_VALUE"""),10)</f>
        <v>10</v>
      </c>
      <c r="J261" s="5" t="str">
        <f ca="1">IFERROR(__xludf.DUMMYFUNCTION("""COMPUTED_VALUE"""),"Regional")</f>
        <v>Regional</v>
      </c>
      <c r="K261" s="5">
        <f ca="1">IFERROR(__xludf.DUMMYFUNCTION("""COMPUTED_VALUE"""),4)</f>
        <v>4</v>
      </c>
      <c r="L261" s="5" t="str">
        <f ca="1">IFERROR(__xludf.DUMMYFUNCTION("""COMPUTED_VALUE"""),"Fall")</f>
        <v>Fall</v>
      </c>
      <c r="M261" s="5" t="str">
        <f ca="1">IFERROR(__xludf.DUMMYFUNCTION("""COMPUTED_VALUE"""),"Philadelphia")</f>
        <v>Philadelphia</v>
      </c>
      <c r="N261" s="5" t="str">
        <f ca="1">IFERROR(__xludf.DUMMYFUNCTION("""COMPUTED_VALUE"""),"PA")</f>
        <v>PA</v>
      </c>
      <c r="O261" s="5" t="str">
        <f ca="1">IFERROR(__xludf.DUMMYFUNCTION("""COMPUTED_VALUE"""),"High")</f>
        <v>High</v>
      </c>
      <c r="P261" s="5" t="str">
        <f ca="1">IFERROR(__xludf.DUMMYFUNCTION("""COMPUTED_VALUE"""),"Outside on School Property")</f>
        <v>Outside on School Property</v>
      </c>
      <c r="Q261" s="5" t="str">
        <f ca="1">IFERROR(__xludf.DUMMYFUNCTION("""COMPUTED_VALUE"""),"Outside on School Property")</f>
        <v>Outside on School Property</v>
      </c>
      <c r="R261" s="5" t="str">
        <f ca="1">IFERROR(__xludf.DUMMYFUNCTION("""COMPUTED_VALUE"""),"No")</f>
        <v>No</v>
      </c>
      <c r="S261" s="5" t="str">
        <f ca="1">IFERROR(__xludf.DUMMYFUNCTION("""COMPUTED_VALUE"""),"Night")</f>
        <v>Night</v>
      </c>
      <c r="T261" s="10">
        <f ca="1">IFERROR(__xludf.DUMMYFUNCTION("""COMPUTED_VALUE"""),0.0590277777777777)</f>
        <v>5.90277777777777E-2</v>
      </c>
      <c r="U261" s="5">
        <f ca="1">IFERROR(__xludf.DUMMYFUNCTION("""COMPUTED_VALUE"""),1)</f>
        <v>1</v>
      </c>
      <c r="V261" s="5" t="str">
        <f ca="1">IFERROR(__xludf.DUMMYFUNCTION("""COMPUTED_VALUE"""),"Active shooter fled workplace shooting scene, shootout with police behind school")</f>
        <v>Active shooter fled workplace shooting scene, shootout with police behind school</v>
      </c>
      <c r="W261"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X261" s="5"/>
      <c r="Y261" s="5" t="str">
        <f ca="1">IFERROR(__xludf.DUMMYFUNCTION("""COMPUTED_VALUE"""),"Both")</f>
        <v>Both</v>
      </c>
      <c r="Z261" s="5" t="str">
        <f ca="1">IFERROR(__xludf.DUMMYFUNCTION("""COMPUTED_VALUE"""),"No")</f>
        <v>No</v>
      </c>
      <c r="AA261" s="5"/>
      <c r="AB261" s="5" t="str">
        <f ca="1">IFERROR(__xludf.DUMMYFUNCTION("""COMPUTED_VALUE"""),"No")</f>
        <v>No</v>
      </c>
      <c r="AC261" s="5" t="str">
        <f ca="1">IFERROR(__xludf.DUMMYFUNCTION("""COMPUTED_VALUE"""),"No")</f>
        <v>No</v>
      </c>
      <c r="AD261" s="5" t="str">
        <f ca="1">IFERROR(__xludf.DUMMYFUNCTION("""COMPUTED_VALUE"""),"No")</f>
        <v>No</v>
      </c>
      <c r="AE261" s="5" t="str">
        <f ca="1">IFERROR(__xludf.DUMMYFUNCTION("""COMPUTED_VALUE"""),"No")</f>
        <v>No</v>
      </c>
      <c r="AF261" s="5"/>
      <c r="AG261" s="5" t="str">
        <f ca="1">IFERROR(__xludf.DUMMYFUNCTION("""COMPUTED_VALUE"""),"No")</f>
        <v>No</v>
      </c>
      <c r="AH261" s="5" t="str">
        <f ca="1">IFERROR(__xludf.DUMMYFUNCTION("""COMPUTED_VALUE"""),"Yes")</f>
        <v>Yes</v>
      </c>
    </row>
    <row r="262" spans="1:34" ht="12.75">
      <c r="A262" s="5" t="str">
        <f ca="1">IFERROR(__xludf.DUMMYFUNCTION("""COMPUTED_VALUE"""),"20211004OHWOT")</f>
        <v>20211004OHWOT</v>
      </c>
      <c r="B262" s="8">
        <f ca="1">IFERROR(__xludf.DUMMYFUNCTION("""COMPUTED_VALUE"""),44473)</f>
        <v>44473</v>
      </c>
      <c r="C262" s="5" t="str">
        <f ca="1">IFERROR(__xludf.DUMMYFUNCTION("""COMPUTED_VALUE"""),"Woodward High School")</f>
        <v>Woodward High School</v>
      </c>
      <c r="D262" s="5">
        <f ca="1">IFERROR(__xludf.DUMMYFUNCTION("""COMPUTED_VALUE"""),0)</f>
        <v>0</v>
      </c>
      <c r="E262" s="5">
        <f ca="1">IFERROR(__xludf.DUMMYFUNCTION("""COMPUTED_VALUE"""),1)</f>
        <v>1</v>
      </c>
      <c r="F262" s="5">
        <f ca="1">IFERROR(__xludf.DUMMYFUNCTION("""COMPUTED_VALUE"""),1)</f>
        <v>1</v>
      </c>
      <c r="G262" s="5">
        <f ca="1">IFERROR(__xludf.DUMMYFUNCTION("""COMPUTED_VALUE"""),0)</f>
        <v>0</v>
      </c>
      <c r="H262"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I262" s="5">
        <f ca="1">IFERROR(__xludf.DUMMYFUNCTION("""COMPUTED_VALUE"""),2)</f>
        <v>2</v>
      </c>
      <c r="J262" s="5" t="str">
        <f ca="1">IFERROR(__xludf.DUMMYFUNCTION("""COMPUTED_VALUE"""),"Local")</f>
        <v>Local</v>
      </c>
      <c r="K262" s="5">
        <f ca="1">IFERROR(__xludf.DUMMYFUNCTION("""COMPUTED_VALUE"""),4)</f>
        <v>4</v>
      </c>
      <c r="L262" s="5" t="str">
        <f ca="1">IFERROR(__xludf.DUMMYFUNCTION("""COMPUTED_VALUE"""),"Fall")</f>
        <v>Fall</v>
      </c>
      <c r="M262" s="5" t="str">
        <f ca="1">IFERROR(__xludf.DUMMYFUNCTION("""COMPUTED_VALUE"""),"Toledo")</f>
        <v>Toledo</v>
      </c>
      <c r="N262" s="5" t="str">
        <f ca="1">IFERROR(__xludf.DUMMYFUNCTION("""COMPUTED_VALUE"""),"OH")</f>
        <v>OH</v>
      </c>
      <c r="O262" s="5" t="str">
        <f ca="1">IFERROR(__xludf.DUMMYFUNCTION("""COMPUTED_VALUE"""),"High")</f>
        <v>High</v>
      </c>
      <c r="P262" s="5" t="str">
        <f ca="1">IFERROR(__xludf.DUMMYFUNCTION("""COMPUTED_VALUE"""),"Off School Property")</f>
        <v>Off School Property</v>
      </c>
      <c r="Q262" s="5" t="str">
        <f ca="1">IFERROR(__xludf.DUMMYFUNCTION("""COMPUTED_VALUE"""),"Off School Property")</f>
        <v>Off School Property</v>
      </c>
      <c r="R262" s="5" t="str">
        <f ca="1">IFERROR(__xludf.DUMMYFUNCTION("""COMPUTED_VALUE"""),"No")</f>
        <v>No</v>
      </c>
      <c r="S262" s="5" t="str">
        <f ca="1">IFERROR(__xludf.DUMMYFUNCTION("""COMPUTED_VALUE"""),"After School")</f>
        <v>After School</v>
      </c>
      <c r="T262" s="10">
        <f ca="1">IFERROR(__xludf.DUMMYFUNCTION("""COMPUTED_VALUE"""),0.6875)</f>
        <v>0.6875</v>
      </c>
      <c r="U262" s="5">
        <f ca="1">IFERROR(__xludf.DUMMYFUNCTION("""COMPUTED_VALUE"""),1)</f>
        <v>1</v>
      </c>
      <c r="V262" s="5" t="str">
        <f ca="1">IFERROR(__xludf.DUMMYFUNCTION("""COMPUTED_VALUE"""),"Student shot across the street, ran to school for assistance")</f>
        <v>Student shot across the street, ran to school for assistance</v>
      </c>
      <c r="W262"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X262" s="5"/>
      <c r="Y262" s="5"/>
      <c r="Z262" s="5" t="str">
        <f ca="1">IFERROR(__xludf.DUMMYFUNCTION("""COMPUTED_VALUE"""),"No")</f>
        <v>No</v>
      </c>
      <c r="AA262" s="5"/>
      <c r="AB262" s="5" t="str">
        <f ca="1">IFERROR(__xludf.DUMMYFUNCTION("""COMPUTED_VALUE"""),"No")</f>
        <v>No</v>
      </c>
      <c r="AC262" s="5" t="str">
        <f ca="1">IFERROR(__xludf.DUMMYFUNCTION("""COMPUTED_VALUE"""),"No")</f>
        <v>No</v>
      </c>
      <c r="AD262" s="5" t="str">
        <f ca="1">IFERROR(__xludf.DUMMYFUNCTION("""COMPUTED_VALUE"""),"No")</f>
        <v>No</v>
      </c>
      <c r="AE262" s="5" t="str">
        <f ca="1">IFERROR(__xludf.DUMMYFUNCTION("""COMPUTED_VALUE"""),"No")</f>
        <v>No</v>
      </c>
      <c r="AF262" s="5" t="str">
        <f ca="1">IFERROR(__xludf.DUMMYFUNCTION("""COMPUTED_VALUE"""),"No")</f>
        <v>No</v>
      </c>
      <c r="AG262" s="5"/>
      <c r="AH262" s="5" t="str">
        <f ca="1">IFERROR(__xludf.DUMMYFUNCTION("""COMPUTED_VALUE"""),"No")</f>
        <v>No</v>
      </c>
    </row>
    <row r="263" spans="1:34" ht="12.75">
      <c r="A263" s="5" t="str">
        <f ca="1">IFERROR(__xludf.DUMMYFUNCTION("""COMPUTED_VALUE"""),"20211004NMSAS")</f>
        <v>20211004NMSAS</v>
      </c>
      <c r="B263" s="8">
        <f ca="1">IFERROR(__xludf.DUMMYFUNCTION("""COMPUTED_VALUE"""),44473)</f>
        <v>44473</v>
      </c>
      <c r="C263" s="5" t="str">
        <f ca="1">IFERROR(__xludf.DUMMYFUNCTION("""COMPUTED_VALUE"""),"Santa Fe Indian School")</f>
        <v>Santa Fe Indian School</v>
      </c>
      <c r="D263" s="5">
        <f ca="1">IFERROR(__xludf.DUMMYFUNCTION("""COMPUTED_VALUE"""),0)</f>
        <v>0</v>
      </c>
      <c r="E263" s="5">
        <f ca="1">IFERROR(__xludf.DUMMYFUNCTION("""COMPUTED_VALUE"""),0)</f>
        <v>0</v>
      </c>
      <c r="F263" s="5">
        <f ca="1">IFERROR(__xludf.DUMMYFUNCTION("""COMPUTED_VALUE"""),0)</f>
        <v>0</v>
      </c>
      <c r="G263" s="5">
        <f ca="1">IFERROR(__xludf.DUMMYFUNCTION("""COMPUTED_VALUE"""),0)</f>
        <v>0</v>
      </c>
      <c r="H263"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I263" s="5">
        <f ca="1">IFERROR(__xludf.DUMMYFUNCTION("""COMPUTED_VALUE"""),1)</f>
        <v>1</v>
      </c>
      <c r="J263" s="5" t="str">
        <f ca="1">IFERROR(__xludf.DUMMYFUNCTION("""COMPUTED_VALUE"""),"Local")</f>
        <v>Local</v>
      </c>
      <c r="K263" s="5">
        <f ca="1">IFERROR(__xludf.DUMMYFUNCTION("""COMPUTED_VALUE"""),3)</f>
        <v>3</v>
      </c>
      <c r="L263" s="5" t="str">
        <f ca="1">IFERROR(__xludf.DUMMYFUNCTION("""COMPUTED_VALUE"""),"Winter")</f>
        <v>Winter</v>
      </c>
      <c r="M263" s="5" t="str">
        <f ca="1">IFERROR(__xludf.DUMMYFUNCTION("""COMPUTED_VALUE"""),"Santa Fe")</f>
        <v>Santa Fe</v>
      </c>
      <c r="N263" s="5" t="str">
        <f ca="1">IFERROR(__xludf.DUMMYFUNCTION("""COMPUTED_VALUE"""),"NM")</f>
        <v>NM</v>
      </c>
      <c r="O263" s="11">
        <f ca="1">IFERROR(__xludf.DUMMYFUNCTION("""COMPUTED_VALUE"""),44724)</f>
        <v>44724</v>
      </c>
      <c r="P263" s="5" t="str">
        <f ca="1">IFERROR(__xludf.DUMMYFUNCTION("""COMPUTED_VALUE"""),"Outside on School Property")</f>
        <v>Outside on School Property</v>
      </c>
      <c r="Q263" s="5" t="str">
        <f ca="1">IFERROR(__xludf.DUMMYFUNCTION("""COMPUTED_VALUE"""),"Outside on School Property")</f>
        <v>Outside on School Property</v>
      </c>
      <c r="R263" s="5" t="str">
        <f ca="1">IFERROR(__xludf.DUMMYFUNCTION("""COMPUTED_VALUE"""),"Yes")</f>
        <v>Yes</v>
      </c>
      <c r="S263" s="5"/>
      <c r="T263" s="5"/>
      <c r="U263" s="5"/>
      <c r="V263" s="5" t="str">
        <f ca="1">IFERROR(__xludf.DUMMYFUNCTION("""COMPUTED_VALUE"""),"Man fired shots and attempted to steal vehicles, arrested on school property")</f>
        <v>Man fired shots and attempted to steal vehicles, arrested on school property</v>
      </c>
      <c r="W263"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X263" s="5" t="str">
        <f ca="1">IFERROR(__xludf.DUMMYFUNCTION("""COMPUTED_VALUE"""),"Illegal Activity")</f>
        <v>Illegal Activity</v>
      </c>
      <c r="Y263" s="5" t="str">
        <f ca="1">IFERROR(__xludf.DUMMYFUNCTION("""COMPUTED_VALUE"""),"Random Shooting")</f>
        <v>Random Shooting</v>
      </c>
      <c r="Z263" s="5" t="str">
        <f ca="1">IFERROR(__xludf.DUMMYFUNCTION("""COMPUTED_VALUE"""),"No")</f>
        <v>No</v>
      </c>
      <c r="AA263" s="5"/>
      <c r="AB263" s="5" t="str">
        <f ca="1">IFERROR(__xludf.DUMMYFUNCTION("""COMPUTED_VALUE"""),"No")</f>
        <v>No</v>
      </c>
      <c r="AC263" s="5" t="str">
        <f ca="1">IFERROR(__xludf.DUMMYFUNCTION("""COMPUTED_VALUE"""),"No")</f>
        <v>No</v>
      </c>
      <c r="AD263" s="5" t="str">
        <f ca="1">IFERROR(__xludf.DUMMYFUNCTION("""COMPUTED_VALUE"""),"No")</f>
        <v>No</v>
      </c>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row>
    <row r="264" spans="1:34" ht="12.75">
      <c r="A264" s="5" t="str">
        <f ca="1">IFERROR(__xludf.DUMMYFUNCTION("""COMPUTED_VALUE"""),"20211004ILLAC")</f>
        <v>20211004ILLAC</v>
      </c>
      <c r="B264" s="8">
        <f ca="1">IFERROR(__xludf.DUMMYFUNCTION("""COMPUTED_VALUE"""),44473)</f>
        <v>44473</v>
      </c>
      <c r="C264" s="5" t="str">
        <f ca="1">IFERROR(__xludf.DUMMYFUNCTION("""COMPUTED_VALUE"""),"Lakeview High School")</f>
        <v>Lakeview High School</v>
      </c>
      <c r="D264" s="5">
        <f ca="1">IFERROR(__xludf.DUMMYFUNCTION("""COMPUTED_VALUE"""),0)</f>
        <v>0</v>
      </c>
      <c r="E264" s="5">
        <f ca="1">IFERROR(__xludf.DUMMYFUNCTION("""COMPUTED_VALUE"""),0)</f>
        <v>0</v>
      </c>
      <c r="F264" s="5">
        <f ca="1">IFERROR(__xludf.DUMMYFUNCTION("""COMPUTED_VALUE"""),0)</f>
        <v>0</v>
      </c>
      <c r="G264" s="5">
        <f ca="1">IFERROR(__xludf.DUMMYFUNCTION("""COMPUTED_VALUE"""),0)</f>
        <v>0</v>
      </c>
      <c r="H264" s="9" t="str">
        <f ca="1">IFERROR(__xludf.DUMMYFUNCTION("""COMPUTED_VALUE"""),"https://chicago.cbslocal.com/video/6072449-video-of-shooting-outside-lakeview-high-school/")</f>
        <v>https://chicago.cbslocal.com/video/6072449-video-of-shooting-outside-lakeview-high-school/</v>
      </c>
      <c r="I264" s="5">
        <f ca="1">IFERROR(__xludf.DUMMYFUNCTION("""COMPUTED_VALUE"""),1)</f>
        <v>1</v>
      </c>
      <c r="J264" s="5" t="str">
        <f ca="1">IFERROR(__xludf.DUMMYFUNCTION("""COMPUTED_VALUE"""),"Local")</f>
        <v>Local</v>
      </c>
      <c r="K264" s="5">
        <f ca="1">IFERROR(__xludf.DUMMYFUNCTION("""COMPUTED_VALUE"""),4)</f>
        <v>4</v>
      </c>
      <c r="L264" s="5" t="str">
        <f ca="1">IFERROR(__xludf.DUMMYFUNCTION("""COMPUTED_VALUE"""),"Fall")</f>
        <v>Fall</v>
      </c>
      <c r="M264" s="5" t="str">
        <f ca="1">IFERROR(__xludf.DUMMYFUNCTION("""COMPUTED_VALUE"""),"Chicago")</f>
        <v>Chicago</v>
      </c>
      <c r="N264" s="5" t="str">
        <f ca="1">IFERROR(__xludf.DUMMYFUNCTION("""COMPUTED_VALUE"""),"IL")</f>
        <v>IL</v>
      </c>
      <c r="O264" s="5" t="str">
        <f ca="1">IFERROR(__xludf.DUMMYFUNCTION("""COMPUTED_VALUE"""),"High")</f>
        <v>High</v>
      </c>
      <c r="P264" s="5" t="str">
        <f ca="1">IFERROR(__xludf.DUMMYFUNCTION("""COMPUTED_VALUE"""),"Parking Lot")</f>
        <v>Parking Lot</v>
      </c>
      <c r="Q264" s="5" t="str">
        <f ca="1">IFERROR(__xludf.DUMMYFUNCTION("""COMPUTED_VALUE"""),"Outside on School Property")</f>
        <v>Outside on School Property</v>
      </c>
      <c r="R264" s="5"/>
      <c r="S264" s="5"/>
      <c r="T264" s="5"/>
      <c r="U264" s="5">
        <f ca="1">IFERROR(__xludf.DUMMYFUNCTION("""COMPUTED_VALUE"""),1)</f>
        <v>1</v>
      </c>
      <c r="V264" s="5" t="str">
        <f ca="1">IFERROR(__xludf.DUMMYFUNCTION("""COMPUTED_VALUE"""),"Shots fired in school parking lot")</f>
        <v>Shots fired in school parking lot</v>
      </c>
      <c r="W264" s="5" t="str">
        <f ca="1">IFERROR(__xludf.DUMMYFUNCTION("""COMPUTED_VALUE"""),"CCTV footage shows more than 12 shots fired in the school parking lot. No other information available.")</f>
        <v>CCTV footage shows more than 12 shots fired in the school parking lot. No other information available.</v>
      </c>
      <c r="X264" s="5"/>
      <c r="Y264" s="5"/>
      <c r="Z264" s="5"/>
      <c r="AA264" s="5"/>
      <c r="AB264" s="5" t="str">
        <f ca="1">IFERROR(__xludf.DUMMYFUNCTION("""COMPUTED_VALUE"""),"No")</f>
        <v>No</v>
      </c>
      <c r="AC264" s="5" t="str">
        <f ca="1">IFERROR(__xludf.DUMMYFUNCTION("""COMPUTED_VALUE"""),"No")</f>
        <v>No</v>
      </c>
      <c r="AD264" s="5" t="str">
        <f ca="1">IFERROR(__xludf.DUMMYFUNCTION("""COMPUTED_VALUE"""),"No")</f>
        <v>No</v>
      </c>
      <c r="AE264" s="5" t="str">
        <f ca="1">IFERROR(__xludf.DUMMYFUNCTION("""COMPUTED_VALUE"""),"No")</f>
        <v>No</v>
      </c>
      <c r="AF264" s="5" t="str">
        <f ca="1">IFERROR(__xludf.DUMMYFUNCTION("""COMPUTED_VALUE"""),"No")</f>
        <v>No</v>
      </c>
      <c r="AG264" s="5"/>
      <c r="AH264" s="5" t="str">
        <f ca="1">IFERROR(__xludf.DUMMYFUNCTION("""COMPUTED_VALUE"""),"No")</f>
        <v>No</v>
      </c>
    </row>
    <row r="265" spans="1:34" ht="12.75">
      <c r="A265" s="5" t="str">
        <f ca="1">IFERROR(__xludf.DUMMYFUNCTION("""COMPUTED_VALUE"""),"20211001TXYEH")</f>
        <v>20211001TXYEH</v>
      </c>
      <c r="B265" s="8">
        <f ca="1">IFERROR(__xludf.DUMMYFUNCTION("""COMPUTED_VALUE"""),44470)</f>
        <v>44470</v>
      </c>
      <c r="C265" s="5" t="str">
        <f ca="1">IFERROR(__xludf.DUMMYFUNCTION("""COMPUTED_VALUE"""),"YES Prep")</f>
        <v>YES Prep</v>
      </c>
      <c r="D265" s="5">
        <f ca="1">IFERROR(__xludf.DUMMYFUNCTION("""COMPUTED_VALUE"""),0)</f>
        <v>0</v>
      </c>
      <c r="E265" s="5">
        <f ca="1">IFERROR(__xludf.DUMMYFUNCTION("""COMPUTED_VALUE"""),1)</f>
        <v>1</v>
      </c>
      <c r="F265" s="5">
        <f ca="1">IFERROR(__xludf.DUMMYFUNCTION("""COMPUTED_VALUE"""),1)</f>
        <v>1</v>
      </c>
      <c r="G265" s="5">
        <f ca="1">IFERROR(__xludf.DUMMYFUNCTION("""COMPUTED_VALUE"""),0)</f>
        <v>0</v>
      </c>
      <c r="H265"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I265" s="5">
        <f ca="1">IFERROR(__xludf.DUMMYFUNCTION("""COMPUTED_VALUE"""),100)</f>
        <v>100</v>
      </c>
      <c r="J265" s="5" t="str">
        <f ca="1">IFERROR(__xludf.DUMMYFUNCTION("""COMPUTED_VALUE"""),"Regional")</f>
        <v>Regional</v>
      </c>
      <c r="K265" s="5">
        <f ca="1">IFERROR(__xludf.DUMMYFUNCTION("""COMPUTED_VALUE"""),4)</f>
        <v>4</v>
      </c>
      <c r="L265" s="5" t="str">
        <f ca="1">IFERROR(__xludf.DUMMYFUNCTION("""COMPUTED_VALUE"""),"Fall")</f>
        <v>Fall</v>
      </c>
      <c r="M265" s="5" t="str">
        <f ca="1">IFERROR(__xludf.DUMMYFUNCTION("""COMPUTED_VALUE"""),"Houston")</f>
        <v>Houston</v>
      </c>
      <c r="N265" s="5" t="str">
        <f ca="1">IFERROR(__xludf.DUMMYFUNCTION("""COMPUTED_VALUE"""),"TX")</f>
        <v>TX</v>
      </c>
      <c r="O265" s="5" t="str">
        <f ca="1">IFERROR(__xludf.DUMMYFUNCTION("""COMPUTED_VALUE"""),"High")</f>
        <v>High</v>
      </c>
      <c r="P265" s="5" t="str">
        <f ca="1">IFERROR(__xludf.DUMMYFUNCTION("""COMPUTED_VALUE"""),"Entryway")</f>
        <v>Entryway</v>
      </c>
      <c r="Q265" s="5" t="str">
        <f ca="1">IFERROR(__xludf.DUMMYFUNCTION("""COMPUTED_VALUE"""),"Inside School Building")</f>
        <v>Inside School Building</v>
      </c>
      <c r="R265" s="5" t="str">
        <f ca="1">IFERROR(__xludf.DUMMYFUNCTION("""COMPUTED_VALUE"""),"Yes")</f>
        <v>Yes</v>
      </c>
      <c r="S265" s="5" t="str">
        <f ca="1">IFERROR(__xludf.DUMMYFUNCTION("""COMPUTED_VALUE"""),"Morning Classes")</f>
        <v>Morning Classes</v>
      </c>
      <c r="T265" s="10">
        <f ca="1">IFERROR(__xludf.DUMMYFUNCTION("""COMPUTED_VALUE"""),0.489583333333333)</f>
        <v>0.48958333333333298</v>
      </c>
      <c r="U265" s="5"/>
      <c r="V265" s="5" t="str">
        <f ca="1">IFERROR(__xludf.DUMMYFUNCTION("""COMPUTED_VALUE"""),"Former student attacked school targeting specific staff member")</f>
        <v>Former student attacked school targeting specific staff member</v>
      </c>
      <c r="W265"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X265" s="5" t="str">
        <f ca="1">IFERROR(__xludf.DUMMYFUNCTION("""COMPUTED_VALUE"""),"Psychosis")</f>
        <v>Psychosis</v>
      </c>
      <c r="Y265" s="5" t="str">
        <f ca="1">IFERROR(__xludf.DUMMYFUNCTION("""COMPUTED_VALUE"""),"Both")</f>
        <v>Both</v>
      </c>
      <c r="Z265" s="5" t="str">
        <f ca="1">IFERROR(__xludf.DUMMYFUNCTION("""COMPUTED_VALUE"""),"No")</f>
        <v>No</v>
      </c>
      <c r="AA265" s="5" t="str">
        <f ca="1">IFERROR(__xludf.DUMMYFUNCTION("""COMPUTED_VALUE"""),"No")</f>
        <v>No</v>
      </c>
      <c r="AB265" s="5" t="str">
        <f ca="1">IFERROR(__xludf.DUMMYFUNCTION("""COMPUTED_VALUE"""),"No")</f>
        <v>No</v>
      </c>
      <c r="AC265" s="5" t="str">
        <f ca="1">IFERROR(__xludf.DUMMYFUNCTION("""COMPUTED_VALUE"""),"No")</f>
        <v>No</v>
      </c>
      <c r="AD265" s="5" t="str">
        <f ca="1">IFERROR(__xludf.DUMMYFUNCTION("""COMPUTED_VALUE"""),"No")</f>
        <v>No</v>
      </c>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IFERROR(__xludf.DUMMYFUNCTION("""COMPUTED_VALUE"""),"Yes")</f>
        <v>Yes</v>
      </c>
    </row>
    <row r="266" spans="1:34" ht="12.75">
      <c r="A266" s="5" t="str">
        <f ca="1">IFERROR(__xludf.DUMMYFUNCTION("""COMPUTED_VALUE"""),"20211001NJCHC")</f>
        <v>20211001NJCHC</v>
      </c>
      <c r="B266" s="8">
        <f ca="1">IFERROR(__xludf.DUMMYFUNCTION("""COMPUTED_VALUE"""),44470)</f>
        <v>44470</v>
      </c>
      <c r="C266" s="5" t="str">
        <f ca="1">IFERROR(__xludf.DUMMYFUNCTION("""COMPUTED_VALUE"""),"Cherry Hill West High School")</f>
        <v>Cherry Hill West High School</v>
      </c>
      <c r="D266" s="5">
        <f ca="1">IFERROR(__xludf.DUMMYFUNCTION("""COMPUTED_VALUE"""),0)</f>
        <v>0</v>
      </c>
      <c r="E266" s="5">
        <f ca="1">IFERROR(__xludf.DUMMYFUNCTION("""COMPUTED_VALUE"""),0)</f>
        <v>0</v>
      </c>
      <c r="F266" s="5">
        <f ca="1">IFERROR(__xludf.DUMMYFUNCTION("""COMPUTED_VALUE"""),0)</f>
        <v>0</v>
      </c>
      <c r="G266" s="5">
        <f ca="1">IFERROR(__xludf.DUMMYFUNCTION("""COMPUTED_VALUE"""),0)</f>
        <v>0</v>
      </c>
      <c r="H266"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I266" s="5">
        <f ca="1">IFERROR(__xludf.DUMMYFUNCTION("""COMPUTED_VALUE"""),3)</f>
        <v>3</v>
      </c>
      <c r="J266" s="5" t="str">
        <f ca="1">IFERROR(__xludf.DUMMYFUNCTION("""COMPUTED_VALUE"""),"Regional")</f>
        <v>Regional</v>
      </c>
      <c r="K266" s="5">
        <f ca="1">IFERROR(__xludf.DUMMYFUNCTION("""COMPUTED_VALUE"""),4)</f>
        <v>4</v>
      </c>
      <c r="L266" s="5" t="str">
        <f ca="1">IFERROR(__xludf.DUMMYFUNCTION("""COMPUTED_VALUE"""),"Fall")</f>
        <v>Fall</v>
      </c>
      <c r="M266" s="5" t="str">
        <f ca="1">IFERROR(__xludf.DUMMYFUNCTION("""COMPUTED_VALUE"""),"Cherry Hill")</f>
        <v>Cherry Hill</v>
      </c>
      <c r="N266" s="5" t="str">
        <f ca="1">IFERROR(__xludf.DUMMYFUNCTION("""COMPUTED_VALUE"""),"NJ")</f>
        <v>NJ</v>
      </c>
      <c r="O266" s="5" t="str">
        <f ca="1">IFERROR(__xludf.DUMMYFUNCTION("""COMPUTED_VALUE"""),"High")</f>
        <v>High</v>
      </c>
      <c r="P266" s="5" t="str">
        <f ca="1">IFERROR(__xludf.DUMMYFUNCTION("""COMPUTED_VALUE"""),"Football Field/Track")</f>
        <v>Football Field/Track</v>
      </c>
      <c r="Q266" s="5" t="str">
        <f ca="1">IFERROR(__xludf.DUMMYFUNCTION("""COMPUTED_VALUE"""),"Off School Property")</f>
        <v>Off School Property</v>
      </c>
      <c r="R266" s="5" t="str">
        <f ca="1">IFERROR(__xludf.DUMMYFUNCTION("""COMPUTED_VALUE"""),"No")</f>
        <v>No</v>
      </c>
      <c r="S266" s="5" t="str">
        <f ca="1">IFERROR(__xludf.DUMMYFUNCTION("""COMPUTED_VALUE"""),"Sport Event")</f>
        <v>Sport Event</v>
      </c>
      <c r="T266" s="10">
        <f ca="1">IFERROR(__xludf.DUMMYFUNCTION("""COMPUTED_VALUE"""),0.864583333333333)</f>
        <v>0.86458333333333304</v>
      </c>
      <c r="U266" s="5">
        <f ca="1">IFERROR(__xludf.DUMMYFUNCTION("""COMPUTED_VALUE"""),1)</f>
        <v>1</v>
      </c>
      <c r="V266" s="5" t="str">
        <f ca="1">IFERROR(__xludf.DUMMYFUNCTION("""COMPUTED_VALUE"""),"Male fired 8 shots at the football stadium stands then fled")</f>
        <v>Male fired 8 shots at the football stadium stands then fled</v>
      </c>
      <c r="W266"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X266" s="5" t="str">
        <f ca="1">IFERROR(__xludf.DUMMYFUNCTION("""COMPUTED_VALUE"""),"Indiscriminate Shooting")</f>
        <v>Indiscriminate Shooting</v>
      </c>
      <c r="Y266" s="5" t="str">
        <f ca="1">IFERROR(__xludf.DUMMYFUNCTION("""COMPUTED_VALUE"""),"Random Shooting")</f>
        <v>Random Shooting</v>
      </c>
      <c r="Z266" s="5" t="str">
        <f ca="1">IFERROR(__xludf.DUMMYFUNCTION("""COMPUTED_VALUE"""),"No")</f>
        <v>No</v>
      </c>
      <c r="AA266" s="5"/>
      <c r="AB266" s="5" t="str">
        <f ca="1">IFERROR(__xludf.DUMMYFUNCTION("""COMPUTED_VALUE"""),"No")</f>
        <v>No</v>
      </c>
      <c r="AC266" s="5" t="str">
        <f ca="1">IFERROR(__xludf.DUMMYFUNCTION("""COMPUTED_VALUE"""),"No")</f>
        <v>No</v>
      </c>
      <c r="AD266" s="5" t="str">
        <f ca="1">IFERROR(__xludf.DUMMYFUNCTION("""COMPUTED_VALUE"""),"No")</f>
        <v>No</v>
      </c>
      <c r="AE266" s="5" t="str">
        <f ca="1">IFERROR(__xludf.DUMMYFUNCTION("""COMPUTED_VALUE"""),"No")</f>
        <v>No</v>
      </c>
      <c r="AF266" s="5" t="str">
        <f ca="1">IFERROR(__xludf.DUMMYFUNCTION("""COMPUTED_VALUE"""),"No")</f>
        <v>No</v>
      </c>
      <c r="AG266" s="5"/>
      <c r="AH266" s="5" t="str">
        <f ca="1">IFERROR(__xludf.DUMMYFUNCTION("""COMPUTED_VALUE"""),"No")</f>
        <v>No</v>
      </c>
    </row>
    <row r="267" spans="1:34" ht="12.75">
      <c r="A267" s="5" t="str">
        <f ca="1">IFERROR(__xludf.DUMMYFUNCTION("""COMPUTED_VALUE"""),"20211001NCSEF")</f>
        <v>20211001NCSEF</v>
      </c>
      <c r="B267" s="8">
        <f ca="1">IFERROR(__xludf.DUMMYFUNCTION("""COMPUTED_VALUE"""),44470)</f>
        <v>44470</v>
      </c>
      <c r="C267" s="5" t="str">
        <f ca="1">IFERROR(__xludf.DUMMYFUNCTION("""COMPUTED_VALUE"""),"Seventy-First High School")</f>
        <v>Seventy-First High School</v>
      </c>
      <c r="D267" s="5">
        <f ca="1">IFERROR(__xludf.DUMMYFUNCTION("""COMPUTED_VALUE"""),0)</f>
        <v>0</v>
      </c>
      <c r="E267" s="5">
        <f ca="1">IFERROR(__xludf.DUMMYFUNCTION("""COMPUTED_VALUE"""),2)</f>
        <v>2</v>
      </c>
      <c r="F267" s="5">
        <f ca="1">IFERROR(__xludf.DUMMYFUNCTION("""COMPUTED_VALUE"""),2)</f>
        <v>2</v>
      </c>
      <c r="G267" s="5">
        <f ca="1">IFERROR(__xludf.DUMMYFUNCTION("""COMPUTED_VALUE"""),0)</f>
        <v>0</v>
      </c>
      <c r="H267"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I267" s="5">
        <f ca="1">IFERROR(__xludf.DUMMYFUNCTION("""COMPUTED_VALUE"""),5)</f>
        <v>5</v>
      </c>
      <c r="J267" s="5" t="str">
        <f ca="1">IFERROR(__xludf.DUMMYFUNCTION("""COMPUTED_VALUE"""),"Local")</f>
        <v>Local</v>
      </c>
      <c r="K267" s="5">
        <f ca="1">IFERROR(__xludf.DUMMYFUNCTION("""COMPUTED_VALUE"""),4)</f>
        <v>4</v>
      </c>
      <c r="L267" s="5" t="str">
        <f ca="1">IFERROR(__xludf.DUMMYFUNCTION("""COMPUTED_VALUE"""),"Fall")</f>
        <v>Fall</v>
      </c>
      <c r="M267" s="5" t="str">
        <f ca="1">IFERROR(__xludf.DUMMYFUNCTION("""COMPUTED_VALUE"""),"Fayetteville")</f>
        <v>Fayetteville</v>
      </c>
      <c r="N267" s="5" t="str">
        <f ca="1">IFERROR(__xludf.DUMMYFUNCTION("""COMPUTED_VALUE"""),"NC")</f>
        <v>NC</v>
      </c>
      <c r="O267" s="5" t="str">
        <f ca="1">IFERROR(__xludf.DUMMYFUNCTION("""COMPUTED_VALUE"""),"High")</f>
        <v>High</v>
      </c>
      <c r="P267" s="5" t="str">
        <f ca="1">IFERROR(__xludf.DUMMYFUNCTION("""COMPUTED_VALUE"""),"Parking Lot")</f>
        <v>Parking Lot</v>
      </c>
      <c r="Q267" s="5" t="str">
        <f ca="1">IFERROR(__xludf.DUMMYFUNCTION("""COMPUTED_VALUE"""),"Outside on School Property")</f>
        <v>Outside on School Property</v>
      </c>
      <c r="R267" s="5" t="str">
        <f ca="1">IFERROR(__xludf.DUMMYFUNCTION("""COMPUTED_VALUE"""),"No")</f>
        <v>No</v>
      </c>
      <c r="S267" s="5" t="str">
        <f ca="1">IFERROR(__xludf.DUMMYFUNCTION("""COMPUTED_VALUE"""),"Sport Event")</f>
        <v>Sport Event</v>
      </c>
      <c r="T267" s="10">
        <f ca="1">IFERROR(__xludf.DUMMYFUNCTION("""COMPUTED_VALUE"""),0.916666666666666)</f>
        <v>0.91666666666666596</v>
      </c>
      <c r="U267" s="5">
        <f ca="1">IFERROR(__xludf.DUMMYFUNCTION("""COMPUTED_VALUE"""),1)</f>
        <v>1</v>
      </c>
      <c r="V267" s="5" t="str">
        <f ca="1">IFERROR(__xludf.DUMMYFUNCTION("""COMPUTED_VALUE"""),"Two teens shot in parking lot following football game")</f>
        <v>Two teens shot in parking lot following football game</v>
      </c>
      <c r="W267"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X267" s="5" t="str">
        <f ca="1">IFERROR(__xludf.DUMMYFUNCTION("""COMPUTED_VALUE"""),"Escalation of Dispute")</f>
        <v>Escalation of Dispute</v>
      </c>
      <c r="Y267" s="5" t="str">
        <f ca="1">IFERROR(__xludf.DUMMYFUNCTION("""COMPUTED_VALUE"""),"Victims Targeted")</f>
        <v>Victims Targeted</v>
      </c>
      <c r="Z267" s="5" t="str">
        <f ca="1">IFERROR(__xludf.DUMMYFUNCTION("""COMPUTED_VALUE"""),"No")</f>
        <v>No</v>
      </c>
      <c r="AA267" s="5"/>
      <c r="AB267" s="5" t="str">
        <f ca="1">IFERROR(__xludf.DUMMYFUNCTION("""COMPUTED_VALUE"""),"No")</f>
        <v>No</v>
      </c>
      <c r="AC267" s="5" t="str">
        <f ca="1">IFERROR(__xludf.DUMMYFUNCTION("""COMPUTED_VALUE"""),"No")</f>
        <v>No</v>
      </c>
      <c r="AD267" s="5" t="str">
        <f ca="1">IFERROR(__xludf.DUMMYFUNCTION("""COMPUTED_VALUE"""),"No")</f>
        <v>No</v>
      </c>
      <c r="AE267" s="5" t="str">
        <f ca="1">IFERROR(__xludf.DUMMYFUNCTION("""COMPUTED_VALUE"""),"No")</f>
        <v>No</v>
      </c>
      <c r="AF267" s="5" t="str">
        <f ca="1">IFERROR(__xludf.DUMMYFUNCTION("""COMPUTED_VALUE"""),"No")</f>
        <v>No</v>
      </c>
      <c r="AG267" s="5" t="str">
        <f ca="1">IFERROR(__xludf.DUMMYFUNCTION("""COMPUTED_VALUE"""),"Yes")</f>
        <v>Yes</v>
      </c>
      <c r="AH267" s="5" t="str">
        <f ca="1">IFERROR(__xludf.DUMMYFUNCTION("""COMPUTED_VALUE"""),"No")</f>
        <v>No</v>
      </c>
    </row>
    <row r="268" spans="1:34" ht="12.75">
      <c r="A268" s="5" t="str">
        <f ca="1">IFERROR(__xludf.DUMMYFUNCTION("""COMPUTED_VALUE"""),"20211001NCNOD")</f>
        <v>20211001NCNOD</v>
      </c>
      <c r="B268" s="8">
        <f ca="1">IFERROR(__xludf.DUMMYFUNCTION("""COMPUTED_VALUE"""),44470)</f>
        <v>44470</v>
      </c>
      <c r="C268" s="5" t="str">
        <f ca="1">IFERROR(__xludf.DUMMYFUNCTION("""COMPUTED_VALUE"""),"Northern High School")</f>
        <v>Northern High School</v>
      </c>
      <c r="D268" s="5">
        <f ca="1">IFERROR(__xludf.DUMMYFUNCTION("""COMPUTED_VALUE"""),0)</f>
        <v>0</v>
      </c>
      <c r="E268" s="5">
        <f ca="1">IFERROR(__xludf.DUMMYFUNCTION("""COMPUTED_VALUE"""),1)</f>
        <v>1</v>
      </c>
      <c r="F268" s="5">
        <f ca="1">IFERROR(__xludf.DUMMYFUNCTION("""COMPUTED_VALUE"""),1)</f>
        <v>1</v>
      </c>
      <c r="G268" s="5">
        <f ca="1">IFERROR(__xludf.DUMMYFUNCTION("""COMPUTED_VALUE"""),0)</f>
        <v>0</v>
      </c>
      <c r="H268"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I268" s="5">
        <f ca="1">IFERROR(__xludf.DUMMYFUNCTION("""COMPUTED_VALUE"""),5)</f>
        <v>5</v>
      </c>
      <c r="J268" s="5" t="str">
        <f ca="1">IFERROR(__xludf.DUMMYFUNCTION("""COMPUTED_VALUE"""),"Local")</f>
        <v>Local</v>
      </c>
      <c r="K268" s="5">
        <f ca="1">IFERROR(__xludf.DUMMYFUNCTION("""COMPUTED_VALUE"""),4)</f>
        <v>4</v>
      </c>
      <c r="L268" s="5" t="str">
        <f ca="1">IFERROR(__xludf.DUMMYFUNCTION("""COMPUTED_VALUE"""),"Fall")</f>
        <v>Fall</v>
      </c>
      <c r="M268" s="5" t="str">
        <f ca="1">IFERROR(__xludf.DUMMYFUNCTION("""COMPUTED_VALUE"""),"Durham")</f>
        <v>Durham</v>
      </c>
      <c r="N268" s="5" t="str">
        <f ca="1">IFERROR(__xludf.DUMMYFUNCTION("""COMPUTED_VALUE"""),"NC")</f>
        <v>NC</v>
      </c>
      <c r="O268" s="5" t="str">
        <f ca="1">IFERROR(__xludf.DUMMYFUNCTION("""COMPUTED_VALUE"""),"High")</f>
        <v>High</v>
      </c>
      <c r="P268" s="5" t="str">
        <f ca="1">IFERROR(__xludf.DUMMYFUNCTION("""COMPUTED_VALUE"""),"Football Field/Track")</f>
        <v>Football Field/Track</v>
      </c>
      <c r="Q268" s="5" t="str">
        <f ca="1">IFERROR(__xludf.DUMMYFUNCTION("""COMPUTED_VALUE"""),"Outside on School Property")</f>
        <v>Outside on School Property</v>
      </c>
      <c r="R268" s="5" t="str">
        <f ca="1">IFERROR(__xludf.DUMMYFUNCTION("""COMPUTED_VALUE"""),"No")</f>
        <v>No</v>
      </c>
      <c r="S268" s="5" t="str">
        <f ca="1">IFERROR(__xludf.DUMMYFUNCTION("""COMPUTED_VALUE"""),"Sport Event")</f>
        <v>Sport Event</v>
      </c>
      <c r="T268" s="10">
        <f ca="1">IFERROR(__xludf.DUMMYFUNCTION("""COMPUTED_VALUE"""),0.904166666666666)</f>
        <v>0.90416666666666601</v>
      </c>
      <c r="U268" s="5">
        <f ca="1">IFERROR(__xludf.DUMMYFUNCTION("""COMPUTED_VALUE"""),1)</f>
        <v>1</v>
      </c>
      <c r="V268" s="5" t="str">
        <f ca="1">IFERROR(__xludf.DUMMYFUNCTION("""COMPUTED_VALUE"""),"Vehicle drove onto grass near stadium and fired 10-15 shots as crowd was exiting")</f>
        <v>Vehicle drove onto grass near stadium and fired 10-15 shots as crowd was exiting</v>
      </c>
      <c r="W268"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X268" s="5" t="str">
        <f ca="1">IFERROR(__xludf.DUMMYFUNCTION("""COMPUTED_VALUE"""),"Drive-by Shooting")</f>
        <v>Drive-by Shooting</v>
      </c>
      <c r="Y268" s="5" t="str">
        <f ca="1">IFERROR(__xludf.DUMMYFUNCTION("""COMPUTED_VALUE"""),"Random Shooting")</f>
        <v>Random Shooting</v>
      </c>
      <c r="Z268" s="5"/>
      <c r="AA268" s="5"/>
      <c r="AB268" s="5" t="str">
        <f ca="1">IFERROR(__xludf.DUMMYFUNCTION("""COMPUTED_VALUE"""),"No")</f>
        <v>No</v>
      </c>
      <c r="AC268" s="5" t="str">
        <f ca="1">IFERROR(__xludf.DUMMYFUNCTION("""COMPUTED_VALUE"""),"No")</f>
        <v>No</v>
      </c>
      <c r="AD268" s="5" t="str">
        <f ca="1">IFERROR(__xludf.DUMMYFUNCTION("""COMPUTED_VALUE"""),"No")</f>
        <v>No</v>
      </c>
      <c r="AE268" s="5" t="str">
        <f ca="1">IFERROR(__xludf.DUMMYFUNCTION("""COMPUTED_VALUE"""),"No")</f>
        <v>No</v>
      </c>
      <c r="AF268" s="5" t="str">
        <f ca="1">IFERROR(__xludf.DUMMYFUNCTION("""COMPUTED_VALUE"""),"No")</f>
        <v>No</v>
      </c>
      <c r="AG268" s="5"/>
      <c r="AH268" s="5" t="str">
        <f ca="1">IFERROR(__xludf.DUMMYFUNCTION("""COMPUTED_VALUE"""),"No")</f>
        <v>No</v>
      </c>
    </row>
    <row r="269" spans="1:34" ht="12.75">
      <c r="A269" s="5" t="str">
        <f ca="1">IFERROR(__xludf.DUMMYFUNCTION("""COMPUTED_VALUE"""),"20211001INBEI")</f>
        <v>20211001INBEI</v>
      </c>
      <c r="B269" s="8">
        <f ca="1">IFERROR(__xludf.DUMMYFUNCTION("""COMPUTED_VALUE"""),44470)</f>
        <v>44470</v>
      </c>
      <c r="C269" s="5" t="str">
        <f ca="1">IFERROR(__xludf.DUMMYFUNCTION("""COMPUTED_VALUE"""),"Ben Davis High School")</f>
        <v>Ben Davis High School</v>
      </c>
      <c r="D269" s="5">
        <f ca="1">IFERROR(__xludf.DUMMYFUNCTION("""COMPUTED_VALUE"""),0)</f>
        <v>0</v>
      </c>
      <c r="E269" s="5">
        <f ca="1">IFERROR(__xludf.DUMMYFUNCTION("""COMPUTED_VALUE"""),1)</f>
        <v>1</v>
      </c>
      <c r="F269" s="5">
        <f ca="1">IFERROR(__xludf.DUMMYFUNCTION("""COMPUTED_VALUE"""),1)</f>
        <v>1</v>
      </c>
      <c r="G269" s="5">
        <f ca="1">IFERROR(__xludf.DUMMYFUNCTION("""COMPUTED_VALUE"""),0)</f>
        <v>0</v>
      </c>
      <c r="H269"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I269" s="5">
        <f ca="1">IFERROR(__xludf.DUMMYFUNCTION("""COMPUTED_VALUE"""),5)</f>
        <v>5</v>
      </c>
      <c r="J269" s="5" t="str">
        <f ca="1">IFERROR(__xludf.DUMMYFUNCTION("""COMPUTED_VALUE"""),"Local")</f>
        <v>Local</v>
      </c>
      <c r="K269" s="5">
        <f ca="1">IFERROR(__xludf.DUMMYFUNCTION("""COMPUTED_VALUE"""),4)</f>
        <v>4</v>
      </c>
      <c r="L269" s="5" t="str">
        <f ca="1">IFERROR(__xludf.DUMMYFUNCTION("""COMPUTED_VALUE"""),"Fall")</f>
        <v>Fall</v>
      </c>
      <c r="M269" s="5" t="str">
        <f ca="1">IFERROR(__xludf.DUMMYFUNCTION("""COMPUTED_VALUE"""),"Indianapolis")</f>
        <v>Indianapolis</v>
      </c>
      <c r="N269" s="5" t="str">
        <f ca="1">IFERROR(__xludf.DUMMYFUNCTION("""COMPUTED_VALUE"""),"IN")</f>
        <v>IN</v>
      </c>
      <c r="O269" s="5" t="str">
        <f ca="1">IFERROR(__xludf.DUMMYFUNCTION("""COMPUTED_VALUE"""),"High")</f>
        <v>High</v>
      </c>
      <c r="P269" s="5" t="str">
        <f ca="1">IFERROR(__xludf.DUMMYFUNCTION("""COMPUTED_VALUE"""),"Football Field/Track")</f>
        <v>Football Field/Track</v>
      </c>
      <c r="Q269" s="5" t="str">
        <f ca="1">IFERROR(__xludf.DUMMYFUNCTION("""COMPUTED_VALUE"""),"Outside on School Property")</f>
        <v>Outside on School Property</v>
      </c>
      <c r="R269" s="5" t="str">
        <f ca="1">IFERROR(__xludf.DUMMYFUNCTION("""COMPUTED_VALUE"""),"No")</f>
        <v>No</v>
      </c>
      <c r="S269" s="5" t="str">
        <f ca="1">IFERROR(__xludf.DUMMYFUNCTION("""COMPUTED_VALUE"""),"Sport Event")</f>
        <v>Sport Event</v>
      </c>
      <c r="T269" s="10">
        <f ca="1">IFERROR(__xludf.DUMMYFUNCTION("""COMPUTED_VALUE"""),0.875)</f>
        <v>0.875</v>
      </c>
      <c r="U269" s="5">
        <f ca="1">IFERROR(__xludf.DUMMYFUNCTION("""COMPUTED_VALUE"""),1)</f>
        <v>1</v>
      </c>
      <c r="V269" s="5" t="str">
        <f ca="1">IFERROR(__xludf.DUMMYFUNCTION("""COMPUTED_VALUE"""),"Teen shot by another teen at the stadium gate during a football game")</f>
        <v>Teen shot by another teen at the stadium gate during a football game</v>
      </c>
      <c r="W269"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X269" s="5" t="str">
        <f ca="1">IFERROR(__xludf.DUMMYFUNCTION("""COMPUTED_VALUE"""),"Illegal Activity")</f>
        <v>Illegal Activity</v>
      </c>
      <c r="Y269" s="5" t="str">
        <f ca="1">IFERROR(__xludf.DUMMYFUNCTION("""COMPUTED_VALUE"""),"Victims Targeted")</f>
        <v>Victims Targeted</v>
      </c>
      <c r="Z269" s="5" t="str">
        <f ca="1">IFERROR(__xludf.DUMMYFUNCTION("""COMPUTED_VALUE"""),"No")</f>
        <v>No</v>
      </c>
      <c r="AA269" s="5"/>
      <c r="AB269" s="5" t="str">
        <f ca="1">IFERROR(__xludf.DUMMYFUNCTION("""COMPUTED_VALUE"""),"No")</f>
        <v>No</v>
      </c>
      <c r="AC269" s="5" t="str">
        <f ca="1">IFERROR(__xludf.DUMMYFUNCTION("""COMPUTED_VALUE"""),"No")</f>
        <v>No</v>
      </c>
      <c r="AD269" s="5" t="str">
        <f ca="1">IFERROR(__xludf.DUMMYFUNCTION("""COMPUTED_VALUE"""),"No")</f>
        <v>No</v>
      </c>
      <c r="AE269" s="5" t="str">
        <f ca="1">IFERROR(__xludf.DUMMYFUNCTION("""COMPUTED_VALUE"""),"No")</f>
        <v>No</v>
      </c>
      <c r="AF269" s="5" t="str">
        <f ca="1">IFERROR(__xludf.DUMMYFUNCTION("""COMPUTED_VALUE"""),"No")</f>
        <v>No</v>
      </c>
      <c r="AG269" s="5"/>
      <c r="AH269" s="5" t="str">
        <f ca="1">IFERROR(__xludf.DUMMYFUNCTION("""COMPUTED_VALUE"""),"No")</f>
        <v>No</v>
      </c>
    </row>
    <row r="270" spans="1:34" ht="12.75">
      <c r="A270" s="5" t="str">
        <f ca="1">IFERROR(__xludf.DUMMYFUNCTION("""COMPUTED_VALUE"""),"20210930TNCUM")</f>
        <v>20210930TNCUM</v>
      </c>
      <c r="B270" s="8">
        <f ca="1">IFERROR(__xludf.DUMMYFUNCTION("""COMPUTED_VALUE"""),44469)</f>
        <v>44469</v>
      </c>
      <c r="C270" s="5" t="str">
        <f ca="1">IFERROR(__xludf.DUMMYFUNCTION("""COMPUTED_VALUE"""),"Cummings Elementary School")</f>
        <v>Cummings Elementary School</v>
      </c>
      <c r="D270" s="5">
        <f ca="1">IFERROR(__xludf.DUMMYFUNCTION("""COMPUTED_VALUE"""),0)</f>
        <v>0</v>
      </c>
      <c r="E270" s="5">
        <f ca="1">IFERROR(__xludf.DUMMYFUNCTION("""COMPUTED_VALUE"""),1)</f>
        <v>1</v>
      </c>
      <c r="F270" s="5">
        <f ca="1">IFERROR(__xludf.DUMMYFUNCTION("""COMPUTED_VALUE"""),1)</f>
        <v>1</v>
      </c>
      <c r="G270" s="5">
        <f ca="1">IFERROR(__xludf.DUMMYFUNCTION("""COMPUTED_VALUE"""),0)</f>
        <v>0</v>
      </c>
      <c r="H270"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I270" s="5">
        <f ca="1">IFERROR(__xludf.DUMMYFUNCTION("""COMPUTED_VALUE"""),100)</f>
        <v>100</v>
      </c>
      <c r="J270" s="5" t="str">
        <f ca="1">IFERROR(__xludf.DUMMYFUNCTION("""COMPUTED_VALUE"""),"National")</f>
        <v>National</v>
      </c>
      <c r="K270" s="5">
        <f ca="1">IFERROR(__xludf.DUMMYFUNCTION("""COMPUTED_VALUE"""),4)</f>
        <v>4</v>
      </c>
      <c r="L270" s="5" t="str">
        <f ca="1">IFERROR(__xludf.DUMMYFUNCTION("""COMPUTED_VALUE"""),"Fall")</f>
        <v>Fall</v>
      </c>
      <c r="M270" s="5" t="str">
        <f ca="1">IFERROR(__xludf.DUMMYFUNCTION("""COMPUTED_VALUE"""),"Memphis")</f>
        <v>Memphis</v>
      </c>
      <c r="N270" s="5" t="str">
        <f ca="1">IFERROR(__xludf.DUMMYFUNCTION("""COMPUTED_VALUE"""),"TN")</f>
        <v>TN</v>
      </c>
      <c r="O270" s="5" t="str">
        <f ca="1">IFERROR(__xludf.DUMMYFUNCTION("""COMPUTED_VALUE"""),"K-8")</f>
        <v>K-8</v>
      </c>
      <c r="P270" s="5" t="str">
        <f ca="1">IFERROR(__xludf.DUMMYFUNCTION("""COMPUTED_VALUE"""),"Hallway")</f>
        <v>Hallway</v>
      </c>
      <c r="Q270" s="5" t="str">
        <f ca="1">IFERROR(__xludf.DUMMYFUNCTION("""COMPUTED_VALUE"""),"Inside School Building")</f>
        <v>Inside School Building</v>
      </c>
      <c r="R270" s="5" t="str">
        <f ca="1">IFERROR(__xludf.DUMMYFUNCTION("""COMPUTED_VALUE"""),"Yes")</f>
        <v>Yes</v>
      </c>
      <c r="S270" s="5" t="str">
        <f ca="1">IFERROR(__xludf.DUMMYFUNCTION("""COMPUTED_VALUE"""),"Morning Classes")</f>
        <v>Morning Classes</v>
      </c>
      <c r="T270" s="10">
        <f ca="1">IFERROR(__xludf.DUMMYFUNCTION("""COMPUTED_VALUE"""),0.385416666666666)</f>
        <v>0.38541666666666602</v>
      </c>
      <c r="U270" s="5">
        <f ca="1">IFERROR(__xludf.DUMMYFUNCTION("""COMPUTED_VALUE"""),1)</f>
        <v>1</v>
      </c>
      <c r="V270" s="5" t="str">
        <f ca="1">IFERROR(__xludf.DUMMYFUNCTION("""COMPUTED_VALUE"""),"Student shot student in the stairwell then fled in vehicle")</f>
        <v>Student shot student in the stairwell then fled in vehicle</v>
      </c>
      <c r="W270"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X270" s="5" t="str">
        <f ca="1">IFERROR(__xludf.DUMMYFUNCTION("""COMPUTED_VALUE"""),"Escalation of Dispute")</f>
        <v>Escalation of Dispute</v>
      </c>
      <c r="Y270" s="5" t="str">
        <f ca="1">IFERROR(__xludf.DUMMYFUNCTION("""COMPUTED_VALUE"""),"Victims Targeted")</f>
        <v>Victims Targeted</v>
      </c>
      <c r="Z270" s="5" t="str">
        <f ca="1">IFERROR(__xludf.DUMMYFUNCTION("""COMPUTED_VALUE"""),"Yes")</f>
        <v>Yes</v>
      </c>
      <c r="AA270" s="5" t="str">
        <f ca="1">IFERROR(__xludf.DUMMYFUNCTION("""COMPUTED_VALUE"""),"Fled in vehicle")</f>
        <v>Fled in vehicle</v>
      </c>
      <c r="AB270" s="5" t="str">
        <f ca="1">IFERROR(__xludf.DUMMYFUNCTION("""COMPUTED_VALUE"""),"No")</f>
        <v>No</v>
      </c>
      <c r="AC270" s="5" t="str">
        <f ca="1">IFERROR(__xludf.DUMMYFUNCTION("""COMPUTED_VALUE"""),"No")</f>
        <v>No</v>
      </c>
      <c r="AD270" s="5" t="str">
        <f ca="1">IFERROR(__xludf.DUMMYFUNCTION("""COMPUTED_VALUE"""),"No")</f>
        <v>No</v>
      </c>
      <c r="AE270" s="5"/>
      <c r="AF270" s="5" t="str">
        <f ca="1">IFERROR(__xludf.DUMMYFUNCTION("""COMPUTED_VALUE"""),"No")</f>
        <v>No</v>
      </c>
      <c r="AG270" s="5"/>
      <c r="AH270" s="5" t="str">
        <f ca="1">IFERROR(__xludf.DUMMYFUNCTION("""COMPUTED_VALUE"""),"No")</f>
        <v>No</v>
      </c>
    </row>
    <row r="271" spans="1:34" ht="12.75">
      <c r="A271" s="5" t="str">
        <f ca="1">IFERROR(__xludf.DUMMYFUNCTION("""COMPUTED_VALUE"""),"20210930MSNEN")</f>
        <v>20210930MSNEN</v>
      </c>
      <c r="B271" s="8">
        <f ca="1">IFERROR(__xludf.DUMMYFUNCTION("""COMPUTED_VALUE"""),44469)</f>
        <v>44469</v>
      </c>
      <c r="C271" s="5" t="str">
        <f ca="1">IFERROR(__xludf.DUMMYFUNCTION("""COMPUTED_VALUE"""),"Newton Elementary School")</f>
        <v>Newton Elementary School</v>
      </c>
      <c r="D271" s="5">
        <f ca="1">IFERROR(__xludf.DUMMYFUNCTION("""COMPUTED_VALUE"""),0)</f>
        <v>0</v>
      </c>
      <c r="E271" s="5">
        <f ca="1">IFERROR(__xludf.DUMMYFUNCTION("""COMPUTED_VALUE"""),1)</f>
        <v>1</v>
      </c>
      <c r="F271" s="5">
        <f ca="1">IFERROR(__xludf.DUMMYFUNCTION("""COMPUTED_VALUE"""),1)</f>
        <v>1</v>
      </c>
      <c r="G271" s="5">
        <f ca="1">IFERROR(__xludf.DUMMYFUNCTION("""COMPUTED_VALUE"""),0)</f>
        <v>0</v>
      </c>
      <c r="H271"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I271" s="5">
        <f ca="1">IFERROR(__xludf.DUMMYFUNCTION("""COMPUTED_VALUE"""),3)</f>
        <v>3</v>
      </c>
      <c r="J271" s="5" t="str">
        <f ca="1">IFERROR(__xludf.DUMMYFUNCTION("""COMPUTED_VALUE"""),"Local")</f>
        <v>Local</v>
      </c>
      <c r="K271" s="5">
        <f ca="1">IFERROR(__xludf.DUMMYFUNCTION("""COMPUTED_VALUE"""),4)</f>
        <v>4</v>
      </c>
      <c r="L271" s="5" t="str">
        <f ca="1">IFERROR(__xludf.DUMMYFUNCTION("""COMPUTED_VALUE"""),"Fall")</f>
        <v>Fall</v>
      </c>
      <c r="M271" s="5" t="str">
        <f ca="1">IFERROR(__xludf.DUMMYFUNCTION("""COMPUTED_VALUE"""),"Newton")</f>
        <v>Newton</v>
      </c>
      <c r="N271" s="5" t="str">
        <f ca="1">IFERROR(__xludf.DUMMYFUNCTION("""COMPUTED_VALUE"""),"MS")</f>
        <v>MS</v>
      </c>
      <c r="O271" s="5" t="str">
        <f ca="1">IFERROR(__xludf.DUMMYFUNCTION("""COMPUTED_VALUE"""),"Elementary")</f>
        <v>Elementary</v>
      </c>
      <c r="P271" s="5" t="str">
        <f ca="1">IFERROR(__xludf.DUMMYFUNCTION("""COMPUTED_VALUE"""),"Outside on School Property")</f>
        <v>Outside on School Property</v>
      </c>
      <c r="Q271" s="5" t="str">
        <f ca="1">IFERROR(__xludf.DUMMYFUNCTION("""COMPUTED_VALUE"""),"Outside on School Property")</f>
        <v>Outside on School Property</v>
      </c>
      <c r="R271" s="5" t="str">
        <f ca="1">IFERROR(__xludf.DUMMYFUNCTION("""COMPUTED_VALUE"""),"Yes")</f>
        <v>Yes</v>
      </c>
      <c r="S271" s="5" t="str">
        <f ca="1">IFERROR(__xludf.DUMMYFUNCTION("""COMPUTED_VALUE"""),"Dismissal")</f>
        <v>Dismissal</v>
      </c>
      <c r="T271" s="10">
        <f ca="1">IFERROR(__xludf.DUMMYFUNCTION("""COMPUTED_VALUE"""),0.6875)</f>
        <v>0.6875</v>
      </c>
      <c r="U271" s="5">
        <f ca="1">IFERROR(__xludf.DUMMYFUNCTION("""COMPUTED_VALUE"""),1)</f>
        <v>1</v>
      </c>
      <c r="V271" s="5" t="str">
        <f ca="1">IFERROR(__xludf.DUMMYFUNCTION("""COMPUTED_VALUE"""),"1st grader shot when gun inside backpack discharged")</f>
        <v>1st grader shot when gun inside backpack discharged</v>
      </c>
      <c r="W271"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X271" s="5" t="str">
        <f ca="1">IFERROR(__xludf.DUMMYFUNCTION("""COMPUTED_VALUE"""),"Accidental")</f>
        <v>Accidental</v>
      </c>
      <c r="Y271" s="5" t="str">
        <f ca="1">IFERROR(__xludf.DUMMYFUNCTION("""COMPUTED_VALUE"""),"Random Shooting")</f>
        <v>Random Shooting</v>
      </c>
      <c r="Z271" s="5" t="str">
        <f ca="1">IFERROR(__xludf.DUMMYFUNCTION("""COMPUTED_VALUE"""),"No")</f>
        <v>No</v>
      </c>
      <c r="AA271" s="5"/>
      <c r="AB271" s="5" t="str">
        <f ca="1">IFERROR(__xludf.DUMMYFUNCTION("""COMPUTED_VALUE"""),"No")</f>
        <v>No</v>
      </c>
      <c r="AC271" s="5" t="str">
        <f ca="1">IFERROR(__xludf.DUMMYFUNCTION("""COMPUTED_VALUE"""),"No")</f>
        <v>No</v>
      </c>
      <c r="AD271" s="5" t="str">
        <f ca="1">IFERROR(__xludf.DUMMYFUNCTION("""COMPUTED_VALUE"""),"No")</f>
        <v>No</v>
      </c>
      <c r="AE271" s="5" t="str">
        <f ca="1">IFERROR(__xludf.DUMMYFUNCTION("""COMPUTED_VALUE"""),"No")</f>
        <v>No</v>
      </c>
      <c r="AF271" s="5" t="str">
        <f ca="1">IFERROR(__xludf.DUMMYFUNCTION("""COMPUTED_VALUE"""),"No")</f>
        <v>No</v>
      </c>
      <c r="AG271" s="5" t="str">
        <f ca="1">IFERROR(__xludf.DUMMYFUNCTION("""COMPUTED_VALUE"""),"No")</f>
        <v>No</v>
      </c>
      <c r="AH271" s="5" t="str">
        <f ca="1">IFERROR(__xludf.DUMMYFUNCTION("""COMPUTED_VALUE"""),"No")</f>
        <v>No</v>
      </c>
    </row>
    <row r="272" spans="1:34" ht="12.75">
      <c r="A272" s="5" t="str">
        <f ca="1">IFERROR(__xludf.DUMMYFUNCTION("""COMPUTED_VALUE"""),"20210929OHSHS")</f>
        <v>20210929OHSHS</v>
      </c>
      <c r="B272" s="8">
        <f ca="1">IFERROR(__xludf.DUMMYFUNCTION("""COMPUTED_VALUE"""),44468)</f>
        <v>44468</v>
      </c>
      <c r="C272" s="5" t="str">
        <f ca="1">IFERROR(__xludf.DUMMYFUNCTION("""COMPUTED_VALUE"""),"Shaker Heights Middle School")</f>
        <v>Shaker Heights Middle School</v>
      </c>
      <c r="D272" s="5">
        <f ca="1">IFERROR(__xludf.DUMMYFUNCTION("""COMPUTED_VALUE"""),0)</f>
        <v>0</v>
      </c>
      <c r="E272" s="5">
        <f ca="1">IFERROR(__xludf.DUMMYFUNCTION("""COMPUTED_VALUE"""),0)</f>
        <v>0</v>
      </c>
      <c r="F272" s="5">
        <f ca="1">IFERROR(__xludf.DUMMYFUNCTION("""COMPUTED_VALUE"""),0)</f>
        <v>0</v>
      </c>
      <c r="G272" s="5">
        <f ca="1">IFERROR(__xludf.DUMMYFUNCTION("""COMPUTED_VALUE"""),0)</f>
        <v>0</v>
      </c>
      <c r="H272" s="9" t="str">
        <f ca="1">IFERROR(__xludf.DUMMYFUNCTION("""COMPUTED_VALUE"""),"https://www.cleveland19.com/2021/09/30/shot-fired-after-middle-school-football-game-east-cleveland/")</f>
        <v>https://www.cleveland19.com/2021/09/30/shot-fired-after-middle-school-football-game-east-cleveland/</v>
      </c>
      <c r="I272" s="5">
        <f ca="1">IFERROR(__xludf.DUMMYFUNCTION("""COMPUTED_VALUE"""),1)</f>
        <v>1</v>
      </c>
      <c r="J272" s="5" t="str">
        <f ca="1">IFERROR(__xludf.DUMMYFUNCTION("""COMPUTED_VALUE"""),"Local")</f>
        <v>Local</v>
      </c>
      <c r="K272" s="5">
        <f ca="1">IFERROR(__xludf.DUMMYFUNCTION("""COMPUTED_VALUE"""),4)</f>
        <v>4</v>
      </c>
      <c r="L272" s="5" t="str">
        <f ca="1">IFERROR(__xludf.DUMMYFUNCTION("""COMPUTED_VALUE"""),"Fall")</f>
        <v>Fall</v>
      </c>
      <c r="M272" s="5" t="str">
        <f ca="1">IFERROR(__xludf.DUMMYFUNCTION("""COMPUTED_VALUE"""),"Shaker Heights")</f>
        <v>Shaker Heights</v>
      </c>
      <c r="N272" s="5" t="str">
        <f ca="1">IFERROR(__xludf.DUMMYFUNCTION("""COMPUTED_VALUE"""),"OH")</f>
        <v>OH</v>
      </c>
      <c r="O272" s="5" t="str">
        <f ca="1">IFERROR(__xludf.DUMMYFUNCTION("""COMPUTED_VALUE"""),"Middle")</f>
        <v>Middle</v>
      </c>
      <c r="P272" s="5" t="str">
        <f ca="1">IFERROR(__xludf.DUMMYFUNCTION("""COMPUTED_VALUE"""),"Parking Lot")</f>
        <v>Parking Lot</v>
      </c>
      <c r="Q272" s="5" t="str">
        <f ca="1">IFERROR(__xludf.DUMMYFUNCTION("""COMPUTED_VALUE"""),"Outside on School Property")</f>
        <v>Outside on School Property</v>
      </c>
      <c r="R272" s="5" t="str">
        <f ca="1">IFERROR(__xludf.DUMMYFUNCTION("""COMPUTED_VALUE"""),"No")</f>
        <v>No</v>
      </c>
      <c r="S272" s="5" t="str">
        <f ca="1">IFERROR(__xludf.DUMMYFUNCTION("""COMPUTED_VALUE"""),"Sport Event")</f>
        <v>Sport Event</v>
      </c>
      <c r="T272" s="10">
        <f ca="1">IFERROR(__xludf.DUMMYFUNCTION("""COMPUTED_VALUE"""),0.770833333333333)</f>
        <v>0.77083333333333304</v>
      </c>
      <c r="U272" s="5">
        <f ca="1">IFERROR(__xludf.DUMMYFUNCTION("""COMPUTED_VALUE"""),1)</f>
        <v>1</v>
      </c>
      <c r="V272" s="5" t="str">
        <f ca="1">IFERROR(__xludf.DUMMYFUNCTION("""COMPUTED_VALUE"""),"Shot fired in school parking lot during football game")</f>
        <v>Shot fired in school parking lot during football game</v>
      </c>
      <c r="W272"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X272" s="5" t="str">
        <f ca="1">IFERROR(__xludf.DUMMYFUNCTION("""COMPUTED_VALUE"""),"Escalation of Dispute")</f>
        <v>Escalation of Dispute</v>
      </c>
      <c r="Y272" s="5" t="str">
        <f ca="1">IFERROR(__xludf.DUMMYFUNCTION("""COMPUTED_VALUE"""),"Neither")</f>
        <v>Neither</v>
      </c>
      <c r="Z272" s="5" t="str">
        <f ca="1">IFERROR(__xludf.DUMMYFUNCTION("""COMPUTED_VALUE"""),"No")</f>
        <v>No</v>
      </c>
      <c r="AA272" s="5"/>
      <c r="AB272" s="5" t="str">
        <f ca="1">IFERROR(__xludf.DUMMYFUNCTION("""COMPUTED_VALUE"""),"No")</f>
        <v>No</v>
      </c>
      <c r="AC272" s="5" t="str">
        <f ca="1">IFERROR(__xludf.DUMMYFUNCTION("""COMPUTED_VALUE"""),"No")</f>
        <v>No</v>
      </c>
      <c r="AD272" s="5" t="str">
        <f ca="1">IFERROR(__xludf.DUMMYFUNCTION("""COMPUTED_VALUE"""),"No")</f>
        <v>No</v>
      </c>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row>
    <row r="273" spans="1:34" ht="12.75">
      <c r="A273" s="5" t="str">
        <f ca="1">IFERROR(__xludf.DUMMYFUNCTION("""COMPUTED_VALUE"""),"20210928MESOS")</f>
        <v>20210928MESOS</v>
      </c>
      <c r="B273" s="8">
        <f ca="1">IFERROR(__xludf.DUMMYFUNCTION("""COMPUTED_VALUE"""),44467)</f>
        <v>44467</v>
      </c>
      <c r="C273" s="5" t="str">
        <f ca="1">IFERROR(__xludf.DUMMYFUNCTION("""COMPUTED_VALUE"""),"South Portland High School")</f>
        <v>South Portland High School</v>
      </c>
      <c r="D273" s="5">
        <f ca="1">IFERROR(__xludf.DUMMYFUNCTION("""COMPUTED_VALUE"""),0)</f>
        <v>0</v>
      </c>
      <c r="E273" s="5">
        <f ca="1">IFERROR(__xludf.DUMMYFUNCTION("""COMPUTED_VALUE"""),1)</f>
        <v>1</v>
      </c>
      <c r="F273" s="5">
        <f ca="1">IFERROR(__xludf.DUMMYFUNCTION("""COMPUTED_VALUE"""),1)</f>
        <v>1</v>
      </c>
      <c r="G273" s="5">
        <f ca="1">IFERROR(__xludf.DUMMYFUNCTION("""COMPUTED_VALUE"""),0)</f>
        <v>0</v>
      </c>
      <c r="H273"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I273" s="5">
        <f ca="1">IFERROR(__xludf.DUMMYFUNCTION("""COMPUTED_VALUE"""),4)</f>
        <v>4</v>
      </c>
      <c r="J273" s="5" t="str">
        <f ca="1">IFERROR(__xludf.DUMMYFUNCTION("""COMPUTED_VALUE"""),"Local")</f>
        <v>Local</v>
      </c>
      <c r="K273" s="5">
        <f ca="1">IFERROR(__xludf.DUMMYFUNCTION("""COMPUTED_VALUE"""),4)</f>
        <v>4</v>
      </c>
      <c r="L273" s="5" t="str">
        <f ca="1">IFERROR(__xludf.DUMMYFUNCTION("""COMPUTED_VALUE"""),"Fall")</f>
        <v>Fall</v>
      </c>
      <c r="M273" s="5" t="str">
        <f ca="1">IFERROR(__xludf.DUMMYFUNCTION("""COMPUTED_VALUE"""),"South Portland")</f>
        <v>South Portland</v>
      </c>
      <c r="N273" s="5" t="str">
        <f ca="1">IFERROR(__xludf.DUMMYFUNCTION("""COMPUTED_VALUE"""),"ME")</f>
        <v>ME</v>
      </c>
      <c r="O273" s="5" t="str">
        <f ca="1">IFERROR(__xludf.DUMMYFUNCTION("""COMPUTED_VALUE"""),"High")</f>
        <v>High</v>
      </c>
      <c r="P273" s="5" t="str">
        <f ca="1">IFERROR(__xludf.DUMMYFUNCTION("""COMPUTED_VALUE"""),"Parking Lot")</f>
        <v>Parking Lot</v>
      </c>
      <c r="Q273" s="5" t="str">
        <f ca="1">IFERROR(__xludf.DUMMYFUNCTION("""COMPUTED_VALUE"""),"Outside on School Property")</f>
        <v>Outside on School Property</v>
      </c>
      <c r="R273" s="5" t="str">
        <f ca="1">IFERROR(__xludf.DUMMYFUNCTION("""COMPUTED_VALUE"""),"No")</f>
        <v>No</v>
      </c>
      <c r="S273" s="5" t="str">
        <f ca="1">IFERROR(__xludf.DUMMYFUNCTION("""COMPUTED_VALUE"""),"Evening")</f>
        <v>Evening</v>
      </c>
      <c r="T273" s="10">
        <f ca="1">IFERROR(__xludf.DUMMYFUNCTION("""COMPUTED_VALUE"""),0.859722222222222)</f>
        <v>0.85972222222222205</v>
      </c>
      <c r="U273" s="5">
        <f ca="1">IFERROR(__xludf.DUMMYFUNCTION("""COMPUTED_VALUE"""),1)</f>
        <v>1</v>
      </c>
      <c r="V273" s="5" t="str">
        <f ca="1">IFERROR(__xludf.DUMMYFUNCTION("""COMPUTED_VALUE"""),"Teen shot in school parking lot")</f>
        <v>Teen shot in school parking lot</v>
      </c>
      <c r="W273"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X273" s="5"/>
      <c r="Y273" s="5" t="str">
        <f ca="1">IFERROR(__xludf.DUMMYFUNCTION("""COMPUTED_VALUE"""),"Victims Targeted")</f>
        <v>Victims Targeted</v>
      </c>
      <c r="Z273" s="5" t="str">
        <f ca="1">IFERROR(__xludf.DUMMYFUNCTION("""COMPUTED_VALUE"""),"No")</f>
        <v>No</v>
      </c>
      <c r="AA273" s="5"/>
      <c r="AB273" s="5" t="str">
        <f ca="1">IFERROR(__xludf.DUMMYFUNCTION("""COMPUTED_VALUE"""),"No")</f>
        <v>No</v>
      </c>
      <c r="AC273" s="5" t="str">
        <f ca="1">IFERROR(__xludf.DUMMYFUNCTION("""COMPUTED_VALUE"""),"No")</f>
        <v>No</v>
      </c>
      <c r="AD273" s="5" t="str">
        <f ca="1">IFERROR(__xludf.DUMMYFUNCTION("""COMPUTED_VALUE"""),"No")</f>
        <v>No</v>
      </c>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row>
    <row r="274" spans="1:34" ht="12.75">
      <c r="A274" s="5" t="str">
        <f ca="1">IFERROR(__xludf.DUMMYFUNCTION("""COMPUTED_VALUE"""),"20210927ILCAC")</f>
        <v>20210927ILCAC</v>
      </c>
      <c r="B274" s="8">
        <f ca="1">IFERROR(__xludf.DUMMYFUNCTION("""COMPUTED_VALUE"""),44466)</f>
        <v>44466</v>
      </c>
      <c r="C274" s="5" t="str">
        <f ca="1">IFERROR(__xludf.DUMMYFUNCTION("""COMPUTED_VALUE"""),"Canterbury Elementary School")</f>
        <v>Canterbury Elementary School</v>
      </c>
      <c r="D274" s="5">
        <f ca="1">IFERROR(__xludf.DUMMYFUNCTION("""COMPUTED_VALUE"""),0)</f>
        <v>0</v>
      </c>
      <c r="E274" s="5">
        <f ca="1">IFERROR(__xludf.DUMMYFUNCTION("""COMPUTED_VALUE"""),0)</f>
        <v>0</v>
      </c>
      <c r="F274" s="5">
        <f ca="1">IFERROR(__xludf.DUMMYFUNCTION("""COMPUTED_VALUE"""),0)</f>
        <v>0</v>
      </c>
      <c r="G274" s="5">
        <f ca="1">IFERROR(__xludf.DUMMYFUNCTION("""COMPUTED_VALUE"""),0)</f>
        <v>0</v>
      </c>
      <c r="H274"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I274" s="5">
        <f ca="1">IFERROR(__xludf.DUMMYFUNCTION("""COMPUTED_VALUE"""),1)</f>
        <v>1</v>
      </c>
      <c r="J274" s="5" t="str">
        <f ca="1">IFERROR(__xludf.DUMMYFUNCTION("""COMPUTED_VALUE"""),"Local")</f>
        <v>Local</v>
      </c>
      <c r="K274" s="5">
        <f ca="1">IFERROR(__xludf.DUMMYFUNCTION("""COMPUTED_VALUE"""),4)</f>
        <v>4</v>
      </c>
      <c r="L274" s="5" t="str">
        <f ca="1">IFERROR(__xludf.DUMMYFUNCTION("""COMPUTED_VALUE"""),"Fall")</f>
        <v>Fall</v>
      </c>
      <c r="M274" s="5" t="str">
        <f ca="1">IFERROR(__xludf.DUMMYFUNCTION("""COMPUTED_VALUE"""),"Crystal Lake")</f>
        <v>Crystal Lake</v>
      </c>
      <c r="N274" s="5" t="str">
        <f ca="1">IFERROR(__xludf.DUMMYFUNCTION("""COMPUTED_VALUE"""),"IL")</f>
        <v>IL</v>
      </c>
      <c r="O274" s="5" t="str">
        <f ca="1">IFERROR(__xludf.DUMMYFUNCTION("""COMPUTED_VALUE"""),"Elementary")</f>
        <v>Elementary</v>
      </c>
      <c r="P274" s="5" t="str">
        <f ca="1">IFERROR(__xludf.DUMMYFUNCTION("""COMPUTED_VALUE"""),"Playground")</f>
        <v>Playground</v>
      </c>
      <c r="Q274" s="5" t="str">
        <f ca="1">IFERROR(__xludf.DUMMYFUNCTION("""COMPUTED_VALUE"""),"Outside on School Property")</f>
        <v>Outside on School Property</v>
      </c>
      <c r="R274" s="5" t="str">
        <f ca="1">IFERROR(__xludf.DUMMYFUNCTION("""COMPUTED_VALUE"""),"Yes")</f>
        <v>Yes</v>
      </c>
      <c r="S274" s="5" t="str">
        <f ca="1">IFERROR(__xludf.DUMMYFUNCTION("""COMPUTED_VALUE"""),"Lunch")</f>
        <v>Lunch</v>
      </c>
      <c r="T274" s="10">
        <f ca="1">IFERROR(__xludf.DUMMYFUNCTION("""COMPUTED_VALUE"""),0.5)</f>
        <v>0.5</v>
      </c>
      <c r="U274" s="5"/>
      <c r="V274" s="5" t="str">
        <f ca="1">IFERROR(__xludf.DUMMYFUNCTION("""COMPUTED_VALUE"""),"Police called for student with gun on the playground, arrested student with BB gun")</f>
        <v>Police called for student with gun on the playground, arrested student with BB gun</v>
      </c>
      <c r="W274"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X274" s="5"/>
      <c r="Y274" s="5"/>
      <c r="Z274" s="5" t="str">
        <f ca="1">IFERROR(__xludf.DUMMYFUNCTION("""COMPUTED_VALUE"""),"No")</f>
        <v>No</v>
      </c>
      <c r="AA274" s="5"/>
      <c r="AB274" s="5" t="str">
        <f ca="1">IFERROR(__xludf.DUMMYFUNCTION("""COMPUTED_VALUE"""),"No")</f>
        <v>No</v>
      </c>
      <c r="AC274" s="5" t="str">
        <f ca="1">IFERROR(__xludf.DUMMYFUNCTION("""COMPUTED_VALUE"""),"No")</f>
        <v>No</v>
      </c>
      <c r="AD274" s="5" t="str">
        <f ca="1">IFERROR(__xludf.DUMMYFUNCTION("""COMPUTED_VALUE"""),"No")</f>
        <v>No</v>
      </c>
      <c r="AE274" s="5"/>
      <c r="AF274" s="5" t="str">
        <f ca="1">IFERROR(__xludf.DUMMYFUNCTION("""COMPUTED_VALUE"""),"No")</f>
        <v>No</v>
      </c>
      <c r="AG274" s="5" t="str">
        <f ca="1">IFERROR(__xludf.DUMMYFUNCTION("""COMPUTED_VALUE"""),"No")</f>
        <v>No</v>
      </c>
      <c r="AH274" s="5" t="str">
        <f ca="1">IFERROR(__xludf.DUMMYFUNCTION("""COMPUTED_VALUE"""),"No")</f>
        <v>No</v>
      </c>
    </row>
    <row r="275" spans="1:34" ht="12.75">
      <c r="A275" s="5" t="str">
        <f ca="1">IFERROR(__xludf.DUMMYFUNCTION("""COMPUTED_VALUE"""),"20210924VAESE")</f>
        <v>20210924VAESE</v>
      </c>
      <c r="B275" s="8">
        <f ca="1">IFERROR(__xludf.DUMMYFUNCTION("""COMPUTED_VALUE"""),44463)</f>
        <v>44463</v>
      </c>
      <c r="C275" s="5" t="str">
        <f ca="1">IFERROR(__xludf.DUMMYFUNCTION("""COMPUTED_VALUE"""),"Essex High School")</f>
        <v>Essex High School</v>
      </c>
      <c r="D275" s="5">
        <f ca="1">IFERROR(__xludf.DUMMYFUNCTION("""COMPUTED_VALUE"""),0)</f>
        <v>0</v>
      </c>
      <c r="E275" s="5">
        <f ca="1">IFERROR(__xludf.DUMMYFUNCTION("""COMPUTED_VALUE"""),0)</f>
        <v>0</v>
      </c>
      <c r="F275" s="5">
        <f ca="1">IFERROR(__xludf.DUMMYFUNCTION("""COMPUTED_VALUE"""),0)</f>
        <v>0</v>
      </c>
      <c r="G275" s="5">
        <f ca="1">IFERROR(__xludf.DUMMYFUNCTION("""COMPUTED_VALUE"""),0)</f>
        <v>0</v>
      </c>
      <c r="H275"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I275" s="5">
        <f ca="1">IFERROR(__xludf.DUMMYFUNCTION("""COMPUTED_VALUE"""),10)</f>
        <v>10</v>
      </c>
      <c r="J275" s="5" t="str">
        <f ca="1">IFERROR(__xludf.DUMMYFUNCTION("""COMPUTED_VALUE"""),"Local")</f>
        <v>Local</v>
      </c>
      <c r="K275" s="5">
        <f ca="1">IFERROR(__xludf.DUMMYFUNCTION("""COMPUTED_VALUE"""),4)</f>
        <v>4</v>
      </c>
      <c r="L275" s="5" t="str">
        <f ca="1">IFERROR(__xludf.DUMMYFUNCTION("""COMPUTED_VALUE"""),"Fall")</f>
        <v>Fall</v>
      </c>
      <c r="M275" s="5" t="str">
        <f ca="1">IFERROR(__xludf.DUMMYFUNCTION("""COMPUTED_VALUE"""),"Essex")</f>
        <v>Essex</v>
      </c>
      <c r="N275" s="5" t="str">
        <f ca="1">IFERROR(__xludf.DUMMYFUNCTION("""COMPUTED_VALUE"""),"VA")</f>
        <v>VA</v>
      </c>
      <c r="O275" s="5" t="str">
        <f ca="1">IFERROR(__xludf.DUMMYFUNCTION("""COMPUTED_VALUE"""),"High")</f>
        <v>High</v>
      </c>
      <c r="P275" s="5" t="str">
        <f ca="1">IFERROR(__xludf.DUMMYFUNCTION("""COMPUTED_VALUE"""),"Football Field/Track")</f>
        <v>Football Field/Track</v>
      </c>
      <c r="Q275" s="5" t="str">
        <f ca="1">IFERROR(__xludf.DUMMYFUNCTION("""COMPUTED_VALUE"""),"Outside on School Property")</f>
        <v>Outside on School Property</v>
      </c>
      <c r="R275" s="5" t="str">
        <f ca="1">IFERROR(__xludf.DUMMYFUNCTION("""COMPUTED_VALUE"""),"No")</f>
        <v>No</v>
      </c>
      <c r="S275" s="5" t="str">
        <f ca="1">IFERROR(__xludf.DUMMYFUNCTION("""COMPUTED_VALUE"""),"Sport Event")</f>
        <v>Sport Event</v>
      </c>
      <c r="T275" s="10">
        <f ca="1">IFERROR(__xludf.DUMMYFUNCTION("""COMPUTED_VALUE"""),0.847222222222222)</f>
        <v>0.84722222222222199</v>
      </c>
      <c r="U275" s="5">
        <f ca="1">IFERROR(__xludf.DUMMYFUNCTION("""COMPUTED_VALUE"""),10)</f>
        <v>10</v>
      </c>
      <c r="V275" s="5" t="str">
        <f ca="1">IFERROR(__xludf.DUMMYFUNCTION("""COMPUTED_VALUE"""),"Shots fired near ticket booth and softball field during football game")</f>
        <v>Shots fired near ticket booth and softball field during football game</v>
      </c>
      <c r="W275"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X275" s="5" t="str">
        <f ca="1">IFERROR(__xludf.DUMMYFUNCTION("""COMPUTED_VALUE"""),"Escalation of Dispute")</f>
        <v>Escalation of Dispute</v>
      </c>
      <c r="Y275" s="5" t="str">
        <f ca="1">IFERROR(__xludf.DUMMYFUNCTION("""COMPUTED_VALUE"""),"Neither")</f>
        <v>Neither</v>
      </c>
      <c r="Z275" s="5" t="str">
        <f ca="1">IFERROR(__xludf.DUMMYFUNCTION("""COMPUTED_VALUE"""),"No")</f>
        <v>No</v>
      </c>
      <c r="AA275" s="5"/>
      <c r="AB275" s="5" t="str">
        <f ca="1">IFERROR(__xludf.DUMMYFUNCTION("""COMPUTED_VALUE"""),"No")</f>
        <v>No</v>
      </c>
      <c r="AC275" s="5" t="str">
        <f ca="1">IFERROR(__xludf.DUMMYFUNCTION("""COMPUTED_VALUE"""),"No")</f>
        <v>No</v>
      </c>
      <c r="AD275" s="5" t="str">
        <f ca="1">IFERROR(__xludf.DUMMYFUNCTION("""COMPUTED_VALUE"""),"No")</f>
        <v>No</v>
      </c>
      <c r="AE275" s="5" t="str">
        <f ca="1">IFERROR(__xludf.DUMMYFUNCTION("""COMPUTED_VALUE"""),"No")</f>
        <v>No</v>
      </c>
      <c r="AF275" s="5" t="str">
        <f ca="1">IFERROR(__xludf.DUMMYFUNCTION("""COMPUTED_VALUE"""),"No")</f>
        <v>No</v>
      </c>
      <c r="AG275" s="5"/>
      <c r="AH275" s="5" t="str">
        <f ca="1">IFERROR(__xludf.DUMMYFUNCTION("""COMPUTED_VALUE"""),"No")</f>
        <v>No</v>
      </c>
    </row>
    <row r="276" spans="1:34" ht="12.75">
      <c r="A276" s="5" t="str">
        <f ca="1">IFERROR(__xludf.DUMMYFUNCTION("""COMPUTED_VALUE"""),"20210924TNSTS")</f>
        <v>20210924TNSTS</v>
      </c>
      <c r="B276" s="8">
        <f ca="1">IFERROR(__xludf.DUMMYFUNCTION("""COMPUTED_VALUE"""),44463)</f>
        <v>44463</v>
      </c>
      <c r="C276" s="5" t="str">
        <f ca="1">IFERROR(__xludf.DUMMYFUNCTION("""COMPUTED_VALUE"""),"Stewarts Creek High School")</f>
        <v>Stewarts Creek High School</v>
      </c>
      <c r="D276" s="5">
        <f ca="1">IFERROR(__xludf.DUMMYFUNCTION("""COMPUTED_VALUE"""),0)</f>
        <v>0</v>
      </c>
      <c r="E276" s="5">
        <f ca="1">IFERROR(__xludf.DUMMYFUNCTION("""COMPUTED_VALUE"""),0)</f>
        <v>0</v>
      </c>
      <c r="F276" s="5">
        <f ca="1">IFERROR(__xludf.DUMMYFUNCTION("""COMPUTED_VALUE"""),0)</f>
        <v>0</v>
      </c>
      <c r="G276" s="5">
        <f ca="1">IFERROR(__xludf.DUMMYFUNCTION("""COMPUTED_VALUE"""),0)</f>
        <v>0</v>
      </c>
      <c r="H276"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I276" s="5">
        <f ca="1">IFERROR(__xludf.DUMMYFUNCTION("""COMPUTED_VALUE"""),3)</f>
        <v>3</v>
      </c>
      <c r="J276" s="5" t="str">
        <f ca="1">IFERROR(__xludf.DUMMYFUNCTION("""COMPUTED_VALUE"""),"Local")</f>
        <v>Local</v>
      </c>
      <c r="K276" s="5">
        <f ca="1">IFERROR(__xludf.DUMMYFUNCTION("""COMPUTED_VALUE"""),4)</f>
        <v>4</v>
      </c>
      <c r="L276" s="5" t="str">
        <f ca="1">IFERROR(__xludf.DUMMYFUNCTION("""COMPUTED_VALUE"""),"Fall")</f>
        <v>Fall</v>
      </c>
      <c r="M276" s="5" t="str">
        <f ca="1">IFERROR(__xludf.DUMMYFUNCTION("""COMPUTED_VALUE"""),"Smyrna")</f>
        <v>Smyrna</v>
      </c>
      <c r="N276" s="5" t="str">
        <f ca="1">IFERROR(__xludf.DUMMYFUNCTION("""COMPUTED_VALUE"""),"FL")</f>
        <v>FL</v>
      </c>
      <c r="O276" s="5" t="str">
        <f ca="1">IFERROR(__xludf.DUMMYFUNCTION("""COMPUTED_VALUE"""),"High")</f>
        <v>High</v>
      </c>
      <c r="P276" s="5" t="str">
        <f ca="1">IFERROR(__xludf.DUMMYFUNCTION("""COMPUTED_VALUE"""),"Parking Lot")</f>
        <v>Parking Lot</v>
      </c>
      <c r="Q276" s="5" t="str">
        <f ca="1">IFERROR(__xludf.DUMMYFUNCTION("""COMPUTED_VALUE"""),"Outside on School Property")</f>
        <v>Outside on School Property</v>
      </c>
      <c r="R276" s="5" t="str">
        <f ca="1">IFERROR(__xludf.DUMMYFUNCTION("""COMPUTED_VALUE"""),"No")</f>
        <v>No</v>
      </c>
      <c r="S276" s="5" t="str">
        <f ca="1">IFERROR(__xludf.DUMMYFUNCTION("""COMPUTED_VALUE"""),"Sport Event")</f>
        <v>Sport Event</v>
      </c>
      <c r="T276" s="10">
        <f ca="1">IFERROR(__xludf.DUMMYFUNCTION("""COMPUTED_VALUE"""),0.854166666666666)</f>
        <v>0.85416666666666596</v>
      </c>
      <c r="U276" s="5">
        <f ca="1">IFERROR(__xludf.DUMMYFUNCTION("""COMPUTED_VALUE"""),1)</f>
        <v>1</v>
      </c>
      <c r="V276" s="5" t="str">
        <f ca="1">IFERROR(__xludf.DUMMYFUNCTION("""COMPUTED_VALUE"""),"Teen fired shots into the air during a fight in the parking lot during a football game")</f>
        <v>Teen fired shots into the air during a fight in the parking lot during a football game</v>
      </c>
      <c r="W276"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X276" s="5" t="str">
        <f ca="1">IFERROR(__xludf.DUMMYFUNCTION("""COMPUTED_VALUE"""),"Escalation of Dispute")</f>
        <v>Escalation of Dispute</v>
      </c>
      <c r="Y276" s="5" t="str">
        <f ca="1">IFERROR(__xludf.DUMMYFUNCTION("""COMPUTED_VALUE"""),"Neither")</f>
        <v>Neither</v>
      </c>
      <c r="Z276" s="5" t="str">
        <f ca="1">IFERROR(__xludf.DUMMYFUNCTION("""COMPUTED_VALUE"""),"No")</f>
        <v>No</v>
      </c>
      <c r="AA276" s="5"/>
      <c r="AB276" s="5"/>
      <c r="AC276" s="5" t="str">
        <f ca="1">IFERROR(__xludf.DUMMYFUNCTION("""COMPUTED_VALUE"""),"No")</f>
        <v>No</v>
      </c>
      <c r="AD276" s="5" t="str">
        <f ca="1">IFERROR(__xludf.DUMMYFUNCTION("""COMPUTED_VALUE"""),"No")</f>
        <v>No</v>
      </c>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row>
    <row r="277" spans="1:34" ht="12.75">
      <c r="A277" s="5" t="str">
        <f ca="1">IFERROR(__xludf.DUMMYFUNCTION("""COMPUTED_VALUE"""),"20210924MDWIB")</f>
        <v>20210924MDWIB</v>
      </c>
      <c r="B277" s="8">
        <f ca="1">IFERROR(__xludf.DUMMYFUNCTION("""COMPUTED_VALUE"""),44463)</f>
        <v>44463</v>
      </c>
      <c r="C277" s="5" t="str">
        <f ca="1">IFERROR(__xludf.DUMMYFUNCTION("""COMPUTED_VALUE"""),"Wildwood Elementary/Middle School")</f>
        <v>Wildwood Elementary/Middle School</v>
      </c>
      <c r="D277" s="5">
        <f ca="1">IFERROR(__xludf.DUMMYFUNCTION("""COMPUTED_VALUE"""),0)</f>
        <v>0</v>
      </c>
      <c r="E277" s="5">
        <f ca="1">IFERROR(__xludf.DUMMYFUNCTION("""COMPUTED_VALUE"""),1)</f>
        <v>1</v>
      </c>
      <c r="F277" s="5">
        <f ca="1">IFERROR(__xludf.DUMMYFUNCTION("""COMPUTED_VALUE"""),1)</f>
        <v>1</v>
      </c>
      <c r="G277" s="5">
        <f ca="1">IFERROR(__xludf.DUMMYFUNCTION("""COMPUTED_VALUE"""),0)</f>
        <v>0</v>
      </c>
      <c r="H277"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I277" s="5">
        <f ca="1">IFERROR(__xludf.DUMMYFUNCTION("""COMPUTED_VALUE"""),1)</f>
        <v>1</v>
      </c>
      <c r="J277" s="5" t="str">
        <f ca="1">IFERROR(__xludf.DUMMYFUNCTION("""COMPUTED_VALUE"""),"Local")</f>
        <v>Local</v>
      </c>
      <c r="K277" s="5">
        <f ca="1">IFERROR(__xludf.DUMMYFUNCTION("""COMPUTED_VALUE"""),3)</f>
        <v>3</v>
      </c>
      <c r="L277" s="5" t="str">
        <f ca="1">IFERROR(__xludf.DUMMYFUNCTION("""COMPUTED_VALUE"""),"Fall")</f>
        <v>Fall</v>
      </c>
      <c r="M277" s="5" t="str">
        <f ca="1">IFERROR(__xludf.DUMMYFUNCTION("""COMPUTED_VALUE"""),"Baltimore")</f>
        <v>Baltimore</v>
      </c>
      <c r="N277" s="5" t="str">
        <f ca="1">IFERROR(__xludf.DUMMYFUNCTION("""COMPUTED_VALUE"""),"MD")</f>
        <v>MD</v>
      </c>
      <c r="O277" s="5" t="str">
        <f ca="1">IFERROR(__xludf.DUMMYFUNCTION("""COMPUTED_VALUE"""),"K-8")</f>
        <v>K-8</v>
      </c>
      <c r="P277" s="5" t="str">
        <f ca="1">IFERROR(__xludf.DUMMYFUNCTION("""COMPUTED_VALUE"""),"Outside on School Property")</f>
        <v>Outside on School Property</v>
      </c>
      <c r="Q277" s="5" t="str">
        <f ca="1">IFERROR(__xludf.DUMMYFUNCTION("""COMPUTED_VALUE"""),"Outside on School Property")</f>
        <v>Outside on School Property</v>
      </c>
      <c r="R277" s="5" t="str">
        <f ca="1">IFERROR(__xludf.DUMMYFUNCTION("""COMPUTED_VALUE"""),"No")</f>
        <v>No</v>
      </c>
      <c r="S277" s="5" t="str">
        <f ca="1">IFERROR(__xludf.DUMMYFUNCTION("""COMPUTED_VALUE"""),"Evening")</f>
        <v>Evening</v>
      </c>
      <c r="T277" s="10">
        <f ca="1">IFERROR(__xludf.DUMMYFUNCTION("""COMPUTED_VALUE"""),0.799305555555555)</f>
        <v>0.79930555555555505</v>
      </c>
      <c r="U277" s="5">
        <f ca="1">IFERROR(__xludf.DUMMYFUNCTION("""COMPUTED_VALUE"""),1)</f>
        <v>1</v>
      </c>
      <c r="V277" s="5" t="str">
        <f ca="1">IFERROR(__xludf.DUMMYFUNCTION("""COMPUTED_VALUE"""),"Teen shot outside of school")</f>
        <v>Teen shot outside of school</v>
      </c>
      <c r="W277" s="5" t="str">
        <f ca="1">IFERROR(__xludf.DUMMYFUNCTION("""COMPUTED_VALUE"""),"18-year-old male was shot outside of the school. Shooter fled.")</f>
        <v>18-year-old male was shot outside of the school. Shooter fled.</v>
      </c>
      <c r="X277" s="5"/>
      <c r="Y277" s="5" t="str">
        <f ca="1">IFERROR(__xludf.DUMMYFUNCTION("""COMPUTED_VALUE"""),"Victims Targeted")</f>
        <v>Victims Targeted</v>
      </c>
      <c r="Z277" s="5" t="str">
        <f ca="1">IFERROR(__xludf.DUMMYFUNCTION("""COMPUTED_VALUE"""),"No")</f>
        <v>No</v>
      </c>
      <c r="AA277" s="5"/>
      <c r="AB277" s="5" t="str">
        <f ca="1">IFERROR(__xludf.DUMMYFUNCTION("""COMPUTED_VALUE"""),"No")</f>
        <v>No</v>
      </c>
      <c r="AC277" s="5" t="str">
        <f ca="1">IFERROR(__xludf.DUMMYFUNCTION("""COMPUTED_VALUE"""),"No")</f>
        <v>No</v>
      </c>
      <c r="AD277" s="5" t="str">
        <f ca="1">IFERROR(__xludf.DUMMYFUNCTION("""COMPUTED_VALUE"""),"No")</f>
        <v>No</v>
      </c>
      <c r="AE277" s="5" t="str">
        <f ca="1">IFERROR(__xludf.DUMMYFUNCTION("""COMPUTED_VALUE"""),"No")</f>
        <v>No</v>
      </c>
      <c r="AF277" s="5" t="str">
        <f ca="1">IFERROR(__xludf.DUMMYFUNCTION("""COMPUTED_VALUE"""),"No")</f>
        <v>No</v>
      </c>
      <c r="AG277" s="5"/>
      <c r="AH277" s="5" t="str">
        <f ca="1">IFERROR(__xludf.DUMMYFUNCTION("""COMPUTED_VALUE"""),"No")</f>
        <v>No</v>
      </c>
    </row>
    <row r="278" spans="1:34" ht="12.75">
      <c r="A278" s="5" t="str">
        <f ca="1">IFERROR(__xludf.DUMMYFUNCTION("""COMPUTED_VALUE"""),"20210924ALFAF")</f>
        <v>20210924ALFAF</v>
      </c>
      <c r="B278" s="8">
        <f ca="1">IFERROR(__xludf.DUMMYFUNCTION("""COMPUTED_VALUE"""),44463)</f>
        <v>44463</v>
      </c>
      <c r="C278" s="5" t="str">
        <f ca="1">IFERROR(__xludf.DUMMYFUNCTION("""COMPUTED_VALUE"""),"Fairfield High Preparatory School")</f>
        <v>Fairfield High Preparatory School</v>
      </c>
      <c r="D278" s="5">
        <f ca="1">IFERROR(__xludf.DUMMYFUNCTION("""COMPUTED_VALUE"""),0)</f>
        <v>0</v>
      </c>
      <c r="E278" s="5">
        <f ca="1">IFERROR(__xludf.DUMMYFUNCTION("""COMPUTED_VALUE"""),1)</f>
        <v>1</v>
      </c>
      <c r="F278" s="5">
        <f ca="1">IFERROR(__xludf.DUMMYFUNCTION("""COMPUTED_VALUE"""),1)</f>
        <v>1</v>
      </c>
      <c r="G278" s="5">
        <f ca="1">IFERROR(__xludf.DUMMYFUNCTION("""COMPUTED_VALUE"""),0)</f>
        <v>0</v>
      </c>
      <c r="H278"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I278" s="5">
        <f ca="1">IFERROR(__xludf.DUMMYFUNCTION("""COMPUTED_VALUE"""),100)</f>
        <v>100</v>
      </c>
      <c r="J278" s="5" t="str">
        <f ca="1">IFERROR(__xludf.DUMMYFUNCTION("""COMPUTED_VALUE"""),"National")</f>
        <v>National</v>
      </c>
      <c r="K278" s="5">
        <f ca="1">IFERROR(__xludf.DUMMYFUNCTION("""COMPUTED_VALUE"""),4)</f>
        <v>4</v>
      </c>
      <c r="L278" s="5" t="str">
        <f ca="1">IFERROR(__xludf.DUMMYFUNCTION("""COMPUTED_VALUE"""),"Fall")</f>
        <v>Fall</v>
      </c>
      <c r="M278" s="5" t="str">
        <f ca="1">IFERROR(__xludf.DUMMYFUNCTION("""COMPUTED_VALUE"""),"Fairfield")</f>
        <v>Fairfield</v>
      </c>
      <c r="N278" s="5" t="str">
        <f ca="1">IFERROR(__xludf.DUMMYFUNCTION("""COMPUTED_VALUE"""),"AL")</f>
        <v>AL</v>
      </c>
      <c r="O278" s="5" t="str">
        <f ca="1">IFERROR(__xludf.DUMMYFUNCTION("""COMPUTED_VALUE"""),"High")</f>
        <v>High</v>
      </c>
      <c r="P278" s="5" t="str">
        <f ca="1">IFERROR(__xludf.DUMMYFUNCTION("""COMPUTED_VALUE"""),"Parking Lot")</f>
        <v>Parking Lot</v>
      </c>
      <c r="Q278" s="5" t="str">
        <f ca="1">IFERROR(__xludf.DUMMYFUNCTION("""COMPUTED_VALUE"""),"Outside on School Property")</f>
        <v>Outside on School Property</v>
      </c>
      <c r="R278" s="5" t="str">
        <f ca="1">IFERROR(__xludf.DUMMYFUNCTION("""COMPUTED_VALUE"""),"No")</f>
        <v>No</v>
      </c>
      <c r="S278" s="5" t="str">
        <f ca="1">IFERROR(__xludf.DUMMYFUNCTION("""COMPUTED_VALUE"""),"Sport Event")</f>
        <v>Sport Event</v>
      </c>
      <c r="T278" s="10">
        <f ca="1">IFERROR(__xludf.DUMMYFUNCTION("""COMPUTED_VALUE"""),0.907638888888888)</f>
        <v>0.907638888888888</v>
      </c>
      <c r="U278" s="5">
        <f ca="1">IFERROR(__xludf.DUMMYFUNCTION("""COMPUTED_VALUE"""),1)</f>
        <v>1</v>
      </c>
      <c r="V278" s="5" t="str">
        <f ca="1">IFERROR(__xludf.DUMMYFUNCTION("""COMPUTED_VALUE"""),"Shots fired at visiting fans in the parking lot")</f>
        <v>Shots fired at visiting fans in the parking lot</v>
      </c>
      <c r="W278"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X278" s="5" t="str">
        <f ca="1">IFERROR(__xludf.DUMMYFUNCTION("""COMPUTED_VALUE"""),"Indiscriminate Shooting")</f>
        <v>Indiscriminate Shooting</v>
      </c>
      <c r="Y278" s="5" t="str">
        <f ca="1">IFERROR(__xludf.DUMMYFUNCTION("""COMPUTED_VALUE"""),"Random Shooting")</f>
        <v>Random Shooting</v>
      </c>
      <c r="Z278" s="5" t="str">
        <f ca="1">IFERROR(__xludf.DUMMYFUNCTION("""COMPUTED_VALUE"""),"No")</f>
        <v>No</v>
      </c>
      <c r="AA278" s="5"/>
      <c r="AB278" s="5" t="str">
        <f ca="1">IFERROR(__xludf.DUMMYFUNCTION("""COMPUTED_VALUE"""),"No")</f>
        <v>No</v>
      </c>
      <c r="AC278" s="5" t="str">
        <f ca="1">IFERROR(__xludf.DUMMYFUNCTION("""COMPUTED_VALUE"""),"No")</f>
        <v>No</v>
      </c>
      <c r="AD278" s="5" t="str">
        <f ca="1">IFERROR(__xludf.DUMMYFUNCTION("""COMPUTED_VALUE"""),"No")</f>
        <v>No</v>
      </c>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row>
    <row r="279" spans="1:34" ht="12.75">
      <c r="A279" s="5" t="str">
        <f ca="1">IFERROR(__xludf.DUMMYFUNCTION("""COMPUTED_VALUE"""),"20210923IDRIR")</f>
        <v>20210923IDRIR</v>
      </c>
      <c r="B279" s="8">
        <f ca="1">IFERROR(__xludf.DUMMYFUNCTION("""COMPUTED_VALUE"""),44462)</f>
        <v>44462</v>
      </c>
      <c r="C279" s="5" t="str">
        <f ca="1">IFERROR(__xludf.DUMMYFUNCTION("""COMPUTED_VALUE"""),"Rigby Middle School")</f>
        <v>Rigby Middle School</v>
      </c>
      <c r="D279" s="5">
        <f ca="1">IFERROR(__xludf.DUMMYFUNCTION("""COMPUTED_VALUE"""),0)</f>
        <v>0</v>
      </c>
      <c r="E279" s="5">
        <f ca="1">IFERROR(__xludf.DUMMYFUNCTION("""COMPUTED_VALUE"""),0)</f>
        <v>0</v>
      </c>
      <c r="F279" s="5">
        <f ca="1">IFERROR(__xludf.DUMMYFUNCTION("""COMPUTED_VALUE"""),0)</f>
        <v>0</v>
      </c>
      <c r="G279" s="5">
        <f ca="1">IFERROR(__xludf.DUMMYFUNCTION("""COMPUTED_VALUE"""),0)</f>
        <v>0</v>
      </c>
      <c r="H279"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I279" s="5">
        <f ca="1">IFERROR(__xludf.DUMMYFUNCTION("""COMPUTED_VALUE"""),5)</f>
        <v>5</v>
      </c>
      <c r="J279" s="5" t="str">
        <f ca="1">IFERROR(__xludf.DUMMYFUNCTION("""COMPUTED_VALUE"""),"Local")</f>
        <v>Local</v>
      </c>
      <c r="K279" s="5">
        <f ca="1">IFERROR(__xludf.DUMMYFUNCTION("""COMPUTED_VALUE"""),4)</f>
        <v>4</v>
      </c>
      <c r="L279" s="5" t="str">
        <f ca="1">IFERROR(__xludf.DUMMYFUNCTION("""COMPUTED_VALUE"""),"Fall")</f>
        <v>Fall</v>
      </c>
      <c r="M279" s="5" t="str">
        <f ca="1">IFERROR(__xludf.DUMMYFUNCTION("""COMPUTED_VALUE"""),"Rigby")</f>
        <v>Rigby</v>
      </c>
      <c r="N279" s="5" t="str">
        <f ca="1">IFERROR(__xludf.DUMMYFUNCTION("""COMPUTED_VALUE"""),"ID")</f>
        <v>ID</v>
      </c>
      <c r="O279" s="5" t="str">
        <f ca="1">IFERROR(__xludf.DUMMYFUNCTION("""COMPUTED_VALUE"""),"Middle")</f>
        <v>Middle</v>
      </c>
      <c r="P279" s="5" t="str">
        <f ca="1">IFERROR(__xludf.DUMMYFUNCTION("""COMPUTED_VALUE"""),"Bathroom")</f>
        <v>Bathroom</v>
      </c>
      <c r="Q279" s="5" t="str">
        <f ca="1">IFERROR(__xludf.DUMMYFUNCTION("""COMPUTED_VALUE"""),"Inside School Building")</f>
        <v>Inside School Building</v>
      </c>
      <c r="R279" s="5" t="str">
        <f ca="1">IFERROR(__xludf.DUMMYFUNCTION("""COMPUTED_VALUE"""),"Yes")</f>
        <v>Yes</v>
      </c>
      <c r="S279" s="5" t="str">
        <f ca="1">IFERROR(__xludf.DUMMYFUNCTION("""COMPUTED_VALUE"""),"Morning Classes")</f>
        <v>Morning Classes</v>
      </c>
      <c r="T279" s="5"/>
      <c r="U279" s="5">
        <f ca="1">IFERROR(__xludf.DUMMYFUNCTION("""COMPUTED_VALUE"""),1)</f>
        <v>1</v>
      </c>
      <c r="V279" s="5" t="str">
        <f ca="1">IFERROR(__xludf.DUMMYFUNCTION("""COMPUTED_VALUE"""),"Emotionally distressed student with a gun in the bathroom detained by SRO")</f>
        <v>Emotionally distressed student with a gun in the bathroom detained by SRO</v>
      </c>
      <c r="W279"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X279" s="5" t="str">
        <f ca="1">IFERROR(__xludf.DUMMYFUNCTION("""COMPUTED_VALUE"""),"Suicide/Attempted")</f>
        <v>Suicide/Attempted</v>
      </c>
      <c r="Y279" s="5" t="str">
        <f ca="1">IFERROR(__xludf.DUMMYFUNCTION("""COMPUTED_VALUE"""),"Victims Targeted")</f>
        <v>Victims Targeted</v>
      </c>
      <c r="Z279" s="5" t="str">
        <f ca="1">IFERROR(__xludf.DUMMYFUNCTION("""COMPUTED_VALUE"""),"No")</f>
        <v>No</v>
      </c>
      <c r="AA279" s="5"/>
      <c r="AB279" s="5" t="str">
        <f ca="1">IFERROR(__xludf.DUMMYFUNCTION("""COMPUTED_VALUE"""),"No")</f>
        <v>No</v>
      </c>
      <c r="AC279" s="5" t="str">
        <f ca="1">IFERROR(__xludf.DUMMYFUNCTION("""COMPUTED_VALUE"""),"No")</f>
        <v>No</v>
      </c>
      <c r="AD279" s="5" t="str">
        <f ca="1">IFERROR(__xludf.DUMMYFUNCTION("""COMPUTED_VALUE"""),"No")</f>
        <v>No</v>
      </c>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row>
    <row r="280" spans="1:34" ht="12.75">
      <c r="A280" s="5" t="str">
        <f ca="1">IFERROR(__xludf.DUMMYFUNCTION("""COMPUTED_VALUE"""),"20210922NYSOB")</f>
        <v>20210922NYSOB</v>
      </c>
      <c r="B280" s="8">
        <f ca="1">IFERROR(__xludf.DUMMYFUNCTION("""COMPUTED_VALUE"""),44461)</f>
        <v>44461</v>
      </c>
      <c r="C280" s="5" t="str">
        <f ca="1">IFERROR(__xludf.DUMMYFUNCTION("""COMPUTED_VALUE"""),"South Shore High School")</f>
        <v>South Shore High School</v>
      </c>
      <c r="D280" s="5">
        <f ca="1">IFERROR(__xludf.DUMMYFUNCTION("""COMPUTED_VALUE"""),0)</f>
        <v>0</v>
      </c>
      <c r="E280" s="5">
        <f ca="1">IFERROR(__xludf.DUMMYFUNCTION("""COMPUTED_VALUE"""),1)</f>
        <v>1</v>
      </c>
      <c r="F280" s="5">
        <f ca="1">IFERROR(__xludf.DUMMYFUNCTION("""COMPUTED_VALUE"""),1)</f>
        <v>1</v>
      </c>
      <c r="G280" s="5">
        <f ca="1">IFERROR(__xludf.DUMMYFUNCTION("""COMPUTED_VALUE"""),0)</f>
        <v>0</v>
      </c>
      <c r="H280" s="9" t="str">
        <f ca="1">IFERROR(__xludf.DUMMYFUNCTION("""COMPUTED_VALUE"""),"https://newyork.cbslocal.com/2021/09/22/teen-shot-near-brooklyn-schools/")</f>
        <v>https://newyork.cbslocal.com/2021/09/22/teen-shot-near-brooklyn-schools/</v>
      </c>
      <c r="I280" s="5">
        <f ca="1">IFERROR(__xludf.DUMMYFUNCTION("""COMPUTED_VALUE"""),1)</f>
        <v>1</v>
      </c>
      <c r="J280" s="5" t="str">
        <f ca="1">IFERROR(__xludf.DUMMYFUNCTION("""COMPUTED_VALUE"""),"Local")</f>
        <v>Local</v>
      </c>
      <c r="K280" s="5">
        <f ca="1">IFERROR(__xludf.DUMMYFUNCTION("""COMPUTED_VALUE"""),3)</f>
        <v>3</v>
      </c>
      <c r="L280" s="5" t="str">
        <f ca="1">IFERROR(__xludf.DUMMYFUNCTION("""COMPUTED_VALUE"""),"Fall")</f>
        <v>Fall</v>
      </c>
      <c r="M280" s="5" t="str">
        <f ca="1">IFERROR(__xludf.DUMMYFUNCTION("""COMPUTED_VALUE"""),"Brooklyn")</f>
        <v>Brooklyn</v>
      </c>
      <c r="N280" s="5" t="str">
        <f ca="1">IFERROR(__xludf.DUMMYFUNCTION("""COMPUTED_VALUE"""),"NY")</f>
        <v>NY</v>
      </c>
      <c r="O280" s="5" t="str">
        <f ca="1">IFERROR(__xludf.DUMMYFUNCTION("""COMPUTED_VALUE"""),"High")</f>
        <v>High</v>
      </c>
      <c r="P280" s="5" t="str">
        <f ca="1">IFERROR(__xludf.DUMMYFUNCTION("""COMPUTED_VALUE"""),"Front of School")</f>
        <v>Front of School</v>
      </c>
      <c r="Q280" s="5" t="str">
        <f ca="1">IFERROR(__xludf.DUMMYFUNCTION("""COMPUTED_VALUE"""),"Outside on School Property")</f>
        <v>Outside on School Property</v>
      </c>
      <c r="R280" s="5" t="str">
        <f ca="1">IFERROR(__xludf.DUMMYFUNCTION("""COMPUTED_VALUE"""),"Yes")</f>
        <v>Yes</v>
      </c>
      <c r="S280" s="5" t="str">
        <f ca="1">IFERROR(__xludf.DUMMYFUNCTION("""COMPUTED_VALUE"""),"School Start")</f>
        <v>School Start</v>
      </c>
      <c r="T280" s="10">
        <f ca="1">IFERROR(__xludf.DUMMYFUNCTION("""COMPUTED_VALUE"""),0.364583333333333)</f>
        <v>0.36458333333333298</v>
      </c>
      <c r="U280" s="5">
        <f ca="1">IFERROR(__xludf.DUMMYFUNCTION("""COMPUTED_VALUE"""),1)</f>
        <v>1</v>
      </c>
      <c r="V280" s="5" t="str">
        <f ca="1">IFERROR(__xludf.DUMMYFUNCTION("""COMPUTED_VALUE"""),"Teen shot outside school, ran inside for help")</f>
        <v>Teen shot outside school, ran inside for help</v>
      </c>
      <c r="W280"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X280" s="5"/>
      <c r="Y280" s="5"/>
      <c r="Z280" s="5" t="str">
        <f ca="1">IFERROR(__xludf.DUMMYFUNCTION("""COMPUTED_VALUE"""),"No")</f>
        <v>No</v>
      </c>
      <c r="AA280" s="5"/>
      <c r="AB280" s="5" t="str">
        <f ca="1">IFERROR(__xludf.DUMMYFUNCTION("""COMPUTED_VALUE"""),"No")</f>
        <v>No</v>
      </c>
      <c r="AC280" s="5" t="str">
        <f ca="1">IFERROR(__xludf.DUMMYFUNCTION("""COMPUTED_VALUE"""),"No")</f>
        <v>No</v>
      </c>
      <c r="AD280" s="5" t="str">
        <f ca="1">IFERROR(__xludf.DUMMYFUNCTION("""COMPUTED_VALUE"""),"No")</f>
        <v>No</v>
      </c>
      <c r="AE280" s="5" t="str">
        <f ca="1">IFERROR(__xludf.DUMMYFUNCTION("""COMPUTED_VALUE"""),"No")</f>
        <v>No</v>
      </c>
      <c r="AF280" s="5" t="str">
        <f ca="1">IFERROR(__xludf.DUMMYFUNCTION("""COMPUTED_VALUE"""),"No")</f>
        <v>No</v>
      </c>
      <c r="AG280" s="5"/>
      <c r="AH280" s="5" t="str">
        <f ca="1">IFERROR(__xludf.DUMMYFUNCTION("""COMPUTED_VALUE"""),"No")</f>
        <v>No</v>
      </c>
    </row>
    <row r="281" spans="1:34" ht="12.75">
      <c r="A281" s="5" t="str">
        <f ca="1">IFERROR(__xludf.DUMMYFUNCTION("""COMPUTED_VALUE"""),"20210922CTLIN")</f>
        <v>20210922CTLIN</v>
      </c>
      <c r="B281" s="8">
        <f ca="1">IFERROR(__xludf.DUMMYFUNCTION("""COMPUTED_VALUE"""),44461)</f>
        <v>44461</v>
      </c>
      <c r="C281" s="5" t="str">
        <f ca="1">IFERROR(__xludf.DUMMYFUNCTION("""COMPUTED_VALUE"""),"Lincoln-Bassett Community School")</f>
        <v>Lincoln-Bassett Community School</v>
      </c>
      <c r="D281" s="5">
        <f ca="1">IFERROR(__xludf.DUMMYFUNCTION("""COMPUTED_VALUE"""),0)</f>
        <v>0</v>
      </c>
      <c r="E281" s="5">
        <f ca="1">IFERROR(__xludf.DUMMYFUNCTION("""COMPUTED_VALUE"""),0)</f>
        <v>0</v>
      </c>
      <c r="F281" s="5">
        <f ca="1">IFERROR(__xludf.DUMMYFUNCTION("""COMPUTED_VALUE"""),0)</f>
        <v>0</v>
      </c>
      <c r="G281" s="5">
        <f ca="1">IFERROR(__xludf.DUMMYFUNCTION("""COMPUTED_VALUE"""),0)</f>
        <v>0</v>
      </c>
      <c r="H281"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I281" s="5">
        <f ca="1">IFERROR(__xludf.DUMMYFUNCTION("""COMPUTED_VALUE"""),2)</f>
        <v>2</v>
      </c>
      <c r="J281" s="5" t="str">
        <f ca="1">IFERROR(__xludf.DUMMYFUNCTION("""COMPUTED_VALUE"""),"Local")</f>
        <v>Local</v>
      </c>
      <c r="K281" s="5">
        <f ca="1">IFERROR(__xludf.DUMMYFUNCTION("""COMPUTED_VALUE"""),3)</f>
        <v>3</v>
      </c>
      <c r="L281" s="5" t="str">
        <f ca="1">IFERROR(__xludf.DUMMYFUNCTION("""COMPUTED_VALUE"""),"Fall")</f>
        <v>Fall</v>
      </c>
      <c r="M281" s="5" t="str">
        <f ca="1">IFERROR(__xludf.DUMMYFUNCTION("""COMPUTED_VALUE"""),"New Haven")</f>
        <v>New Haven</v>
      </c>
      <c r="N281" s="5" t="str">
        <f ca="1">IFERROR(__xludf.DUMMYFUNCTION("""COMPUTED_VALUE"""),"CT")</f>
        <v>CT</v>
      </c>
      <c r="O281" s="5" t="str">
        <f ca="1">IFERROR(__xludf.DUMMYFUNCTION("""COMPUTED_VALUE"""),"Elementary")</f>
        <v>Elementary</v>
      </c>
      <c r="P281" s="5" t="str">
        <f ca="1">IFERROR(__xludf.DUMMYFUNCTION("""COMPUTED_VALUE"""),"Off School Property")</f>
        <v>Off School Property</v>
      </c>
      <c r="Q281" s="5" t="str">
        <f ca="1">IFERROR(__xludf.DUMMYFUNCTION("""COMPUTED_VALUE"""),"Outside on School Property")</f>
        <v>Outside on School Property</v>
      </c>
      <c r="R281" s="5" t="str">
        <f ca="1">IFERROR(__xludf.DUMMYFUNCTION("""COMPUTED_VALUE"""),"Yes")</f>
        <v>Yes</v>
      </c>
      <c r="S281" s="5" t="str">
        <f ca="1">IFERROR(__xludf.DUMMYFUNCTION("""COMPUTED_VALUE"""),"Lunch")</f>
        <v>Lunch</v>
      </c>
      <c r="T281" s="10">
        <f ca="1">IFERROR(__xludf.DUMMYFUNCTION("""COMPUTED_VALUE"""),0.458333333333333)</f>
        <v>0.45833333333333298</v>
      </c>
      <c r="U281" s="5">
        <f ca="1">IFERROR(__xludf.DUMMYFUNCTION("""COMPUTED_VALUE"""),1)</f>
        <v>1</v>
      </c>
      <c r="V281" s="5" t="str">
        <f ca="1">IFERROR(__xludf.DUMMYFUNCTION("""COMPUTED_VALUE"""),"Shots fired while students were outside for recess")</f>
        <v>Shots fired while students were outside for recess</v>
      </c>
      <c r="W281"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X281" s="5" t="str">
        <f ca="1">IFERROR(__xludf.DUMMYFUNCTION("""COMPUTED_VALUE"""),"Drive-by Shooting")</f>
        <v>Drive-by Shooting</v>
      </c>
      <c r="Y281" s="5" t="str">
        <f ca="1">IFERROR(__xludf.DUMMYFUNCTION("""COMPUTED_VALUE"""),"Neither")</f>
        <v>Neither</v>
      </c>
      <c r="Z281" s="5" t="str">
        <f ca="1">IFERROR(__xludf.DUMMYFUNCTION("""COMPUTED_VALUE"""),"No")</f>
        <v>No</v>
      </c>
      <c r="AA281" s="5"/>
      <c r="AB281" s="5" t="str">
        <f ca="1">IFERROR(__xludf.DUMMYFUNCTION("""COMPUTED_VALUE"""),"No")</f>
        <v>No</v>
      </c>
      <c r="AC281" s="5" t="str">
        <f ca="1">IFERROR(__xludf.DUMMYFUNCTION("""COMPUTED_VALUE"""),"No")</f>
        <v>No</v>
      </c>
      <c r="AD281" s="5" t="str">
        <f ca="1">IFERROR(__xludf.DUMMYFUNCTION("""COMPUTED_VALUE"""),"No")</f>
        <v>No</v>
      </c>
      <c r="AE281" s="5" t="str">
        <f ca="1">IFERROR(__xludf.DUMMYFUNCTION("""COMPUTED_VALUE"""),"No")</f>
        <v>No</v>
      </c>
      <c r="AF281" s="5" t="str">
        <f ca="1">IFERROR(__xludf.DUMMYFUNCTION("""COMPUTED_VALUE"""),"No")</f>
        <v>No</v>
      </c>
      <c r="AG281" s="5"/>
      <c r="AH281" s="5" t="str">
        <f ca="1">IFERROR(__xludf.DUMMYFUNCTION("""COMPUTED_VALUE"""),"No")</f>
        <v>No</v>
      </c>
    </row>
    <row r="282" spans="1:34" ht="12.75">
      <c r="A282" s="5" t="str">
        <f ca="1">IFERROR(__xludf.DUMMYFUNCTION("""COMPUTED_VALUE"""),"20210921PAVAP")</f>
        <v>20210921PAVAP</v>
      </c>
      <c r="B282" s="8">
        <f ca="1">IFERROR(__xludf.DUMMYFUNCTION("""COMPUTED_VALUE"""),44460)</f>
        <v>44460</v>
      </c>
      <c r="C282" s="5" t="str">
        <f ca="1">IFERROR(__xludf.DUMMYFUNCTION("""COMPUTED_VALUE"""),"Vaux Big Picture High School")</f>
        <v>Vaux Big Picture High School</v>
      </c>
      <c r="D282" s="5">
        <f ca="1">IFERROR(__xludf.DUMMYFUNCTION("""COMPUTED_VALUE"""),0)</f>
        <v>0</v>
      </c>
      <c r="E282" s="5">
        <f ca="1">IFERROR(__xludf.DUMMYFUNCTION("""COMPUTED_VALUE"""),1)</f>
        <v>1</v>
      </c>
      <c r="F282" s="5">
        <f ca="1">IFERROR(__xludf.DUMMYFUNCTION("""COMPUTED_VALUE"""),1)</f>
        <v>1</v>
      </c>
      <c r="G282" s="5">
        <f ca="1">IFERROR(__xludf.DUMMYFUNCTION("""COMPUTED_VALUE"""),0)</f>
        <v>0</v>
      </c>
      <c r="H282" s="9" t="str">
        <f ca="1">IFERROR(__xludf.DUMMYFUNCTION("""COMPUTED_VALUE"""),"https://www.fox29.com/news/15-year-old-boy-shot-outside-school-in-north-philadelphia-police-say")</f>
        <v>https://www.fox29.com/news/15-year-old-boy-shot-outside-school-in-north-philadelphia-police-say</v>
      </c>
      <c r="I282" s="5">
        <f ca="1">IFERROR(__xludf.DUMMYFUNCTION("""COMPUTED_VALUE"""),2)</f>
        <v>2</v>
      </c>
      <c r="J282" s="5" t="str">
        <f ca="1">IFERROR(__xludf.DUMMYFUNCTION("""COMPUTED_VALUE"""),"Local")</f>
        <v>Local</v>
      </c>
      <c r="K282" s="5">
        <f ca="1">IFERROR(__xludf.DUMMYFUNCTION("""COMPUTED_VALUE"""),3)</f>
        <v>3</v>
      </c>
      <c r="L282" s="5" t="str">
        <f ca="1">IFERROR(__xludf.DUMMYFUNCTION("""COMPUTED_VALUE"""),"Fall")</f>
        <v>Fall</v>
      </c>
      <c r="M282" s="5" t="str">
        <f ca="1">IFERROR(__xludf.DUMMYFUNCTION("""COMPUTED_VALUE"""),"Philadelphia")</f>
        <v>Philadelphia</v>
      </c>
      <c r="N282" s="5" t="str">
        <f ca="1">IFERROR(__xludf.DUMMYFUNCTION("""COMPUTED_VALUE"""),"PA")</f>
        <v>PA</v>
      </c>
      <c r="O282" s="5" t="str">
        <f ca="1">IFERROR(__xludf.DUMMYFUNCTION("""COMPUTED_VALUE"""),"High")</f>
        <v>High</v>
      </c>
      <c r="P282" s="5" t="str">
        <f ca="1">IFERROR(__xludf.DUMMYFUNCTION("""COMPUTED_VALUE"""),"Front of School")</f>
        <v>Front of School</v>
      </c>
      <c r="Q282" s="5" t="str">
        <f ca="1">IFERROR(__xludf.DUMMYFUNCTION("""COMPUTED_VALUE"""),"Outside on School Property")</f>
        <v>Outside on School Property</v>
      </c>
      <c r="R282" s="5" t="str">
        <f ca="1">IFERROR(__xludf.DUMMYFUNCTION("""COMPUTED_VALUE"""),"Yes")</f>
        <v>Yes</v>
      </c>
      <c r="S282" s="5" t="str">
        <f ca="1">IFERROR(__xludf.DUMMYFUNCTION("""COMPUTED_VALUE"""),"Dismissal")</f>
        <v>Dismissal</v>
      </c>
      <c r="T282" s="10">
        <f ca="1">IFERROR(__xludf.DUMMYFUNCTION("""COMPUTED_VALUE"""),0.622916666666666)</f>
        <v>0.62291666666666601</v>
      </c>
      <c r="U282" s="5">
        <f ca="1">IFERROR(__xludf.DUMMYFUNCTION("""COMPUTED_VALUE"""),1)</f>
        <v>1</v>
      </c>
      <c r="V282" s="5" t="str">
        <f ca="1">IFERROR(__xludf.DUMMYFUNCTION("""COMPUTED_VALUE"""),"Student shot in front of school during dismissal")</f>
        <v>Student shot in front of school during dismissal</v>
      </c>
      <c r="W282" s="5" t="str">
        <f ca="1">IFERROR(__xludf.DUMMYFUNCTION("""COMPUTED_VALUE"""),"A 15-year-old male student was shot in the leg during dismissal. Shooter fled.")</f>
        <v>A 15-year-old male student was shot in the leg during dismissal. Shooter fled.</v>
      </c>
      <c r="X282" s="5"/>
      <c r="Y282" s="5" t="str">
        <f ca="1">IFERROR(__xludf.DUMMYFUNCTION("""COMPUTED_VALUE"""),"Victims Targeted")</f>
        <v>Victims Targeted</v>
      </c>
      <c r="Z282" s="5" t="str">
        <f ca="1">IFERROR(__xludf.DUMMYFUNCTION("""COMPUTED_VALUE"""),"No")</f>
        <v>No</v>
      </c>
      <c r="AA282" s="5"/>
      <c r="AB282" s="5" t="str">
        <f ca="1">IFERROR(__xludf.DUMMYFUNCTION("""COMPUTED_VALUE"""),"No")</f>
        <v>No</v>
      </c>
      <c r="AC282" s="5" t="str">
        <f ca="1">IFERROR(__xludf.DUMMYFUNCTION("""COMPUTED_VALUE"""),"No")</f>
        <v>No</v>
      </c>
      <c r="AD282" s="5" t="str">
        <f ca="1">IFERROR(__xludf.DUMMYFUNCTION("""COMPUTED_VALUE"""),"No")</f>
        <v>No</v>
      </c>
      <c r="AE282" s="5" t="str">
        <f ca="1">IFERROR(__xludf.DUMMYFUNCTION("""COMPUTED_VALUE"""),"No")</f>
        <v>No</v>
      </c>
      <c r="AF282" s="5" t="str">
        <f ca="1">IFERROR(__xludf.DUMMYFUNCTION("""COMPUTED_VALUE"""),"No")</f>
        <v>No</v>
      </c>
      <c r="AG282" s="5"/>
      <c r="AH282" s="5" t="str">
        <f ca="1">IFERROR(__xludf.DUMMYFUNCTION("""COMPUTED_VALUE"""),"No")</f>
        <v>No</v>
      </c>
    </row>
    <row r="283" spans="1:34" ht="12.75">
      <c r="A283" s="5" t="str">
        <f ca="1">IFERROR(__xludf.DUMMYFUNCTION("""COMPUTED_VALUE"""),"20210921OHMIM")</f>
        <v>20210921OHMIM</v>
      </c>
      <c r="B283" s="8">
        <f ca="1">IFERROR(__xludf.DUMMYFUNCTION("""COMPUTED_VALUE"""),44460)</f>
        <v>44460</v>
      </c>
      <c r="C283" s="5" t="str">
        <f ca="1">IFERROR(__xludf.DUMMYFUNCTION("""COMPUTED_VALUE"""),"Middletown Preparatory and Fitness Academy")</f>
        <v>Middletown Preparatory and Fitness Academy</v>
      </c>
      <c r="D283" s="5">
        <f ca="1">IFERROR(__xludf.DUMMYFUNCTION("""COMPUTED_VALUE"""),0)</f>
        <v>0</v>
      </c>
      <c r="E283" s="5">
        <f ca="1">IFERROR(__xludf.DUMMYFUNCTION("""COMPUTED_VALUE"""),0)</f>
        <v>0</v>
      </c>
      <c r="F283" s="5">
        <f ca="1">IFERROR(__xludf.DUMMYFUNCTION("""COMPUTED_VALUE"""),0)</f>
        <v>0</v>
      </c>
      <c r="G283" s="5">
        <f ca="1">IFERROR(__xludf.DUMMYFUNCTION("""COMPUTED_VALUE"""),0)</f>
        <v>0</v>
      </c>
      <c r="H283" s="9" t="str">
        <f ca="1">IFERROR(__xludf.DUMMYFUNCTION("""COMPUTED_VALUE"""),"https://www.fox19.com/2021/09/22/middletown-school-bus-hit-with-bb-gun-fire/")</f>
        <v>https://www.fox19.com/2021/09/22/middletown-school-bus-hit-with-bb-gun-fire/</v>
      </c>
      <c r="I283" s="5">
        <f ca="1">IFERROR(__xludf.DUMMYFUNCTION("""COMPUTED_VALUE"""),1)</f>
        <v>1</v>
      </c>
      <c r="J283" s="5" t="str">
        <f ca="1">IFERROR(__xludf.DUMMYFUNCTION("""COMPUTED_VALUE"""),"Local")</f>
        <v>Local</v>
      </c>
      <c r="K283" s="5">
        <f ca="1">IFERROR(__xludf.DUMMYFUNCTION("""COMPUTED_VALUE"""),3)</f>
        <v>3</v>
      </c>
      <c r="L283" s="5" t="str">
        <f ca="1">IFERROR(__xludf.DUMMYFUNCTION("""COMPUTED_VALUE"""),"Fall")</f>
        <v>Fall</v>
      </c>
      <c r="M283" s="5" t="str">
        <f ca="1">IFERROR(__xludf.DUMMYFUNCTION("""COMPUTED_VALUE"""),"Middletown")</f>
        <v>Middletown</v>
      </c>
      <c r="N283" s="5" t="str">
        <f ca="1">IFERROR(__xludf.DUMMYFUNCTION("""COMPUTED_VALUE"""),"OH")</f>
        <v>OH</v>
      </c>
      <c r="O283" s="5" t="str">
        <f ca="1">IFERROR(__xludf.DUMMYFUNCTION("""COMPUTED_VALUE"""),"High")</f>
        <v>High</v>
      </c>
      <c r="P283" s="5" t="str">
        <f ca="1">IFERROR(__xludf.DUMMYFUNCTION("""COMPUTED_VALUE"""),"School Bus")</f>
        <v>School Bus</v>
      </c>
      <c r="Q283" s="5" t="str">
        <f ca="1">IFERROR(__xludf.DUMMYFUNCTION("""COMPUTED_VALUE"""),"School Bus")</f>
        <v>School Bus</v>
      </c>
      <c r="R283" s="5" t="str">
        <f ca="1">IFERROR(__xludf.DUMMYFUNCTION("""COMPUTED_VALUE"""),"Yes")</f>
        <v>Yes</v>
      </c>
      <c r="S283" s="5" t="str">
        <f ca="1">IFERROR(__xludf.DUMMYFUNCTION("""COMPUTED_VALUE"""),"Dismissal")</f>
        <v>Dismissal</v>
      </c>
      <c r="T283" s="10">
        <f ca="1">IFERROR(__xludf.DUMMYFUNCTION("""COMPUTED_VALUE"""),0.625)</f>
        <v>0.625</v>
      </c>
      <c r="U283" s="5">
        <f ca="1">IFERROR(__xludf.DUMMYFUNCTION("""COMPUTED_VALUE"""),1)</f>
        <v>1</v>
      </c>
      <c r="V283" s="5" t="str">
        <f ca="1">IFERROR(__xludf.DUMMYFUNCTION("""COMPUTED_VALUE"""),"Occupied school bus shot by multiple BBs")</f>
        <v>Occupied school bus shot by multiple BBs</v>
      </c>
      <c r="W283"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X283" s="5" t="str">
        <f ca="1">IFERROR(__xludf.DUMMYFUNCTION("""COMPUTED_VALUE"""),"Intentional Property Damage")</f>
        <v>Intentional Property Damage</v>
      </c>
      <c r="Y283" s="5" t="str">
        <f ca="1">IFERROR(__xludf.DUMMYFUNCTION("""COMPUTED_VALUE"""),"Neither")</f>
        <v>Neither</v>
      </c>
      <c r="Z283" s="5" t="str">
        <f ca="1">IFERROR(__xludf.DUMMYFUNCTION("""COMPUTED_VALUE"""),"No")</f>
        <v>No</v>
      </c>
      <c r="AA283" s="5"/>
      <c r="AB283" s="5" t="str">
        <f ca="1">IFERROR(__xludf.DUMMYFUNCTION("""COMPUTED_VALUE"""),"No")</f>
        <v>No</v>
      </c>
      <c r="AC283" s="5" t="str">
        <f ca="1">IFERROR(__xludf.DUMMYFUNCTION("""COMPUTED_VALUE"""),"No")</f>
        <v>No</v>
      </c>
      <c r="AD283" s="5" t="str">
        <f ca="1">IFERROR(__xludf.DUMMYFUNCTION("""COMPUTED_VALUE"""),"No")</f>
        <v>No</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row>
    <row r="284" spans="1:34" ht="12.75">
      <c r="A284" s="5" t="str">
        <f ca="1">IFERROR(__xludf.DUMMYFUNCTION("""COMPUTED_VALUE"""),"20210921KSEAW")</f>
        <v>20210921KSEAW</v>
      </c>
      <c r="B284" s="8">
        <f ca="1">IFERROR(__xludf.DUMMYFUNCTION("""COMPUTED_VALUE"""),44460)</f>
        <v>44460</v>
      </c>
      <c r="C284" s="5" t="str">
        <f ca="1">IFERROR(__xludf.DUMMYFUNCTION("""COMPUTED_VALUE"""),"East High School")</f>
        <v>East High School</v>
      </c>
      <c r="D284" s="5">
        <f ca="1">IFERROR(__xludf.DUMMYFUNCTION("""COMPUTED_VALUE"""),0)</f>
        <v>0</v>
      </c>
      <c r="E284" s="5">
        <f ca="1">IFERROR(__xludf.DUMMYFUNCTION("""COMPUTED_VALUE"""),3)</f>
        <v>3</v>
      </c>
      <c r="F284" s="5">
        <f ca="1">IFERROR(__xludf.DUMMYFUNCTION("""COMPUTED_VALUE"""),3)</f>
        <v>3</v>
      </c>
      <c r="G284" s="5">
        <f ca="1">IFERROR(__xludf.DUMMYFUNCTION("""COMPUTED_VALUE"""),0)</f>
        <v>0</v>
      </c>
      <c r="H284"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I284" s="5">
        <f ca="1">IFERROR(__xludf.DUMMYFUNCTION("""COMPUTED_VALUE"""),10)</f>
        <v>10</v>
      </c>
      <c r="J284" s="5" t="str">
        <f ca="1">IFERROR(__xludf.DUMMYFUNCTION("""COMPUTED_VALUE"""),"Local")</f>
        <v>Local</v>
      </c>
      <c r="K284" s="5">
        <f ca="1">IFERROR(__xludf.DUMMYFUNCTION("""COMPUTED_VALUE"""),4)</f>
        <v>4</v>
      </c>
      <c r="L284" s="5" t="str">
        <f ca="1">IFERROR(__xludf.DUMMYFUNCTION("""COMPUTED_VALUE"""),"Fall")</f>
        <v>Fall</v>
      </c>
      <c r="M284" s="5" t="str">
        <f ca="1">IFERROR(__xludf.DUMMYFUNCTION("""COMPUTED_VALUE"""),"Wichita")</f>
        <v>Wichita</v>
      </c>
      <c r="N284" s="5" t="str">
        <f ca="1">IFERROR(__xludf.DUMMYFUNCTION("""COMPUTED_VALUE"""),"KS")</f>
        <v>KS</v>
      </c>
      <c r="O284" s="5" t="str">
        <f ca="1">IFERROR(__xludf.DUMMYFUNCTION("""COMPUTED_VALUE"""),"High")</f>
        <v>High</v>
      </c>
      <c r="P284" s="5" t="str">
        <f ca="1">IFERROR(__xludf.DUMMYFUNCTION("""COMPUTED_VALUE"""),"Front of School")</f>
        <v>Front of School</v>
      </c>
      <c r="Q284" s="5" t="str">
        <f ca="1">IFERROR(__xludf.DUMMYFUNCTION("""COMPUTED_VALUE"""),"Outside on School Property")</f>
        <v>Outside on School Property</v>
      </c>
      <c r="R284" s="5" t="str">
        <f ca="1">IFERROR(__xludf.DUMMYFUNCTION("""COMPUTED_VALUE"""),"Yes")</f>
        <v>Yes</v>
      </c>
      <c r="S284" s="5" t="str">
        <f ca="1">IFERROR(__xludf.DUMMYFUNCTION("""COMPUTED_VALUE"""),"Lunch")</f>
        <v>Lunch</v>
      </c>
      <c r="T284" s="10">
        <f ca="1">IFERROR(__xludf.DUMMYFUNCTION("""COMPUTED_VALUE"""),0.520833333333333)</f>
        <v>0.52083333333333304</v>
      </c>
      <c r="U284" s="5">
        <f ca="1">IFERROR(__xludf.DUMMYFUNCTION("""COMPUTED_VALUE"""),1)</f>
        <v>1</v>
      </c>
      <c r="V284" s="5" t="str">
        <f ca="1">IFERROR(__xludf.DUMMYFUNCTION("""COMPUTED_VALUE"""),"Three students shot outside school during lunch")</f>
        <v>Three students shot outside school during lunch</v>
      </c>
      <c r="W284"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X284" s="5" t="str">
        <f ca="1">IFERROR(__xludf.DUMMYFUNCTION("""COMPUTED_VALUE"""),"Escalation of Dispute")</f>
        <v>Escalation of Dispute</v>
      </c>
      <c r="Y284" s="5" t="str">
        <f ca="1">IFERROR(__xludf.DUMMYFUNCTION("""COMPUTED_VALUE"""),"Both")</f>
        <v>Both</v>
      </c>
      <c r="Z284" s="5" t="str">
        <f ca="1">IFERROR(__xludf.DUMMYFUNCTION("""COMPUTED_VALUE"""),"Yes")</f>
        <v>Yes</v>
      </c>
      <c r="AA284" s="5" t="str">
        <f ca="1">IFERROR(__xludf.DUMMYFUNCTION("""COMPUTED_VALUE"""),"3 teens arrested")</f>
        <v>3 teens arrested</v>
      </c>
      <c r="AB284" s="5" t="str">
        <f ca="1">IFERROR(__xludf.DUMMYFUNCTION("""COMPUTED_VALUE"""),"No")</f>
        <v>No</v>
      </c>
      <c r="AC284" s="5" t="str">
        <f ca="1">IFERROR(__xludf.DUMMYFUNCTION("""COMPUTED_VALUE"""),"No")</f>
        <v>No</v>
      </c>
      <c r="AD284" s="5" t="str">
        <f ca="1">IFERROR(__xludf.DUMMYFUNCTION("""COMPUTED_VALUE"""),"No")</f>
        <v>No</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row>
    <row r="285" spans="1:34" ht="12.75">
      <c r="A285" s="5" t="str">
        <f ca="1">IFERROR(__xludf.DUMMYFUNCTION("""COMPUTED_VALUE"""),"20210921GAFRA")</f>
        <v>20210921GAFRA</v>
      </c>
      <c r="B285" s="8">
        <f ca="1">IFERROR(__xludf.DUMMYFUNCTION("""COMPUTED_VALUE"""),44460)</f>
        <v>44460</v>
      </c>
      <c r="C285" s="5" t="str">
        <f ca="1">IFERROR(__xludf.DUMMYFUNCTION("""COMPUTED_VALUE"""),"Fred A. Toomer Elementary School")</f>
        <v>Fred A. Toomer Elementary School</v>
      </c>
      <c r="D285" s="5">
        <f ca="1">IFERROR(__xludf.DUMMYFUNCTION("""COMPUTED_VALUE"""),0)</f>
        <v>0</v>
      </c>
      <c r="E285" s="5">
        <f ca="1">IFERROR(__xludf.DUMMYFUNCTION("""COMPUTED_VALUE"""),0)</f>
        <v>0</v>
      </c>
      <c r="F285" s="5">
        <f ca="1">IFERROR(__xludf.DUMMYFUNCTION("""COMPUTED_VALUE"""),0)</f>
        <v>0</v>
      </c>
      <c r="G285" s="5">
        <f ca="1">IFERROR(__xludf.DUMMYFUNCTION("""COMPUTED_VALUE"""),0)</f>
        <v>0</v>
      </c>
      <c r="H285" s="9" t="str">
        <f ca="1">IFERROR(__xludf.DUMMYFUNCTION("""COMPUTED_VALUE"""),"https://decaturish.com/2021/09/argument-outside-toomer-elementary-leads-to-shots-fired-temporary-lockdown/")</f>
        <v>https://decaturish.com/2021/09/argument-outside-toomer-elementary-leads-to-shots-fired-temporary-lockdown/</v>
      </c>
      <c r="I285" s="5">
        <f ca="1">IFERROR(__xludf.DUMMYFUNCTION("""COMPUTED_VALUE"""),1)</f>
        <v>1</v>
      </c>
      <c r="J285" s="5" t="str">
        <f ca="1">IFERROR(__xludf.DUMMYFUNCTION("""COMPUTED_VALUE"""),"Local")</f>
        <v>Local</v>
      </c>
      <c r="K285" s="5">
        <f ca="1">IFERROR(__xludf.DUMMYFUNCTION("""COMPUTED_VALUE"""),3)</f>
        <v>3</v>
      </c>
      <c r="L285" s="5" t="str">
        <f ca="1">IFERROR(__xludf.DUMMYFUNCTION("""COMPUTED_VALUE"""),"Fall")</f>
        <v>Fall</v>
      </c>
      <c r="M285" s="5" t="str">
        <f ca="1">IFERROR(__xludf.DUMMYFUNCTION("""COMPUTED_VALUE"""),"Atlanta")</f>
        <v>Atlanta</v>
      </c>
      <c r="N285" s="5" t="str">
        <f ca="1">IFERROR(__xludf.DUMMYFUNCTION("""COMPUTED_VALUE"""),"GA")</f>
        <v>GA</v>
      </c>
      <c r="O285" s="5" t="str">
        <f ca="1">IFERROR(__xludf.DUMMYFUNCTION("""COMPUTED_VALUE"""),"Elementary")</f>
        <v>Elementary</v>
      </c>
      <c r="P285" s="5" t="str">
        <f ca="1">IFERROR(__xludf.DUMMYFUNCTION("""COMPUTED_VALUE"""),"Outside on School Property")</f>
        <v>Outside on School Property</v>
      </c>
      <c r="Q285" s="5" t="str">
        <f ca="1">IFERROR(__xludf.DUMMYFUNCTION("""COMPUTED_VALUE"""),"Outside on School Property")</f>
        <v>Outside on School Property</v>
      </c>
      <c r="R285" s="5" t="str">
        <f ca="1">IFERROR(__xludf.DUMMYFUNCTION("""COMPUTED_VALUE"""),"Yes")</f>
        <v>Yes</v>
      </c>
      <c r="S285" s="5" t="str">
        <f ca="1">IFERROR(__xludf.DUMMYFUNCTION("""COMPUTED_VALUE"""),"School Start")</f>
        <v>School Start</v>
      </c>
      <c r="T285" s="10">
        <f ca="1">IFERROR(__xludf.DUMMYFUNCTION("""COMPUTED_VALUE"""),0.322916666666666)</f>
        <v>0.32291666666666602</v>
      </c>
      <c r="U285" s="5">
        <f ca="1">IFERROR(__xludf.DUMMYFUNCTION("""COMPUTED_VALUE"""),1)</f>
        <v>1</v>
      </c>
      <c r="V285" s="5" t="str">
        <f ca="1">IFERROR(__xludf.DUMMYFUNCTION("""COMPUTED_VALUE"""),"Shots fired during argument between parents")</f>
        <v>Shots fired during argument between parents</v>
      </c>
      <c r="W285"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X285" s="5" t="str">
        <f ca="1">IFERROR(__xludf.DUMMYFUNCTION("""COMPUTED_VALUE"""),"Escalation of Dispute")</f>
        <v>Escalation of Dispute</v>
      </c>
      <c r="Y285" s="5" t="str">
        <f ca="1">IFERROR(__xludf.DUMMYFUNCTION("""COMPUTED_VALUE"""),"Victims Targeted")</f>
        <v>Victims Targeted</v>
      </c>
      <c r="Z285" s="5" t="str">
        <f ca="1">IFERROR(__xludf.DUMMYFUNCTION("""COMPUTED_VALUE"""),"No")</f>
        <v>No</v>
      </c>
      <c r="AA285" s="5"/>
      <c r="AB285" s="5" t="str">
        <f ca="1">IFERROR(__xludf.DUMMYFUNCTION("""COMPUTED_VALUE"""),"No")</f>
        <v>No</v>
      </c>
      <c r="AC285" s="5" t="str">
        <f ca="1">IFERROR(__xludf.DUMMYFUNCTION("""COMPUTED_VALUE"""),"No")</f>
        <v>No</v>
      </c>
      <c r="AD285" s="5" t="str">
        <f ca="1">IFERROR(__xludf.DUMMYFUNCTION("""COMPUTED_VALUE"""),"No")</f>
        <v>No</v>
      </c>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row>
    <row r="286" spans="1:34" ht="12.75">
      <c r="A286" s="5" t="str">
        <f ca="1">IFERROR(__xludf.DUMMYFUNCTION("""COMPUTED_VALUE"""),"20210921FLLAL")</f>
        <v>20210921FLLAL</v>
      </c>
      <c r="B286" s="8">
        <f ca="1">IFERROR(__xludf.DUMMYFUNCTION("""COMPUTED_VALUE"""),44460)</f>
        <v>44460</v>
      </c>
      <c r="C286" s="5" t="str">
        <f ca="1">IFERROR(__xludf.DUMMYFUNCTION("""COMPUTED_VALUE"""),"Lake Asbury Elementary School")</f>
        <v>Lake Asbury Elementary School</v>
      </c>
      <c r="D286" s="5">
        <f ca="1">IFERROR(__xludf.DUMMYFUNCTION("""COMPUTED_VALUE"""),0)</f>
        <v>0</v>
      </c>
      <c r="E286" s="5">
        <f ca="1">IFERROR(__xludf.DUMMYFUNCTION("""COMPUTED_VALUE"""),0)</f>
        <v>0</v>
      </c>
      <c r="F286" s="5">
        <f ca="1">IFERROR(__xludf.DUMMYFUNCTION("""COMPUTED_VALUE"""),0)</f>
        <v>0</v>
      </c>
      <c r="G286" s="5">
        <f ca="1">IFERROR(__xludf.DUMMYFUNCTION("""COMPUTED_VALUE"""),0)</f>
        <v>0</v>
      </c>
      <c r="H286"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I286" s="5">
        <f ca="1">IFERROR(__xludf.DUMMYFUNCTION("""COMPUTED_VALUE"""),2)</f>
        <v>2</v>
      </c>
      <c r="J286" s="5" t="str">
        <f ca="1">IFERROR(__xludf.DUMMYFUNCTION("""COMPUTED_VALUE"""),"Local")</f>
        <v>Local</v>
      </c>
      <c r="K286" s="5">
        <f ca="1">IFERROR(__xludf.DUMMYFUNCTION("""COMPUTED_VALUE"""),4)</f>
        <v>4</v>
      </c>
      <c r="L286" s="5" t="str">
        <f ca="1">IFERROR(__xludf.DUMMYFUNCTION("""COMPUTED_VALUE"""),"Fall")</f>
        <v>Fall</v>
      </c>
      <c r="M286" s="5" t="str">
        <f ca="1">IFERROR(__xludf.DUMMYFUNCTION("""COMPUTED_VALUE"""),"Lake Asbury")</f>
        <v>Lake Asbury</v>
      </c>
      <c r="N286" s="5" t="str">
        <f ca="1">IFERROR(__xludf.DUMMYFUNCTION("""COMPUTED_VALUE"""),"FL")</f>
        <v>FL</v>
      </c>
      <c r="O286" s="5" t="str">
        <f ca="1">IFERROR(__xludf.DUMMYFUNCTION("""COMPUTED_VALUE"""),"Elementary")</f>
        <v>Elementary</v>
      </c>
      <c r="P286" s="5" t="str">
        <f ca="1">IFERROR(__xludf.DUMMYFUNCTION("""COMPUTED_VALUE"""),"School Bus")</f>
        <v>School Bus</v>
      </c>
      <c r="Q286" s="5" t="str">
        <f ca="1">IFERROR(__xludf.DUMMYFUNCTION("""COMPUTED_VALUE"""),"School Bus")</f>
        <v>School Bus</v>
      </c>
      <c r="R286" s="5" t="str">
        <f ca="1">IFERROR(__xludf.DUMMYFUNCTION("""COMPUTED_VALUE"""),"Yes")</f>
        <v>Yes</v>
      </c>
      <c r="S286" s="5" t="str">
        <f ca="1">IFERROR(__xludf.DUMMYFUNCTION("""COMPUTED_VALUE"""),"School Start")</f>
        <v>School Start</v>
      </c>
      <c r="T286" s="10">
        <f ca="1">IFERROR(__xludf.DUMMYFUNCTION("""COMPUTED_VALUE"""),0.246527777777777)</f>
        <v>0.24652777777777701</v>
      </c>
      <c r="U286" s="5">
        <f ca="1">IFERROR(__xludf.DUMMYFUNCTION("""COMPUTED_VALUE"""),10)</f>
        <v>10</v>
      </c>
      <c r="V286" s="5" t="str">
        <f ca="1">IFERROR(__xludf.DUMMYFUNCTION("""COMPUTED_VALUE"""),"Windows of two occupied school buses broken by BBs")</f>
        <v>Windows of two occupied school buses broken by BBs</v>
      </c>
      <c r="W286"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X286" s="5" t="str">
        <f ca="1">IFERROR(__xludf.DUMMYFUNCTION("""COMPUTED_VALUE"""),"Intentional Property Damage")</f>
        <v>Intentional Property Damage</v>
      </c>
      <c r="Y286" s="5" t="str">
        <f ca="1">IFERROR(__xludf.DUMMYFUNCTION("""COMPUTED_VALUE"""),"Neither")</f>
        <v>Neither</v>
      </c>
      <c r="Z286" s="5" t="str">
        <f ca="1">IFERROR(__xludf.DUMMYFUNCTION("""COMPUTED_VALUE"""),"No")</f>
        <v>No</v>
      </c>
      <c r="AA286" s="5"/>
      <c r="AB286" s="5" t="str">
        <f ca="1">IFERROR(__xludf.DUMMYFUNCTION("""COMPUTED_VALUE"""),"No")</f>
        <v>No</v>
      </c>
      <c r="AC286" s="5" t="str">
        <f ca="1">IFERROR(__xludf.DUMMYFUNCTION("""COMPUTED_VALUE"""),"No")</f>
        <v>No</v>
      </c>
      <c r="AD286" s="5" t="str">
        <f ca="1">IFERROR(__xludf.DUMMYFUNCTION("""COMPUTED_VALUE"""),"No")</f>
        <v>No</v>
      </c>
      <c r="AE286" s="5" t="str">
        <f ca="1">IFERROR(__xludf.DUMMYFUNCTION("""COMPUTED_VALUE"""),"No")</f>
        <v>No</v>
      </c>
      <c r="AF286" s="5" t="str">
        <f ca="1">IFERROR(__xludf.DUMMYFUNCTION("""COMPUTED_VALUE"""),"No")</f>
        <v>No</v>
      </c>
      <c r="AG286" s="5" t="str">
        <f ca="1">IFERROR(__xludf.DUMMYFUNCTION("""COMPUTED_VALUE"""),"No")</f>
        <v>No</v>
      </c>
      <c r="AH286" s="5" t="str">
        <f ca="1">IFERROR(__xludf.DUMMYFUNCTION("""COMPUTED_VALUE"""),"No")</f>
        <v>No</v>
      </c>
    </row>
    <row r="287" spans="1:34" ht="12.75">
      <c r="A287" s="5" t="str">
        <f ca="1">IFERROR(__xludf.DUMMYFUNCTION("""COMPUTED_VALUE"""),"20210920VAHEN")</f>
        <v>20210920VAHEN</v>
      </c>
      <c r="B287" s="8">
        <f ca="1">IFERROR(__xludf.DUMMYFUNCTION("""COMPUTED_VALUE"""),44459)</f>
        <v>44459</v>
      </c>
      <c r="C287" s="5" t="str">
        <f ca="1">IFERROR(__xludf.DUMMYFUNCTION("""COMPUTED_VALUE"""),"Heritage High School")</f>
        <v>Heritage High School</v>
      </c>
      <c r="D287" s="5">
        <f ca="1">IFERROR(__xludf.DUMMYFUNCTION("""COMPUTED_VALUE"""),0)</f>
        <v>0</v>
      </c>
      <c r="E287" s="5">
        <f ca="1">IFERROR(__xludf.DUMMYFUNCTION("""COMPUTED_VALUE"""),2)</f>
        <v>2</v>
      </c>
      <c r="F287" s="5">
        <f ca="1">IFERROR(__xludf.DUMMYFUNCTION("""COMPUTED_VALUE"""),2)</f>
        <v>2</v>
      </c>
      <c r="G287" s="5">
        <f ca="1">IFERROR(__xludf.DUMMYFUNCTION("""COMPUTED_VALUE"""),0)</f>
        <v>0</v>
      </c>
      <c r="H287"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I287" s="5">
        <f ca="1">IFERROR(__xludf.DUMMYFUNCTION("""COMPUTED_VALUE"""),999)</f>
        <v>999</v>
      </c>
      <c r="J287" s="5" t="str">
        <f ca="1">IFERROR(__xludf.DUMMYFUNCTION("""COMPUTED_VALUE"""),"International")</f>
        <v>International</v>
      </c>
      <c r="K287" s="5">
        <f ca="1">IFERROR(__xludf.DUMMYFUNCTION("""COMPUTED_VALUE"""),4)</f>
        <v>4</v>
      </c>
      <c r="L287" s="5" t="str">
        <f ca="1">IFERROR(__xludf.DUMMYFUNCTION("""COMPUTED_VALUE"""),"Fall")</f>
        <v>Fall</v>
      </c>
      <c r="M287" s="5" t="str">
        <f ca="1">IFERROR(__xludf.DUMMYFUNCTION("""COMPUTED_VALUE"""),"Newport News")</f>
        <v>Newport News</v>
      </c>
      <c r="N287" s="5" t="str">
        <f ca="1">IFERROR(__xludf.DUMMYFUNCTION("""COMPUTED_VALUE"""),"VA")</f>
        <v>VA</v>
      </c>
      <c r="O287" s="5" t="str">
        <f ca="1">IFERROR(__xludf.DUMMYFUNCTION("""COMPUTED_VALUE"""),"High")</f>
        <v>High</v>
      </c>
      <c r="P287" s="5" t="str">
        <f ca="1">IFERROR(__xludf.DUMMYFUNCTION("""COMPUTED_VALUE"""),"Hallway")</f>
        <v>Hallway</v>
      </c>
      <c r="Q287" s="5" t="str">
        <f ca="1">IFERROR(__xludf.DUMMYFUNCTION("""COMPUTED_VALUE"""),"Inside School Building")</f>
        <v>Inside School Building</v>
      </c>
      <c r="R287" s="5" t="str">
        <f ca="1">IFERROR(__xludf.DUMMYFUNCTION("""COMPUTED_VALUE"""),"Yes")</f>
        <v>Yes</v>
      </c>
      <c r="S287" s="5" t="str">
        <f ca="1">IFERROR(__xludf.DUMMYFUNCTION("""COMPUTED_VALUE"""),"Lunch")</f>
        <v>Lunch</v>
      </c>
      <c r="T287" s="10">
        <f ca="1">IFERROR(__xludf.DUMMYFUNCTION("""COMPUTED_VALUE"""),0.486111111111111)</f>
        <v>0.48611111111111099</v>
      </c>
      <c r="U287" s="5">
        <f ca="1">IFERROR(__xludf.DUMMYFUNCTION("""COMPUTED_VALUE"""),1)</f>
        <v>1</v>
      </c>
      <c r="V287" s="5" t="str">
        <f ca="1">IFERROR(__xludf.DUMMYFUNCTION("""COMPUTED_VALUE"""),"Student shot two other students during fight in hallway then fled")</f>
        <v>Student shot two other students during fight in hallway then fled</v>
      </c>
      <c r="W287"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X287" s="5" t="str">
        <f ca="1">IFERROR(__xludf.DUMMYFUNCTION("""COMPUTED_VALUE"""),"Escalation of Dispute")</f>
        <v>Escalation of Dispute</v>
      </c>
      <c r="Y287" s="5" t="str">
        <f ca="1">IFERROR(__xludf.DUMMYFUNCTION("""COMPUTED_VALUE"""),"Both")</f>
        <v>Both</v>
      </c>
      <c r="Z287" s="5" t="str">
        <f ca="1">IFERROR(__xludf.DUMMYFUNCTION("""COMPUTED_VALUE"""),"No")</f>
        <v>No</v>
      </c>
      <c r="AA287" s="5"/>
      <c r="AB287" s="5" t="str">
        <f ca="1">IFERROR(__xludf.DUMMYFUNCTION("""COMPUTED_VALUE"""),"No")</f>
        <v>No</v>
      </c>
      <c r="AC287" s="5" t="str">
        <f ca="1">IFERROR(__xludf.DUMMYFUNCTION("""COMPUTED_VALUE"""),"No")</f>
        <v>No</v>
      </c>
      <c r="AD287" s="5" t="str">
        <f ca="1">IFERROR(__xludf.DUMMYFUNCTION("""COMPUTED_VALUE"""),"No")</f>
        <v>No</v>
      </c>
      <c r="AE287" s="5" t="str">
        <f ca="1">IFERROR(__xludf.DUMMYFUNCTION("""COMPUTED_VALUE"""),"No")</f>
        <v>No</v>
      </c>
      <c r="AF287" s="5" t="str">
        <f ca="1">IFERROR(__xludf.DUMMYFUNCTION("""COMPUTED_VALUE"""),"No")</f>
        <v>No</v>
      </c>
      <c r="AG287" s="5"/>
      <c r="AH287" s="5" t="str">
        <f ca="1">IFERROR(__xludf.DUMMYFUNCTION("""COMPUTED_VALUE"""),"No")</f>
        <v>No</v>
      </c>
    </row>
    <row r="288" spans="1:34" ht="12.75">
      <c r="A288" s="5" t="str">
        <f ca="1">IFERROR(__xludf.DUMMYFUNCTION("""COMPUTED_VALUE"""),"20210920OHEAC")</f>
        <v>20210920OHEAC</v>
      </c>
      <c r="B288" s="8">
        <f ca="1">IFERROR(__xludf.DUMMYFUNCTION("""COMPUTED_VALUE"""),44459)</f>
        <v>44459</v>
      </c>
      <c r="C288" s="5" t="str">
        <f ca="1">IFERROR(__xludf.DUMMYFUNCTION("""COMPUTED_VALUE"""),"Eastside Arts Academy")</f>
        <v>Eastside Arts Academy</v>
      </c>
      <c r="D288" s="5">
        <f ca="1">IFERROR(__xludf.DUMMYFUNCTION("""COMPUTED_VALUE"""),0)</f>
        <v>0</v>
      </c>
      <c r="E288" s="5">
        <f ca="1">IFERROR(__xludf.DUMMYFUNCTION("""COMPUTED_VALUE"""),3)</f>
        <v>3</v>
      </c>
      <c r="F288" s="5">
        <f ca="1">IFERROR(__xludf.DUMMYFUNCTION("""COMPUTED_VALUE"""),3)</f>
        <v>3</v>
      </c>
      <c r="G288" s="5">
        <f ca="1">IFERROR(__xludf.DUMMYFUNCTION("""COMPUTED_VALUE"""),0)</f>
        <v>0</v>
      </c>
      <c r="H288"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I288" s="5">
        <f ca="1">IFERROR(__xludf.DUMMYFUNCTION("""COMPUTED_VALUE"""),1)</f>
        <v>1</v>
      </c>
      <c r="J288" s="5" t="str">
        <f ca="1">IFERROR(__xludf.DUMMYFUNCTION("""COMPUTED_VALUE"""),"Local")</f>
        <v>Local</v>
      </c>
      <c r="K288" s="5">
        <f ca="1">IFERROR(__xludf.DUMMYFUNCTION("""COMPUTED_VALUE"""),3)</f>
        <v>3</v>
      </c>
      <c r="L288" s="5" t="str">
        <f ca="1">IFERROR(__xludf.DUMMYFUNCTION("""COMPUTED_VALUE"""),"Fall")</f>
        <v>Fall</v>
      </c>
      <c r="M288" s="5" t="str">
        <f ca="1">IFERROR(__xludf.DUMMYFUNCTION("""COMPUTED_VALUE"""),"Cleveland")</f>
        <v>Cleveland</v>
      </c>
      <c r="N288" s="5" t="str">
        <f ca="1">IFERROR(__xludf.DUMMYFUNCTION("""COMPUTED_VALUE"""),"OH")</f>
        <v>OH</v>
      </c>
      <c r="O288" s="5" t="str">
        <f ca="1">IFERROR(__xludf.DUMMYFUNCTION("""COMPUTED_VALUE"""),"Elementary")</f>
        <v>Elementary</v>
      </c>
      <c r="P288" s="5" t="str">
        <f ca="1">IFERROR(__xludf.DUMMYFUNCTION("""COMPUTED_VALUE"""),"Playground")</f>
        <v>Playground</v>
      </c>
      <c r="Q288" s="5" t="str">
        <f ca="1">IFERROR(__xludf.DUMMYFUNCTION("""COMPUTED_VALUE"""),"Outside on School Property")</f>
        <v>Outside on School Property</v>
      </c>
      <c r="R288" s="5" t="str">
        <f ca="1">IFERROR(__xludf.DUMMYFUNCTION("""COMPUTED_VALUE"""),"No")</f>
        <v>No</v>
      </c>
      <c r="S288" s="5" t="str">
        <f ca="1">IFERROR(__xludf.DUMMYFUNCTION("""COMPUTED_VALUE"""),"Evening")</f>
        <v>Evening</v>
      </c>
      <c r="T288" s="10">
        <f ca="1">IFERROR(__xludf.DUMMYFUNCTION("""COMPUTED_VALUE"""),0.751388888888888)</f>
        <v>0.751388888888888</v>
      </c>
      <c r="U288" s="5">
        <f ca="1">IFERROR(__xludf.DUMMYFUNCTION("""COMPUTED_VALUE"""),1)</f>
        <v>1</v>
      </c>
      <c r="V288" s="5" t="str">
        <f ca="1">IFERROR(__xludf.DUMMYFUNCTION("""COMPUTED_VALUE"""),"Three teens shot on the school playground")</f>
        <v>Three teens shot on the school playground</v>
      </c>
      <c r="W288" s="5" t="str">
        <f ca="1">IFERROR(__xludf.DUMMYFUNCTION("""COMPUTED_VALUE"""),"Three male teens (14, 15, and 19) shot on the playground of the school. Two male shooters fled the scene.")</f>
        <v>Three male teens (14, 15, and 19) shot on the playground of the school. Two male shooters fled the scene.</v>
      </c>
      <c r="X288" s="5"/>
      <c r="Y288" s="5"/>
      <c r="Z288" s="5" t="str">
        <f ca="1">IFERROR(__xludf.DUMMYFUNCTION("""COMPUTED_VALUE"""),"Yes")</f>
        <v>Yes</v>
      </c>
      <c r="AA288" s="5" t="str">
        <f ca="1">IFERROR(__xludf.DUMMYFUNCTION("""COMPUTED_VALUE"""),"Two shooters")</f>
        <v>Two shooters</v>
      </c>
      <c r="AB288" s="5" t="str">
        <f ca="1">IFERROR(__xludf.DUMMYFUNCTION("""COMPUTED_VALUE"""),"No")</f>
        <v>No</v>
      </c>
      <c r="AC288" s="5" t="str">
        <f ca="1">IFERROR(__xludf.DUMMYFUNCTION("""COMPUTED_VALUE"""),"No")</f>
        <v>No</v>
      </c>
      <c r="AD288" s="5" t="str">
        <f ca="1">IFERROR(__xludf.DUMMYFUNCTION("""COMPUTED_VALUE"""),"No")</f>
        <v>No</v>
      </c>
      <c r="AE288" s="5" t="str">
        <f ca="1">IFERROR(__xludf.DUMMYFUNCTION("""COMPUTED_VALUE"""),"No")</f>
        <v>No</v>
      </c>
      <c r="AF288" s="5" t="str">
        <f ca="1">IFERROR(__xludf.DUMMYFUNCTION("""COMPUTED_VALUE"""),"No")</f>
        <v>No</v>
      </c>
      <c r="AG288" s="5"/>
      <c r="AH288" s="5" t="str">
        <f ca="1">IFERROR(__xludf.DUMMYFUNCTION("""COMPUTED_VALUE"""),"No")</f>
        <v>No</v>
      </c>
    </row>
    <row r="289" spans="1:34" ht="12.75">
      <c r="A289" s="5" t="str">
        <f ca="1">IFERROR(__xludf.DUMMYFUNCTION("""COMPUTED_VALUE"""),"20210918COWIC")</f>
        <v>20210918COWIC</v>
      </c>
      <c r="B289" s="8">
        <f ca="1">IFERROR(__xludf.DUMMYFUNCTION("""COMPUTED_VALUE"""),44457)</f>
        <v>44457</v>
      </c>
      <c r="C289" s="5" t="str">
        <f ca="1">IFERROR(__xludf.DUMMYFUNCTION("""COMPUTED_VALUE"""),"Widefield High School")</f>
        <v>Widefield High School</v>
      </c>
      <c r="D289" s="5">
        <f ca="1">IFERROR(__xludf.DUMMYFUNCTION("""COMPUTED_VALUE"""),0)</f>
        <v>0</v>
      </c>
      <c r="E289" s="5">
        <f ca="1">IFERROR(__xludf.DUMMYFUNCTION("""COMPUTED_VALUE"""),3)</f>
        <v>3</v>
      </c>
      <c r="F289" s="5">
        <f ca="1">IFERROR(__xludf.DUMMYFUNCTION("""COMPUTED_VALUE"""),3)</f>
        <v>3</v>
      </c>
      <c r="G289" s="5">
        <f ca="1">IFERROR(__xludf.DUMMYFUNCTION("""COMPUTED_VALUE"""),0)</f>
        <v>0</v>
      </c>
      <c r="H289"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I289" s="5">
        <f ca="1">IFERROR(__xludf.DUMMYFUNCTION("""COMPUTED_VALUE"""),10)</f>
        <v>10</v>
      </c>
      <c r="J289" s="5" t="str">
        <f ca="1">IFERROR(__xludf.DUMMYFUNCTION("""COMPUTED_VALUE"""),"Local")</f>
        <v>Local</v>
      </c>
      <c r="K289" s="5">
        <f ca="1">IFERROR(__xludf.DUMMYFUNCTION("""COMPUTED_VALUE"""),4)</f>
        <v>4</v>
      </c>
      <c r="L289" s="5" t="str">
        <f ca="1">IFERROR(__xludf.DUMMYFUNCTION("""COMPUTED_VALUE"""),"Fall")</f>
        <v>Fall</v>
      </c>
      <c r="M289" s="5" t="str">
        <f ca="1">IFERROR(__xludf.DUMMYFUNCTION("""COMPUTED_VALUE"""),"Colorado Springs")</f>
        <v>Colorado Springs</v>
      </c>
      <c r="N289" s="5" t="str">
        <f ca="1">IFERROR(__xludf.DUMMYFUNCTION("""COMPUTED_VALUE"""),"CO")</f>
        <v>CO</v>
      </c>
      <c r="O289" s="5" t="str">
        <f ca="1">IFERROR(__xludf.DUMMYFUNCTION("""COMPUTED_VALUE"""),"High")</f>
        <v>High</v>
      </c>
      <c r="P289" s="5" t="str">
        <f ca="1">IFERROR(__xludf.DUMMYFUNCTION("""COMPUTED_VALUE"""),"Parking Lot")</f>
        <v>Parking Lot</v>
      </c>
      <c r="Q289" s="5" t="str">
        <f ca="1">IFERROR(__xludf.DUMMYFUNCTION("""COMPUTED_VALUE"""),"Outside on School Property")</f>
        <v>Outside on School Property</v>
      </c>
      <c r="R289" s="5" t="str">
        <f ca="1">IFERROR(__xludf.DUMMYFUNCTION("""COMPUTED_VALUE"""),"No")</f>
        <v>No</v>
      </c>
      <c r="S289" s="5" t="str">
        <f ca="1">IFERROR(__xludf.DUMMYFUNCTION("""COMPUTED_VALUE"""),"Sport Event")</f>
        <v>Sport Event</v>
      </c>
      <c r="T289" s="10">
        <f ca="1">IFERROR(__xludf.DUMMYFUNCTION("""COMPUTED_VALUE"""),0.68125)</f>
        <v>0.68125000000000002</v>
      </c>
      <c r="U289" s="5">
        <f ca="1">IFERROR(__xludf.DUMMYFUNCTION("""COMPUTED_VALUE"""),1)</f>
        <v>1</v>
      </c>
      <c r="V289" s="5" t="str">
        <f ca="1">IFERROR(__xludf.DUMMYFUNCTION("""COMPUTED_VALUE"""),"2 teens and 1 adult shot in the parking lot at the end of a football game")</f>
        <v>2 teens and 1 adult shot in the parking lot at the end of a football game</v>
      </c>
      <c r="W289"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X289" s="5"/>
      <c r="Y289" s="5" t="str">
        <f ca="1">IFERROR(__xludf.DUMMYFUNCTION("""COMPUTED_VALUE"""),"Both")</f>
        <v>Both</v>
      </c>
      <c r="Z289" s="5" t="str">
        <f ca="1">IFERROR(__xludf.DUMMYFUNCTION("""COMPUTED_VALUE"""),"No")</f>
        <v>No</v>
      </c>
      <c r="AA289" s="5"/>
      <c r="AB289" s="5" t="str">
        <f ca="1">IFERROR(__xludf.DUMMYFUNCTION("""COMPUTED_VALUE"""),"No")</f>
        <v>No</v>
      </c>
      <c r="AC289" s="5" t="str">
        <f ca="1">IFERROR(__xludf.DUMMYFUNCTION("""COMPUTED_VALUE"""),"No")</f>
        <v>No</v>
      </c>
      <c r="AD289" s="5" t="str">
        <f ca="1">IFERROR(__xludf.DUMMYFUNCTION("""COMPUTED_VALUE"""),"No")</f>
        <v>No</v>
      </c>
      <c r="AE289" s="5" t="str">
        <f ca="1">IFERROR(__xludf.DUMMYFUNCTION("""COMPUTED_VALUE"""),"No")</f>
        <v>No</v>
      </c>
      <c r="AF289" s="5" t="str">
        <f ca="1">IFERROR(__xludf.DUMMYFUNCTION("""COMPUTED_VALUE"""),"No")</f>
        <v>No</v>
      </c>
      <c r="AG289" s="5"/>
      <c r="AH289" s="5" t="str">
        <f ca="1">IFERROR(__xludf.DUMMYFUNCTION("""COMPUTED_VALUE"""),"No")</f>
        <v>No</v>
      </c>
    </row>
    <row r="290" spans="1:34" ht="12.75">
      <c r="A290" s="5" t="str">
        <f ca="1">IFERROR(__xludf.DUMMYFUNCTION("""COMPUTED_VALUE"""),"20210917VAHEH")</f>
        <v>20210917VAHEH</v>
      </c>
      <c r="B290" s="8">
        <f ca="1">IFERROR(__xludf.DUMMYFUNCTION("""COMPUTED_VALUE"""),44456)</f>
        <v>44456</v>
      </c>
      <c r="C290" s="5" t="str">
        <f ca="1">IFERROR(__xludf.DUMMYFUNCTION("""COMPUTED_VALUE"""),"Hermitage High School")</f>
        <v>Hermitage High School</v>
      </c>
      <c r="D290" s="5">
        <f ca="1">IFERROR(__xludf.DUMMYFUNCTION("""COMPUTED_VALUE"""),0)</f>
        <v>0</v>
      </c>
      <c r="E290" s="5">
        <f ca="1">IFERROR(__xludf.DUMMYFUNCTION("""COMPUTED_VALUE"""),0)</f>
        <v>0</v>
      </c>
      <c r="F290" s="5">
        <f ca="1">IFERROR(__xludf.DUMMYFUNCTION("""COMPUTED_VALUE"""),0)</f>
        <v>0</v>
      </c>
      <c r="G290" s="5">
        <f ca="1">IFERROR(__xludf.DUMMYFUNCTION("""COMPUTED_VALUE"""),0)</f>
        <v>0</v>
      </c>
      <c r="H290"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I290" s="5">
        <f ca="1">IFERROR(__xludf.DUMMYFUNCTION("""COMPUTED_VALUE"""),2)</f>
        <v>2</v>
      </c>
      <c r="J290" s="5" t="str">
        <f ca="1">IFERROR(__xludf.DUMMYFUNCTION("""COMPUTED_VALUE"""),"Local")</f>
        <v>Local</v>
      </c>
      <c r="K290" s="5">
        <f ca="1">IFERROR(__xludf.DUMMYFUNCTION("""COMPUTED_VALUE"""),3)</f>
        <v>3</v>
      </c>
      <c r="L290" s="5" t="str">
        <f ca="1">IFERROR(__xludf.DUMMYFUNCTION("""COMPUTED_VALUE"""),"Fall")</f>
        <v>Fall</v>
      </c>
      <c r="M290" s="5" t="str">
        <f ca="1">IFERROR(__xludf.DUMMYFUNCTION("""COMPUTED_VALUE"""),"Henrico")</f>
        <v>Henrico</v>
      </c>
      <c r="N290" s="5" t="str">
        <f ca="1">IFERROR(__xludf.DUMMYFUNCTION("""COMPUTED_VALUE"""),"VA")</f>
        <v>VA</v>
      </c>
      <c r="O290" s="5" t="str">
        <f ca="1">IFERROR(__xludf.DUMMYFUNCTION("""COMPUTED_VALUE"""),"High")</f>
        <v>High</v>
      </c>
      <c r="P290" s="5" t="str">
        <f ca="1">IFERROR(__xludf.DUMMYFUNCTION("""COMPUTED_VALUE"""),"Parking Lot")</f>
        <v>Parking Lot</v>
      </c>
      <c r="Q290" s="5" t="str">
        <f ca="1">IFERROR(__xludf.DUMMYFUNCTION("""COMPUTED_VALUE"""),"Outside on School Property")</f>
        <v>Outside on School Property</v>
      </c>
      <c r="R290" s="5" t="str">
        <f ca="1">IFERROR(__xludf.DUMMYFUNCTION("""COMPUTED_VALUE"""),"No")</f>
        <v>No</v>
      </c>
      <c r="S290" s="5" t="str">
        <f ca="1">IFERROR(__xludf.DUMMYFUNCTION("""COMPUTED_VALUE"""),"School Event")</f>
        <v>School Event</v>
      </c>
      <c r="T290" s="10">
        <f ca="1">IFERROR(__xludf.DUMMYFUNCTION("""COMPUTED_VALUE"""),0.958333333333333)</f>
        <v>0.95833333333333304</v>
      </c>
      <c r="U290" s="5">
        <f ca="1">IFERROR(__xludf.DUMMYFUNCTION("""COMPUTED_VALUE"""),1)</f>
        <v>1</v>
      </c>
      <c r="V290" s="5" t="str">
        <f ca="1">IFERROR(__xludf.DUMMYFUNCTION("""COMPUTED_VALUE"""),"Shots fired during a fight in the parking lot following football game")</f>
        <v>Shots fired during a fight in the parking lot following football game</v>
      </c>
      <c r="W290"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X290" s="5" t="str">
        <f ca="1">IFERROR(__xludf.DUMMYFUNCTION("""COMPUTED_VALUE"""),"Escalation of Dispute")</f>
        <v>Escalation of Dispute</v>
      </c>
      <c r="Y290" s="5" t="str">
        <f ca="1">IFERROR(__xludf.DUMMYFUNCTION("""COMPUTED_VALUE"""),"Neither")</f>
        <v>Neither</v>
      </c>
      <c r="Z290" s="5" t="str">
        <f ca="1">IFERROR(__xludf.DUMMYFUNCTION("""COMPUTED_VALUE"""),"No")</f>
        <v>No</v>
      </c>
      <c r="AA290" s="5"/>
      <c r="AB290" s="5" t="str">
        <f ca="1">IFERROR(__xludf.DUMMYFUNCTION("""COMPUTED_VALUE"""),"No")</f>
        <v>No</v>
      </c>
      <c r="AC290" s="5" t="str">
        <f ca="1">IFERROR(__xludf.DUMMYFUNCTION("""COMPUTED_VALUE"""),"No")</f>
        <v>No</v>
      </c>
      <c r="AD290" s="5" t="str">
        <f ca="1">IFERROR(__xludf.DUMMYFUNCTION("""COMPUTED_VALUE"""),"No")</f>
        <v>No</v>
      </c>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row>
    <row r="291" spans="1:34" ht="12.75">
      <c r="A291" s="5" t="str">
        <f ca="1">IFERROR(__xludf.DUMMYFUNCTION("""COMPUTED_VALUE"""),"20210917TNAUK")</f>
        <v>20210917TNAUK</v>
      </c>
      <c r="B291" s="8">
        <f ca="1">IFERROR(__xludf.DUMMYFUNCTION("""COMPUTED_VALUE"""),44456)</f>
        <v>44456</v>
      </c>
      <c r="C291" s="5" t="str">
        <f ca="1">IFERROR(__xludf.DUMMYFUNCTION("""COMPUTED_VALUE"""),"Austin-East High School")</f>
        <v>Austin-East High School</v>
      </c>
      <c r="D291" s="5">
        <f ca="1">IFERROR(__xludf.DUMMYFUNCTION("""COMPUTED_VALUE"""),0)</f>
        <v>0</v>
      </c>
      <c r="E291" s="5">
        <f ca="1">IFERROR(__xludf.DUMMYFUNCTION("""COMPUTED_VALUE"""),1)</f>
        <v>1</v>
      </c>
      <c r="F291" s="5">
        <f ca="1">IFERROR(__xludf.DUMMYFUNCTION("""COMPUTED_VALUE"""),1)</f>
        <v>1</v>
      </c>
      <c r="G291" s="5">
        <f ca="1">IFERROR(__xludf.DUMMYFUNCTION("""COMPUTED_VALUE"""),0)</f>
        <v>0</v>
      </c>
      <c r="H291"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I291" s="5">
        <f ca="1">IFERROR(__xludf.DUMMYFUNCTION("""COMPUTED_VALUE"""),5)</f>
        <v>5</v>
      </c>
      <c r="J291" s="5" t="str">
        <f ca="1">IFERROR(__xludf.DUMMYFUNCTION("""COMPUTED_VALUE"""),"National")</f>
        <v>National</v>
      </c>
      <c r="K291" s="5">
        <f ca="1">IFERROR(__xludf.DUMMYFUNCTION("""COMPUTED_VALUE"""),4)</f>
        <v>4</v>
      </c>
      <c r="L291" s="5" t="str">
        <f ca="1">IFERROR(__xludf.DUMMYFUNCTION("""COMPUTED_VALUE"""),"Fall")</f>
        <v>Fall</v>
      </c>
      <c r="M291" s="5" t="str">
        <f ca="1">IFERROR(__xludf.DUMMYFUNCTION("""COMPUTED_VALUE"""),"Knoxville")</f>
        <v>Knoxville</v>
      </c>
      <c r="N291" s="5" t="str">
        <f ca="1">IFERROR(__xludf.DUMMYFUNCTION("""COMPUTED_VALUE"""),"TN")</f>
        <v>TN</v>
      </c>
      <c r="O291" s="5" t="str">
        <f ca="1">IFERROR(__xludf.DUMMYFUNCTION("""COMPUTED_VALUE"""),"High")</f>
        <v>High</v>
      </c>
      <c r="P291" s="5" t="str">
        <f ca="1">IFERROR(__xludf.DUMMYFUNCTION("""COMPUTED_VALUE"""),"Off School Property")</f>
        <v>Off School Property</v>
      </c>
      <c r="Q291" s="5" t="str">
        <f ca="1">IFERROR(__xludf.DUMMYFUNCTION("""COMPUTED_VALUE"""),"Off School Property")</f>
        <v>Off School Property</v>
      </c>
      <c r="R291" s="5" t="str">
        <f ca="1">IFERROR(__xludf.DUMMYFUNCTION("""COMPUTED_VALUE"""),"No")</f>
        <v>No</v>
      </c>
      <c r="S291" s="5" t="str">
        <f ca="1">IFERROR(__xludf.DUMMYFUNCTION("""COMPUTED_VALUE"""),"Sport Event")</f>
        <v>Sport Event</v>
      </c>
      <c r="T291" s="10">
        <f ca="1">IFERROR(__xludf.DUMMYFUNCTION("""COMPUTED_VALUE"""),0.867361111111111)</f>
        <v>0.86736111111111103</v>
      </c>
      <c r="U291" s="5">
        <f ca="1">IFERROR(__xludf.DUMMYFUNCTION("""COMPUTED_VALUE"""),1)</f>
        <v>1</v>
      </c>
      <c r="V291" s="5" t="str">
        <f ca="1">IFERROR(__xludf.DUMMYFUNCTION("""COMPUTED_VALUE"""),"Teen shot outside football stadium, field cleared")</f>
        <v>Teen shot outside football stadium, field cleared</v>
      </c>
      <c r="W291"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X291" s="5"/>
      <c r="Y291" s="5"/>
      <c r="Z291" s="5" t="str">
        <f ca="1">IFERROR(__xludf.DUMMYFUNCTION("""COMPUTED_VALUE"""),"No")</f>
        <v>No</v>
      </c>
      <c r="AA291" s="5"/>
      <c r="AB291" s="5" t="str">
        <f ca="1">IFERROR(__xludf.DUMMYFUNCTION("""COMPUTED_VALUE"""),"No")</f>
        <v>No</v>
      </c>
      <c r="AC291" s="5" t="str">
        <f ca="1">IFERROR(__xludf.DUMMYFUNCTION("""COMPUTED_VALUE"""),"No")</f>
        <v>No</v>
      </c>
      <c r="AD291" s="5" t="str">
        <f ca="1">IFERROR(__xludf.DUMMYFUNCTION("""COMPUTED_VALUE"""),"No")</f>
        <v>No</v>
      </c>
      <c r="AE291" s="5" t="str">
        <f ca="1">IFERROR(__xludf.DUMMYFUNCTION("""COMPUTED_VALUE"""),"No")</f>
        <v>No</v>
      </c>
      <c r="AF291" s="5" t="str">
        <f ca="1">IFERROR(__xludf.DUMMYFUNCTION("""COMPUTED_VALUE"""),"No")</f>
        <v>No</v>
      </c>
      <c r="AG291" s="5"/>
      <c r="AH291" s="5" t="str">
        <f ca="1">IFERROR(__xludf.DUMMYFUNCTION("""COMPUTED_VALUE"""),"No")</f>
        <v>No</v>
      </c>
    </row>
    <row r="292" spans="1:34" ht="12.75">
      <c r="A292" s="5" t="str">
        <f ca="1">IFERROR(__xludf.DUMMYFUNCTION("""COMPUTED_VALUE"""),"20210917PAWEP")</f>
        <v>20210917PAWEP</v>
      </c>
      <c r="B292" s="8">
        <f ca="1">IFERROR(__xludf.DUMMYFUNCTION("""COMPUTED_VALUE"""),44456)</f>
        <v>44456</v>
      </c>
      <c r="C292" s="5" t="str">
        <f ca="1">IFERROR(__xludf.DUMMYFUNCTION("""COMPUTED_VALUE"""),"West Philadelphia High School")</f>
        <v>West Philadelphia High School</v>
      </c>
      <c r="D292" s="5">
        <f ca="1">IFERROR(__xludf.DUMMYFUNCTION("""COMPUTED_VALUE"""),0)</f>
        <v>0</v>
      </c>
      <c r="E292" s="5">
        <f ca="1">IFERROR(__xludf.DUMMYFUNCTION("""COMPUTED_VALUE"""),2)</f>
        <v>2</v>
      </c>
      <c r="F292" s="5">
        <f ca="1">IFERROR(__xludf.DUMMYFUNCTION("""COMPUTED_VALUE"""),2)</f>
        <v>2</v>
      </c>
      <c r="G292" s="5">
        <f ca="1">IFERROR(__xludf.DUMMYFUNCTION("""COMPUTED_VALUE"""),0)</f>
        <v>0</v>
      </c>
      <c r="H292"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I292" s="5">
        <f ca="1">IFERROR(__xludf.DUMMYFUNCTION("""COMPUTED_VALUE"""),3)</f>
        <v>3</v>
      </c>
      <c r="J292" s="5" t="str">
        <f ca="1">IFERROR(__xludf.DUMMYFUNCTION("""COMPUTED_VALUE"""),"Local")</f>
        <v>Local</v>
      </c>
      <c r="K292" s="5">
        <f ca="1">IFERROR(__xludf.DUMMYFUNCTION("""COMPUTED_VALUE"""),4)</f>
        <v>4</v>
      </c>
      <c r="L292" s="5" t="str">
        <f ca="1">IFERROR(__xludf.DUMMYFUNCTION("""COMPUTED_VALUE"""),"Fall")</f>
        <v>Fall</v>
      </c>
      <c r="M292" s="5" t="str">
        <f ca="1">IFERROR(__xludf.DUMMYFUNCTION("""COMPUTED_VALUE"""),"Philadelphia")</f>
        <v>Philadelphia</v>
      </c>
      <c r="N292" s="5" t="str">
        <f ca="1">IFERROR(__xludf.DUMMYFUNCTION("""COMPUTED_VALUE"""),"PA")</f>
        <v>PA</v>
      </c>
      <c r="O292" s="5" t="str">
        <f ca="1">IFERROR(__xludf.DUMMYFUNCTION("""COMPUTED_VALUE"""),"High")</f>
        <v>High</v>
      </c>
      <c r="P292" s="5" t="str">
        <f ca="1">IFERROR(__xludf.DUMMYFUNCTION("""COMPUTED_VALUE"""),"Football Field/Track")</f>
        <v>Football Field/Track</v>
      </c>
      <c r="Q292" s="5" t="str">
        <f ca="1">IFERROR(__xludf.DUMMYFUNCTION("""COMPUTED_VALUE"""),"Outside on School Property")</f>
        <v>Outside on School Property</v>
      </c>
      <c r="R292" s="5" t="str">
        <f ca="1">IFERROR(__xludf.DUMMYFUNCTION("""COMPUTED_VALUE"""),"No")</f>
        <v>No</v>
      </c>
      <c r="S292" s="5" t="str">
        <f ca="1">IFERROR(__xludf.DUMMYFUNCTION("""COMPUTED_VALUE"""),"Sport Event")</f>
        <v>Sport Event</v>
      </c>
      <c r="T292" s="10">
        <f ca="1">IFERROR(__xludf.DUMMYFUNCTION("""COMPUTED_VALUE"""),0.833333333333333)</f>
        <v>0.83333333333333304</v>
      </c>
      <c r="U292" s="5">
        <f ca="1">IFERROR(__xludf.DUMMYFUNCTION("""COMPUTED_VALUE"""),1)</f>
        <v>1</v>
      </c>
      <c r="V292" s="5" t="str">
        <f ca="1">IFERROR(__xludf.DUMMYFUNCTION("""COMPUTED_VALUE"""),"20 shots fired during football game, teens involved ran across the field")</f>
        <v>20 shots fired during football game, teens involved ran across the field</v>
      </c>
      <c r="W292"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X292" s="5" t="str">
        <f ca="1">IFERROR(__xludf.DUMMYFUNCTION("""COMPUTED_VALUE"""),"Escalation of Dispute")</f>
        <v>Escalation of Dispute</v>
      </c>
      <c r="Y292" s="5"/>
      <c r="Z292" s="5" t="str">
        <f ca="1">IFERROR(__xludf.DUMMYFUNCTION("""COMPUTED_VALUE"""),"No")</f>
        <v>No</v>
      </c>
      <c r="AA292" s="5"/>
      <c r="AB292" s="5" t="str">
        <f ca="1">IFERROR(__xludf.DUMMYFUNCTION("""COMPUTED_VALUE"""),"No")</f>
        <v>No</v>
      </c>
      <c r="AC292" s="5" t="str">
        <f ca="1">IFERROR(__xludf.DUMMYFUNCTION("""COMPUTED_VALUE"""),"No")</f>
        <v>No</v>
      </c>
      <c r="AD292" s="5" t="str">
        <f ca="1">IFERROR(__xludf.DUMMYFUNCTION("""COMPUTED_VALUE"""),"No")</f>
        <v>No</v>
      </c>
      <c r="AE292" s="5" t="str">
        <f ca="1">IFERROR(__xludf.DUMMYFUNCTION("""COMPUTED_VALUE"""),"No")</f>
        <v>No</v>
      </c>
      <c r="AF292" s="5" t="str">
        <f ca="1">IFERROR(__xludf.DUMMYFUNCTION("""COMPUTED_VALUE"""),"No")</f>
        <v>No</v>
      </c>
      <c r="AG292" s="5"/>
      <c r="AH292" s="5" t="str">
        <f ca="1">IFERROR(__xludf.DUMMYFUNCTION("""COMPUTED_VALUE"""),"No")</f>
        <v>No</v>
      </c>
    </row>
    <row r="293" spans="1:34" ht="12.75">
      <c r="A293" s="5" t="str">
        <f ca="1">IFERROR(__xludf.DUMMYFUNCTION("""COMPUTED_VALUE"""),"20210917NCPAW")</f>
        <v>20210917NCPAW</v>
      </c>
      <c r="B293" s="8">
        <f ca="1">IFERROR(__xludf.DUMMYFUNCTION("""COMPUTED_VALUE"""),44456)</f>
        <v>44456</v>
      </c>
      <c r="C293" s="5" t="str">
        <f ca="1">IFERROR(__xludf.DUMMYFUNCTION("""COMPUTED_VALUE"""),"Parkland High School")</f>
        <v>Parkland High School</v>
      </c>
      <c r="D293" s="5">
        <f ca="1">IFERROR(__xludf.DUMMYFUNCTION("""COMPUTED_VALUE"""),0)</f>
        <v>0</v>
      </c>
      <c r="E293" s="5">
        <f ca="1">IFERROR(__xludf.DUMMYFUNCTION("""COMPUTED_VALUE"""),0)</f>
        <v>0</v>
      </c>
      <c r="F293" s="5">
        <f ca="1">IFERROR(__xludf.DUMMYFUNCTION("""COMPUTED_VALUE"""),0)</f>
        <v>0</v>
      </c>
      <c r="G293" s="5">
        <f ca="1">IFERROR(__xludf.DUMMYFUNCTION("""COMPUTED_VALUE"""),0)</f>
        <v>0</v>
      </c>
      <c r="H293"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I293" s="5">
        <f ca="1">IFERROR(__xludf.DUMMYFUNCTION("""COMPUTED_VALUE"""),5)</f>
        <v>5</v>
      </c>
      <c r="J293" s="5" t="str">
        <f ca="1">IFERROR(__xludf.DUMMYFUNCTION("""COMPUTED_VALUE"""),"Local")</f>
        <v>Local</v>
      </c>
      <c r="K293" s="5">
        <f ca="1">IFERROR(__xludf.DUMMYFUNCTION("""COMPUTED_VALUE"""),4)</f>
        <v>4</v>
      </c>
      <c r="L293" s="5" t="str">
        <f ca="1">IFERROR(__xludf.DUMMYFUNCTION("""COMPUTED_VALUE"""),"Fall")</f>
        <v>Fall</v>
      </c>
      <c r="M293" s="5" t="str">
        <f ca="1">IFERROR(__xludf.DUMMYFUNCTION("""COMPUTED_VALUE"""),"Winston-Salem")</f>
        <v>Winston-Salem</v>
      </c>
      <c r="N293" s="5" t="str">
        <f ca="1">IFERROR(__xludf.DUMMYFUNCTION("""COMPUTED_VALUE"""),"NC")</f>
        <v>NC</v>
      </c>
      <c r="O293" s="5" t="str">
        <f ca="1">IFERROR(__xludf.DUMMYFUNCTION("""COMPUTED_VALUE"""),"High")</f>
        <v>High</v>
      </c>
      <c r="P293" s="5" t="str">
        <f ca="1">IFERROR(__xludf.DUMMYFUNCTION("""COMPUTED_VALUE"""),"Field (General)")</f>
        <v>Field (General)</v>
      </c>
      <c r="Q293" s="5" t="str">
        <f ca="1">IFERROR(__xludf.DUMMYFUNCTION("""COMPUTED_VALUE"""),"Outside on School Property")</f>
        <v>Outside on School Property</v>
      </c>
      <c r="R293" s="5" t="str">
        <f ca="1">IFERROR(__xludf.DUMMYFUNCTION("""COMPUTED_VALUE"""),"Yes")</f>
        <v>Yes</v>
      </c>
      <c r="S293" s="5" t="str">
        <f ca="1">IFERROR(__xludf.DUMMYFUNCTION("""COMPUTED_VALUE"""),"After School")</f>
        <v>After School</v>
      </c>
      <c r="T293" s="10">
        <f ca="1">IFERROR(__xludf.DUMMYFUNCTION("""COMPUTED_VALUE"""),0.666666666666666)</f>
        <v>0.66666666666666596</v>
      </c>
      <c r="U293" s="5">
        <f ca="1">IFERROR(__xludf.DUMMYFUNCTION("""COMPUTED_VALUE"""),1)</f>
        <v>1</v>
      </c>
      <c r="V293" s="5" t="str">
        <f ca="1">IFERROR(__xludf.DUMMYFUNCTION("""COMPUTED_VALUE"""),"Shots fired toward the school building during a fight between 30 teens")</f>
        <v>Shots fired toward the school building during a fight between 30 teens</v>
      </c>
      <c r="W293"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X293" s="5" t="str">
        <f ca="1">IFERROR(__xludf.DUMMYFUNCTION("""COMPUTED_VALUE"""),"Escalation of Dispute")</f>
        <v>Escalation of Dispute</v>
      </c>
      <c r="Y293" s="5" t="str">
        <f ca="1">IFERROR(__xludf.DUMMYFUNCTION("""COMPUTED_VALUE"""),"Random Shooting")</f>
        <v>Random Shooting</v>
      </c>
      <c r="Z293" s="5" t="str">
        <f ca="1">IFERROR(__xludf.DUMMYFUNCTION("""COMPUTED_VALUE"""),"No")</f>
        <v>No</v>
      </c>
      <c r="AA293" s="5"/>
      <c r="AB293" s="5" t="str">
        <f ca="1">IFERROR(__xludf.DUMMYFUNCTION("""COMPUTED_VALUE"""),"No")</f>
        <v>No</v>
      </c>
      <c r="AC293" s="5" t="str">
        <f ca="1">IFERROR(__xludf.DUMMYFUNCTION("""COMPUTED_VALUE"""),"No")</f>
        <v>No</v>
      </c>
      <c r="AD293" s="5" t="str">
        <f ca="1">IFERROR(__xludf.DUMMYFUNCTION("""COMPUTED_VALUE"""),"No")</f>
        <v>No</v>
      </c>
      <c r="AE293" s="5" t="str">
        <f ca="1">IFERROR(__xludf.DUMMYFUNCTION("""COMPUTED_VALUE"""),"No")</f>
        <v>No</v>
      </c>
      <c r="AF293" s="5" t="str">
        <f ca="1">IFERROR(__xludf.DUMMYFUNCTION("""COMPUTED_VALUE"""),"No")</f>
        <v>No</v>
      </c>
      <c r="AG293" s="5"/>
      <c r="AH293" s="5" t="str">
        <f ca="1">IFERROR(__xludf.DUMMYFUNCTION("""COMPUTED_VALUE"""),"No")</f>
        <v>No</v>
      </c>
    </row>
    <row r="294" spans="1:34" ht="12.75">
      <c r="A294" s="5" t="str">
        <f ca="1">IFERROR(__xludf.DUMMYFUNCTION("""COMPUTED_VALUE"""),"20210917GASWS")</f>
        <v>20210917GASWS</v>
      </c>
      <c r="B294" s="8">
        <f ca="1">IFERROR(__xludf.DUMMYFUNCTION("""COMPUTED_VALUE"""),44456)</f>
        <v>44456</v>
      </c>
      <c r="C294" s="5" t="str">
        <f ca="1">IFERROR(__xludf.DUMMYFUNCTION("""COMPUTED_VALUE"""),"Swainsboro High School")</f>
        <v>Swainsboro High School</v>
      </c>
      <c r="D294" s="5">
        <f ca="1">IFERROR(__xludf.DUMMYFUNCTION("""COMPUTED_VALUE"""),0)</f>
        <v>0</v>
      </c>
      <c r="E294" s="5">
        <f ca="1">IFERROR(__xludf.DUMMYFUNCTION("""COMPUTED_VALUE"""),0)</f>
        <v>0</v>
      </c>
      <c r="F294" s="5">
        <f ca="1">IFERROR(__xludf.DUMMYFUNCTION("""COMPUTED_VALUE"""),0)</f>
        <v>0</v>
      </c>
      <c r="G294" s="5">
        <f ca="1">IFERROR(__xludf.DUMMYFUNCTION("""COMPUTED_VALUE"""),0)</f>
        <v>0</v>
      </c>
      <c r="H294"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I294" s="5">
        <f ca="1">IFERROR(__xludf.DUMMYFUNCTION("""COMPUTED_VALUE"""),3)</f>
        <v>3</v>
      </c>
      <c r="J294" s="5" t="str">
        <f ca="1">IFERROR(__xludf.DUMMYFUNCTION("""COMPUTED_VALUE"""),"Local")</f>
        <v>Local</v>
      </c>
      <c r="K294" s="5">
        <f ca="1">IFERROR(__xludf.DUMMYFUNCTION("""COMPUTED_VALUE"""),4)</f>
        <v>4</v>
      </c>
      <c r="L294" s="5" t="str">
        <f ca="1">IFERROR(__xludf.DUMMYFUNCTION("""COMPUTED_VALUE"""),"Fall")</f>
        <v>Fall</v>
      </c>
      <c r="M294" s="5" t="str">
        <f ca="1">IFERROR(__xludf.DUMMYFUNCTION("""COMPUTED_VALUE"""),"Swainsboro")</f>
        <v>Swainsboro</v>
      </c>
      <c r="N294" s="5" t="str">
        <f ca="1">IFERROR(__xludf.DUMMYFUNCTION("""COMPUTED_VALUE"""),"GA")</f>
        <v>GA</v>
      </c>
      <c r="O294" s="5" t="str">
        <f ca="1">IFERROR(__xludf.DUMMYFUNCTION("""COMPUTED_VALUE"""),"High")</f>
        <v>High</v>
      </c>
      <c r="P294" s="5" t="str">
        <f ca="1">IFERROR(__xludf.DUMMYFUNCTION("""COMPUTED_VALUE"""),"Football Field/Track")</f>
        <v>Football Field/Track</v>
      </c>
      <c r="Q294" s="5" t="str">
        <f ca="1">IFERROR(__xludf.DUMMYFUNCTION("""COMPUTED_VALUE"""),"Outside on School Property")</f>
        <v>Outside on School Property</v>
      </c>
      <c r="R294" s="5" t="str">
        <f ca="1">IFERROR(__xludf.DUMMYFUNCTION("""COMPUTED_VALUE"""),"No")</f>
        <v>No</v>
      </c>
      <c r="S294" s="5" t="str">
        <f ca="1">IFERROR(__xludf.DUMMYFUNCTION("""COMPUTED_VALUE"""),"Sport Event")</f>
        <v>Sport Event</v>
      </c>
      <c r="T294" s="10">
        <f ca="1">IFERROR(__xludf.DUMMYFUNCTION("""COMPUTED_VALUE"""),0.875)</f>
        <v>0.875</v>
      </c>
      <c r="U294" s="5">
        <f ca="1">IFERROR(__xludf.DUMMYFUNCTION("""COMPUTED_VALUE"""),1)</f>
        <v>1</v>
      </c>
      <c r="V294" s="5" t="str">
        <f ca="1">IFERROR(__xludf.DUMMYFUNCTION("""COMPUTED_VALUE"""),"Shots fired in the stands of the football stadium during a fight")</f>
        <v>Shots fired in the stands of the football stadium during a fight</v>
      </c>
      <c r="W294"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X294" s="5" t="str">
        <f ca="1">IFERROR(__xludf.DUMMYFUNCTION("""COMPUTED_VALUE"""),"Escalation of Dispute")</f>
        <v>Escalation of Dispute</v>
      </c>
      <c r="Y294" s="5" t="str">
        <f ca="1">IFERROR(__xludf.DUMMYFUNCTION("""COMPUTED_VALUE"""),"Neither")</f>
        <v>Neither</v>
      </c>
      <c r="Z294" s="5" t="str">
        <f ca="1">IFERROR(__xludf.DUMMYFUNCTION("""COMPUTED_VALUE"""),"No")</f>
        <v>No</v>
      </c>
      <c r="AA294" s="5"/>
      <c r="AB294" s="5" t="str">
        <f ca="1">IFERROR(__xludf.DUMMYFUNCTION("""COMPUTED_VALUE"""),"No")</f>
        <v>No</v>
      </c>
      <c r="AC294" s="5" t="str">
        <f ca="1">IFERROR(__xludf.DUMMYFUNCTION("""COMPUTED_VALUE"""),"No")</f>
        <v>No</v>
      </c>
      <c r="AD294" s="5" t="str">
        <f ca="1">IFERROR(__xludf.DUMMYFUNCTION("""COMPUTED_VALUE"""),"No")</f>
        <v>No</v>
      </c>
      <c r="AE294" s="5" t="str">
        <f ca="1">IFERROR(__xludf.DUMMYFUNCTION("""COMPUTED_VALUE"""),"No")</f>
        <v>No</v>
      </c>
      <c r="AF294" s="5" t="str">
        <f ca="1">IFERROR(__xludf.DUMMYFUNCTION("""COMPUTED_VALUE"""),"No")</f>
        <v>No</v>
      </c>
      <c r="AG294" s="5"/>
      <c r="AH294" s="5" t="str">
        <f ca="1">IFERROR(__xludf.DUMMYFUNCTION("""COMPUTED_VALUE"""),"No")</f>
        <v>No</v>
      </c>
    </row>
    <row r="295" spans="1:34" ht="12.75">
      <c r="A295" s="5" t="str">
        <f ca="1">IFERROR(__xludf.DUMMYFUNCTION("""COMPUTED_VALUE"""),"20210916WIORM")</f>
        <v>20210916WIORM</v>
      </c>
      <c r="B295" s="8">
        <f ca="1">IFERROR(__xludf.DUMMYFUNCTION("""COMPUTED_VALUE"""),44455)</f>
        <v>44455</v>
      </c>
      <c r="C295" s="5" t="str">
        <f ca="1">IFERROR(__xludf.DUMMYFUNCTION("""COMPUTED_VALUE"""),"Orchard Ridge Elementary School")</f>
        <v>Orchard Ridge Elementary School</v>
      </c>
      <c r="D295" s="5">
        <f ca="1">IFERROR(__xludf.DUMMYFUNCTION("""COMPUTED_VALUE"""),0)</f>
        <v>0</v>
      </c>
      <c r="E295" s="5">
        <f ca="1">IFERROR(__xludf.DUMMYFUNCTION("""COMPUTED_VALUE"""),0)</f>
        <v>0</v>
      </c>
      <c r="F295" s="5">
        <f ca="1">IFERROR(__xludf.DUMMYFUNCTION("""COMPUTED_VALUE"""),0)</f>
        <v>0</v>
      </c>
      <c r="G295" s="5">
        <f ca="1">IFERROR(__xludf.DUMMYFUNCTION("""COMPUTED_VALUE"""),0)</f>
        <v>0</v>
      </c>
      <c r="H295" s="9" t="str">
        <f ca="1">IFERROR(__xludf.DUMMYFUNCTION("""COMPUTED_VALUE"""),"https://www.nbc15.com/2021/09/16/reports-shots-fired-near-orchard-ridge-elementary-school/")</f>
        <v>https://www.nbc15.com/2021/09/16/reports-shots-fired-near-orchard-ridge-elementary-school/</v>
      </c>
      <c r="I295" s="5">
        <f ca="1">IFERROR(__xludf.DUMMYFUNCTION("""COMPUTED_VALUE"""),1)</f>
        <v>1</v>
      </c>
      <c r="J295" s="5" t="str">
        <f ca="1">IFERROR(__xludf.DUMMYFUNCTION("""COMPUTED_VALUE"""),"Local")</f>
        <v>Local</v>
      </c>
      <c r="K295" s="5">
        <f ca="1">IFERROR(__xludf.DUMMYFUNCTION("""COMPUTED_VALUE"""),3)</f>
        <v>3</v>
      </c>
      <c r="L295" s="5" t="str">
        <f ca="1">IFERROR(__xludf.DUMMYFUNCTION("""COMPUTED_VALUE"""),"Fall")</f>
        <v>Fall</v>
      </c>
      <c r="M295" s="5" t="str">
        <f ca="1">IFERROR(__xludf.DUMMYFUNCTION("""COMPUTED_VALUE"""),"Madison")</f>
        <v>Madison</v>
      </c>
      <c r="N295" s="5" t="str">
        <f ca="1">IFERROR(__xludf.DUMMYFUNCTION("""COMPUTED_VALUE"""),"WI")</f>
        <v>WI</v>
      </c>
      <c r="O295" s="5" t="str">
        <f ca="1">IFERROR(__xludf.DUMMYFUNCTION("""COMPUTED_VALUE"""),"Elementary")</f>
        <v>Elementary</v>
      </c>
      <c r="P295" s="5" t="str">
        <f ca="1">IFERROR(__xludf.DUMMYFUNCTION("""COMPUTED_VALUE"""),"Beside Building")</f>
        <v>Beside Building</v>
      </c>
      <c r="Q295" s="5" t="str">
        <f ca="1">IFERROR(__xludf.DUMMYFUNCTION("""COMPUTED_VALUE"""),"Outside on School Property")</f>
        <v>Outside on School Property</v>
      </c>
      <c r="R295" s="5" t="str">
        <f ca="1">IFERROR(__xludf.DUMMYFUNCTION("""COMPUTED_VALUE"""),"No")</f>
        <v>No</v>
      </c>
      <c r="S295" s="5" t="str">
        <f ca="1">IFERROR(__xludf.DUMMYFUNCTION("""COMPUTED_VALUE"""),"Night")</f>
        <v>Night</v>
      </c>
      <c r="T295" s="10">
        <f ca="1">IFERROR(__xludf.DUMMYFUNCTION("""COMPUTED_VALUE"""),0.125)</f>
        <v>0.125</v>
      </c>
      <c r="U295" s="5">
        <f ca="1">IFERROR(__xludf.DUMMYFUNCTION("""COMPUTED_VALUE"""),1)</f>
        <v>1</v>
      </c>
      <c r="V295" s="5" t="str">
        <f ca="1">IFERROR(__xludf.DUMMYFUNCTION("""COMPUTED_VALUE"""),"Shot fired near school, police found shell casings")</f>
        <v>Shot fired near school, police found shell casings</v>
      </c>
      <c r="W295"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X295" s="5"/>
      <c r="Y295" s="5"/>
      <c r="Z295" s="5" t="str">
        <f ca="1">IFERROR(__xludf.DUMMYFUNCTION("""COMPUTED_VALUE"""),"No")</f>
        <v>No</v>
      </c>
      <c r="AA295" s="5"/>
      <c r="AB295" s="5" t="str">
        <f ca="1">IFERROR(__xludf.DUMMYFUNCTION("""COMPUTED_VALUE"""),"No")</f>
        <v>No</v>
      </c>
      <c r="AC295" s="5" t="str">
        <f ca="1">IFERROR(__xludf.DUMMYFUNCTION("""COMPUTED_VALUE"""),"No")</f>
        <v>No</v>
      </c>
      <c r="AD295" s="5" t="str">
        <f ca="1">IFERROR(__xludf.DUMMYFUNCTION("""COMPUTED_VALUE"""),"No")</f>
        <v>No</v>
      </c>
      <c r="AE295" s="5" t="str">
        <f ca="1">IFERROR(__xludf.DUMMYFUNCTION("""COMPUTED_VALUE"""),"No")</f>
        <v>No</v>
      </c>
      <c r="AF295" s="5" t="str">
        <f ca="1">IFERROR(__xludf.DUMMYFUNCTION("""COMPUTED_VALUE"""),"No")</f>
        <v>No</v>
      </c>
      <c r="AG295" s="5"/>
      <c r="AH295" s="5" t="str">
        <f ca="1">IFERROR(__xludf.DUMMYFUNCTION("""COMPUTED_VALUE"""),"No")</f>
        <v>No</v>
      </c>
    </row>
    <row r="296" spans="1:34" ht="12.75">
      <c r="A296" s="5" t="str">
        <f ca="1">IFERROR(__xludf.DUMMYFUNCTION("""COMPUTED_VALUE"""),"20210916UTPRP")</f>
        <v>20210916UTPRP</v>
      </c>
      <c r="B296" s="8">
        <f ca="1">IFERROR(__xludf.DUMMYFUNCTION("""COMPUTED_VALUE"""),44455)</f>
        <v>44455</v>
      </c>
      <c r="C296" s="5" t="str">
        <f ca="1">IFERROR(__xludf.DUMMYFUNCTION("""COMPUTED_VALUE"""),"Provo High School")</f>
        <v>Provo High School</v>
      </c>
      <c r="D296" s="5">
        <f ca="1">IFERROR(__xludf.DUMMYFUNCTION("""COMPUTED_VALUE"""),0)</f>
        <v>0</v>
      </c>
      <c r="E296" s="5">
        <f ca="1">IFERROR(__xludf.DUMMYFUNCTION("""COMPUTED_VALUE"""),0)</f>
        <v>0</v>
      </c>
      <c r="F296" s="5">
        <f ca="1">IFERROR(__xludf.DUMMYFUNCTION("""COMPUTED_VALUE"""),0)</f>
        <v>0</v>
      </c>
      <c r="G296" s="5">
        <f ca="1">IFERROR(__xludf.DUMMYFUNCTION("""COMPUTED_VALUE"""),0)</f>
        <v>0</v>
      </c>
      <c r="H296"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I296" s="5">
        <f ca="1">IFERROR(__xludf.DUMMYFUNCTION("""COMPUTED_VALUE"""),10)</f>
        <v>10</v>
      </c>
      <c r="J296" s="5" t="str">
        <f ca="1">IFERROR(__xludf.DUMMYFUNCTION("""COMPUTED_VALUE"""),"International")</f>
        <v>International</v>
      </c>
      <c r="K296" s="5">
        <f ca="1">IFERROR(__xludf.DUMMYFUNCTION("""COMPUTED_VALUE"""),4)</f>
        <v>4</v>
      </c>
      <c r="L296" s="5" t="str">
        <f ca="1">IFERROR(__xludf.DUMMYFUNCTION("""COMPUTED_VALUE"""),"Fall")</f>
        <v>Fall</v>
      </c>
      <c r="M296" s="5" t="str">
        <f ca="1">IFERROR(__xludf.DUMMYFUNCTION("""COMPUTED_VALUE"""),"Provo")</f>
        <v>Provo</v>
      </c>
      <c r="N296" s="5" t="str">
        <f ca="1">IFERROR(__xludf.DUMMYFUNCTION("""COMPUTED_VALUE"""),"UT")</f>
        <v>UT</v>
      </c>
      <c r="O296" s="5" t="str">
        <f ca="1">IFERROR(__xludf.DUMMYFUNCTION("""COMPUTED_VALUE"""),"High")</f>
        <v>High</v>
      </c>
      <c r="P296" s="5" t="str">
        <f ca="1">IFERROR(__xludf.DUMMYFUNCTION("""COMPUTED_VALUE"""),"Hallway")</f>
        <v>Hallway</v>
      </c>
      <c r="Q296" s="5" t="str">
        <f ca="1">IFERROR(__xludf.DUMMYFUNCTION("""COMPUTED_VALUE"""),"Inside School Building")</f>
        <v>Inside School Building</v>
      </c>
      <c r="R296" s="5" t="str">
        <f ca="1">IFERROR(__xludf.DUMMYFUNCTION("""COMPUTED_VALUE"""),"Yes")</f>
        <v>Yes</v>
      </c>
      <c r="S296" s="5" t="str">
        <f ca="1">IFERROR(__xludf.DUMMYFUNCTION("""COMPUTED_VALUE"""),"Night")</f>
        <v>Night</v>
      </c>
      <c r="T296" s="10">
        <f ca="1">IFERROR(__xludf.DUMMYFUNCTION("""COMPUTED_VALUE"""),0.525694444444444)</f>
        <v>0.52569444444444402</v>
      </c>
      <c r="U296" s="5">
        <f ca="1">IFERROR(__xludf.DUMMYFUNCTION("""COMPUTED_VALUE"""),1)</f>
        <v>1</v>
      </c>
      <c r="V296" s="5" t="str">
        <f ca="1">IFERROR(__xludf.DUMMYFUNCTION("""COMPUTED_VALUE"""),"Student brandished handgun during fight in the hallway")</f>
        <v>Student brandished handgun during fight in the hallway</v>
      </c>
      <c r="W296"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X296" s="5" t="str">
        <f ca="1">IFERROR(__xludf.DUMMYFUNCTION("""COMPUTED_VALUE"""),"Escalation of Dispute")</f>
        <v>Escalation of Dispute</v>
      </c>
      <c r="Y296" s="5" t="str">
        <f ca="1">IFERROR(__xludf.DUMMYFUNCTION("""COMPUTED_VALUE"""),"Victims Targeted")</f>
        <v>Victims Targeted</v>
      </c>
      <c r="Z296" s="5" t="str">
        <f ca="1">IFERROR(__xludf.DUMMYFUNCTION("""COMPUTED_VALUE"""),"No")</f>
        <v>No</v>
      </c>
      <c r="AA296" s="5"/>
      <c r="AB296" s="5" t="str">
        <f ca="1">IFERROR(__xludf.DUMMYFUNCTION("""COMPUTED_VALUE"""),"No")</f>
        <v>No</v>
      </c>
      <c r="AC296" s="5" t="str">
        <f ca="1">IFERROR(__xludf.DUMMYFUNCTION("""COMPUTED_VALUE"""),"No")</f>
        <v>No</v>
      </c>
      <c r="AD296" s="5" t="str">
        <f ca="1">IFERROR(__xludf.DUMMYFUNCTION("""COMPUTED_VALUE"""),"No")</f>
        <v>No</v>
      </c>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row>
    <row r="297" spans="1:34" ht="12.75">
      <c r="A297" s="5" t="str">
        <f ca="1">IFERROR(__xludf.DUMMYFUNCTION("""COMPUTED_VALUE"""),"20210916OHBEC")</f>
        <v>20210916OHBEC</v>
      </c>
      <c r="B297" s="8">
        <f ca="1">IFERROR(__xludf.DUMMYFUNCTION("""COMPUTED_VALUE"""),44455)</f>
        <v>44455</v>
      </c>
      <c r="C297" s="5" t="str">
        <f ca="1">IFERROR(__xludf.DUMMYFUNCTION("""COMPUTED_VALUE"""),"Beechcroft High School")</f>
        <v>Beechcroft High School</v>
      </c>
      <c r="D297" s="5">
        <f ca="1">IFERROR(__xludf.DUMMYFUNCTION("""COMPUTED_VALUE"""),0)</f>
        <v>0</v>
      </c>
      <c r="E297" s="5">
        <f ca="1">IFERROR(__xludf.DUMMYFUNCTION("""COMPUTED_VALUE"""),0)</f>
        <v>0</v>
      </c>
      <c r="F297" s="5">
        <f ca="1">IFERROR(__xludf.DUMMYFUNCTION("""COMPUTED_VALUE"""),0)</f>
        <v>0</v>
      </c>
      <c r="G297" s="5">
        <f ca="1">IFERROR(__xludf.DUMMYFUNCTION("""COMPUTED_VALUE"""),0)</f>
        <v>0</v>
      </c>
      <c r="H297" s="9" t="str">
        <f ca="1">IFERROR(__xludf.DUMMYFUNCTION("""COMPUTED_VALUE"""),"https://www.thesussireport.com/reports/car-windows-shot-out-at-high-school-football-game")</f>
        <v>https://www.thesussireport.com/reports/car-windows-shot-out-at-high-school-football-game</v>
      </c>
      <c r="I297" s="5">
        <f ca="1">IFERROR(__xludf.DUMMYFUNCTION("""COMPUTED_VALUE"""),1)</f>
        <v>1</v>
      </c>
      <c r="J297" s="5" t="str">
        <f ca="1">IFERROR(__xludf.DUMMYFUNCTION("""COMPUTED_VALUE"""),"Local")</f>
        <v>Local</v>
      </c>
      <c r="K297" s="5">
        <f ca="1">IFERROR(__xludf.DUMMYFUNCTION("""COMPUTED_VALUE"""),3)</f>
        <v>3</v>
      </c>
      <c r="L297" s="5" t="str">
        <f ca="1">IFERROR(__xludf.DUMMYFUNCTION("""COMPUTED_VALUE"""),"Fall")</f>
        <v>Fall</v>
      </c>
      <c r="M297" s="5" t="str">
        <f ca="1">IFERROR(__xludf.DUMMYFUNCTION("""COMPUTED_VALUE"""),"Columbus")</f>
        <v>Columbus</v>
      </c>
      <c r="N297" s="5" t="str">
        <f ca="1">IFERROR(__xludf.DUMMYFUNCTION("""COMPUTED_VALUE"""),"OH")</f>
        <v>OH</v>
      </c>
      <c r="O297" s="5" t="str">
        <f ca="1">IFERROR(__xludf.DUMMYFUNCTION("""COMPUTED_VALUE"""),"High")</f>
        <v>High</v>
      </c>
      <c r="P297" s="5" t="str">
        <f ca="1">IFERROR(__xludf.DUMMYFUNCTION("""COMPUTED_VALUE"""),"Parking Lot")</f>
        <v>Parking Lot</v>
      </c>
      <c r="Q297" s="5" t="str">
        <f ca="1">IFERROR(__xludf.DUMMYFUNCTION("""COMPUTED_VALUE"""),"Outside on School Property")</f>
        <v>Outside on School Property</v>
      </c>
      <c r="R297" s="5" t="str">
        <f ca="1">IFERROR(__xludf.DUMMYFUNCTION("""COMPUTED_VALUE"""),"No")</f>
        <v>No</v>
      </c>
      <c r="S297" s="5" t="str">
        <f ca="1">IFERROR(__xludf.DUMMYFUNCTION("""COMPUTED_VALUE"""),"School Event")</f>
        <v>School Event</v>
      </c>
      <c r="T297" s="10">
        <f ca="1">IFERROR(__xludf.DUMMYFUNCTION("""COMPUTED_VALUE"""),0.911805555555555)</f>
        <v>0.91180555555555498</v>
      </c>
      <c r="U297" s="5">
        <f ca="1">IFERROR(__xludf.DUMMYFUNCTION("""COMPUTED_VALUE"""),1)</f>
        <v>1</v>
      </c>
      <c r="V297" s="5" t="str">
        <f ca="1">IFERROR(__xludf.DUMMYFUNCTION("""COMPUTED_VALUE"""),"Seven shots fired when fans were leaving the football game")</f>
        <v>Seven shots fired when fans were leaving the football game</v>
      </c>
      <c r="W297"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X297" s="5"/>
      <c r="Y297" s="5" t="str">
        <f ca="1">IFERROR(__xludf.DUMMYFUNCTION("""COMPUTED_VALUE"""),"Neither")</f>
        <v>Neither</v>
      </c>
      <c r="Z297" s="5" t="str">
        <f ca="1">IFERROR(__xludf.DUMMYFUNCTION("""COMPUTED_VALUE"""),"No")</f>
        <v>No</v>
      </c>
      <c r="AA297" s="5"/>
      <c r="AB297" s="5" t="str">
        <f ca="1">IFERROR(__xludf.DUMMYFUNCTION("""COMPUTED_VALUE"""),"No")</f>
        <v>No</v>
      </c>
      <c r="AC297" s="5" t="str">
        <f ca="1">IFERROR(__xludf.DUMMYFUNCTION("""COMPUTED_VALUE"""),"No")</f>
        <v>No</v>
      </c>
      <c r="AD297" s="5" t="str">
        <f ca="1">IFERROR(__xludf.DUMMYFUNCTION("""COMPUTED_VALUE"""),"No")</f>
        <v>No</v>
      </c>
      <c r="AE297" s="5" t="str">
        <f ca="1">IFERROR(__xludf.DUMMYFUNCTION("""COMPUTED_VALUE"""),"No")</f>
        <v>No</v>
      </c>
      <c r="AF297" s="5" t="str">
        <f ca="1">IFERROR(__xludf.DUMMYFUNCTION("""COMPUTED_VALUE"""),"No")</f>
        <v>No</v>
      </c>
      <c r="AG297" s="5"/>
      <c r="AH297" s="5" t="str">
        <f ca="1">IFERROR(__xludf.DUMMYFUNCTION("""COMPUTED_VALUE"""),"No")</f>
        <v>No</v>
      </c>
    </row>
    <row r="298" spans="1:34" ht="12.75">
      <c r="A298" s="5" t="str">
        <f ca="1">IFERROR(__xludf.DUMMYFUNCTION("""COMPUTED_VALUE"""),"20210915VASPS")</f>
        <v>20210915VASPS</v>
      </c>
      <c r="B298" s="8">
        <f ca="1">IFERROR(__xludf.DUMMYFUNCTION("""COMPUTED_VALUE"""),44454)</f>
        <v>44454</v>
      </c>
      <c r="C298" s="5" t="str">
        <f ca="1">IFERROR(__xludf.DUMMYFUNCTION("""COMPUTED_VALUE"""),"Springfield Estates Elementary")</f>
        <v>Springfield Estates Elementary</v>
      </c>
      <c r="D298" s="5">
        <f ca="1">IFERROR(__xludf.DUMMYFUNCTION("""COMPUTED_VALUE"""),0)</f>
        <v>0</v>
      </c>
      <c r="E298" s="5">
        <f ca="1">IFERROR(__xludf.DUMMYFUNCTION("""COMPUTED_VALUE"""),0)</f>
        <v>0</v>
      </c>
      <c r="F298" s="5">
        <f ca="1">IFERROR(__xludf.DUMMYFUNCTION("""COMPUTED_VALUE"""),0)</f>
        <v>0</v>
      </c>
      <c r="G298" s="5">
        <f ca="1">IFERROR(__xludf.DUMMYFUNCTION("""COMPUTED_VALUE"""),0)</f>
        <v>0</v>
      </c>
      <c r="H298"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I298" s="5">
        <f ca="1">IFERROR(__xludf.DUMMYFUNCTION("""COMPUTED_VALUE"""),3)</f>
        <v>3</v>
      </c>
      <c r="J298" s="5" t="str">
        <f ca="1">IFERROR(__xludf.DUMMYFUNCTION("""COMPUTED_VALUE"""),"Local")</f>
        <v>Local</v>
      </c>
      <c r="K298" s="5">
        <f ca="1">IFERROR(__xludf.DUMMYFUNCTION("""COMPUTED_VALUE"""),4)</f>
        <v>4</v>
      </c>
      <c r="L298" s="5" t="str">
        <f ca="1">IFERROR(__xludf.DUMMYFUNCTION("""COMPUTED_VALUE"""),"Fall")</f>
        <v>Fall</v>
      </c>
      <c r="M298" s="5" t="str">
        <f ca="1">IFERROR(__xludf.DUMMYFUNCTION("""COMPUTED_VALUE"""),"Springfield")</f>
        <v>Springfield</v>
      </c>
      <c r="N298" s="5" t="str">
        <f ca="1">IFERROR(__xludf.DUMMYFUNCTION("""COMPUTED_VALUE"""),"VA")</f>
        <v>VA</v>
      </c>
      <c r="O298" s="5" t="str">
        <f ca="1">IFERROR(__xludf.DUMMYFUNCTION("""COMPUTED_VALUE"""),"Elementary")</f>
        <v>Elementary</v>
      </c>
      <c r="P298" s="5" t="str">
        <f ca="1">IFERROR(__xludf.DUMMYFUNCTION("""COMPUTED_VALUE"""),"Inside School Building")</f>
        <v>Inside School Building</v>
      </c>
      <c r="Q298" s="5" t="str">
        <f ca="1">IFERROR(__xludf.DUMMYFUNCTION("""COMPUTED_VALUE"""),"Inside School Building")</f>
        <v>Inside School Building</v>
      </c>
      <c r="R298" s="5" t="str">
        <f ca="1">IFERROR(__xludf.DUMMYFUNCTION("""COMPUTED_VALUE"""),"Yes")</f>
        <v>Yes</v>
      </c>
      <c r="S298" s="5" t="str">
        <f ca="1">IFERROR(__xludf.DUMMYFUNCTION("""COMPUTED_VALUE"""),"Morning Classes")</f>
        <v>Morning Classes</v>
      </c>
      <c r="T298" s="5"/>
      <c r="U298" s="5"/>
      <c r="V298" s="5" t="str">
        <f ca="1">IFERROR(__xludf.DUMMYFUNCTION("""COMPUTED_VALUE"""),"Student used stungun on 3 classmates in the school")</f>
        <v>Student used stungun on 3 classmates in the school</v>
      </c>
      <c r="W298"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X298" s="5"/>
      <c r="Y298" s="5"/>
      <c r="Z298" s="5"/>
      <c r="AA298" s="5"/>
      <c r="AB298" s="5" t="str">
        <f ca="1">IFERROR(__xludf.DUMMYFUNCTION("""COMPUTED_VALUE"""),"No")</f>
        <v>No</v>
      </c>
      <c r="AC298" s="5" t="str">
        <f ca="1">IFERROR(__xludf.DUMMYFUNCTION("""COMPUTED_VALUE"""),"No")</f>
        <v>No</v>
      </c>
      <c r="AD298" s="5" t="str">
        <f ca="1">IFERROR(__xludf.DUMMYFUNCTION("""COMPUTED_VALUE"""),"No")</f>
        <v>No</v>
      </c>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row>
    <row r="299" spans="1:34" ht="12.75">
      <c r="A299" s="5" t="str">
        <f ca="1">IFERROR(__xludf.DUMMYFUNCTION("""COMPUTED_VALUE"""),"20210915KYMAL")</f>
        <v>20210915KYMAL</v>
      </c>
      <c r="B299" s="8">
        <f ca="1">IFERROR(__xludf.DUMMYFUNCTION("""COMPUTED_VALUE"""),44454)</f>
        <v>44454</v>
      </c>
      <c r="C299" s="5" t="str">
        <f ca="1">IFERROR(__xludf.DUMMYFUNCTION("""COMPUTED_VALUE"""),"Mary Todd Elementary School")</f>
        <v>Mary Todd Elementary School</v>
      </c>
      <c r="D299" s="5">
        <f ca="1">IFERROR(__xludf.DUMMYFUNCTION("""COMPUTED_VALUE"""),0)</f>
        <v>0</v>
      </c>
      <c r="E299" s="5">
        <f ca="1">IFERROR(__xludf.DUMMYFUNCTION("""COMPUTED_VALUE"""),1)</f>
        <v>1</v>
      </c>
      <c r="F299" s="5">
        <f ca="1">IFERROR(__xludf.DUMMYFUNCTION("""COMPUTED_VALUE"""),1)</f>
        <v>1</v>
      </c>
      <c r="G299" s="5">
        <f ca="1">IFERROR(__xludf.DUMMYFUNCTION("""COMPUTED_VALUE"""),0)</f>
        <v>0</v>
      </c>
      <c r="H299"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I299" s="5">
        <f ca="1">IFERROR(__xludf.DUMMYFUNCTION("""COMPUTED_VALUE"""),3)</f>
        <v>3</v>
      </c>
      <c r="J299" s="5" t="str">
        <f ca="1">IFERROR(__xludf.DUMMYFUNCTION("""COMPUTED_VALUE"""),"Local")</f>
        <v>Local</v>
      </c>
      <c r="K299" s="5">
        <f ca="1">IFERROR(__xludf.DUMMYFUNCTION("""COMPUTED_VALUE"""),4)</f>
        <v>4</v>
      </c>
      <c r="L299" s="5" t="str">
        <f ca="1">IFERROR(__xludf.DUMMYFUNCTION("""COMPUTED_VALUE"""),"Fall")</f>
        <v>Fall</v>
      </c>
      <c r="M299" s="5" t="str">
        <f ca="1">IFERROR(__xludf.DUMMYFUNCTION("""COMPUTED_VALUE"""),"Lexington")</f>
        <v>Lexington</v>
      </c>
      <c r="N299" s="5" t="str">
        <f ca="1">IFERROR(__xludf.DUMMYFUNCTION("""COMPUTED_VALUE"""),"KY")</f>
        <v>KY</v>
      </c>
      <c r="O299" s="5" t="str">
        <f ca="1">IFERROR(__xludf.DUMMYFUNCTION("""COMPUTED_VALUE"""),"Elementary")</f>
        <v>Elementary</v>
      </c>
      <c r="P299" s="5" t="str">
        <f ca="1">IFERROR(__xludf.DUMMYFUNCTION("""COMPUTED_VALUE"""),"Parking Lot")</f>
        <v>Parking Lot</v>
      </c>
      <c r="Q299" s="5" t="str">
        <f ca="1">IFERROR(__xludf.DUMMYFUNCTION("""COMPUTED_VALUE"""),"Off School Property")</f>
        <v>Off School Property</v>
      </c>
      <c r="R299" s="5" t="str">
        <f ca="1">IFERROR(__xludf.DUMMYFUNCTION("""COMPUTED_VALUE"""),"No")</f>
        <v>No</v>
      </c>
      <c r="S299" s="5" t="str">
        <f ca="1">IFERROR(__xludf.DUMMYFUNCTION("""COMPUTED_VALUE"""),"After School")</f>
        <v>After School</v>
      </c>
      <c r="T299" s="10">
        <f ca="1">IFERROR(__xludf.DUMMYFUNCTION("""COMPUTED_VALUE"""),0.666666666666666)</f>
        <v>0.66666666666666596</v>
      </c>
      <c r="U299" s="5">
        <f ca="1">IFERROR(__xludf.DUMMYFUNCTION("""COMPUTED_VALUE"""),1)</f>
        <v>1</v>
      </c>
      <c r="V299" s="5" t="str">
        <f ca="1">IFERROR(__xludf.DUMMYFUNCTION("""COMPUTED_VALUE"""),"Man shot and ran to elementary school for assistance")</f>
        <v>Man shot and ran to elementary school for assistance</v>
      </c>
      <c r="W299"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X299" s="5"/>
      <c r="Y299" s="5" t="str">
        <f ca="1">IFERROR(__xludf.DUMMYFUNCTION("""COMPUTED_VALUE"""),"Victims Targeted")</f>
        <v>Victims Targeted</v>
      </c>
      <c r="Z299" s="5" t="str">
        <f ca="1">IFERROR(__xludf.DUMMYFUNCTION("""COMPUTED_VALUE"""),"No")</f>
        <v>No</v>
      </c>
      <c r="AA299" s="5"/>
      <c r="AB299" s="5" t="str">
        <f ca="1">IFERROR(__xludf.DUMMYFUNCTION("""COMPUTED_VALUE"""),"No")</f>
        <v>No</v>
      </c>
      <c r="AC299" s="5" t="str">
        <f ca="1">IFERROR(__xludf.DUMMYFUNCTION("""COMPUTED_VALUE"""),"No")</f>
        <v>No</v>
      </c>
      <c r="AD299" s="5" t="str">
        <f ca="1">IFERROR(__xludf.DUMMYFUNCTION("""COMPUTED_VALUE"""),"No")</f>
        <v>No</v>
      </c>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row>
    <row r="300" spans="1:34" ht="12.75">
      <c r="A300" s="5" t="str">
        <f ca="1">IFERROR(__xludf.DUMMYFUNCTION("""COMPUTED_VALUE"""),"20210915ILCEC")</f>
        <v>20210915ILCEC</v>
      </c>
      <c r="B300" s="8">
        <f ca="1">IFERROR(__xludf.DUMMYFUNCTION("""COMPUTED_VALUE"""),44454)</f>
        <v>44454</v>
      </c>
      <c r="C300" s="5" t="str">
        <f ca="1">IFERROR(__xludf.DUMMYFUNCTION("""COMPUTED_VALUE"""),"Centennial High School")</f>
        <v>Centennial High School</v>
      </c>
      <c r="D300" s="5">
        <f ca="1">IFERROR(__xludf.DUMMYFUNCTION("""COMPUTED_VALUE"""),0)</f>
        <v>0</v>
      </c>
      <c r="E300" s="5">
        <f ca="1">IFERROR(__xludf.DUMMYFUNCTION("""COMPUTED_VALUE"""),0)</f>
        <v>0</v>
      </c>
      <c r="F300" s="5">
        <f ca="1">IFERROR(__xludf.DUMMYFUNCTION("""COMPUTED_VALUE"""),0)</f>
        <v>0</v>
      </c>
      <c r="G300" s="5">
        <f ca="1">IFERROR(__xludf.DUMMYFUNCTION("""COMPUTED_VALUE"""),0)</f>
        <v>0</v>
      </c>
      <c r="H300"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I300" s="5">
        <f ca="1">IFERROR(__xludf.DUMMYFUNCTION("""COMPUTED_VALUE"""),2)</f>
        <v>2</v>
      </c>
      <c r="J300" s="5" t="str">
        <f ca="1">IFERROR(__xludf.DUMMYFUNCTION("""COMPUTED_VALUE"""),"Local")</f>
        <v>Local</v>
      </c>
      <c r="K300" s="5">
        <f ca="1">IFERROR(__xludf.DUMMYFUNCTION("""COMPUTED_VALUE"""),4)</f>
        <v>4</v>
      </c>
      <c r="L300" s="5" t="str">
        <f ca="1">IFERROR(__xludf.DUMMYFUNCTION("""COMPUTED_VALUE"""),"Fall")</f>
        <v>Fall</v>
      </c>
      <c r="M300" s="5" t="str">
        <f ca="1">IFERROR(__xludf.DUMMYFUNCTION("""COMPUTED_VALUE"""),"Champaign")</f>
        <v>Champaign</v>
      </c>
      <c r="N300" s="5" t="str">
        <f ca="1">IFERROR(__xludf.DUMMYFUNCTION("""COMPUTED_VALUE"""),"IL")</f>
        <v>IL</v>
      </c>
      <c r="O300" s="5" t="str">
        <f ca="1">IFERROR(__xludf.DUMMYFUNCTION("""COMPUTED_VALUE"""),"High")</f>
        <v>High</v>
      </c>
      <c r="P300" s="5" t="str">
        <f ca="1">IFERROR(__xludf.DUMMYFUNCTION("""COMPUTED_VALUE"""),"Field (General)")</f>
        <v>Field (General)</v>
      </c>
      <c r="Q300" s="5" t="str">
        <f ca="1">IFERROR(__xludf.DUMMYFUNCTION("""COMPUTED_VALUE"""),"Outside on School Property")</f>
        <v>Outside on School Property</v>
      </c>
      <c r="R300" s="5" t="str">
        <f ca="1">IFERROR(__xludf.DUMMYFUNCTION("""COMPUTED_VALUE"""),"Yes")</f>
        <v>Yes</v>
      </c>
      <c r="S300" s="5" t="str">
        <f ca="1">IFERROR(__xludf.DUMMYFUNCTION("""COMPUTED_VALUE"""),"Afternoon Classes")</f>
        <v>Afternoon Classes</v>
      </c>
      <c r="T300" s="10">
        <f ca="1">IFERROR(__xludf.DUMMYFUNCTION("""COMPUTED_VALUE"""),0.5625)</f>
        <v>0.5625</v>
      </c>
      <c r="U300" s="5">
        <f ca="1">IFERROR(__xludf.DUMMYFUNCTION("""COMPUTED_VALUE"""),1)</f>
        <v>1</v>
      </c>
      <c r="V300" s="5" t="str">
        <f ca="1">IFERROR(__xludf.DUMMYFUNCTION("""COMPUTED_VALUE"""),"Shots fired outside of school, no injuries")</f>
        <v>Shots fired outside of school, no injuries</v>
      </c>
      <c r="W300"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X300" s="5"/>
      <c r="Y300" s="5"/>
      <c r="Z300" s="5" t="str">
        <f ca="1">IFERROR(__xludf.DUMMYFUNCTION("""COMPUTED_VALUE"""),"No")</f>
        <v>No</v>
      </c>
      <c r="AA300" s="5"/>
      <c r="AB300" s="5" t="str">
        <f ca="1">IFERROR(__xludf.DUMMYFUNCTION("""COMPUTED_VALUE"""),"No")</f>
        <v>No</v>
      </c>
      <c r="AC300" s="5" t="str">
        <f ca="1">IFERROR(__xludf.DUMMYFUNCTION("""COMPUTED_VALUE"""),"No")</f>
        <v>No</v>
      </c>
      <c r="AD300" s="5" t="str">
        <f ca="1">IFERROR(__xludf.DUMMYFUNCTION("""COMPUTED_VALUE"""),"No")</f>
        <v>No</v>
      </c>
      <c r="AE300" s="5" t="str">
        <f ca="1">IFERROR(__xludf.DUMMYFUNCTION("""COMPUTED_VALUE"""),"No")</f>
        <v>No</v>
      </c>
      <c r="AF300" s="5" t="str">
        <f ca="1">IFERROR(__xludf.DUMMYFUNCTION("""COMPUTED_VALUE"""),"No")</f>
        <v>No</v>
      </c>
      <c r="AG300" s="5"/>
      <c r="AH300" s="5" t="str">
        <f ca="1">IFERROR(__xludf.DUMMYFUNCTION("""COMPUTED_VALUE"""),"No")</f>
        <v>No</v>
      </c>
    </row>
    <row r="301" spans="1:34" ht="12.75">
      <c r="A301" s="5" t="str">
        <f ca="1">IFERROR(__xludf.DUMMYFUNCTION("""COMPUTED_VALUE"""),"20210914TNLAL")</f>
        <v>20210914TNLAL</v>
      </c>
      <c r="B301" s="8">
        <f ca="1">IFERROR(__xludf.DUMMYFUNCTION("""COMPUTED_VALUE"""),44453)</f>
        <v>44453</v>
      </c>
      <c r="C301" s="5" t="str">
        <f ca="1">IFERROR(__xludf.DUMMYFUNCTION("""COMPUTED_VALUE"""),"La Vergne High School")</f>
        <v>La Vergne High School</v>
      </c>
      <c r="D301" s="5">
        <f ca="1">IFERROR(__xludf.DUMMYFUNCTION("""COMPUTED_VALUE"""),0)</f>
        <v>0</v>
      </c>
      <c r="E301" s="5">
        <f ca="1">IFERROR(__xludf.DUMMYFUNCTION("""COMPUTED_VALUE"""),0)</f>
        <v>0</v>
      </c>
      <c r="F301" s="5">
        <f ca="1">IFERROR(__xludf.DUMMYFUNCTION("""COMPUTED_VALUE"""),0)</f>
        <v>0</v>
      </c>
      <c r="G301" s="5">
        <f ca="1">IFERROR(__xludf.DUMMYFUNCTION("""COMPUTED_VALUE"""),0)</f>
        <v>0</v>
      </c>
      <c r="H301"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I301" s="5">
        <f ca="1">IFERROR(__xludf.DUMMYFUNCTION("""COMPUTED_VALUE"""),3)</f>
        <v>3</v>
      </c>
      <c r="J301" s="5" t="str">
        <f ca="1">IFERROR(__xludf.DUMMYFUNCTION("""COMPUTED_VALUE"""),"Local")</f>
        <v>Local</v>
      </c>
      <c r="K301" s="5">
        <f ca="1">IFERROR(__xludf.DUMMYFUNCTION("""COMPUTED_VALUE"""),4)</f>
        <v>4</v>
      </c>
      <c r="L301" s="5" t="str">
        <f ca="1">IFERROR(__xludf.DUMMYFUNCTION("""COMPUTED_VALUE"""),"Fall")</f>
        <v>Fall</v>
      </c>
      <c r="M301" s="5" t="str">
        <f ca="1">IFERROR(__xludf.DUMMYFUNCTION("""COMPUTED_VALUE"""),"La Vergne")</f>
        <v>La Vergne</v>
      </c>
      <c r="N301" s="5" t="str">
        <f ca="1">IFERROR(__xludf.DUMMYFUNCTION("""COMPUTED_VALUE"""),"TN")</f>
        <v>TN</v>
      </c>
      <c r="O301" s="5" t="str">
        <f ca="1">IFERROR(__xludf.DUMMYFUNCTION("""COMPUTED_VALUE"""),"High")</f>
        <v>High</v>
      </c>
      <c r="P301" s="5" t="str">
        <f ca="1">IFERROR(__xludf.DUMMYFUNCTION("""COMPUTED_VALUE"""),"Parking Lot")</f>
        <v>Parking Lot</v>
      </c>
      <c r="Q301" s="5" t="str">
        <f ca="1">IFERROR(__xludf.DUMMYFUNCTION("""COMPUTED_VALUE"""),"Outside on School Property")</f>
        <v>Outside on School Property</v>
      </c>
      <c r="R301" s="5" t="str">
        <f ca="1">IFERROR(__xludf.DUMMYFUNCTION("""COMPUTED_VALUE"""),"Yes")</f>
        <v>Yes</v>
      </c>
      <c r="S301" s="5" t="str">
        <f ca="1">IFERROR(__xludf.DUMMYFUNCTION("""COMPUTED_VALUE"""),"Dismissal")</f>
        <v>Dismissal</v>
      </c>
      <c r="T301" s="10">
        <f ca="1">IFERROR(__xludf.DUMMYFUNCTION("""COMPUTED_VALUE"""),0.614583333333333)</f>
        <v>0.61458333333333304</v>
      </c>
      <c r="U301" s="5">
        <f ca="1">IFERROR(__xludf.DUMMYFUNCTION("""COMPUTED_VALUE"""),1)</f>
        <v>1</v>
      </c>
      <c r="V301" s="5" t="str">
        <f ca="1">IFERROR(__xludf.DUMMYFUNCTION("""COMPUTED_VALUE"""),"Teen fired 3 shots in the parking lot during dismissal")</f>
        <v>Teen fired 3 shots in the parking lot during dismissal</v>
      </c>
      <c r="W301"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X301" s="5"/>
      <c r="Y301" s="5" t="str">
        <f ca="1">IFERROR(__xludf.DUMMYFUNCTION("""COMPUTED_VALUE"""),"Random Shooting")</f>
        <v>Random Shooting</v>
      </c>
      <c r="Z301" s="5" t="str">
        <f ca="1">IFERROR(__xludf.DUMMYFUNCTION("""COMPUTED_VALUE"""),"Yes")</f>
        <v>Yes</v>
      </c>
      <c r="AA301" s="5" t="str">
        <f ca="1">IFERROR(__xludf.DUMMYFUNCTION("""COMPUTED_VALUE"""),"Second teen arrested in vehicle with handgun")</f>
        <v>Second teen arrested in vehicle with handgun</v>
      </c>
      <c r="AB301" s="5" t="str">
        <f ca="1">IFERROR(__xludf.DUMMYFUNCTION("""COMPUTED_VALUE"""),"No")</f>
        <v>No</v>
      </c>
      <c r="AC301" s="5" t="str">
        <f ca="1">IFERROR(__xludf.DUMMYFUNCTION("""COMPUTED_VALUE"""),"No")</f>
        <v>No</v>
      </c>
      <c r="AD301" s="5" t="str">
        <f ca="1">IFERROR(__xludf.DUMMYFUNCTION("""COMPUTED_VALUE"""),"No")</f>
        <v>No</v>
      </c>
      <c r="AE301" s="5" t="str">
        <f ca="1">IFERROR(__xludf.DUMMYFUNCTION("""COMPUTED_VALUE"""),"No")</f>
        <v>No</v>
      </c>
      <c r="AF301" s="5" t="str">
        <f ca="1">IFERROR(__xludf.DUMMYFUNCTION("""COMPUTED_VALUE"""),"No")</f>
        <v>No</v>
      </c>
      <c r="AG301" s="5"/>
      <c r="AH301" s="5" t="str">
        <f ca="1">IFERROR(__xludf.DUMMYFUNCTION("""COMPUTED_VALUE"""),"No")</f>
        <v>No</v>
      </c>
    </row>
    <row r="302" spans="1:34" ht="12.75">
      <c r="A302" s="5" t="str">
        <f ca="1">IFERROR(__xludf.DUMMYFUNCTION("""COMPUTED_VALUE"""),"20210914MOMCH")</f>
        <v>20210914MOMCH</v>
      </c>
      <c r="B302" s="8">
        <f ca="1">IFERROR(__xludf.DUMMYFUNCTION("""COMPUTED_VALUE"""),44453)</f>
        <v>44453</v>
      </c>
      <c r="C302" s="5" t="str">
        <f ca="1">IFERROR(__xludf.DUMMYFUNCTION("""COMPUTED_VALUE"""),"McNair Elementary School")</f>
        <v>McNair Elementary School</v>
      </c>
      <c r="D302" s="5">
        <f ca="1">IFERROR(__xludf.DUMMYFUNCTION("""COMPUTED_VALUE"""),0)</f>
        <v>0</v>
      </c>
      <c r="E302" s="5">
        <f ca="1">IFERROR(__xludf.DUMMYFUNCTION("""COMPUTED_VALUE"""),0)</f>
        <v>0</v>
      </c>
      <c r="F302" s="5">
        <f ca="1">IFERROR(__xludf.DUMMYFUNCTION("""COMPUTED_VALUE"""),0)</f>
        <v>0</v>
      </c>
      <c r="G302" s="5">
        <f ca="1">IFERROR(__xludf.DUMMYFUNCTION("""COMPUTED_VALUE"""),0)</f>
        <v>0</v>
      </c>
      <c r="H302" s="9" t="str">
        <f ca="1">IFERROR(__xludf.DUMMYFUNCTION("""COMPUTED_VALUE"""),"https://www.ksdk.com/article/news/local/hazelwood-parents-bring-gun-school/63-858a7bac-0311-4c92-8471-c2770c2c7716")</f>
        <v>https://www.ksdk.com/article/news/local/hazelwood-parents-bring-gun-school/63-858a7bac-0311-4c92-8471-c2770c2c7716</v>
      </c>
      <c r="I302" s="5">
        <f ca="1">IFERROR(__xludf.DUMMYFUNCTION("""COMPUTED_VALUE"""),1)</f>
        <v>1</v>
      </c>
      <c r="J302" s="5" t="str">
        <f ca="1">IFERROR(__xludf.DUMMYFUNCTION("""COMPUTED_VALUE"""),"Local")</f>
        <v>Local</v>
      </c>
      <c r="K302" s="5">
        <f ca="1">IFERROR(__xludf.DUMMYFUNCTION("""COMPUTED_VALUE"""),3)</f>
        <v>3</v>
      </c>
      <c r="L302" s="5" t="str">
        <f ca="1">IFERROR(__xludf.DUMMYFUNCTION("""COMPUTED_VALUE"""),"Fall")</f>
        <v>Fall</v>
      </c>
      <c r="M302" s="5" t="str">
        <f ca="1">IFERROR(__xludf.DUMMYFUNCTION("""COMPUTED_VALUE"""),"Hazelwood")</f>
        <v>Hazelwood</v>
      </c>
      <c r="N302" s="5" t="str">
        <f ca="1">IFERROR(__xludf.DUMMYFUNCTION("""COMPUTED_VALUE"""),"MO")</f>
        <v>MO</v>
      </c>
      <c r="O302" s="5" t="str">
        <f ca="1">IFERROR(__xludf.DUMMYFUNCTION("""COMPUTED_VALUE"""),"Elementary")</f>
        <v>Elementary</v>
      </c>
      <c r="P302" s="5" t="str">
        <f ca="1">IFERROR(__xludf.DUMMYFUNCTION("""COMPUTED_VALUE"""),"Parking Lot")</f>
        <v>Parking Lot</v>
      </c>
      <c r="Q302" s="5" t="str">
        <f ca="1">IFERROR(__xludf.DUMMYFUNCTION("""COMPUTED_VALUE"""),"Outside on School Property")</f>
        <v>Outside on School Property</v>
      </c>
      <c r="R302" s="5" t="str">
        <f ca="1">IFERROR(__xludf.DUMMYFUNCTION("""COMPUTED_VALUE"""),"Yes")</f>
        <v>Yes</v>
      </c>
      <c r="S302" s="5" t="str">
        <f ca="1">IFERROR(__xludf.DUMMYFUNCTION("""COMPUTED_VALUE"""),"School Start")</f>
        <v>School Start</v>
      </c>
      <c r="T302" s="10">
        <f ca="1">IFERROR(__xludf.DUMMYFUNCTION("""COMPUTED_VALUE"""),0.364583333333333)</f>
        <v>0.36458333333333298</v>
      </c>
      <c r="U302" s="5">
        <f ca="1">IFERROR(__xludf.DUMMYFUNCTION("""COMPUTED_VALUE"""),1)</f>
        <v>1</v>
      </c>
      <c r="V302" s="5" t="str">
        <f ca="1">IFERROR(__xludf.DUMMYFUNCTION("""COMPUTED_VALUE"""),"Two parents brandished handguns during an argument in the drop-off line")</f>
        <v>Two parents brandished handguns during an argument in the drop-off line</v>
      </c>
      <c r="W302"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X302" s="5" t="str">
        <f ca="1">IFERROR(__xludf.DUMMYFUNCTION("""COMPUTED_VALUE"""),"Escalation of Dispute")</f>
        <v>Escalation of Dispute</v>
      </c>
      <c r="Y302" s="5" t="str">
        <f ca="1">IFERROR(__xludf.DUMMYFUNCTION("""COMPUTED_VALUE"""),"Victims Targeted")</f>
        <v>Victims Targeted</v>
      </c>
      <c r="Z302" s="5" t="str">
        <f ca="1">IFERROR(__xludf.DUMMYFUNCTION("""COMPUTED_VALUE"""),"No")</f>
        <v>No</v>
      </c>
      <c r="AA302" s="5"/>
      <c r="AB302" s="5" t="str">
        <f ca="1">IFERROR(__xludf.DUMMYFUNCTION("""COMPUTED_VALUE"""),"No")</f>
        <v>No</v>
      </c>
      <c r="AC302" s="5" t="str">
        <f ca="1">IFERROR(__xludf.DUMMYFUNCTION("""COMPUTED_VALUE"""),"No")</f>
        <v>No</v>
      </c>
      <c r="AD302" s="5" t="str">
        <f ca="1">IFERROR(__xludf.DUMMYFUNCTION("""COMPUTED_VALUE"""),"No")</f>
        <v>No</v>
      </c>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row>
    <row r="303" spans="1:34" ht="12.75">
      <c r="A303" s="5" t="str">
        <f ca="1">IFERROR(__xludf.DUMMYFUNCTION("""COMPUTED_VALUE"""),"20210913SCEDC")</f>
        <v>20210913SCEDC</v>
      </c>
      <c r="B303" s="8">
        <f ca="1">IFERROR(__xludf.DUMMYFUNCTION("""COMPUTED_VALUE"""),44452)</f>
        <v>44452</v>
      </c>
      <c r="C303" s="5" t="str">
        <f ca="1">IFERROR(__xludf.DUMMYFUNCTION("""COMPUTED_VALUE"""),"Edwards Elementary School")</f>
        <v>Edwards Elementary School</v>
      </c>
      <c r="D303" s="5">
        <f ca="1">IFERROR(__xludf.DUMMYFUNCTION("""COMPUTED_VALUE"""),0)</f>
        <v>0</v>
      </c>
      <c r="E303" s="5">
        <f ca="1">IFERROR(__xludf.DUMMYFUNCTION("""COMPUTED_VALUE"""),1)</f>
        <v>1</v>
      </c>
      <c r="F303" s="5">
        <f ca="1">IFERROR(__xludf.DUMMYFUNCTION("""COMPUTED_VALUE"""),1)</f>
        <v>1</v>
      </c>
      <c r="G303" s="5">
        <f ca="1">IFERROR(__xludf.DUMMYFUNCTION("""COMPUTED_VALUE"""),0)</f>
        <v>0</v>
      </c>
      <c r="H303"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I303" s="5">
        <f ca="1">IFERROR(__xludf.DUMMYFUNCTION("""COMPUTED_VALUE"""),5)</f>
        <v>5</v>
      </c>
      <c r="J303" s="5" t="str">
        <f ca="1">IFERROR(__xludf.DUMMYFUNCTION("""COMPUTED_VALUE"""),"Local")</f>
        <v>Local</v>
      </c>
      <c r="K303" s="5">
        <f ca="1">IFERROR(__xludf.DUMMYFUNCTION("""COMPUTED_VALUE"""),4)</f>
        <v>4</v>
      </c>
      <c r="L303" s="5" t="str">
        <f ca="1">IFERROR(__xludf.DUMMYFUNCTION("""COMPUTED_VALUE"""),"Fall")</f>
        <v>Fall</v>
      </c>
      <c r="M303" s="5" t="str">
        <f ca="1">IFERROR(__xludf.DUMMYFUNCTION("""COMPUTED_VALUE"""),"Chesterfield County")</f>
        <v>Chesterfield County</v>
      </c>
      <c r="N303" s="5" t="str">
        <f ca="1">IFERROR(__xludf.DUMMYFUNCTION("""COMPUTED_VALUE"""),"SC")</f>
        <v>SC</v>
      </c>
      <c r="O303" s="5" t="str">
        <f ca="1">IFERROR(__xludf.DUMMYFUNCTION("""COMPUTED_VALUE"""),"Elementary")</f>
        <v>Elementary</v>
      </c>
      <c r="P303" s="5" t="str">
        <f ca="1">IFERROR(__xludf.DUMMYFUNCTION("""COMPUTED_VALUE"""),"Parking Lot")</f>
        <v>Parking Lot</v>
      </c>
      <c r="Q303" s="5" t="str">
        <f ca="1">IFERROR(__xludf.DUMMYFUNCTION("""COMPUTED_VALUE"""),"Outside on School Property")</f>
        <v>Outside on School Property</v>
      </c>
      <c r="R303" s="5" t="str">
        <f ca="1">IFERROR(__xludf.DUMMYFUNCTION("""COMPUTED_VALUE"""),"Yes")</f>
        <v>Yes</v>
      </c>
      <c r="S303" s="5" t="str">
        <f ca="1">IFERROR(__xludf.DUMMYFUNCTION("""COMPUTED_VALUE"""),"Afternoon Classes")</f>
        <v>Afternoon Classes</v>
      </c>
      <c r="T303" s="10">
        <f ca="1">IFERROR(__xludf.DUMMYFUNCTION("""COMPUTED_VALUE"""),0.5625)</f>
        <v>0.5625</v>
      </c>
      <c r="U303" s="5">
        <f ca="1">IFERROR(__xludf.DUMMYFUNCTION("""COMPUTED_VALUE"""),1)</f>
        <v>1</v>
      </c>
      <c r="V303" s="5" t="str">
        <f ca="1">IFERROR(__xludf.DUMMYFUNCTION("""COMPUTED_VALUE"""),"Woman shot her adult son-in-law during a domestic dispute in the parking lot")</f>
        <v>Woman shot her adult son-in-law during a domestic dispute in the parking lot</v>
      </c>
      <c r="W303"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X303" s="5" t="str">
        <f ca="1">IFERROR(__xludf.DUMMYFUNCTION("""COMPUTED_VALUE"""),"Domestic w/ Targeted Victim")</f>
        <v>Domestic w/ Targeted Victim</v>
      </c>
      <c r="Y303" s="5" t="str">
        <f ca="1">IFERROR(__xludf.DUMMYFUNCTION("""COMPUTED_VALUE"""),"Victims Targeted")</f>
        <v>Victims Targeted</v>
      </c>
      <c r="Z303" s="5" t="str">
        <f ca="1">IFERROR(__xludf.DUMMYFUNCTION("""COMPUTED_VALUE"""),"No")</f>
        <v>No</v>
      </c>
      <c r="AA303" s="5"/>
      <c r="AB303" s="5" t="str">
        <f ca="1">IFERROR(__xludf.DUMMYFUNCTION("""COMPUTED_VALUE"""),"No")</f>
        <v>No</v>
      </c>
      <c r="AC303" s="5" t="str">
        <f ca="1">IFERROR(__xludf.DUMMYFUNCTION("""COMPUTED_VALUE"""),"No")</f>
        <v>No</v>
      </c>
      <c r="AD303" s="5" t="str">
        <f ca="1">IFERROR(__xludf.DUMMYFUNCTION("""COMPUTED_VALUE"""),"No")</f>
        <v>No</v>
      </c>
      <c r="AE303" s="5" t="str">
        <f ca="1">IFERROR(__xludf.DUMMYFUNCTION("""COMPUTED_VALUE"""),"No")</f>
        <v>No</v>
      </c>
      <c r="AF303" s="5" t="str">
        <f ca="1">IFERROR(__xludf.DUMMYFUNCTION("""COMPUTED_VALUE"""),"Yes")</f>
        <v>Yes</v>
      </c>
      <c r="AG303" s="5" t="str">
        <f ca="1">IFERROR(__xludf.DUMMYFUNCTION("""COMPUTED_VALUE"""),"No")</f>
        <v>No</v>
      </c>
      <c r="AH303" s="5" t="str">
        <f ca="1">IFERROR(__xludf.DUMMYFUNCTION("""COMPUTED_VALUE"""),"No")</f>
        <v>No</v>
      </c>
    </row>
    <row r="304" spans="1:34" ht="12.75">
      <c r="A304" s="5" t="str">
        <f ca="1">IFERROR(__xludf.DUMMYFUNCTION("""COMPUTED_VALUE"""),"20210910CONOA")</f>
        <v>20210910CONOA</v>
      </c>
      <c r="B304" s="8">
        <f ca="1">IFERROR(__xludf.DUMMYFUNCTION("""COMPUTED_VALUE"""),44449)</f>
        <v>44449</v>
      </c>
      <c r="C304" s="5" t="str">
        <f ca="1">IFERROR(__xludf.DUMMYFUNCTION("""COMPUTED_VALUE"""),"North Area Athletic Complex")</f>
        <v>North Area Athletic Complex</v>
      </c>
      <c r="D304" s="5">
        <f ca="1">IFERROR(__xludf.DUMMYFUNCTION("""COMPUTED_VALUE"""),0)</f>
        <v>0</v>
      </c>
      <c r="E304" s="5">
        <f ca="1">IFERROR(__xludf.DUMMYFUNCTION("""COMPUTED_VALUE"""),0)</f>
        <v>0</v>
      </c>
      <c r="F304" s="5">
        <f ca="1">IFERROR(__xludf.DUMMYFUNCTION("""COMPUTED_VALUE"""),0)</f>
        <v>0</v>
      </c>
      <c r="G304" s="5">
        <f ca="1">IFERROR(__xludf.DUMMYFUNCTION("""COMPUTED_VALUE"""),0)</f>
        <v>0</v>
      </c>
      <c r="H304"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I304" s="5">
        <f ca="1">IFERROR(__xludf.DUMMYFUNCTION("""COMPUTED_VALUE"""),2)</f>
        <v>2</v>
      </c>
      <c r="J304" s="5" t="str">
        <f ca="1">IFERROR(__xludf.DUMMYFUNCTION("""COMPUTED_VALUE"""),"Local")</f>
        <v>Local</v>
      </c>
      <c r="K304" s="5">
        <f ca="1">IFERROR(__xludf.DUMMYFUNCTION("""COMPUTED_VALUE"""),4)</f>
        <v>4</v>
      </c>
      <c r="L304" s="5" t="str">
        <f ca="1">IFERROR(__xludf.DUMMYFUNCTION("""COMPUTED_VALUE"""),"Fall")</f>
        <v>Fall</v>
      </c>
      <c r="M304" s="5" t="str">
        <f ca="1">IFERROR(__xludf.DUMMYFUNCTION("""COMPUTED_VALUE"""),"Arvada")</f>
        <v>Arvada</v>
      </c>
      <c r="N304" s="5" t="str">
        <f ca="1">IFERROR(__xludf.DUMMYFUNCTION("""COMPUTED_VALUE"""),"CO")</f>
        <v>CO</v>
      </c>
      <c r="O304" s="5" t="str">
        <f ca="1">IFERROR(__xludf.DUMMYFUNCTION("""COMPUTED_VALUE"""),"High")</f>
        <v>High</v>
      </c>
      <c r="P304" s="5" t="str">
        <f ca="1">IFERROR(__xludf.DUMMYFUNCTION("""COMPUTED_VALUE"""),"Parking Lot")</f>
        <v>Parking Lot</v>
      </c>
      <c r="Q304" s="5" t="str">
        <f ca="1">IFERROR(__xludf.DUMMYFUNCTION("""COMPUTED_VALUE"""),"Outside on School Property")</f>
        <v>Outside on School Property</v>
      </c>
      <c r="R304" s="5" t="str">
        <f ca="1">IFERROR(__xludf.DUMMYFUNCTION("""COMPUTED_VALUE"""),"No")</f>
        <v>No</v>
      </c>
      <c r="S304" s="5" t="str">
        <f ca="1">IFERROR(__xludf.DUMMYFUNCTION("""COMPUTED_VALUE"""),"Sport Event")</f>
        <v>Sport Event</v>
      </c>
      <c r="T304" s="10">
        <f ca="1">IFERROR(__xludf.DUMMYFUNCTION("""COMPUTED_VALUE"""),0.854166666666666)</f>
        <v>0.85416666666666596</v>
      </c>
      <c r="U304" s="5">
        <f ca="1">IFERROR(__xludf.DUMMYFUNCTION("""COMPUTED_VALUE"""),1)</f>
        <v>1</v>
      </c>
      <c r="V304" s="5" t="str">
        <f ca="1">IFERROR(__xludf.DUMMYFUNCTION("""COMPUTED_VALUE"""),"Shots fired in the parking lot during high school football game")</f>
        <v>Shots fired in the parking lot during high school football game</v>
      </c>
      <c r="W304"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X304" s="5" t="str">
        <f ca="1">IFERROR(__xludf.DUMMYFUNCTION("""COMPUTED_VALUE"""),"Drive-by Shooting")</f>
        <v>Drive-by Shooting</v>
      </c>
      <c r="Y304" s="5" t="str">
        <f ca="1">IFERROR(__xludf.DUMMYFUNCTION("""COMPUTED_VALUE"""),"Victims Targeted")</f>
        <v>Victims Targeted</v>
      </c>
      <c r="Z304" s="5" t="str">
        <f ca="1">IFERROR(__xludf.DUMMYFUNCTION("""COMPUTED_VALUE"""),"No")</f>
        <v>No</v>
      </c>
      <c r="AA304" s="5"/>
      <c r="AB304" s="5" t="str">
        <f ca="1">IFERROR(__xludf.DUMMYFUNCTION("""COMPUTED_VALUE"""),"No")</f>
        <v>No</v>
      </c>
      <c r="AC304" s="5" t="str">
        <f ca="1">IFERROR(__xludf.DUMMYFUNCTION("""COMPUTED_VALUE"""),"No")</f>
        <v>No</v>
      </c>
      <c r="AD304" s="5" t="str">
        <f ca="1">IFERROR(__xludf.DUMMYFUNCTION("""COMPUTED_VALUE"""),"No")</f>
        <v>No</v>
      </c>
      <c r="AE304" s="5" t="str">
        <f ca="1">IFERROR(__xludf.DUMMYFUNCTION("""COMPUTED_VALUE"""),"No")</f>
        <v>No</v>
      </c>
      <c r="AF304" s="5" t="str">
        <f ca="1">IFERROR(__xludf.DUMMYFUNCTION("""COMPUTED_VALUE"""),"No")</f>
        <v>No</v>
      </c>
      <c r="AG304" s="5"/>
      <c r="AH304" s="5" t="str">
        <f ca="1">IFERROR(__xludf.DUMMYFUNCTION("""COMPUTED_VALUE"""),"No")</f>
        <v>No</v>
      </c>
    </row>
    <row r="305" spans="1:34" ht="12.75">
      <c r="A305" s="5" t="str">
        <f ca="1">IFERROR(__xludf.DUMMYFUNCTION("""COMPUTED_VALUE"""),"20210910CASTP")</f>
        <v>20210910CASTP</v>
      </c>
      <c r="B305" s="8">
        <f ca="1">IFERROR(__xludf.DUMMYFUNCTION("""COMPUTED_VALUE"""),44449)</f>
        <v>44449</v>
      </c>
      <c r="C305" s="5" t="str">
        <f ca="1">IFERROR(__xludf.DUMMYFUNCTION("""COMPUTED_VALUE"""),"Stratford School")</f>
        <v>Stratford School</v>
      </c>
      <c r="D305" s="5">
        <f ca="1">IFERROR(__xludf.DUMMYFUNCTION("""COMPUTED_VALUE"""),0)</f>
        <v>0</v>
      </c>
      <c r="E305" s="5">
        <f ca="1">IFERROR(__xludf.DUMMYFUNCTION("""COMPUTED_VALUE"""),0)</f>
        <v>0</v>
      </c>
      <c r="F305" s="5">
        <f ca="1">IFERROR(__xludf.DUMMYFUNCTION("""COMPUTED_VALUE"""),0)</f>
        <v>0</v>
      </c>
      <c r="G305" s="5">
        <f ca="1">IFERROR(__xludf.DUMMYFUNCTION("""COMPUTED_VALUE"""),0)</f>
        <v>0</v>
      </c>
      <c r="H305" s="9" t="str">
        <f ca="1">IFERROR(__xludf.DUMMYFUNCTION("""COMPUTED_VALUE"""),"https://sanfrancisco.cbslocal.com/2021/09/03/palo-alto-man-arrested-shooting-child-school-air-rifle/")</f>
        <v>https://sanfrancisco.cbslocal.com/2021/09/03/palo-alto-man-arrested-shooting-child-school-air-rifle/</v>
      </c>
      <c r="I305" s="5">
        <f ca="1">IFERROR(__xludf.DUMMYFUNCTION("""COMPUTED_VALUE"""),1)</f>
        <v>1</v>
      </c>
      <c r="J305" s="5" t="str">
        <f ca="1">IFERROR(__xludf.DUMMYFUNCTION("""COMPUTED_VALUE"""),"Local")</f>
        <v>Local</v>
      </c>
      <c r="K305" s="5">
        <f ca="1">IFERROR(__xludf.DUMMYFUNCTION("""COMPUTED_VALUE"""),4)</f>
        <v>4</v>
      </c>
      <c r="L305" s="5" t="str">
        <f ca="1">IFERROR(__xludf.DUMMYFUNCTION("""COMPUTED_VALUE"""),"Fall")</f>
        <v>Fall</v>
      </c>
      <c r="M305" s="5" t="str">
        <f ca="1">IFERROR(__xludf.DUMMYFUNCTION("""COMPUTED_VALUE"""),"Palo Alto")</f>
        <v>Palo Alto</v>
      </c>
      <c r="N305" s="5" t="str">
        <f ca="1">IFERROR(__xludf.DUMMYFUNCTION("""COMPUTED_VALUE"""),"CA")</f>
        <v>CA</v>
      </c>
      <c r="O305" s="5" t="str">
        <f ca="1">IFERROR(__xludf.DUMMYFUNCTION("""COMPUTED_VALUE"""),"Elementary")</f>
        <v>Elementary</v>
      </c>
      <c r="P305" s="5" t="str">
        <f ca="1">IFERROR(__xludf.DUMMYFUNCTION("""COMPUTED_VALUE"""),"Playground")</f>
        <v>Playground</v>
      </c>
      <c r="Q305" s="5" t="str">
        <f ca="1">IFERROR(__xludf.DUMMYFUNCTION("""COMPUTED_VALUE"""),"Outside on School Property")</f>
        <v>Outside on School Property</v>
      </c>
      <c r="R305" s="5" t="str">
        <f ca="1">IFERROR(__xludf.DUMMYFUNCTION("""COMPUTED_VALUE"""),"Yes")</f>
        <v>Yes</v>
      </c>
      <c r="S305" s="5" t="str">
        <f ca="1">IFERROR(__xludf.DUMMYFUNCTION("""COMPUTED_VALUE"""),"Lunch")</f>
        <v>Lunch</v>
      </c>
      <c r="T305" s="10">
        <f ca="1">IFERROR(__xludf.DUMMYFUNCTION("""COMPUTED_VALUE"""),0.519444444444444)</f>
        <v>0.51944444444444404</v>
      </c>
      <c r="U305" s="5">
        <f ca="1">IFERROR(__xludf.DUMMYFUNCTION("""COMPUTED_VALUE"""),1)</f>
        <v>1</v>
      </c>
      <c r="V305" s="5" t="str">
        <f ca="1">IFERROR(__xludf.DUMMYFUNCTION("""COMPUTED_VALUE"""),"Man shot air rifle at a random student on the playground")</f>
        <v>Man shot air rifle at a random student on the playground</v>
      </c>
      <c r="W305"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X305" s="5" t="str">
        <f ca="1">IFERROR(__xludf.DUMMYFUNCTION("""COMPUTED_VALUE"""),"Indiscriminate Shooting")</f>
        <v>Indiscriminate Shooting</v>
      </c>
      <c r="Y305" s="5" t="str">
        <f ca="1">IFERROR(__xludf.DUMMYFUNCTION("""COMPUTED_VALUE"""),"Random Shooting")</f>
        <v>Random Shooting</v>
      </c>
      <c r="Z305" s="5" t="str">
        <f ca="1">IFERROR(__xludf.DUMMYFUNCTION("""COMPUTED_VALUE"""),"No")</f>
        <v>No</v>
      </c>
      <c r="AA305" s="5"/>
      <c r="AB305" s="5" t="str">
        <f ca="1">IFERROR(__xludf.DUMMYFUNCTION("""COMPUTED_VALUE"""),"No")</f>
        <v>No</v>
      </c>
      <c r="AC305" s="5" t="str">
        <f ca="1">IFERROR(__xludf.DUMMYFUNCTION("""COMPUTED_VALUE"""),"No")</f>
        <v>No</v>
      </c>
      <c r="AD305" s="5" t="str">
        <f ca="1">IFERROR(__xludf.DUMMYFUNCTION("""COMPUTED_VALUE"""),"No")</f>
        <v>No</v>
      </c>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row>
    <row r="306" spans="1:34" ht="12.75">
      <c r="A306" s="5" t="str">
        <f ca="1">IFERROR(__xludf.DUMMYFUNCTION("""COMPUTED_VALUE"""),"20210909NCSHE")</f>
        <v>20210909NCSHE</v>
      </c>
      <c r="B306" s="8">
        <f ca="1">IFERROR(__xludf.DUMMYFUNCTION("""COMPUTED_VALUE"""),44448)</f>
        <v>44448</v>
      </c>
      <c r="C306" s="5" t="str">
        <f ca="1">IFERROR(__xludf.DUMMYFUNCTION("""COMPUTED_VALUE"""),"Sheep-Harney Elementary School")</f>
        <v>Sheep-Harney Elementary School</v>
      </c>
      <c r="D306" s="5">
        <f ca="1">IFERROR(__xludf.DUMMYFUNCTION("""COMPUTED_VALUE"""),0)</f>
        <v>0</v>
      </c>
      <c r="E306" s="5">
        <f ca="1">IFERROR(__xludf.DUMMYFUNCTION("""COMPUTED_VALUE"""),0)</f>
        <v>0</v>
      </c>
      <c r="F306" s="5">
        <f ca="1">IFERROR(__xludf.DUMMYFUNCTION("""COMPUTED_VALUE"""),0)</f>
        <v>0</v>
      </c>
      <c r="G306" s="5">
        <f ca="1">IFERROR(__xludf.DUMMYFUNCTION("""COMPUTED_VALUE"""),0)</f>
        <v>0</v>
      </c>
      <c r="H306" s="9" t="str">
        <f ca="1">IFERROR(__xludf.DUMMYFUNCTION("""COMPUTED_VALUE"""),"https://www.wavy.com/news/crime/shooting-shatters-windows-at-elizabeth-city-elementary-school/")</f>
        <v>https://www.wavy.com/news/crime/shooting-shatters-windows-at-elizabeth-city-elementary-school/</v>
      </c>
      <c r="I306" s="5">
        <f ca="1">IFERROR(__xludf.DUMMYFUNCTION("""COMPUTED_VALUE"""),1)</f>
        <v>1</v>
      </c>
      <c r="J306" s="5" t="str">
        <f ca="1">IFERROR(__xludf.DUMMYFUNCTION("""COMPUTED_VALUE"""),"Local")</f>
        <v>Local</v>
      </c>
      <c r="K306" s="5">
        <f ca="1">IFERROR(__xludf.DUMMYFUNCTION("""COMPUTED_VALUE"""),4)</f>
        <v>4</v>
      </c>
      <c r="L306" s="5"/>
      <c r="M306" s="5" t="str">
        <f ca="1">IFERROR(__xludf.DUMMYFUNCTION("""COMPUTED_VALUE"""),"Elizabeth City")</f>
        <v>Elizabeth City</v>
      </c>
      <c r="N306" s="5" t="str">
        <f ca="1">IFERROR(__xludf.DUMMYFUNCTION("""COMPUTED_VALUE"""),"NC")</f>
        <v>NC</v>
      </c>
      <c r="O306" s="5" t="str">
        <f ca="1">IFERROR(__xludf.DUMMYFUNCTION("""COMPUTED_VALUE"""),"Elementary")</f>
        <v>Elementary</v>
      </c>
      <c r="P306" s="5" t="str">
        <f ca="1">IFERROR(__xludf.DUMMYFUNCTION("""COMPUTED_VALUE"""),"Front of School")</f>
        <v>Front of School</v>
      </c>
      <c r="Q306" s="5" t="str">
        <f ca="1">IFERROR(__xludf.DUMMYFUNCTION("""COMPUTED_VALUE"""),"Outside on School Property")</f>
        <v>Outside on School Property</v>
      </c>
      <c r="R306" s="5" t="str">
        <f ca="1">IFERROR(__xludf.DUMMYFUNCTION("""COMPUTED_VALUE"""),"No")</f>
        <v>No</v>
      </c>
      <c r="S306" s="5" t="str">
        <f ca="1">IFERROR(__xludf.DUMMYFUNCTION("""COMPUTED_VALUE"""),"Night")</f>
        <v>Night</v>
      </c>
      <c r="T306" s="10">
        <f ca="1">IFERROR(__xludf.DUMMYFUNCTION("""COMPUTED_VALUE"""),0.979166666666666)</f>
        <v>0.97916666666666596</v>
      </c>
      <c r="U306" s="5">
        <f ca="1">IFERROR(__xludf.DUMMYFUNCTION("""COMPUTED_VALUE"""),1)</f>
        <v>1</v>
      </c>
      <c r="V306" s="5" t="str">
        <f ca="1">IFERROR(__xludf.DUMMYFUNCTION("""COMPUTED_VALUE"""),"Multiple windows of the school were shot and broken")</f>
        <v>Multiple windows of the school were shot and broken</v>
      </c>
      <c r="W306"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X306" s="5" t="str">
        <f ca="1">IFERROR(__xludf.DUMMYFUNCTION("""COMPUTED_VALUE"""),"Intentional Property Damage")</f>
        <v>Intentional Property Damage</v>
      </c>
      <c r="Y306" s="5" t="str">
        <f ca="1">IFERROR(__xludf.DUMMYFUNCTION("""COMPUTED_VALUE"""),"Random Shooting")</f>
        <v>Random Shooting</v>
      </c>
      <c r="Z306" s="5"/>
      <c r="AA306" s="5"/>
      <c r="AB306" s="5" t="str">
        <f ca="1">IFERROR(__xludf.DUMMYFUNCTION("""COMPUTED_VALUE"""),"No")</f>
        <v>No</v>
      </c>
      <c r="AC306" s="5" t="str">
        <f ca="1">IFERROR(__xludf.DUMMYFUNCTION("""COMPUTED_VALUE"""),"No")</f>
        <v>No</v>
      </c>
      <c r="AD306" s="5" t="str">
        <f ca="1">IFERROR(__xludf.DUMMYFUNCTION("""COMPUTED_VALUE"""),"No")</f>
        <v>No</v>
      </c>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row>
    <row r="307" spans="1:34" ht="12.75">
      <c r="A307" s="5" t="str">
        <f ca="1">IFERROR(__xludf.DUMMYFUNCTION("""COMPUTED_VALUE"""),"20210909MITRF")</f>
        <v>20210909MITRF</v>
      </c>
      <c r="B307" s="8">
        <f ca="1">IFERROR(__xludf.DUMMYFUNCTION("""COMPUTED_VALUE"""),44448)</f>
        <v>44448</v>
      </c>
      <c r="C307" s="5" t="str">
        <f ca="1">IFERROR(__xludf.DUMMYFUNCTION("""COMPUTED_VALUE"""),"Tri-County Education Center")</f>
        <v>Tri-County Education Center</v>
      </c>
      <c r="D307" s="5">
        <f ca="1">IFERROR(__xludf.DUMMYFUNCTION("""COMPUTED_VALUE"""),0)</f>
        <v>0</v>
      </c>
      <c r="E307" s="5">
        <f ca="1">IFERROR(__xludf.DUMMYFUNCTION("""COMPUTED_VALUE"""),0)</f>
        <v>0</v>
      </c>
      <c r="F307" s="5">
        <f ca="1">IFERROR(__xludf.DUMMYFUNCTION("""COMPUTED_VALUE"""),0)</f>
        <v>0</v>
      </c>
      <c r="G307" s="5">
        <f ca="1">IFERROR(__xludf.DUMMYFUNCTION("""COMPUTED_VALUE"""),0)</f>
        <v>0</v>
      </c>
      <c r="H307"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I307" s="5">
        <f ca="1">IFERROR(__xludf.DUMMYFUNCTION("""COMPUTED_VALUE"""),1)</f>
        <v>1</v>
      </c>
      <c r="J307" s="5" t="str">
        <f ca="1">IFERROR(__xludf.DUMMYFUNCTION("""COMPUTED_VALUE"""),"Local")</f>
        <v>Local</v>
      </c>
      <c r="K307" s="5">
        <f ca="1">IFERROR(__xludf.DUMMYFUNCTION("""COMPUTED_VALUE"""),4)</f>
        <v>4</v>
      </c>
      <c r="L307" s="5" t="str">
        <f ca="1">IFERROR(__xludf.DUMMYFUNCTION("""COMPUTED_VALUE"""),"Fall")</f>
        <v>Fall</v>
      </c>
      <c r="M307" s="5" t="str">
        <f ca="1">IFERROR(__xludf.DUMMYFUNCTION("""COMPUTED_VALUE"""),"Ferndale")</f>
        <v>Ferndale</v>
      </c>
      <c r="N307" s="5" t="str">
        <f ca="1">IFERROR(__xludf.DUMMYFUNCTION("""COMPUTED_VALUE"""),"MI")</f>
        <v>MI</v>
      </c>
      <c r="O307" s="11">
        <f ca="1">IFERROR(__xludf.DUMMYFUNCTION("""COMPUTED_VALUE"""),44724)</f>
        <v>44724</v>
      </c>
      <c r="P307" s="5" t="str">
        <f ca="1">IFERROR(__xludf.DUMMYFUNCTION("""COMPUTED_VALUE"""),"Parking Lot")</f>
        <v>Parking Lot</v>
      </c>
      <c r="Q307" s="5" t="str">
        <f ca="1">IFERROR(__xludf.DUMMYFUNCTION("""COMPUTED_VALUE"""),"Outside on School Property")</f>
        <v>Outside on School Property</v>
      </c>
      <c r="R307" s="5" t="str">
        <f ca="1">IFERROR(__xludf.DUMMYFUNCTION("""COMPUTED_VALUE"""),"Yes")</f>
        <v>Yes</v>
      </c>
      <c r="S307" s="5" t="str">
        <f ca="1">IFERROR(__xludf.DUMMYFUNCTION("""COMPUTED_VALUE"""),"Dismissal")</f>
        <v>Dismissal</v>
      </c>
      <c r="T307" s="10">
        <f ca="1">IFERROR(__xludf.DUMMYFUNCTION("""COMPUTED_VALUE"""),0.604166666666666)</f>
        <v>0.60416666666666596</v>
      </c>
      <c r="U307" s="5">
        <f ca="1">IFERROR(__xludf.DUMMYFUNCTION("""COMPUTED_VALUE"""),1)</f>
        <v>1</v>
      </c>
      <c r="V307" s="5" t="str">
        <f ca="1">IFERROR(__xludf.DUMMYFUNCTION("""COMPUTED_VALUE"""),"Teen fired shot into the ground during a fight in the parking lot")</f>
        <v>Teen fired shot into the ground during a fight in the parking lot</v>
      </c>
      <c r="W307"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X307" s="5" t="str">
        <f ca="1">IFERROR(__xludf.DUMMYFUNCTION("""COMPUTED_VALUE"""),"Escalation of Dispute")</f>
        <v>Escalation of Dispute</v>
      </c>
      <c r="Y307" s="5" t="str">
        <f ca="1">IFERROR(__xludf.DUMMYFUNCTION("""COMPUTED_VALUE"""),"Neither")</f>
        <v>Neither</v>
      </c>
      <c r="Z307" s="5" t="str">
        <f ca="1">IFERROR(__xludf.DUMMYFUNCTION("""COMPUTED_VALUE"""),"Yes")</f>
        <v>Yes</v>
      </c>
      <c r="AA307" s="5" t="str">
        <f ca="1">IFERROR(__xludf.DUMMYFUNCTION("""COMPUTED_VALUE"""),"Two teens arrested")</f>
        <v>Two teens arrested</v>
      </c>
      <c r="AB307" s="5" t="str">
        <f ca="1">IFERROR(__xludf.DUMMYFUNCTION("""COMPUTED_VALUE"""),"No")</f>
        <v>No</v>
      </c>
      <c r="AC307" s="5" t="str">
        <f ca="1">IFERROR(__xludf.DUMMYFUNCTION("""COMPUTED_VALUE"""),"No")</f>
        <v>No</v>
      </c>
      <c r="AD307" s="5" t="str">
        <f ca="1">IFERROR(__xludf.DUMMYFUNCTION("""COMPUTED_VALUE"""),"No")</f>
        <v>No</v>
      </c>
      <c r="AE307" s="5" t="str">
        <f ca="1">IFERROR(__xludf.DUMMYFUNCTION("""COMPUTED_VALUE"""),"No")</f>
        <v>No</v>
      </c>
      <c r="AF307" s="5" t="str">
        <f ca="1">IFERROR(__xludf.DUMMYFUNCTION("""COMPUTED_VALUE"""),"No")</f>
        <v>No</v>
      </c>
      <c r="AG307" s="5"/>
      <c r="AH307" s="5" t="str">
        <f ca="1">IFERROR(__xludf.DUMMYFUNCTION("""COMPUTED_VALUE"""),"No")</f>
        <v>No</v>
      </c>
    </row>
    <row r="308" spans="1:34" ht="12.75">
      <c r="A308" s="5" t="str">
        <f ca="1">IFERROR(__xludf.DUMMYFUNCTION("""COMPUTED_VALUE"""),"20210909ILCHC")</f>
        <v>20210909ILCHC</v>
      </c>
      <c r="B308" s="8">
        <f ca="1">IFERROR(__xludf.DUMMYFUNCTION("""COMPUTED_VALUE"""),44448)</f>
        <v>44448</v>
      </c>
      <c r="C308" s="5" t="str">
        <f ca="1">IFERROR(__xludf.DUMMYFUNCTION("""COMPUTED_VALUE"""),"Champaign School Bus")</f>
        <v>Champaign School Bus</v>
      </c>
      <c r="D308" s="5">
        <f ca="1">IFERROR(__xludf.DUMMYFUNCTION("""COMPUTED_VALUE"""),0)</f>
        <v>0</v>
      </c>
      <c r="E308" s="5">
        <f ca="1">IFERROR(__xludf.DUMMYFUNCTION("""COMPUTED_VALUE"""),1)</f>
        <v>1</v>
      </c>
      <c r="F308" s="5">
        <f ca="1">IFERROR(__xludf.DUMMYFUNCTION("""COMPUTED_VALUE"""),1)</f>
        <v>1</v>
      </c>
      <c r="G308" s="5">
        <f ca="1">IFERROR(__xludf.DUMMYFUNCTION("""COMPUTED_VALUE"""),0)</f>
        <v>0</v>
      </c>
      <c r="H308"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I308" s="5">
        <f ca="1">IFERROR(__xludf.DUMMYFUNCTION("""COMPUTED_VALUE"""),2)</f>
        <v>2</v>
      </c>
      <c r="J308" s="5" t="str">
        <f ca="1">IFERROR(__xludf.DUMMYFUNCTION("""COMPUTED_VALUE"""),"Local")</f>
        <v>Local</v>
      </c>
      <c r="K308" s="5">
        <f ca="1">IFERROR(__xludf.DUMMYFUNCTION("""COMPUTED_VALUE"""),3)</f>
        <v>3</v>
      </c>
      <c r="L308" s="5" t="str">
        <f ca="1">IFERROR(__xludf.DUMMYFUNCTION("""COMPUTED_VALUE"""),"Fall")</f>
        <v>Fall</v>
      </c>
      <c r="M308" s="5" t="str">
        <f ca="1">IFERROR(__xludf.DUMMYFUNCTION("""COMPUTED_VALUE"""),"Champaign")</f>
        <v>Champaign</v>
      </c>
      <c r="N308" s="5" t="str">
        <f ca="1">IFERROR(__xludf.DUMMYFUNCTION("""COMPUTED_VALUE"""),"IL")</f>
        <v>IL</v>
      </c>
      <c r="O308" s="5" t="str">
        <f ca="1">IFERROR(__xludf.DUMMYFUNCTION("""COMPUTED_VALUE"""),"Elementary")</f>
        <v>Elementary</v>
      </c>
      <c r="P308" s="5" t="str">
        <f ca="1">IFERROR(__xludf.DUMMYFUNCTION("""COMPUTED_VALUE"""),"School Bus")</f>
        <v>School Bus</v>
      </c>
      <c r="Q308" s="5" t="str">
        <f ca="1">IFERROR(__xludf.DUMMYFUNCTION("""COMPUTED_VALUE"""),"School Bus")</f>
        <v>School Bus</v>
      </c>
      <c r="R308" s="5" t="str">
        <f ca="1">IFERROR(__xludf.DUMMYFUNCTION("""COMPUTED_VALUE"""),"Yes")</f>
        <v>Yes</v>
      </c>
      <c r="S308" s="5" t="str">
        <f ca="1">IFERROR(__xludf.DUMMYFUNCTION("""COMPUTED_VALUE"""),"Dismissal")</f>
        <v>Dismissal</v>
      </c>
      <c r="T308" s="10">
        <f ca="1">IFERROR(__xludf.DUMMYFUNCTION("""COMPUTED_VALUE"""),0.6125)</f>
        <v>0.61250000000000004</v>
      </c>
      <c r="U308" s="5">
        <f ca="1">IFERROR(__xludf.DUMMYFUNCTION("""COMPUTED_VALUE"""),1)</f>
        <v>1</v>
      </c>
      <c r="V308" s="5" t="str">
        <f ca="1">IFERROR(__xludf.DUMMYFUNCTION("""COMPUTED_VALUE"""),"Occupied school bus was struck by bullet during drive-by")</f>
        <v>Occupied school bus was struck by bullet during drive-by</v>
      </c>
      <c r="W308"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X308" s="5" t="str">
        <f ca="1">IFERROR(__xludf.DUMMYFUNCTION("""COMPUTED_VALUE"""),"Drive-by Shooting")</f>
        <v>Drive-by Shooting</v>
      </c>
      <c r="Y308" s="5" t="str">
        <f ca="1">IFERROR(__xludf.DUMMYFUNCTION("""COMPUTED_VALUE"""),"Both")</f>
        <v>Both</v>
      </c>
      <c r="Z308" s="5" t="str">
        <f ca="1">IFERROR(__xludf.DUMMYFUNCTION("""COMPUTED_VALUE"""),"No")</f>
        <v>No</v>
      </c>
      <c r="AA308" s="5"/>
      <c r="AB308" s="5" t="str">
        <f ca="1">IFERROR(__xludf.DUMMYFUNCTION("""COMPUTED_VALUE"""),"No")</f>
        <v>No</v>
      </c>
      <c r="AC308" s="5" t="str">
        <f ca="1">IFERROR(__xludf.DUMMYFUNCTION("""COMPUTED_VALUE"""),"No")</f>
        <v>No</v>
      </c>
      <c r="AD308" s="5" t="str">
        <f ca="1">IFERROR(__xludf.DUMMYFUNCTION("""COMPUTED_VALUE"""),"No")</f>
        <v>No</v>
      </c>
      <c r="AE308" s="5" t="str">
        <f ca="1">IFERROR(__xludf.DUMMYFUNCTION("""COMPUTED_VALUE"""),"No")</f>
        <v>No</v>
      </c>
      <c r="AF308" s="5" t="str">
        <f ca="1">IFERROR(__xludf.DUMMYFUNCTION("""COMPUTED_VALUE"""),"No")</f>
        <v>No</v>
      </c>
      <c r="AG308" s="5"/>
      <c r="AH308" s="5" t="str">
        <f ca="1">IFERROR(__xludf.DUMMYFUNCTION("""COMPUTED_VALUE"""),"No")</f>
        <v>No</v>
      </c>
    </row>
    <row r="309" spans="1:34" ht="12.75">
      <c r="A309" s="5" t="str">
        <f ca="1">IFERROR(__xludf.DUMMYFUNCTION("""COMPUTED_VALUE"""),"20210908MNPRB")</f>
        <v>20210908MNPRB</v>
      </c>
      <c r="B309" s="8">
        <f ca="1">IFERROR(__xludf.DUMMYFUNCTION("""COMPUTED_VALUE"""),44448)</f>
        <v>44448</v>
      </c>
      <c r="C309" s="5" t="str">
        <f ca="1">IFERROR(__xludf.DUMMYFUNCTION("""COMPUTED_VALUE"""),"Prairie Seeds Academy")</f>
        <v>Prairie Seeds Academy</v>
      </c>
      <c r="D309" s="5">
        <f ca="1">IFERROR(__xludf.DUMMYFUNCTION("""COMPUTED_VALUE"""),0)</f>
        <v>0</v>
      </c>
      <c r="E309" s="5">
        <f ca="1">IFERROR(__xludf.DUMMYFUNCTION("""COMPUTED_VALUE"""),1)</f>
        <v>1</v>
      </c>
      <c r="F309" s="5">
        <f ca="1">IFERROR(__xludf.DUMMYFUNCTION("""COMPUTED_VALUE"""),1)</f>
        <v>1</v>
      </c>
      <c r="G309" s="5">
        <f ca="1">IFERROR(__xludf.DUMMYFUNCTION("""COMPUTED_VALUE"""),0)</f>
        <v>0</v>
      </c>
      <c r="H309" s="9" t="str">
        <f ca="1">IFERROR(__xludf.DUMMYFUNCTION("""COMPUTED_VALUE"""),"https://bringmethenews.com/minnesota-news/brooklyn-park-school-hit-by-bullets-cancels-classes-thursday")</f>
        <v>https://bringmethenews.com/minnesota-news/brooklyn-park-school-hit-by-bullets-cancels-classes-thursday</v>
      </c>
      <c r="I309" s="5">
        <f ca="1">IFERROR(__xludf.DUMMYFUNCTION("""COMPUTED_VALUE"""),1)</f>
        <v>1</v>
      </c>
      <c r="J309" s="5" t="str">
        <f ca="1">IFERROR(__xludf.DUMMYFUNCTION("""COMPUTED_VALUE"""),"Local")</f>
        <v>Local</v>
      </c>
      <c r="K309" s="5">
        <f ca="1">IFERROR(__xludf.DUMMYFUNCTION("""COMPUTED_VALUE"""),4)</f>
        <v>4</v>
      </c>
      <c r="L309" s="5" t="str">
        <f ca="1">IFERROR(__xludf.DUMMYFUNCTION("""COMPUTED_VALUE"""),"Fall")</f>
        <v>Fall</v>
      </c>
      <c r="M309" s="5" t="str">
        <f ca="1">IFERROR(__xludf.DUMMYFUNCTION("""COMPUTED_VALUE"""),"Brooklyn Park")</f>
        <v>Brooklyn Park</v>
      </c>
      <c r="N309" s="5" t="str">
        <f ca="1">IFERROR(__xludf.DUMMYFUNCTION("""COMPUTED_VALUE"""),"MN")</f>
        <v>MN</v>
      </c>
      <c r="O309" s="5" t="str">
        <f ca="1">IFERROR(__xludf.DUMMYFUNCTION("""COMPUTED_VALUE"""),"High")</f>
        <v>High</v>
      </c>
      <c r="P309" s="5" t="str">
        <f ca="1">IFERROR(__xludf.DUMMYFUNCTION("""COMPUTED_VALUE"""),"Front of School")</f>
        <v>Front of School</v>
      </c>
      <c r="Q309" s="5" t="str">
        <f ca="1">IFERROR(__xludf.DUMMYFUNCTION("""COMPUTED_VALUE"""),"Off School Property")</f>
        <v>Off School Property</v>
      </c>
      <c r="R309" s="5" t="str">
        <f ca="1">IFERROR(__xludf.DUMMYFUNCTION("""COMPUTED_VALUE"""),"No")</f>
        <v>No</v>
      </c>
      <c r="S309" s="5" t="str">
        <f ca="1">IFERROR(__xludf.DUMMYFUNCTION("""COMPUTED_VALUE"""),"Evening")</f>
        <v>Evening</v>
      </c>
      <c r="T309" s="10">
        <f ca="1">IFERROR(__xludf.DUMMYFUNCTION("""COMPUTED_VALUE"""),0.798611111111111)</f>
        <v>0.79861111111111105</v>
      </c>
      <c r="U309" s="5">
        <f ca="1">IFERROR(__xludf.DUMMYFUNCTION("""COMPUTED_VALUE"""),1)</f>
        <v>1</v>
      </c>
      <c r="V309" s="5" t="str">
        <f ca="1">IFERROR(__xludf.DUMMYFUNCTION("""COMPUTED_VALUE"""),"Multiple people shooting, bullets struck the school building")</f>
        <v>Multiple people shooting, bullets struck the school building</v>
      </c>
      <c r="W309"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X309" s="5"/>
      <c r="Y309" s="5" t="str">
        <f ca="1">IFERROR(__xludf.DUMMYFUNCTION("""COMPUTED_VALUE"""),"Both")</f>
        <v>Both</v>
      </c>
      <c r="Z309" s="5" t="str">
        <f ca="1">IFERROR(__xludf.DUMMYFUNCTION("""COMPUTED_VALUE"""),"Yes")</f>
        <v>Yes</v>
      </c>
      <c r="AA309" s="5" t="str">
        <f ca="1">IFERROR(__xludf.DUMMYFUNCTION("""COMPUTED_VALUE"""),"Multiple people shootings")</f>
        <v>Multiple people shootings</v>
      </c>
      <c r="AB309" s="5" t="str">
        <f ca="1">IFERROR(__xludf.DUMMYFUNCTION("""COMPUTED_VALUE"""),"No")</f>
        <v>No</v>
      </c>
      <c r="AC309" s="5" t="str">
        <f ca="1">IFERROR(__xludf.DUMMYFUNCTION("""COMPUTED_VALUE"""),"No")</f>
        <v>No</v>
      </c>
      <c r="AD309" s="5" t="str">
        <f ca="1">IFERROR(__xludf.DUMMYFUNCTION("""COMPUTED_VALUE"""),"No")</f>
        <v>No</v>
      </c>
      <c r="AE309" s="5" t="str">
        <f ca="1">IFERROR(__xludf.DUMMYFUNCTION("""COMPUTED_VALUE"""),"No")</f>
        <v>No</v>
      </c>
      <c r="AF309" s="5" t="str">
        <f ca="1">IFERROR(__xludf.DUMMYFUNCTION("""COMPUTED_VALUE"""),"No")</f>
        <v>No</v>
      </c>
      <c r="AG309" s="5"/>
      <c r="AH309" s="5" t="str">
        <f ca="1">IFERROR(__xludf.DUMMYFUNCTION("""COMPUTED_VALUE"""),"No")</f>
        <v>No</v>
      </c>
    </row>
    <row r="310" spans="1:34" ht="12.75">
      <c r="A310" s="5" t="str">
        <f ca="1">IFERROR(__xludf.DUMMYFUNCTION("""COMPUTED_VALUE"""),"20210908ILCEC")</f>
        <v>20210908ILCEC</v>
      </c>
      <c r="B310" s="8">
        <f ca="1">IFERROR(__xludf.DUMMYFUNCTION("""COMPUTED_VALUE"""),44447)</f>
        <v>44447</v>
      </c>
      <c r="C310" s="5" t="str">
        <f ca="1">IFERROR(__xludf.DUMMYFUNCTION("""COMPUTED_VALUE"""),"Centennial High School")</f>
        <v>Centennial High School</v>
      </c>
      <c r="D310" s="5">
        <f ca="1">IFERROR(__xludf.DUMMYFUNCTION("""COMPUTED_VALUE"""),0)</f>
        <v>0</v>
      </c>
      <c r="E310" s="5">
        <f ca="1">IFERROR(__xludf.DUMMYFUNCTION("""COMPUTED_VALUE"""),0)</f>
        <v>0</v>
      </c>
      <c r="F310" s="5">
        <f ca="1">IFERROR(__xludf.DUMMYFUNCTION("""COMPUTED_VALUE"""),0)</f>
        <v>0</v>
      </c>
      <c r="G310" s="5">
        <f ca="1">IFERROR(__xludf.DUMMYFUNCTION("""COMPUTED_VALUE"""),0)</f>
        <v>0</v>
      </c>
      <c r="H310"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I310" s="5">
        <f ca="1">IFERROR(__xludf.DUMMYFUNCTION("""COMPUTED_VALUE"""),2)</f>
        <v>2</v>
      </c>
      <c r="J310" s="5" t="str">
        <f ca="1">IFERROR(__xludf.DUMMYFUNCTION("""COMPUTED_VALUE"""),"Local")</f>
        <v>Local</v>
      </c>
      <c r="K310" s="5">
        <f ca="1">IFERROR(__xludf.DUMMYFUNCTION("""COMPUTED_VALUE"""),4)</f>
        <v>4</v>
      </c>
      <c r="L310" s="5" t="str">
        <f ca="1">IFERROR(__xludf.DUMMYFUNCTION("""COMPUTED_VALUE"""),"Fall")</f>
        <v>Fall</v>
      </c>
      <c r="M310" s="5" t="str">
        <f ca="1">IFERROR(__xludf.DUMMYFUNCTION("""COMPUTED_VALUE"""),"Champaign")</f>
        <v>Champaign</v>
      </c>
      <c r="N310" s="5" t="str">
        <f ca="1">IFERROR(__xludf.DUMMYFUNCTION("""COMPUTED_VALUE"""),"IL")</f>
        <v>IL</v>
      </c>
      <c r="O310" s="5" t="str">
        <f ca="1">IFERROR(__xludf.DUMMYFUNCTION("""COMPUTED_VALUE"""),"High")</f>
        <v>High</v>
      </c>
      <c r="P310" s="5" t="str">
        <f ca="1">IFERROR(__xludf.DUMMYFUNCTION("""COMPUTED_VALUE"""),"Hallway")</f>
        <v>Hallway</v>
      </c>
      <c r="Q310" s="5" t="str">
        <f ca="1">IFERROR(__xludf.DUMMYFUNCTION("""COMPUTED_VALUE"""),"Inside School Building")</f>
        <v>Inside School Building</v>
      </c>
      <c r="R310" s="5" t="str">
        <f ca="1">IFERROR(__xludf.DUMMYFUNCTION("""COMPUTED_VALUE"""),"Yes")</f>
        <v>Yes</v>
      </c>
      <c r="S310" s="5" t="str">
        <f ca="1">IFERROR(__xludf.DUMMYFUNCTION("""COMPUTED_VALUE"""),"Afternoon Classes")</f>
        <v>Afternoon Classes</v>
      </c>
      <c r="T310" s="10">
        <f ca="1">IFERROR(__xludf.DUMMYFUNCTION("""COMPUTED_VALUE"""),0.541666666666666)</f>
        <v>0.54166666666666596</v>
      </c>
      <c r="U310" s="5">
        <f ca="1">IFERROR(__xludf.DUMMYFUNCTION("""COMPUTED_VALUE"""),1)</f>
        <v>1</v>
      </c>
      <c r="V310" s="5" t="str">
        <f ca="1">IFERROR(__xludf.DUMMYFUNCTION("""COMPUTED_VALUE"""),"Student pulled gun during fight in hallway then fled the school")</f>
        <v>Student pulled gun during fight in hallway then fled the school</v>
      </c>
      <c r="W310"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X310" s="5" t="str">
        <f ca="1">IFERROR(__xludf.DUMMYFUNCTION("""COMPUTED_VALUE"""),"Escalation of Dispute")</f>
        <v>Escalation of Dispute</v>
      </c>
      <c r="Y310" s="5" t="str">
        <f ca="1">IFERROR(__xludf.DUMMYFUNCTION("""COMPUTED_VALUE"""),"Victims Targeted")</f>
        <v>Victims Targeted</v>
      </c>
      <c r="Z310" s="5" t="str">
        <f ca="1">IFERROR(__xludf.DUMMYFUNCTION("""COMPUTED_VALUE"""),"No")</f>
        <v>No</v>
      </c>
      <c r="AA310" s="5"/>
      <c r="AB310" s="5" t="str">
        <f ca="1">IFERROR(__xludf.DUMMYFUNCTION("""COMPUTED_VALUE"""),"No")</f>
        <v>No</v>
      </c>
      <c r="AC310" s="5" t="str">
        <f ca="1">IFERROR(__xludf.DUMMYFUNCTION("""COMPUTED_VALUE"""),"No")</f>
        <v>No</v>
      </c>
      <c r="AD310" s="5" t="str">
        <f ca="1">IFERROR(__xludf.DUMMYFUNCTION("""COMPUTED_VALUE"""),"No")</f>
        <v>No</v>
      </c>
      <c r="AE310" s="5" t="str">
        <f ca="1">IFERROR(__xludf.DUMMYFUNCTION("""COMPUTED_VALUE"""),"No")</f>
        <v>No</v>
      </c>
      <c r="AF310" s="5" t="str">
        <f ca="1">IFERROR(__xludf.DUMMYFUNCTION("""COMPUTED_VALUE"""),"No")</f>
        <v>No</v>
      </c>
      <c r="AG310" s="5" t="str">
        <f ca="1">IFERROR(__xludf.DUMMYFUNCTION("""COMPUTED_VALUE"""),"No")</f>
        <v>No</v>
      </c>
      <c r="AH310" s="5" t="str">
        <f ca="1">IFERROR(__xludf.DUMMYFUNCTION("""COMPUTED_VALUE"""),"No")</f>
        <v>No</v>
      </c>
    </row>
    <row r="311" spans="1:34" ht="12.75">
      <c r="A311" s="5" t="str">
        <f ca="1">IFERROR(__xludf.DUMMYFUNCTION("""COMPUTED_VALUE"""),"20210907TNLAL")</f>
        <v>20210907TNLAL</v>
      </c>
      <c r="B311" s="8">
        <f ca="1">IFERROR(__xludf.DUMMYFUNCTION("""COMPUTED_VALUE"""),44446)</f>
        <v>44446</v>
      </c>
      <c r="C311" s="5" t="str">
        <f ca="1">IFERROR(__xludf.DUMMYFUNCTION("""COMPUTED_VALUE"""),"La Vergne High School")</f>
        <v>La Vergne High School</v>
      </c>
      <c r="D311" s="5">
        <f ca="1">IFERROR(__xludf.DUMMYFUNCTION("""COMPUTED_VALUE"""),0)</f>
        <v>0</v>
      </c>
      <c r="E311" s="5">
        <f ca="1">IFERROR(__xludf.DUMMYFUNCTION("""COMPUTED_VALUE"""),0)</f>
        <v>0</v>
      </c>
      <c r="F311" s="5">
        <f ca="1">IFERROR(__xludf.DUMMYFUNCTION("""COMPUTED_VALUE"""),0)</f>
        <v>0</v>
      </c>
      <c r="G311" s="5">
        <f ca="1">IFERROR(__xludf.DUMMYFUNCTION("""COMPUTED_VALUE"""),0)</f>
        <v>0</v>
      </c>
      <c r="H311"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I311" s="5">
        <f ca="1">IFERROR(__xludf.DUMMYFUNCTION("""COMPUTED_VALUE"""),5)</f>
        <v>5</v>
      </c>
      <c r="J311" s="5" t="str">
        <f ca="1">IFERROR(__xludf.DUMMYFUNCTION("""COMPUTED_VALUE"""),"Local")</f>
        <v>Local</v>
      </c>
      <c r="K311" s="5">
        <f ca="1">IFERROR(__xludf.DUMMYFUNCTION("""COMPUTED_VALUE"""),4)</f>
        <v>4</v>
      </c>
      <c r="L311" s="5" t="str">
        <f ca="1">IFERROR(__xludf.DUMMYFUNCTION("""COMPUTED_VALUE"""),"Fall")</f>
        <v>Fall</v>
      </c>
      <c r="M311" s="5" t="str">
        <f ca="1">IFERROR(__xludf.DUMMYFUNCTION("""COMPUTED_VALUE"""),"La Vergne")</f>
        <v>La Vergne</v>
      </c>
      <c r="N311" s="5" t="str">
        <f ca="1">IFERROR(__xludf.DUMMYFUNCTION("""COMPUTED_VALUE"""),"TN")</f>
        <v>TN</v>
      </c>
      <c r="O311" s="5" t="str">
        <f ca="1">IFERROR(__xludf.DUMMYFUNCTION("""COMPUTED_VALUE"""),"High")</f>
        <v>High</v>
      </c>
      <c r="P311" s="5" t="str">
        <f ca="1">IFERROR(__xludf.DUMMYFUNCTION("""COMPUTED_VALUE"""),"Parking Lot")</f>
        <v>Parking Lot</v>
      </c>
      <c r="Q311" s="5" t="str">
        <f ca="1">IFERROR(__xludf.DUMMYFUNCTION("""COMPUTED_VALUE"""),"Outside on School Property")</f>
        <v>Outside on School Property</v>
      </c>
      <c r="R311" s="5" t="str">
        <f ca="1">IFERROR(__xludf.DUMMYFUNCTION("""COMPUTED_VALUE"""),"Yes")</f>
        <v>Yes</v>
      </c>
      <c r="S311" s="5" t="str">
        <f ca="1">IFERROR(__xludf.DUMMYFUNCTION("""COMPUTED_VALUE"""),"Dismissal")</f>
        <v>Dismissal</v>
      </c>
      <c r="T311" s="10">
        <f ca="1">IFERROR(__xludf.DUMMYFUNCTION("""COMPUTED_VALUE"""),0.625)</f>
        <v>0.625</v>
      </c>
      <c r="U311" s="5">
        <f ca="1">IFERROR(__xludf.DUMMYFUNCTION("""COMPUTED_VALUE"""),1)</f>
        <v>1</v>
      </c>
      <c r="V311" s="5" t="str">
        <f ca="1">IFERROR(__xludf.DUMMYFUNCTION("""COMPUTED_VALUE"""),"Teen fired shots in parking lot during dismissal")</f>
        <v>Teen fired shots in parking lot during dismissal</v>
      </c>
      <c r="W311"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X311" s="5" t="str">
        <f ca="1">IFERROR(__xludf.DUMMYFUNCTION("""COMPUTED_VALUE"""),"Escalation of Dispute")</f>
        <v>Escalation of Dispute</v>
      </c>
      <c r="Y311" s="5" t="str">
        <f ca="1">IFERROR(__xludf.DUMMYFUNCTION("""COMPUTED_VALUE"""),"Random Shooting")</f>
        <v>Random Shooting</v>
      </c>
      <c r="Z311" s="5" t="str">
        <f ca="1">IFERROR(__xludf.DUMMYFUNCTION("""COMPUTED_VALUE"""),"No")</f>
        <v>No</v>
      </c>
      <c r="AA311" s="5"/>
      <c r="AB311" s="5" t="str">
        <f ca="1">IFERROR(__xludf.DUMMYFUNCTION("""COMPUTED_VALUE"""),"No")</f>
        <v>No</v>
      </c>
      <c r="AC311" s="5" t="str">
        <f ca="1">IFERROR(__xludf.DUMMYFUNCTION("""COMPUTED_VALUE"""),"No")</f>
        <v>No</v>
      </c>
      <c r="AD311" s="5" t="str">
        <f ca="1">IFERROR(__xludf.DUMMYFUNCTION("""COMPUTED_VALUE"""),"No")</f>
        <v>No</v>
      </c>
      <c r="AE311" s="5" t="str">
        <f ca="1">IFERROR(__xludf.DUMMYFUNCTION("""COMPUTED_VALUE"""),"No")</f>
        <v>No</v>
      </c>
      <c r="AF311" s="5" t="str">
        <f ca="1">IFERROR(__xludf.DUMMYFUNCTION("""COMPUTED_VALUE"""),"No")</f>
        <v>No</v>
      </c>
      <c r="AG311" s="5"/>
      <c r="AH311" s="5" t="str">
        <f ca="1">IFERROR(__xludf.DUMMYFUNCTION("""COMPUTED_VALUE"""),"No")</f>
        <v>No</v>
      </c>
    </row>
    <row r="312" spans="1:34" ht="12.75">
      <c r="A312" s="5" t="str">
        <f ca="1">IFERROR(__xludf.DUMMYFUNCTION("""COMPUTED_VALUE"""),"20210907PAHAH")</f>
        <v>20210907PAHAH</v>
      </c>
      <c r="B312" s="8">
        <f ca="1">IFERROR(__xludf.DUMMYFUNCTION("""COMPUTED_VALUE"""),44446)</f>
        <v>44446</v>
      </c>
      <c r="C312" s="5" t="str">
        <f ca="1">IFERROR(__xludf.DUMMYFUNCTION("""COMPUTED_VALUE"""),"Harrisburg High School")</f>
        <v>Harrisburg High School</v>
      </c>
      <c r="D312" s="5">
        <f ca="1">IFERROR(__xludf.DUMMYFUNCTION("""COMPUTED_VALUE"""),0)</f>
        <v>0</v>
      </c>
      <c r="E312" s="5">
        <f ca="1">IFERROR(__xludf.DUMMYFUNCTION("""COMPUTED_VALUE"""),0)</f>
        <v>0</v>
      </c>
      <c r="F312" s="5">
        <f ca="1">IFERROR(__xludf.DUMMYFUNCTION("""COMPUTED_VALUE"""),0)</f>
        <v>0</v>
      </c>
      <c r="G312" s="5">
        <f ca="1">IFERROR(__xludf.DUMMYFUNCTION("""COMPUTED_VALUE"""),0)</f>
        <v>0</v>
      </c>
      <c r="H312"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I312" s="5">
        <f ca="1">IFERROR(__xludf.DUMMYFUNCTION("""COMPUTED_VALUE"""),5)</f>
        <v>5</v>
      </c>
      <c r="J312" s="5" t="str">
        <f ca="1">IFERROR(__xludf.DUMMYFUNCTION("""COMPUTED_VALUE"""),"Local")</f>
        <v>Local</v>
      </c>
      <c r="K312" s="5">
        <f ca="1">IFERROR(__xludf.DUMMYFUNCTION("""COMPUTED_VALUE"""),4)</f>
        <v>4</v>
      </c>
      <c r="L312" s="5" t="str">
        <f ca="1">IFERROR(__xludf.DUMMYFUNCTION("""COMPUTED_VALUE"""),"Fall")</f>
        <v>Fall</v>
      </c>
      <c r="M312" s="5" t="str">
        <f ca="1">IFERROR(__xludf.DUMMYFUNCTION("""COMPUTED_VALUE"""),"Harrisburg")</f>
        <v>Harrisburg</v>
      </c>
      <c r="N312" s="5" t="str">
        <f ca="1">IFERROR(__xludf.DUMMYFUNCTION("""COMPUTED_VALUE"""),"PA")</f>
        <v>PA</v>
      </c>
      <c r="O312" s="5" t="str">
        <f ca="1">IFERROR(__xludf.DUMMYFUNCTION("""COMPUTED_VALUE"""),"High")</f>
        <v>High</v>
      </c>
      <c r="P312" s="5" t="str">
        <f ca="1">IFERROR(__xludf.DUMMYFUNCTION("""COMPUTED_VALUE"""),"Parking Lot")</f>
        <v>Parking Lot</v>
      </c>
      <c r="Q312" s="5" t="str">
        <f ca="1">IFERROR(__xludf.DUMMYFUNCTION("""COMPUTED_VALUE"""),"Outside on School Property")</f>
        <v>Outside on School Property</v>
      </c>
      <c r="R312" s="5" t="str">
        <f ca="1">IFERROR(__xludf.DUMMYFUNCTION("""COMPUTED_VALUE"""),"Yes")</f>
        <v>Yes</v>
      </c>
      <c r="S312" s="5" t="str">
        <f ca="1">IFERROR(__xludf.DUMMYFUNCTION("""COMPUTED_VALUE"""),"Dismissal")</f>
        <v>Dismissal</v>
      </c>
      <c r="T312" s="10">
        <f ca="1">IFERROR(__xludf.DUMMYFUNCTION("""COMPUTED_VALUE"""),0.125)</f>
        <v>0.125</v>
      </c>
      <c r="U312" s="5">
        <f ca="1">IFERROR(__xludf.DUMMYFUNCTION("""COMPUTED_VALUE"""),1)</f>
        <v>1</v>
      </c>
      <c r="V312" s="5" t="str">
        <f ca="1">IFERROR(__xludf.DUMMYFUNCTION("""COMPUTED_VALUE"""),"Shots fired during fight in the parking lot")</f>
        <v>Shots fired during fight in the parking lot</v>
      </c>
      <c r="W312"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X312" s="5" t="str">
        <f ca="1">IFERROR(__xludf.DUMMYFUNCTION("""COMPUTED_VALUE"""),"Escalation of Dispute")</f>
        <v>Escalation of Dispute</v>
      </c>
      <c r="Y312" s="5" t="str">
        <f ca="1">IFERROR(__xludf.DUMMYFUNCTION("""COMPUTED_VALUE"""),"Neither")</f>
        <v>Neither</v>
      </c>
      <c r="Z312" s="5" t="str">
        <f ca="1">IFERROR(__xludf.DUMMYFUNCTION("""COMPUTED_VALUE"""),"No")</f>
        <v>No</v>
      </c>
      <c r="AA312" s="5"/>
      <c r="AB312" s="5" t="str">
        <f ca="1">IFERROR(__xludf.DUMMYFUNCTION("""COMPUTED_VALUE"""),"No")</f>
        <v>No</v>
      </c>
      <c r="AC312" s="5" t="str">
        <f ca="1">IFERROR(__xludf.DUMMYFUNCTION("""COMPUTED_VALUE"""),"No")</f>
        <v>No</v>
      </c>
      <c r="AD312" s="5" t="str">
        <f ca="1">IFERROR(__xludf.DUMMYFUNCTION("""COMPUTED_VALUE"""),"No")</f>
        <v>No</v>
      </c>
      <c r="AE312" s="5" t="str">
        <f ca="1">IFERROR(__xludf.DUMMYFUNCTION("""COMPUTED_VALUE"""),"No")</f>
        <v>No</v>
      </c>
      <c r="AF312" s="5" t="str">
        <f ca="1">IFERROR(__xludf.DUMMYFUNCTION("""COMPUTED_VALUE"""),"No")</f>
        <v>No</v>
      </c>
      <c r="AG312" s="5" t="str">
        <f ca="1">IFERROR(__xludf.DUMMYFUNCTION("""COMPUTED_VALUE"""),"No")</f>
        <v>No</v>
      </c>
      <c r="AH312" s="5" t="str">
        <f ca="1">IFERROR(__xludf.DUMMYFUNCTION("""COMPUTED_VALUE"""),"No")</f>
        <v>No</v>
      </c>
    </row>
    <row r="313" spans="1:34" ht="12.75">
      <c r="A313" s="5" t="str">
        <f ca="1">IFERROR(__xludf.DUMMYFUNCTION("""COMPUTED_VALUE"""),"20210907MAOMG")</f>
        <v>20210907MAOMG</v>
      </c>
      <c r="B313" s="8">
        <f ca="1">IFERROR(__xludf.DUMMYFUNCTION("""COMPUTED_VALUE"""),44446)</f>
        <v>44446</v>
      </c>
      <c r="C313" s="5" t="str">
        <f ca="1">IFERROR(__xludf.DUMMYFUNCTION("""COMPUTED_VALUE"""),"O’Maley Innovation Middle School")</f>
        <v>O’Maley Innovation Middle School</v>
      </c>
      <c r="D313" s="5">
        <f ca="1">IFERROR(__xludf.DUMMYFUNCTION("""COMPUTED_VALUE"""),0)</f>
        <v>0</v>
      </c>
      <c r="E313" s="5">
        <f ca="1">IFERROR(__xludf.DUMMYFUNCTION("""COMPUTED_VALUE"""),0)</f>
        <v>0</v>
      </c>
      <c r="F313" s="5">
        <f ca="1">IFERROR(__xludf.DUMMYFUNCTION("""COMPUTED_VALUE"""),0)</f>
        <v>0</v>
      </c>
      <c r="G313" s="5">
        <f ca="1">IFERROR(__xludf.DUMMYFUNCTION("""COMPUTED_VALUE"""),0)</f>
        <v>0</v>
      </c>
      <c r="H313" s="9" t="str">
        <f ca="1">IFERROR(__xludf.DUMMYFUNCTION("""COMPUTED_VALUE"""),"https://whdh.com/news/police-2-teens-facing-charges-after-shooting-bar-school-bus-more-than-40-cars-with-bb-guns-on-north-shore/")</f>
        <v>https://whdh.com/news/police-2-teens-facing-charges-after-shooting-bar-school-bus-more-than-40-cars-with-bb-guns-on-north-shore/</v>
      </c>
      <c r="I313" s="5">
        <f ca="1">IFERROR(__xludf.DUMMYFUNCTION("""COMPUTED_VALUE"""),1)</f>
        <v>1</v>
      </c>
      <c r="J313" s="5"/>
      <c r="K313" s="5">
        <f ca="1">IFERROR(__xludf.DUMMYFUNCTION("""COMPUTED_VALUE"""),4)</f>
        <v>4</v>
      </c>
      <c r="L313" s="5" t="str">
        <f ca="1">IFERROR(__xludf.DUMMYFUNCTION("""COMPUTED_VALUE"""),"Fall")</f>
        <v>Fall</v>
      </c>
      <c r="M313" s="5" t="str">
        <f ca="1">IFERROR(__xludf.DUMMYFUNCTION("""COMPUTED_VALUE"""),"Gloucester")</f>
        <v>Gloucester</v>
      </c>
      <c r="N313" s="5" t="str">
        <f ca="1">IFERROR(__xludf.DUMMYFUNCTION("""COMPUTED_VALUE"""),"MA")</f>
        <v>MA</v>
      </c>
      <c r="O313" s="5" t="str">
        <f ca="1">IFERROR(__xludf.DUMMYFUNCTION("""COMPUTED_VALUE"""),"Middle")</f>
        <v>Middle</v>
      </c>
      <c r="P313" s="5" t="str">
        <f ca="1">IFERROR(__xludf.DUMMYFUNCTION("""COMPUTED_VALUE"""),"Parking Lot")</f>
        <v>Parking Lot</v>
      </c>
      <c r="Q313" s="5" t="str">
        <f ca="1">IFERROR(__xludf.DUMMYFUNCTION("""COMPUTED_VALUE"""),"Outside on School Property")</f>
        <v>Outside on School Property</v>
      </c>
      <c r="R313" s="5" t="str">
        <f ca="1">IFERROR(__xludf.DUMMYFUNCTION("""COMPUTED_VALUE"""),"No")</f>
        <v>No</v>
      </c>
      <c r="S313" s="5" t="str">
        <f ca="1">IFERROR(__xludf.DUMMYFUNCTION("""COMPUTED_VALUE"""),"Night")</f>
        <v>Night</v>
      </c>
      <c r="T313" s="10">
        <f ca="1">IFERROR(__xludf.DUMMYFUNCTION("""COMPUTED_VALUE"""),0.104166666666666)</f>
        <v>0.10416666666666601</v>
      </c>
      <c r="U313" s="5"/>
      <c r="V313" s="5" t="str">
        <f ca="1">IFERROR(__xludf.DUMMYFUNCTION("""COMPUTED_VALUE"""),"Teens damaged 46 cars, 7 businesses, and broke 10 windows on a school bus during BB gun shooting spree")</f>
        <v>Teens damaged 46 cars, 7 businesses, and broke 10 windows on a school bus during BB gun shooting spree</v>
      </c>
      <c r="W313"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X313" s="5" t="str">
        <f ca="1">IFERROR(__xludf.DUMMYFUNCTION("""COMPUTED_VALUE"""),"Intentional Property Damage")</f>
        <v>Intentional Property Damage</v>
      </c>
      <c r="Y313" s="5" t="str">
        <f ca="1">IFERROR(__xludf.DUMMYFUNCTION("""COMPUTED_VALUE"""),"Random Shooting")</f>
        <v>Random Shooting</v>
      </c>
      <c r="Z313" s="5" t="str">
        <f ca="1">IFERROR(__xludf.DUMMYFUNCTION("""COMPUTED_VALUE"""),"Yes")</f>
        <v>Yes</v>
      </c>
      <c r="AA313" s="5" t="str">
        <f ca="1">IFERROR(__xludf.DUMMYFUNCTION("""COMPUTED_VALUE"""),"Two 18YOMs")</f>
        <v>Two 18YOMs</v>
      </c>
      <c r="AB313" s="5" t="str">
        <f ca="1">IFERROR(__xludf.DUMMYFUNCTION("""COMPUTED_VALUE"""),"No")</f>
        <v>No</v>
      </c>
      <c r="AC313" s="5" t="str">
        <f ca="1">IFERROR(__xludf.DUMMYFUNCTION("""COMPUTED_VALUE"""),"No")</f>
        <v>No</v>
      </c>
      <c r="AD313" s="5" t="str">
        <f ca="1">IFERROR(__xludf.DUMMYFUNCTION("""COMPUTED_VALUE"""),"No")</f>
        <v>No</v>
      </c>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row>
    <row r="314" spans="1:34" ht="12.75">
      <c r="A314" s="5" t="str">
        <f ca="1">IFERROR(__xludf.DUMMYFUNCTION("""COMPUTED_VALUE"""),"20210903NVDEL")</f>
        <v>20210903NVDEL</v>
      </c>
      <c r="B314" s="8">
        <f ca="1">IFERROR(__xludf.DUMMYFUNCTION("""COMPUTED_VALUE"""),44442)</f>
        <v>44442</v>
      </c>
      <c r="C314" s="5" t="str">
        <f ca="1">IFERROR(__xludf.DUMMYFUNCTION("""COMPUTED_VALUE"""),"Desert Oasis High School")</f>
        <v>Desert Oasis High School</v>
      </c>
      <c r="D314" s="5">
        <f ca="1">IFERROR(__xludf.DUMMYFUNCTION("""COMPUTED_VALUE"""),0)</f>
        <v>0</v>
      </c>
      <c r="E314" s="5">
        <f ca="1">IFERROR(__xludf.DUMMYFUNCTION("""COMPUTED_VALUE"""),0)</f>
        <v>0</v>
      </c>
      <c r="F314" s="5">
        <f ca="1">IFERROR(__xludf.DUMMYFUNCTION("""COMPUTED_VALUE"""),0)</f>
        <v>0</v>
      </c>
      <c r="G314" s="5">
        <f ca="1">IFERROR(__xludf.DUMMYFUNCTION("""COMPUTED_VALUE"""),0)</f>
        <v>0</v>
      </c>
      <c r="H314"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I314" s="5">
        <f ca="1">IFERROR(__xludf.DUMMYFUNCTION("""COMPUTED_VALUE"""),10)</f>
        <v>10</v>
      </c>
      <c r="J314" s="5" t="str">
        <f ca="1">IFERROR(__xludf.DUMMYFUNCTION("""COMPUTED_VALUE"""),"Local")</f>
        <v>Local</v>
      </c>
      <c r="K314" s="5">
        <f ca="1">IFERROR(__xludf.DUMMYFUNCTION("""COMPUTED_VALUE"""),4)</f>
        <v>4</v>
      </c>
      <c r="L314" s="5" t="str">
        <f ca="1">IFERROR(__xludf.DUMMYFUNCTION("""COMPUTED_VALUE"""),"Fall")</f>
        <v>Fall</v>
      </c>
      <c r="M314" s="5" t="str">
        <f ca="1">IFERROR(__xludf.DUMMYFUNCTION("""COMPUTED_VALUE"""),"Las Vegas")</f>
        <v>Las Vegas</v>
      </c>
      <c r="N314" s="5" t="str">
        <f ca="1">IFERROR(__xludf.DUMMYFUNCTION("""COMPUTED_VALUE"""),"NV")</f>
        <v>NV</v>
      </c>
      <c r="O314" s="5" t="str">
        <f ca="1">IFERROR(__xludf.DUMMYFUNCTION("""COMPUTED_VALUE"""),"High")</f>
        <v>High</v>
      </c>
      <c r="P314" s="5" t="str">
        <f ca="1">IFERROR(__xludf.DUMMYFUNCTION("""COMPUTED_VALUE"""),"Parking Lot")</f>
        <v>Parking Lot</v>
      </c>
      <c r="Q314" s="5" t="str">
        <f ca="1">IFERROR(__xludf.DUMMYFUNCTION("""COMPUTED_VALUE"""),"Outside on School Property")</f>
        <v>Outside on School Property</v>
      </c>
      <c r="R314" s="5" t="str">
        <f ca="1">IFERROR(__xludf.DUMMYFUNCTION("""COMPUTED_VALUE"""),"No")</f>
        <v>No</v>
      </c>
      <c r="S314" s="5" t="str">
        <f ca="1">IFERROR(__xludf.DUMMYFUNCTION("""COMPUTED_VALUE"""),"Sport Event")</f>
        <v>Sport Event</v>
      </c>
      <c r="T314" s="10">
        <f ca="1">IFERROR(__xludf.DUMMYFUNCTION("""COMPUTED_VALUE"""),0.875)</f>
        <v>0.875</v>
      </c>
      <c r="U314" s="5">
        <f ca="1">IFERROR(__xludf.DUMMYFUNCTION("""COMPUTED_VALUE"""),1)</f>
        <v>1</v>
      </c>
      <c r="V314" s="5" t="str">
        <f ca="1">IFERROR(__xludf.DUMMYFUNCTION("""COMPUTED_VALUE"""),"Shots fired into air during fight following football game")</f>
        <v>Shots fired into air during fight following football game</v>
      </c>
      <c r="W314"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X314" s="5" t="str">
        <f ca="1">IFERROR(__xludf.DUMMYFUNCTION("""COMPUTED_VALUE"""),"Escalation of Dispute")</f>
        <v>Escalation of Dispute</v>
      </c>
      <c r="Y314" s="5" t="str">
        <f ca="1">IFERROR(__xludf.DUMMYFUNCTION("""COMPUTED_VALUE"""),"Neither")</f>
        <v>Neither</v>
      </c>
      <c r="Z314" s="5" t="str">
        <f ca="1">IFERROR(__xludf.DUMMYFUNCTION("""COMPUTED_VALUE"""),"No")</f>
        <v>No</v>
      </c>
      <c r="AA314" s="5"/>
      <c r="AB314" s="5" t="str">
        <f ca="1">IFERROR(__xludf.DUMMYFUNCTION("""COMPUTED_VALUE"""),"No")</f>
        <v>No</v>
      </c>
      <c r="AC314" s="5" t="str">
        <f ca="1">IFERROR(__xludf.DUMMYFUNCTION("""COMPUTED_VALUE"""),"No")</f>
        <v>No</v>
      </c>
      <c r="AD314" s="5" t="str">
        <f ca="1">IFERROR(__xludf.DUMMYFUNCTION("""COMPUTED_VALUE"""),"No")</f>
        <v>No</v>
      </c>
      <c r="AE314" s="5" t="str">
        <f ca="1">IFERROR(__xludf.DUMMYFUNCTION("""COMPUTED_VALUE"""),"No")</f>
        <v>No</v>
      </c>
      <c r="AF314" s="5" t="str">
        <f ca="1">IFERROR(__xludf.DUMMYFUNCTION("""COMPUTED_VALUE"""),"No")</f>
        <v>No</v>
      </c>
      <c r="AG314" s="5"/>
      <c r="AH314" s="5" t="str">
        <f ca="1">IFERROR(__xludf.DUMMYFUNCTION("""COMPUTED_VALUE"""),"No")</f>
        <v>No</v>
      </c>
    </row>
    <row r="315" spans="1:34" ht="12.75">
      <c r="A315" s="5" t="str">
        <f ca="1">IFERROR(__xludf.DUMMYFUNCTION("""COMPUTED_VALUE"""),"20210903NCJUC")</f>
        <v>20210903NCJUC</v>
      </c>
      <c r="B315" s="8">
        <f ca="1">IFERROR(__xludf.DUMMYFUNCTION("""COMPUTED_VALUE"""),44442)</f>
        <v>44442</v>
      </c>
      <c r="C315" s="5" t="str">
        <f ca="1">IFERROR(__xludf.DUMMYFUNCTION("""COMPUTED_VALUE"""),"Julius Chambers High School")</f>
        <v>Julius Chambers High School</v>
      </c>
      <c r="D315" s="5">
        <f ca="1">IFERROR(__xludf.DUMMYFUNCTION("""COMPUTED_VALUE"""),0)</f>
        <v>0</v>
      </c>
      <c r="E315" s="5">
        <f ca="1">IFERROR(__xludf.DUMMYFUNCTION("""COMPUTED_VALUE"""),0)</f>
        <v>0</v>
      </c>
      <c r="F315" s="5">
        <f ca="1">IFERROR(__xludf.DUMMYFUNCTION("""COMPUTED_VALUE"""),0)</f>
        <v>0</v>
      </c>
      <c r="G315" s="5">
        <f ca="1">IFERROR(__xludf.DUMMYFUNCTION("""COMPUTED_VALUE"""),0)</f>
        <v>0</v>
      </c>
      <c r="H315"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I315" s="5">
        <f ca="1">IFERROR(__xludf.DUMMYFUNCTION("""COMPUTED_VALUE"""),2)</f>
        <v>2</v>
      </c>
      <c r="J315" s="5" t="str">
        <f ca="1">IFERROR(__xludf.DUMMYFUNCTION("""COMPUTED_VALUE"""),"Local")</f>
        <v>Local</v>
      </c>
      <c r="K315" s="5">
        <f ca="1">IFERROR(__xludf.DUMMYFUNCTION("""COMPUTED_VALUE"""),4)</f>
        <v>4</v>
      </c>
      <c r="L315" s="5" t="str">
        <f ca="1">IFERROR(__xludf.DUMMYFUNCTION("""COMPUTED_VALUE"""),"Fall")</f>
        <v>Fall</v>
      </c>
      <c r="M315" s="5" t="str">
        <f ca="1">IFERROR(__xludf.DUMMYFUNCTION("""COMPUTED_VALUE"""),"Charlotte")</f>
        <v>Charlotte</v>
      </c>
      <c r="N315" s="5" t="str">
        <f ca="1">IFERROR(__xludf.DUMMYFUNCTION("""COMPUTED_VALUE"""),"NC")</f>
        <v>NC</v>
      </c>
      <c r="O315" s="5" t="str">
        <f ca="1">IFERROR(__xludf.DUMMYFUNCTION("""COMPUTED_VALUE"""),"High")</f>
        <v>High</v>
      </c>
      <c r="P315" s="5" t="str">
        <f ca="1">IFERROR(__xludf.DUMMYFUNCTION("""COMPUTED_VALUE"""),"Football Field/Track")</f>
        <v>Football Field/Track</v>
      </c>
      <c r="Q315" s="5" t="str">
        <f ca="1">IFERROR(__xludf.DUMMYFUNCTION("""COMPUTED_VALUE"""),"Outside on School Property")</f>
        <v>Outside on School Property</v>
      </c>
      <c r="R315" s="5" t="str">
        <f ca="1">IFERROR(__xludf.DUMMYFUNCTION("""COMPUTED_VALUE"""),"No")</f>
        <v>No</v>
      </c>
      <c r="S315" s="5" t="str">
        <f ca="1">IFERROR(__xludf.DUMMYFUNCTION("""COMPUTED_VALUE"""),"Sport Event")</f>
        <v>Sport Event</v>
      </c>
      <c r="T315" s="10">
        <f ca="1">IFERROR(__xludf.DUMMYFUNCTION("""COMPUTED_VALUE"""),0.895833333333333)</f>
        <v>0.89583333333333304</v>
      </c>
      <c r="U315" s="5">
        <f ca="1">IFERROR(__xludf.DUMMYFUNCTION("""COMPUTED_VALUE"""),1)</f>
        <v>1</v>
      </c>
      <c r="V315" s="5" t="str">
        <f ca="1">IFERROR(__xludf.DUMMYFUNCTION("""COMPUTED_VALUE"""),"Multiple shots fired near stadium gate following football game")</f>
        <v>Multiple shots fired near stadium gate following football game</v>
      </c>
      <c r="W315"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X315" s="5"/>
      <c r="Y315" s="5" t="str">
        <f ca="1">IFERROR(__xludf.DUMMYFUNCTION("""COMPUTED_VALUE"""),"Neither")</f>
        <v>Neither</v>
      </c>
      <c r="Z315" s="5" t="str">
        <f ca="1">IFERROR(__xludf.DUMMYFUNCTION("""COMPUTED_VALUE"""),"No")</f>
        <v>No</v>
      </c>
      <c r="AA315" s="5"/>
      <c r="AB315" s="5" t="str">
        <f ca="1">IFERROR(__xludf.DUMMYFUNCTION("""COMPUTED_VALUE"""),"No")</f>
        <v>No</v>
      </c>
      <c r="AC315" s="5" t="str">
        <f ca="1">IFERROR(__xludf.DUMMYFUNCTION("""COMPUTED_VALUE"""),"No")</f>
        <v>No</v>
      </c>
      <c r="AD315" s="5" t="str">
        <f ca="1">IFERROR(__xludf.DUMMYFUNCTION("""COMPUTED_VALUE"""),"No")</f>
        <v>No</v>
      </c>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row>
    <row r="316" spans="1:34" ht="12.75">
      <c r="A316" s="5" t="str">
        <f ca="1">IFERROR(__xludf.DUMMYFUNCTION("""COMPUTED_VALUE"""),"20210903CAMTH")</f>
        <v>20210903CAMTH</v>
      </c>
      <c r="B316" s="8">
        <f ca="1">IFERROR(__xludf.DUMMYFUNCTION("""COMPUTED_VALUE"""),44442)</f>
        <v>44442</v>
      </c>
      <c r="C316" s="5" t="str">
        <f ca="1">IFERROR(__xludf.DUMMYFUNCTION("""COMPUTED_VALUE"""),"Mt. Eden High School")</f>
        <v>Mt. Eden High School</v>
      </c>
      <c r="D316" s="5">
        <f ca="1">IFERROR(__xludf.DUMMYFUNCTION("""COMPUTED_VALUE"""),0)</f>
        <v>0</v>
      </c>
      <c r="E316" s="5">
        <f ca="1">IFERROR(__xludf.DUMMYFUNCTION("""COMPUTED_VALUE"""),0)</f>
        <v>0</v>
      </c>
      <c r="F316" s="5">
        <f ca="1">IFERROR(__xludf.DUMMYFUNCTION("""COMPUTED_VALUE"""),0)</f>
        <v>0</v>
      </c>
      <c r="G316" s="5">
        <f ca="1">IFERROR(__xludf.DUMMYFUNCTION("""COMPUTED_VALUE"""),0)</f>
        <v>0</v>
      </c>
      <c r="H316"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I316" s="5">
        <f ca="1">IFERROR(__xludf.DUMMYFUNCTION("""COMPUTED_VALUE"""),2)</f>
        <v>2</v>
      </c>
      <c r="J316" s="5" t="str">
        <f ca="1">IFERROR(__xludf.DUMMYFUNCTION("""COMPUTED_VALUE"""),"Local")</f>
        <v>Local</v>
      </c>
      <c r="K316" s="5">
        <f ca="1">IFERROR(__xludf.DUMMYFUNCTION("""COMPUTED_VALUE"""),4)</f>
        <v>4</v>
      </c>
      <c r="L316" s="5" t="str">
        <f ca="1">IFERROR(__xludf.DUMMYFUNCTION("""COMPUTED_VALUE"""),"Fall")</f>
        <v>Fall</v>
      </c>
      <c r="M316" s="5" t="str">
        <f ca="1">IFERROR(__xludf.DUMMYFUNCTION("""COMPUTED_VALUE"""),"Hayward")</f>
        <v>Hayward</v>
      </c>
      <c r="N316" s="5" t="str">
        <f ca="1">IFERROR(__xludf.DUMMYFUNCTION("""COMPUTED_VALUE"""),"CA")</f>
        <v>CA</v>
      </c>
      <c r="O316" s="5" t="str">
        <f ca="1">IFERROR(__xludf.DUMMYFUNCTION("""COMPUTED_VALUE"""),"High")</f>
        <v>High</v>
      </c>
      <c r="P316" s="5" t="str">
        <f ca="1">IFERROR(__xludf.DUMMYFUNCTION("""COMPUTED_VALUE"""),"Front of School")</f>
        <v>Front of School</v>
      </c>
      <c r="Q316" s="5" t="str">
        <f ca="1">IFERROR(__xludf.DUMMYFUNCTION("""COMPUTED_VALUE"""),"Outside on School Property")</f>
        <v>Outside on School Property</v>
      </c>
      <c r="R316" s="5" t="str">
        <f ca="1">IFERROR(__xludf.DUMMYFUNCTION("""COMPUTED_VALUE"""),"Yes")</f>
        <v>Yes</v>
      </c>
      <c r="S316" s="5" t="str">
        <f ca="1">IFERROR(__xludf.DUMMYFUNCTION("""COMPUTED_VALUE"""),"School Start")</f>
        <v>School Start</v>
      </c>
      <c r="T316" s="10">
        <f ca="1">IFERROR(__xludf.DUMMYFUNCTION("""COMPUTED_VALUE"""),0.375)</f>
        <v>0.375</v>
      </c>
      <c r="U316" s="5">
        <f ca="1">IFERROR(__xludf.DUMMYFUNCTION("""COMPUTED_VALUE"""),1)</f>
        <v>1</v>
      </c>
      <c r="V316" s="5" t="str">
        <f ca="1">IFERROR(__xludf.DUMMYFUNCTION("""COMPUTED_VALUE"""),"Teen fired shots a vehicle on campus, fled, and then attempted to re-enter school with handgun")</f>
        <v>Teen fired shots a vehicle on campus, fled, and then attempted to re-enter school with handgun</v>
      </c>
      <c r="W316"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X316" s="5"/>
      <c r="Y316" s="5" t="str">
        <f ca="1">IFERROR(__xludf.DUMMYFUNCTION("""COMPUTED_VALUE"""),"Victims Targeted")</f>
        <v>Victims Targeted</v>
      </c>
      <c r="Z316" s="5" t="str">
        <f ca="1">IFERROR(__xludf.DUMMYFUNCTION("""COMPUTED_VALUE"""),"No")</f>
        <v>No</v>
      </c>
      <c r="AA316" s="5"/>
      <c r="AB316" s="5" t="str">
        <f ca="1">IFERROR(__xludf.DUMMYFUNCTION("""COMPUTED_VALUE"""),"No")</f>
        <v>No</v>
      </c>
      <c r="AC316" s="5" t="str">
        <f ca="1">IFERROR(__xludf.DUMMYFUNCTION("""COMPUTED_VALUE"""),"No")</f>
        <v>No</v>
      </c>
      <c r="AD316" s="5" t="str">
        <f ca="1">IFERROR(__xludf.DUMMYFUNCTION("""COMPUTED_VALUE"""),"No")</f>
        <v>No</v>
      </c>
      <c r="AE316" s="5" t="str">
        <f ca="1">IFERROR(__xludf.DUMMYFUNCTION("""COMPUTED_VALUE"""),"No")</f>
        <v>No</v>
      </c>
      <c r="AF316" s="5" t="str">
        <f ca="1">IFERROR(__xludf.DUMMYFUNCTION("""COMPUTED_VALUE"""),"No")</f>
        <v>No</v>
      </c>
      <c r="AG316" s="5"/>
      <c r="AH316" s="5" t="str">
        <f ca="1">IFERROR(__xludf.DUMMYFUNCTION("""COMPUTED_VALUE"""),"No")</f>
        <v>No</v>
      </c>
    </row>
    <row r="317" spans="1:34" ht="12.75">
      <c r="A317" s="5" t="str">
        <f ca="1">IFERROR(__xludf.DUMMYFUNCTION("""COMPUTED_VALUE"""),"20210903CABUB")</f>
        <v>20210903CABUB</v>
      </c>
      <c r="B317" s="8">
        <f ca="1">IFERROR(__xludf.DUMMYFUNCTION("""COMPUTED_VALUE"""),44442)</f>
        <v>44442</v>
      </c>
      <c r="C317" s="5" t="str">
        <f ca="1">IFERROR(__xludf.DUMMYFUNCTION("""COMPUTED_VALUE"""),"Buena Park School District Bus")</f>
        <v>Buena Park School District Bus</v>
      </c>
      <c r="D317" s="5">
        <f ca="1">IFERROR(__xludf.DUMMYFUNCTION("""COMPUTED_VALUE"""),0)</f>
        <v>0</v>
      </c>
      <c r="E317" s="5">
        <f ca="1">IFERROR(__xludf.DUMMYFUNCTION("""COMPUTED_VALUE"""),0)</f>
        <v>0</v>
      </c>
      <c r="F317" s="5">
        <f ca="1">IFERROR(__xludf.DUMMYFUNCTION("""COMPUTED_VALUE"""),0)</f>
        <v>0</v>
      </c>
      <c r="G317" s="5">
        <f ca="1">IFERROR(__xludf.DUMMYFUNCTION("""COMPUTED_VALUE"""),1)</f>
        <v>1</v>
      </c>
      <c r="H317"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I317" s="5">
        <f ca="1">IFERROR(__xludf.DUMMYFUNCTION("""COMPUTED_VALUE"""),10)</f>
        <v>10</v>
      </c>
      <c r="J317" s="5" t="str">
        <f ca="1">IFERROR(__xludf.DUMMYFUNCTION("""COMPUTED_VALUE"""),"Regional")</f>
        <v>Regional</v>
      </c>
      <c r="K317" s="5">
        <f ca="1">IFERROR(__xludf.DUMMYFUNCTION("""COMPUTED_VALUE"""),4)</f>
        <v>4</v>
      </c>
      <c r="L317" s="5" t="str">
        <f ca="1">IFERROR(__xludf.DUMMYFUNCTION("""COMPUTED_VALUE"""),"Fall")</f>
        <v>Fall</v>
      </c>
      <c r="M317" s="5" t="str">
        <f ca="1">IFERROR(__xludf.DUMMYFUNCTION("""COMPUTED_VALUE"""),"Buena Park")</f>
        <v>Buena Park</v>
      </c>
      <c r="N317" s="5" t="str">
        <f ca="1">IFERROR(__xludf.DUMMYFUNCTION("""COMPUTED_VALUE"""),"CA")</f>
        <v>CA</v>
      </c>
      <c r="O317" s="5"/>
      <c r="P317" s="5" t="str">
        <f ca="1">IFERROR(__xludf.DUMMYFUNCTION("""COMPUTED_VALUE"""),"School Bus")</f>
        <v>School Bus</v>
      </c>
      <c r="Q317" s="5" t="str">
        <f ca="1">IFERROR(__xludf.DUMMYFUNCTION("""COMPUTED_VALUE"""),"School Bus")</f>
        <v>School Bus</v>
      </c>
      <c r="R317" s="5" t="str">
        <f ca="1">IFERROR(__xludf.DUMMYFUNCTION("""COMPUTED_VALUE"""),"Yes")</f>
        <v>Yes</v>
      </c>
      <c r="S317" s="5" t="str">
        <f ca="1">IFERROR(__xludf.DUMMYFUNCTION("""COMPUTED_VALUE"""),"Dismissal")</f>
        <v>Dismissal</v>
      </c>
      <c r="T317" s="10">
        <f ca="1">IFERROR(__xludf.DUMMYFUNCTION("""COMPUTED_VALUE"""),0.581944444444444)</f>
        <v>0.58194444444444404</v>
      </c>
      <c r="U317" s="5">
        <f ca="1">IFERROR(__xludf.DUMMYFUNCTION("""COMPUTED_VALUE"""),1)</f>
        <v>1</v>
      </c>
      <c r="V317" s="5" t="str">
        <f ca="1">IFERROR(__xludf.DUMMYFUNCTION("""COMPUTED_VALUE"""),"Man fired shot at occupied school bus, attempting to kill wife (bus driver)")</f>
        <v>Man fired shot at occupied school bus, attempting to kill wife (bus driver)</v>
      </c>
      <c r="W317"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X317" s="5" t="str">
        <f ca="1">IFERROR(__xludf.DUMMYFUNCTION("""COMPUTED_VALUE"""),"Domestic w/ Targeted Victim")</f>
        <v>Domestic w/ Targeted Victim</v>
      </c>
      <c r="Y317" s="5" t="str">
        <f ca="1">IFERROR(__xludf.DUMMYFUNCTION("""COMPUTED_VALUE"""),"Victims Targeted")</f>
        <v>Victims Targeted</v>
      </c>
      <c r="Z317" s="5" t="str">
        <f ca="1">IFERROR(__xludf.DUMMYFUNCTION("""COMPUTED_VALUE"""),"No")</f>
        <v>No</v>
      </c>
      <c r="AA317" s="5"/>
      <c r="AB317" s="5" t="str">
        <f ca="1">IFERROR(__xludf.DUMMYFUNCTION("""COMPUTED_VALUE"""),"No")</f>
        <v>No</v>
      </c>
      <c r="AC317" s="5" t="str">
        <f ca="1">IFERROR(__xludf.DUMMYFUNCTION("""COMPUTED_VALUE"""),"No")</f>
        <v>No</v>
      </c>
      <c r="AD317" s="5" t="str">
        <f ca="1">IFERROR(__xludf.DUMMYFUNCTION("""COMPUTED_VALUE"""),"No")</f>
        <v>No</v>
      </c>
      <c r="AE317" s="5" t="str">
        <f ca="1">IFERROR(__xludf.DUMMYFUNCTION("""COMPUTED_VALUE"""),"No")</f>
        <v>No</v>
      </c>
      <c r="AF317" s="5" t="str">
        <f ca="1">IFERROR(__xludf.DUMMYFUNCTION("""COMPUTED_VALUE"""),"Yes")</f>
        <v>Yes</v>
      </c>
      <c r="AG317" s="5" t="str">
        <f ca="1">IFERROR(__xludf.DUMMYFUNCTION("""COMPUTED_VALUE"""),"No")</f>
        <v>No</v>
      </c>
      <c r="AH317" s="5" t="str">
        <f ca="1">IFERROR(__xludf.DUMMYFUNCTION("""COMPUTED_VALUE"""),"No")</f>
        <v>No</v>
      </c>
    </row>
    <row r="318" spans="1:34" ht="12.75">
      <c r="A318" s="5" t="str">
        <f ca="1">IFERROR(__xludf.DUMMYFUNCTION("""COMPUTED_VALUE"""),"20210902NMALA")</f>
        <v>20210902NMALA</v>
      </c>
      <c r="B318" s="8">
        <f ca="1">IFERROR(__xludf.DUMMYFUNCTION("""COMPUTED_VALUE"""),44441)</f>
        <v>44441</v>
      </c>
      <c r="C318" s="5" t="str">
        <f ca="1">IFERROR(__xludf.DUMMYFUNCTION("""COMPUTED_VALUE"""),"Albuquerque Christ Lutheran Church and School")</f>
        <v>Albuquerque Christ Lutheran Church and School</v>
      </c>
      <c r="D318" s="5">
        <f ca="1">IFERROR(__xludf.DUMMYFUNCTION("""COMPUTED_VALUE"""),0)</f>
        <v>0</v>
      </c>
      <c r="E318" s="5">
        <f ca="1">IFERROR(__xludf.DUMMYFUNCTION("""COMPUTED_VALUE"""),0)</f>
        <v>0</v>
      </c>
      <c r="F318" s="5">
        <f ca="1">IFERROR(__xludf.DUMMYFUNCTION("""COMPUTED_VALUE"""),0)</f>
        <v>0</v>
      </c>
      <c r="G318" s="5">
        <f ca="1">IFERROR(__xludf.DUMMYFUNCTION("""COMPUTED_VALUE"""),0)</f>
        <v>0</v>
      </c>
      <c r="H318"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I318" s="5">
        <f ca="1">IFERROR(__xludf.DUMMYFUNCTION("""COMPUTED_VALUE"""),2)</f>
        <v>2</v>
      </c>
      <c r="J318" s="5" t="str">
        <f ca="1">IFERROR(__xludf.DUMMYFUNCTION("""COMPUTED_VALUE"""),"Local")</f>
        <v>Local</v>
      </c>
      <c r="K318" s="5">
        <f ca="1">IFERROR(__xludf.DUMMYFUNCTION("""COMPUTED_VALUE"""),4)</f>
        <v>4</v>
      </c>
      <c r="L318" s="5" t="str">
        <f ca="1">IFERROR(__xludf.DUMMYFUNCTION("""COMPUTED_VALUE"""),"Fall")</f>
        <v>Fall</v>
      </c>
      <c r="M318" s="5" t="str">
        <f ca="1">IFERROR(__xludf.DUMMYFUNCTION("""COMPUTED_VALUE"""),"Albuquerque")</f>
        <v>Albuquerque</v>
      </c>
      <c r="N318" s="5" t="str">
        <f ca="1">IFERROR(__xludf.DUMMYFUNCTION("""COMPUTED_VALUE"""),"NM")</f>
        <v>NM</v>
      </c>
      <c r="O318" s="5" t="str">
        <f ca="1">IFERROR(__xludf.DUMMYFUNCTION("""COMPUTED_VALUE"""),"K-8")</f>
        <v>K-8</v>
      </c>
      <c r="P318" s="5" t="str">
        <f ca="1">IFERROR(__xludf.DUMMYFUNCTION("""COMPUTED_VALUE"""),"Parking Lot")</f>
        <v>Parking Lot</v>
      </c>
      <c r="Q318" s="5" t="str">
        <f ca="1">IFERROR(__xludf.DUMMYFUNCTION("""COMPUTED_VALUE"""),"Outside on School Property")</f>
        <v>Outside on School Property</v>
      </c>
      <c r="R318" s="5" t="str">
        <f ca="1">IFERROR(__xludf.DUMMYFUNCTION("""COMPUTED_VALUE"""),"Yes")</f>
        <v>Yes</v>
      </c>
      <c r="S318" s="5" t="str">
        <f ca="1">IFERROR(__xludf.DUMMYFUNCTION("""COMPUTED_VALUE"""),"Lunch")</f>
        <v>Lunch</v>
      </c>
      <c r="T318" s="10">
        <f ca="1">IFERROR(__xludf.DUMMYFUNCTION("""COMPUTED_VALUE"""),0.520833333333333)</f>
        <v>0.52083333333333304</v>
      </c>
      <c r="U318" s="5">
        <f ca="1">IFERROR(__xludf.DUMMYFUNCTION("""COMPUTED_VALUE"""),1)</f>
        <v>1</v>
      </c>
      <c r="V318" s="5" t="str">
        <f ca="1">IFERROR(__xludf.DUMMYFUNCTION("""COMPUTED_VALUE"""),"Student fired shots at vehicle in the parking lot")</f>
        <v>Student fired shots at vehicle in the parking lot</v>
      </c>
      <c r="W318"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X318" s="5" t="str">
        <f ca="1">IFERROR(__xludf.DUMMYFUNCTION("""COMPUTED_VALUE"""),"Escalation of Dispute")</f>
        <v>Escalation of Dispute</v>
      </c>
      <c r="Y318" s="5" t="str">
        <f ca="1">IFERROR(__xludf.DUMMYFUNCTION("""COMPUTED_VALUE"""),"Victims Targeted")</f>
        <v>Victims Targeted</v>
      </c>
      <c r="Z318" s="5" t="str">
        <f ca="1">IFERROR(__xludf.DUMMYFUNCTION("""COMPUTED_VALUE"""),"No")</f>
        <v>No</v>
      </c>
      <c r="AA318" s="5"/>
      <c r="AB318" s="5" t="str">
        <f ca="1">IFERROR(__xludf.DUMMYFUNCTION("""COMPUTED_VALUE"""),"No")</f>
        <v>No</v>
      </c>
      <c r="AC318" s="5" t="str">
        <f ca="1">IFERROR(__xludf.DUMMYFUNCTION("""COMPUTED_VALUE"""),"No")</f>
        <v>No</v>
      </c>
      <c r="AD318" s="5" t="str">
        <f ca="1">IFERROR(__xludf.DUMMYFUNCTION("""COMPUTED_VALUE"""),"No")</f>
        <v>No</v>
      </c>
      <c r="AE318" s="5" t="str">
        <f ca="1">IFERROR(__xludf.DUMMYFUNCTION("""COMPUTED_VALUE"""),"No")</f>
        <v>No</v>
      </c>
      <c r="AF318" s="5" t="str">
        <f ca="1">IFERROR(__xludf.DUMMYFUNCTION("""COMPUTED_VALUE"""),"No")</f>
        <v>No</v>
      </c>
      <c r="AG318" s="5"/>
      <c r="AH318" s="5" t="str">
        <f ca="1">IFERROR(__xludf.DUMMYFUNCTION("""COMPUTED_VALUE"""),"No")</f>
        <v>No</v>
      </c>
    </row>
    <row r="319" spans="1:34" ht="12.75">
      <c r="A319" s="5" t="str">
        <f ca="1">IFERROR(__xludf.DUMMYFUNCTION("""COMPUTED_VALUE"""),"20210902INWEG")</f>
        <v>20210902INWEG</v>
      </c>
      <c r="B319" s="8">
        <f ca="1">IFERROR(__xludf.DUMMYFUNCTION("""COMPUTED_VALUE"""),44441)</f>
        <v>44441</v>
      </c>
      <c r="C319" s="5" t="str">
        <f ca="1">IFERROR(__xludf.DUMMYFUNCTION("""COMPUTED_VALUE"""),"West Side Leadership Academy")</f>
        <v>West Side Leadership Academy</v>
      </c>
      <c r="D319" s="5">
        <f ca="1">IFERROR(__xludf.DUMMYFUNCTION("""COMPUTED_VALUE"""),0)</f>
        <v>0</v>
      </c>
      <c r="E319" s="5">
        <f ca="1">IFERROR(__xludf.DUMMYFUNCTION("""COMPUTED_VALUE"""),1)</f>
        <v>1</v>
      </c>
      <c r="F319" s="5">
        <f ca="1">IFERROR(__xludf.DUMMYFUNCTION("""COMPUTED_VALUE"""),1)</f>
        <v>1</v>
      </c>
      <c r="G319" s="5">
        <f ca="1">IFERROR(__xludf.DUMMYFUNCTION("""COMPUTED_VALUE"""),0)</f>
        <v>0</v>
      </c>
      <c r="H319" s="9" t="str">
        <f ca="1">IFERROR(__xludf.DUMMYFUNCTION("""COMPUTED_VALUE"""),"https://www.fox32chicago.com/news/gary-students-to-return-to-class-after-classmate-shot")</f>
        <v>https://www.fox32chicago.com/news/gary-students-to-return-to-class-after-classmate-shot</v>
      </c>
      <c r="I319" s="5">
        <f ca="1">IFERROR(__xludf.DUMMYFUNCTION("""COMPUTED_VALUE"""),1)</f>
        <v>1</v>
      </c>
      <c r="J319" s="5" t="str">
        <f ca="1">IFERROR(__xludf.DUMMYFUNCTION("""COMPUTED_VALUE"""),"Local")</f>
        <v>Local</v>
      </c>
      <c r="K319" s="5">
        <f ca="1">IFERROR(__xludf.DUMMYFUNCTION("""COMPUTED_VALUE"""),3)</f>
        <v>3</v>
      </c>
      <c r="L319" s="5" t="str">
        <f ca="1">IFERROR(__xludf.DUMMYFUNCTION("""COMPUTED_VALUE"""),"Fall")</f>
        <v>Fall</v>
      </c>
      <c r="M319" s="5" t="str">
        <f ca="1">IFERROR(__xludf.DUMMYFUNCTION("""COMPUTED_VALUE"""),"Gary")</f>
        <v>Gary</v>
      </c>
      <c r="N319" s="5" t="str">
        <f ca="1">IFERROR(__xludf.DUMMYFUNCTION("""COMPUTED_VALUE"""),"IN")</f>
        <v>IN</v>
      </c>
      <c r="O319" s="5" t="str">
        <f ca="1">IFERROR(__xludf.DUMMYFUNCTION("""COMPUTED_VALUE"""),"High")</f>
        <v>High</v>
      </c>
      <c r="P319" s="5" t="str">
        <f ca="1">IFERROR(__xludf.DUMMYFUNCTION("""COMPUTED_VALUE"""),"School Bus")</f>
        <v>School Bus</v>
      </c>
      <c r="Q319" s="5" t="str">
        <f ca="1">IFERROR(__xludf.DUMMYFUNCTION("""COMPUTED_VALUE"""),"School Bus")</f>
        <v>School Bus</v>
      </c>
      <c r="R319" s="5" t="str">
        <f ca="1">IFERROR(__xludf.DUMMYFUNCTION("""COMPUTED_VALUE"""),"Yes")</f>
        <v>Yes</v>
      </c>
      <c r="S319" s="5" t="str">
        <f ca="1">IFERROR(__xludf.DUMMYFUNCTION("""COMPUTED_VALUE"""),"Dismissal")</f>
        <v>Dismissal</v>
      </c>
      <c r="T319" s="10">
        <f ca="1">IFERROR(__xludf.DUMMYFUNCTION("""COMPUTED_VALUE"""),0.625)</f>
        <v>0.625</v>
      </c>
      <c r="U319" s="5">
        <f ca="1">IFERROR(__xludf.DUMMYFUNCTION("""COMPUTED_VALUE"""),1)</f>
        <v>1</v>
      </c>
      <c r="V319" s="5" t="str">
        <f ca="1">IFERROR(__xludf.DUMMYFUNCTION("""COMPUTED_VALUE"""),"Student shot getting off school bus")</f>
        <v>Student shot getting off school bus</v>
      </c>
      <c r="W319"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X319" s="5"/>
      <c r="Y319" s="5" t="str">
        <f ca="1">IFERROR(__xludf.DUMMYFUNCTION("""COMPUTED_VALUE"""),"Victims Targeted")</f>
        <v>Victims Targeted</v>
      </c>
      <c r="Z319" s="5" t="str">
        <f ca="1">IFERROR(__xludf.DUMMYFUNCTION("""COMPUTED_VALUE"""),"No")</f>
        <v>No</v>
      </c>
      <c r="AA319" s="5"/>
      <c r="AB319" s="5" t="str">
        <f ca="1">IFERROR(__xludf.DUMMYFUNCTION("""COMPUTED_VALUE"""),"No")</f>
        <v>No</v>
      </c>
      <c r="AC319" s="5" t="str">
        <f ca="1">IFERROR(__xludf.DUMMYFUNCTION("""COMPUTED_VALUE"""),"No")</f>
        <v>No</v>
      </c>
      <c r="AD319" s="5" t="str">
        <f ca="1">IFERROR(__xludf.DUMMYFUNCTION("""COMPUTED_VALUE"""),"No")</f>
        <v>No</v>
      </c>
      <c r="AE319" s="5" t="str">
        <f ca="1">IFERROR(__xludf.DUMMYFUNCTION("""COMPUTED_VALUE"""),"No")</f>
        <v>No</v>
      </c>
      <c r="AF319" s="5" t="str">
        <f ca="1">IFERROR(__xludf.DUMMYFUNCTION("""COMPUTED_VALUE"""),"No")</f>
        <v>No</v>
      </c>
      <c r="AG319" s="5"/>
      <c r="AH319" s="5" t="str">
        <f ca="1">IFERROR(__xludf.DUMMYFUNCTION("""COMPUTED_VALUE"""),"No")</f>
        <v>No</v>
      </c>
    </row>
    <row r="320" spans="1:34" ht="12.75">
      <c r="A320" s="5" t="str">
        <f ca="1">IFERROR(__xludf.DUMMYFUNCTION("""COMPUTED_VALUE"""),"20210902GAWOS")</f>
        <v>20210902GAWOS</v>
      </c>
      <c r="B320" s="8">
        <f ca="1">IFERROR(__xludf.DUMMYFUNCTION("""COMPUTED_VALUE"""),44441)</f>
        <v>44441</v>
      </c>
      <c r="C320" s="5" t="str">
        <f ca="1">IFERROR(__xludf.DUMMYFUNCTION("""COMPUTED_VALUE"""),"Woodland High School")</f>
        <v>Woodland High School</v>
      </c>
      <c r="D320" s="5">
        <f ca="1">IFERROR(__xludf.DUMMYFUNCTION("""COMPUTED_VALUE"""),0)</f>
        <v>0</v>
      </c>
      <c r="E320" s="5">
        <f ca="1">IFERROR(__xludf.DUMMYFUNCTION("""COMPUTED_VALUE"""),0)</f>
        <v>0</v>
      </c>
      <c r="F320" s="5">
        <f ca="1">IFERROR(__xludf.DUMMYFUNCTION("""COMPUTED_VALUE"""),0)</f>
        <v>0</v>
      </c>
      <c r="G320" s="5">
        <f ca="1">IFERROR(__xludf.DUMMYFUNCTION("""COMPUTED_VALUE"""),0)</f>
        <v>0</v>
      </c>
      <c r="H320" s="9" t="str">
        <f ca="1">IFERROR(__xludf.DUMMYFUNCTION("""COMPUTED_VALUE"""),"https://www.ajc.com/news/breaking-3-henry-schools-on-lockdown-due-to-suspicious-person/J6LSPTV7XVALNDGZOJVBSZJK2E/")</f>
        <v>https://www.ajc.com/news/breaking-3-henry-schools-on-lockdown-due-to-suspicious-person/J6LSPTV7XVALNDGZOJVBSZJK2E/</v>
      </c>
      <c r="I320" s="5">
        <f ca="1">IFERROR(__xludf.DUMMYFUNCTION("""COMPUTED_VALUE"""),1)</f>
        <v>1</v>
      </c>
      <c r="J320" s="5" t="str">
        <f ca="1">IFERROR(__xludf.DUMMYFUNCTION("""COMPUTED_VALUE"""),"Local")</f>
        <v>Local</v>
      </c>
      <c r="K320" s="5">
        <f ca="1">IFERROR(__xludf.DUMMYFUNCTION("""COMPUTED_VALUE"""),3)</f>
        <v>3</v>
      </c>
      <c r="L320" s="5" t="str">
        <f ca="1">IFERROR(__xludf.DUMMYFUNCTION("""COMPUTED_VALUE"""),"Fall")</f>
        <v>Fall</v>
      </c>
      <c r="M320" s="5" t="str">
        <f ca="1">IFERROR(__xludf.DUMMYFUNCTION("""COMPUTED_VALUE"""),"Stockbridge")</f>
        <v>Stockbridge</v>
      </c>
      <c r="N320" s="5" t="str">
        <f ca="1">IFERROR(__xludf.DUMMYFUNCTION("""COMPUTED_VALUE"""),"GA")</f>
        <v>GA</v>
      </c>
      <c r="O320" s="5" t="str">
        <f ca="1">IFERROR(__xludf.DUMMYFUNCTION("""COMPUTED_VALUE"""),"High")</f>
        <v>High</v>
      </c>
      <c r="P320" s="5" t="str">
        <f ca="1">IFERROR(__xludf.DUMMYFUNCTION("""COMPUTED_VALUE"""),"Outside on School Property")</f>
        <v>Outside on School Property</v>
      </c>
      <c r="Q320" s="5" t="str">
        <f ca="1">IFERROR(__xludf.DUMMYFUNCTION("""COMPUTED_VALUE"""),"Outside on School Property")</f>
        <v>Outside on School Property</v>
      </c>
      <c r="R320" s="5" t="str">
        <f ca="1">IFERROR(__xludf.DUMMYFUNCTION("""COMPUTED_VALUE"""),"Yes")</f>
        <v>Yes</v>
      </c>
      <c r="S320" s="5" t="str">
        <f ca="1">IFERROR(__xludf.DUMMYFUNCTION("""COMPUTED_VALUE"""),"Morning Classes")</f>
        <v>Morning Classes</v>
      </c>
      <c r="T320" s="10">
        <f ca="1">IFERROR(__xludf.DUMMYFUNCTION("""COMPUTED_VALUE"""),0.4375)</f>
        <v>0.4375</v>
      </c>
      <c r="U320" s="5"/>
      <c r="V320" s="5" t="str">
        <f ca="1">IFERROR(__xludf.DUMMYFUNCTION("""COMPUTED_VALUE"""),"Man outside of school waving gun, school locked down")</f>
        <v>Man outside of school waving gun, school locked down</v>
      </c>
      <c r="W320"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X320" s="5" t="str">
        <f ca="1">IFERROR(__xludf.DUMMYFUNCTION("""COMPUTED_VALUE"""),"Illegal Activity")</f>
        <v>Illegal Activity</v>
      </c>
      <c r="Y320" s="5" t="str">
        <f ca="1">IFERROR(__xludf.DUMMYFUNCTION("""COMPUTED_VALUE"""),"Neither")</f>
        <v>Neither</v>
      </c>
      <c r="Z320" s="5" t="str">
        <f ca="1">IFERROR(__xludf.DUMMYFUNCTION("""COMPUTED_VALUE"""),"No")</f>
        <v>No</v>
      </c>
      <c r="AA320" s="5"/>
      <c r="AB320" s="5" t="str">
        <f ca="1">IFERROR(__xludf.DUMMYFUNCTION("""COMPUTED_VALUE"""),"No")</f>
        <v>No</v>
      </c>
      <c r="AC320" s="5" t="str">
        <f ca="1">IFERROR(__xludf.DUMMYFUNCTION("""COMPUTED_VALUE"""),"No")</f>
        <v>No</v>
      </c>
      <c r="AD320" s="5" t="str">
        <f ca="1">IFERROR(__xludf.DUMMYFUNCTION("""COMPUTED_VALUE"""),"No")</f>
        <v>No</v>
      </c>
      <c r="AE320" s="5" t="str">
        <f ca="1">IFERROR(__xludf.DUMMYFUNCTION("""COMPUTED_VALUE"""),"No")</f>
        <v>No</v>
      </c>
      <c r="AF320" s="5" t="str">
        <f ca="1">IFERROR(__xludf.DUMMYFUNCTION("""COMPUTED_VALUE"""),"No")</f>
        <v>No</v>
      </c>
      <c r="AG320" s="5" t="str">
        <f ca="1">IFERROR(__xludf.DUMMYFUNCTION("""COMPUTED_VALUE"""),"No")</f>
        <v>No</v>
      </c>
      <c r="AH320" s="5" t="str">
        <f ca="1">IFERROR(__xludf.DUMMYFUNCTION("""COMPUTED_VALUE"""),"No")</f>
        <v>No</v>
      </c>
    </row>
    <row r="321" spans="1:34" ht="12.75">
      <c r="A321" s="5" t="str">
        <f ca="1">IFERROR(__xludf.DUMMYFUNCTION("""COMPUTED_VALUE"""),"20210902CASAL")</f>
        <v>20210902CASAL</v>
      </c>
      <c r="B321" s="8">
        <f ca="1">IFERROR(__xludf.DUMMYFUNCTION("""COMPUTED_VALUE"""),44441)</f>
        <v>44441</v>
      </c>
      <c r="C321" s="5" t="str">
        <f ca="1">IFERROR(__xludf.DUMMYFUNCTION("""COMPUTED_VALUE"""),"Santee High School")</f>
        <v>Santee High School</v>
      </c>
      <c r="D321" s="5">
        <f ca="1">IFERROR(__xludf.DUMMYFUNCTION("""COMPUTED_VALUE"""),0)</f>
        <v>0</v>
      </c>
      <c r="E321" s="5">
        <f ca="1">IFERROR(__xludf.DUMMYFUNCTION("""COMPUTED_VALUE"""),6)</f>
        <v>6</v>
      </c>
      <c r="F321" s="5">
        <f ca="1">IFERROR(__xludf.DUMMYFUNCTION("""COMPUTED_VALUE"""),6)</f>
        <v>6</v>
      </c>
      <c r="G321" s="5">
        <f ca="1">IFERROR(__xludf.DUMMYFUNCTION("""COMPUTED_VALUE"""),0)</f>
        <v>0</v>
      </c>
      <c r="H321"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I321" s="5">
        <f ca="1">IFERROR(__xludf.DUMMYFUNCTION("""COMPUTED_VALUE"""),10)</f>
        <v>10</v>
      </c>
      <c r="J321" s="5" t="str">
        <f ca="1">IFERROR(__xludf.DUMMYFUNCTION("""COMPUTED_VALUE"""),"Regional")</f>
        <v>Regional</v>
      </c>
      <c r="K321" s="5">
        <f ca="1">IFERROR(__xludf.DUMMYFUNCTION("""COMPUTED_VALUE"""),4)</f>
        <v>4</v>
      </c>
      <c r="L321" s="5" t="str">
        <f ca="1">IFERROR(__xludf.DUMMYFUNCTION("""COMPUTED_VALUE"""),"Fall")</f>
        <v>Fall</v>
      </c>
      <c r="M321" s="5" t="str">
        <f ca="1">IFERROR(__xludf.DUMMYFUNCTION("""COMPUTED_VALUE"""),"Los Angeles")</f>
        <v>Los Angeles</v>
      </c>
      <c r="N321" s="5" t="str">
        <f ca="1">IFERROR(__xludf.DUMMYFUNCTION("""COMPUTED_VALUE"""),"CA")</f>
        <v>CA</v>
      </c>
      <c r="O321" s="5" t="str">
        <f ca="1">IFERROR(__xludf.DUMMYFUNCTION("""COMPUTED_VALUE"""),"High")</f>
        <v>High</v>
      </c>
      <c r="P321" s="5" t="str">
        <f ca="1">IFERROR(__xludf.DUMMYFUNCTION("""COMPUTED_VALUE"""),"Football Field/Track")</f>
        <v>Football Field/Track</v>
      </c>
      <c r="Q321" s="5" t="str">
        <f ca="1">IFERROR(__xludf.DUMMYFUNCTION("""COMPUTED_VALUE"""),"Outside on School Property")</f>
        <v>Outside on School Property</v>
      </c>
      <c r="R321" s="5" t="str">
        <f ca="1">IFERROR(__xludf.DUMMYFUNCTION("""COMPUTED_VALUE"""),"Yes")</f>
        <v>Yes</v>
      </c>
      <c r="S321" s="5" t="str">
        <f ca="1">IFERROR(__xludf.DUMMYFUNCTION("""COMPUTED_VALUE"""),"Afternoon Classes")</f>
        <v>Afternoon Classes</v>
      </c>
      <c r="T321" s="10">
        <f ca="1">IFERROR(__xludf.DUMMYFUNCTION("""COMPUTED_VALUE"""),0.583333333333333)</f>
        <v>0.58333333333333304</v>
      </c>
      <c r="U321" s="5">
        <f ca="1">IFERROR(__xludf.DUMMYFUNCTION("""COMPUTED_VALUE"""),1)</f>
        <v>1</v>
      </c>
      <c r="V321" s="5" t="str">
        <f ca="1">IFERROR(__xludf.DUMMYFUNCTION("""COMPUTED_VALUE"""),"Two students shot during fight on football field")</f>
        <v>Two students shot during fight on football field</v>
      </c>
      <c r="W321"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X321" s="5" t="str">
        <f ca="1">IFERROR(__xludf.DUMMYFUNCTION("""COMPUTED_VALUE"""),"Escalation of Dispute")</f>
        <v>Escalation of Dispute</v>
      </c>
      <c r="Y321" s="5" t="str">
        <f ca="1">IFERROR(__xludf.DUMMYFUNCTION("""COMPUTED_VALUE"""),"Both")</f>
        <v>Both</v>
      </c>
      <c r="Z321" s="5" t="str">
        <f ca="1">IFERROR(__xludf.DUMMYFUNCTION("""COMPUTED_VALUE"""),"Yes")</f>
        <v>Yes</v>
      </c>
      <c r="AA321" s="5" t="str">
        <f ca="1">IFERROR(__xludf.DUMMYFUNCTION("""COMPUTED_VALUE"""),"Multiple co conspirators")</f>
        <v>Multiple co conspirators</v>
      </c>
      <c r="AB321" s="5" t="str">
        <f ca="1">IFERROR(__xludf.DUMMYFUNCTION("""COMPUTED_VALUE"""),"No")</f>
        <v>No</v>
      </c>
      <c r="AC321" s="5" t="str">
        <f ca="1">IFERROR(__xludf.DUMMYFUNCTION("""COMPUTED_VALUE"""),"No")</f>
        <v>No</v>
      </c>
      <c r="AD321" s="5" t="str">
        <f ca="1">IFERROR(__xludf.DUMMYFUNCTION("""COMPUTED_VALUE"""),"No")</f>
        <v>No</v>
      </c>
      <c r="AE321" s="5" t="str">
        <f ca="1">IFERROR(__xludf.DUMMYFUNCTION("""COMPUTED_VALUE"""),"No")</f>
        <v>No</v>
      </c>
      <c r="AF321" s="5" t="str">
        <f ca="1">IFERROR(__xludf.DUMMYFUNCTION("""COMPUTED_VALUE"""),"No")</f>
        <v>No</v>
      </c>
      <c r="AG321" s="5"/>
      <c r="AH321" s="5" t="str">
        <f ca="1">IFERROR(__xludf.DUMMYFUNCTION("""COMPUTED_VALUE"""),"No")</f>
        <v>No</v>
      </c>
    </row>
    <row r="322" spans="1:34" ht="12.75">
      <c r="A322" s="5" t="str">
        <f ca="1">IFERROR(__xludf.DUMMYFUNCTION("""COMPUTED_VALUE"""),"20210902CASAL")</f>
        <v>20210902CASAL</v>
      </c>
      <c r="B322" s="8">
        <f ca="1">IFERROR(__xludf.DUMMYFUNCTION("""COMPUTED_VALUE"""),44441)</f>
        <v>44441</v>
      </c>
      <c r="C322" s="5" t="str">
        <f ca="1">IFERROR(__xludf.DUMMYFUNCTION("""COMPUTED_VALUE"""),"Santee High School")</f>
        <v>Santee High School</v>
      </c>
      <c r="D322" s="5">
        <f ca="1">IFERROR(__xludf.DUMMYFUNCTION("""COMPUTED_VALUE"""),0)</f>
        <v>0</v>
      </c>
      <c r="E322" s="5">
        <f ca="1">IFERROR(__xludf.DUMMYFUNCTION("""COMPUTED_VALUE"""),6)</f>
        <v>6</v>
      </c>
      <c r="F322" s="5">
        <f ca="1">IFERROR(__xludf.DUMMYFUNCTION("""COMPUTED_VALUE"""),6)</f>
        <v>6</v>
      </c>
      <c r="G322" s="5">
        <f ca="1">IFERROR(__xludf.DUMMYFUNCTION("""COMPUTED_VALUE"""),0)</f>
        <v>0</v>
      </c>
      <c r="H322" s="5" t="str">
        <f ca="1">IFERROR(__xludf.DUMMYFUNCTION("""COMPUTED_VALUE"""),"https://www.dailynews.com/2021/09/14/2-minors-arrested-in-shooting-of-santee-student-in-south-la/ https://losangeles.cbslocal.com/2021/09/02/shooting-santee-high-school-maple-primary-center/ https://www.foxla.com/news/shooting-at-santee-high-school-leaves"&amp;"-two-injured https://www.nbclosangeles.com/news/local/school-in-south-la-locked-down-as-police-respond-to-reports-of-shots-fired/2685232/")</f>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I322" s="5">
        <f ca="1">IFERROR(__xludf.DUMMYFUNCTION("""COMPUTED_VALUE"""),20)</f>
        <v>20</v>
      </c>
      <c r="J322" s="5" t="str">
        <f ca="1">IFERROR(__xludf.DUMMYFUNCTION("""COMPUTED_VALUE"""),"Regional")</f>
        <v>Regional</v>
      </c>
      <c r="K322" s="5">
        <f ca="1">IFERROR(__xludf.DUMMYFUNCTION("""COMPUTED_VALUE"""),4)</f>
        <v>4</v>
      </c>
      <c r="L322" s="5" t="str">
        <f ca="1">IFERROR(__xludf.DUMMYFUNCTION("""COMPUTED_VALUE"""),"Fall")</f>
        <v>Fall</v>
      </c>
      <c r="M322" s="5" t="str">
        <f ca="1">IFERROR(__xludf.DUMMYFUNCTION("""COMPUTED_VALUE"""),"Los Angeles")</f>
        <v>Los Angeles</v>
      </c>
      <c r="N322" s="5" t="str">
        <f ca="1">IFERROR(__xludf.DUMMYFUNCTION("""COMPUTED_VALUE"""),"CA")</f>
        <v>CA</v>
      </c>
      <c r="O322" s="5" t="str">
        <f ca="1">IFERROR(__xludf.DUMMYFUNCTION("""COMPUTED_VALUE"""),"High")</f>
        <v>High</v>
      </c>
      <c r="P322" s="5" t="str">
        <f ca="1">IFERROR(__xludf.DUMMYFUNCTION("""COMPUTED_VALUE"""),"Outside on School Property")</f>
        <v>Outside on School Property</v>
      </c>
      <c r="Q322" s="5" t="str">
        <f ca="1">IFERROR(__xludf.DUMMYFUNCTION("""COMPUTED_VALUE"""),"Outside on School Property")</f>
        <v>Outside on School Property</v>
      </c>
      <c r="R322" s="5" t="str">
        <f ca="1">IFERROR(__xludf.DUMMYFUNCTION("""COMPUTED_VALUE"""),"Yes")</f>
        <v>Yes</v>
      </c>
      <c r="S322" s="5" t="str">
        <f ca="1">IFERROR(__xludf.DUMMYFUNCTION("""COMPUTED_VALUE"""),"Afternoon Classes")</f>
        <v>Afternoon Classes</v>
      </c>
      <c r="T322" s="10">
        <f ca="1">IFERROR(__xludf.DUMMYFUNCTION("""COMPUTED_VALUE"""),0.583333333333333)</f>
        <v>0.58333333333333304</v>
      </c>
      <c r="U322" s="5">
        <f ca="1">IFERROR(__xludf.DUMMYFUNCTION("""COMPUTED_VALUE"""),1)</f>
        <v>1</v>
      </c>
      <c r="V322" s="5" t="str">
        <f ca="1">IFERROR(__xludf.DUMMYFUNCTION("""COMPUTED_VALUE"""),"Fight between students escalated into shooting")</f>
        <v>Fight between students escalated into shooting</v>
      </c>
      <c r="W322" s="5" t="str">
        <f ca="1">IFERROR(__xludf.DUMMYFUNCTION("""COMPUTED_VALUE"""),"During a gang related fight between students on the parameter of the campus, the loser of the fight pulled out a handgun and shot the other student involved in the leg. School was locked down. Shooter fled and was arrested the following day. Injured stude"&amp;"nt was transported to the hospital. Police said the fight was part of an on-going gang rivalry at the school.")</f>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X322" s="5" t="str">
        <f ca="1">IFERROR(__xludf.DUMMYFUNCTION("""COMPUTED_VALUE"""),"Escalation of Dispute")</f>
        <v>Escalation of Dispute</v>
      </c>
      <c r="Y322" s="5" t="str">
        <f ca="1">IFERROR(__xludf.DUMMYFUNCTION("""COMPUTED_VALUE"""),"Victims Targeted")</f>
        <v>Victims Targeted</v>
      </c>
      <c r="Z322" s="5" t="str">
        <f ca="1">IFERROR(__xludf.DUMMYFUNCTION("""COMPUTED_VALUE"""),"Yes")</f>
        <v>Yes</v>
      </c>
      <c r="AA322" s="5" t="str">
        <f ca="1">IFERROR(__xludf.DUMMYFUNCTION("""COMPUTED_VALUE"""),"Second student arrested")</f>
        <v>Second student arrested</v>
      </c>
      <c r="AB322" s="5" t="str">
        <f ca="1">IFERROR(__xludf.DUMMYFUNCTION("""COMPUTED_VALUE"""),"No")</f>
        <v>No</v>
      </c>
      <c r="AC322" s="5" t="str">
        <f ca="1">IFERROR(__xludf.DUMMYFUNCTION("""COMPUTED_VALUE"""),"No")</f>
        <v>No</v>
      </c>
      <c r="AD322" s="5" t="str">
        <f ca="1">IFERROR(__xludf.DUMMYFUNCTION("""COMPUTED_VALUE"""),"No")</f>
        <v>No</v>
      </c>
      <c r="AE322" s="5" t="str">
        <f ca="1">IFERROR(__xludf.DUMMYFUNCTION("""COMPUTED_VALUE"""),"No")</f>
        <v>No</v>
      </c>
      <c r="AF322" s="5" t="str">
        <f ca="1">IFERROR(__xludf.DUMMYFUNCTION("""COMPUTED_VALUE"""),"No")</f>
        <v>No</v>
      </c>
      <c r="AG322" s="5" t="str">
        <f ca="1">IFERROR(__xludf.DUMMYFUNCTION("""COMPUTED_VALUE"""),"Yes")</f>
        <v>Yes</v>
      </c>
      <c r="AH322" s="5" t="str">
        <f ca="1">IFERROR(__xludf.DUMMYFUNCTION("""COMPUTED_VALUE"""),"No")</f>
        <v>No</v>
      </c>
    </row>
    <row r="323" spans="1:34" ht="12.75">
      <c r="A323" s="5" t="str">
        <f ca="1">IFERROR(__xludf.DUMMYFUNCTION("""COMPUTED_VALUE"""),"20210902ARLIL")</f>
        <v>20210902ARLIL</v>
      </c>
      <c r="B323" s="8">
        <f ca="1">IFERROR(__xludf.DUMMYFUNCTION("""COMPUTED_VALUE"""),44441)</f>
        <v>44441</v>
      </c>
      <c r="C323" s="5" t="str">
        <f ca="1">IFERROR(__xludf.DUMMYFUNCTION("""COMPUTED_VALUE"""),"Little Rock Central High School")</f>
        <v>Little Rock Central High School</v>
      </c>
      <c r="D323" s="5">
        <f ca="1">IFERROR(__xludf.DUMMYFUNCTION("""COMPUTED_VALUE"""),0)</f>
        <v>0</v>
      </c>
      <c r="E323" s="5">
        <f ca="1">IFERROR(__xludf.DUMMYFUNCTION("""COMPUTED_VALUE"""),0)</f>
        <v>0</v>
      </c>
      <c r="F323" s="5">
        <f ca="1">IFERROR(__xludf.DUMMYFUNCTION("""COMPUTED_VALUE"""),0)</f>
        <v>0</v>
      </c>
      <c r="G323" s="5">
        <f ca="1">IFERROR(__xludf.DUMMYFUNCTION("""COMPUTED_VALUE"""),0)</f>
        <v>0</v>
      </c>
      <c r="H323" s="9" t="str">
        <f ca="1">IFERROR(__xludf.DUMMYFUNCTION("""COMPUTED_VALUE"""),"https://arktimes.com/arkansas-blog/2021/09/02/a-gun-brandished-at-little-rock-central-high-this-morning-but-no-shots-fired")</f>
        <v>https://arktimes.com/arkansas-blog/2021/09/02/a-gun-brandished-at-little-rock-central-high-this-morning-but-no-shots-fired</v>
      </c>
      <c r="I323" s="5">
        <f ca="1">IFERROR(__xludf.DUMMYFUNCTION("""COMPUTED_VALUE"""),1)</f>
        <v>1</v>
      </c>
      <c r="J323" s="5" t="str">
        <f ca="1">IFERROR(__xludf.DUMMYFUNCTION("""COMPUTED_VALUE"""),"Local")</f>
        <v>Local</v>
      </c>
      <c r="K323" s="5">
        <f ca="1">IFERROR(__xludf.DUMMYFUNCTION("""COMPUTED_VALUE"""),4)</f>
        <v>4</v>
      </c>
      <c r="L323" s="5" t="str">
        <f ca="1">IFERROR(__xludf.DUMMYFUNCTION("""COMPUTED_VALUE"""),"Fall")</f>
        <v>Fall</v>
      </c>
      <c r="M323" s="5" t="str">
        <f ca="1">IFERROR(__xludf.DUMMYFUNCTION("""COMPUTED_VALUE"""),"Little Rock")</f>
        <v>Little Rock</v>
      </c>
      <c r="N323" s="5" t="str">
        <f ca="1">IFERROR(__xludf.DUMMYFUNCTION("""COMPUTED_VALUE"""),"AR")</f>
        <v>AR</v>
      </c>
      <c r="O323" s="5" t="str">
        <f ca="1">IFERROR(__xludf.DUMMYFUNCTION("""COMPUTED_VALUE"""),"High")</f>
        <v>High</v>
      </c>
      <c r="P323" s="5" t="str">
        <f ca="1">IFERROR(__xludf.DUMMYFUNCTION("""COMPUTED_VALUE"""),"Front of School")</f>
        <v>Front of School</v>
      </c>
      <c r="Q323" s="5" t="str">
        <f ca="1">IFERROR(__xludf.DUMMYFUNCTION("""COMPUTED_VALUE"""),"Outside on School Property")</f>
        <v>Outside on School Property</v>
      </c>
      <c r="R323" s="5" t="str">
        <f ca="1">IFERROR(__xludf.DUMMYFUNCTION("""COMPUTED_VALUE"""),"Yes")</f>
        <v>Yes</v>
      </c>
      <c r="S323" s="5" t="str">
        <f ca="1">IFERROR(__xludf.DUMMYFUNCTION("""COMPUTED_VALUE"""),"School Start")</f>
        <v>School Start</v>
      </c>
      <c r="T323" s="10">
        <f ca="1">IFERROR(__xludf.DUMMYFUNCTION("""COMPUTED_VALUE"""),0.333333333333333)</f>
        <v>0.33333333333333298</v>
      </c>
      <c r="U323" s="5">
        <f ca="1">IFERROR(__xludf.DUMMYFUNCTION("""COMPUTED_VALUE"""),1)</f>
        <v>1</v>
      </c>
      <c r="V323" s="5" t="str">
        <f ca="1">IFERROR(__xludf.DUMMYFUNCTION("""COMPUTED_VALUE"""),"Parent of student brandished gun during fight in front of school")</f>
        <v>Parent of student brandished gun during fight in front of school</v>
      </c>
      <c r="W323"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X323" s="5" t="str">
        <f ca="1">IFERROR(__xludf.DUMMYFUNCTION("""COMPUTED_VALUE"""),"Escalation of Dispute")</f>
        <v>Escalation of Dispute</v>
      </c>
      <c r="Y323" s="5" t="str">
        <f ca="1">IFERROR(__xludf.DUMMYFUNCTION("""COMPUTED_VALUE"""),"Neither")</f>
        <v>Neither</v>
      </c>
      <c r="Z323" s="5" t="str">
        <f ca="1">IFERROR(__xludf.DUMMYFUNCTION("""COMPUTED_VALUE"""),"No")</f>
        <v>No</v>
      </c>
      <c r="AA323" s="5"/>
      <c r="AB323" s="5" t="str">
        <f ca="1">IFERROR(__xludf.DUMMYFUNCTION("""COMPUTED_VALUE"""),"No")</f>
        <v>No</v>
      </c>
      <c r="AC323" s="5" t="str">
        <f ca="1">IFERROR(__xludf.DUMMYFUNCTION("""COMPUTED_VALUE"""),"No")</f>
        <v>No</v>
      </c>
      <c r="AD323" s="5" t="str">
        <f ca="1">IFERROR(__xludf.DUMMYFUNCTION("""COMPUTED_VALUE"""),"No")</f>
        <v>No</v>
      </c>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row>
    <row r="324" spans="1:34" ht="12.75">
      <c r="A324" s="5" t="str">
        <f ca="1">IFERROR(__xludf.DUMMYFUNCTION("""COMPUTED_VALUE"""),"20210901NCMTW")</f>
        <v>20210901NCMTW</v>
      </c>
      <c r="B324" s="8">
        <f ca="1">IFERROR(__xludf.DUMMYFUNCTION("""COMPUTED_VALUE"""),44440)</f>
        <v>44440</v>
      </c>
      <c r="C324" s="5" t="str">
        <f ca="1">IFERROR(__xludf.DUMMYFUNCTION("""COMPUTED_VALUE"""),"Mt. Tabor High School")</f>
        <v>Mt. Tabor High School</v>
      </c>
      <c r="D324" s="5">
        <f ca="1">IFERROR(__xludf.DUMMYFUNCTION("""COMPUTED_VALUE"""),1)</f>
        <v>1</v>
      </c>
      <c r="E324" s="5">
        <f ca="1">IFERROR(__xludf.DUMMYFUNCTION("""COMPUTED_VALUE"""),0)</f>
        <v>0</v>
      </c>
      <c r="F324" s="5">
        <f ca="1">IFERROR(__xludf.DUMMYFUNCTION("""COMPUTED_VALUE"""),1)</f>
        <v>1</v>
      </c>
      <c r="G324" s="5">
        <f ca="1">IFERROR(__xludf.DUMMYFUNCTION("""COMPUTED_VALUE"""),0)</f>
        <v>0</v>
      </c>
      <c r="H324"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I324" s="5">
        <f ca="1">IFERROR(__xludf.DUMMYFUNCTION("""COMPUTED_VALUE"""),999)</f>
        <v>999</v>
      </c>
      <c r="J324" s="5" t="str">
        <f ca="1">IFERROR(__xludf.DUMMYFUNCTION("""COMPUTED_VALUE"""),"International")</f>
        <v>International</v>
      </c>
      <c r="K324" s="5">
        <f ca="1">IFERROR(__xludf.DUMMYFUNCTION("""COMPUTED_VALUE"""),4)</f>
        <v>4</v>
      </c>
      <c r="L324" s="5" t="str">
        <f ca="1">IFERROR(__xludf.DUMMYFUNCTION("""COMPUTED_VALUE"""),"Fall")</f>
        <v>Fall</v>
      </c>
      <c r="M324" s="5" t="str">
        <f ca="1">IFERROR(__xludf.DUMMYFUNCTION("""COMPUTED_VALUE"""),"Winston-Salem")</f>
        <v>Winston-Salem</v>
      </c>
      <c r="N324" s="5" t="str">
        <f ca="1">IFERROR(__xludf.DUMMYFUNCTION("""COMPUTED_VALUE"""),"NC")</f>
        <v>NC</v>
      </c>
      <c r="O324" s="5" t="str">
        <f ca="1">IFERROR(__xludf.DUMMYFUNCTION("""COMPUTED_VALUE"""),"High")</f>
        <v>High</v>
      </c>
      <c r="P324" s="5" t="str">
        <f ca="1">IFERROR(__xludf.DUMMYFUNCTION("""COMPUTED_VALUE"""),"Hallway")</f>
        <v>Hallway</v>
      </c>
      <c r="Q324" s="5" t="str">
        <f ca="1">IFERROR(__xludf.DUMMYFUNCTION("""COMPUTED_VALUE"""),"Inside School Building")</f>
        <v>Inside School Building</v>
      </c>
      <c r="R324" s="5" t="str">
        <f ca="1">IFERROR(__xludf.DUMMYFUNCTION("""COMPUTED_VALUE"""),"Yes")</f>
        <v>Yes</v>
      </c>
      <c r="S324" s="5" t="str">
        <f ca="1">IFERROR(__xludf.DUMMYFUNCTION("""COMPUTED_VALUE"""),"Lunch")</f>
        <v>Lunch</v>
      </c>
      <c r="T324" s="10">
        <f ca="1">IFERROR(__xludf.DUMMYFUNCTION("""COMPUTED_VALUE"""),0.504861111111111)</f>
        <v>0.50486111111111098</v>
      </c>
      <c r="U324" s="5">
        <f ca="1">IFERROR(__xludf.DUMMYFUNCTION("""COMPUTED_VALUE"""),1)</f>
        <v>1</v>
      </c>
      <c r="V324" s="5" t="str">
        <f ca="1">IFERROR(__xludf.DUMMYFUNCTION("""COMPUTED_VALUE"""),"Student shot another student inside the school and fled the area")</f>
        <v>Student shot another student inside the school and fled the area</v>
      </c>
      <c r="W324"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X324" s="5"/>
      <c r="Y324" s="5" t="str">
        <f ca="1">IFERROR(__xludf.DUMMYFUNCTION("""COMPUTED_VALUE"""),"Victims Targeted")</f>
        <v>Victims Targeted</v>
      </c>
      <c r="Z324" s="5"/>
      <c r="AA324" s="5"/>
      <c r="AB324" s="5" t="str">
        <f ca="1">IFERROR(__xludf.DUMMYFUNCTION("""COMPUTED_VALUE"""),"No")</f>
        <v>No</v>
      </c>
      <c r="AC324" s="5" t="str">
        <f ca="1">IFERROR(__xludf.DUMMYFUNCTION("""COMPUTED_VALUE"""),"No")</f>
        <v>No</v>
      </c>
      <c r="AD324" s="5" t="str">
        <f ca="1">IFERROR(__xludf.DUMMYFUNCTION("""COMPUTED_VALUE"""),"No")</f>
        <v>No</v>
      </c>
      <c r="AE324" s="5"/>
      <c r="AF324" s="5" t="str">
        <f ca="1">IFERROR(__xludf.DUMMYFUNCTION("""COMPUTED_VALUE"""),"No")</f>
        <v>No</v>
      </c>
      <c r="AG324" s="5" t="str">
        <f ca="1">IFERROR(__xludf.DUMMYFUNCTION("""COMPUTED_VALUE"""),"No")</f>
        <v>No</v>
      </c>
      <c r="AH324" s="5" t="str">
        <f ca="1">IFERROR(__xludf.DUMMYFUNCTION("""COMPUTED_VALUE"""),"No")</f>
        <v>No</v>
      </c>
    </row>
    <row r="325" spans="1:34" ht="12.75">
      <c r="A325" s="5" t="str">
        <f ca="1">IFERROR(__xludf.DUMMYFUNCTION("""COMPUTED_VALUE"""),"20210901ILFRC")</f>
        <v>20210901ILFRC</v>
      </c>
      <c r="B325" s="8">
        <f ca="1">IFERROR(__xludf.DUMMYFUNCTION("""COMPUTED_VALUE"""),44440)</f>
        <v>44440</v>
      </c>
      <c r="C325" s="5" t="str">
        <f ca="1">IFERROR(__xludf.DUMMYFUNCTION("""COMPUTED_VALUE"""),"Frazier International Magnet School")</f>
        <v>Frazier International Magnet School</v>
      </c>
      <c r="D325" s="5">
        <f ca="1">IFERROR(__xludf.DUMMYFUNCTION("""COMPUTED_VALUE"""),1)</f>
        <v>1</v>
      </c>
      <c r="E325" s="5">
        <f ca="1">IFERROR(__xludf.DUMMYFUNCTION("""COMPUTED_VALUE"""),0)</f>
        <v>0</v>
      </c>
      <c r="F325" s="5">
        <f ca="1">IFERROR(__xludf.DUMMYFUNCTION("""COMPUTED_VALUE"""),1)</f>
        <v>1</v>
      </c>
      <c r="G325" s="5">
        <f ca="1">IFERROR(__xludf.DUMMYFUNCTION("""COMPUTED_VALUE"""),0)</f>
        <v>0</v>
      </c>
      <c r="H325"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I325" s="5">
        <f ca="1">IFERROR(__xludf.DUMMYFUNCTION("""COMPUTED_VALUE"""),2)</f>
        <v>2</v>
      </c>
      <c r="J325" s="5" t="str">
        <f ca="1">IFERROR(__xludf.DUMMYFUNCTION("""COMPUTED_VALUE"""),"Local")</f>
        <v>Local</v>
      </c>
      <c r="K325" s="5">
        <f ca="1">IFERROR(__xludf.DUMMYFUNCTION("""COMPUTED_VALUE"""),3)</f>
        <v>3</v>
      </c>
      <c r="L325" s="5" t="str">
        <f ca="1">IFERROR(__xludf.DUMMYFUNCTION("""COMPUTED_VALUE"""),"Fall")</f>
        <v>Fall</v>
      </c>
      <c r="M325" s="5" t="str">
        <f ca="1">IFERROR(__xludf.DUMMYFUNCTION("""COMPUTED_VALUE"""),"Chicago")</f>
        <v>Chicago</v>
      </c>
      <c r="N325" s="5" t="str">
        <f ca="1">IFERROR(__xludf.DUMMYFUNCTION("""COMPUTED_VALUE"""),"IL")</f>
        <v>IL</v>
      </c>
      <c r="O325" s="5" t="str">
        <f ca="1">IFERROR(__xludf.DUMMYFUNCTION("""COMPUTED_VALUE"""),"Elementary")</f>
        <v>Elementary</v>
      </c>
      <c r="P325" s="5" t="str">
        <f ca="1">IFERROR(__xludf.DUMMYFUNCTION("""COMPUTED_VALUE"""),"Front of School")</f>
        <v>Front of School</v>
      </c>
      <c r="Q325" s="5" t="str">
        <f ca="1">IFERROR(__xludf.DUMMYFUNCTION("""COMPUTED_VALUE"""),"Outside on School Property")</f>
        <v>Outside on School Property</v>
      </c>
      <c r="R325" s="5" t="str">
        <f ca="1">IFERROR(__xludf.DUMMYFUNCTION("""COMPUTED_VALUE"""),"No")</f>
        <v>No</v>
      </c>
      <c r="S325" s="5" t="str">
        <f ca="1">IFERROR(__xludf.DUMMYFUNCTION("""COMPUTED_VALUE"""),"Before School")</f>
        <v>Before School</v>
      </c>
      <c r="T325" s="10">
        <f ca="1">IFERROR(__xludf.DUMMYFUNCTION("""COMPUTED_VALUE"""),0.21875)</f>
        <v>0.21875</v>
      </c>
      <c r="U325" s="5">
        <f ca="1">IFERROR(__xludf.DUMMYFUNCTION("""COMPUTED_VALUE"""),1)</f>
        <v>1</v>
      </c>
      <c r="V325" s="5" t="str">
        <f ca="1">IFERROR(__xludf.DUMMYFUNCTION("""COMPUTED_VALUE"""),"Adult man fatally shot in front of the school")</f>
        <v>Adult man fatally shot in front of the school</v>
      </c>
      <c r="W325"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X325" s="5"/>
      <c r="Y325" s="5" t="str">
        <f ca="1">IFERROR(__xludf.DUMMYFUNCTION("""COMPUTED_VALUE"""),"Victims Targeted")</f>
        <v>Victims Targeted</v>
      </c>
      <c r="Z325" s="5" t="str">
        <f ca="1">IFERROR(__xludf.DUMMYFUNCTION("""COMPUTED_VALUE"""),"No")</f>
        <v>No</v>
      </c>
      <c r="AA325" s="5"/>
      <c r="AB325" s="5" t="str">
        <f ca="1">IFERROR(__xludf.DUMMYFUNCTION("""COMPUTED_VALUE"""),"No")</f>
        <v>No</v>
      </c>
      <c r="AC325" s="5" t="str">
        <f ca="1">IFERROR(__xludf.DUMMYFUNCTION("""COMPUTED_VALUE"""),"No")</f>
        <v>No</v>
      </c>
      <c r="AD325" s="5" t="str">
        <f ca="1">IFERROR(__xludf.DUMMYFUNCTION("""COMPUTED_VALUE"""),"No")</f>
        <v>No</v>
      </c>
      <c r="AE325" s="5" t="str">
        <f ca="1">IFERROR(__xludf.DUMMYFUNCTION("""COMPUTED_VALUE"""),"No")</f>
        <v>No</v>
      </c>
      <c r="AF325" s="5" t="str">
        <f ca="1">IFERROR(__xludf.DUMMYFUNCTION("""COMPUTED_VALUE"""),"No")</f>
        <v>No</v>
      </c>
      <c r="AG325" s="5"/>
      <c r="AH325" s="5" t="str">
        <f ca="1">IFERROR(__xludf.DUMMYFUNCTION("""COMPUTED_VALUE"""),"No")</f>
        <v>No</v>
      </c>
    </row>
    <row r="326" spans="1:34" ht="12.75">
      <c r="A326" s="5" t="str">
        <f ca="1">IFERROR(__xludf.DUMMYFUNCTION("""COMPUTED_VALUE"""),"20210830NJWEN")</f>
        <v>20210830NJWEN</v>
      </c>
      <c r="B326" s="8">
        <f ca="1">IFERROR(__xludf.DUMMYFUNCTION("""COMPUTED_VALUE"""),44438)</f>
        <v>44438</v>
      </c>
      <c r="C326" s="5" t="str">
        <f ca="1">IFERROR(__xludf.DUMMYFUNCTION("""COMPUTED_VALUE"""),"West Side High School")</f>
        <v>West Side High School</v>
      </c>
      <c r="D326" s="5">
        <f ca="1">IFERROR(__xludf.DUMMYFUNCTION("""COMPUTED_VALUE"""),1)</f>
        <v>1</v>
      </c>
      <c r="E326" s="5">
        <f ca="1">IFERROR(__xludf.DUMMYFUNCTION("""COMPUTED_VALUE"""),0)</f>
        <v>0</v>
      </c>
      <c r="F326" s="5">
        <f ca="1">IFERROR(__xludf.DUMMYFUNCTION("""COMPUTED_VALUE"""),1)</f>
        <v>1</v>
      </c>
      <c r="G326" s="5">
        <f ca="1">IFERROR(__xludf.DUMMYFUNCTION("""COMPUTED_VALUE"""),0)</f>
        <v>0</v>
      </c>
      <c r="H326"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I326" s="5">
        <f ca="1">IFERROR(__xludf.DUMMYFUNCTION("""COMPUTED_VALUE"""),2)</f>
        <v>2</v>
      </c>
      <c r="J326" s="5" t="str">
        <f ca="1">IFERROR(__xludf.DUMMYFUNCTION("""COMPUTED_VALUE"""),"Local")</f>
        <v>Local</v>
      </c>
      <c r="K326" s="5">
        <f ca="1">IFERROR(__xludf.DUMMYFUNCTION("""COMPUTED_VALUE"""),4)</f>
        <v>4</v>
      </c>
      <c r="L326" s="5" t="str">
        <f ca="1">IFERROR(__xludf.DUMMYFUNCTION("""COMPUTED_VALUE"""),"Fall")</f>
        <v>Fall</v>
      </c>
      <c r="M326" s="5" t="str">
        <f ca="1">IFERROR(__xludf.DUMMYFUNCTION("""COMPUTED_VALUE"""),"Newark")</f>
        <v>Newark</v>
      </c>
      <c r="N326" s="5" t="str">
        <f ca="1">IFERROR(__xludf.DUMMYFUNCTION("""COMPUTED_VALUE"""),"NJ")</f>
        <v>NJ</v>
      </c>
      <c r="O326" s="5" t="str">
        <f ca="1">IFERROR(__xludf.DUMMYFUNCTION("""COMPUTED_VALUE"""),"High")</f>
        <v>High</v>
      </c>
      <c r="P326" s="5" t="str">
        <f ca="1">IFERROR(__xludf.DUMMYFUNCTION("""COMPUTED_VALUE"""),"Front of School")</f>
        <v>Front of School</v>
      </c>
      <c r="Q326" s="5" t="str">
        <f ca="1">IFERROR(__xludf.DUMMYFUNCTION("""COMPUTED_VALUE"""),"Outside on School Property")</f>
        <v>Outside on School Property</v>
      </c>
      <c r="R326" s="5" t="str">
        <f ca="1">IFERROR(__xludf.DUMMYFUNCTION("""COMPUTED_VALUE"""),"Yes")</f>
        <v>Yes</v>
      </c>
      <c r="S326" s="5" t="str">
        <f ca="1">IFERROR(__xludf.DUMMYFUNCTION("""COMPUTED_VALUE"""),"Evening")</f>
        <v>Evening</v>
      </c>
      <c r="T326" s="10">
        <f ca="1">IFERROR(__xludf.DUMMYFUNCTION("""COMPUTED_VALUE"""),0.854166666666666)</f>
        <v>0.85416666666666596</v>
      </c>
      <c r="U326" s="5">
        <f ca="1">IFERROR(__xludf.DUMMYFUNCTION("""COMPUTED_VALUE"""),1)</f>
        <v>1</v>
      </c>
      <c r="V326" s="5" t="str">
        <f ca="1">IFERROR(__xludf.DUMMYFUNCTION("""COMPUTED_VALUE"""),"Teen fatally shot leaving night program at the school")</f>
        <v>Teen fatally shot leaving night program at the school</v>
      </c>
      <c r="W326"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X326" s="5"/>
      <c r="Y326" s="5" t="str">
        <f ca="1">IFERROR(__xludf.DUMMYFUNCTION("""COMPUTED_VALUE"""),"Victims Targeted")</f>
        <v>Victims Targeted</v>
      </c>
      <c r="Z326" s="5" t="str">
        <f ca="1">IFERROR(__xludf.DUMMYFUNCTION("""COMPUTED_VALUE"""),"No")</f>
        <v>No</v>
      </c>
      <c r="AA326" s="5"/>
      <c r="AB326" s="5" t="str">
        <f ca="1">IFERROR(__xludf.DUMMYFUNCTION("""COMPUTED_VALUE"""),"No")</f>
        <v>No</v>
      </c>
      <c r="AC326" s="5" t="str">
        <f ca="1">IFERROR(__xludf.DUMMYFUNCTION("""COMPUTED_VALUE"""),"No")</f>
        <v>No</v>
      </c>
      <c r="AD326" s="5" t="str">
        <f ca="1">IFERROR(__xludf.DUMMYFUNCTION("""COMPUTED_VALUE"""),"No")</f>
        <v>No</v>
      </c>
      <c r="AE326" s="5" t="str">
        <f ca="1">IFERROR(__xludf.DUMMYFUNCTION("""COMPUTED_VALUE"""),"No")</f>
        <v>No</v>
      </c>
      <c r="AF326" s="5" t="str">
        <f ca="1">IFERROR(__xludf.DUMMYFUNCTION("""COMPUTED_VALUE"""),"No")</f>
        <v>No</v>
      </c>
      <c r="AG326" s="5"/>
      <c r="AH326" s="5" t="str">
        <f ca="1">IFERROR(__xludf.DUMMYFUNCTION("""COMPUTED_VALUE"""),"No")</f>
        <v>No</v>
      </c>
    </row>
    <row r="327" spans="1:34" ht="12.75">
      <c r="A327" s="5" t="str">
        <f ca="1">IFERROR(__xludf.DUMMYFUNCTION("""COMPUTED_VALUE"""),"20210830NCNEW")</f>
        <v>20210830NCNEW</v>
      </c>
      <c r="B327" s="8">
        <f ca="1">IFERROR(__xludf.DUMMYFUNCTION("""COMPUTED_VALUE"""),44438)</f>
        <v>44438</v>
      </c>
      <c r="C327" s="5" t="str">
        <f ca="1">IFERROR(__xludf.DUMMYFUNCTION("""COMPUTED_VALUE"""),"New Hanover High School")</f>
        <v>New Hanover High School</v>
      </c>
      <c r="D327" s="5">
        <f ca="1">IFERROR(__xludf.DUMMYFUNCTION("""COMPUTED_VALUE"""),0)</f>
        <v>0</v>
      </c>
      <c r="E327" s="5">
        <f ca="1">IFERROR(__xludf.DUMMYFUNCTION("""COMPUTED_VALUE"""),1)</f>
        <v>1</v>
      </c>
      <c r="F327" s="5">
        <f ca="1">IFERROR(__xludf.DUMMYFUNCTION("""COMPUTED_VALUE"""),1)</f>
        <v>1</v>
      </c>
      <c r="G327" s="5">
        <f ca="1">IFERROR(__xludf.DUMMYFUNCTION("""COMPUTED_VALUE"""),0)</f>
        <v>0</v>
      </c>
      <c r="H327"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I327" s="5">
        <f ca="1">IFERROR(__xludf.DUMMYFUNCTION("""COMPUTED_VALUE"""),100)</f>
        <v>100</v>
      </c>
      <c r="J327" s="5" t="str">
        <f ca="1">IFERROR(__xludf.DUMMYFUNCTION("""COMPUTED_VALUE"""),"National")</f>
        <v>National</v>
      </c>
      <c r="K327" s="5">
        <f ca="1">IFERROR(__xludf.DUMMYFUNCTION("""COMPUTED_VALUE"""),4)</f>
        <v>4</v>
      </c>
      <c r="L327" s="5" t="str">
        <f ca="1">IFERROR(__xludf.DUMMYFUNCTION("""COMPUTED_VALUE"""),"Fall")</f>
        <v>Fall</v>
      </c>
      <c r="M327" s="5" t="str">
        <f ca="1">IFERROR(__xludf.DUMMYFUNCTION("""COMPUTED_VALUE"""),"Wilmington")</f>
        <v>Wilmington</v>
      </c>
      <c r="N327" s="5" t="str">
        <f ca="1">IFERROR(__xludf.DUMMYFUNCTION("""COMPUTED_VALUE"""),"NC")</f>
        <v>NC</v>
      </c>
      <c r="O327" s="5" t="str">
        <f ca="1">IFERROR(__xludf.DUMMYFUNCTION("""COMPUTED_VALUE"""),"High")</f>
        <v>High</v>
      </c>
      <c r="P327" s="5" t="str">
        <f ca="1">IFERROR(__xludf.DUMMYFUNCTION("""COMPUTED_VALUE"""),"Hallway")</f>
        <v>Hallway</v>
      </c>
      <c r="Q327" s="5" t="str">
        <f ca="1">IFERROR(__xludf.DUMMYFUNCTION("""COMPUTED_VALUE"""),"Inside School Building")</f>
        <v>Inside School Building</v>
      </c>
      <c r="R327" s="5" t="str">
        <f ca="1">IFERROR(__xludf.DUMMYFUNCTION("""COMPUTED_VALUE"""),"Yes")</f>
        <v>Yes</v>
      </c>
      <c r="S327" s="5" t="str">
        <f ca="1">IFERROR(__xludf.DUMMYFUNCTION("""COMPUTED_VALUE"""),"Morning Classes")</f>
        <v>Morning Classes</v>
      </c>
      <c r="T327" s="10">
        <f ca="1">IFERROR(__xludf.DUMMYFUNCTION("""COMPUTED_VALUE"""),0.475)</f>
        <v>0.47499999999999998</v>
      </c>
      <c r="U327" s="5">
        <f ca="1">IFERROR(__xludf.DUMMYFUNCTION("""COMPUTED_VALUE"""),1)</f>
        <v>1</v>
      </c>
      <c r="V327" s="5" t="str">
        <f ca="1">IFERROR(__xludf.DUMMYFUNCTION("""COMPUTED_VALUE"""),"Student shot during large fight in hallway")</f>
        <v>Student shot during large fight in hallway</v>
      </c>
      <c r="W327" s="5" t="str">
        <f ca="1">IFERROR(__xludf.DUMMYFUNCTION("""COMPUTED_VALUE"""),"Student shot during large fight in hallway")</f>
        <v>Student shot during large fight in hallway</v>
      </c>
      <c r="X327" s="5" t="str">
        <f ca="1">IFERROR(__xludf.DUMMYFUNCTION("""COMPUTED_VALUE"""),"Escalation of Dispute")</f>
        <v>Escalation of Dispute</v>
      </c>
      <c r="Y327" s="5" t="str">
        <f ca="1">IFERROR(__xludf.DUMMYFUNCTION("""COMPUTED_VALUE"""),"Victims Targeted")</f>
        <v>Victims Targeted</v>
      </c>
      <c r="Z327" s="5" t="str">
        <f ca="1">IFERROR(__xludf.DUMMYFUNCTION("""COMPUTED_VALUE"""),"No")</f>
        <v>No</v>
      </c>
      <c r="AA327" s="5"/>
      <c r="AB327" s="5" t="str">
        <f ca="1">IFERROR(__xludf.DUMMYFUNCTION("""COMPUTED_VALUE"""),"No")</f>
        <v>No</v>
      </c>
      <c r="AC327" s="5" t="str">
        <f ca="1">IFERROR(__xludf.DUMMYFUNCTION("""COMPUTED_VALUE"""),"No")</f>
        <v>No</v>
      </c>
      <c r="AD327" s="5" t="str">
        <f ca="1">IFERROR(__xludf.DUMMYFUNCTION("""COMPUTED_VALUE"""),"No")</f>
        <v>No</v>
      </c>
      <c r="AE327" s="5" t="str">
        <f ca="1">IFERROR(__xludf.DUMMYFUNCTION("""COMPUTED_VALUE"""),"Yes")</f>
        <v>Yes</v>
      </c>
      <c r="AF327" s="5" t="str">
        <f ca="1">IFERROR(__xludf.DUMMYFUNCTION("""COMPUTED_VALUE"""),"No")</f>
        <v>No</v>
      </c>
      <c r="AG327" s="5" t="str">
        <f ca="1">IFERROR(__xludf.DUMMYFUNCTION("""COMPUTED_VALUE"""),"No")</f>
        <v>No</v>
      </c>
      <c r="AH327" s="5" t="str">
        <f ca="1">IFERROR(__xludf.DUMMYFUNCTION("""COMPUTED_VALUE"""),"No")</f>
        <v>No</v>
      </c>
    </row>
    <row r="328" spans="1:34" ht="12.75">
      <c r="A328" s="5" t="str">
        <f ca="1">IFERROR(__xludf.DUMMYFUNCTION("""COMPUTED_VALUE"""),"20210830MDNEO")</f>
        <v>20210830MDNEO</v>
      </c>
      <c r="B328" s="8">
        <f ca="1">IFERROR(__xludf.DUMMYFUNCTION("""COMPUTED_VALUE"""),44438)</f>
        <v>44438</v>
      </c>
      <c r="C328" s="5" t="str">
        <f ca="1">IFERROR(__xludf.DUMMYFUNCTION("""COMPUTED_VALUE"""),"New Town High School")</f>
        <v>New Town High School</v>
      </c>
      <c r="D328" s="5">
        <f ca="1">IFERROR(__xludf.DUMMYFUNCTION("""COMPUTED_VALUE"""),0)</f>
        <v>0</v>
      </c>
      <c r="E328" s="5">
        <f ca="1">IFERROR(__xludf.DUMMYFUNCTION("""COMPUTED_VALUE"""),0)</f>
        <v>0</v>
      </c>
      <c r="F328" s="5">
        <f ca="1">IFERROR(__xludf.DUMMYFUNCTION("""COMPUTED_VALUE"""),0)</f>
        <v>0</v>
      </c>
      <c r="G328" s="5">
        <f ca="1">IFERROR(__xludf.DUMMYFUNCTION("""COMPUTED_VALUE"""),0)</f>
        <v>0</v>
      </c>
      <c r="H328" s="9" t="str">
        <f ca="1">IFERROR(__xludf.DUMMYFUNCTION("""COMPUTED_VALUE"""),"https://www.wmar2news.com/news/local-news/police-investigating-shots-fired-in-owings-mills-monday-afternoon")</f>
        <v>https://www.wmar2news.com/news/local-news/police-investigating-shots-fired-in-owings-mills-monday-afternoon</v>
      </c>
      <c r="I328" s="5">
        <f ca="1">IFERROR(__xludf.DUMMYFUNCTION("""COMPUTED_VALUE"""),1)</f>
        <v>1</v>
      </c>
      <c r="J328" s="5" t="str">
        <f ca="1">IFERROR(__xludf.DUMMYFUNCTION("""COMPUTED_VALUE"""),"Local")</f>
        <v>Local</v>
      </c>
      <c r="K328" s="5">
        <f ca="1">IFERROR(__xludf.DUMMYFUNCTION("""COMPUTED_VALUE"""),3)</f>
        <v>3</v>
      </c>
      <c r="L328" s="5" t="str">
        <f ca="1">IFERROR(__xludf.DUMMYFUNCTION("""COMPUTED_VALUE"""),"Fall")</f>
        <v>Fall</v>
      </c>
      <c r="M328" s="5" t="str">
        <f ca="1">IFERROR(__xludf.DUMMYFUNCTION("""COMPUTED_VALUE"""),"Owings Mills")</f>
        <v>Owings Mills</v>
      </c>
      <c r="N328" s="5" t="str">
        <f ca="1">IFERROR(__xludf.DUMMYFUNCTION("""COMPUTED_VALUE"""),"MD")</f>
        <v>MD</v>
      </c>
      <c r="O328" s="5" t="str">
        <f ca="1">IFERROR(__xludf.DUMMYFUNCTION("""COMPUTED_VALUE"""),"High")</f>
        <v>High</v>
      </c>
      <c r="P328" s="5" t="str">
        <f ca="1">IFERROR(__xludf.DUMMYFUNCTION("""COMPUTED_VALUE"""),"Outside on School Property")</f>
        <v>Outside on School Property</v>
      </c>
      <c r="Q328" s="5" t="str">
        <f ca="1">IFERROR(__xludf.DUMMYFUNCTION("""COMPUTED_VALUE"""),"Outside on School Property")</f>
        <v>Outside on School Property</v>
      </c>
      <c r="R328" s="5" t="str">
        <f ca="1">IFERROR(__xludf.DUMMYFUNCTION("""COMPUTED_VALUE"""),"Yes")</f>
        <v>Yes</v>
      </c>
      <c r="S328" s="5" t="str">
        <f ca="1">IFERROR(__xludf.DUMMYFUNCTION("""COMPUTED_VALUE"""),"Dismissal")</f>
        <v>Dismissal</v>
      </c>
      <c r="T328" s="10">
        <f ca="1">IFERROR(__xludf.DUMMYFUNCTION("""COMPUTED_VALUE"""),0.625)</f>
        <v>0.625</v>
      </c>
      <c r="U328" s="5">
        <f ca="1">IFERROR(__xludf.DUMMYFUNCTION("""COMPUTED_VALUE"""),1)</f>
        <v>1</v>
      </c>
      <c r="V328" s="5" t="str">
        <f ca="1">IFERROR(__xludf.DUMMYFUNCTION("""COMPUTED_VALUE"""),"Adult male fired shots during fight outside the school")</f>
        <v>Adult male fired shots during fight outside the school</v>
      </c>
      <c r="W328" s="5" t="str">
        <f ca="1">IFERROR(__xludf.DUMMYFUNCTION("""COMPUTED_VALUE"""),"A 34-year-old male fired shots during a fight outside the school. No one was injured. Shooter was arrested.")</f>
        <v>A 34-year-old male fired shots during a fight outside the school. No one was injured. Shooter was arrested.</v>
      </c>
      <c r="X328" s="5" t="str">
        <f ca="1">IFERROR(__xludf.DUMMYFUNCTION("""COMPUTED_VALUE"""),"Escalation of Dispute")</f>
        <v>Escalation of Dispute</v>
      </c>
      <c r="Y328" s="5" t="str">
        <f ca="1">IFERROR(__xludf.DUMMYFUNCTION("""COMPUTED_VALUE"""),"Neither")</f>
        <v>Neither</v>
      </c>
      <c r="Z328" s="5" t="str">
        <f ca="1">IFERROR(__xludf.DUMMYFUNCTION("""COMPUTED_VALUE"""),"No")</f>
        <v>No</v>
      </c>
      <c r="AA328" s="5"/>
      <c r="AB328" s="5" t="str">
        <f ca="1">IFERROR(__xludf.DUMMYFUNCTION("""COMPUTED_VALUE"""),"No")</f>
        <v>No</v>
      </c>
      <c r="AC328" s="5" t="str">
        <f ca="1">IFERROR(__xludf.DUMMYFUNCTION("""COMPUTED_VALUE"""),"No")</f>
        <v>No</v>
      </c>
      <c r="AD328" s="5" t="str">
        <f ca="1">IFERROR(__xludf.DUMMYFUNCTION("""COMPUTED_VALUE"""),"No")</f>
        <v>No</v>
      </c>
      <c r="AE328" s="5" t="str">
        <f ca="1">IFERROR(__xludf.DUMMYFUNCTION("""COMPUTED_VALUE"""),"No")</f>
        <v>No</v>
      </c>
      <c r="AF328" s="5" t="str">
        <f ca="1">IFERROR(__xludf.DUMMYFUNCTION("""COMPUTED_VALUE"""),"No")</f>
        <v>No</v>
      </c>
      <c r="AG328" s="5"/>
      <c r="AH328" s="5" t="str">
        <f ca="1">IFERROR(__xludf.DUMMYFUNCTION("""COMPUTED_VALUE"""),"No")</f>
        <v>No</v>
      </c>
    </row>
    <row r="329" spans="1:34" ht="12.75">
      <c r="A329" s="5" t="str">
        <f ca="1">IFERROR(__xludf.DUMMYFUNCTION("""COMPUTED_VALUE"""),"20210830FLOKW")</f>
        <v>20210830FLOKW</v>
      </c>
      <c r="B329" s="8">
        <f ca="1">IFERROR(__xludf.DUMMYFUNCTION("""COMPUTED_VALUE"""),44438)</f>
        <v>44438</v>
      </c>
      <c r="C329" s="5" t="str">
        <f ca="1">IFERROR(__xludf.DUMMYFUNCTION("""COMPUTED_VALUE"""),"Okeeheelee Middle School")</f>
        <v>Okeeheelee Middle School</v>
      </c>
      <c r="D329" s="5">
        <f ca="1">IFERROR(__xludf.DUMMYFUNCTION("""COMPUTED_VALUE"""),0)</f>
        <v>0</v>
      </c>
      <c r="E329" s="5">
        <f ca="1">IFERROR(__xludf.DUMMYFUNCTION("""COMPUTED_VALUE"""),0)</f>
        <v>0</v>
      </c>
      <c r="F329" s="5">
        <f ca="1">IFERROR(__xludf.DUMMYFUNCTION("""COMPUTED_VALUE"""),0)</f>
        <v>0</v>
      </c>
      <c r="G329" s="5">
        <f ca="1">IFERROR(__xludf.DUMMYFUNCTION("""COMPUTED_VALUE"""),0)</f>
        <v>0</v>
      </c>
      <c r="H329" s="9" t="str">
        <f ca="1">IFERROR(__xludf.DUMMYFUNCTION("""COMPUTED_VALUE"""),"https://cbs12.com/news/local/pbc-mom-complains-about-safety-on-buses-after-her-daughter-was-shot-with-a-pellet-gun")</f>
        <v>https://cbs12.com/news/local/pbc-mom-complains-about-safety-on-buses-after-her-daughter-was-shot-with-a-pellet-gun</v>
      </c>
      <c r="I329" s="5">
        <f ca="1">IFERROR(__xludf.DUMMYFUNCTION("""COMPUTED_VALUE"""),1)</f>
        <v>1</v>
      </c>
      <c r="J329" s="5" t="str">
        <f ca="1">IFERROR(__xludf.DUMMYFUNCTION("""COMPUTED_VALUE"""),"Local")</f>
        <v>Local</v>
      </c>
      <c r="K329" s="5">
        <f ca="1">IFERROR(__xludf.DUMMYFUNCTION("""COMPUTED_VALUE"""),3)</f>
        <v>3</v>
      </c>
      <c r="L329" s="5" t="str">
        <f ca="1">IFERROR(__xludf.DUMMYFUNCTION("""COMPUTED_VALUE"""),"Fall")</f>
        <v>Fall</v>
      </c>
      <c r="M329" s="5" t="str">
        <f ca="1">IFERROR(__xludf.DUMMYFUNCTION("""COMPUTED_VALUE"""),"West Palm Beach")</f>
        <v>West Palm Beach</v>
      </c>
      <c r="N329" s="5" t="str">
        <f ca="1">IFERROR(__xludf.DUMMYFUNCTION("""COMPUTED_VALUE"""),"FL")</f>
        <v>FL</v>
      </c>
      <c r="O329" s="5" t="str">
        <f ca="1">IFERROR(__xludf.DUMMYFUNCTION("""COMPUTED_VALUE"""),"Middle")</f>
        <v>Middle</v>
      </c>
      <c r="P329" s="5" t="str">
        <f ca="1">IFERROR(__xludf.DUMMYFUNCTION("""COMPUTED_VALUE"""),"School Bus")</f>
        <v>School Bus</v>
      </c>
      <c r="Q329" s="5" t="str">
        <f ca="1">IFERROR(__xludf.DUMMYFUNCTION("""COMPUTED_VALUE"""),"School Bus")</f>
        <v>School Bus</v>
      </c>
      <c r="R329" s="5" t="str">
        <f ca="1">IFERROR(__xludf.DUMMYFUNCTION("""COMPUTED_VALUE"""),"Yes")</f>
        <v>Yes</v>
      </c>
      <c r="S329" s="5" t="str">
        <f ca="1">IFERROR(__xludf.DUMMYFUNCTION("""COMPUTED_VALUE"""),"Dismissal")</f>
        <v>Dismissal</v>
      </c>
      <c r="T329" s="10">
        <f ca="1">IFERROR(__xludf.DUMMYFUNCTION("""COMPUTED_VALUE"""),0.604166666666666)</f>
        <v>0.60416666666666596</v>
      </c>
      <c r="U329" s="5">
        <f ca="1">IFERROR(__xludf.DUMMYFUNCTION("""COMPUTED_VALUE"""),1)</f>
        <v>1</v>
      </c>
      <c r="V329" s="5" t="str">
        <f ca="1">IFERROR(__xludf.DUMMYFUNCTION("""COMPUTED_VALUE"""),"Female student shot in the neck with a pellet gun on the school bus")</f>
        <v>Female student shot in the neck with a pellet gun on the school bus</v>
      </c>
      <c r="W329"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X329" s="5"/>
      <c r="Y329" s="5"/>
      <c r="Z329" s="5"/>
      <c r="AA329" s="5"/>
      <c r="AB329" s="5" t="str">
        <f ca="1">IFERROR(__xludf.DUMMYFUNCTION("""COMPUTED_VALUE"""),"No")</f>
        <v>No</v>
      </c>
      <c r="AC329" s="5" t="str">
        <f ca="1">IFERROR(__xludf.DUMMYFUNCTION("""COMPUTED_VALUE"""),"No")</f>
        <v>No</v>
      </c>
      <c r="AD329" s="5" t="str">
        <f ca="1">IFERROR(__xludf.DUMMYFUNCTION("""COMPUTED_VALUE"""),"No")</f>
        <v>No</v>
      </c>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row>
    <row r="330" spans="1:34" ht="12.75">
      <c r="A330" s="5" t="str">
        <f ca="1">IFERROR(__xludf.DUMMYFUNCTION("""COMPUTED_VALUE"""),"20210828CASAS")</f>
        <v>20210828CASAS</v>
      </c>
      <c r="B330" s="8">
        <f ca="1">IFERROR(__xludf.DUMMYFUNCTION("""COMPUTED_VALUE"""),44436)</f>
        <v>44436</v>
      </c>
      <c r="C330" s="5" t="str">
        <f ca="1">IFERROR(__xludf.DUMMYFUNCTION("""COMPUTED_VALUE"""),"Santa Maria High School")</f>
        <v>Santa Maria High School</v>
      </c>
      <c r="D330" s="5">
        <f ca="1">IFERROR(__xludf.DUMMYFUNCTION("""COMPUTED_VALUE"""),0)</f>
        <v>0</v>
      </c>
      <c r="E330" s="5">
        <f ca="1">IFERROR(__xludf.DUMMYFUNCTION("""COMPUTED_VALUE"""),0)</f>
        <v>0</v>
      </c>
      <c r="F330" s="5">
        <f ca="1">IFERROR(__xludf.DUMMYFUNCTION("""COMPUTED_VALUE"""),0)</f>
        <v>0</v>
      </c>
      <c r="G330" s="5">
        <f ca="1">IFERROR(__xludf.DUMMYFUNCTION("""COMPUTED_VALUE"""),0)</f>
        <v>0</v>
      </c>
      <c r="H330" s="9" t="str">
        <f ca="1">IFERROR(__xludf.DUMMYFUNCTION("""COMPUTED_VALUE"""),"https://keyt.com/news/crime/2021/08/28/police-investigating-shots-fired-at-santa-maria-high-school/")</f>
        <v>https://keyt.com/news/crime/2021/08/28/police-investigating-shots-fired-at-santa-maria-high-school/</v>
      </c>
      <c r="I330" s="5">
        <f ca="1">IFERROR(__xludf.DUMMYFUNCTION("""COMPUTED_VALUE"""),1)</f>
        <v>1</v>
      </c>
      <c r="J330" s="5" t="str">
        <f ca="1">IFERROR(__xludf.DUMMYFUNCTION("""COMPUTED_VALUE"""),"Local")</f>
        <v>Local</v>
      </c>
      <c r="K330" s="5">
        <f ca="1">IFERROR(__xludf.DUMMYFUNCTION("""COMPUTED_VALUE"""),3)</f>
        <v>3</v>
      </c>
      <c r="L330" s="5" t="str">
        <f ca="1">IFERROR(__xludf.DUMMYFUNCTION("""COMPUTED_VALUE"""),"Fall")</f>
        <v>Fall</v>
      </c>
      <c r="M330" s="5" t="str">
        <f ca="1">IFERROR(__xludf.DUMMYFUNCTION("""COMPUTED_VALUE"""),"Santa Maria")</f>
        <v>Santa Maria</v>
      </c>
      <c r="N330" s="5" t="str">
        <f ca="1">IFERROR(__xludf.DUMMYFUNCTION("""COMPUTED_VALUE"""),"CA")</f>
        <v>CA</v>
      </c>
      <c r="O330" s="5" t="str">
        <f ca="1">IFERROR(__xludf.DUMMYFUNCTION("""COMPUTED_VALUE"""),"High")</f>
        <v>High</v>
      </c>
      <c r="P330" s="5" t="str">
        <f ca="1">IFERROR(__xludf.DUMMYFUNCTION("""COMPUTED_VALUE"""),"Football Field/Track")</f>
        <v>Football Field/Track</v>
      </c>
      <c r="Q330" s="5" t="str">
        <f ca="1">IFERROR(__xludf.DUMMYFUNCTION("""COMPUTED_VALUE"""),"Outside on School Property")</f>
        <v>Outside on School Property</v>
      </c>
      <c r="R330" s="5" t="str">
        <f ca="1">IFERROR(__xludf.DUMMYFUNCTION("""COMPUTED_VALUE"""),"No")</f>
        <v>No</v>
      </c>
      <c r="S330" s="5" t="str">
        <f ca="1">IFERROR(__xludf.DUMMYFUNCTION("""COMPUTED_VALUE"""),"Sport Event")</f>
        <v>Sport Event</v>
      </c>
      <c r="T330" s="10">
        <f ca="1">IFERROR(__xludf.DUMMYFUNCTION("""COMPUTED_VALUE"""),0.666666666666666)</f>
        <v>0.66666666666666596</v>
      </c>
      <c r="U330" s="5">
        <f ca="1">IFERROR(__xludf.DUMMYFUNCTION("""COMPUTED_VALUE"""),1)</f>
        <v>1</v>
      </c>
      <c r="V330" s="5" t="str">
        <f ca="1">IFERROR(__xludf.DUMMYFUNCTION("""COMPUTED_VALUE"""),"Police called for shots fired at football game, police recovered gun")</f>
        <v>Police called for shots fired at football game, police recovered gun</v>
      </c>
      <c r="W330"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X330" s="5"/>
      <c r="Y330" s="5"/>
      <c r="Z330" s="5" t="str">
        <f ca="1">IFERROR(__xludf.DUMMYFUNCTION("""COMPUTED_VALUE"""),"No")</f>
        <v>No</v>
      </c>
      <c r="AA330" s="5"/>
      <c r="AB330" s="5" t="str">
        <f ca="1">IFERROR(__xludf.DUMMYFUNCTION("""COMPUTED_VALUE"""),"No")</f>
        <v>No</v>
      </c>
      <c r="AC330" s="5" t="str">
        <f ca="1">IFERROR(__xludf.DUMMYFUNCTION("""COMPUTED_VALUE"""),"No")</f>
        <v>No</v>
      </c>
      <c r="AD330" s="5" t="str">
        <f ca="1">IFERROR(__xludf.DUMMYFUNCTION("""COMPUTED_VALUE"""),"No")</f>
        <v>No</v>
      </c>
      <c r="AE330" s="5" t="str">
        <f ca="1">IFERROR(__xludf.DUMMYFUNCTION("""COMPUTED_VALUE"""),"No")</f>
        <v>No</v>
      </c>
      <c r="AF330" s="5" t="str">
        <f ca="1">IFERROR(__xludf.DUMMYFUNCTION("""COMPUTED_VALUE"""),"No")</f>
        <v>No</v>
      </c>
      <c r="AG330" s="5"/>
      <c r="AH330" s="5" t="str">
        <f ca="1">IFERROR(__xludf.DUMMYFUNCTION("""COMPUTED_VALUE"""),"No")</f>
        <v>No</v>
      </c>
    </row>
    <row r="331" spans="1:34" ht="12.75">
      <c r="A331" s="5" t="str">
        <f ca="1">IFERROR(__xludf.DUMMYFUNCTION("""COMPUTED_VALUE"""),"20210827VTEDB")</f>
        <v>20210827VTEDB</v>
      </c>
      <c r="B331" s="8">
        <f ca="1">IFERROR(__xludf.DUMMYFUNCTION("""COMPUTED_VALUE"""),44435)</f>
        <v>44435</v>
      </c>
      <c r="C331" s="5" t="str">
        <f ca="1">IFERROR(__xludf.DUMMYFUNCTION("""COMPUTED_VALUE"""),"Edmunds Middle School")</f>
        <v>Edmunds Middle School</v>
      </c>
      <c r="D331" s="5">
        <f ca="1">IFERROR(__xludf.DUMMYFUNCTION("""COMPUTED_VALUE"""),0)</f>
        <v>0</v>
      </c>
      <c r="E331" s="5">
        <f ca="1">IFERROR(__xludf.DUMMYFUNCTION("""COMPUTED_VALUE"""),0)</f>
        <v>0</v>
      </c>
      <c r="F331" s="5">
        <f ca="1">IFERROR(__xludf.DUMMYFUNCTION("""COMPUTED_VALUE"""),0)</f>
        <v>0</v>
      </c>
      <c r="G331" s="5">
        <f ca="1">IFERROR(__xludf.DUMMYFUNCTION("""COMPUTED_VALUE"""),0)</f>
        <v>0</v>
      </c>
      <c r="H331" s="9" t="str">
        <f ca="1">IFERROR(__xludf.DUMMYFUNCTION("""COMPUTED_VALUE"""),"https://www.wcax.com/2021/08/27/burlington-schools-canceled-due-police-incident/")</f>
        <v>https://www.wcax.com/2021/08/27/burlington-schools-canceled-due-police-incident/</v>
      </c>
      <c r="I331" s="5">
        <f ca="1">IFERROR(__xludf.DUMMYFUNCTION("""COMPUTED_VALUE"""),1)</f>
        <v>1</v>
      </c>
      <c r="J331" s="5" t="str">
        <f ca="1">IFERROR(__xludf.DUMMYFUNCTION("""COMPUTED_VALUE"""),"Local")</f>
        <v>Local</v>
      </c>
      <c r="K331" s="5">
        <f ca="1">IFERROR(__xludf.DUMMYFUNCTION("""COMPUTED_VALUE"""),4)</f>
        <v>4</v>
      </c>
      <c r="L331" s="5" t="str">
        <f ca="1">IFERROR(__xludf.DUMMYFUNCTION("""COMPUTED_VALUE"""),"Fall")</f>
        <v>Fall</v>
      </c>
      <c r="M331" s="5" t="str">
        <f ca="1">IFERROR(__xludf.DUMMYFUNCTION("""COMPUTED_VALUE"""),"Burlington")</f>
        <v>Burlington</v>
      </c>
      <c r="N331" s="5" t="str">
        <f ca="1">IFERROR(__xludf.DUMMYFUNCTION("""COMPUTED_VALUE"""),"VT")</f>
        <v>VT</v>
      </c>
      <c r="O331" s="5" t="str">
        <f ca="1">IFERROR(__xludf.DUMMYFUNCTION("""COMPUTED_VALUE"""),"Middle")</f>
        <v>Middle</v>
      </c>
      <c r="P331" s="5" t="str">
        <f ca="1">IFERROR(__xludf.DUMMYFUNCTION("""COMPUTED_VALUE"""),"Front of School")</f>
        <v>Front of School</v>
      </c>
      <c r="Q331" s="5" t="str">
        <f ca="1">IFERROR(__xludf.DUMMYFUNCTION("""COMPUTED_VALUE"""),"Both Inside/Outside")</f>
        <v>Both Inside/Outside</v>
      </c>
      <c r="R331" s="5" t="str">
        <f ca="1">IFERROR(__xludf.DUMMYFUNCTION("""COMPUTED_VALUE"""),"No")</f>
        <v>No</v>
      </c>
      <c r="S331" s="5" t="str">
        <f ca="1">IFERROR(__xludf.DUMMYFUNCTION("""COMPUTED_VALUE"""),"Before School")</f>
        <v>Before School</v>
      </c>
      <c r="T331" s="5"/>
      <c r="U331" s="5">
        <f ca="1">IFERROR(__xludf.DUMMYFUNCTION("""COMPUTED_VALUE"""),1)</f>
        <v>1</v>
      </c>
      <c r="V331" s="5" t="str">
        <f ca="1">IFERROR(__xludf.DUMMYFUNCTION("""COMPUTED_VALUE"""),"Bullet hole found in school window, classes cancelled at 2 schools")</f>
        <v>Bullet hole found in school window, classes cancelled at 2 schools</v>
      </c>
      <c r="W331"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X331" s="5" t="str">
        <f ca="1">IFERROR(__xludf.DUMMYFUNCTION("""COMPUTED_VALUE"""),"Intentional Property Damage")</f>
        <v>Intentional Property Damage</v>
      </c>
      <c r="Y331" s="5" t="str">
        <f ca="1">IFERROR(__xludf.DUMMYFUNCTION("""COMPUTED_VALUE"""),"Neither")</f>
        <v>Neither</v>
      </c>
      <c r="Z331" s="5" t="str">
        <f ca="1">IFERROR(__xludf.DUMMYFUNCTION("""COMPUTED_VALUE"""),"No")</f>
        <v>No</v>
      </c>
      <c r="AA331" s="5"/>
      <c r="AB331" s="5" t="str">
        <f ca="1">IFERROR(__xludf.DUMMYFUNCTION("""COMPUTED_VALUE"""),"No")</f>
        <v>No</v>
      </c>
      <c r="AC331" s="5" t="str">
        <f ca="1">IFERROR(__xludf.DUMMYFUNCTION("""COMPUTED_VALUE"""),"No")</f>
        <v>No</v>
      </c>
      <c r="AD331" s="5" t="str">
        <f ca="1">IFERROR(__xludf.DUMMYFUNCTION("""COMPUTED_VALUE"""),"No")</f>
        <v>No</v>
      </c>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row>
    <row r="332" spans="1:34" ht="12.75">
      <c r="A332" s="5" t="str">
        <f ca="1">IFERROR(__xludf.DUMMYFUNCTION("""COMPUTED_VALUE"""),"20210827VAFRW")</f>
        <v>20210827VAFRW</v>
      </c>
      <c r="B332" s="8">
        <f ca="1">IFERROR(__xludf.DUMMYFUNCTION("""COMPUTED_VALUE"""),44435)</f>
        <v>44435</v>
      </c>
      <c r="C332" s="5" t="str">
        <f ca="1">IFERROR(__xludf.DUMMYFUNCTION("""COMPUTED_VALUE"""),"Freedom High School")</f>
        <v>Freedom High School</v>
      </c>
      <c r="D332" s="5">
        <f ca="1">IFERROR(__xludf.DUMMYFUNCTION("""COMPUTED_VALUE"""),0)</f>
        <v>0</v>
      </c>
      <c r="E332" s="5">
        <f ca="1">IFERROR(__xludf.DUMMYFUNCTION("""COMPUTED_VALUE"""),2)</f>
        <v>2</v>
      </c>
      <c r="F332" s="5">
        <f ca="1">IFERROR(__xludf.DUMMYFUNCTION("""COMPUTED_VALUE"""),2)</f>
        <v>2</v>
      </c>
      <c r="G332" s="5">
        <f ca="1">IFERROR(__xludf.DUMMYFUNCTION("""COMPUTED_VALUE"""),0)</f>
        <v>0</v>
      </c>
      <c r="H332"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I332" s="5">
        <f ca="1">IFERROR(__xludf.DUMMYFUNCTION("""COMPUTED_VALUE"""),50)</f>
        <v>50</v>
      </c>
      <c r="J332" s="5" t="str">
        <f ca="1">IFERROR(__xludf.DUMMYFUNCTION("""COMPUTED_VALUE"""),"Regional")</f>
        <v>Regional</v>
      </c>
      <c r="K332" s="5">
        <f ca="1">IFERROR(__xludf.DUMMYFUNCTION("""COMPUTED_VALUE"""),4)</f>
        <v>4</v>
      </c>
      <c r="L332" s="5" t="str">
        <f ca="1">IFERROR(__xludf.DUMMYFUNCTION("""COMPUTED_VALUE"""),"Fall")</f>
        <v>Fall</v>
      </c>
      <c r="M332" s="5" t="str">
        <f ca="1">IFERROR(__xludf.DUMMYFUNCTION("""COMPUTED_VALUE"""),"Woodbridge")</f>
        <v>Woodbridge</v>
      </c>
      <c r="N332" s="5" t="str">
        <f ca="1">IFERROR(__xludf.DUMMYFUNCTION("""COMPUTED_VALUE"""),"VA")</f>
        <v>VA</v>
      </c>
      <c r="O332" s="5" t="str">
        <f ca="1">IFERROR(__xludf.DUMMYFUNCTION("""COMPUTED_VALUE"""),"High")</f>
        <v>High</v>
      </c>
      <c r="P332" s="5" t="str">
        <f ca="1">IFERROR(__xludf.DUMMYFUNCTION("""COMPUTED_VALUE"""),"Parking Lot")</f>
        <v>Parking Lot</v>
      </c>
      <c r="Q332" s="5" t="str">
        <f ca="1">IFERROR(__xludf.DUMMYFUNCTION("""COMPUTED_VALUE"""),"Outside on School Property")</f>
        <v>Outside on School Property</v>
      </c>
      <c r="R332" s="5" t="str">
        <f ca="1">IFERROR(__xludf.DUMMYFUNCTION("""COMPUTED_VALUE"""),"No")</f>
        <v>No</v>
      </c>
      <c r="S332" s="5" t="str">
        <f ca="1">IFERROR(__xludf.DUMMYFUNCTION("""COMPUTED_VALUE"""),"Sport Event")</f>
        <v>Sport Event</v>
      </c>
      <c r="T332" s="10">
        <f ca="1">IFERROR(__xludf.DUMMYFUNCTION("""COMPUTED_VALUE"""),0.881944444444444)</f>
        <v>0.88194444444444398</v>
      </c>
      <c r="U332" s="5">
        <f ca="1">IFERROR(__xludf.DUMMYFUNCTION("""COMPUTED_VALUE"""),1)</f>
        <v>1</v>
      </c>
      <c r="V332" s="5" t="str">
        <f ca="1">IFERROR(__xludf.DUMMYFUNCTION("""COMPUTED_VALUE"""),"Teen fired shots into the crowd following football game")</f>
        <v>Teen fired shots into the crowd following football game</v>
      </c>
      <c r="W332"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X332" s="5" t="str">
        <f ca="1">IFERROR(__xludf.DUMMYFUNCTION("""COMPUTED_VALUE"""),"Escalation of Dispute")</f>
        <v>Escalation of Dispute</v>
      </c>
      <c r="Y332" s="5" t="str">
        <f ca="1">IFERROR(__xludf.DUMMYFUNCTION("""COMPUTED_VALUE"""),"Both")</f>
        <v>Both</v>
      </c>
      <c r="Z332" s="5"/>
      <c r="AA332" s="5"/>
      <c r="AB332" s="5" t="str">
        <f ca="1">IFERROR(__xludf.DUMMYFUNCTION("""COMPUTED_VALUE"""),"No")</f>
        <v>No</v>
      </c>
      <c r="AC332" s="5" t="str">
        <f ca="1">IFERROR(__xludf.DUMMYFUNCTION("""COMPUTED_VALUE"""),"No")</f>
        <v>No</v>
      </c>
      <c r="AD332" s="5" t="str">
        <f ca="1">IFERROR(__xludf.DUMMYFUNCTION("""COMPUTED_VALUE"""),"No")</f>
        <v>No</v>
      </c>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row>
    <row r="333" spans="1:34" ht="12.75">
      <c r="A333" s="5" t="str">
        <f ca="1">IFERROR(__xludf.DUMMYFUNCTION("""COMPUTED_VALUE"""),"20210827PAACS")</f>
        <v>20210827PAACS</v>
      </c>
      <c r="B333" s="8">
        <f ca="1">IFERROR(__xludf.DUMMYFUNCTION("""COMPUTED_VALUE"""),44435)</f>
        <v>44435</v>
      </c>
      <c r="C333" s="5" t="str">
        <f ca="1">IFERROR(__xludf.DUMMYFUNCTION("""COMPUTED_VALUE"""),"Academy Park High School")</f>
        <v>Academy Park High School</v>
      </c>
      <c r="D333" s="5">
        <f ca="1">IFERROR(__xludf.DUMMYFUNCTION("""COMPUTED_VALUE"""),1)</f>
        <v>1</v>
      </c>
      <c r="E333" s="5">
        <f ca="1">IFERROR(__xludf.DUMMYFUNCTION("""COMPUTED_VALUE"""),4)</f>
        <v>4</v>
      </c>
      <c r="F333" s="5">
        <f ca="1">IFERROR(__xludf.DUMMYFUNCTION("""COMPUTED_VALUE"""),5)</f>
        <v>5</v>
      </c>
      <c r="G333" s="5">
        <f ca="1">IFERROR(__xludf.DUMMYFUNCTION("""COMPUTED_VALUE"""),0)</f>
        <v>0</v>
      </c>
      <c r="H333"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I333" s="5">
        <f ca="1">IFERROR(__xludf.DUMMYFUNCTION("""COMPUTED_VALUE"""),100)</f>
        <v>100</v>
      </c>
      <c r="J333" s="5" t="str">
        <f ca="1">IFERROR(__xludf.DUMMYFUNCTION("""COMPUTED_VALUE"""),"National")</f>
        <v>National</v>
      </c>
      <c r="K333" s="5">
        <f ca="1">IFERROR(__xludf.DUMMYFUNCTION("""COMPUTED_VALUE"""),4)</f>
        <v>4</v>
      </c>
      <c r="L333" s="5" t="str">
        <f ca="1">IFERROR(__xludf.DUMMYFUNCTION("""COMPUTED_VALUE"""),"Fall")</f>
        <v>Fall</v>
      </c>
      <c r="M333" s="5" t="str">
        <f ca="1">IFERROR(__xludf.DUMMYFUNCTION("""COMPUTED_VALUE"""),"Sharon Hill")</f>
        <v>Sharon Hill</v>
      </c>
      <c r="N333" s="5" t="str">
        <f ca="1">IFERROR(__xludf.DUMMYFUNCTION("""COMPUTED_VALUE"""),"PA")</f>
        <v>PA</v>
      </c>
      <c r="O333" s="5" t="str">
        <f ca="1">IFERROR(__xludf.DUMMYFUNCTION("""COMPUTED_VALUE"""),"High")</f>
        <v>High</v>
      </c>
      <c r="P333" s="5" t="str">
        <f ca="1">IFERROR(__xludf.DUMMYFUNCTION("""COMPUTED_VALUE"""),"Football Field/Track")</f>
        <v>Football Field/Track</v>
      </c>
      <c r="Q333" s="5" t="str">
        <f ca="1">IFERROR(__xludf.DUMMYFUNCTION("""COMPUTED_VALUE"""),"Outside on School Property")</f>
        <v>Outside on School Property</v>
      </c>
      <c r="R333" s="5" t="str">
        <f ca="1">IFERROR(__xludf.DUMMYFUNCTION("""COMPUTED_VALUE"""),"No")</f>
        <v>No</v>
      </c>
      <c r="S333" s="5" t="str">
        <f ca="1">IFERROR(__xludf.DUMMYFUNCTION("""COMPUTED_VALUE"""),"Sport Event")</f>
        <v>Sport Event</v>
      </c>
      <c r="T333" s="10">
        <f ca="1">IFERROR(__xludf.DUMMYFUNCTION("""COMPUTED_VALUE"""),0.875)</f>
        <v>0.875</v>
      </c>
      <c r="U333" s="5">
        <f ca="1">IFERROR(__xludf.DUMMYFUNCTION("""COMPUTED_VALUE"""),1)</f>
        <v>1</v>
      </c>
      <c r="V333" s="5" t="str">
        <f ca="1">IFERROR(__xludf.DUMMYFUNCTION("""COMPUTED_VALUE"""),"Three officers fired into crowd following football game")</f>
        <v>Three officers fired into crowd following football game</v>
      </c>
      <c r="W333"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X333" s="5" t="str">
        <f ca="1">IFERROR(__xludf.DUMMYFUNCTION("""COMPUTED_VALUE"""),"Escalation of Dispute")</f>
        <v>Escalation of Dispute</v>
      </c>
      <c r="Y333" s="5" t="str">
        <f ca="1">IFERROR(__xludf.DUMMYFUNCTION("""COMPUTED_VALUE"""),"Random Shooting")</f>
        <v>Random Shooting</v>
      </c>
      <c r="Z333" s="5"/>
      <c r="AA333" s="5"/>
      <c r="AB333" s="5" t="str">
        <f ca="1">IFERROR(__xludf.DUMMYFUNCTION("""COMPUTED_VALUE"""),"No")</f>
        <v>No</v>
      </c>
      <c r="AC333" s="5" t="str">
        <f ca="1">IFERROR(__xludf.DUMMYFUNCTION("""COMPUTED_VALUE"""),"No")</f>
        <v>No</v>
      </c>
      <c r="AD333" s="5" t="str">
        <f ca="1">IFERROR(__xludf.DUMMYFUNCTION("""COMPUTED_VALUE"""),"Yes")</f>
        <v>Yes</v>
      </c>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row>
    <row r="334" spans="1:34" ht="12.75">
      <c r="A334" s="5" t="str">
        <f ca="1">IFERROR(__xludf.DUMMYFUNCTION("""COMPUTED_VALUE"""),"20210827KYAPO")</f>
        <v>20210827KYAPO</v>
      </c>
      <c r="B334" s="8">
        <f ca="1">IFERROR(__xludf.DUMMYFUNCTION("""COMPUTED_VALUE"""),44435)</f>
        <v>44435</v>
      </c>
      <c r="C334" s="5" t="str">
        <f ca="1">IFERROR(__xludf.DUMMYFUNCTION("""COMPUTED_VALUE"""),"Apollo High School")</f>
        <v>Apollo High School</v>
      </c>
      <c r="D334" s="5">
        <f ca="1">IFERROR(__xludf.DUMMYFUNCTION("""COMPUTED_VALUE"""),0)</f>
        <v>0</v>
      </c>
      <c r="E334" s="5">
        <f ca="1">IFERROR(__xludf.DUMMYFUNCTION("""COMPUTED_VALUE"""),1)</f>
        <v>1</v>
      </c>
      <c r="F334" s="5">
        <f ca="1">IFERROR(__xludf.DUMMYFUNCTION("""COMPUTED_VALUE"""),1)</f>
        <v>1</v>
      </c>
      <c r="G334" s="5">
        <f ca="1">IFERROR(__xludf.DUMMYFUNCTION("""COMPUTED_VALUE"""),0)</f>
        <v>0</v>
      </c>
      <c r="H334"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I334" s="5">
        <f ca="1">IFERROR(__xludf.DUMMYFUNCTION("""COMPUTED_VALUE"""),1)</f>
        <v>1</v>
      </c>
      <c r="J334" s="5" t="str">
        <f ca="1">IFERROR(__xludf.DUMMYFUNCTION("""COMPUTED_VALUE"""),"Local")</f>
        <v>Local</v>
      </c>
      <c r="K334" s="5">
        <f ca="1">IFERROR(__xludf.DUMMYFUNCTION("""COMPUTED_VALUE"""),4)</f>
        <v>4</v>
      </c>
      <c r="L334" s="5" t="str">
        <f ca="1">IFERROR(__xludf.DUMMYFUNCTION("""COMPUTED_VALUE"""),"Fall")</f>
        <v>Fall</v>
      </c>
      <c r="M334" s="5" t="str">
        <f ca="1">IFERROR(__xludf.DUMMYFUNCTION("""COMPUTED_VALUE"""),"Owensboro")</f>
        <v>Owensboro</v>
      </c>
      <c r="N334" s="5" t="str">
        <f ca="1">IFERROR(__xludf.DUMMYFUNCTION("""COMPUTED_VALUE"""),"KY")</f>
        <v>KY</v>
      </c>
      <c r="O334" s="5" t="str">
        <f ca="1">IFERROR(__xludf.DUMMYFUNCTION("""COMPUTED_VALUE"""),"High")</f>
        <v>High</v>
      </c>
      <c r="P334" s="5" t="str">
        <f ca="1">IFERROR(__xludf.DUMMYFUNCTION("""COMPUTED_VALUE"""),"Parking Lot")</f>
        <v>Parking Lot</v>
      </c>
      <c r="Q334" s="5" t="str">
        <f ca="1">IFERROR(__xludf.DUMMYFUNCTION("""COMPUTED_VALUE"""),"Outside on School Property")</f>
        <v>Outside on School Property</v>
      </c>
      <c r="R334" s="5" t="str">
        <f ca="1">IFERROR(__xludf.DUMMYFUNCTION("""COMPUTED_VALUE"""),"No")</f>
        <v>No</v>
      </c>
      <c r="S334" s="5" t="str">
        <f ca="1">IFERROR(__xludf.DUMMYFUNCTION("""COMPUTED_VALUE"""),"Sport Event")</f>
        <v>Sport Event</v>
      </c>
      <c r="T334" s="10">
        <f ca="1">IFERROR(__xludf.DUMMYFUNCTION("""COMPUTED_VALUE"""),0.902777777777777)</f>
        <v>0.90277777777777701</v>
      </c>
      <c r="U334" s="5">
        <f ca="1">IFERROR(__xludf.DUMMYFUNCTION("""COMPUTED_VALUE"""),1)</f>
        <v>1</v>
      </c>
      <c r="V334" s="5" t="str">
        <f ca="1">IFERROR(__xludf.DUMMYFUNCTION("""COMPUTED_VALUE"""),"Man shot during fight following football game")</f>
        <v>Man shot during fight following football game</v>
      </c>
      <c r="W334"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X334" s="5" t="str">
        <f ca="1">IFERROR(__xludf.DUMMYFUNCTION("""COMPUTED_VALUE"""),"Escalation of Dispute")</f>
        <v>Escalation of Dispute</v>
      </c>
      <c r="Y334" s="5" t="str">
        <f ca="1">IFERROR(__xludf.DUMMYFUNCTION("""COMPUTED_VALUE"""),"Victims Targeted")</f>
        <v>Victims Targeted</v>
      </c>
      <c r="Z334" s="5" t="str">
        <f ca="1">IFERROR(__xludf.DUMMYFUNCTION("""COMPUTED_VALUE"""),"No")</f>
        <v>No</v>
      </c>
      <c r="AA334" s="5"/>
      <c r="AB334" s="5" t="str">
        <f ca="1">IFERROR(__xludf.DUMMYFUNCTION("""COMPUTED_VALUE"""),"No")</f>
        <v>No</v>
      </c>
      <c r="AC334" s="5" t="str">
        <f ca="1">IFERROR(__xludf.DUMMYFUNCTION("""COMPUTED_VALUE"""),"No")</f>
        <v>No</v>
      </c>
      <c r="AD334" s="5" t="str">
        <f ca="1">IFERROR(__xludf.DUMMYFUNCTION("""COMPUTED_VALUE"""),"No")</f>
        <v>No</v>
      </c>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row>
    <row r="335" spans="1:34" ht="12.75">
      <c r="A335" s="5" t="str">
        <f ca="1">IFERROR(__xludf.DUMMYFUNCTION("""COMPUTED_VALUE"""),"20210827INHAH")</f>
        <v>20210827INHAH</v>
      </c>
      <c r="B335" s="8">
        <f ca="1">IFERROR(__xludf.DUMMYFUNCTION("""COMPUTED_VALUE"""),44435)</f>
        <v>44435</v>
      </c>
      <c r="C335" s="5" t="str">
        <f ca="1">IFERROR(__xludf.DUMMYFUNCTION("""COMPUTED_VALUE"""),"Hammond Central High School")</f>
        <v>Hammond Central High School</v>
      </c>
      <c r="D335" s="5">
        <f ca="1">IFERROR(__xludf.DUMMYFUNCTION("""COMPUTED_VALUE"""),0)</f>
        <v>0</v>
      </c>
      <c r="E335" s="5">
        <f ca="1">IFERROR(__xludf.DUMMYFUNCTION("""COMPUTED_VALUE"""),2)</f>
        <v>2</v>
      </c>
      <c r="F335" s="5">
        <f ca="1">IFERROR(__xludf.DUMMYFUNCTION("""COMPUTED_VALUE"""),2)</f>
        <v>2</v>
      </c>
      <c r="G335" s="5">
        <f ca="1">IFERROR(__xludf.DUMMYFUNCTION("""COMPUTED_VALUE"""),0)</f>
        <v>0</v>
      </c>
      <c r="H335"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I335" s="5">
        <f ca="1">IFERROR(__xludf.DUMMYFUNCTION("""COMPUTED_VALUE"""),5)</f>
        <v>5</v>
      </c>
      <c r="J335" s="5" t="str">
        <f ca="1">IFERROR(__xludf.DUMMYFUNCTION("""COMPUTED_VALUE"""),"Local")</f>
        <v>Local</v>
      </c>
      <c r="K335" s="5">
        <f ca="1">IFERROR(__xludf.DUMMYFUNCTION("""COMPUTED_VALUE"""),4)</f>
        <v>4</v>
      </c>
      <c r="L335" s="5" t="str">
        <f ca="1">IFERROR(__xludf.DUMMYFUNCTION("""COMPUTED_VALUE"""),"Fall")</f>
        <v>Fall</v>
      </c>
      <c r="M335" s="5" t="str">
        <f ca="1">IFERROR(__xludf.DUMMYFUNCTION("""COMPUTED_VALUE"""),"Hammond")</f>
        <v>Hammond</v>
      </c>
      <c r="N335" s="5" t="str">
        <f ca="1">IFERROR(__xludf.DUMMYFUNCTION("""COMPUTED_VALUE"""),"IN")</f>
        <v>IN</v>
      </c>
      <c r="O335" s="5" t="str">
        <f ca="1">IFERROR(__xludf.DUMMYFUNCTION("""COMPUTED_VALUE"""),"High")</f>
        <v>High</v>
      </c>
      <c r="P335" s="5" t="str">
        <f ca="1">IFERROR(__xludf.DUMMYFUNCTION("""COMPUTED_VALUE"""),"Beside Building")</f>
        <v>Beside Building</v>
      </c>
      <c r="Q335" s="5" t="str">
        <f ca="1">IFERROR(__xludf.DUMMYFUNCTION("""COMPUTED_VALUE"""),"Outside on School Property")</f>
        <v>Outside on School Property</v>
      </c>
      <c r="R335" s="5" t="str">
        <f ca="1">IFERROR(__xludf.DUMMYFUNCTION("""COMPUTED_VALUE"""),"Yes")</f>
        <v>Yes</v>
      </c>
      <c r="S335" s="5" t="str">
        <f ca="1">IFERROR(__xludf.DUMMYFUNCTION("""COMPUTED_VALUE"""),"Dismissal")</f>
        <v>Dismissal</v>
      </c>
      <c r="T335" s="10">
        <f ca="1">IFERROR(__xludf.DUMMYFUNCTION("""COMPUTED_VALUE"""),0.600694444444444)</f>
        <v>0.60069444444444398</v>
      </c>
      <c r="U335" s="5">
        <f ca="1">IFERROR(__xludf.DUMMYFUNCTION("""COMPUTED_VALUE"""),1)</f>
        <v>1</v>
      </c>
      <c r="V335" s="5" t="str">
        <f ca="1">IFERROR(__xludf.DUMMYFUNCTION("""COMPUTED_VALUE"""),"Two student shot beside the school building")</f>
        <v>Two student shot beside the school building</v>
      </c>
      <c r="W335"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X335" s="5" t="str">
        <f ca="1">IFERROR(__xludf.DUMMYFUNCTION("""COMPUTED_VALUE"""),"Illegal Activity")</f>
        <v>Illegal Activity</v>
      </c>
      <c r="Y335" s="5" t="str">
        <f ca="1">IFERROR(__xludf.DUMMYFUNCTION("""COMPUTED_VALUE"""),"Both")</f>
        <v>Both</v>
      </c>
      <c r="Z335" s="5" t="str">
        <f ca="1">IFERROR(__xludf.DUMMYFUNCTION("""COMPUTED_VALUE"""),"Yes")</f>
        <v>Yes</v>
      </c>
      <c r="AA335" s="5"/>
      <c r="AB335" s="5" t="str">
        <f ca="1">IFERROR(__xludf.DUMMYFUNCTION("""COMPUTED_VALUE"""),"No")</f>
        <v>No</v>
      </c>
      <c r="AC335" s="5" t="str">
        <f ca="1">IFERROR(__xludf.DUMMYFUNCTION("""COMPUTED_VALUE"""),"No")</f>
        <v>No</v>
      </c>
      <c r="AD335" s="5" t="str">
        <f ca="1">IFERROR(__xludf.DUMMYFUNCTION("""COMPUTED_VALUE"""),"No")</f>
        <v>No</v>
      </c>
      <c r="AE335" s="5" t="str">
        <f ca="1">IFERROR(__xludf.DUMMYFUNCTION("""COMPUTED_VALUE"""),"No")</f>
        <v>No</v>
      </c>
      <c r="AF335" s="5" t="str">
        <f ca="1">IFERROR(__xludf.DUMMYFUNCTION("""COMPUTED_VALUE"""),"No")</f>
        <v>No</v>
      </c>
      <c r="AG335" s="5" t="str">
        <f ca="1">IFERROR(__xludf.DUMMYFUNCTION("""COMPUTED_VALUE"""),"Yes")</f>
        <v>Yes</v>
      </c>
      <c r="AH335" s="5" t="str">
        <f ca="1">IFERROR(__xludf.DUMMYFUNCTION("""COMPUTED_VALUE"""),"No")</f>
        <v>No</v>
      </c>
    </row>
    <row r="336" spans="1:34" ht="12.75">
      <c r="A336" s="5" t="str">
        <f ca="1">IFERROR(__xludf.DUMMYFUNCTION("""COMPUTED_VALUE"""),"20210826WAAKS")</f>
        <v>20210826WAAKS</v>
      </c>
      <c r="B336" s="8">
        <f ca="1">IFERROR(__xludf.DUMMYFUNCTION("""COMPUTED_VALUE"""),44434)</f>
        <v>44434</v>
      </c>
      <c r="C336" s="5" t="str">
        <f ca="1">IFERROR(__xludf.DUMMYFUNCTION("""COMPUTED_VALUE"""),"Aki Kurose Middle School")</f>
        <v>Aki Kurose Middle School</v>
      </c>
      <c r="D336" s="5">
        <f ca="1">IFERROR(__xludf.DUMMYFUNCTION("""COMPUTED_VALUE"""),0)</f>
        <v>0</v>
      </c>
      <c r="E336" s="5">
        <f ca="1">IFERROR(__xludf.DUMMYFUNCTION("""COMPUTED_VALUE"""),0)</f>
        <v>0</v>
      </c>
      <c r="F336" s="5">
        <f ca="1">IFERROR(__xludf.DUMMYFUNCTION("""COMPUTED_VALUE"""),0)</f>
        <v>0</v>
      </c>
      <c r="G336" s="5">
        <f ca="1">IFERROR(__xludf.DUMMYFUNCTION("""COMPUTED_VALUE"""),0)</f>
        <v>0</v>
      </c>
      <c r="H336"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I336" s="5">
        <f ca="1">IFERROR(__xludf.DUMMYFUNCTION("""COMPUTED_VALUE"""),1)</f>
        <v>1</v>
      </c>
      <c r="J336" s="5" t="str">
        <f ca="1">IFERROR(__xludf.DUMMYFUNCTION("""COMPUTED_VALUE"""),"Local")</f>
        <v>Local</v>
      </c>
      <c r="K336" s="5">
        <f ca="1">IFERROR(__xludf.DUMMYFUNCTION("""COMPUTED_VALUE"""),4)</f>
        <v>4</v>
      </c>
      <c r="L336" s="5" t="str">
        <f ca="1">IFERROR(__xludf.DUMMYFUNCTION("""COMPUTED_VALUE"""),"Fall")</f>
        <v>Fall</v>
      </c>
      <c r="M336" s="5" t="str">
        <f ca="1">IFERROR(__xludf.DUMMYFUNCTION("""COMPUTED_VALUE"""),"Seattle")</f>
        <v>Seattle</v>
      </c>
      <c r="N336" s="5" t="str">
        <f ca="1">IFERROR(__xludf.DUMMYFUNCTION("""COMPUTED_VALUE"""),"WA")</f>
        <v>WA</v>
      </c>
      <c r="O336" s="5" t="str">
        <f ca="1">IFERROR(__xludf.DUMMYFUNCTION("""COMPUTED_VALUE"""),"Middle")</f>
        <v>Middle</v>
      </c>
      <c r="P336" s="5" t="str">
        <f ca="1">IFERROR(__xludf.DUMMYFUNCTION("""COMPUTED_VALUE"""),"Front of School")</f>
        <v>Front of School</v>
      </c>
      <c r="Q336" s="5" t="str">
        <f ca="1">IFERROR(__xludf.DUMMYFUNCTION("""COMPUTED_VALUE"""),"Outside on School Property")</f>
        <v>Outside on School Property</v>
      </c>
      <c r="R336" s="5" t="str">
        <f ca="1">IFERROR(__xludf.DUMMYFUNCTION("""COMPUTED_VALUE"""),"No")</f>
        <v>No</v>
      </c>
      <c r="S336" s="5" t="str">
        <f ca="1">IFERROR(__xludf.DUMMYFUNCTION("""COMPUTED_VALUE"""),"Evening")</f>
        <v>Evening</v>
      </c>
      <c r="T336" s="10">
        <f ca="1">IFERROR(__xludf.DUMMYFUNCTION("""COMPUTED_VALUE"""),0.770833333333333)</f>
        <v>0.77083333333333304</v>
      </c>
      <c r="U336" s="5">
        <f ca="1">IFERROR(__xludf.DUMMYFUNCTION("""COMPUTED_VALUE"""),1)</f>
        <v>1</v>
      </c>
      <c r="V336" s="5" t="str">
        <f ca="1">IFERROR(__xludf.DUMMYFUNCTION("""COMPUTED_VALUE"""),"Teen was sitting on front steps of school when he was shot multiple times by another teen")</f>
        <v>Teen was sitting on front steps of school when he was shot multiple times by another teen</v>
      </c>
      <c r="W336"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X336" s="5"/>
      <c r="Y336" s="5" t="str">
        <f ca="1">IFERROR(__xludf.DUMMYFUNCTION("""COMPUTED_VALUE"""),"Victims Targeted")</f>
        <v>Victims Targeted</v>
      </c>
      <c r="Z336" s="5" t="str">
        <f ca="1">IFERROR(__xludf.DUMMYFUNCTION("""COMPUTED_VALUE"""),"No")</f>
        <v>No</v>
      </c>
      <c r="AA336" s="5"/>
      <c r="AB336" s="5" t="str">
        <f ca="1">IFERROR(__xludf.DUMMYFUNCTION("""COMPUTED_VALUE"""),"No")</f>
        <v>No</v>
      </c>
      <c r="AC336" s="5" t="str">
        <f ca="1">IFERROR(__xludf.DUMMYFUNCTION("""COMPUTED_VALUE"""),"No")</f>
        <v>No</v>
      </c>
      <c r="AD336" s="5" t="str">
        <f ca="1">IFERROR(__xludf.DUMMYFUNCTION("""COMPUTED_VALUE"""),"No")</f>
        <v>No</v>
      </c>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row>
    <row r="337" spans="1:34" ht="12.75">
      <c r="A337" s="5" t="str">
        <f ca="1">IFERROR(__xludf.DUMMYFUNCTION("""COMPUTED_VALUE"""),"20210826OHNOT")</f>
        <v>20210826OHNOT</v>
      </c>
      <c r="B337" s="8">
        <f ca="1">IFERROR(__xludf.DUMMYFUNCTION("""COMPUTED_VALUE"""),44434)</f>
        <v>44434</v>
      </c>
      <c r="C337" s="5" t="str">
        <f ca="1">IFERROR(__xludf.DUMMYFUNCTION("""COMPUTED_VALUE"""),"Northpointe Academy Elementary School")</f>
        <v>Northpointe Academy Elementary School</v>
      </c>
      <c r="D337" s="5">
        <f ca="1">IFERROR(__xludf.DUMMYFUNCTION("""COMPUTED_VALUE"""),0)</f>
        <v>0</v>
      </c>
      <c r="E337" s="5">
        <f ca="1">IFERROR(__xludf.DUMMYFUNCTION("""COMPUTED_VALUE"""),0)</f>
        <v>0</v>
      </c>
      <c r="F337" s="5">
        <f ca="1">IFERROR(__xludf.DUMMYFUNCTION("""COMPUTED_VALUE"""),0)</f>
        <v>0</v>
      </c>
      <c r="G337" s="5">
        <f ca="1">IFERROR(__xludf.DUMMYFUNCTION("""COMPUTED_VALUE"""),0)</f>
        <v>0</v>
      </c>
      <c r="H337"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I337" s="5">
        <f ca="1">IFERROR(__xludf.DUMMYFUNCTION("""COMPUTED_VALUE"""),1)</f>
        <v>1</v>
      </c>
      <c r="J337" s="5" t="str">
        <f ca="1">IFERROR(__xludf.DUMMYFUNCTION("""COMPUTED_VALUE"""),"Local")</f>
        <v>Local</v>
      </c>
      <c r="K337" s="5">
        <f ca="1">IFERROR(__xludf.DUMMYFUNCTION("""COMPUTED_VALUE"""),3)</f>
        <v>3</v>
      </c>
      <c r="L337" s="5" t="str">
        <f ca="1">IFERROR(__xludf.DUMMYFUNCTION("""COMPUTED_VALUE"""),"Fall")</f>
        <v>Fall</v>
      </c>
      <c r="M337" s="5" t="str">
        <f ca="1">IFERROR(__xludf.DUMMYFUNCTION("""COMPUTED_VALUE"""),"Toledo")</f>
        <v>Toledo</v>
      </c>
      <c r="N337" s="5" t="str">
        <f ca="1">IFERROR(__xludf.DUMMYFUNCTION("""COMPUTED_VALUE"""),"OH")</f>
        <v>OH</v>
      </c>
      <c r="O337" s="5" t="str">
        <f ca="1">IFERROR(__xludf.DUMMYFUNCTION("""COMPUTED_VALUE"""),"Elementary")</f>
        <v>Elementary</v>
      </c>
      <c r="P337" s="5" t="str">
        <f ca="1">IFERROR(__xludf.DUMMYFUNCTION("""COMPUTED_VALUE"""),"Football Field/Track")</f>
        <v>Football Field/Track</v>
      </c>
      <c r="Q337" s="5" t="str">
        <f ca="1">IFERROR(__xludf.DUMMYFUNCTION("""COMPUTED_VALUE"""),"Outside on School Property")</f>
        <v>Outside on School Property</v>
      </c>
      <c r="R337" s="5" t="str">
        <f ca="1">IFERROR(__xludf.DUMMYFUNCTION("""COMPUTED_VALUE"""),"No")</f>
        <v>No</v>
      </c>
      <c r="S337" s="5" t="str">
        <f ca="1">IFERROR(__xludf.DUMMYFUNCTION("""COMPUTED_VALUE"""),"Sport Event")</f>
        <v>Sport Event</v>
      </c>
      <c r="T337" s="10">
        <f ca="1">IFERROR(__xludf.DUMMYFUNCTION("""COMPUTED_VALUE"""),0.795138888888888)</f>
        <v>0.79513888888888795</v>
      </c>
      <c r="U337" s="5">
        <f ca="1">IFERROR(__xludf.DUMMYFUNCTION("""COMPUTED_VALUE"""),1)</f>
        <v>1</v>
      </c>
      <c r="V337" s="5" t="str">
        <f ca="1">IFERROR(__xludf.DUMMYFUNCTION("""COMPUTED_VALUE"""),"Coach fired shots into the air during fight at football game")</f>
        <v>Coach fired shots into the air during fight at football game</v>
      </c>
      <c r="W337"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X337" s="5" t="str">
        <f ca="1">IFERROR(__xludf.DUMMYFUNCTION("""COMPUTED_VALUE"""),"Escalation of Dispute")</f>
        <v>Escalation of Dispute</v>
      </c>
      <c r="Y337" s="5" t="str">
        <f ca="1">IFERROR(__xludf.DUMMYFUNCTION("""COMPUTED_VALUE"""),"Neither")</f>
        <v>Neither</v>
      </c>
      <c r="Z337" s="5" t="str">
        <f ca="1">IFERROR(__xludf.DUMMYFUNCTION("""COMPUTED_VALUE"""),"No")</f>
        <v>No</v>
      </c>
      <c r="AA337" s="5"/>
      <c r="AB337" s="5" t="str">
        <f ca="1">IFERROR(__xludf.DUMMYFUNCTION("""COMPUTED_VALUE"""),"No")</f>
        <v>No</v>
      </c>
      <c r="AC337" s="5" t="str">
        <f ca="1">IFERROR(__xludf.DUMMYFUNCTION("""COMPUTED_VALUE"""),"No")</f>
        <v>No</v>
      </c>
      <c r="AD337" s="5" t="str">
        <f ca="1">IFERROR(__xludf.DUMMYFUNCTION("""COMPUTED_VALUE"""),"No")</f>
        <v>No</v>
      </c>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row>
    <row r="338" spans="1:34" ht="12.75">
      <c r="A338" s="5" t="str">
        <f ca="1">IFERROR(__xludf.DUMMYFUNCTION("""COMPUTED_VALUE"""),"20210826NYHAH")</f>
        <v>20210826NYHAH</v>
      </c>
      <c r="B338" s="8">
        <f ca="1">IFERROR(__xludf.DUMMYFUNCTION("""COMPUTED_VALUE"""),44434)</f>
        <v>44434</v>
      </c>
      <c r="C338" s="5" t="str">
        <f ca="1">IFERROR(__xludf.DUMMYFUNCTION("""COMPUTED_VALUE"""),"Hauppauge Middle School")</f>
        <v>Hauppauge Middle School</v>
      </c>
      <c r="D338" s="5">
        <f ca="1">IFERROR(__xludf.DUMMYFUNCTION("""COMPUTED_VALUE"""),0)</f>
        <v>0</v>
      </c>
      <c r="E338" s="5">
        <f ca="1">IFERROR(__xludf.DUMMYFUNCTION("""COMPUTED_VALUE"""),0)</f>
        <v>0</v>
      </c>
      <c r="F338" s="5">
        <f ca="1">IFERROR(__xludf.DUMMYFUNCTION("""COMPUTED_VALUE"""),0)</f>
        <v>0</v>
      </c>
      <c r="G338" s="5">
        <f ca="1">IFERROR(__xludf.DUMMYFUNCTION("""COMPUTED_VALUE"""),0)</f>
        <v>0</v>
      </c>
      <c r="H338" s="9" t="str">
        <f ca="1">IFERROR(__xludf.DUMMYFUNCTION("""COMPUTED_VALUE"""),"https://bronx.news12.com/police-suspect-arrested-for-firing-shots-during-dispute-on-grounds-of-hauppauge-middle-school")</f>
        <v>https://bronx.news12.com/police-suspect-arrested-for-firing-shots-during-dispute-on-grounds-of-hauppauge-middle-school</v>
      </c>
      <c r="I338" s="5">
        <f ca="1">IFERROR(__xludf.DUMMYFUNCTION("""COMPUTED_VALUE"""),1)</f>
        <v>1</v>
      </c>
      <c r="J338" s="5" t="str">
        <f ca="1">IFERROR(__xludf.DUMMYFUNCTION("""COMPUTED_VALUE"""),"Local")</f>
        <v>Local</v>
      </c>
      <c r="K338" s="5">
        <f ca="1">IFERROR(__xludf.DUMMYFUNCTION("""COMPUTED_VALUE"""),3)</f>
        <v>3</v>
      </c>
      <c r="L338" s="5" t="str">
        <f ca="1">IFERROR(__xludf.DUMMYFUNCTION("""COMPUTED_VALUE"""),"Fall")</f>
        <v>Fall</v>
      </c>
      <c r="M338" s="5" t="str">
        <f ca="1">IFERROR(__xludf.DUMMYFUNCTION("""COMPUTED_VALUE"""),"Hauppauge")</f>
        <v>Hauppauge</v>
      </c>
      <c r="N338" s="5" t="str">
        <f ca="1">IFERROR(__xludf.DUMMYFUNCTION("""COMPUTED_VALUE"""),"NY")</f>
        <v>NY</v>
      </c>
      <c r="O338" s="5" t="str">
        <f ca="1">IFERROR(__xludf.DUMMYFUNCTION("""COMPUTED_VALUE"""),"Middle")</f>
        <v>Middle</v>
      </c>
      <c r="P338" s="5" t="str">
        <f ca="1">IFERROR(__xludf.DUMMYFUNCTION("""COMPUTED_VALUE"""),"Beside Building")</f>
        <v>Beside Building</v>
      </c>
      <c r="Q338" s="5" t="str">
        <f ca="1">IFERROR(__xludf.DUMMYFUNCTION("""COMPUTED_VALUE"""),"Outside on School Property")</f>
        <v>Outside on School Property</v>
      </c>
      <c r="R338" s="5" t="str">
        <f ca="1">IFERROR(__xludf.DUMMYFUNCTION("""COMPUTED_VALUE"""),"Yes")</f>
        <v>Yes</v>
      </c>
      <c r="S338" s="5" t="str">
        <f ca="1">IFERROR(__xludf.DUMMYFUNCTION("""COMPUTED_VALUE"""),"Morning Classes")</f>
        <v>Morning Classes</v>
      </c>
      <c r="T338" s="10">
        <f ca="1">IFERROR(__xludf.DUMMYFUNCTION("""COMPUTED_VALUE"""),0.489583333333333)</f>
        <v>0.48958333333333298</v>
      </c>
      <c r="U338" s="5">
        <f ca="1">IFERROR(__xludf.DUMMYFUNCTION("""COMPUTED_VALUE"""),1)</f>
        <v>1</v>
      </c>
      <c r="V338" s="5" t="str">
        <f ca="1">IFERROR(__xludf.DUMMYFUNCTION("""COMPUTED_VALUE"""),"Man fired shots during dispute, then fired at security officer")</f>
        <v>Man fired shots during dispute, then fired at security officer</v>
      </c>
      <c r="W338"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X338" s="5" t="str">
        <f ca="1">IFERROR(__xludf.DUMMYFUNCTION("""COMPUTED_VALUE"""),"Escalation of Dispute")</f>
        <v>Escalation of Dispute</v>
      </c>
      <c r="Y338" s="5" t="str">
        <f ca="1">IFERROR(__xludf.DUMMYFUNCTION("""COMPUTED_VALUE"""),"Both")</f>
        <v>Both</v>
      </c>
      <c r="Z338" s="5" t="str">
        <f ca="1">IFERROR(__xludf.DUMMYFUNCTION("""COMPUTED_VALUE"""),"No")</f>
        <v>No</v>
      </c>
      <c r="AA338" s="5"/>
      <c r="AB338" s="5" t="str">
        <f ca="1">IFERROR(__xludf.DUMMYFUNCTION("""COMPUTED_VALUE"""),"No")</f>
        <v>No</v>
      </c>
      <c r="AC338" s="5" t="str">
        <f ca="1">IFERROR(__xludf.DUMMYFUNCTION("""COMPUTED_VALUE"""),"No")</f>
        <v>No</v>
      </c>
      <c r="AD338" s="5" t="str">
        <f ca="1">IFERROR(__xludf.DUMMYFUNCTION("""COMPUTED_VALUE"""),"No")</f>
        <v>No</v>
      </c>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row>
    <row r="339" spans="1:34" ht="12.75">
      <c r="A339" s="5" t="str">
        <f ca="1">IFERROR(__xludf.DUMMYFUNCTION("""COMPUTED_VALUE"""),"20210822ILWER")</f>
        <v>20210822ILWER</v>
      </c>
      <c r="B339" s="8">
        <f ca="1">IFERROR(__xludf.DUMMYFUNCTION("""COMPUTED_VALUE"""),44430)</f>
        <v>44430</v>
      </c>
      <c r="C339" s="5" t="str">
        <f ca="1">IFERROR(__xludf.DUMMYFUNCTION("""COMPUTED_VALUE"""),"West Middle School")</f>
        <v>West Middle School</v>
      </c>
      <c r="D339" s="5">
        <f ca="1">IFERROR(__xludf.DUMMYFUNCTION("""COMPUTED_VALUE"""),0)</f>
        <v>0</v>
      </c>
      <c r="E339" s="5">
        <f ca="1">IFERROR(__xludf.DUMMYFUNCTION("""COMPUTED_VALUE"""),1)</f>
        <v>1</v>
      </c>
      <c r="F339" s="5">
        <f ca="1">IFERROR(__xludf.DUMMYFUNCTION("""COMPUTED_VALUE"""),1)</f>
        <v>1</v>
      </c>
      <c r="G339" s="5">
        <f ca="1">IFERROR(__xludf.DUMMYFUNCTION("""COMPUTED_VALUE"""),0)</f>
        <v>0</v>
      </c>
      <c r="H339"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I339" s="5">
        <f ca="1">IFERROR(__xludf.DUMMYFUNCTION("""COMPUTED_VALUE"""),3)</f>
        <v>3</v>
      </c>
      <c r="J339" s="5" t="str">
        <f ca="1">IFERROR(__xludf.DUMMYFUNCTION("""COMPUTED_VALUE"""),"Local")</f>
        <v>Local</v>
      </c>
      <c r="K339" s="5">
        <f ca="1">IFERROR(__xludf.DUMMYFUNCTION("""COMPUTED_VALUE"""),4)</f>
        <v>4</v>
      </c>
      <c r="L339" s="5" t="str">
        <f ca="1">IFERROR(__xludf.DUMMYFUNCTION("""COMPUTED_VALUE"""),"Fall")</f>
        <v>Fall</v>
      </c>
      <c r="M339" s="5" t="str">
        <f ca="1">IFERROR(__xludf.DUMMYFUNCTION("""COMPUTED_VALUE"""),"Rockford")</f>
        <v>Rockford</v>
      </c>
      <c r="N339" s="5" t="str">
        <f ca="1">IFERROR(__xludf.DUMMYFUNCTION("""COMPUTED_VALUE"""),"IL")</f>
        <v>IL</v>
      </c>
      <c r="O339" s="5" t="str">
        <f ca="1">IFERROR(__xludf.DUMMYFUNCTION("""COMPUTED_VALUE"""),"Middle")</f>
        <v>Middle</v>
      </c>
      <c r="P339" s="5" t="str">
        <f ca="1">IFERROR(__xludf.DUMMYFUNCTION("""COMPUTED_VALUE"""),"Parking Lot")</f>
        <v>Parking Lot</v>
      </c>
      <c r="Q339" s="5" t="str">
        <f ca="1">IFERROR(__xludf.DUMMYFUNCTION("""COMPUTED_VALUE"""),"Outside on School Property")</f>
        <v>Outside on School Property</v>
      </c>
      <c r="R339" s="5" t="str">
        <f ca="1">IFERROR(__xludf.DUMMYFUNCTION("""COMPUTED_VALUE"""),"No")</f>
        <v>No</v>
      </c>
      <c r="S339" s="5" t="str">
        <f ca="1">IFERROR(__xludf.DUMMYFUNCTION("""COMPUTED_VALUE"""),"Not a School Day")</f>
        <v>Not a School Day</v>
      </c>
      <c r="T339" s="10">
        <f ca="1">IFERROR(__xludf.DUMMYFUNCTION("""COMPUTED_VALUE"""),0.583333333333333)</f>
        <v>0.58333333333333304</v>
      </c>
      <c r="U339" s="5">
        <f ca="1">IFERROR(__xludf.DUMMYFUNCTION("""COMPUTED_VALUE"""),1)</f>
        <v>1</v>
      </c>
      <c r="V339" s="5" t="str">
        <f ca="1">IFERROR(__xludf.DUMMYFUNCTION("""COMPUTED_VALUE"""),"Teen shot during fight in the school parking lot")</f>
        <v>Teen shot during fight in the school parking lot</v>
      </c>
      <c r="W339"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X339" s="5" t="str">
        <f ca="1">IFERROR(__xludf.DUMMYFUNCTION("""COMPUTED_VALUE"""),"Escalation of Dispute")</f>
        <v>Escalation of Dispute</v>
      </c>
      <c r="Y339" s="5" t="str">
        <f ca="1">IFERROR(__xludf.DUMMYFUNCTION("""COMPUTED_VALUE"""),"Victims Targeted")</f>
        <v>Victims Targeted</v>
      </c>
      <c r="Z339" s="5"/>
      <c r="AA339" s="5"/>
      <c r="AB339" s="5" t="str">
        <f ca="1">IFERROR(__xludf.DUMMYFUNCTION("""COMPUTED_VALUE"""),"No")</f>
        <v>No</v>
      </c>
      <c r="AC339" s="5" t="str">
        <f ca="1">IFERROR(__xludf.DUMMYFUNCTION("""COMPUTED_VALUE"""),"No")</f>
        <v>No</v>
      </c>
      <c r="AD339" s="5" t="str">
        <f ca="1">IFERROR(__xludf.DUMMYFUNCTION("""COMPUTED_VALUE"""),"No")</f>
        <v>No</v>
      </c>
      <c r="AE339" s="5"/>
      <c r="AF339" s="5" t="str">
        <f ca="1">IFERROR(__xludf.DUMMYFUNCTION("""COMPUTED_VALUE"""),"No")</f>
        <v>No</v>
      </c>
      <c r="AG339" s="5"/>
      <c r="AH339" s="5" t="str">
        <f ca="1">IFERROR(__xludf.DUMMYFUNCTION("""COMPUTED_VALUE"""),"No")</f>
        <v>No</v>
      </c>
    </row>
    <row r="340" spans="1:34" ht="12.75">
      <c r="A340" s="5" t="str">
        <f ca="1">IFERROR(__xludf.DUMMYFUNCTION("""COMPUTED_VALUE"""),"20210820NEMIO")</f>
        <v>20210820NEMIO</v>
      </c>
      <c r="B340" s="8">
        <f ca="1">IFERROR(__xludf.DUMMYFUNCTION("""COMPUTED_VALUE"""),44428)</f>
        <v>44428</v>
      </c>
      <c r="C340" s="5" t="str">
        <f ca="1">IFERROR(__xludf.DUMMYFUNCTION("""COMPUTED_VALUE"""),"Miller Park Elementary")</f>
        <v>Miller Park Elementary</v>
      </c>
      <c r="D340" s="5">
        <f ca="1">IFERROR(__xludf.DUMMYFUNCTION("""COMPUTED_VALUE"""),0)</f>
        <v>0</v>
      </c>
      <c r="E340" s="5">
        <f ca="1">IFERROR(__xludf.DUMMYFUNCTION("""COMPUTED_VALUE"""),2)</f>
        <v>2</v>
      </c>
      <c r="F340" s="5">
        <f ca="1">IFERROR(__xludf.DUMMYFUNCTION("""COMPUTED_VALUE"""),2)</f>
        <v>2</v>
      </c>
      <c r="G340" s="5">
        <f ca="1">IFERROR(__xludf.DUMMYFUNCTION("""COMPUTED_VALUE"""),0)</f>
        <v>0</v>
      </c>
      <c r="H340"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I340" s="5">
        <f ca="1">IFERROR(__xludf.DUMMYFUNCTION("""COMPUTED_VALUE"""),2)</f>
        <v>2</v>
      </c>
      <c r="J340" s="5" t="str">
        <f ca="1">IFERROR(__xludf.DUMMYFUNCTION("""COMPUTED_VALUE"""),"Local")</f>
        <v>Local</v>
      </c>
      <c r="K340" s="5">
        <f ca="1">IFERROR(__xludf.DUMMYFUNCTION("""COMPUTED_VALUE"""),4)</f>
        <v>4</v>
      </c>
      <c r="L340" s="5" t="str">
        <f ca="1">IFERROR(__xludf.DUMMYFUNCTION("""COMPUTED_VALUE"""),"Fall")</f>
        <v>Fall</v>
      </c>
      <c r="M340" s="5" t="str">
        <f ca="1">IFERROR(__xludf.DUMMYFUNCTION("""COMPUTED_VALUE"""),"Omaha")</f>
        <v>Omaha</v>
      </c>
      <c r="N340" s="5" t="str">
        <f ca="1">IFERROR(__xludf.DUMMYFUNCTION("""COMPUTED_VALUE"""),"NE")</f>
        <v>NE</v>
      </c>
      <c r="O340" s="5" t="str">
        <f ca="1">IFERROR(__xludf.DUMMYFUNCTION("""COMPUTED_VALUE"""),"Elementary")</f>
        <v>Elementary</v>
      </c>
      <c r="P340" s="5" t="str">
        <f ca="1">IFERROR(__xludf.DUMMYFUNCTION("""COMPUTED_VALUE"""),"Playground")</f>
        <v>Playground</v>
      </c>
      <c r="Q340" s="5" t="str">
        <f ca="1">IFERROR(__xludf.DUMMYFUNCTION("""COMPUTED_VALUE"""),"Outside on School Property")</f>
        <v>Outside on School Property</v>
      </c>
      <c r="R340" s="5" t="str">
        <f ca="1">IFERROR(__xludf.DUMMYFUNCTION("""COMPUTED_VALUE"""),"No")</f>
        <v>No</v>
      </c>
      <c r="S340" s="5" t="str">
        <f ca="1">IFERROR(__xludf.DUMMYFUNCTION("""COMPUTED_VALUE"""),"Night")</f>
        <v>Night</v>
      </c>
      <c r="T340" s="10">
        <f ca="1">IFERROR(__xludf.DUMMYFUNCTION("""COMPUTED_VALUE"""),0.104166666666666)</f>
        <v>0.10416666666666601</v>
      </c>
      <c r="U340" s="5">
        <f ca="1">IFERROR(__xludf.DUMMYFUNCTION("""COMPUTED_VALUE"""),1)</f>
        <v>1</v>
      </c>
      <c r="V340" s="5" t="str">
        <f ca="1">IFERROR(__xludf.DUMMYFUNCTION("""COMPUTED_VALUE"""),"Two adults shot in front of elementary school")</f>
        <v>Two adults shot in front of elementary school</v>
      </c>
      <c r="W340"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X340" s="5"/>
      <c r="Y340" s="5" t="str">
        <f ca="1">IFERROR(__xludf.DUMMYFUNCTION("""COMPUTED_VALUE"""),"Victims Targeted")</f>
        <v>Victims Targeted</v>
      </c>
      <c r="Z340" s="5"/>
      <c r="AA340" s="5"/>
      <c r="AB340" s="5" t="str">
        <f ca="1">IFERROR(__xludf.DUMMYFUNCTION("""COMPUTED_VALUE"""),"No")</f>
        <v>No</v>
      </c>
      <c r="AC340" s="5" t="str">
        <f ca="1">IFERROR(__xludf.DUMMYFUNCTION("""COMPUTED_VALUE"""),"No")</f>
        <v>No</v>
      </c>
      <c r="AD340" s="5" t="str">
        <f ca="1">IFERROR(__xludf.DUMMYFUNCTION("""COMPUTED_VALUE"""),"No")</f>
        <v>No</v>
      </c>
      <c r="AE340" s="5" t="str">
        <f ca="1">IFERROR(__xludf.DUMMYFUNCTION("""COMPUTED_VALUE"""),"No")</f>
        <v>No</v>
      </c>
      <c r="AF340" s="5"/>
      <c r="AG340" s="5"/>
      <c r="AH340" s="5" t="str">
        <f ca="1">IFERROR(__xludf.DUMMYFUNCTION("""COMPUTED_VALUE"""),"No")</f>
        <v>No</v>
      </c>
    </row>
    <row r="341" spans="1:34" ht="12.75">
      <c r="A341" s="5" t="str">
        <f ca="1">IFERROR(__xludf.DUMMYFUNCTION("""COMPUTED_VALUE"""),"20210820CACEF")</f>
        <v>20210820CACEF</v>
      </c>
      <c r="B341" s="8">
        <f ca="1">IFERROR(__xludf.DUMMYFUNCTION("""COMPUTED_VALUE"""),44428)</f>
        <v>44428</v>
      </c>
      <c r="C341" s="5" t="str">
        <f ca="1">IFERROR(__xludf.DUMMYFUNCTION("""COMPUTED_VALUE"""),"Central High-Bullard High")</f>
        <v>Central High-Bullard High</v>
      </c>
      <c r="D341" s="5">
        <f ca="1">IFERROR(__xludf.DUMMYFUNCTION("""COMPUTED_VALUE"""),0)</f>
        <v>0</v>
      </c>
      <c r="E341" s="5">
        <f ca="1">IFERROR(__xludf.DUMMYFUNCTION("""COMPUTED_VALUE"""),1)</f>
        <v>1</v>
      </c>
      <c r="F341" s="5">
        <f ca="1">IFERROR(__xludf.DUMMYFUNCTION("""COMPUTED_VALUE"""),1)</f>
        <v>1</v>
      </c>
      <c r="G341" s="5">
        <f ca="1">IFERROR(__xludf.DUMMYFUNCTION("""COMPUTED_VALUE"""),0)</f>
        <v>0</v>
      </c>
      <c r="H341"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I341" s="5">
        <f ca="1">IFERROR(__xludf.DUMMYFUNCTION("""COMPUTED_VALUE"""),3)</f>
        <v>3</v>
      </c>
      <c r="J341" s="5" t="str">
        <f ca="1">IFERROR(__xludf.DUMMYFUNCTION("""COMPUTED_VALUE"""),"Local")</f>
        <v>Local</v>
      </c>
      <c r="K341" s="5">
        <f ca="1">IFERROR(__xludf.DUMMYFUNCTION("""COMPUTED_VALUE"""),4)</f>
        <v>4</v>
      </c>
      <c r="L341" s="5" t="str">
        <f ca="1">IFERROR(__xludf.DUMMYFUNCTION("""COMPUTED_VALUE"""),"Fall")</f>
        <v>Fall</v>
      </c>
      <c r="M341" s="5" t="str">
        <f ca="1">IFERROR(__xludf.DUMMYFUNCTION("""COMPUTED_VALUE"""),"Fresno")</f>
        <v>Fresno</v>
      </c>
      <c r="N341" s="5" t="str">
        <f ca="1">IFERROR(__xludf.DUMMYFUNCTION("""COMPUTED_VALUE"""),"CA")</f>
        <v>CA</v>
      </c>
      <c r="O341" s="5" t="str">
        <f ca="1">IFERROR(__xludf.DUMMYFUNCTION("""COMPUTED_VALUE"""),"High")</f>
        <v>High</v>
      </c>
      <c r="P341" s="5" t="str">
        <f ca="1">IFERROR(__xludf.DUMMYFUNCTION("""COMPUTED_VALUE"""),"Parking Lot")</f>
        <v>Parking Lot</v>
      </c>
      <c r="Q341" s="5" t="str">
        <f ca="1">IFERROR(__xludf.DUMMYFUNCTION("""COMPUTED_VALUE"""),"Outside on School Property")</f>
        <v>Outside on School Property</v>
      </c>
      <c r="R341" s="5" t="str">
        <f ca="1">IFERROR(__xludf.DUMMYFUNCTION("""COMPUTED_VALUE"""),"No")</f>
        <v>No</v>
      </c>
      <c r="S341" s="5" t="str">
        <f ca="1">IFERROR(__xludf.DUMMYFUNCTION("""COMPUTED_VALUE"""),"Sport Event")</f>
        <v>Sport Event</v>
      </c>
      <c r="T341" s="10">
        <f ca="1">IFERROR(__xludf.DUMMYFUNCTION("""COMPUTED_VALUE"""),0.920138888888888)</f>
        <v>0.92013888888888795</v>
      </c>
      <c r="U341" s="5">
        <f ca="1">IFERROR(__xludf.DUMMYFUNCTION("""COMPUTED_VALUE"""),1)</f>
        <v>1</v>
      </c>
      <c r="V341" s="5" t="str">
        <f ca="1">IFERROR(__xludf.DUMMYFUNCTION("""COMPUTED_VALUE"""),"Teen shot multiple times in the parking lot following football game")</f>
        <v>Teen shot multiple times in the parking lot following football game</v>
      </c>
      <c r="W341"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X341" s="5" t="str">
        <f ca="1">IFERROR(__xludf.DUMMYFUNCTION("""COMPUTED_VALUE"""),"Escalation of Dispute")</f>
        <v>Escalation of Dispute</v>
      </c>
      <c r="Y341" s="5" t="str">
        <f ca="1">IFERROR(__xludf.DUMMYFUNCTION("""COMPUTED_VALUE"""),"Victims Targeted")</f>
        <v>Victims Targeted</v>
      </c>
      <c r="Z341" s="5" t="str">
        <f ca="1">IFERROR(__xludf.DUMMYFUNCTION("""COMPUTED_VALUE"""),"No")</f>
        <v>No</v>
      </c>
      <c r="AA341" s="5"/>
      <c r="AB341" s="5" t="str">
        <f ca="1">IFERROR(__xludf.DUMMYFUNCTION("""COMPUTED_VALUE"""),"No")</f>
        <v>No</v>
      </c>
      <c r="AC341" s="5" t="str">
        <f ca="1">IFERROR(__xludf.DUMMYFUNCTION("""COMPUTED_VALUE"""),"No")</f>
        <v>No</v>
      </c>
      <c r="AD341" s="5" t="str">
        <f ca="1">IFERROR(__xludf.DUMMYFUNCTION("""COMPUTED_VALUE"""),"No")</f>
        <v>No</v>
      </c>
      <c r="AE341" s="5" t="str">
        <f ca="1">IFERROR(__xludf.DUMMYFUNCTION("""COMPUTED_VALUE"""),"No")</f>
        <v>No</v>
      </c>
      <c r="AF341" s="5" t="str">
        <f ca="1">IFERROR(__xludf.DUMMYFUNCTION("""COMPUTED_VALUE"""),"No")</f>
        <v>No</v>
      </c>
      <c r="AG341" s="5" t="str">
        <f ca="1">IFERROR(__xludf.DUMMYFUNCTION("""COMPUTED_VALUE"""),"Yes")</f>
        <v>Yes</v>
      </c>
      <c r="AH341" s="5" t="str">
        <f ca="1">IFERROR(__xludf.DUMMYFUNCTION("""COMPUTED_VALUE"""),"No")</f>
        <v>No</v>
      </c>
    </row>
    <row r="342" spans="1:34" ht="12.75">
      <c r="A342" s="5" t="str">
        <f ca="1">IFERROR(__xludf.DUMMYFUNCTION("""COMPUTED_VALUE"""),"20210818SCORO")</f>
        <v>20210818SCORO</v>
      </c>
      <c r="B342" s="8">
        <f ca="1">IFERROR(__xludf.DUMMYFUNCTION("""COMPUTED_VALUE"""),44426)</f>
        <v>44426</v>
      </c>
      <c r="C342" s="5" t="str">
        <f ca="1">IFERROR(__xludf.DUMMYFUNCTION("""COMPUTED_VALUE"""),"Orangeburg-Wilkinson High School")</f>
        <v>Orangeburg-Wilkinson High School</v>
      </c>
      <c r="D342" s="5">
        <f ca="1">IFERROR(__xludf.DUMMYFUNCTION("""COMPUTED_VALUE"""),0)</f>
        <v>0</v>
      </c>
      <c r="E342" s="5">
        <f ca="1">IFERROR(__xludf.DUMMYFUNCTION("""COMPUTED_VALUE"""),3)</f>
        <v>3</v>
      </c>
      <c r="F342" s="5">
        <f ca="1">IFERROR(__xludf.DUMMYFUNCTION("""COMPUTED_VALUE"""),3)</f>
        <v>3</v>
      </c>
      <c r="G342" s="5">
        <f ca="1">IFERROR(__xludf.DUMMYFUNCTION("""COMPUTED_VALUE"""),0)</f>
        <v>0</v>
      </c>
      <c r="H342"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I342" s="5">
        <f ca="1">IFERROR(__xludf.DUMMYFUNCTION("""COMPUTED_VALUE"""),10)</f>
        <v>10</v>
      </c>
      <c r="J342" s="5" t="str">
        <f ca="1">IFERROR(__xludf.DUMMYFUNCTION("""COMPUTED_VALUE"""),"Regional")</f>
        <v>Regional</v>
      </c>
      <c r="K342" s="5">
        <f ca="1">IFERROR(__xludf.DUMMYFUNCTION("""COMPUTED_VALUE"""),4)</f>
        <v>4</v>
      </c>
      <c r="L342" s="5" t="str">
        <f ca="1">IFERROR(__xludf.DUMMYFUNCTION("""COMPUTED_VALUE"""),"Fall")</f>
        <v>Fall</v>
      </c>
      <c r="M342" s="5" t="str">
        <f ca="1">IFERROR(__xludf.DUMMYFUNCTION("""COMPUTED_VALUE"""),"Orangeburg")</f>
        <v>Orangeburg</v>
      </c>
      <c r="N342" s="5" t="str">
        <f ca="1">IFERROR(__xludf.DUMMYFUNCTION("""COMPUTED_VALUE"""),"SC")</f>
        <v>SC</v>
      </c>
      <c r="O342" s="5" t="str">
        <f ca="1">IFERROR(__xludf.DUMMYFUNCTION("""COMPUTED_VALUE"""),"High")</f>
        <v>High</v>
      </c>
      <c r="P342" s="5" t="str">
        <f ca="1">IFERROR(__xludf.DUMMYFUNCTION("""COMPUTED_VALUE"""),"Parking Lot")</f>
        <v>Parking Lot</v>
      </c>
      <c r="Q342" s="5" t="str">
        <f ca="1">IFERROR(__xludf.DUMMYFUNCTION("""COMPUTED_VALUE"""),"Outside on School Property")</f>
        <v>Outside on School Property</v>
      </c>
      <c r="R342" s="5" t="str">
        <f ca="1">IFERROR(__xludf.DUMMYFUNCTION("""COMPUTED_VALUE"""),"Yes")</f>
        <v>Yes</v>
      </c>
      <c r="S342" s="5" t="str">
        <f ca="1">IFERROR(__xludf.DUMMYFUNCTION("""COMPUTED_VALUE"""),"Dismissal")</f>
        <v>Dismissal</v>
      </c>
      <c r="T342" s="10">
        <f ca="1">IFERROR(__xludf.DUMMYFUNCTION("""COMPUTED_VALUE"""),0.666666666666666)</f>
        <v>0.66666666666666596</v>
      </c>
      <c r="U342" s="5">
        <f ca="1">IFERROR(__xludf.DUMMYFUNCTION("""COMPUTED_VALUE"""),1)</f>
        <v>1</v>
      </c>
      <c r="V342" s="5" t="str">
        <f ca="1">IFERROR(__xludf.DUMMYFUNCTION("""COMPUTED_VALUE"""),"Teen shot 3 students in school parking lot during dismissal")</f>
        <v>Teen shot 3 students in school parking lot during dismissal</v>
      </c>
      <c r="W342"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X342" s="5" t="str">
        <f ca="1">IFERROR(__xludf.DUMMYFUNCTION("""COMPUTED_VALUE"""),"Escalation of Dispute")</f>
        <v>Escalation of Dispute</v>
      </c>
      <c r="Y342" s="5" t="str">
        <f ca="1">IFERROR(__xludf.DUMMYFUNCTION("""COMPUTED_VALUE"""),"Both")</f>
        <v>Both</v>
      </c>
      <c r="Z342" s="5" t="str">
        <f ca="1">IFERROR(__xludf.DUMMYFUNCTION("""COMPUTED_VALUE"""),"No")</f>
        <v>No</v>
      </c>
      <c r="AA342" s="5"/>
      <c r="AB342" s="5" t="str">
        <f ca="1">IFERROR(__xludf.DUMMYFUNCTION("""COMPUTED_VALUE"""),"No")</f>
        <v>No</v>
      </c>
      <c r="AC342" s="5" t="str">
        <f ca="1">IFERROR(__xludf.DUMMYFUNCTION("""COMPUTED_VALUE"""),"No")</f>
        <v>No</v>
      </c>
      <c r="AD342" s="5" t="str">
        <f ca="1">IFERROR(__xludf.DUMMYFUNCTION("""COMPUTED_VALUE"""),"No")</f>
        <v>No</v>
      </c>
      <c r="AE342" s="5" t="str">
        <f ca="1">IFERROR(__xludf.DUMMYFUNCTION("""COMPUTED_VALUE"""),"Yes")</f>
        <v>Yes</v>
      </c>
      <c r="AF342" s="5" t="str">
        <f ca="1">IFERROR(__xludf.DUMMYFUNCTION("""COMPUTED_VALUE"""),"No")</f>
        <v>No</v>
      </c>
      <c r="AG342" s="5"/>
      <c r="AH342" s="5" t="str">
        <f ca="1">IFERROR(__xludf.DUMMYFUNCTION("""COMPUTED_VALUE"""),"No")</f>
        <v>No</v>
      </c>
    </row>
    <row r="343" spans="1:34" ht="12.75">
      <c r="A343" s="5" t="str">
        <f ca="1">IFERROR(__xludf.DUMMYFUNCTION("""COMPUTED_VALUE"""),"20210817COYED")</f>
        <v>20210817COYED</v>
      </c>
      <c r="B343" s="8">
        <f ca="1">IFERROR(__xludf.DUMMYFUNCTION("""COMPUTED_VALUE"""),44425)</f>
        <v>44425</v>
      </c>
      <c r="C343" s="5" t="str">
        <f ca="1">IFERROR(__xludf.DUMMYFUNCTION("""COMPUTED_VALUE"""),"Yeshiva Toras Chaim High School")</f>
        <v>Yeshiva Toras Chaim High School</v>
      </c>
      <c r="D343" s="5">
        <f ca="1">IFERROR(__xludf.DUMMYFUNCTION("""COMPUTED_VALUE"""),1)</f>
        <v>1</v>
      </c>
      <c r="E343" s="5">
        <f ca="1">IFERROR(__xludf.DUMMYFUNCTION("""COMPUTED_VALUE"""),0)</f>
        <v>0</v>
      </c>
      <c r="F343" s="5">
        <f ca="1">IFERROR(__xludf.DUMMYFUNCTION("""COMPUTED_VALUE"""),1)</f>
        <v>1</v>
      </c>
      <c r="G343" s="5">
        <f ca="1">IFERROR(__xludf.DUMMYFUNCTION("""COMPUTED_VALUE"""),0)</f>
        <v>0</v>
      </c>
      <c r="H343" s="5" t="str">
        <f ca="1">IFERROR(__xludf.DUMMYFUNCTION("""COMPUTED_VALUE"""),"https://www.cleveland19.com/2021/08/19/18-year-old-student-cleveland-killed-outside-yeshiva-denver/ https://kdvr.com/news/local/man-shot-and-killed-near-yeshiva-toras-chaim-in-denver-police-searching-for-3-vehicles-connected-to-crime-spree/")</f>
        <v>https://www.cleveland19.com/2021/08/19/18-year-old-student-cleveland-killed-outside-yeshiva-denver/ https://kdvr.com/news/local/man-shot-and-killed-near-yeshiva-toras-chaim-in-denver-police-searching-for-3-vehicles-connected-to-crime-spree/</v>
      </c>
      <c r="I343" s="5">
        <f ca="1">IFERROR(__xludf.DUMMYFUNCTION("""COMPUTED_VALUE"""),5)</f>
        <v>5</v>
      </c>
      <c r="J343" s="5" t="str">
        <f ca="1">IFERROR(__xludf.DUMMYFUNCTION("""COMPUTED_VALUE"""),"Regional")</f>
        <v>Regional</v>
      </c>
      <c r="K343" s="5">
        <f ca="1">IFERROR(__xludf.DUMMYFUNCTION("""COMPUTED_VALUE"""),4)</f>
        <v>4</v>
      </c>
      <c r="L343" s="5" t="str">
        <f ca="1">IFERROR(__xludf.DUMMYFUNCTION("""COMPUTED_VALUE"""),"Fall")</f>
        <v>Fall</v>
      </c>
      <c r="M343" s="5" t="str">
        <f ca="1">IFERROR(__xludf.DUMMYFUNCTION("""COMPUTED_VALUE"""),"Denver")</f>
        <v>Denver</v>
      </c>
      <c r="N343" s="5" t="str">
        <f ca="1">IFERROR(__xludf.DUMMYFUNCTION("""COMPUTED_VALUE"""),"CO")</f>
        <v>CO</v>
      </c>
      <c r="O343" s="5" t="str">
        <f ca="1">IFERROR(__xludf.DUMMYFUNCTION("""COMPUTED_VALUE"""),"High")</f>
        <v>High</v>
      </c>
      <c r="P343" s="5" t="str">
        <f ca="1">IFERROR(__xludf.DUMMYFUNCTION("""COMPUTED_VALUE"""),"Front of School")</f>
        <v>Front of School</v>
      </c>
      <c r="Q343" s="5" t="str">
        <f ca="1">IFERROR(__xludf.DUMMYFUNCTION("""COMPUTED_VALUE"""),"Outside on School Property")</f>
        <v>Outside on School Property</v>
      </c>
      <c r="R343" s="5" t="str">
        <f ca="1">IFERROR(__xludf.DUMMYFUNCTION("""COMPUTED_VALUE"""),"Yes")</f>
        <v>Yes</v>
      </c>
      <c r="S343" s="5" t="str">
        <f ca="1">IFERROR(__xludf.DUMMYFUNCTION("""COMPUTED_VALUE"""),"Night")</f>
        <v>Night</v>
      </c>
      <c r="T343" s="10">
        <f ca="1">IFERROR(__xludf.DUMMYFUNCTION("""COMPUTED_VALUE"""),0.982638888888888)</f>
        <v>0.98263888888888795</v>
      </c>
      <c r="U343" s="5">
        <f ca="1">IFERROR(__xludf.DUMMYFUNCTION("""COMPUTED_VALUE"""),1)</f>
        <v>1</v>
      </c>
      <c r="V343" s="5" t="str">
        <f ca="1">IFERROR(__xludf.DUMMYFUNCTION("""COMPUTED_VALUE"""),"Student fatally shot during robbery in front of school")</f>
        <v>Student fatally shot during robbery in front of school</v>
      </c>
      <c r="W343"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X343" s="5" t="str">
        <f ca="1">IFERROR(__xludf.DUMMYFUNCTION("""COMPUTED_VALUE"""),"Illegal Activity")</f>
        <v>Illegal Activity</v>
      </c>
      <c r="Y343" s="5" t="str">
        <f ca="1">IFERROR(__xludf.DUMMYFUNCTION("""COMPUTED_VALUE"""),"Victims Targeted")</f>
        <v>Victims Targeted</v>
      </c>
      <c r="Z343" s="5" t="str">
        <f ca="1">IFERROR(__xludf.DUMMYFUNCTION("""COMPUTED_VALUE"""),"Yes")</f>
        <v>Yes</v>
      </c>
      <c r="AA343" s="5" t="str">
        <f ca="1">IFERROR(__xludf.DUMMYFUNCTION("""COMPUTED_VALUE"""),"4 suspects arrested")</f>
        <v>4 suspects arrested</v>
      </c>
      <c r="AB343" s="5" t="str">
        <f ca="1">IFERROR(__xludf.DUMMYFUNCTION("""COMPUTED_VALUE"""),"No")</f>
        <v>No</v>
      </c>
      <c r="AC343" s="5" t="str">
        <f ca="1">IFERROR(__xludf.DUMMYFUNCTION("""COMPUTED_VALUE"""),"No")</f>
        <v>No</v>
      </c>
      <c r="AD343" s="5" t="str">
        <f ca="1">IFERROR(__xludf.DUMMYFUNCTION("""COMPUTED_VALUE"""),"No")</f>
        <v>No</v>
      </c>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row>
    <row r="344" spans="1:34" ht="12.75">
      <c r="A344" s="5" t="str">
        <f ca="1">IFERROR(__xludf.DUMMYFUNCTION("""COMPUTED_VALUE"""),"20210815VAROD")</f>
        <v>20210815VAROD</v>
      </c>
      <c r="B344" s="8">
        <f ca="1">IFERROR(__xludf.DUMMYFUNCTION("""COMPUTED_VALUE"""),44423)</f>
        <v>44423</v>
      </c>
      <c r="C344" s="5" t="str">
        <f ca="1">IFERROR(__xludf.DUMMYFUNCTION("""COMPUTED_VALUE"""),"Rosa Park Elementary School")</f>
        <v>Rosa Park Elementary School</v>
      </c>
      <c r="D344" s="5">
        <f ca="1">IFERROR(__xludf.DUMMYFUNCTION("""COMPUTED_VALUE"""),0)</f>
        <v>0</v>
      </c>
      <c r="E344" s="5">
        <f ca="1">IFERROR(__xludf.DUMMYFUNCTION("""COMPUTED_VALUE"""),0)</f>
        <v>0</v>
      </c>
      <c r="F344" s="5">
        <f ca="1">IFERROR(__xludf.DUMMYFUNCTION("""COMPUTED_VALUE"""),0)</f>
        <v>0</v>
      </c>
      <c r="G344" s="5">
        <f ca="1">IFERROR(__xludf.DUMMYFUNCTION("""COMPUTED_VALUE"""),0)</f>
        <v>0</v>
      </c>
      <c r="H344"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I344" s="5">
        <f ca="1">IFERROR(__xludf.DUMMYFUNCTION("""COMPUTED_VALUE"""),1)</f>
        <v>1</v>
      </c>
      <c r="J344" s="5" t="str">
        <f ca="1">IFERROR(__xludf.DUMMYFUNCTION("""COMPUTED_VALUE"""),"Local")</f>
        <v>Local</v>
      </c>
      <c r="K344" s="5">
        <f ca="1">IFERROR(__xludf.DUMMYFUNCTION("""COMPUTED_VALUE"""),3)</f>
        <v>3</v>
      </c>
      <c r="L344" s="5" t="str">
        <f ca="1">IFERROR(__xludf.DUMMYFUNCTION("""COMPUTED_VALUE"""),"Summer")</f>
        <v>Summer</v>
      </c>
      <c r="M344" s="5" t="str">
        <f ca="1">IFERROR(__xludf.DUMMYFUNCTION("""COMPUTED_VALUE"""),"Dale City")</f>
        <v>Dale City</v>
      </c>
      <c r="N344" s="5" t="str">
        <f ca="1">IFERROR(__xludf.DUMMYFUNCTION("""COMPUTED_VALUE"""),"VA")</f>
        <v>VA</v>
      </c>
      <c r="O344" s="5" t="str">
        <f ca="1">IFERROR(__xludf.DUMMYFUNCTION("""COMPUTED_VALUE"""),"Elementary")</f>
        <v>Elementary</v>
      </c>
      <c r="P344" s="5" t="str">
        <f ca="1">IFERROR(__xludf.DUMMYFUNCTION("""COMPUTED_VALUE"""),"Parking Lot")</f>
        <v>Parking Lot</v>
      </c>
      <c r="Q344" s="5" t="str">
        <f ca="1">IFERROR(__xludf.DUMMYFUNCTION("""COMPUTED_VALUE"""),"Outside on School Property")</f>
        <v>Outside on School Property</v>
      </c>
      <c r="R344" s="5" t="str">
        <f ca="1">IFERROR(__xludf.DUMMYFUNCTION("""COMPUTED_VALUE"""),"No")</f>
        <v>No</v>
      </c>
      <c r="S344" s="5" t="str">
        <f ca="1">IFERROR(__xludf.DUMMYFUNCTION("""COMPUTED_VALUE"""),"Not a School Day")</f>
        <v>Not a School Day</v>
      </c>
      <c r="T344" s="10">
        <f ca="1">IFERROR(__xludf.DUMMYFUNCTION("""COMPUTED_VALUE"""),0.767361111111111)</f>
        <v>0.76736111111111105</v>
      </c>
      <c r="U344" s="5">
        <f ca="1">IFERROR(__xludf.DUMMYFUNCTION("""COMPUTED_VALUE"""),1)</f>
        <v>1</v>
      </c>
      <c r="V344" s="5" t="str">
        <f ca="1">IFERROR(__xludf.DUMMYFUNCTION("""COMPUTED_VALUE"""),"Shots fired in school parking lot during fight between a group of people")</f>
        <v>Shots fired in school parking lot during fight between a group of people</v>
      </c>
      <c r="W344"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X344" s="5" t="str">
        <f ca="1">IFERROR(__xludf.DUMMYFUNCTION("""COMPUTED_VALUE"""),"Escalation of Dispute")</f>
        <v>Escalation of Dispute</v>
      </c>
      <c r="Y344" s="5" t="str">
        <f ca="1">IFERROR(__xludf.DUMMYFUNCTION("""COMPUTED_VALUE"""),"Neither")</f>
        <v>Neither</v>
      </c>
      <c r="Z344" s="5" t="str">
        <f ca="1">IFERROR(__xludf.DUMMYFUNCTION("""COMPUTED_VALUE"""),"No")</f>
        <v>No</v>
      </c>
      <c r="AA344" s="5"/>
      <c r="AB344" s="5" t="str">
        <f ca="1">IFERROR(__xludf.DUMMYFUNCTION("""COMPUTED_VALUE"""),"No")</f>
        <v>No</v>
      </c>
      <c r="AC344" s="5" t="str">
        <f ca="1">IFERROR(__xludf.DUMMYFUNCTION("""COMPUTED_VALUE"""),"No")</f>
        <v>No</v>
      </c>
      <c r="AD344" s="5" t="str">
        <f ca="1">IFERROR(__xludf.DUMMYFUNCTION("""COMPUTED_VALUE"""),"No")</f>
        <v>No</v>
      </c>
      <c r="AE344" s="5" t="str">
        <f ca="1">IFERROR(__xludf.DUMMYFUNCTION("""COMPUTED_VALUE"""),"No")</f>
        <v>No</v>
      </c>
      <c r="AF344" s="5" t="str">
        <f ca="1">IFERROR(__xludf.DUMMYFUNCTION("""COMPUTED_VALUE"""),"No")</f>
        <v>No</v>
      </c>
      <c r="AG344" s="5"/>
      <c r="AH344" s="5" t="str">
        <f ca="1">IFERROR(__xludf.DUMMYFUNCTION("""COMPUTED_VALUE"""),"No")</f>
        <v>No</v>
      </c>
    </row>
    <row r="345" spans="1:34" ht="12.75">
      <c r="A345" s="5" t="str">
        <f ca="1">IFERROR(__xludf.DUMMYFUNCTION("""COMPUTED_VALUE"""),"20210814SCDAH")</f>
        <v>20210814SCDAH</v>
      </c>
      <c r="B345" s="8">
        <f ca="1">IFERROR(__xludf.DUMMYFUNCTION("""COMPUTED_VALUE"""),44422)</f>
        <v>44422</v>
      </c>
      <c r="C345" s="5" t="str">
        <f ca="1">IFERROR(__xludf.DUMMYFUNCTION("""COMPUTED_VALUE"""),"Darlington County School District Buses")</f>
        <v>Darlington County School District Buses</v>
      </c>
      <c r="D345" s="5">
        <f ca="1">IFERROR(__xludf.DUMMYFUNCTION("""COMPUTED_VALUE"""),0)</f>
        <v>0</v>
      </c>
      <c r="E345" s="5">
        <f ca="1">IFERROR(__xludf.DUMMYFUNCTION("""COMPUTED_VALUE"""),0)</f>
        <v>0</v>
      </c>
      <c r="F345" s="5">
        <f ca="1">IFERROR(__xludf.DUMMYFUNCTION("""COMPUTED_VALUE"""),0)</f>
        <v>0</v>
      </c>
      <c r="G345" s="5">
        <f ca="1">IFERROR(__xludf.DUMMYFUNCTION("""COMPUTED_VALUE"""),0)</f>
        <v>0</v>
      </c>
      <c r="H345" s="9" t="str">
        <f ca="1">IFERROR(__xludf.DUMMYFUNCTION("""COMPUTED_VALUE"""),"https://wpde.com/news/local/school-bus-windows-shot-out-with-bb-pellet-gun-in-hartsville")</f>
        <v>https://wpde.com/news/local/school-bus-windows-shot-out-with-bb-pellet-gun-in-hartsville</v>
      </c>
      <c r="I345" s="5">
        <f ca="1">IFERROR(__xludf.DUMMYFUNCTION("""COMPUTED_VALUE"""),1)</f>
        <v>1</v>
      </c>
      <c r="J345" s="5"/>
      <c r="K345" s="5">
        <f ca="1">IFERROR(__xludf.DUMMYFUNCTION("""COMPUTED_VALUE"""),3)</f>
        <v>3</v>
      </c>
      <c r="L345" s="5" t="str">
        <f ca="1">IFERROR(__xludf.DUMMYFUNCTION("""COMPUTED_VALUE"""),"Summer")</f>
        <v>Summer</v>
      </c>
      <c r="M345" s="5" t="str">
        <f ca="1">IFERROR(__xludf.DUMMYFUNCTION("""COMPUTED_VALUE"""),"Hartsville")</f>
        <v>Hartsville</v>
      </c>
      <c r="N345" s="5" t="str">
        <f ca="1">IFERROR(__xludf.DUMMYFUNCTION("""COMPUTED_VALUE"""),"SC")</f>
        <v>SC</v>
      </c>
      <c r="O345" s="5"/>
      <c r="P345" s="5" t="str">
        <f ca="1">IFERROR(__xludf.DUMMYFUNCTION("""COMPUTED_VALUE"""),"School Bus")</f>
        <v>School Bus</v>
      </c>
      <c r="Q345" s="5" t="str">
        <f ca="1">IFERROR(__xludf.DUMMYFUNCTION("""COMPUTED_VALUE"""),"School Bus")</f>
        <v>School Bus</v>
      </c>
      <c r="R345" s="5"/>
      <c r="S345" s="5" t="str">
        <f ca="1">IFERROR(__xludf.DUMMYFUNCTION("""COMPUTED_VALUE"""),"Not a School Day")</f>
        <v>Not a School Day</v>
      </c>
      <c r="T345" s="5"/>
      <c r="U345" s="5"/>
      <c r="V345" s="5" t="str">
        <f ca="1">IFERROR(__xludf.DUMMYFUNCTION("""COMPUTED_VALUE"""),"Windows of 6 school buses shot with BBs")</f>
        <v>Windows of 6 school buses shot with BBs</v>
      </c>
      <c r="W345"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X345" s="5" t="str">
        <f ca="1">IFERROR(__xludf.DUMMYFUNCTION("""COMPUTED_VALUE"""),"Intentional Property Damage")</f>
        <v>Intentional Property Damage</v>
      </c>
      <c r="Y345" s="5" t="str">
        <f ca="1">IFERROR(__xludf.DUMMYFUNCTION("""COMPUTED_VALUE"""),"Neither")</f>
        <v>Neither</v>
      </c>
      <c r="Z345" s="5"/>
      <c r="AA345" s="5"/>
      <c r="AB345" s="5" t="str">
        <f ca="1">IFERROR(__xludf.DUMMYFUNCTION("""COMPUTED_VALUE"""),"No")</f>
        <v>No</v>
      </c>
      <c r="AC345" s="5" t="str">
        <f ca="1">IFERROR(__xludf.DUMMYFUNCTION("""COMPUTED_VALUE"""),"No")</f>
        <v>No</v>
      </c>
      <c r="AD345" s="5" t="str">
        <f ca="1">IFERROR(__xludf.DUMMYFUNCTION("""COMPUTED_VALUE"""),"No")</f>
        <v>No</v>
      </c>
      <c r="AE345" s="5"/>
      <c r="AF345" s="5" t="str">
        <f ca="1">IFERROR(__xludf.DUMMYFUNCTION("""COMPUTED_VALUE"""),"No")</f>
        <v>No</v>
      </c>
      <c r="AG345" s="5" t="str">
        <f ca="1">IFERROR(__xludf.DUMMYFUNCTION("""COMPUTED_VALUE"""),"No")</f>
        <v>No</v>
      </c>
      <c r="AH345" s="5" t="str">
        <f ca="1">IFERROR(__xludf.DUMMYFUNCTION("""COMPUTED_VALUE"""),"No")</f>
        <v>No</v>
      </c>
    </row>
    <row r="346" spans="1:34" ht="12.75">
      <c r="A346" s="5" t="str">
        <f ca="1">IFERROR(__xludf.DUMMYFUNCTION("""COMPUTED_VALUE"""),"20210814ILMAC")</f>
        <v>20210814ILMAC</v>
      </c>
      <c r="B346" s="8">
        <f ca="1">IFERROR(__xludf.DUMMYFUNCTION("""COMPUTED_VALUE"""),44422)</f>
        <v>44422</v>
      </c>
      <c r="C346" s="5" t="str">
        <f ca="1">IFERROR(__xludf.DUMMYFUNCTION("""COMPUTED_VALUE"""),"Mary E. McDowell Elementary School")</f>
        <v>Mary E. McDowell Elementary School</v>
      </c>
      <c r="D346" s="5">
        <f ca="1">IFERROR(__xludf.DUMMYFUNCTION("""COMPUTED_VALUE"""),0)</f>
        <v>0</v>
      </c>
      <c r="E346" s="5">
        <f ca="1">IFERROR(__xludf.DUMMYFUNCTION("""COMPUTED_VALUE"""),1)</f>
        <v>1</v>
      </c>
      <c r="F346" s="5">
        <f ca="1">IFERROR(__xludf.DUMMYFUNCTION("""COMPUTED_VALUE"""),1)</f>
        <v>1</v>
      </c>
      <c r="G346" s="5">
        <f ca="1">IFERROR(__xludf.DUMMYFUNCTION("""COMPUTED_VALUE"""),0)</f>
        <v>0</v>
      </c>
      <c r="H346" s="9" t="str">
        <f ca="1">IFERROR(__xludf.DUMMYFUNCTION("""COMPUTED_VALUE"""),"https://chicago.cbslocal.com/2021/08/14/15-year-old-boy-shot-near-elementary-school-calumet-heights/")</f>
        <v>https://chicago.cbslocal.com/2021/08/14/15-year-old-boy-shot-near-elementary-school-calumet-heights/</v>
      </c>
      <c r="I346" s="5">
        <f ca="1">IFERROR(__xludf.DUMMYFUNCTION("""COMPUTED_VALUE"""),2)</f>
        <v>2</v>
      </c>
      <c r="J346" s="5" t="str">
        <f ca="1">IFERROR(__xludf.DUMMYFUNCTION("""COMPUTED_VALUE"""),"Local")</f>
        <v>Local</v>
      </c>
      <c r="K346" s="5">
        <f ca="1">IFERROR(__xludf.DUMMYFUNCTION("""COMPUTED_VALUE"""),3)</f>
        <v>3</v>
      </c>
      <c r="L346" s="5" t="str">
        <f ca="1">IFERROR(__xludf.DUMMYFUNCTION("""COMPUTED_VALUE"""),"Summer")</f>
        <v>Summer</v>
      </c>
      <c r="M346" s="5" t="str">
        <f ca="1">IFERROR(__xludf.DUMMYFUNCTION("""COMPUTED_VALUE"""),"Chicago")</f>
        <v>Chicago</v>
      </c>
      <c r="N346" s="5" t="str">
        <f ca="1">IFERROR(__xludf.DUMMYFUNCTION("""COMPUTED_VALUE"""),"IL")</f>
        <v>IL</v>
      </c>
      <c r="O346" s="5" t="str">
        <f ca="1">IFERROR(__xludf.DUMMYFUNCTION("""COMPUTED_VALUE"""),"Elementary")</f>
        <v>Elementary</v>
      </c>
      <c r="P346" s="5" t="str">
        <f ca="1">IFERROR(__xludf.DUMMYFUNCTION("""COMPUTED_VALUE"""),"Outside on School Property")</f>
        <v>Outside on School Property</v>
      </c>
      <c r="Q346" s="5" t="str">
        <f ca="1">IFERROR(__xludf.DUMMYFUNCTION("""COMPUTED_VALUE"""),"Outside on School Property")</f>
        <v>Outside on School Property</v>
      </c>
      <c r="R346" s="5" t="str">
        <f ca="1">IFERROR(__xludf.DUMMYFUNCTION("""COMPUTED_VALUE"""),"No")</f>
        <v>No</v>
      </c>
      <c r="S346" s="5" t="str">
        <f ca="1">IFERROR(__xludf.DUMMYFUNCTION("""COMPUTED_VALUE"""),"Not a School Day")</f>
        <v>Not a School Day</v>
      </c>
      <c r="T346" s="10">
        <f ca="1">IFERROR(__xludf.DUMMYFUNCTION("""COMPUTED_VALUE"""),0.693055555555555)</f>
        <v>0.69305555555555498</v>
      </c>
      <c r="U346" s="5">
        <f ca="1">IFERROR(__xludf.DUMMYFUNCTION("""COMPUTED_VALUE"""),1)</f>
        <v>1</v>
      </c>
      <c r="V346" s="5" t="str">
        <f ca="1">IFERROR(__xludf.DUMMYFUNCTION("""COMPUTED_VALUE"""),"Teen shot during drive-by outside elementary school")</f>
        <v>Teen shot during drive-by outside elementary school</v>
      </c>
      <c r="W346"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X346" s="5" t="str">
        <f ca="1">IFERROR(__xludf.DUMMYFUNCTION("""COMPUTED_VALUE"""),"Drive-by Shooting")</f>
        <v>Drive-by Shooting</v>
      </c>
      <c r="Y346" s="5" t="str">
        <f ca="1">IFERROR(__xludf.DUMMYFUNCTION("""COMPUTED_VALUE"""),"Victims Targeted")</f>
        <v>Victims Targeted</v>
      </c>
      <c r="Z346" s="5"/>
      <c r="AA346" s="5"/>
      <c r="AB346" s="5" t="str">
        <f ca="1">IFERROR(__xludf.DUMMYFUNCTION("""COMPUTED_VALUE"""),"No")</f>
        <v>No</v>
      </c>
      <c r="AC346" s="5" t="str">
        <f ca="1">IFERROR(__xludf.DUMMYFUNCTION("""COMPUTED_VALUE"""),"No")</f>
        <v>No</v>
      </c>
      <c r="AD346" s="5" t="str">
        <f ca="1">IFERROR(__xludf.DUMMYFUNCTION("""COMPUTED_VALUE"""),"No")</f>
        <v>No</v>
      </c>
      <c r="AE346" s="5" t="str">
        <f ca="1">IFERROR(__xludf.DUMMYFUNCTION("""COMPUTED_VALUE"""),"No")</f>
        <v>No</v>
      </c>
      <c r="AF346" s="5" t="str">
        <f ca="1">IFERROR(__xludf.DUMMYFUNCTION("""COMPUTED_VALUE"""),"No")</f>
        <v>No</v>
      </c>
      <c r="AG346" s="5"/>
      <c r="AH346" s="5" t="str">
        <f ca="1">IFERROR(__xludf.DUMMYFUNCTION("""COMPUTED_VALUE"""),"No")</f>
        <v>No</v>
      </c>
    </row>
    <row r="347" spans="1:34" ht="12.75">
      <c r="A347" s="5" t="str">
        <f ca="1">IFERROR(__xludf.DUMMYFUNCTION("""COMPUTED_VALUE"""),"20210813NMWAA")</f>
        <v>20210813NMWAA</v>
      </c>
      <c r="B347" s="8">
        <f ca="1">IFERROR(__xludf.DUMMYFUNCTION("""COMPUTED_VALUE"""),44421)</f>
        <v>44421</v>
      </c>
      <c r="C347" s="5" t="str">
        <f ca="1">IFERROR(__xludf.DUMMYFUNCTION("""COMPUTED_VALUE"""),"Washington Middle School")</f>
        <v>Washington Middle School</v>
      </c>
      <c r="D347" s="5">
        <f ca="1">IFERROR(__xludf.DUMMYFUNCTION("""COMPUTED_VALUE"""),1)</f>
        <v>1</v>
      </c>
      <c r="E347" s="5">
        <f ca="1">IFERROR(__xludf.DUMMYFUNCTION("""COMPUTED_VALUE"""),0)</f>
        <v>0</v>
      </c>
      <c r="F347" s="5">
        <f ca="1">IFERROR(__xludf.DUMMYFUNCTION("""COMPUTED_VALUE"""),1)</f>
        <v>1</v>
      </c>
      <c r="G347" s="5">
        <f ca="1">IFERROR(__xludf.DUMMYFUNCTION("""COMPUTED_VALUE"""),0)</f>
        <v>0</v>
      </c>
      <c r="H347" s="5" t="str">
        <f ca="1">IFERROR(__xludf.DUMMYFUNCTION("""COMPUTED_VALUE"""),"https://www.koat.com/article/police-multiple-students-knew-school-shooter-had-a-gun/37321357# https://www.yourbasin.com/news/national/1-dies-in-albuquerque-school-shooting-student-detained/ https://www.kob.com/albuquerque-news/apd-student-killed-in-shooti"&amp;"ng-on-washington-middle-school-campus/6206622/")</f>
        <v>https://www.koat.com/article/police-multiple-students-knew-school-shooter-had-a-gun/37321357# https://www.yourbasin.com/news/national/1-dies-in-albuquerque-school-shooting-student-detained/ https://www.kob.com/albuquerque-news/apd-student-killed-in-shooting-on-washington-middle-school-campus/6206622/</v>
      </c>
      <c r="I347" s="5">
        <f ca="1">IFERROR(__xludf.DUMMYFUNCTION("""COMPUTED_VALUE"""),50)</f>
        <v>50</v>
      </c>
      <c r="J347" s="5" t="str">
        <f ca="1">IFERROR(__xludf.DUMMYFUNCTION("""COMPUTED_VALUE"""),"National")</f>
        <v>National</v>
      </c>
      <c r="K347" s="5">
        <f ca="1">IFERROR(__xludf.DUMMYFUNCTION("""COMPUTED_VALUE"""),4)</f>
        <v>4</v>
      </c>
      <c r="L347" s="5" t="str">
        <f ca="1">IFERROR(__xludf.DUMMYFUNCTION("""COMPUTED_VALUE"""),"Fall")</f>
        <v>Fall</v>
      </c>
      <c r="M347" s="5" t="str">
        <f ca="1">IFERROR(__xludf.DUMMYFUNCTION("""COMPUTED_VALUE"""),"Albuquerque")</f>
        <v>Albuquerque</v>
      </c>
      <c r="N347" s="5" t="str">
        <f ca="1">IFERROR(__xludf.DUMMYFUNCTION("""COMPUTED_VALUE"""),"NM")</f>
        <v>NM</v>
      </c>
      <c r="O347" s="5" t="str">
        <f ca="1">IFERROR(__xludf.DUMMYFUNCTION("""COMPUTED_VALUE"""),"Middle")</f>
        <v>Middle</v>
      </c>
      <c r="P347" s="5" t="str">
        <f ca="1">IFERROR(__xludf.DUMMYFUNCTION("""COMPUTED_VALUE"""),"Playground")</f>
        <v>Playground</v>
      </c>
      <c r="Q347" s="5" t="str">
        <f ca="1">IFERROR(__xludf.DUMMYFUNCTION("""COMPUTED_VALUE"""),"Outside on School Property")</f>
        <v>Outside on School Property</v>
      </c>
      <c r="R347" s="5" t="str">
        <f ca="1">IFERROR(__xludf.DUMMYFUNCTION("""COMPUTED_VALUE"""),"Yes")</f>
        <v>Yes</v>
      </c>
      <c r="S347" s="5" t="str">
        <f ca="1">IFERROR(__xludf.DUMMYFUNCTION("""COMPUTED_VALUE"""),"Lunch")</f>
        <v>Lunch</v>
      </c>
      <c r="T347" s="10">
        <f ca="1">IFERROR(__xludf.DUMMYFUNCTION("""COMPUTED_VALUE"""),0.53125)</f>
        <v>0.53125</v>
      </c>
      <c r="U347" s="5">
        <f ca="1">IFERROR(__xludf.DUMMYFUNCTION("""COMPUTED_VALUE"""),1)</f>
        <v>1</v>
      </c>
      <c r="V347" s="5" t="str">
        <f ca="1">IFERROR(__xludf.DUMMYFUNCTION("""COMPUTED_VALUE"""),"Student shot another student during recess following a prior dispute")</f>
        <v>Student shot another student during recess following a prior dispute</v>
      </c>
      <c r="W347"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v>
      </c>
      <c r="X347" s="5" t="str">
        <f ca="1">IFERROR(__xludf.DUMMYFUNCTION("""COMPUTED_VALUE"""),"Escalation of Dispute")</f>
        <v>Escalation of Dispute</v>
      </c>
      <c r="Y347" s="5" t="str">
        <f ca="1">IFERROR(__xludf.DUMMYFUNCTION("""COMPUTED_VALUE"""),"Victims Targeted")</f>
        <v>Victims Targeted</v>
      </c>
      <c r="Z347" s="5" t="str">
        <f ca="1">IFERROR(__xludf.DUMMYFUNCTION("""COMPUTED_VALUE"""),"No")</f>
        <v>No</v>
      </c>
      <c r="AA347" s="5"/>
      <c r="AB347" s="5" t="str">
        <f ca="1">IFERROR(__xludf.DUMMYFUNCTION("""COMPUTED_VALUE"""),"No")</f>
        <v>No</v>
      </c>
      <c r="AC347" s="5" t="str">
        <f ca="1">IFERROR(__xludf.DUMMYFUNCTION("""COMPUTED_VALUE"""),"No")</f>
        <v>No</v>
      </c>
      <c r="AD347" s="5" t="str">
        <f ca="1">IFERROR(__xludf.DUMMYFUNCTION("""COMPUTED_VALUE"""),"No")</f>
        <v>No</v>
      </c>
      <c r="AE347" s="5" t="str">
        <f ca="1">IFERROR(__xludf.DUMMYFUNCTION("""COMPUTED_VALUE"""),"Yes")</f>
        <v>Yes</v>
      </c>
      <c r="AF347" s="5" t="str">
        <f ca="1">IFERROR(__xludf.DUMMYFUNCTION("""COMPUTED_VALUE"""),"No")</f>
        <v>No</v>
      </c>
      <c r="AG347" s="5" t="str">
        <f ca="1">IFERROR(__xludf.DUMMYFUNCTION("""COMPUTED_VALUE"""),"No")</f>
        <v>No</v>
      </c>
      <c r="AH347" s="5" t="str">
        <f ca="1">IFERROR(__xludf.DUMMYFUNCTION("""COMPUTED_VALUE"""),"No")</f>
        <v>No</v>
      </c>
    </row>
    <row r="348" spans="1:34" ht="12.75">
      <c r="A348" s="5" t="str">
        <f ca="1">IFERROR(__xludf.DUMMYFUNCTION("""COMPUTED_VALUE"""),"20210813GACAS")</f>
        <v>20210813GACAS</v>
      </c>
      <c r="B348" s="8">
        <f ca="1">IFERROR(__xludf.DUMMYFUNCTION("""COMPUTED_VALUE"""),44421)</f>
        <v>44421</v>
      </c>
      <c r="C348" s="5" t="str">
        <f ca="1">IFERROR(__xludf.DUMMYFUNCTION("""COMPUTED_VALUE"""),"Campbell High SChool")</f>
        <v>Campbell High SChool</v>
      </c>
      <c r="D348" s="5">
        <f ca="1">IFERROR(__xludf.DUMMYFUNCTION("""COMPUTED_VALUE"""),0)</f>
        <v>0</v>
      </c>
      <c r="E348" s="5">
        <f ca="1">IFERROR(__xludf.DUMMYFUNCTION("""COMPUTED_VALUE"""),0)</f>
        <v>0</v>
      </c>
      <c r="F348" s="5">
        <f ca="1">IFERROR(__xludf.DUMMYFUNCTION("""COMPUTED_VALUE"""),0)</f>
        <v>0</v>
      </c>
      <c r="G348" s="5">
        <f ca="1">IFERROR(__xludf.DUMMYFUNCTION("""COMPUTED_VALUE"""),0)</f>
        <v>0</v>
      </c>
      <c r="H348"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I348" s="5">
        <f ca="1">IFERROR(__xludf.DUMMYFUNCTION("""COMPUTED_VALUE"""),5)</f>
        <v>5</v>
      </c>
      <c r="J348" s="5" t="str">
        <f ca="1">IFERROR(__xludf.DUMMYFUNCTION("""COMPUTED_VALUE"""),"Regional")</f>
        <v>Regional</v>
      </c>
      <c r="K348" s="5">
        <f ca="1">IFERROR(__xludf.DUMMYFUNCTION("""COMPUTED_VALUE"""),4)</f>
        <v>4</v>
      </c>
      <c r="L348" s="5" t="str">
        <f ca="1">IFERROR(__xludf.DUMMYFUNCTION("""COMPUTED_VALUE"""),"Fall")</f>
        <v>Fall</v>
      </c>
      <c r="M348" s="5" t="str">
        <f ca="1">IFERROR(__xludf.DUMMYFUNCTION("""COMPUTED_VALUE"""),"Smyrna")</f>
        <v>Smyrna</v>
      </c>
      <c r="N348" s="5" t="str">
        <f ca="1">IFERROR(__xludf.DUMMYFUNCTION("""COMPUTED_VALUE"""),"GA")</f>
        <v>GA</v>
      </c>
      <c r="O348" s="5" t="str">
        <f ca="1">IFERROR(__xludf.DUMMYFUNCTION("""COMPUTED_VALUE"""),"High")</f>
        <v>High</v>
      </c>
      <c r="P348" s="5" t="str">
        <f ca="1">IFERROR(__xludf.DUMMYFUNCTION("""COMPUTED_VALUE"""),"Football Field/Track")</f>
        <v>Football Field/Track</v>
      </c>
      <c r="Q348" s="5" t="str">
        <f ca="1">IFERROR(__xludf.DUMMYFUNCTION("""COMPUTED_VALUE"""),"Outside on School Property")</f>
        <v>Outside on School Property</v>
      </c>
      <c r="R348" s="5" t="str">
        <f ca="1">IFERROR(__xludf.DUMMYFUNCTION("""COMPUTED_VALUE"""),"No")</f>
        <v>No</v>
      </c>
      <c r="S348" s="5" t="str">
        <f ca="1">IFERROR(__xludf.DUMMYFUNCTION("""COMPUTED_VALUE"""),"Sport Event")</f>
        <v>Sport Event</v>
      </c>
      <c r="T348" s="10">
        <f ca="1">IFERROR(__xludf.DUMMYFUNCTION("""COMPUTED_VALUE"""),0.885416666666666)</f>
        <v>0.88541666666666596</v>
      </c>
      <c r="U348" s="5">
        <f ca="1">IFERROR(__xludf.DUMMYFUNCTION("""COMPUTED_VALUE"""),1)</f>
        <v>1</v>
      </c>
      <c r="V348" s="5" t="str">
        <f ca="1">IFERROR(__xludf.DUMMYFUNCTION("""COMPUTED_VALUE"""),"Shots fired during fight following high school football game")</f>
        <v>Shots fired during fight following high school football game</v>
      </c>
      <c r="W348"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X348" s="5" t="str">
        <f ca="1">IFERROR(__xludf.DUMMYFUNCTION("""COMPUTED_VALUE"""),"Escalation of Dispute")</f>
        <v>Escalation of Dispute</v>
      </c>
      <c r="Y348" s="5" t="str">
        <f ca="1">IFERROR(__xludf.DUMMYFUNCTION("""COMPUTED_VALUE"""),"Neither")</f>
        <v>Neither</v>
      </c>
      <c r="Z348" s="5" t="str">
        <f ca="1">IFERROR(__xludf.DUMMYFUNCTION("""COMPUTED_VALUE"""),"No")</f>
        <v>No</v>
      </c>
      <c r="AA348" s="5"/>
      <c r="AB348" s="5" t="str">
        <f ca="1">IFERROR(__xludf.DUMMYFUNCTION("""COMPUTED_VALUE"""),"No")</f>
        <v>No</v>
      </c>
      <c r="AC348" s="5" t="str">
        <f ca="1">IFERROR(__xludf.DUMMYFUNCTION("""COMPUTED_VALUE"""),"No")</f>
        <v>No</v>
      </c>
      <c r="AD348" s="5" t="str">
        <f ca="1">IFERROR(__xludf.DUMMYFUNCTION("""COMPUTED_VALUE"""),"No")</f>
        <v>No</v>
      </c>
      <c r="AE348" s="5" t="str">
        <f ca="1">IFERROR(__xludf.DUMMYFUNCTION("""COMPUTED_VALUE"""),"No")</f>
        <v>No</v>
      </c>
      <c r="AF348" s="5" t="str">
        <f ca="1">IFERROR(__xludf.DUMMYFUNCTION("""COMPUTED_VALUE"""),"No")</f>
        <v>No</v>
      </c>
      <c r="AG348" s="5"/>
      <c r="AH348" s="5" t="str">
        <f ca="1">IFERROR(__xludf.DUMMYFUNCTION("""COMPUTED_VALUE"""),"No")</f>
        <v>No</v>
      </c>
    </row>
    <row r="349" spans="1:34" ht="12.75">
      <c r="A349" s="5" t="str">
        <f ca="1">IFERROR(__xludf.DUMMYFUNCTION("""COMPUTED_VALUE"""),"20210812GALIL")</f>
        <v>20210812GALIL</v>
      </c>
      <c r="B349" s="8">
        <f ca="1">IFERROR(__xludf.DUMMYFUNCTION("""COMPUTED_VALUE"""),44420)</f>
        <v>44420</v>
      </c>
      <c r="C349" s="5" t="str">
        <f ca="1">IFERROR(__xludf.DUMMYFUNCTION("""COMPUTED_VALUE"""),"Lithonia High School")</f>
        <v>Lithonia High School</v>
      </c>
      <c r="D349" s="5">
        <f ca="1">IFERROR(__xludf.DUMMYFUNCTION("""COMPUTED_VALUE"""),0)</f>
        <v>0</v>
      </c>
      <c r="E349" s="5">
        <f ca="1">IFERROR(__xludf.DUMMYFUNCTION("""COMPUTED_VALUE"""),1)</f>
        <v>1</v>
      </c>
      <c r="F349" s="5">
        <f ca="1">IFERROR(__xludf.DUMMYFUNCTION("""COMPUTED_VALUE"""),1)</f>
        <v>1</v>
      </c>
      <c r="G349" s="5">
        <f ca="1">IFERROR(__xludf.DUMMYFUNCTION("""COMPUTED_VALUE"""),0)</f>
        <v>0</v>
      </c>
      <c r="H349"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I349" s="5">
        <f ca="1">IFERROR(__xludf.DUMMYFUNCTION("""COMPUTED_VALUE"""),10)</f>
        <v>10</v>
      </c>
      <c r="J349" s="5" t="str">
        <f ca="1">IFERROR(__xludf.DUMMYFUNCTION("""COMPUTED_VALUE"""),"Regional")</f>
        <v>Regional</v>
      </c>
      <c r="K349" s="5">
        <f ca="1">IFERROR(__xludf.DUMMYFUNCTION("""COMPUTED_VALUE"""),4)</f>
        <v>4</v>
      </c>
      <c r="L349" s="5" t="str">
        <f ca="1">IFERROR(__xludf.DUMMYFUNCTION("""COMPUTED_VALUE"""),"Fall")</f>
        <v>Fall</v>
      </c>
      <c r="M349" s="5" t="str">
        <f ca="1">IFERROR(__xludf.DUMMYFUNCTION("""COMPUTED_VALUE"""),"Lithonia")</f>
        <v>Lithonia</v>
      </c>
      <c r="N349" s="5" t="str">
        <f ca="1">IFERROR(__xludf.DUMMYFUNCTION("""COMPUTED_VALUE"""),"GA")</f>
        <v>GA</v>
      </c>
      <c r="O349" s="5" t="str">
        <f ca="1">IFERROR(__xludf.DUMMYFUNCTION("""COMPUTED_VALUE"""),"High")</f>
        <v>High</v>
      </c>
      <c r="P349" s="5" t="str">
        <f ca="1">IFERROR(__xludf.DUMMYFUNCTION("""COMPUTED_VALUE"""),"Parking Lot")</f>
        <v>Parking Lot</v>
      </c>
      <c r="Q349" s="5" t="str">
        <f ca="1">IFERROR(__xludf.DUMMYFUNCTION("""COMPUTED_VALUE"""),"Outside on School Property")</f>
        <v>Outside on School Property</v>
      </c>
      <c r="R349" s="5" t="str">
        <f ca="1">IFERROR(__xludf.DUMMYFUNCTION("""COMPUTED_VALUE"""),"Yes")</f>
        <v>Yes</v>
      </c>
      <c r="S349" s="5" t="str">
        <f ca="1">IFERROR(__xludf.DUMMYFUNCTION("""COMPUTED_VALUE"""),"Afternoon Classes")</f>
        <v>Afternoon Classes</v>
      </c>
      <c r="T349" s="10">
        <f ca="1">IFERROR(__xludf.DUMMYFUNCTION("""COMPUTED_VALUE"""),0.625)</f>
        <v>0.625</v>
      </c>
      <c r="U349" s="5">
        <f ca="1">IFERROR(__xludf.DUMMYFUNCTION("""COMPUTED_VALUE"""),1)</f>
        <v>1</v>
      </c>
      <c r="V349" s="5" t="str">
        <f ca="1">IFERROR(__xludf.DUMMYFUNCTION("""COMPUTED_VALUE"""),"SRO attempted to stop 2 men, they fled in vehicle, and SRO fired shots at the vehicle")</f>
        <v>SRO attempted to stop 2 men, they fled in vehicle, and SRO fired shots at the vehicle</v>
      </c>
      <c r="W349"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X349" s="5" t="str">
        <f ca="1">IFERROR(__xludf.DUMMYFUNCTION("""COMPUTED_VALUE"""),"Officer-Involved Shooting")</f>
        <v>Officer-Involved Shooting</v>
      </c>
      <c r="Y349" s="5"/>
      <c r="Z349" s="5"/>
      <c r="AA349" s="5"/>
      <c r="AB349" s="5"/>
      <c r="AC349" s="5"/>
      <c r="AD349" s="5" t="str">
        <f ca="1">IFERROR(__xludf.DUMMYFUNCTION("""COMPUTED_VALUE"""),"Yes")</f>
        <v>Yes</v>
      </c>
      <c r="AE349" s="5"/>
      <c r="AF349" s="5"/>
      <c r="AG349" s="5"/>
      <c r="AH349" s="5"/>
    </row>
    <row r="350" spans="1:34" ht="12.75">
      <c r="A350" s="5" t="str">
        <f ca="1">IFERROR(__xludf.DUMMYFUNCTION("""COMPUTED_VALUE"""),"20210812CANOS")</f>
        <v>20210812CANOS</v>
      </c>
      <c r="B350" s="8">
        <f ca="1">IFERROR(__xludf.DUMMYFUNCTION("""COMPUTED_VALUE"""),44420)</f>
        <v>44420</v>
      </c>
      <c r="C350" s="5" t="str">
        <f ca="1">IFERROR(__xludf.DUMMYFUNCTION("""COMPUTED_VALUE"""),"North Mountain Middle School")</f>
        <v>North Mountain Middle School</v>
      </c>
      <c r="D350" s="5">
        <f ca="1">IFERROR(__xludf.DUMMYFUNCTION("""COMPUTED_VALUE"""),0)</f>
        <v>0</v>
      </c>
      <c r="E350" s="5">
        <f ca="1">IFERROR(__xludf.DUMMYFUNCTION("""COMPUTED_VALUE"""),0)</f>
        <v>0</v>
      </c>
      <c r="F350" s="5">
        <f ca="1">IFERROR(__xludf.DUMMYFUNCTION("""COMPUTED_VALUE"""),0)</f>
        <v>0</v>
      </c>
      <c r="G350" s="5">
        <f ca="1">IFERROR(__xludf.DUMMYFUNCTION("""COMPUTED_VALUE"""),0)</f>
        <v>0</v>
      </c>
      <c r="H350" s="9" t="str">
        <f ca="1">IFERROR(__xludf.DUMMYFUNCTION("""COMPUTED_VALUE"""),"https://www.pe.com/2021/08/12/early-morning-gunshot-locks-down-san-jacintos-north-mountain-middle-school/")</f>
        <v>https://www.pe.com/2021/08/12/early-morning-gunshot-locks-down-san-jacintos-north-mountain-middle-school/</v>
      </c>
      <c r="I350" s="5">
        <f ca="1">IFERROR(__xludf.DUMMYFUNCTION("""COMPUTED_VALUE"""),1)</f>
        <v>1</v>
      </c>
      <c r="J350" s="5" t="str">
        <f ca="1">IFERROR(__xludf.DUMMYFUNCTION("""COMPUTED_VALUE"""),"Local")</f>
        <v>Local</v>
      </c>
      <c r="K350" s="5">
        <f ca="1">IFERROR(__xludf.DUMMYFUNCTION("""COMPUTED_VALUE"""),4)</f>
        <v>4</v>
      </c>
      <c r="L350" s="5" t="str">
        <f ca="1">IFERROR(__xludf.DUMMYFUNCTION("""COMPUTED_VALUE"""),"Fall")</f>
        <v>Fall</v>
      </c>
      <c r="M350" s="5" t="str">
        <f ca="1">IFERROR(__xludf.DUMMYFUNCTION("""COMPUTED_VALUE"""),"San Jacinto")</f>
        <v>San Jacinto</v>
      </c>
      <c r="N350" s="5" t="str">
        <f ca="1">IFERROR(__xludf.DUMMYFUNCTION("""COMPUTED_VALUE"""),"CA")</f>
        <v>CA</v>
      </c>
      <c r="O350" s="5" t="str">
        <f ca="1">IFERROR(__xludf.DUMMYFUNCTION("""COMPUTED_VALUE"""),"Middle")</f>
        <v>Middle</v>
      </c>
      <c r="P350" s="5" t="str">
        <f ca="1">IFERROR(__xludf.DUMMYFUNCTION("""COMPUTED_VALUE"""),"Bathroom")</f>
        <v>Bathroom</v>
      </c>
      <c r="Q350" s="5" t="str">
        <f ca="1">IFERROR(__xludf.DUMMYFUNCTION("""COMPUTED_VALUE"""),"Inside School Building")</f>
        <v>Inside School Building</v>
      </c>
      <c r="R350" s="5" t="str">
        <f ca="1">IFERROR(__xludf.DUMMYFUNCTION("""COMPUTED_VALUE"""),"Yes")</f>
        <v>Yes</v>
      </c>
      <c r="S350" s="5" t="str">
        <f ca="1">IFERROR(__xludf.DUMMYFUNCTION("""COMPUTED_VALUE"""),"School Start")</f>
        <v>School Start</v>
      </c>
      <c r="T350" s="10">
        <f ca="1">IFERROR(__xludf.DUMMYFUNCTION("""COMPUTED_VALUE"""),0.299305555555555)</f>
        <v>0.29930555555555499</v>
      </c>
      <c r="U350" s="5">
        <f ca="1">IFERROR(__xludf.DUMMYFUNCTION("""COMPUTED_VALUE"""),1)</f>
        <v>1</v>
      </c>
      <c r="V350" s="5" t="str">
        <f ca="1">IFERROR(__xludf.DUMMYFUNCTION("""COMPUTED_VALUE"""),"Student fired shot in the school bathroom")</f>
        <v>Student fired shot in the school bathroom</v>
      </c>
      <c r="W350"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X350" s="5"/>
      <c r="Y350" s="5" t="str">
        <f ca="1">IFERROR(__xludf.DUMMYFUNCTION("""COMPUTED_VALUE"""),"Neither")</f>
        <v>Neither</v>
      </c>
      <c r="Z350" s="5" t="str">
        <f ca="1">IFERROR(__xludf.DUMMYFUNCTION("""COMPUTED_VALUE"""),"No")</f>
        <v>No</v>
      </c>
      <c r="AA350" s="5"/>
      <c r="AB350" s="5" t="str">
        <f ca="1">IFERROR(__xludf.DUMMYFUNCTION("""COMPUTED_VALUE"""),"No")</f>
        <v>No</v>
      </c>
      <c r="AC350" s="5" t="str">
        <f ca="1">IFERROR(__xludf.DUMMYFUNCTION("""COMPUTED_VALUE"""),"No")</f>
        <v>No</v>
      </c>
      <c r="AD350" s="5" t="str">
        <f ca="1">IFERROR(__xludf.DUMMYFUNCTION("""COMPUTED_VALUE"""),"No")</f>
        <v>No</v>
      </c>
      <c r="AE350" s="5"/>
      <c r="AF350" s="5" t="str">
        <f ca="1">IFERROR(__xludf.DUMMYFUNCTION("""COMPUTED_VALUE"""),"No")</f>
        <v>No</v>
      </c>
      <c r="AG350" s="5" t="str">
        <f ca="1">IFERROR(__xludf.DUMMYFUNCTION("""COMPUTED_VALUE"""),"No")</f>
        <v>No</v>
      </c>
      <c r="AH350" s="5" t="str">
        <f ca="1">IFERROR(__xludf.DUMMYFUNCTION("""COMPUTED_VALUE"""),"No")</f>
        <v>No</v>
      </c>
    </row>
    <row r="351" spans="1:34" ht="12.75">
      <c r="A351" s="5" t="str">
        <f ca="1">IFERROR(__xludf.DUMMYFUNCTION("""COMPUTED_VALUE"""),"20210811COMAC")</f>
        <v>20210811COMAC</v>
      </c>
      <c r="B351" s="8">
        <f ca="1">IFERROR(__xludf.DUMMYFUNCTION("""COMPUTED_VALUE"""),44419)</f>
        <v>44419</v>
      </c>
      <c r="C351" s="5" t="str">
        <f ca="1">IFERROR(__xludf.DUMMYFUNCTION("""COMPUTED_VALUE"""),"Mark Twain Elementary School")</f>
        <v>Mark Twain Elementary School</v>
      </c>
      <c r="D351" s="5">
        <f ca="1">IFERROR(__xludf.DUMMYFUNCTION("""COMPUTED_VALUE"""),0)</f>
        <v>0</v>
      </c>
      <c r="E351" s="5">
        <f ca="1">IFERROR(__xludf.DUMMYFUNCTION("""COMPUTED_VALUE"""),1)</f>
        <v>1</v>
      </c>
      <c r="F351" s="5">
        <f ca="1">IFERROR(__xludf.DUMMYFUNCTION("""COMPUTED_VALUE"""),1)</f>
        <v>1</v>
      </c>
      <c r="G351" s="5">
        <f ca="1">IFERROR(__xludf.DUMMYFUNCTION("""COMPUTED_VALUE"""),0)</f>
        <v>0</v>
      </c>
      <c r="H351"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I351" s="5">
        <f ca="1">IFERROR(__xludf.DUMMYFUNCTION("""COMPUTED_VALUE"""),3)</f>
        <v>3</v>
      </c>
      <c r="J351" s="5" t="str">
        <f ca="1">IFERROR(__xludf.DUMMYFUNCTION("""COMPUTED_VALUE"""),"Local")</f>
        <v>Local</v>
      </c>
      <c r="K351" s="5">
        <f ca="1">IFERROR(__xludf.DUMMYFUNCTION("""COMPUTED_VALUE"""),3)</f>
        <v>3</v>
      </c>
      <c r="L351" s="5" t="str">
        <f ca="1">IFERROR(__xludf.DUMMYFUNCTION("""COMPUTED_VALUE"""),"Summer")</f>
        <v>Summer</v>
      </c>
      <c r="M351" s="5" t="str">
        <f ca="1">IFERROR(__xludf.DUMMYFUNCTION("""COMPUTED_VALUE"""),"Colorado Springs")</f>
        <v>Colorado Springs</v>
      </c>
      <c r="N351" s="5" t="str">
        <f ca="1">IFERROR(__xludf.DUMMYFUNCTION("""COMPUTED_VALUE"""),"CO")</f>
        <v>CO</v>
      </c>
      <c r="O351" s="5" t="str">
        <f ca="1">IFERROR(__xludf.DUMMYFUNCTION("""COMPUTED_VALUE"""),"Elementary")</f>
        <v>Elementary</v>
      </c>
      <c r="P351" s="5" t="str">
        <f ca="1">IFERROR(__xludf.DUMMYFUNCTION("""COMPUTED_VALUE"""),"Outside on School Property")</f>
        <v>Outside on School Property</v>
      </c>
      <c r="Q351" s="5" t="str">
        <f ca="1">IFERROR(__xludf.DUMMYFUNCTION("""COMPUTED_VALUE"""),"Outside on School Property")</f>
        <v>Outside on School Property</v>
      </c>
      <c r="R351" s="5" t="str">
        <f ca="1">IFERROR(__xludf.DUMMYFUNCTION("""COMPUTED_VALUE"""),"No")</f>
        <v>No</v>
      </c>
      <c r="S351" s="5" t="str">
        <f ca="1">IFERROR(__xludf.DUMMYFUNCTION("""COMPUTED_VALUE"""),"Night")</f>
        <v>Night</v>
      </c>
      <c r="T351" s="10">
        <f ca="1">IFERROR(__xludf.DUMMYFUNCTION("""COMPUTED_VALUE"""),0.0416666666666666)</f>
        <v>4.1666666666666602E-2</v>
      </c>
      <c r="U351" s="5">
        <f ca="1">IFERROR(__xludf.DUMMYFUNCTION("""COMPUTED_VALUE"""),1)</f>
        <v>1</v>
      </c>
      <c r="V351" s="5" t="str">
        <f ca="1">IFERROR(__xludf.DUMMYFUNCTION("""COMPUTED_VALUE"""),"Man shot outside of the school")</f>
        <v>Man shot outside of the school</v>
      </c>
      <c r="W351"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X351" s="5"/>
      <c r="Y351" s="5"/>
      <c r="Z351" s="5" t="str">
        <f ca="1">IFERROR(__xludf.DUMMYFUNCTION("""COMPUTED_VALUE"""),"No")</f>
        <v>No</v>
      </c>
      <c r="AA351" s="5"/>
      <c r="AB351" s="5" t="str">
        <f ca="1">IFERROR(__xludf.DUMMYFUNCTION("""COMPUTED_VALUE"""),"No")</f>
        <v>No</v>
      </c>
      <c r="AC351" s="5" t="str">
        <f ca="1">IFERROR(__xludf.DUMMYFUNCTION("""COMPUTED_VALUE"""),"No")</f>
        <v>No</v>
      </c>
      <c r="AD351" s="5" t="str">
        <f ca="1">IFERROR(__xludf.DUMMYFUNCTION("""COMPUTED_VALUE"""),"No")</f>
        <v>No</v>
      </c>
      <c r="AE351" s="5" t="str">
        <f ca="1">IFERROR(__xludf.DUMMYFUNCTION("""COMPUTED_VALUE"""),"No")</f>
        <v>No</v>
      </c>
      <c r="AF351" s="5" t="str">
        <f ca="1">IFERROR(__xludf.DUMMYFUNCTION("""COMPUTED_VALUE"""),"No")</f>
        <v>No</v>
      </c>
      <c r="AG351" s="5"/>
      <c r="AH351" s="5" t="str">
        <f ca="1">IFERROR(__xludf.DUMMYFUNCTION("""COMPUTED_VALUE"""),"No")</f>
        <v>No</v>
      </c>
    </row>
    <row r="352" spans="1:34" ht="12.75">
      <c r="A352" s="5" t="str">
        <f ca="1">IFERROR(__xludf.DUMMYFUNCTION("""COMPUTED_VALUE"""),"20210811CAOAO")</f>
        <v>20210811CAOAO</v>
      </c>
      <c r="B352" s="8">
        <f ca="1">IFERROR(__xludf.DUMMYFUNCTION("""COMPUTED_VALUE"""),44419)</f>
        <v>44419</v>
      </c>
      <c r="C352" s="5" t="str">
        <f ca="1">IFERROR(__xludf.DUMMYFUNCTION("""COMPUTED_VALUE"""),"Oakland Tech High School")</f>
        <v>Oakland Tech High School</v>
      </c>
      <c r="D352" s="5">
        <f ca="1">IFERROR(__xludf.DUMMYFUNCTION("""COMPUTED_VALUE"""),0)</f>
        <v>0</v>
      </c>
      <c r="E352" s="5">
        <f ca="1">IFERROR(__xludf.DUMMYFUNCTION("""COMPUTED_VALUE"""),0)</f>
        <v>0</v>
      </c>
      <c r="F352" s="5">
        <f ca="1">IFERROR(__xludf.DUMMYFUNCTION("""COMPUTED_VALUE"""),0)</f>
        <v>0</v>
      </c>
      <c r="G352" s="5">
        <f ca="1">IFERROR(__xludf.DUMMYFUNCTION("""COMPUTED_VALUE"""),0)</f>
        <v>0</v>
      </c>
      <c r="H352"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I352" s="5">
        <f ca="1">IFERROR(__xludf.DUMMYFUNCTION("""COMPUTED_VALUE"""),3)</f>
        <v>3</v>
      </c>
      <c r="J352" s="5" t="str">
        <f ca="1">IFERROR(__xludf.DUMMYFUNCTION("""COMPUTED_VALUE"""),"Local")</f>
        <v>Local</v>
      </c>
      <c r="K352" s="5">
        <f ca="1">IFERROR(__xludf.DUMMYFUNCTION("""COMPUTED_VALUE"""),4)</f>
        <v>4</v>
      </c>
      <c r="L352" s="5" t="str">
        <f ca="1">IFERROR(__xludf.DUMMYFUNCTION("""COMPUTED_VALUE"""),"Fall")</f>
        <v>Fall</v>
      </c>
      <c r="M352" s="5" t="str">
        <f ca="1">IFERROR(__xludf.DUMMYFUNCTION("""COMPUTED_VALUE"""),"Oakland")</f>
        <v>Oakland</v>
      </c>
      <c r="N352" s="5" t="str">
        <f ca="1">IFERROR(__xludf.DUMMYFUNCTION("""COMPUTED_VALUE"""),"CA")</f>
        <v>CA</v>
      </c>
      <c r="O352" s="5" t="str">
        <f ca="1">IFERROR(__xludf.DUMMYFUNCTION("""COMPUTED_VALUE"""),"High")</f>
        <v>High</v>
      </c>
      <c r="P352" s="5" t="str">
        <f ca="1">IFERROR(__xludf.DUMMYFUNCTION("""COMPUTED_VALUE"""),"Beside Building")</f>
        <v>Beside Building</v>
      </c>
      <c r="Q352" s="5" t="str">
        <f ca="1">IFERROR(__xludf.DUMMYFUNCTION("""COMPUTED_VALUE"""),"Outside on School Property")</f>
        <v>Outside on School Property</v>
      </c>
      <c r="R352" s="5" t="str">
        <f ca="1">IFERROR(__xludf.DUMMYFUNCTION("""COMPUTED_VALUE"""),"Yes")</f>
        <v>Yes</v>
      </c>
      <c r="S352" s="5" t="str">
        <f ca="1">IFERROR(__xludf.DUMMYFUNCTION("""COMPUTED_VALUE"""),"Dismissal")</f>
        <v>Dismissal</v>
      </c>
      <c r="T352" s="10">
        <f ca="1">IFERROR(__xludf.DUMMYFUNCTION("""COMPUTED_VALUE"""),0.645833333333333)</f>
        <v>0.64583333333333304</v>
      </c>
      <c r="U352" s="5">
        <f ca="1">IFERROR(__xludf.DUMMYFUNCTION("""COMPUTED_VALUE"""),1)</f>
        <v>1</v>
      </c>
      <c r="V352" s="5" t="str">
        <f ca="1">IFERROR(__xludf.DUMMYFUNCTION("""COMPUTED_VALUE"""),"Shots fired outside of the school during dismissal")</f>
        <v>Shots fired outside of the school during dismissal</v>
      </c>
      <c r="W352"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X352" s="5"/>
      <c r="Y352" s="5"/>
      <c r="Z352" s="5" t="str">
        <f ca="1">IFERROR(__xludf.DUMMYFUNCTION("""COMPUTED_VALUE"""),"No")</f>
        <v>No</v>
      </c>
      <c r="AA352" s="5"/>
      <c r="AB352" s="5" t="str">
        <f ca="1">IFERROR(__xludf.DUMMYFUNCTION("""COMPUTED_VALUE"""),"No")</f>
        <v>No</v>
      </c>
      <c r="AC352" s="5" t="str">
        <f ca="1">IFERROR(__xludf.DUMMYFUNCTION("""COMPUTED_VALUE"""),"No")</f>
        <v>No</v>
      </c>
      <c r="AD352" s="5" t="str">
        <f ca="1">IFERROR(__xludf.DUMMYFUNCTION("""COMPUTED_VALUE"""),"No")</f>
        <v>No</v>
      </c>
      <c r="AE352" s="5" t="str">
        <f ca="1">IFERROR(__xludf.DUMMYFUNCTION("""COMPUTED_VALUE"""),"No")</f>
        <v>No</v>
      </c>
      <c r="AF352" s="5" t="str">
        <f ca="1">IFERROR(__xludf.DUMMYFUNCTION("""COMPUTED_VALUE"""),"No")</f>
        <v>No</v>
      </c>
      <c r="AG352" s="5"/>
      <c r="AH352" s="5" t="str">
        <f ca="1">IFERROR(__xludf.DUMMYFUNCTION("""COMPUTED_VALUE"""),"No")</f>
        <v>No</v>
      </c>
    </row>
    <row r="353" spans="1:34" ht="12.75">
      <c r="A353" s="5" t="str">
        <f ca="1">IFERROR(__xludf.DUMMYFUNCTION("""COMPUTED_VALUE"""),"20210810OHEAC")</f>
        <v>20210810OHEAC</v>
      </c>
      <c r="B353" s="8">
        <f ca="1">IFERROR(__xludf.DUMMYFUNCTION("""COMPUTED_VALUE"""),44418)</f>
        <v>44418</v>
      </c>
      <c r="C353" s="5" t="str">
        <f ca="1">IFERROR(__xludf.DUMMYFUNCTION("""COMPUTED_VALUE"""),"East Linden Elementary School")</f>
        <v>East Linden Elementary School</v>
      </c>
      <c r="D353" s="5">
        <f ca="1">IFERROR(__xludf.DUMMYFUNCTION("""COMPUTED_VALUE"""),0)</f>
        <v>0</v>
      </c>
      <c r="E353" s="5">
        <f ca="1">IFERROR(__xludf.DUMMYFUNCTION("""COMPUTED_VALUE"""),1)</f>
        <v>1</v>
      </c>
      <c r="F353" s="5">
        <f ca="1">IFERROR(__xludf.DUMMYFUNCTION("""COMPUTED_VALUE"""),1)</f>
        <v>1</v>
      </c>
      <c r="G353" s="5">
        <f ca="1">IFERROR(__xludf.DUMMYFUNCTION("""COMPUTED_VALUE"""),0)</f>
        <v>0</v>
      </c>
      <c r="H353"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I353" s="5">
        <f ca="1">IFERROR(__xludf.DUMMYFUNCTION("""COMPUTED_VALUE"""),4)</f>
        <v>4</v>
      </c>
      <c r="J353" s="5" t="str">
        <f ca="1">IFERROR(__xludf.DUMMYFUNCTION("""COMPUTED_VALUE"""),"Local")</f>
        <v>Local</v>
      </c>
      <c r="K353" s="5">
        <f ca="1">IFERROR(__xludf.DUMMYFUNCTION("""COMPUTED_VALUE"""),4)</f>
        <v>4</v>
      </c>
      <c r="L353" s="5" t="str">
        <f ca="1">IFERROR(__xludf.DUMMYFUNCTION("""COMPUTED_VALUE"""),"Summer")</f>
        <v>Summer</v>
      </c>
      <c r="M353" s="5" t="str">
        <f ca="1">IFERROR(__xludf.DUMMYFUNCTION("""COMPUTED_VALUE"""),"Columbus")</f>
        <v>Columbus</v>
      </c>
      <c r="N353" s="5" t="str">
        <f ca="1">IFERROR(__xludf.DUMMYFUNCTION("""COMPUTED_VALUE"""),"OH")</f>
        <v>OH</v>
      </c>
      <c r="O353" s="5" t="str">
        <f ca="1">IFERROR(__xludf.DUMMYFUNCTION("""COMPUTED_VALUE"""),"Elementary")</f>
        <v>Elementary</v>
      </c>
      <c r="P353" s="5" t="str">
        <f ca="1">IFERROR(__xludf.DUMMYFUNCTION("""COMPUTED_VALUE"""),"Beside Building")</f>
        <v>Beside Building</v>
      </c>
      <c r="Q353" s="5" t="str">
        <f ca="1">IFERROR(__xludf.DUMMYFUNCTION("""COMPUTED_VALUE"""),"Outside on School Property")</f>
        <v>Outside on School Property</v>
      </c>
      <c r="R353" s="5" t="str">
        <f ca="1">IFERROR(__xludf.DUMMYFUNCTION("""COMPUTED_VALUE"""),"No")</f>
        <v>No</v>
      </c>
      <c r="S353" s="5" t="str">
        <f ca="1">IFERROR(__xludf.DUMMYFUNCTION("""COMPUTED_VALUE"""),"Evening")</f>
        <v>Evening</v>
      </c>
      <c r="T353" s="10">
        <f ca="1">IFERROR(__xludf.DUMMYFUNCTION("""COMPUTED_VALUE"""),0.716666666666666)</f>
        <v>0.71666666666666601</v>
      </c>
      <c r="U353" s="5">
        <f ca="1">IFERROR(__xludf.DUMMYFUNCTION("""COMPUTED_VALUE"""),1)</f>
        <v>1</v>
      </c>
      <c r="V353" s="5" t="str">
        <f ca="1">IFERROR(__xludf.DUMMYFUNCTION("""COMPUTED_VALUE"""),"Group of teens was playing with gun, one shot was fired striking a teen")</f>
        <v>Group of teens was playing with gun, one shot was fired striking a teen</v>
      </c>
      <c r="W353"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X353" s="5" t="str">
        <f ca="1">IFERROR(__xludf.DUMMYFUNCTION("""COMPUTED_VALUE"""),"Accidental")</f>
        <v>Accidental</v>
      </c>
      <c r="Y353" s="5" t="str">
        <f ca="1">IFERROR(__xludf.DUMMYFUNCTION("""COMPUTED_VALUE"""),"Random Shooting")</f>
        <v>Random Shooting</v>
      </c>
      <c r="Z353" s="5" t="str">
        <f ca="1">IFERROR(__xludf.DUMMYFUNCTION("""COMPUTED_VALUE"""),"No")</f>
        <v>No</v>
      </c>
      <c r="AA353" s="5"/>
      <c r="AB353" s="5" t="str">
        <f ca="1">IFERROR(__xludf.DUMMYFUNCTION("""COMPUTED_VALUE"""),"No")</f>
        <v>No</v>
      </c>
      <c r="AC353" s="5" t="str">
        <f ca="1">IFERROR(__xludf.DUMMYFUNCTION("""COMPUTED_VALUE"""),"No")</f>
        <v>No</v>
      </c>
      <c r="AD353" s="5" t="str">
        <f ca="1">IFERROR(__xludf.DUMMYFUNCTION("""COMPUTED_VALUE"""),"No")</f>
        <v>No</v>
      </c>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row>
    <row r="354" spans="1:34" ht="12.75">
      <c r="A354" s="5" t="str">
        <f ca="1">IFERROR(__xludf.DUMMYFUNCTION("""COMPUTED_VALUE"""),"20210807ORGIP")</f>
        <v>20210807ORGIP</v>
      </c>
      <c r="B354" s="8">
        <f ca="1">IFERROR(__xludf.DUMMYFUNCTION("""COMPUTED_VALUE"""),44415)</f>
        <v>44415</v>
      </c>
      <c r="C354" s="5" t="str">
        <f ca="1">IFERROR(__xludf.DUMMYFUNCTION("""COMPUTED_VALUE"""),"Gilbert Heights Elementary School")</f>
        <v>Gilbert Heights Elementary School</v>
      </c>
      <c r="D354" s="5">
        <f ca="1">IFERROR(__xludf.DUMMYFUNCTION("""COMPUTED_VALUE"""),1)</f>
        <v>1</v>
      </c>
      <c r="E354" s="5">
        <f ca="1">IFERROR(__xludf.DUMMYFUNCTION("""COMPUTED_VALUE"""),0)</f>
        <v>0</v>
      </c>
      <c r="F354" s="5">
        <f ca="1">IFERROR(__xludf.DUMMYFUNCTION("""COMPUTED_VALUE"""),1)</f>
        <v>1</v>
      </c>
      <c r="G354" s="5">
        <f ca="1">IFERROR(__xludf.DUMMYFUNCTION("""COMPUTED_VALUE"""),0)</f>
        <v>0</v>
      </c>
      <c r="H354"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I354" s="5">
        <f ca="1">IFERROR(__xludf.DUMMYFUNCTION("""COMPUTED_VALUE"""),1)</f>
        <v>1</v>
      </c>
      <c r="J354" s="5" t="str">
        <f ca="1">IFERROR(__xludf.DUMMYFUNCTION("""COMPUTED_VALUE"""),"Local")</f>
        <v>Local</v>
      </c>
      <c r="K354" s="5">
        <f ca="1">IFERROR(__xludf.DUMMYFUNCTION("""COMPUTED_VALUE"""),3)</f>
        <v>3</v>
      </c>
      <c r="L354" s="5" t="str">
        <f ca="1">IFERROR(__xludf.DUMMYFUNCTION("""COMPUTED_VALUE"""),"Summer")</f>
        <v>Summer</v>
      </c>
      <c r="M354" s="5" t="str">
        <f ca="1">IFERROR(__xludf.DUMMYFUNCTION("""COMPUTED_VALUE"""),"Portland")</f>
        <v>Portland</v>
      </c>
      <c r="N354" s="5" t="str">
        <f ca="1">IFERROR(__xludf.DUMMYFUNCTION("""COMPUTED_VALUE"""),"OR")</f>
        <v>OR</v>
      </c>
      <c r="O354" s="5" t="str">
        <f ca="1">IFERROR(__xludf.DUMMYFUNCTION("""COMPUTED_VALUE"""),"Elementary")</f>
        <v>Elementary</v>
      </c>
      <c r="P354" s="5" t="str">
        <f ca="1">IFERROR(__xludf.DUMMYFUNCTION("""COMPUTED_VALUE"""),"Parking Lot")</f>
        <v>Parking Lot</v>
      </c>
      <c r="Q354" s="5" t="str">
        <f ca="1">IFERROR(__xludf.DUMMYFUNCTION("""COMPUTED_VALUE"""),"Outside on School Property")</f>
        <v>Outside on School Property</v>
      </c>
      <c r="R354" s="5" t="str">
        <f ca="1">IFERROR(__xludf.DUMMYFUNCTION("""COMPUTED_VALUE"""),"No")</f>
        <v>No</v>
      </c>
      <c r="S354" s="5" t="str">
        <f ca="1">IFERROR(__xludf.DUMMYFUNCTION("""COMPUTED_VALUE"""),"Night")</f>
        <v>Night</v>
      </c>
      <c r="T354" s="5"/>
      <c r="U354" s="5"/>
      <c r="V354" s="5" t="str">
        <f ca="1">IFERROR(__xludf.DUMMYFUNCTION("""COMPUTED_VALUE"""),"Man found fatally shot in school parking lot")</f>
        <v>Man found fatally shot in school parking lot</v>
      </c>
      <c r="W354" s="5" t="str">
        <f ca="1">IFERROR(__xludf.DUMMYFUNCTION("""COMPUTED_VALUE"""),"A security guard found the body of a man who had been fatally shot in the parking lot behind the school.")</f>
        <v>A security guard found the body of a man who had been fatally shot in the parking lot behind the school.</v>
      </c>
      <c r="X354" s="5"/>
      <c r="Y354" s="5"/>
      <c r="Z354" s="5"/>
      <c r="AA354" s="5"/>
      <c r="AB354" s="5" t="str">
        <f ca="1">IFERROR(__xludf.DUMMYFUNCTION("""COMPUTED_VALUE"""),"No")</f>
        <v>No</v>
      </c>
      <c r="AC354" s="5" t="str">
        <f ca="1">IFERROR(__xludf.DUMMYFUNCTION("""COMPUTED_VALUE"""),"No")</f>
        <v>No</v>
      </c>
      <c r="AD354" s="5" t="str">
        <f ca="1">IFERROR(__xludf.DUMMYFUNCTION("""COMPUTED_VALUE"""),"No")</f>
        <v>No</v>
      </c>
      <c r="AE354" s="5" t="str">
        <f ca="1">IFERROR(__xludf.DUMMYFUNCTION("""COMPUTED_VALUE"""),"No")</f>
        <v>No</v>
      </c>
      <c r="AF354" s="5"/>
      <c r="AG354" s="5"/>
      <c r="AH354" s="5" t="str">
        <f ca="1">IFERROR(__xludf.DUMMYFUNCTION("""COMPUTED_VALUE"""),"No")</f>
        <v>No</v>
      </c>
    </row>
    <row r="355" spans="1:34" ht="12.75">
      <c r="A355" s="5" t="str">
        <f ca="1">IFERROR(__xludf.DUMMYFUNCTION("""COMPUTED_VALUE"""),"20210806LASTH")</f>
        <v>20210806LASTH</v>
      </c>
      <c r="B355" s="8">
        <f ca="1">IFERROR(__xludf.DUMMYFUNCTION("""COMPUTED_VALUE"""),44414)</f>
        <v>44414</v>
      </c>
      <c r="C355" s="5" t="str">
        <f ca="1">IFERROR(__xludf.DUMMYFUNCTION("""COMPUTED_VALUE"""),"St. Francis de Sales school")</f>
        <v>St. Francis de Sales school</v>
      </c>
      <c r="D355" s="5">
        <f ca="1">IFERROR(__xludf.DUMMYFUNCTION("""COMPUTED_VALUE"""),0)</f>
        <v>0</v>
      </c>
      <c r="E355" s="5">
        <f ca="1">IFERROR(__xludf.DUMMYFUNCTION("""COMPUTED_VALUE"""),1)</f>
        <v>1</v>
      </c>
      <c r="F355" s="5">
        <f ca="1">IFERROR(__xludf.DUMMYFUNCTION("""COMPUTED_VALUE"""),1)</f>
        <v>1</v>
      </c>
      <c r="G355" s="5">
        <f ca="1">IFERROR(__xludf.DUMMYFUNCTION("""COMPUTED_VALUE"""),0)</f>
        <v>0</v>
      </c>
      <c r="H355"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I355" s="5">
        <f ca="1">IFERROR(__xludf.DUMMYFUNCTION("""COMPUTED_VALUE"""),3)</f>
        <v>3</v>
      </c>
      <c r="J355" s="5" t="str">
        <f ca="1">IFERROR(__xludf.DUMMYFUNCTION("""COMPUTED_VALUE"""),"Local")</f>
        <v>Local</v>
      </c>
      <c r="K355" s="5">
        <f ca="1">IFERROR(__xludf.DUMMYFUNCTION("""COMPUTED_VALUE"""),4)</f>
        <v>4</v>
      </c>
      <c r="L355" s="5" t="str">
        <f ca="1">IFERROR(__xludf.DUMMYFUNCTION("""COMPUTED_VALUE"""),"Summer")</f>
        <v>Summer</v>
      </c>
      <c r="M355" s="5" t="str">
        <f ca="1">IFERROR(__xludf.DUMMYFUNCTION("""COMPUTED_VALUE"""),"Houma")</f>
        <v>Houma</v>
      </c>
      <c r="N355" s="5" t="str">
        <f ca="1">IFERROR(__xludf.DUMMYFUNCTION("""COMPUTED_VALUE"""),"LA")</f>
        <v>LA</v>
      </c>
      <c r="O355" s="5" t="str">
        <f ca="1">IFERROR(__xludf.DUMMYFUNCTION("""COMPUTED_VALUE"""),"K-8")</f>
        <v>K-8</v>
      </c>
      <c r="P355" s="5" t="str">
        <f ca="1">IFERROR(__xludf.DUMMYFUNCTION("""COMPUTED_VALUE"""),"Front of School")</f>
        <v>Front of School</v>
      </c>
      <c r="Q355" s="5" t="str">
        <f ca="1">IFERROR(__xludf.DUMMYFUNCTION("""COMPUTED_VALUE"""),"Outside on School Property")</f>
        <v>Outside on School Property</v>
      </c>
      <c r="R355" s="5" t="str">
        <f ca="1">IFERROR(__xludf.DUMMYFUNCTION("""COMPUTED_VALUE"""),"Yes")</f>
        <v>Yes</v>
      </c>
      <c r="S355" s="5" t="str">
        <f ca="1">IFERROR(__xludf.DUMMYFUNCTION("""COMPUTED_VALUE"""),"Dismissal")</f>
        <v>Dismissal</v>
      </c>
      <c r="T355" s="10">
        <f ca="1">IFERROR(__xludf.DUMMYFUNCTION("""COMPUTED_VALUE"""),0.541666666666666)</f>
        <v>0.54166666666666596</v>
      </c>
      <c r="U355" s="5">
        <f ca="1">IFERROR(__xludf.DUMMYFUNCTION("""COMPUTED_VALUE"""),1)</f>
        <v>1</v>
      </c>
      <c r="V355" s="5" t="str">
        <f ca="1">IFERROR(__xludf.DUMMYFUNCTION("""COMPUTED_VALUE"""),"Woman shot inside her car in pick-up line during attempted robbery")</f>
        <v>Woman shot inside her car in pick-up line during attempted robbery</v>
      </c>
      <c r="W355"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X355" s="5" t="str">
        <f ca="1">IFERROR(__xludf.DUMMYFUNCTION("""COMPUTED_VALUE"""),"Illegal Activity")</f>
        <v>Illegal Activity</v>
      </c>
      <c r="Y355" s="5" t="str">
        <f ca="1">IFERROR(__xludf.DUMMYFUNCTION("""COMPUTED_VALUE"""),"Random Shooting")</f>
        <v>Random Shooting</v>
      </c>
      <c r="Z355" s="5" t="str">
        <f ca="1">IFERROR(__xludf.DUMMYFUNCTION("""COMPUTED_VALUE"""),"No")</f>
        <v>No</v>
      </c>
      <c r="AA355" s="5"/>
      <c r="AB355" s="5" t="str">
        <f ca="1">IFERROR(__xludf.DUMMYFUNCTION("""COMPUTED_VALUE"""),"No")</f>
        <v>No</v>
      </c>
      <c r="AC355" s="5" t="str">
        <f ca="1">IFERROR(__xludf.DUMMYFUNCTION("""COMPUTED_VALUE"""),"No")</f>
        <v>No</v>
      </c>
      <c r="AD355" s="5" t="str">
        <f ca="1">IFERROR(__xludf.DUMMYFUNCTION("""COMPUTED_VALUE"""),"No")</f>
        <v>No</v>
      </c>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row>
    <row r="356" spans="1:34" ht="12.75">
      <c r="A356" s="5" t="str">
        <f ca="1">IFERROR(__xludf.DUMMYFUNCTION("""COMPUTED_VALUE"""),"20210805GACHD")</f>
        <v>20210805GACHD</v>
      </c>
      <c r="B356" s="8">
        <f ca="1">IFERROR(__xludf.DUMMYFUNCTION("""COMPUTED_VALUE"""),44413)</f>
        <v>44413</v>
      </c>
      <c r="C356" s="5" t="str">
        <f ca="1">IFERROR(__xludf.DUMMYFUNCTION("""COMPUTED_VALUE"""),"Chapel Hill Middle School")</f>
        <v>Chapel Hill Middle School</v>
      </c>
      <c r="D356" s="5">
        <f ca="1">IFERROR(__xludf.DUMMYFUNCTION("""COMPUTED_VALUE"""),0)</f>
        <v>0</v>
      </c>
      <c r="E356" s="5">
        <f ca="1">IFERROR(__xludf.DUMMYFUNCTION("""COMPUTED_VALUE"""),0)</f>
        <v>0</v>
      </c>
      <c r="F356" s="5">
        <f ca="1">IFERROR(__xludf.DUMMYFUNCTION("""COMPUTED_VALUE"""),0)</f>
        <v>0</v>
      </c>
      <c r="G356" s="5">
        <f ca="1">IFERROR(__xludf.DUMMYFUNCTION("""COMPUTED_VALUE"""),0)</f>
        <v>0</v>
      </c>
      <c r="H356"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I356" s="5">
        <f ca="1">IFERROR(__xludf.DUMMYFUNCTION("""COMPUTED_VALUE"""),2)</f>
        <v>2</v>
      </c>
      <c r="J356" s="5" t="str">
        <f ca="1">IFERROR(__xludf.DUMMYFUNCTION("""COMPUTED_VALUE"""),"National")</f>
        <v>National</v>
      </c>
      <c r="K356" s="5">
        <f ca="1">IFERROR(__xludf.DUMMYFUNCTION("""COMPUTED_VALUE"""),4)</f>
        <v>4</v>
      </c>
      <c r="L356" s="5" t="str">
        <f ca="1">IFERROR(__xludf.DUMMYFUNCTION("""COMPUTED_VALUE"""),"Summer")</f>
        <v>Summer</v>
      </c>
      <c r="M356" s="5" t="str">
        <f ca="1">IFERROR(__xludf.DUMMYFUNCTION("""COMPUTED_VALUE"""),"Douglasville")</f>
        <v>Douglasville</v>
      </c>
      <c r="N356" s="5" t="str">
        <f ca="1">IFERROR(__xludf.DUMMYFUNCTION("""COMPUTED_VALUE"""),"GA")</f>
        <v>GA</v>
      </c>
      <c r="O356" s="5" t="str">
        <f ca="1">IFERROR(__xludf.DUMMYFUNCTION("""COMPUTED_VALUE"""),"Middle")</f>
        <v>Middle</v>
      </c>
      <c r="P356" s="5" t="str">
        <f ca="1">IFERROR(__xludf.DUMMYFUNCTION("""COMPUTED_VALUE"""),"Office")</f>
        <v>Office</v>
      </c>
      <c r="Q356" s="5" t="str">
        <f ca="1">IFERROR(__xludf.DUMMYFUNCTION("""COMPUTED_VALUE"""),"Inside School Building")</f>
        <v>Inside School Building</v>
      </c>
      <c r="R356" s="5" t="str">
        <f ca="1">IFERROR(__xludf.DUMMYFUNCTION("""COMPUTED_VALUE"""),"No")</f>
        <v>No</v>
      </c>
      <c r="S356" s="5" t="str">
        <f ca="1">IFERROR(__xludf.DUMMYFUNCTION("""COMPUTED_VALUE"""),"Night")</f>
        <v>Night</v>
      </c>
      <c r="T356" s="5"/>
      <c r="U356" s="5"/>
      <c r="V356" s="5" t="str">
        <f ca="1">IFERROR(__xludf.DUMMYFUNCTION("""COMPUTED_VALUE"""),"Teacher set fired to school office and fired shots, placed on admin leave day prior")</f>
        <v>Teacher set fired to school office and fired shots, placed on admin leave day prior</v>
      </c>
      <c r="W356"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X356" s="5" t="str">
        <f ca="1">IFERROR(__xludf.DUMMYFUNCTION("""COMPUTED_VALUE"""),"Intentional Property Damage")</f>
        <v>Intentional Property Damage</v>
      </c>
      <c r="Y356" s="5" t="str">
        <f ca="1">IFERROR(__xludf.DUMMYFUNCTION("""COMPUTED_VALUE"""),"Neither")</f>
        <v>Neither</v>
      </c>
      <c r="Z356" s="5" t="str">
        <f ca="1">IFERROR(__xludf.DUMMYFUNCTION("""COMPUTED_VALUE"""),"No")</f>
        <v>No</v>
      </c>
      <c r="AA356" s="5"/>
      <c r="AB356" s="5" t="str">
        <f ca="1">IFERROR(__xludf.DUMMYFUNCTION("""COMPUTED_VALUE"""),"No")</f>
        <v>No</v>
      </c>
      <c r="AC356" s="5" t="str">
        <f ca="1">IFERROR(__xludf.DUMMYFUNCTION("""COMPUTED_VALUE"""),"No")</f>
        <v>No</v>
      </c>
      <c r="AD356" s="5" t="str">
        <f ca="1">IFERROR(__xludf.DUMMYFUNCTION("""COMPUTED_VALUE"""),"No")</f>
        <v>No</v>
      </c>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row>
    <row r="357" spans="1:34" ht="12.75">
      <c r="A357" s="5" t="str">
        <f ca="1">IFERROR(__xludf.DUMMYFUNCTION("""COMPUTED_VALUE"""),"20210804ALBUM")</f>
        <v>20210804ALBUM</v>
      </c>
      <c r="B357" s="8">
        <f ca="1">IFERROR(__xludf.DUMMYFUNCTION("""COMPUTED_VALUE"""),44412)</f>
        <v>44412</v>
      </c>
      <c r="C357" s="5" t="str">
        <f ca="1">IFERROR(__xludf.DUMMYFUNCTION("""COMPUTED_VALUE"""),"Burns Middle School")</f>
        <v>Burns Middle School</v>
      </c>
      <c r="D357" s="5">
        <f ca="1">IFERROR(__xludf.DUMMYFUNCTION("""COMPUTED_VALUE"""),0)</f>
        <v>0</v>
      </c>
      <c r="E357" s="5">
        <f ca="1">IFERROR(__xludf.DUMMYFUNCTION("""COMPUTED_VALUE"""),2)</f>
        <v>2</v>
      </c>
      <c r="F357" s="5">
        <f ca="1">IFERROR(__xludf.DUMMYFUNCTION("""COMPUTED_VALUE"""),2)</f>
        <v>2</v>
      </c>
      <c r="G357" s="5">
        <f ca="1">IFERROR(__xludf.DUMMYFUNCTION("""COMPUTED_VALUE"""),0)</f>
        <v>0</v>
      </c>
      <c r="H357"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I357" s="5">
        <f ca="1">IFERROR(__xludf.DUMMYFUNCTION("""COMPUTED_VALUE"""),2)</f>
        <v>2</v>
      </c>
      <c r="J357" s="5" t="str">
        <f ca="1">IFERROR(__xludf.DUMMYFUNCTION("""COMPUTED_VALUE"""),"Local")</f>
        <v>Local</v>
      </c>
      <c r="K357" s="5">
        <f ca="1">IFERROR(__xludf.DUMMYFUNCTION("""COMPUTED_VALUE"""),4)</f>
        <v>4</v>
      </c>
      <c r="L357" s="5" t="str">
        <f ca="1">IFERROR(__xludf.DUMMYFUNCTION("""COMPUTED_VALUE"""),"Summer")</f>
        <v>Summer</v>
      </c>
      <c r="M357" s="5" t="str">
        <f ca="1">IFERROR(__xludf.DUMMYFUNCTION("""COMPUTED_VALUE"""),"Mobile")</f>
        <v>Mobile</v>
      </c>
      <c r="N357" s="5" t="str">
        <f ca="1">IFERROR(__xludf.DUMMYFUNCTION("""COMPUTED_VALUE"""),"AL")</f>
        <v>AL</v>
      </c>
      <c r="O357" s="5" t="str">
        <f ca="1">IFERROR(__xludf.DUMMYFUNCTION("""COMPUTED_VALUE"""),"Middle")</f>
        <v>Middle</v>
      </c>
      <c r="P357" s="5" t="str">
        <f ca="1">IFERROR(__xludf.DUMMYFUNCTION("""COMPUTED_VALUE"""),"Parking Lot")</f>
        <v>Parking Lot</v>
      </c>
      <c r="Q357" s="5" t="str">
        <f ca="1">IFERROR(__xludf.DUMMYFUNCTION("""COMPUTED_VALUE"""),"Outside on School Property")</f>
        <v>Outside on School Property</v>
      </c>
      <c r="R357" s="5" t="str">
        <f ca="1">IFERROR(__xludf.DUMMYFUNCTION("""COMPUTED_VALUE"""),"No")</f>
        <v>No</v>
      </c>
      <c r="S357" s="5" t="str">
        <f ca="1">IFERROR(__xludf.DUMMYFUNCTION("""COMPUTED_VALUE"""),"Night")</f>
        <v>Night</v>
      </c>
      <c r="T357" s="10">
        <f ca="1">IFERROR(__xludf.DUMMYFUNCTION("""COMPUTED_VALUE"""),0.129166666666666)</f>
        <v>0.12916666666666601</v>
      </c>
      <c r="U357" s="5">
        <f ca="1">IFERROR(__xludf.DUMMYFUNCTION("""COMPUTED_VALUE"""),1)</f>
        <v>1</v>
      </c>
      <c r="V357" s="5" t="str">
        <f ca="1">IFERROR(__xludf.DUMMYFUNCTION("""COMPUTED_VALUE"""),"Two teens shot in school parking lot")</f>
        <v>Two teens shot in school parking lot</v>
      </c>
      <c r="W357"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X357" s="5"/>
      <c r="Y357" s="5"/>
      <c r="Z357" s="5"/>
      <c r="AA357" s="5"/>
      <c r="AB357" s="5" t="str">
        <f ca="1">IFERROR(__xludf.DUMMYFUNCTION("""COMPUTED_VALUE"""),"No")</f>
        <v>No</v>
      </c>
      <c r="AC357" s="5" t="str">
        <f ca="1">IFERROR(__xludf.DUMMYFUNCTION("""COMPUTED_VALUE"""),"No")</f>
        <v>No</v>
      </c>
      <c r="AD357" s="5" t="str">
        <f ca="1">IFERROR(__xludf.DUMMYFUNCTION("""COMPUTED_VALUE"""),"No")</f>
        <v>No</v>
      </c>
      <c r="AE357" s="5" t="str">
        <f ca="1">IFERROR(__xludf.DUMMYFUNCTION("""COMPUTED_VALUE"""),"No")</f>
        <v>No</v>
      </c>
      <c r="AF357" s="5" t="str">
        <f ca="1">IFERROR(__xludf.DUMMYFUNCTION("""COMPUTED_VALUE"""),"No")</f>
        <v>No</v>
      </c>
      <c r="AG357" s="5"/>
      <c r="AH357" s="5" t="str">
        <f ca="1">IFERROR(__xludf.DUMMYFUNCTION("""COMPUTED_VALUE"""),"No")</f>
        <v>No</v>
      </c>
    </row>
    <row r="358" spans="1:34" ht="12.75">
      <c r="A358" s="5" t="str">
        <f ca="1">IFERROR(__xludf.DUMMYFUNCTION("""COMPUTED_VALUE"""),"20210727WATYS")</f>
        <v>20210727WATYS</v>
      </c>
      <c r="B358" s="8">
        <f ca="1">IFERROR(__xludf.DUMMYFUNCTION("""COMPUTED_VALUE"""),44404)</f>
        <v>44404</v>
      </c>
      <c r="C358" s="5" t="str">
        <f ca="1">IFERROR(__xludf.DUMMYFUNCTION("""COMPUTED_VALUE"""),"Tyee High School")</f>
        <v>Tyee High School</v>
      </c>
      <c r="D358" s="5">
        <f ca="1">IFERROR(__xludf.DUMMYFUNCTION("""COMPUTED_VALUE"""),1)</f>
        <v>1</v>
      </c>
      <c r="E358" s="5">
        <f ca="1">IFERROR(__xludf.DUMMYFUNCTION("""COMPUTED_VALUE"""),0)</f>
        <v>0</v>
      </c>
      <c r="F358" s="5">
        <f ca="1">IFERROR(__xludf.DUMMYFUNCTION("""COMPUTED_VALUE"""),1)</f>
        <v>1</v>
      </c>
      <c r="G358" s="5">
        <f ca="1">IFERROR(__xludf.DUMMYFUNCTION("""COMPUTED_VALUE"""),0)</f>
        <v>0</v>
      </c>
      <c r="H358"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I358" s="5">
        <f ca="1">IFERROR(__xludf.DUMMYFUNCTION("""COMPUTED_VALUE"""),3)</f>
        <v>3</v>
      </c>
      <c r="J358" s="5" t="str">
        <f ca="1">IFERROR(__xludf.DUMMYFUNCTION("""COMPUTED_VALUE"""),"Local")</f>
        <v>Local</v>
      </c>
      <c r="K358" s="5">
        <f ca="1">IFERROR(__xludf.DUMMYFUNCTION("""COMPUTED_VALUE"""),4)</f>
        <v>4</v>
      </c>
      <c r="L358" s="5" t="str">
        <f ca="1">IFERROR(__xludf.DUMMYFUNCTION("""COMPUTED_VALUE"""),"Summer")</f>
        <v>Summer</v>
      </c>
      <c r="M358" s="5" t="str">
        <f ca="1">IFERROR(__xludf.DUMMYFUNCTION("""COMPUTED_VALUE"""),"SeaTac")</f>
        <v>SeaTac</v>
      </c>
      <c r="N358" s="5" t="str">
        <f ca="1">IFERROR(__xludf.DUMMYFUNCTION("""COMPUTED_VALUE"""),"WA")</f>
        <v>WA</v>
      </c>
      <c r="O358" s="5" t="str">
        <f ca="1">IFERROR(__xludf.DUMMYFUNCTION("""COMPUTED_VALUE"""),"High")</f>
        <v>High</v>
      </c>
      <c r="P358" s="5" t="str">
        <f ca="1">IFERROR(__xludf.DUMMYFUNCTION("""COMPUTED_VALUE"""),"Basketball Court")</f>
        <v>Basketball Court</v>
      </c>
      <c r="Q358" s="5" t="str">
        <f ca="1">IFERROR(__xludf.DUMMYFUNCTION("""COMPUTED_VALUE"""),"Outside on School Property")</f>
        <v>Outside on School Property</v>
      </c>
      <c r="R358" s="5" t="str">
        <f ca="1">IFERROR(__xludf.DUMMYFUNCTION("""COMPUTED_VALUE"""),"No")</f>
        <v>No</v>
      </c>
      <c r="S358" s="5" t="str">
        <f ca="1">IFERROR(__xludf.DUMMYFUNCTION("""COMPUTED_VALUE"""),"Night")</f>
        <v>Night</v>
      </c>
      <c r="T358" s="10">
        <f ca="1">IFERROR(__xludf.DUMMYFUNCTION("""COMPUTED_VALUE"""),0.8875)</f>
        <v>0.88749999999999996</v>
      </c>
      <c r="U358" s="5">
        <f ca="1">IFERROR(__xludf.DUMMYFUNCTION("""COMPUTED_VALUE"""),1)</f>
        <v>1</v>
      </c>
      <c r="V358" s="5" t="str">
        <f ca="1">IFERROR(__xludf.DUMMYFUNCTION("""COMPUTED_VALUE"""),"Adult man fatally shot on school basketball court")</f>
        <v>Adult man fatally shot on school basketball court</v>
      </c>
      <c r="W358" s="5" t="str">
        <f ca="1">IFERROR(__xludf.DUMMYFUNCTION("""COMPUTED_VALUE"""),"An adult male was fatally shot on the school's basketball court. Shooting had multiple witnesses. Shooter fled.")</f>
        <v>An adult male was fatally shot on the school's basketball court. Shooting had multiple witnesses. Shooter fled.</v>
      </c>
      <c r="X358" s="5"/>
      <c r="Y358" s="5"/>
      <c r="Z358" s="5" t="str">
        <f ca="1">IFERROR(__xludf.DUMMYFUNCTION("""COMPUTED_VALUE"""),"No")</f>
        <v>No</v>
      </c>
      <c r="AA358" s="5"/>
      <c r="AB358" s="5" t="str">
        <f ca="1">IFERROR(__xludf.DUMMYFUNCTION("""COMPUTED_VALUE"""),"No")</f>
        <v>No</v>
      </c>
      <c r="AC358" s="5" t="str">
        <f ca="1">IFERROR(__xludf.DUMMYFUNCTION("""COMPUTED_VALUE"""),"No")</f>
        <v>No</v>
      </c>
      <c r="AD358" s="5" t="str">
        <f ca="1">IFERROR(__xludf.DUMMYFUNCTION("""COMPUTED_VALUE"""),"No")</f>
        <v>No</v>
      </c>
      <c r="AE358" s="5" t="str">
        <f ca="1">IFERROR(__xludf.DUMMYFUNCTION("""COMPUTED_VALUE"""),"No")</f>
        <v>No</v>
      </c>
      <c r="AF358" s="5" t="str">
        <f ca="1">IFERROR(__xludf.DUMMYFUNCTION("""COMPUTED_VALUE"""),"No")</f>
        <v>No</v>
      </c>
      <c r="AG358" s="5"/>
      <c r="AH358" s="5" t="str">
        <f ca="1">IFERROR(__xludf.DUMMYFUNCTION("""COMPUTED_VALUE"""),"No")</f>
        <v>No</v>
      </c>
    </row>
    <row r="359" spans="1:34" ht="12.75">
      <c r="A359" s="5" t="str">
        <f ca="1">IFERROR(__xludf.DUMMYFUNCTION("""COMPUTED_VALUE"""),"20210721ILTHC")</f>
        <v>20210721ILTHC</v>
      </c>
      <c r="B359" s="8">
        <f ca="1">IFERROR(__xludf.DUMMYFUNCTION("""COMPUTED_VALUE"""),44398)</f>
        <v>44398</v>
      </c>
      <c r="C359" s="5" t="str">
        <f ca="1">IFERROR(__xludf.DUMMYFUNCTION("""COMPUTED_VALUE"""),"Theodore Herzl Elementary School")</f>
        <v>Theodore Herzl Elementary School</v>
      </c>
      <c r="D359" s="5">
        <f ca="1">IFERROR(__xludf.DUMMYFUNCTION("""COMPUTED_VALUE"""),0)</f>
        <v>0</v>
      </c>
      <c r="E359" s="5">
        <f ca="1">IFERROR(__xludf.DUMMYFUNCTION("""COMPUTED_VALUE"""),5)</f>
        <v>5</v>
      </c>
      <c r="F359" s="5">
        <f ca="1">IFERROR(__xludf.DUMMYFUNCTION("""COMPUTED_VALUE"""),5)</f>
        <v>5</v>
      </c>
      <c r="G359" s="5">
        <f ca="1">IFERROR(__xludf.DUMMYFUNCTION("""COMPUTED_VALUE"""),0)</f>
        <v>0</v>
      </c>
      <c r="H359"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I359" s="5">
        <f ca="1">IFERROR(__xludf.DUMMYFUNCTION("""COMPUTED_VALUE"""),2)</f>
        <v>2</v>
      </c>
      <c r="J359" s="5" t="str">
        <f ca="1">IFERROR(__xludf.DUMMYFUNCTION("""COMPUTED_VALUE"""),"Local")</f>
        <v>Local</v>
      </c>
      <c r="K359" s="5">
        <f ca="1">IFERROR(__xludf.DUMMYFUNCTION("""COMPUTED_VALUE"""),3)</f>
        <v>3</v>
      </c>
      <c r="L359" s="5" t="str">
        <f ca="1">IFERROR(__xludf.DUMMYFUNCTION("""COMPUTED_VALUE"""),"Summer")</f>
        <v>Summer</v>
      </c>
      <c r="M359" s="5" t="str">
        <f ca="1">IFERROR(__xludf.DUMMYFUNCTION("""COMPUTED_VALUE"""),"Chicago")</f>
        <v>Chicago</v>
      </c>
      <c r="N359" s="5" t="str">
        <f ca="1">IFERROR(__xludf.DUMMYFUNCTION("""COMPUTED_VALUE"""),"IL")</f>
        <v>IL</v>
      </c>
      <c r="O359" s="5" t="str">
        <f ca="1">IFERROR(__xludf.DUMMYFUNCTION("""COMPUTED_VALUE"""),"Elementary")</f>
        <v>Elementary</v>
      </c>
      <c r="P359" s="5" t="str">
        <f ca="1">IFERROR(__xludf.DUMMYFUNCTION("""COMPUTED_VALUE"""),"Front of School")</f>
        <v>Front of School</v>
      </c>
      <c r="Q359" s="5" t="str">
        <f ca="1">IFERROR(__xludf.DUMMYFUNCTION("""COMPUTED_VALUE"""),"Outside on School Property")</f>
        <v>Outside on School Property</v>
      </c>
      <c r="R359" s="5" t="str">
        <f ca="1">IFERROR(__xludf.DUMMYFUNCTION("""COMPUTED_VALUE"""),"No")</f>
        <v>No</v>
      </c>
      <c r="S359" s="5" t="str">
        <f ca="1">IFERROR(__xludf.DUMMYFUNCTION("""COMPUTED_VALUE"""),"Evening")</f>
        <v>Evening</v>
      </c>
      <c r="T359" s="10">
        <f ca="1">IFERROR(__xludf.DUMMYFUNCTION("""COMPUTED_VALUE"""),0.753472222222222)</f>
        <v>0.75347222222222199</v>
      </c>
      <c r="U359" s="5">
        <f ca="1">IFERROR(__xludf.DUMMYFUNCTION("""COMPUTED_VALUE"""),1)</f>
        <v>1</v>
      </c>
      <c r="V359" s="5" t="str">
        <f ca="1">IFERROR(__xludf.DUMMYFUNCTION("""COMPUTED_VALUE"""),"5 people shot outside of elementary school")</f>
        <v>5 people shot outside of elementary school</v>
      </c>
      <c r="W359"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X359" s="5" t="str">
        <f ca="1">IFERROR(__xludf.DUMMYFUNCTION("""COMPUTED_VALUE"""),"Drive-by Shooting")</f>
        <v>Drive-by Shooting</v>
      </c>
      <c r="Y359" s="5"/>
      <c r="Z359" s="5"/>
      <c r="AA359" s="5"/>
      <c r="AB359" s="5" t="str">
        <f ca="1">IFERROR(__xludf.DUMMYFUNCTION("""COMPUTED_VALUE"""),"No")</f>
        <v>No</v>
      </c>
      <c r="AC359" s="5" t="str">
        <f ca="1">IFERROR(__xludf.DUMMYFUNCTION("""COMPUTED_VALUE"""),"No")</f>
        <v>No</v>
      </c>
      <c r="AD359" s="5" t="str">
        <f ca="1">IFERROR(__xludf.DUMMYFUNCTION("""COMPUTED_VALUE"""),"No")</f>
        <v>No</v>
      </c>
      <c r="AE359" s="5" t="str">
        <f ca="1">IFERROR(__xludf.DUMMYFUNCTION("""COMPUTED_VALUE"""),"No")</f>
        <v>No</v>
      </c>
      <c r="AF359" s="5" t="str">
        <f ca="1">IFERROR(__xludf.DUMMYFUNCTION("""COMPUTED_VALUE"""),"No")</f>
        <v>No</v>
      </c>
      <c r="AG359" s="5"/>
      <c r="AH359" s="5" t="str">
        <f ca="1">IFERROR(__xludf.DUMMYFUNCTION("""COMPUTED_VALUE"""),"No")</f>
        <v>No</v>
      </c>
    </row>
    <row r="360" spans="1:34" ht="12.75">
      <c r="A360" s="5" t="str">
        <f ca="1">IFERROR(__xludf.DUMMYFUNCTION("""COMPUTED_VALUE"""),"20210719TXCAC")</f>
        <v>20210719TXCAC</v>
      </c>
      <c r="B360" s="8">
        <f ca="1">IFERROR(__xludf.DUMMYFUNCTION("""COMPUTED_VALUE"""),44396)</f>
        <v>44396</v>
      </c>
      <c r="C360" s="5" t="str">
        <f ca="1">IFERROR(__xludf.DUMMYFUNCTION("""COMPUTED_VALUE"""),"Caldwell High School")</f>
        <v>Caldwell High School</v>
      </c>
      <c r="D360" s="5">
        <f ca="1">IFERROR(__xludf.DUMMYFUNCTION("""COMPUTED_VALUE"""),0)</f>
        <v>0</v>
      </c>
      <c r="E360" s="5">
        <f ca="1">IFERROR(__xludf.DUMMYFUNCTION("""COMPUTED_VALUE"""),0)</f>
        <v>0</v>
      </c>
      <c r="F360" s="5">
        <f ca="1">IFERROR(__xludf.DUMMYFUNCTION("""COMPUTED_VALUE"""),0)</f>
        <v>0</v>
      </c>
      <c r="G360" s="5">
        <f ca="1">IFERROR(__xludf.DUMMYFUNCTION("""COMPUTED_VALUE"""),0)</f>
        <v>0</v>
      </c>
      <c r="H360"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I360" s="5">
        <f ca="1">IFERROR(__xludf.DUMMYFUNCTION("""COMPUTED_VALUE"""),3)</f>
        <v>3</v>
      </c>
      <c r="J360" s="5" t="str">
        <f ca="1">IFERROR(__xludf.DUMMYFUNCTION("""COMPUTED_VALUE"""),"Local")</f>
        <v>Local</v>
      </c>
      <c r="K360" s="5">
        <f ca="1">IFERROR(__xludf.DUMMYFUNCTION("""COMPUTED_VALUE"""),4)</f>
        <v>4</v>
      </c>
      <c r="L360" s="5" t="str">
        <f ca="1">IFERROR(__xludf.DUMMYFUNCTION("""COMPUTED_VALUE"""),"Summer")</f>
        <v>Summer</v>
      </c>
      <c r="M360" s="5" t="str">
        <f ca="1">IFERROR(__xludf.DUMMYFUNCTION("""COMPUTED_VALUE"""),"Caldwell")</f>
        <v>Caldwell</v>
      </c>
      <c r="N360" s="5" t="str">
        <f ca="1">IFERROR(__xludf.DUMMYFUNCTION("""COMPUTED_VALUE"""),"TX")</f>
        <v>TX</v>
      </c>
      <c r="O360" s="5" t="str">
        <f ca="1">IFERROR(__xludf.DUMMYFUNCTION("""COMPUTED_VALUE"""),"High")</f>
        <v>High</v>
      </c>
      <c r="P360" s="5" t="str">
        <f ca="1">IFERROR(__xludf.DUMMYFUNCTION("""COMPUTED_VALUE"""),"Parking Lot")</f>
        <v>Parking Lot</v>
      </c>
      <c r="Q360" s="5" t="str">
        <f ca="1">IFERROR(__xludf.DUMMYFUNCTION("""COMPUTED_VALUE"""),"Outside on School Property")</f>
        <v>Outside on School Property</v>
      </c>
      <c r="R360" s="5" t="str">
        <f ca="1">IFERROR(__xludf.DUMMYFUNCTION("""COMPUTED_VALUE"""),"Yes")</f>
        <v>Yes</v>
      </c>
      <c r="S360" s="5" t="str">
        <f ca="1">IFERROR(__xludf.DUMMYFUNCTION("""COMPUTED_VALUE"""),"Afternoon Classes")</f>
        <v>Afternoon Classes</v>
      </c>
      <c r="T360" s="10">
        <f ca="1">IFERROR(__xludf.DUMMYFUNCTION("""COMPUTED_VALUE"""),0.542361111111111)</f>
        <v>0.54236111111111096</v>
      </c>
      <c r="U360" s="5">
        <f ca="1">IFERROR(__xludf.DUMMYFUNCTION("""COMPUTED_VALUE"""),1)</f>
        <v>1</v>
      </c>
      <c r="V360" s="5" t="str">
        <f ca="1">IFERROR(__xludf.DUMMYFUNCTION("""COMPUTED_VALUE"""),"Teen in a vehicle fired ""hydroball"" gun at students in the parking lot")</f>
        <v>Teen in a vehicle fired "hydroball" gun at students in the parking lot</v>
      </c>
      <c r="W360"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X360" s="5" t="str">
        <f ca="1">IFERROR(__xludf.DUMMYFUNCTION("""COMPUTED_VALUE"""),"Drive-by Shooting")</f>
        <v>Drive-by Shooting</v>
      </c>
      <c r="Y360" s="5" t="str">
        <f ca="1">IFERROR(__xludf.DUMMYFUNCTION("""COMPUTED_VALUE"""),"Random Shooting")</f>
        <v>Random Shooting</v>
      </c>
      <c r="Z360" s="5" t="str">
        <f ca="1">IFERROR(__xludf.DUMMYFUNCTION("""COMPUTED_VALUE"""),"Yes")</f>
        <v>Yes</v>
      </c>
      <c r="AA360" s="5" t="str">
        <f ca="1">IFERROR(__xludf.DUMMYFUNCTION("""COMPUTED_VALUE"""),"4 teens arrested")</f>
        <v>4 teens arrested</v>
      </c>
      <c r="AB360" s="5" t="str">
        <f ca="1">IFERROR(__xludf.DUMMYFUNCTION("""COMPUTED_VALUE"""),"No")</f>
        <v>No</v>
      </c>
      <c r="AC360" s="5" t="str">
        <f ca="1">IFERROR(__xludf.DUMMYFUNCTION("""COMPUTED_VALUE"""),"No")</f>
        <v>No</v>
      </c>
      <c r="AD360" s="5" t="str">
        <f ca="1">IFERROR(__xludf.DUMMYFUNCTION("""COMPUTED_VALUE"""),"No")</f>
        <v>No</v>
      </c>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row>
    <row r="361" spans="1:34" ht="12.75">
      <c r="A361" s="5" t="str">
        <f ca="1">IFERROR(__xludf.DUMMYFUNCTION("""COMPUTED_VALUE"""),"20210718ARFOL")</f>
        <v>20210718ARFOL</v>
      </c>
      <c r="B361" s="8">
        <f ca="1">IFERROR(__xludf.DUMMYFUNCTION("""COMPUTED_VALUE"""),44395)</f>
        <v>44395</v>
      </c>
      <c r="C361" s="5" t="str">
        <f ca="1">IFERROR(__xludf.DUMMYFUNCTION("""COMPUTED_VALUE"""),"Forest Park Elementary")</f>
        <v>Forest Park Elementary</v>
      </c>
      <c r="D361" s="5">
        <f ca="1">IFERROR(__xludf.DUMMYFUNCTION("""COMPUTED_VALUE"""),0)</f>
        <v>0</v>
      </c>
      <c r="E361" s="5">
        <f ca="1">IFERROR(__xludf.DUMMYFUNCTION("""COMPUTED_VALUE"""),0)</f>
        <v>0</v>
      </c>
      <c r="F361" s="5">
        <f ca="1">IFERROR(__xludf.DUMMYFUNCTION("""COMPUTED_VALUE"""),0)</f>
        <v>0</v>
      </c>
      <c r="G361" s="5">
        <f ca="1">IFERROR(__xludf.DUMMYFUNCTION("""COMPUTED_VALUE"""),0)</f>
        <v>0</v>
      </c>
      <c r="H361" s="9" t="str">
        <f ca="1">IFERROR(__xludf.DUMMYFUNCTION("""COMPUTED_VALUE"""),"https://www.kark.com/news/local-news/little-rock-police-investigating-shooting-near-elementary-school-no-injuries-reported/")</f>
        <v>https://www.kark.com/news/local-news/little-rock-police-investigating-shooting-near-elementary-school-no-injuries-reported/</v>
      </c>
      <c r="I361" s="5">
        <f ca="1">IFERROR(__xludf.DUMMYFUNCTION("""COMPUTED_VALUE"""),1)</f>
        <v>1</v>
      </c>
      <c r="J361" s="5" t="str">
        <f ca="1">IFERROR(__xludf.DUMMYFUNCTION("""COMPUTED_VALUE"""),"Local")</f>
        <v>Local</v>
      </c>
      <c r="K361" s="5">
        <f ca="1">IFERROR(__xludf.DUMMYFUNCTION("""COMPUTED_VALUE"""),3)</f>
        <v>3</v>
      </c>
      <c r="L361" s="5" t="str">
        <f ca="1">IFERROR(__xludf.DUMMYFUNCTION("""COMPUTED_VALUE"""),"Summer")</f>
        <v>Summer</v>
      </c>
      <c r="M361" s="5" t="str">
        <f ca="1">IFERROR(__xludf.DUMMYFUNCTION("""COMPUTED_VALUE"""),"Little Rock")</f>
        <v>Little Rock</v>
      </c>
      <c r="N361" s="5" t="str">
        <f ca="1">IFERROR(__xludf.DUMMYFUNCTION("""COMPUTED_VALUE"""),"AL")</f>
        <v>AL</v>
      </c>
      <c r="O361" s="5" t="str">
        <f ca="1">IFERROR(__xludf.DUMMYFUNCTION("""COMPUTED_VALUE"""),"Elementary")</f>
        <v>Elementary</v>
      </c>
      <c r="P361" s="5" t="str">
        <f ca="1">IFERROR(__xludf.DUMMYFUNCTION("""COMPUTED_VALUE"""),"Basketball Court")</f>
        <v>Basketball Court</v>
      </c>
      <c r="Q361" s="5" t="str">
        <f ca="1">IFERROR(__xludf.DUMMYFUNCTION("""COMPUTED_VALUE"""),"Outside on School Property")</f>
        <v>Outside on School Property</v>
      </c>
      <c r="R361" s="5" t="str">
        <f ca="1">IFERROR(__xludf.DUMMYFUNCTION("""COMPUTED_VALUE"""),"No")</f>
        <v>No</v>
      </c>
      <c r="S361" s="5" t="str">
        <f ca="1">IFERROR(__xludf.DUMMYFUNCTION("""COMPUTED_VALUE"""),"Not a School Day")</f>
        <v>Not a School Day</v>
      </c>
      <c r="T361" s="10">
        <f ca="1">IFERROR(__xludf.DUMMYFUNCTION("""COMPUTED_VALUE"""),0.750694444444444)</f>
        <v>0.750694444444444</v>
      </c>
      <c r="U361" s="5">
        <f ca="1">IFERROR(__xludf.DUMMYFUNCTION("""COMPUTED_VALUE"""),1)</f>
        <v>1</v>
      </c>
      <c r="V361" s="5" t="str">
        <f ca="1">IFERROR(__xludf.DUMMYFUNCTION("""COMPUTED_VALUE"""),"Shots fired on school basketball court")</f>
        <v>Shots fired on school basketball court</v>
      </c>
      <c r="W361"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X361" s="5"/>
      <c r="Y361" s="5"/>
      <c r="Z361" s="5" t="str">
        <f ca="1">IFERROR(__xludf.DUMMYFUNCTION("""COMPUTED_VALUE"""),"No")</f>
        <v>No</v>
      </c>
      <c r="AA361" s="5"/>
      <c r="AB361" s="5" t="str">
        <f ca="1">IFERROR(__xludf.DUMMYFUNCTION("""COMPUTED_VALUE"""),"No")</f>
        <v>No</v>
      </c>
      <c r="AC361" s="5" t="str">
        <f ca="1">IFERROR(__xludf.DUMMYFUNCTION("""COMPUTED_VALUE"""),"No")</f>
        <v>No</v>
      </c>
      <c r="AD361" s="5" t="str">
        <f ca="1">IFERROR(__xludf.DUMMYFUNCTION("""COMPUTED_VALUE"""),"No")</f>
        <v>No</v>
      </c>
      <c r="AE361" s="5" t="str">
        <f ca="1">IFERROR(__xludf.DUMMYFUNCTION("""COMPUTED_VALUE"""),"No")</f>
        <v>No</v>
      </c>
      <c r="AF361" s="5" t="str">
        <f ca="1">IFERROR(__xludf.DUMMYFUNCTION("""COMPUTED_VALUE"""),"No")</f>
        <v>No</v>
      </c>
      <c r="AG361" s="5"/>
      <c r="AH361" s="5" t="str">
        <f ca="1">IFERROR(__xludf.DUMMYFUNCTION("""COMPUTED_VALUE"""),"No")</f>
        <v>No</v>
      </c>
    </row>
    <row r="362" spans="1:34" ht="12.75">
      <c r="A362" s="5" t="str">
        <f ca="1">IFERROR(__xludf.DUMMYFUNCTION("""COMPUTED_VALUE"""),"20210709KSCAW")</f>
        <v>20210709KSCAW</v>
      </c>
      <c r="B362" s="8">
        <f ca="1">IFERROR(__xludf.DUMMYFUNCTION("""COMPUTED_VALUE"""),44386)</f>
        <v>44386</v>
      </c>
      <c r="C362" s="5" t="str">
        <f ca="1">IFERROR(__xludf.DUMMYFUNCTION("""COMPUTED_VALUE"""),"Campus High School")</f>
        <v>Campus High School</v>
      </c>
      <c r="D362" s="5">
        <f ca="1">IFERROR(__xludf.DUMMYFUNCTION("""COMPUTED_VALUE"""),0)</f>
        <v>0</v>
      </c>
      <c r="E362" s="5">
        <f ca="1">IFERROR(__xludf.DUMMYFUNCTION("""COMPUTED_VALUE"""),0)</f>
        <v>0</v>
      </c>
      <c r="F362" s="5">
        <f ca="1">IFERROR(__xludf.DUMMYFUNCTION("""COMPUTED_VALUE"""),0)</f>
        <v>0</v>
      </c>
      <c r="G362" s="5">
        <f ca="1">IFERROR(__xludf.DUMMYFUNCTION("""COMPUTED_VALUE"""),1)</f>
        <v>1</v>
      </c>
      <c r="H362"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I362" s="5">
        <f ca="1">IFERROR(__xludf.DUMMYFUNCTION("""COMPUTED_VALUE"""),2)</f>
        <v>2</v>
      </c>
      <c r="J362" s="5" t="str">
        <f ca="1">IFERROR(__xludf.DUMMYFUNCTION("""COMPUTED_VALUE"""),"Local")</f>
        <v>Local</v>
      </c>
      <c r="K362" s="5">
        <f ca="1">IFERROR(__xludf.DUMMYFUNCTION("""COMPUTED_VALUE"""),4)</f>
        <v>4</v>
      </c>
      <c r="L362" s="5" t="str">
        <f ca="1">IFERROR(__xludf.DUMMYFUNCTION("""COMPUTED_VALUE"""),"Summer")</f>
        <v>Summer</v>
      </c>
      <c r="M362" s="5" t="str">
        <f ca="1">IFERROR(__xludf.DUMMYFUNCTION("""COMPUTED_VALUE"""),"Wichita")</f>
        <v>Wichita</v>
      </c>
      <c r="N362" s="5" t="str">
        <f ca="1">IFERROR(__xludf.DUMMYFUNCTION("""COMPUTED_VALUE"""),"KS")</f>
        <v>KS</v>
      </c>
      <c r="O362" s="5" t="str">
        <f ca="1">IFERROR(__xludf.DUMMYFUNCTION("""COMPUTED_VALUE"""),"High")</f>
        <v>High</v>
      </c>
      <c r="P362" s="5" t="str">
        <f ca="1">IFERROR(__xludf.DUMMYFUNCTION("""COMPUTED_VALUE"""),"Field (General)")</f>
        <v>Field (General)</v>
      </c>
      <c r="Q362" s="5" t="str">
        <f ca="1">IFERROR(__xludf.DUMMYFUNCTION("""COMPUTED_VALUE"""),"Outside on School Property")</f>
        <v>Outside on School Property</v>
      </c>
      <c r="R362" s="5" t="str">
        <f ca="1">IFERROR(__xludf.DUMMYFUNCTION("""COMPUTED_VALUE"""),"No")</f>
        <v>No</v>
      </c>
      <c r="S362" s="5" t="str">
        <f ca="1">IFERROR(__xludf.DUMMYFUNCTION("""COMPUTED_VALUE"""),"Not a School Day")</f>
        <v>Not a School Day</v>
      </c>
      <c r="T362" s="10">
        <f ca="1">IFERROR(__xludf.DUMMYFUNCTION("""COMPUTED_VALUE"""),0.625)</f>
        <v>0.625</v>
      </c>
      <c r="U362" s="5"/>
      <c r="V362"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W362"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X362" s="5" t="str">
        <f ca="1">IFERROR(__xludf.DUMMYFUNCTION("""COMPUTED_VALUE"""),"Suicide/Attempted")</f>
        <v>Suicide/Attempted</v>
      </c>
      <c r="Y362" s="5" t="str">
        <f ca="1">IFERROR(__xludf.DUMMYFUNCTION("""COMPUTED_VALUE"""),"Random Shooting")</f>
        <v>Random Shooting</v>
      </c>
      <c r="Z362" s="5" t="str">
        <f ca="1">IFERROR(__xludf.DUMMYFUNCTION("""COMPUTED_VALUE"""),"No")</f>
        <v>No</v>
      </c>
      <c r="AA362" s="5"/>
      <c r="AB362" s="5" t="str">
        <f ca="1">IFERROR(__xludf.DUMMYFUNCTION("""COMPUTED_VALUE"""),"No")</f>
        <v>No</v>
      </c>
      <c r="AC362" s="5" t="str">
        <f ca="1">IFERROR(__xludf.DUMMYFUNCTION("""COMPUTED_VALUE"""),"No")</f>
        <v>No</v>
      </c>
      <c r="AD362" s="5" t="str">
        <f ca="1">IFERROR(__xludf.DUMMYFUNCTION("""COMPUTED_VALUE"""),"No")</f>
        <v>No</v>
      </c>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row>
    <row r="363" spans="1:34" ht="12.75">
      <c r="A363" s="5" t="str">
        <f ca="1">IFERROR(__xludf.DUMMYFUNCTION("""COMPUTED_VALUE"""),"20210708ILBEC")</f>
        <v>20210708ILBEC</v>
      </c>
      <c r="B363" s="8">
        <f ca="1">IFERROR(__xludf.DUMMYFUNCTION("""COMPUTED_VALUE"""),44385)</f>
        <v>44385</v>
      </c>
      <c r="C363" s="5" t="str">
        <f ca="1">IFERROR(__xludf.DUMMYFUNCTION("""COMPUTED_VALUE"""),"Benito Juarez Community Academy")</f>
        <v>Benito Juarez Community Academy</v>
      </c>
      <c r="D363" s="5">
        <f ca="1">IFERROR(__xludf.DUMMYFUNCTION("""COMPUTED_VALUE"""),0)</f>
        <v>0</v>
      </c>
      <c r="E363" s="5">
        <f ca="1">IFERROR(__xludf.DUMMYFUNCTION("""COMPUTED_VALUE"""),2)</f>
        <v>2</v>
      </c>
      <c r="F363" s="5">
        <f ca="1">IFERROR(__xludf.DUMMYFUNCTION("""COMPUTED_VALUE"""),2)</f>
        <v>2</v>
      </c>
      <c r="G363" s="5">
        <f ca="1">IFERROR(__xludf.DUMMYFUNCTION("""COMPUTED_VALUE"""),0)</f>
        <v>0</v>
      </c>
      <c r="H363"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I363" s="5">
        <f ca="1">IFERROR(__xludf.DUMMYFUNCTION("""COMPUTED_VALUE"""),2)</f>
        <v>2</v>
      </c>
      <c r="J363" s="5" t="str">
        <f ca="1">IFERROR(__xludf.DUMMYFUNCTION("""COMPUTED_VALUE"""),"Local")</f>
        <v>Local</v>
      </c>
      <c r="K363" s="5">
        <f ca="1">IFERROR(__xludf.DUMMYFUNCTION("""COMPUTED_VALUE"""),4)</f>
        <v>4</v>
      </c>
      <c r="L363" s="5" t="str">
        <f ca="1">IFERROR(__xludf.DUMMYFUNCTION("""COMPUTED_VALUE"""),"Summer")</f>
        <v>Summer</v>
      </c>
      <c r="M363" s="5" t="str">
        <f ca="1">IFERROR(__xludf.DUMMYFUNCTION("""COMPUTED_VALUE"""),"Chicago")</f>
        <v>Chicago</v>
      </c>
      <c r="N363" s="5" t="str">
        <f ca="1">IFERROR(__xludf.DUMMYFUNCTION("""COMPUTED_VALUE"""),"IL")</f>
        <v>IL</v>
      </c>
      <c r="O363" s="5" t="str">
        <f ca="1">IFERROR(__xludf.DUMMYFUNCTION("""COMPUTED_VALUE"""),"High")</f>
        <v>High</v>
      </c>
      <c r="P363" s="5" t="str">
        <f ca="1">IFERROR(__xludf.DUMMYFUNCTION("""COMPUTED_VALUE"""),"Front of School")</f>
        <v>Front of School</v>
      </c>
      <c r="Q363" s="5" t="str">
        <f ca="1">IFERROR(__xludf.DUMMYFUNCTION("""COMPUTED_VALUE"""),"Outside on School Property")</f>
        <v>Outside on School Property</v>
      </c>
      <c r="R363" s="5" t="str">
        <f ca="1">IFERROR(__xludf.DUMMYFUNCTION("""COMPUTED_VALUE"""),"Yes")</f>
        <v>Yes</v>
      </c>
      <c r="S363" s="5" t="str">
        <f ca="1">IFERROR(__xludf.DUMMYFUNCTION("""COMPUTED_VALUE"""),"Afternoon Classes")</f>
        <v>Afternoon Classes</v>
      </c>
      <c r="T363" s="10">
        <f ca="1">IFERROR(__xludf.DUMMYFUNCTION("""COMPUTED_VALUE"""),0.50625)</f>
        <v>0.50624999999999998</v>
      </c>
      <c r="U363" s="5">
        <f ca="1">IFERROR(__xludf.DUMMYFUNCTION("""COMPUTED_VALUE"""),1)</f>
        <v>1</v>
      </c>
      <c r="V363" s="5" t="str">
        <f ca="1">IFERROR(__xludf.DUMMYFUNCTION("""COMPUTED_VALUE"""),"Teen student bystander struck during shooting resulting from fight between 2 adult women")</f>
        <v>Teen student bystander struck during shooting resulting from fight between 2 adult women</v>
      </c>
      <c r="W363"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X363" s="5" t="str">
        <f ca="1">IFERROR(__xludf.DUMMYFUNCTION("""COMPUTED_VALUE"""),"Drive-by Shooting")</f>
        <v>Drive-by Shooting</v>
      </c>
      <c r="Y363" s="5" t="str">
        <f ca="1">IFERROR(__xludf.DUMMYFUNCTION("""COMPUTED_VALUE"""),"Both")</f>
        <v>Both</v>
      </c>
      <c r="Z363" s="5"/>
      <c r="AA363" s="5"/>
      <c r="AB363" s="5" t="str">
        <f ca="1">IFERROR(__xludf.DUMMYFUNCTION("""COMPUTED_VALUE"""),"No")</f>
        <v>No</v>
      </c>
      <c r="AC363" s="5" t="str">
        <f ca="1">IFERROR(__xludf.DUMMYFUNCTION("""COMPUTED_VALUE"""),"No")</f>
        <v>No</v>
      </c>
      <c r="AD363" s="5" t="str">
        <f ca="1">IFERROR(__xludf.DUMMYFUNCTION("""COMPUTED_VALUE"""),"No")</f>
        <v>No</v>
      </c>
      <c r="AE363" s="5" t="str">
        <f ca="1">IFERROR(__xludf.DUMMYFUNCTION("""COMPUTED_VALUE"""),"No")</f>
        <v>No</v>
      </c>
      <c r="AF363" s="5" t="str">
        <f ca="1">IFERROR(__xludf.DUMMYFUNCTION("""COMPUTED_VALUE"""),"No")</f>
        <v>No</v>
      </c>
      <c r="AG363" s="5"/>
      <c r="AH363" s="5" t="str">
        <f ca="1">IFERROR(__xludf.DUMMYFUNCTION("""COMPUTED_VALUE"""),"No")</f>
        <v>No</v>
      </c>
    </row>
    <row r="364" spans="1:34" ht="12.75">
      <c r="A364" s="5" t="str">
        <f ca="1">IFERROR(__xludf.DUMMYFUNCTION("""COMPUTED_VALUE"""),"20210704NYDRR")</f>
        <v>20210704NYDRR</v>
      </c>
      <c r="B364" s="8">
        <f ca="1">IFERROR(__xludf.DUMMYFUNCTION("""COMPUTED_VALUE"""),44381)</f>
        <v>44381</v>
      </c>
      <c r="C364" s="5" t="str">
        <f ca="1">IFERROR(__xludf.DUMMYFUNCTION("""COMPUTED_VALUE"""),"Dr. Louis A. Cerulli School No. 34")</f>
        <v>Dr. Louis A. Cerulli School No. 34</v>
      </c>
      <c r="D364" s="5">
        <f ca="1">IFERROR(__xludf.DUMMYFUNCTION("""COMPUTED_VALUE"""),1)</f>
        <v>1</v>
      </c>
      <c r="E364" s="5">
        <f ca="1">IFERROR(__xludf.DUMMYFUNCTION("""COMPUTED_VALUE"""),0)</f>
        <v>0</v>
      </c>
      <c r="F364" s="5">
        <f ca="1">IFERROR(__xludf.DUMMYFUNCTION("""COMPUTED_VALUE"""),1)</f>
        <v>1</v>
      </c>
      <c r="G364" s="5">
        <f ca="1">IFERROR(__xludf.DUMMYFUNCTION("""COMPUTED_VALUE"""),0)</f>
        <v>0</v>
      </c>
      <c r="H364"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I364" s="5">
        <f ca="1">IFERROR(__xludf.DUMMYFUNCTION("""COMPUTED_VALUE"""),2)</f>
        <v>2</v>
      </c>
      <c r="J364" s="5" t="str">
        <f ca="1">IFERROR(__xludf.DUMMYFUNCTION("""COMPUTED_VALUE"""),"Local")</f>
        <v>Local</v>
      </c>
      <c r="K364" s="5">
        <f ca="1">IFERROR(__xludf.DUMMYFUNCTION("""COMPUTED_VALUE"""),3)</f>
        <v>3</v>
      </c>
      <c r="L364" s="5" t="str">
        <f ca="1">IFERROR(__xludf.DUMMYFUNCTION("""COMPUTED_VALUE"""),"Summer")</f>
        <v>Summer</v>
      </c>
      <c r="M364" s="5" t="str">
        <f ca="1">IFERROR(__xludf.DUMMYFUNCTION("""COMPUTED_VALUE"""),"Rochester")</f>
        <v>Rochester</v>
      </c>
      <c r="N364" s="5" t="str">
        <f ca="1">IFERROR(__xludf.DUMMYFUNCTION("""COMPUTED_VALUE"""),"NY")</f>
        <v>NY</v>
      </c>
      <c r="O364" s="5" t="str">
        <f ca="1">IFERROR(__xludf.DUMMYFUNCTION("""COMPUTED_VALUE"""),"High")</f>
        <v>High</v>
      </c>
      <c r="P364" s="5" t="str">
        <f ca="1">IFERROR(__xludf.DUMMYFUNCTION("""COMPUTED_VALUE"""),"Parking Lot")</f>
        <v>Parking Lot</v>
      </c>
      <c r="Q364" s="5" t="str">
        <f ca="1">IFERROR(__xludf.DUMMYFUNCTION("""COMPUTED_VALUE"""),"Outside on School Property")</f>
        <v>Outside on School Property</v>
      </c>
      <c r="R364" s="5" t="str">
        <f ca="1">IFERROR(__xludf.DUMMYFUNCTION("""COMPUTED_VALUE"""),"No")</f>
        <v>No</v>
      </c>
      <c r="S364" s="5" t="str">
        <f ca="1">IFERROR(__xludf.DUMMYFUNCTION("""COMPUTED_VALUE"""),"Night")</f>
        <v>Night</v>
      </c>
      <c r="T364" s="10">
        <f ca="1">IFERROR(__xludf.DUMMYFUNCTION("""COMPUTED_VALUE"""),0.0416666666666666)</f>
        <v>4.1666666666666602E-2</v>
      </c>
      <c r="U364" s="5">
        <f ca="1">IFERROR(__xludf.DUMMYFUNCTION("""COMPUTED_VALUE"""),1)</f>
        <v>1</v>
      </c>
      <c r="V364" s="5" t="str">
        <f ca="1">IFERROR(__xludf.DUMMYFUNCTION("""COMPUTED_VALUE"""),"Teen sitting in vehicle shot during drive-by in school parking lot")</f>
        <v>Teen sitting in vehicle shot during drive-by in school parking lot</v>
      </c>
      <c r="W364"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X364" s="5" t="str">
        <f ca="1">IFERROR(__xludf.DUMMYFUNCTION("""COMPUTED_VALUE"""),"Drive-by Shooting")</f>
        <v>Drive-by Shooting</v>
      </c>
      <c r="Y364" s="5"/>
      <c r="Z364" s="5"/>
      <c r="AA364" s="5"/>
      <c r="AB364" s="5" t="str">
        <f ca="1">IFERROR(__xludf.DUMMYFUNCTION("""COMPUTED_VALUE"""),"No")</f>
        <v>No</v>
      </c>
      <c r="AC364" s="5" t="str">
        <f ca="1">IFERROR(__xludf.DUMMYFUNCTION("""COMPUTED_VALUE"""),"No")</f>
        <v>No</v>
      </c>
      <c r="AD364" s="5" t="str">
        <f ca="1">IFERROR(__xludf.DUMMYFUNCTION("""COMPUTED_VALUE"""),"No")</f>
        <v>No</v>
      </c>
      <c r="AE364" s="5" t="str">
        <f ca="1">IFERROR(__xludf.DUMMYFUNCTION("""COMPUTED_VALUE"""),"No")</f>
        <v>No</v>
      </c>
      <c r="AF364" s="5" t="str">
        <f ca="1">IFERROR(__xludf.DUMMYFUNCTION("""COMPUTED_VALUE"""),"No")</f>
        <v>No</v>
      </c>
      <c r="AG364" s="5"/>
      <c r="AH364" s="5" t="str">
        <f ca="1">IFERROR(__xludf.DUMMYFUNCTION("""COMPUTED_VALUE"""),"No")</f>
        <v>No</v>
      </c>
    </row>
    <row r="365" spans="1:34" ht="12.75">
      <c r="A365" s="5" t="str">
        <f ca="1">IFERROR(__xludf.DUMMYFUNCTION("""COMPUTED_VALUE"""),"20210628CASLF")</f>
        <v>20210628CASLF</v>
      </c>
      <c r="B365" s="8">
        <f ca="1">IFERROR(__xludf.DUMMYFUNCTION("""COMPUTED_VALUE"""),44375)</f>
        <v>44375</v>
      </c>
      <c r="C365" s="5" t="str">
        <f ca="1">IFERROR(__xludf.DUMMYFUNCTION("""COMPUTED_VALUE"""),"Slater Elementary School")</f>
        <v>Slater Elementary School</v>
      </c>
      <c r="D365" s="5">
        <f ca="1">IFERROR(__xludf.DUMMYFUNCTION("""COMPUTED_VALUE"""),0)</f>
        <v>0</v>
      </c>
      <c r="E365" s="5">
        <f ca="1">IFERROR(__xludf.DUMMYFUNCTION("""COMPUTED_VALUE"""),1)</f>
        <v>1</v>
      </c>
      <c r="F365" s="5">
        <f ca="1">IFERROR(__xludf.DUMMYFUNCTION("""COMPUTED_VALUE"""),1)</f>
        <v>1</v>
      </c>
      <c r="G365" s="5">
        <f ca="1">IFERROR(__xludf.DUMMYFUNCTION("""COMPUTED_VALUE"""),0)</f>
        <v>0</v>
      </c>
      <c r="H365" s="9" t="str">
        <f ca="1">IFERROR(__xludf.DUMMYFUNCTION("""COMPUTED_VALUE"""),"https://www.yourcentralvalley.com/news/local-news/driver-crashes-into-central-fresno-school-fence-after-being-shot-police-say/")</f>
        <v>https://www.yourcentralvalley.com/news/local-news/driver-crashes-into-central-fresno-school-fence-after-being-shot-police-say/</v>
      </c>
      <c r="I365" s="5">
        <f ca="1">IFERROR(__xludf.DUMMYFUNCTION("""COMPUTED_VALUE"""),3)</f>
        <v>3</v>
      </c>
      <c r="J365" s="5" t="str">
        <f ca="1">IFERROR(__xludf.DUMMYFUNCTION("""COMPUTED_VALUE"""),"Local")</f>
        <v>Local</v>
      </c>
      <c r="K365" s="5">
        <f ca="1">IFERROR(__xludf.DUMMYFUNCTION("""COMPUTED_VALUE"""),4)</f>
        <v>4</v>
      </c>
      <c r="L365" s="5" t="str">
        <f ca="1">IFERROR(__xludf.DUMMYFUNCTION("""COMPUTED_VALUE"""),"Summer")</f>
        <v>Summer</v>
      </c>
      <c r="M365" s="5" t="str">
        <f ca="1">IFERROR(__xludf.DUMMYFUNCTION("""COMPUTED_VALUE"""),"Fresno")</f>
        <v>Fresno</v>
      </c>
      <c r="N365" s="5" t="str">
        <f ca="1">IFERROR(__xludf.DUMMYFUNCTION("""COMPUTED_VALUE"""),"CA")</f>
        <v>CA</v>
      </c>
      <c r="O365" s="5" t="str">
        <f ca="1">IFERROR(__xludf.DUMMYFUNCTION("""COMPUTED_VALUE"""),"Elementary")</f>
        <v>Elementary</v>
      </c>
      <c r="P365" s="5" t="str">
        <f ca="1">IFERROR(__xludf.DUMMYFUNCTION("""COMPUTED_VALUE"""),"Field (General)")</f>
        <v>Field (General)</v>
      </c>
      <c r="Q365" s="5" t="str">
        <f ca="1">IFERROR(__xludf.DUMMYFUNCTION("""COMPUTED_VALUE"""),"Outside on School Property")</f>
        <v>Outside on School Property</v>
      </c>
      <c r="R365" s="5" t="str">
        <f ca="1">IFERROR(__xludf.DUMMYFUNCTION("""COMPUTED_VALUE"""),"No")</f>
        <v>No</v>
      </c>
      <c r="S365" s="5" t="str">
        <f ca="1">IFERROR(__xludf.DUMMYFUNCTION("""COMPUTED_VALUE"""),"Not a School Day")</f>
        <v>Not a School Day</v>
      </c>
      <c r="T365" s="10">
        <f ca="1">IFERROR(__xludf.DUMMYFUNCTION("""COMPUTED_VALUE"""),0.375)</f>
        <v>0.375</v>
      </c>
      <c r="U365" s="5">
        <f ca="1">IFERROR(__xludf.DUMMYFUNCTION("""COMPUTED_VALUE"""),1)</f>
        <v>1</v>
      </c>
      <c r="V365" s="5" t="str">
        <f ca="1">IFERROR(__xludf.DUMMYFUNCTION("""COMPUTED_VALUE"""),"Shot fired at vehicle that crashed through fence onto school property")</f>
        <v>Shot fired at vehicle that crashed through fence onto school property</v>
      </c>
      <c r="W365"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X365" s="5" t="str">
        <f ca="1">IFERROR(__xludf.DUMMYFUNCTION("""COMPUTED_VALUE"""),"Drive-by Shooting")</f>
        <v>Drive-by Shooting</v>
      </c>
      <c r="Y365" s="5" t="str">
        <f ca="1">IFERROR(__xludf.DUMMYFUNCTION("""COMPUTED_VALUE"""),"Victims Targeted")</f>
        <v>Victims Targeted</v>
      </c>
      <c r="Z365" s="5"/>
      <c r="AA365" s="5"/>
      <c r="AB365" s="5" t="str">
        <f ca="1">IFERROR(__xludf.DUMMYFUNCTION("""COMPUTED_VALUE"""),"No")</f>
        <v>No</v>
      </c>
      <c r="AC365" s="5" t="str">
        <f ca="1">IFERROR(__xludf.DUMMYFUNCTION("""COMPUTED_VALUE"""),"No")</f>
        <v>No</v>
      </c>
      <c r="AD365" s="5" t="str">
        <f ca="1">IFERROR(__xludf.DUMMYFUNCTION("""COMPUTED_VALUE"""),"No")</f>
        <v>No</v>
      </c>
      <c r="AE365" s="5" t="str">
        <f ca="1">IFERROR(__xludf.DUMMYFUNCTION("""COMPUTED_VALUE"""),"No")</f>
        <v>No</v>
      </c>
      <c r="AF365" s="5" t="str">
        <f ca="1">IFERROR(__xludf.DUMMYFUNCTION("""COMPUTED_VALUE"""),"No")</f>
        <v>No</v>
      </c>
      <c r="AG365" s="5"/>
      <c r="AH365" s="5" t="str">
        <f ca="1">IFERROR(__xludf.DUMMYFUNCTION("""COMPUTED_VALUE"""),"No")</f>
        <v>No</v>
      </c>
    </row>
    <row r="366" spans="1:34" ht="12.75">
      <c r="A366" s="5" t="str">
        <f ca="1">IFERROR(__xludf.DUMMYFUNCTION("""COMPUTED_VALUE"""),"20210624ILABR")</f>
        <v>20210624ILABR</v>
      </c>
      <c r="B366" s="8">
        <f ca="1">IFERROR(__xludf.DUMMYFUNCTION("""COMPUTED_VALUE"""),44371)</f>
        <v>44371</v>
      </c>
      <c r="C366" s="5" t="str">
        <f ca="1">IFERROR(__xludf.DUMMYFUNCTION("""COMPUTED_VALUE"""),"Abraham Lincoln Middle School")</f>
        <v>Abraham Lincoln Middle School</v>
      </c>
      <c r="D366" s="5">
        <f ca="1">IFERROR(__xludf.DUMMYFUNCTION("""COMPUTED_VALUE"""),0)</f>
        <v>0</v>
      </c>
      <c r="E366" s="5">
        <f ca="1">IFERROR(__xludf.DUMMYFUNCTION("""COMPUTED_VALUE"""),1)</f>
        <v>1</v>
      </c>
      <c r="F366" s="5">
        <f ca="1">IFERROR(__xludf.DUMMYFUNCTION("""COMPUTED_VALUE"""),1)</f>
        <v>1</v>
      </c>
      <c r="G366" s="5">
        <f ca="1">IFERROR(__xludf.DUMMYFUNCTION("""COMPUTED_VALUE"""),0)</f>
        <v>0</v>
      </c>
      <c r="H366"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I366" s="5">
        <f ca="1">IFERROR(__xludf.DUMMYFUNCTION("""COMPUTED_VALUE"""),2)</f>
        <v>2</v>
      </c>
      <c r="J366" s="5" t="str">
        <f ca="1">IFERROR(__xludf.DUMMYFUNCTION("""COMPUTED_VALUE"""),"Local")</f>
        <v>Local</v>
      </c>
      <c r="K366" s="5">
        <f ca="1">IFERROR(__xludf.DUMMYFUNCTION("""COMPUTED_VALUE"""),3)</f>
        <v>3</v>
      </c>
      <c r="L366" s="5" t="str">
        <f ca="1">IFERROR(__xludf.DUMMYFUNCTION("""COMPUTED_VALUE"""),"Summer")</f>
        <v>Summer</v>
      </c>
      <c r="M366" s="5" t="str">
        <f ca="1">IFERROR(__xludf.DUMMYFUNCTION("""COMPUTED_VALUE"""),"Rockford")</f>
        <v>Rockford</v>
      </c>
      <c r="N366" s="5" t="str">
        <f ca="1">IFERROR(__xludf.DUMMYFUNCTION("""COMPUTED_VALUE"""),"IL")</f>
        <v>IL</v>
      </c>
      <c r="O366" s="5" t="str">
        <f ca="1">IFERROR(__xludf.DUMMYFUNCTION("""COMPUTED_VALUE"""),"Middle")</f>
        <v>Middle</v>
      </c>
      <c r="P366" s="5" t="str">
        <f ca="1">IFERROR(__xludf.DUMMYFUNCTION("""COMPUTED_VALUE"""),"Front of School")</f>
        <v>Front of School</v>
      </c>
      <c r="Q366" s="5" t="str">
        <f ca="1">IFERROR(__xludf.DUMMYFUNCTION("""COMPUTED_VALUE"""),"Outside on School Property")</f>
        <v>Outside on School Property</v>
      </c>
      <c r="R366" s="5" t="str">
        <f ca="1">IFERROR(__xludf.DUMMYFUNCTION("""COMPUTED_VALUE"""),"No")</f>
        <v>No</v>
      </c>
      <c r="S366" s="5" t="str">
        <f ca="1">IFERROR(__xludf.DUMMYFUNCTION("""COMPUTED_VALUE"""),"Evening")</f>
        <v>Evening</v>
      </c>
      <c r="T366" s="10">
        <f ca="1">IFERROR(__xludf.DUMMYFUNCTION("""COMPUTED_VALUE"""),0.815972222222222)</f>
        <v>0.81597222222222199</v>
      </c>
      <c r="U366" s="5">
        <f ca="1">IFERROR(__xludf.DUMMYFUNCTION("""COMPUTED_VALUE"""),1)</f>
        <v>1</v>
      </c>
      <c r="V366" s="5" t="str">
        <f ca="1">IFERROR(__xludf.DUMMYFUNCTION("""COMPUTED_VALUE"""),"Man shot while driving, crashed his vehicle on the front lawn of the school")</f>
        <v>Man shot while driving, crashed his vehicle on the front lawn of the school</v>
      </c>
      <c r="W366"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X366" s="5" t="str">
        <f ca="1">IFERROR(__xludf.DUMMYFUNCTION("""COMPUTED_VALUE"""),"Drive-by Shooting")</f>
        <v>Drive-by Shooting</v>
      </c>
      <c r="Y366" s="5"/>
      <c r="Z366" s="5"/>
      <c r="AA366" s="5"/>
      <c r="AB366" s="5" t="str">
        <f ca="1">IFERROR(__xludf.DUMMYFUNCTION("""COMPUTED_VALUE"""),"No")</f>
        <v>No</v>
      </c>
      <c r="AC366" s="5" t="str">
        <f ca="1">IFERROR(__xludf.DUMMYFUNCTION("""COMPUTED_VALUE"""),"No")</f>
        <v>No</v>
      </c>
      <c r="AD366" s="5" t="str">
        <f ca="1">IFERROR(__xludf.DUMMYFUNCTION("""COMPUTED_VALUE"""),"No")</f>
        <v>No</v>
      </c>
      <c r="AE366" s="5" t="str">
        <f ca="1">IFERROR(__xludf.DUMMYFUNCTION("""COMPUTED_VALUE"""),"No")</f>
        <v>No</v>
      </c>
      <c r="AF366" s="5" t="str">
        <f ca="1">IFERROR(__xludf.DUMMYFUNCTION("""COMPUTED_VALUE"""),"No")</f>
        <v>No</v>
      </c>
      <c r="AG366" s="5"/>
      <c r="AH366" s="5" t="str">
        <f ca="1">IFERROR(__xludf.DUMMYFUNCTION("""COMPUTED_VALUE"""),"No")</f>
        <v>No</v>
      </c>
    </row>
    <row r="367" spans="1:34" ht="12.75">
      <c r="A367" s="5" t="str">
        <f ca="1">IFERROR(__xludf.DUMMYFUNCTION("""COMPUTED_VALUE"""),"20210620CAGRM")</f>
        <v>20210620CAGRM</v>
      </c>
      <c r="B367" s="8">
        <f ca="1">IFERROR(__xludf.DUMMYFUNCTION("""COMPUTED_VALUE"""),44367)</f>
        <v>44367</v>
      </c>
      <c r="C367" s="5" t="str">
        <f ca="1">IFERROR(__xludf.DUMMYFUNCTION("""COMPUTED_VALUE"""),"Modesto Christian School")</f>
        <v>Modesto Christian School</v>
      </c>
      <c r="D367" s="5">
        <f ca="1">IFERROR(__xludf.DUMMYFUNCTION("""COMPUTED_VALUE"""),0)</f>
        <v>0</v>
      </c>
      <c r="E367" s="5">
        <f ca="1">IFERROR(__xludf.DUMMYFUNCTION("""COMPUTED_VALUE"""),1)</f>
        <v>1</v>
      </c>
      <c r="F367" s="5">
        <f ca="1">IFERROR(__xludf.DUMMYFUNCTION("""COMPUTED_VALUE"""),1)</f>
        <v>1</v>
      </c>
      <c r="G367" s="5">
        <f ca="1">IFERROR(__xludf.DUMMYFUNCTION("""COMPUTED_VALUE"""),0)</f>
        <v>0</v>
      </c>
      <c r="H367"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I367" s="5">
        <f ca="1">IFERROR(__xludf.DUMMYFUNCTION("""COMPUTED_VALUE"""),3)</f>
        <v>3</v>
      </c>
      <c r="J367" s="5" t="str">
        <f ca="1">IFERROR(__xludf.DUMMYFUNCTION("""COMPUTED_VALUE"""),"Local")</f>
        <v>Local</v>
      </c>
      <c r="K367" s="5">
        <f ca="1">IFERROR(__xludf.DUMMYFUNCTION("""COMPUTED_VALUE"""),3)</f>
        <v>3</v>
      </c>
      <c r="L367" s="5" t="str">
        <f ca="1">IFERROR(__xludf.DUMMYFUNCTION("""COMPUTED_VALUE"""),"Summer")</f>
        <v>Summer</v>
      </c>
      <c r="M367" s="5" t="str">
        <f ca="1">IFERROR(__xludf.DUMMYFUNCTION("""COMPUTED_VALUE"""),"Modesto")</f>
        <v>Modesto</v>
      </c>
      <c r="N367" s="5" t="str">
        <f ca="1">IFERROR(__xludf.DUMMYFUNCTION("""COMPUTED_VALUE"""),"CA")</f>
        <v>CA</v>
      </c>
      <c r="O367" s="5" t="str">
        <f ca="1">IFERROR(__xludf.DUMMYFUNCTION("""COMPUTED_VALUE"""),"K-12")</f>
        <v>K-12</v>
      </c>
      <c r="P367" s="5" t="str">
        <f ca="1">IFERROR(__xludf.DUMMYFUNCTION("""COMPUTED_VALUE"""),"Parking Lot")</f>
        <v>Parking Lot</v>
      </c>
      <c r="Q367" s="5" t="str">
        <f ca="1">IFERROR(__xludf.DUMMYFUNCTION("""COMPUTED_VALUE"""),"Outside on School Property")</f>
        <v>Outside on School Property</v>
      </c>
      <c r="R367" s="5" t="str">
        <f ca="1">IFERROR(__xludf.DUMMYFUNCTION("""COMPUTED_VALUE"""),"No")</f>
        <v>No</v>
      </c>
      <c r="S367" s="5" t="str">
        <f ca="1">IFERROR(__xludf.DUMMYFUNCTION("""COMPUTED_VALUE"""),"Not a School Day")</f>
        <v>Not a School Day</v>
      </c>
      <c r="T367" s="10">
        <f ca="1">IFERROR(__xludf.DUMMYFUNCTION("""COMPUTED_VALUE"""),0.270833333333333)</f>
        <v>0.27083333333333298</v>
      </c>
      <c r="U367" s="5">
        <f ca="1">IFERROR(__xludf.DUMMYFUNCTION("""COMPUTED_VALUE"""),1)</f>
        <v>1</v>
      </c>
      <c r="V367" s="5" t="str">
        <f ca="1">IFERROR(__xludf.DUMMYFUNCTION("""COMPUTED_VALUE"""),"Armed security guard fired at man who attempted to run him over with vehicle")</f>
        <v>Armed security guard fired at man who attempted to run him over with vehicle</v>
      </c>
      <c r="W367"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X367" s="5" t="str">
        <f ca="1">IFERROR(__xludf.DUMMYFUNCTION("""COMPUTED_VALUE"""),"Illegal Activity")</f>
        <v>Illegal Activity</v>
      </c>
      <c r="Y367" s="5" t="str">
        <f ca="1">IFERROR(__xludf.DUMMYFUNCTION("""COMPUTED_VALUE"""),"Neither")</f>
        <v>Neither</v>
      </c>
      <c r="Z367" s="5" t="str">
        <f ca="1">IFERROR(__xludf.DUMMYFUNCTION("""COMPUTED_VALUE"""),"No")</f>
        <v>No</v>
      </c>
      <c r="AA367" s="5"/>
      <c r="AB367" s="5" t="str">
        <f ca="1">IFERROR(__xludf.DUMMYFUNCTION("""COMPUTED_VALUE"""),"No")</f>
        <v>No</v>
      </c>
      <c r="AC367" s="5" t="str">
        <f ca="1">IFERROR(__xludf.DUMMYFUNCTION("""COMPUTED_VALUE"""),"No")</f>
        <v>No</v>
      </c>
      <c r="AD367" s="5" t="str">
        <f ca="1">IFERROR(__xludf.DUMMYFUNCTION("""COMPUTED_VALUE"""),"No")</f>
        <v>No</v>
      </c>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row>
    <row r="368" spans="1:34" ht="12.75">
      <c r="A368" s="5" t="str">
        <f ca="1">IFERROR(__xludf.DUMMYFUNCTION("""COMPUTED_VALUE"""),"20210614TXEAF")</f>
        <v>20210614TXEAF</v>
      </c>
      <c r="B368" s="8">
        <f ca="1">IFERROR(__xludf.DUMMYFUNCTION("""COMPUTED_VALUE"""),44361)</f>
        <v>44361</v>
      </c>
      <c r="C368" s="5" t="str">
        <f ca="1">IFERROR(__xludf.DUMMYFUNCTION("""COMPUTED_VALUE"""),"Eastern Hills High School")</f>
        <v>Eastern Hills High School</v>
      </c>
      <c r="D368" s="5">
        <f ca="1">IFERROR(__xludf.DUMMYFUNCTION("""COMPUTED_VALUE"""),0)</f>
        <v>0</v>
      </c>
      <c r="E368" s="5">
        <f ca="1">IFERROR(__xludf.DUMMYFUNCTION("""COMPUTED_VALUE"""),1)</f>
        <v>1</v>
      </c>
      <c r="F368" s="5">
        <f ca="1">IFERROR(__xludf.DUMMYFUNCTION("""COMPUTED_VALUE"""),1)</f>
        <v>1</v>
      </c>
      <c r="G368" s="5">
        <f ca="1">IFERROR(__xludf.DUMMYFUNCTION("""COMPUTED_VALUE"""),0)</f>
        <v>0</v>
      </c>
      <c r="H368"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I368" s="5">
        <f ca="1">IFERROR(__xludf.DUMMYFUNCTION("""COMPUTED_VALUE"""),2)</f>
        <v>2</v>
      </c>
      <c r="J368" s="5" t="str">
        <f ca="1">IFERROR(__xludf.DUMMYFUNCTION("""COMPUTED_VALUE"""),"Local")</f>
        <v>Local</v>
      </c>
      <c r="K368" s="5">
        <f ca="1">IFERROR(__xludf.DUMMYFUNCTION("""COMPUTED_VALUE"""),4)</f>
        <v>4</v>
      </c>
      <c r="L368" s="5" t="str">
        <f ca="1">IFERROR(__xludf.DUMMYFUNCTION("""COMPUTED_VALUE"""),"Summer")</f>
        <v>Summer</v>
      </c>
      <c r="M368" s="5" t="str">
        <f ca="1">IFERROR(__xludf.DUMMYFUNCTION("""COMPUTED_VALUE"""),"Fort Worth")</f>
        <v>Fort Worth</v>
      </c>
      <c r="N368" s="5" t="str">
        <f ca="1">IFERROR(__xludf.DUMMYFUNCTION("""COMPUTED_VALUE"""),"TX")</f>
        <v>TX</v>
      </c>
      <c r="O368" s="5" t="str">
        <f ca="1">IFERROR(__xludf.DUMMYFUNCTION("""COMPUTED_VALUE"""),"High")</f>
        <v>High</v>
      </c>
      <c r="P368" s="5" t="str">
        <f ca="1">IFERROR(__xludf.DUMMYFUNCTION("""COMPUTED_VALUE"""),"Parking Lot")</f>
        <v>Parking Lot</v>
      </c>
      <c r="Q368" s="5" t="str">
        <f ca="1">IFERROR(__xludf.DUMMYFUNCTION("""COMPUTED_VALUE"""),"Outside on School Property")</f>
        <v>Outside on School Property</v>
      </c>
      <c r="R368" s="5" t="str">
        <f ca="1">IFERROR(__xludf.DUMMYFUNCTION("""COMPUTED_VALUE"""),"No")</f>
        <v>No</v>
      </c>
      <c r="S368" s="5" t="str">
        <f ca="1">IFERROR(__xludf.DUMMYFUNCTION("""COMPUTED_VALUE"""),"Evening")</f>
        <v>Evening</v>
      </c>
      <c r="T368" s="10">
        <f ca="1">IFERROR(__xludf.DUMMYFUNCTION("""COMPUTED_VALUE"""),0.8125)</f>
        <v>0.8125</v>
      </c>
      <c r="U368" s="5">
        <f ca="1">IFERROR(__xludf.DUMMYFUNCTION("""COMPUTED_VALUE"""),1)</f>
        <v>1</v>
      </c>
      <c r="V368" s="5" t="str">
        <f ca="1">IFERROR(__xludf.DUMMYFUNCTION("""COMPUTED_VALUE"""),"Man shot during robbery in school parking lot")</f>
        <v>Man shot during robbery in school parking lot</v>
      </c>
      <c r="W368"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X368" s="5" t="str">
        <f ca="1">IFERROR(__xludf.DUMMYFUNCTION("""COMPUTED_VALUE"""),"Illegal Activity")</f>
        <v>Illegal Activity</v>
      </c>
      <c r="Y368" s="5" t="str">
        <f ca="1">IFERROR(__xludf.DUMMYFUNCTION("""COMPUTED_VALUE"""),"Victims Targeted")</f>
        <v>Victims Targeted</v>
      </c>
      <c r="Z368" s="5" t="str">
        <f ca="1">IFERROR(__xludf.DUMMYFUNCTION("""COMPUTED_VALUE"""),"Yes")</f>
        <v>Yes</v>
      </c>
      <c r="AA368" s="5" t="str">
        <f ca="1">IFERROR(__xludf.DUMMYFUNCTION("""COMPUTED_VALUE"""),"18YOF driving the vehicle arrested")</f>
        <v>18YOF driving the vehicle arrested</v>
      </c>
      <c r="AB368" s="5" t="str">
        <f ca="1">IFERROR(__xludf.DUMMYFUNCTION("""COMPUTED_VALUE"""),"No")</f>
        <v>No</v>
      </c>
      <c r="AC368" s="5" t="str">
        <f ca="1">IFERROR(__xludf.DUMMYFUNCTION("""COMPUTED_VALUE"""),"No")</f>
        <v>No</v>
      </c>
      <c r="AD368" s="5" t="str">
        <f ca="1">IFERROR(__xludf.DUMMYFUNCTION("""COMPUTED_VALUE"""),"No")</f>
        <v>No</v>
      </c>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IFERROR(__xludf.DUMMYFUNCTION("""COMPUTED_VALUE"""),"No")</f>
        <v>No</v>
      </c>
    </row>
    <row r="369" spans="1:34" ht="12.75">
      <c r="A369" s="5" t="str">
        <f ca="1">IFERROR(__xludf.DUMMYFUNCTION("""COMPUTED_VALUE"""),"20210614NCROR")</f>
        <v>20210614NCROR</v>
      </c>
      <c r="B369" s="8">
        <f ca="1">IFERROR(__xludf.DUMMYFUNCTION("""COMPUTED_VALUE"""),44361)</f>
        <v>44361</v>
      </c>
      <c r="C369" s="5" t="str">
        <f ca="1">IFERROR(__xludf.DUMMYFUNCTION("""COMPUTED_VALUE"""),"Rowland Middle School")</f>
        <v>Rowland Middle School</v>
      </c>
      <c r="D369" s="5">
        <f ca="1">IFERROR(__xludf.DUMMYFUNCTION("""COMPUTED_VALUE"""),0)</f>
        <v>0</v>
      </c>
      <c r="E369" s="5">
        <f ca="1">IFERROR(__xludf.DUMMYFUNCTION("""COMPUTED_VALUE"""),0)</f>
        <v>0</v>
      </c>
      <c r="F369" s="5">
        <f ca="1">IFERROR(__xludf.DUMMYFUNCTION("""COMPUTED_VALUE"""),0)</f>
        <v>0</v>
      </c>
      <c r="G369" s="5">
        <f ca="1">IFERROR(__xludf.DUMMYFUNCTION("""COMPUTED_VALUE"""),0)</f>
        <v>0</v>
      </c>
      <c r="H369"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I369" s="5">
        <f ca="1">IFERROR(__xludf.DUMMYFUNCTION("""COMPUTED_VALUE"""),2)</f>
        <v>2</v>
      </c>
      <c r="J369" s="5" t="str">
        <f ca="1">IFERROR(__xludf.DUMMYFUNCTION("""COMPUTED_VALUE"""),"Local")</f>
        <v>Local</v>
      </c>
      <c r="K369" s="5">
        <f ca="1">IFERROR(__xludf.DUMMYFUNCTION("""COMPUTED_VALUE"""),4)</f>
        <v>4</v>
      </c>
      <c r="L369" s="5" t="str">
        <f ca="1">IFERROR(__xludf.DUMMYFUNCTION("""COMPUTED_VALUE"""),"Summer")</f>
        <v>Summer</v>
      </c>
      <c r="M369" s="5" t="str">
        <f ca="1">IFERROR(__xludf.DUMMYFUNCTION("""COMPUTED_VALUE"""),"Rowland")</f>
        <v>Rowland</v>
      </c>
      <c r="N369" s="5" t="str">
        <f ca="1">IFERROR(__xludf.DUMMYFUNCTION("""COMPUTED_VALUE"""),"NC")</f>
        <v>NC</v>
      </c>
      <c r="O369" s="5" t="str">
        <f ca="1">IFERROR(__xludf.DUMMYFUNCTION("""COMPUTED_VALUE"""),"Middle")</f>
        <v>Middle</v>
      </c>
      <c r="P369" s="5" t="str">
        <f ca="1">IFERROR(__xludf.DUMMYFUNCTION("""COMPUTED_VALUE"""),"Parking Lot")</f>
        <v>Parking Lot</v>
      </c>
      <c r="Q369" s="5" t="str">
        <f ca="1">IFERROR(__xludf.DUMMYFUNCTION("""COMPUTED_VALUE"""),"Outside on School Property")</f>
        <v>Outside on School Property</v>
      </c>
      <c r="R369" s="5" t="str">
        <f ca="1">IFERROR(__xludf.DUMMYFUNCTION("""COMPUTED_VALUE"""),"No")</f>
        <v>No</v>
      </c>
      <c r="S369" s="5" t="str">
        <f ca="1">IFERROR(__xludf.DUMMYFUNCTION("""COMPUTED_VALUE"""),"Evening")</f>
        <v>Evening</v>
      </c>
      <c r="T369" s="10">
        <f ca="1">IFERROR(__xludf.DUMMYFUNCTION("""COMPUTED_VALUE"""),0.75)</f>
        <v>0.75</v>
      </c>
      <c r="U369" s="5">
        <f ca="1">IFERROR(__xludf.DUMMYFUNCTION("""COMPUTED_VALUE"""),1)</f>
        <v>1</v>
      </c>
      <c r="V369" s="5" t="str">
        <f ca="1">IFERROR(__xludf.DUMMYFUNCTION("""COMPUTED_VALUE"""),"6 vehicles shot in school parking lot, several individuals fired shots")</f>
        <v>6 vehicles shot in school parking lot, several individuals fired shots</v>
      </c>
      <c r="W369"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X369" s="5"/>
      <c r="Y369" s="5"/>
      <c r="Z369" s="5" t="str">
        <f ca="1">IFERROR(__xludf.DUMMYFUNCTION("""COMPUTED_VALUE"""),"Yes")</f>
        <v>Yes</v>
      </c>
      <c r="AA369" s="5" t="str">
        <f ca="1">IFERROR(__xludf.DUMMYFUNCTION("""COMPUTED_VALUE"""),"Several people fired shots")</f>
        <v>Several people fired shots</v>
      </c>
      <c r="AB369" s="5" t="str">
        <f ca="1">IFERROR(__xludf.DUMMYFUNCTION("""COMPUTED_VALUE"""),"No")</f>
        <v>No</v>
      </c>
      <c r="AC369" s="5" t="str">
        <f ca="1">IFERROR(__xludf.DUMMYFUNCTION("""COMPUTED_VALUE"""),"No")</f>
        <v>No</v>
      </c>
      <c r="AD369" s="5" t="str">
        <f ca="1">IFERROR(__xludf.DUMMYFUNCTION("""COMPUTED_VALUE"""),"No")</f>
        <v>No</v>
      </c>
      <c r="AE369" s="5" t="str">
        <f ca="1">IFERROR(__xludf.DUMMYFUNCTION("""COMPUTED_VALUE"""),"No")</f>
        <v>No</v>
      </c>
      <c r="AF369" s="5" t="str">
        <f ca="1">IFERROR(__xludf.DUMMYFUNCTION("""COMPUTED_VALUE"""),"No")</f>
        <v>No</v>
      </c>
      <c r="AG369" s="5"/>
      <c r="AH369" s="5" t="str">
        <f ca="1">IFERROR(__xludf.DUMMYFUNCTION("""COMPUTED_VALUE"""),"No")</f>
        <v>No</v>
      </c>
    </row>
    <row r="370" spans="1:34" ht="12.75">
      <c r="A370" s="5" t="str">
        <f ca="1">IFERROR(__xludf.DUMMYFUNCTION("""COMPUTED_VALUE"""),"20210614NCRJW")</f>
        <v>20210614NCRJW</v>
      </c>
      <c r="B370" s="8">
        <f ca="1">IFERROR(__xludf.DUMMYFUNCTION("""COMPUTED_VALUE"""),44361)</f>
        <v>44361</v>
      </c>
      <c r="C370" s="5" t="str">
        <f ca="1">IFERROR(__xludf.DUMMYFUNCTION("""COMPUTED_VALUE"""),"R.J. Reynolds High School")</f>
        <v>R.J. Reynolds High School</v>
      </c>
      <c r="D370" s="5">
        <f ca="1">IFERROR(__xludf.DUMMYFUNCTION("""COMPUTED_VALUE"""),0)</f>
        <v>0</v>
      </c>
      <c r="E370" s="5">
        <f ca="1">IFERROR(__xludf.DUMMYFUNCTION("""COMPUTED_VALUE"""),0)</f>
        <v>0</v>
      </c>
      <c r="F370" s="5">
        <f ca="1">IFERROR(__xludf.DUMMYFUNCTION("""COMPUTED_VALUE"""),0)</f>
        <v>0</v>
      </c>
      <c r="G370" s="5">
        <f ca="1">IFERROR(__xludf.DUMMYFUNCTION("""COMPUTED_VALUE"""),1)</f>
        <v>1</v>
      </c>
      <c r="H370"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I370" s="5">
        <f ca="1">IFERROR(__xludf.DUMMYFUNCTION("""COMPUTED_VALUE"""),10)</f>
        <v>10</v>
      </c>
      <c r="J370" s="5" t="str">
        <f ca="1">IFERROR(__xludf.DUMMYFUNCTION("""COMPUTED_VALUE"""),"Local")</f>
        <v>Local</v>
      </c>
      <c r="K370" s="5">
        <f ca="1">IFERROR(__xludf.DUMMYFUNCTION("""COMPUTED_VALUE"""),4)</f>
        <v>4</v>
      </c>
      <c r="L370" s="5" t="str">
        <f ca="1">IFERROR(__xludf.DUMMYFUNCTION("""COMPUTED_VALUE"""),"Summer")</f>
        <v>Summer</v>
      </c>
      <c r="M370" s="5" t="str">
        <f ca="1">IFERROR(__xludf.DUMMYFUNCTION("""COMPUTED_VALUE"""),"Winston-Salem")</f>
        <v>Winston-Salem</v>
      </c>
      <c r="N370" s="5" t="str">
        <f ca="1">IFERROR(__xludf.DUMMYFUNCTION("""COMPUTED_VALUE"""),"NC")</f>
        <v>NC</v>
      </c>
      <c r="O370" s="5" t="str">
        <f ca="1">IFERROR(__xludf.DUMMYFUNCTION("""COMPUTED_VALUE"""),"High")</f>
        <v>High</v>
      </c>
      <c r="P370" s="5" t="str">
        <f ca="1">IFERROR(__xludf.DUMMYFUNCTION("""COMPUTED_VALUE"""),"Beside Building")</f>
        <v>Beside Building</v>
      </c>
      <c r="Q370" s="5" t="str">
        <f ca="1">IFERROR(__xludf.DUMMYFUNCTION("""COMPUTED_VALUE"""),"Outside on School Property")</f>
        <v>Outside on School Property</v>
      </c>
      <c r="R370" s="5" t="str">
        <f ca="1">IFERROR(__xludf.DUMMYFUNCTION("""COMPUTED_VALUE"""),"No")</f>
        <v>No</v>
      </c>
      <c r="S370" s="5" t="str">
        <f ca="1">IFERROR(__xludf.DUMMYFUNCTION("""COMPUTED_VALUE"""),"Not a School Day")</f>
        <v>Not a School Day</v>
      </c>
      <c r="T370" s="10">
        <f ca="1">IFERROR(__xludf.DUMMYFUNCTION("""COMPUTED_VALUE"""),0.663194444444444)</f>
        <v>0.66319444444444398</v>
      </c>
      <c r="U370" s="5">
        <f ca="1">IFERROR(__xludf.DUMMYFUNCTION("""COMPUTED_VALUE"""),15)</f>
        <v>15</v>
      </c>
      <c r="V370" s="5" t="str">
        <f ca="1">IFERROR(__xludf.DUMMYFUNCTION("""COMPUTED_VALUE"""),"Police chase ended at school, man fired shots at police and fled on foot across campus")</f>
        <v>Police chase ended at school, man fired shots at police and fled on foot across campus</v>
      </c>
      <c r="W370"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X370" s="5" t="str">
        <f ca="1">IFERROR(__xludf.DUMMYFUNCTION("""COMPUTED_VALUE"""),"Domestic w/ Targeted Victim")</f>
        <v>Domestic w/ Targeted Victim</v>
      </c>
      <c r="Y370" s="5" t="str">
        <f ca="1">IFERROR(__xludf.DUMMYFUNCTION("""COMPUTED_VALUE"""),"Both")</f>
        <v>Both</v>
      </c>
      <c r="Z370" s="5" t="str">
        <f ca="1">IFERROR(__xludf.DUMMYFUNCTION("""COMPUTED_VALUE"""),"No")</f>
        <v>No</v>
      </c>
      <c r="AA370" s="5"/>
      <c r="AB370" s="5" t="str">
        <f ca="1">IFERROR(__xludf.DUMMYFUNCTION("""COMPUTED_VALUE"""),"No")</f>
        <v>No</v>
      </c>
      <c r="AC370" s="5" t="str">
        <f ca="1">IFERROR(__xludf.DUMMYFUNCTION("""COMPUTED_VALUE"""),"No")</f>
        <v>No</v>
      </c>
      <c r="AD370" s="5" t="str">
        <f ca="1">IFERROR(__xludf.DUMMYFUNCTION("""COMPUTED_VALUE"""),"No")</f>
        <v>No</v>
      </c>
      <c r="AE370" s="5" t="str">
        <f ca="1">IFERROR(__xludf.DUMMYFUNCTION("""COMPUTED_VALUE"""),"No")</f>
        <v>No</v>
      </c>
      <c r="AF370" s="5" t="str">
        <f ca="1">IFERROR(__xludf.DUMMYFUNCTION("""COMPUTED_VALUE"""),"Yes")</f>
        <v>Yes</v>
      </c>
      <c r="AG370" s="5" t="str">
        <f ca="1">IFERROR(__xludf.DUMMYFUNCTION("""COMPUTED_VALUE"""),"No")</f>
        <v>No</v>
      </c>
      <c r="AH370" s="5" t="str">
        <f ca="1">IFERROR(__xludf.DUMMYFUNCTION("""COMPUTED_VALUE"""),"Yes")</f>
        <v>Yes</v>
      </c>
    </row>
    <row r="371" spans="1:34" ht="12.75">
      <c r="A371" s="5" t="str">
        <f ca="1">IFERROR(__xludf.DUMMYFUNCTION("""COMPUTED_VALUE"""),"20210613PAWIP")</f>
        <v>20210613PAWIP</v>
      </c>
      <c r="B371" s="8">
        <f ca="1">IFERROR(__xludf.DUMMYFUNCTION("""COMPUTED_VALUE"""),44360)</f>
        <v>44360</v>
      </c>
      <c r="C371" s="5" t="str">
        <f ca="1">IFERROR(__xludf.DUMMYFUNCTION("""COMPUTED_VALUE"""),"William Dick School")</f>
        <v>William Dick School</v>
      </c>
      <c r="D371" s="5">
        <f ca="1">IFERROR(__xludf.DUMMYFUNCTION("""COMPUTED_VALUE"""),1)</f>
        <v>1</v>
      </c>
      <c r="E371" s="5">
        <f ca="1">IFERROR(__xludf.DUMMYFUNCTION("""COMPUTED_VALUE"""),0)</f>
        <v>0</v>
      </c>
      <c r="F371" s="5">
        <f ca="1">IFERROR(__xludf.DUMMYFUNCTION("""COMPUTED_VALUE"""),1)</f>
        <v>1</v>
      </c>
      <c r="G371" s="5">
        <f ca="1">IFERROR(__xludf.DUMMYFUNCTION("""COMPUTED_VALUE"""),0)</f>
        <v>0</v>
      </c>
      <c r="H371" s="9" t="str">
        <f ca="1">IFERROR(__xludf.DUMMYFUNCTION("""COMPUTED_VALUE"""),"https://6abc.com/young-man-shot-and-killed-near-philadelphia-school/10787708/")</f>
        <v>https://6abc.com/young-man-shot-and-killed-near-philadelphia-school/10787708/</v>
      </c>
      <c r="I371" s="5">
        <f ca="1">IFERROR(__xludf.DUMMYFUNCTION("""COMPUTED_VALUE"""),1)</f>
        <v>1</v>
      </c>
      <c r="J371" s="5" t="str">
        <f ca="1">IFERROR(__xludf.DUMMYFUNCTION("""COMPUTED_VALUE"""),"Local")</f>
        <v>Local</v>
      </c>
      <c r="K371" s="5">
        <f ca="1">IFERROR(__xludf.DUMMYFUNCTION("""COMPUTED_VALUE"""),3)</f>
        <v>3</v>
      </c>
      <c r="L371" s="5" t="str">
        <f ca="1">IFERROR(__xludf.DUMMYFUNCTION("""COMPUTED_VALUE"""),"Summer")</f>
        <v>Summer</v>
      </c>
      <c r="M371" s="5" t="str">
        <f ca="1">IFERROR(__xludf.DUMMYFUNCTION("""COMPUTED_VALUE"""),"Philadelphia")</f>
        <v>Philadelphia</v>
      </c>
      <c r="N371" s="5" t="str">
        <f ca="1">IFERROR(__xludf.DUMMYFUNCTION("""COMPUTED_VALUE"""),"PA")</f>
        <v>PA</v>
      </c>
      <c r="O371" s="5" t="str">
        <f ca="1">IFERROR(__xludf.DUMMYFUNCTION("""COMPUTED_VALUE"""),"K-8")</f>
        <v>K-8</v>
      </c>
      <c r="P371" s="5" t="str">
        <f ca="1">IFERROR(__xludf.DUMMYFUNCTION("""COMPUTED_VALUE"""),"Basketball Court")</f>
        <v>Basketball Court</v>
      </c>
      <c r="Q371" s="5" t="str">
        <f ca="1">IFERROR(__xludf.DUMMYFUNCTION("""COMPUTED_VALUE"""),"Outside on School Property")</f>
        <v>Outside on School Property</v>
      </c>
      <c r="R371" s="5" t="str">
        <f ca="1">IFERROR(__xludf.DUMMYFUNCTION("""COMPUTED_VALUE"""),"No")</f>
        <v>No</v>
      </c>
      <c r="S371" s="5" t="str">
        <f ca="1">IFERROR(__xludf.DUMMYFUNCTION("""COMPUTED_VALUE"""),"Night")</f>
        <v>Night</v>
      </c>
      <c r="T371" s="10">
        <f ca="1">IFERROR(__xludf.DUMMYFUNCTION("""COMPUTED_VALUE"""),0.979166666666666)</f>
        <v>0.97916666666666596</v>
      </c>
      <c r="U371" s="5">
        <f ca="1">IFERROR(__xludf.DUMMYFUNCTION("""COMPUTED_VALUE"""),1)</f>
        <v>1</v>
      </c>
      <c r="V371" s="5" t="str">
        <f ca="1">IFERROR(__xludf.DUMMYFUNCTION("""COMPUTED_VALUE"""),"Man shot on the school basketball court")</f>
        <v>Man shot on the school basketball court</v>
      </c>
      <c r="W371"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X371" s="5"/>
      <c r="Y371" s="5" t="str">
        <f ca="1">IFERROR(__xludf.DUMMYFUNCTION("""COMPUTED_VALUE"""),"Victims Targeted")</f>
        <v>Victims Targeted</v>
      </c>
      <c r="Z371" s="5" t="str">
        <f ca="1">IFERROR(__xludf.DUMMYFUNCTION("""COMPUTED_VALUE"""),"No")</f>
        <v>No</v>
      </c>
      <c r="AA371" s="5"/>
      <c r="AB371" s="5" t="str">
        <f ca="1">IFERROR(__xludf.DUMMYFUNCTION("""COMPUTED_VALUE"""),"No")</f>
        <v>No</v>
      </c>
      <c r="AC371" s="5" t="str">
        <f ca="1">IFERROR(__xludf.DUMMYFUNCTION("""COMPUTED_VALUE"""),"No")</f>
        <v>No</v>
      </c>
      <c r="AD371" s="5" t="str">
        <f ca="1">IFERROR(__xludf.DUMMYFUNCTION("""COMPUTED_VALUE"""),"No")</f>
        <v>No</v>
      </c>
      <c r="AE371" s="5" t="str">
        <f ca="1">IFERROR(__xludf.DUMMYFUNCTION("""COMPUTED_VALUE"""),"No")</f>
        <v>No</v>
      </c>
      <c r="AF371" s="5" t="str">
        <f ca="1">IFERROR(__xludf.DUMMYFUNCTION("""COMPUTED_VALUE"""),"No")</f>
        <v>No</v>
      </c>
      <c r="AG371" s="5"/>
      <c r="AH371" s="5" t="str">
        <f ca="1">IFERROR(__xludf.DUMMYFUNCTION("""COMPUTED_VALUE"""),"No")</f>
        <v>No</v>
      </c>
    </row>
    <row r="372" spans="1:34" ht="12.75">
      <c r="A372" s="5" t="str">
        <f ca="1">IFERROR(__xludf.DUMMYFUNCTION("""COMPUTED_VALUE"""),"20210613PAPAC")</f>
        <v>20210613PAPAC</v>
      </c>
      <c r="B372" s="8">
        <f ca="1">IFERROR(__xludf.DUMMYFUNCTION("""COMPUTED_VALUE"""),44360)</f>
        <v>44360</v>
      </c>
      <c r="C372" s="5" t="str">
        <f ca="1">IFERROR(__xludf.DUMMYFUNCTION("""COMPUTED_VALUE"""),"Park Elementary School")</f>
        <v>Park Elementary School</v>
      </c>
      <c r="D372" s="5">
        <f ca="1">IFERROR(__xludf.DUMMYFUNCTION("""COMPUTED_VALUE"""),0)</f>
        <v>0</v>
      </c>
      <c r="E372" s="5">
        <f ca="1">IFERROR(__xludf.DUMMYFUNCTION("""COMPUTED_VALUE"""),0)</f>
        <v>0</v>
      </c>
      <c r="F372" s="5">
        <f ca="1">IFERROR(__xludf.DUMMYFUNCTION("""COMPUTED_VALUE"""),0)</f>
        <v>0</v>
      </c>
      <c r="G372" s="5">
        <f ca="1">IFERROR(__xludf.DUMMYFUNCTION("""COMPUTED_VALUE"""),0)</f>
        <v>0</v>
      </c>
      <c r="H372" s="9" t="str">
        <f ca="1">IFERROR(__xludf.DUMMYFUNCTION("""COMPUTED_VALUE"""),"https://www.wgal.com/article/man-found-shot-in-columbia/36709512")</f>
        <v>https://www.wgal.com/article/man-found-shot-in-columbia/36709512</v>
      </c>
      <c r="I372" s="5">
        <f ca="1">IFERROR(__xludf.DUMMYFUNCTION("""COMPUTED_VALUE"""),1)</f>
        <v>1</v>
      </c>
      <c r="J372" s="5" t="str">
        <f ca="1">IFERROR(__xludf.DUMMYFUNCTION("""COMPUTED_VALUE"""),"Local")</f>
        <v>Local</v>
      </c>
      <c r="K372" s="5">
        <f ca="1">IFERROR(__xludf.DUMMYFUNCTION("""COMPUTED_VALUE"""),3)</f>
        <v>3</v>
      </c>
      <c r="L372" s="5" t="str">
        <f ca="1">IFERROR(__xludf.DUMMYFUNCTION("""COMPUTED_VALUE"""),"Summer")</f>
        <v>Summer</v>
      </c>
      <c r="M372" s="5" t="str">
        <f ca="1">IFERROR(__xludf.DUMMYFUNCTION("""COMPUTED_VALUE"""),"Columbia")</f>
        <v>Columbia</v>
      </c>
      <c r="N372" s="5" t="str">
        <f ca="1">IFERROR(__xludf.DUMMYFUNCTION("""COMPUTED_VALUE"""),"PA")</f>
        <v>PA</v>
      </c>
      <c r="O372" s="5" t="str">
        <f ca="1">IFERROR(__xludf.DUMMYFUNCTION("""COMPUTED_VALUE"""),"Elementary")</f>
        <v>Elementary</v>
      </c>
      <c r="P372" s="5" t="str">
        <f ca="1">IFERROR(__xludf.DUMMYFUNCTION("""COMPUTED_VALUE"""),"Parking Lot")</f>
        <v>Parking Lot</v>
      </c>
      <c r="Q372" s="5" t="str">
        <f ca="1">IFERROR(__xludf.DUMMYFUNCTION("""COMPUTED_VALUE"""),"Outside on School Property")</f>
        <v>Outside on School Property</v>
      </c>
      <c r="R372" s="5" t="str">
        <f ca="1">IFERROR(__xludf.DUMMYFUNCTION("""COMPUTED_VALUE"""),"No")</f>
        <v>No</v>
      </c>
      <c r="S372" s="5" t="str">
        <f ca="1">IFERROR(__xludf.DUMMYFUNCTION("""COMPUTED_VALUE"""),"Not a School Day")</f>
        <v>Not a School Day</v>
      </c>
      <c r="T372" s="10">
        <f ca="1">IFERROR(__xludf.DUMMYFUNCTION("""COMPUTED_VALUE"""),0.333333333333333)</f>
        <v>0.33333333333333298</v>
      </c>
      <c r="U372" s="5">
        <f ca="1">IFERROR(__xludf.DUMMYFUNCTION("""COMPUTED_VALUE"""),1)</f>
        <v>1</v>
      </c>
      <c r="V372" s="5" t="str">
        <f ca="1">IFERROR(__xludf.DUMMYFUNCTION("""COMPUTED_VALUE"""),"Elderly man shot himself in the school parking lot")</f>
        <v>Elderly man shot himself in the school parking lot</v>
      </c>
      <c r="W372"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X372" s="5" t="str">
        <f ca="1">IFERROR(__xludf.DUMMYFUNCTION("""COMPUTED_VALUE"""),"Suicide/Attempted")</f>
        <v>Suicide/Attempted</v>
      </c>
      <c r="Y372" s="5" t="str">
        <f ca="1">IFERROR(__xludf.DUMMYFUNCTION("""COMPUTED_VALUE"""),"Victims Targeted")</f>
        <v>Victims Targeted</v>
      </c>
      <c r="Z372" s="5" t="str">
        <f ca="1">IFERROR(__xludf.DUMMYFUNCTION("""COMPUTED_VALUE"""),"No")</f>
        <v>No</v>
      </c>
      <c r="AA372" s="5"/>
      <c r="AB372" s="5" t="str">
        <f ca="1">IFERROR(__xludf.DUMMYFUNCTION("""COMPUTED_VALUE"""),"No")</f>
        <v>No</v>
      </c>
      <c r="AC372" s="5" t="str">
        <f ca="1">IFERROR(__xludf.DUMMYFUNCTION("""COMPUTED_VALUE"""),"No")</f>
        <v>No</v>
      </c>
      <c r="AD372" s="5" t="str">
        <f ca="1">IFERROR(__xludf.DUMMYFUNCTION("""COMPUTED_VALUE"""),"No")</f>
        <v>No</v>
      </c>
      <c r="AE372" s="5" t="str">
        <f ca="1">IFERROR(__xludf.DUMMYFUNCTION("""COMPUTED_VALUE"""),"No")</f>
        <v>No</v>
      </c>
      <c r="AF372" s="5" t="str">
        <f ca="1">IFERROR(__xludf.DUMMYFUNCTION("""COMPUTED_VALUE"""),"No")</f>
        <v>No</v>
      </c>
      <c r="AG372" s="5" t="str">
        <f ca="1">IFERROR(__xludf.DUMMYFUNCTION("""COMPUTED_VALUE"""),"No")</f>
        <v>No</v>
      </c>
      <c r="AH372" s="5"/>
    </row>
    <row r="373" spans="1:34" ht="12.75">
      <c r="A373" s="5" t="str">
        <f ca="1">IFERROR(__xludf.DUMMYFUNCTION("""COMPUTED_VALUE"""),"20210612MOMCF")</f>
        <v>20210612MOMCF</v>
      </c>
      <c r="B373" s="8">
        <f ca="1">IFERROR(__xludf.DUMMYFUNCTION("""COMPUTED_VALUE"""),44359)</f>
        <v>44359</v>
      </c>
      <c r="C373" s="5" t="str">
        <f ca="1">IFERROR(__xludf.DUMMYFUNCTION("""COMPUTED_VALUE"""),"McCluer North High School")</f>
        <v>McCluer North High School</v>
      </c>
      <c r="D373" s="5">
        <f ca="1">IFERROR(__xludf.DUMMYFUNCTION("""COMPUTED_VALUE"""),1)</f>
        <v>1</v>
      </c>
      <c r="E373" s="5">
        <f ca="1">IFERROR(__xludf.DUMMYFUNCTION("""COMPUTED_VALUE"""),0)</f>
        <v>0</v>
      </c>
      <c r="F373" s="5">
        <f ca="1">IFERROR(__xludf.DUMMYFUNCTION("""COMPUTED_VALUE"""),1)</f>
        <v>1</v>
      </c>
      <c r="G373" s="5">
        <f ca="1">IFERROR(__xludf.DUMMYFUNCTION("""COMPUTED_VALUE"""),0)</f>
        <v>0</v>
      </c>
      <c r="H373"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I373" s="5">
        <f ca="1">IFERROR(__xludf.DUMMYFUNCTION("""COMPUTED_VALUE"""),3)</f>
        <v>3</v>
      </c>
      <c r="J373" s="5" t="str">
        <f ca="1">IFERROR(__xludf.DUMMYFUNCTION("""COMPUTED_VALUE"""),"Local")</f>
        <v>Local</v>
      </c>
      <c r="K373" s="5">
        <f ca="1">IFERROR(__xludf.DUMMYFUNCTION("""COMPUTED_VALUE"""),3)</f>
        <v>3</v>
      </c>
      <c r="L373" s="5" t="str">
        <f ca="1">IFERROR(__xludf.DUMMYFUNCTION("""COMPUTED_VALUE"""),"Summer")</f>
        <v>Summer</v>
      </c>
      <c r="M373" s="5" t="str">
        <f ca="1">IFERROR(__xludf.DUMMYFUNCTION("""COMPUTED_VALUE"""),"Florissant")</f>
        <v>Florissant</v>
      </c>
      <c r="N373" s="5" t="str">
        <f ca="1">IFERROR(__xludf.DUMMYFUNCTION("""COMPUTED_VALUE"""),"MO")</f>
        <v>MO</v>
      </c>
      <c r="O373" s="5" t="str">
        <f ca="1">IFERROR(__xludf.DUMMYFUNCTION("""COMPUTED_VALUE"""),"High")</f>
        <v>High</v>
      </c>
      <c r="P373" s="5" t="str">
        <f ca="1">IFERROR(__xludf.DUMMYFUNCTION("""COMPUTED_VALUE"""),"Outside on School Property")</f>
        <v>Outside on School Property</v>
      </c>
      <c r="Q373" s="5" t="str">
        <f ca="1">IFERROR(__xludf.DUMMYFUNCTION("""COMPUTED_VALUE"""),"Outside on School Property")</f>
        <v>Outside on School Property</v>
      </c>
      <c r="R373" s="5" t="str">
        <f ca="1">IFERROR(__xludf.DUMMYFUNCTION("""COMPUTED_VALUE"""),"No")</f>
        <v>No</v>
      </c>
      <c r="S373" s="5" t="str">
        <f ca="1">IFERROR(__xludf.DUMMYFUNCTION("""COMPUTED_VALUE"""),"Night")</f>
        <v>Night</v>
      </c>
      <c r="T373" s="10">
        <f ca="1">IFERROR(__xludf.DUMMYFUNCTION("""COMPUTED_VALUE"""),0.0416666666666666)</f>
        <v>4.1666666666666602E-2</v>
      </c>
      <c r="U373" s="5">
        <f ca="1">IFERROR(__xludf.DUMMYFUNCTION("""COMPUTED_VALUE"""),1)</f>
        <v>1</v>
      </c>
      <c r="V373" s="5" t="str">
        <f ca="1">IFERROR(__xludf.DUMMYFUNCTION("""COMPUTED_VALUE"""),"Teen shot and killed by another teen on school campus late at night")</f>
        <v>Teen shot and killed by another teen on school campus late at night</v>
      </c>
      <c r="W373"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X373" s="5" t="str">
        <f ca="1">IFERROR(__xludf.DUMMYFUNCTION("""COMPUTED_VALUE"""),"Escalation of Dispute")</f>
        <v>Escalation of Dispute</v>
      </c>
      <c r="Y373" s="5" t="str">
        <f ca="1">IFERROR(__xludf.DUMMYFUNCTION("""COMPUTED_VALUE"""),"Victims Targeted")</f>
        <v>Victims Targeted</v>
      </c>
      <c r="Z373" s="5"/>
      <c r="AA373" s="5"/>
      <c r="AB373" s="5" t="str">
        <f ca="1">IFERROR(__xludf.DUMMYFUNCTION("""COMPUTED_VALUE"""),"No")</f>
        <v>No</v>
      </c>
      <c r="AC373" s="5" t="str">
        <f ca="1">IFERROR(__xludf.DUMMYFUNCTION("""COMPUTED_VALUE"""),"No")</f>
        <v>No</v>
      </c>
      <c r="AD373" s="5" t="str">
        <f ca="1">IFERROR(__xludf.DUMMYFUNCTION("""COMPUTED_VALUE"""),"No")</f>
        <v>No</v>
      </c>
      <c r="AE373" s="5"/>
      <c r="AF373" s="5" t="str">
        <f ca="1">IFERROR(__xludf.DUMMYFUNCTION("""COMPUTED_VALUE"""),"No")</f>
        <v>No</v>
      </c>
      <c r="AG373" s="5" t="str">
        <f ca="1">IFERROR(__xludf.DUMMYFUNCTION("""COMPUTED_VALUE"""),"No")</f>
        <v>No</v>
      </c>
      <c r="AH373" s="5" t="str">
        <f ca="1">IFERROR(__xludf.DUMMYFUNCTION("""COMPUTED_VALUE"""),"No")</f>
        <v>No</v>
      </c>
    </row>
    <row r="374" spans="1:34" ht="12.75">
      <c r="A374" s="5" t="str">
        <f ca="1">IFERROR(__xludf.DUMMYFUNCTION("""COMPUTED_VALUE"""),"20210610CTHOW")</f>
        <v>20210610CTHOW</v>
      </c>
      <c r="B374" s="8">
        <f ca="1">IFERROR(__xludf.DUMMYFUNCTION("""COMPUTED_VALUE"""),44357)</f>
        <v>44357</v>
      </c>
      <c r="C374" s="5" t="str">
        <f ca="1">IFERROR(__xludf.DUMMYFUNCTION("""COMPUTED_VALUE"""),"Holy Cross High School")</f>
        <v>Holy Cross High School</v>
      </c>
      <c r="D374" s="5">
        <f ca="1">IFERROR(__xludf.DUMMYFUNCTION("""COMPUTED_VALUE"""),0)</f>
        <v>0</v>
      </c>
      <c r="E374" s="5">
        <f ca="1">IFERROR(__xludf.DUMMYFUNCTION("""COMPUTED_VALUE"""),0)</f>
        <v>0</v>
      </c>
      <c r="F374" s="5">
        <f ca="1">IFERROR(__xludf.DUMMYFUNCTION("""COMPUTED_VALUE"""),0)</f>
        <v>0</v>
      </c>
      <c r="G374" s="5">
        <f ca="1">IFERROR(__xludf.DUMMYFUNCTION("""COMPUTED_VALUE"""),0)</f>
        <v>0</v>
      </c>
      <c r="H374"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I374" s="5">
        <f ca="1">IFERROR(__xludf.DUMMYFUNCTION("""COMPUTED_VALUE"""),2)</f>
        <v>2</v>
      </c>
      <c r="J374" s="5" t="str">
        <f ca="1">IFERROR(__xludf.DUMMYFUNCTION("""COMPUTED_VALUE"""),"Local")</f>
        <v>Local</v>
      </c>
      <c r="K374" s="5">
        <f ca="1">IFERROR(__xludf.DUMMYFUNCTION("""COMPUTED_VALUE"""),4)</f>
        <v>4</v>
      </c>
      <c r="L374" s="5" t="str">
        <f ca="1">IFERROR(__xludf.DUMMYFUNCTION("""COMPUTED_VALUE"""),"Summer")</f>
        <v>Summer</v>
      </c>
      <c r="M374" s="5" t="str">
        <f ca="1">IFERROR(__xludf.DUMMYFUNCTION("""COMPUTED_VALUE"""),"Waterbury")</f>
        <v>Waterbury</v>
      </c>
      <c r="N374" s="5" t="str">
        <f ca="1">IFERROR(__xludf.DUMMYFUNCTION("""COMPUTED_VALUE"""),"CT")</f>
        <v>CT</v>
      </c>
      <c r="O374" s="5" t="str">
        <f ca="1">IFERROR(__xludf.DUMMYFUNCTION("""COMPUTED_VALUE"""),"High")</f>
        <v>High</v>
      </c>
      <c r="P374" s="5" t="str">
        <f ca="1">IFERROR(__xludf.DUMMYFUNCTION("""COMPUTED_VALUE"""),"Field (General)")</f>
        <v>Field (General)</v>
      </c>
      <c r="Q374" s="5" t="str">
        <f ca="1">IFERROR(__xludf.DUMMYFUNCTION("""COMPUTED_VALUE"""),"Outside on School Property")</f>
        <v>Outside on School Property</v>
      </c>
      <c r="R374" s="5" t="str">
        <f ca="1">IFERROR(__xludf.DUMMYFUNCTION("""COMPUTED_VALUE"""),"No")</f>
        <v>No</v>
      </c>
      <c r="S374" s="5" t="str">
        <f ca="1">IFERROR(__xludf.DUMMYFUNCTION("""COMPUTED_VALUE"""),"Before School")</f>
        <v>Before School</v>
      </c>
      <c r="T374" s="10">
        <f ca="1">IFERROR(__xludf.DUMMYFUNCTION("""COMPUTED_VALUE"""),0.25)</f>
        <v>0.25</v>
      </c>
      <c r="U374" s="5">
        <f ca="1">IFERROR(__xludf.DUMMYFUNCTION("""COMPUTED_VALUE"""),1)</f>
        <v>1</v>
      </c>
      <c r="V374" s="5" t="str">
        <f ca="1">IFERROR(__xludf.DUMMYFUNCTION("""COMPUTED_VALUE"""),"Adult men fired multiple shots on school baseball field during illegal arms sale")</f>
        <v>Adult men fired multiple shots on school baseball field during illegal arms sale</v>
      </c>
      <c r="W374"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X374" s="5" t="str">
        <f ca="1">IFERROR(__xludf.DUMMYFUNCTION("""COMPUTED_VALUE"""),"Illegal Activity")</f>
        <v>Illegal Activity</v>
      </c>
      <c r="Y374" s="5" t="str">
        <f ca="1">IFERROR(__xludf.DUMMYFUNCTION("""COMPUTED_VALUE"""),"Neither")</f>
        <v>Neither</v>
      </c>
      <c r="Z374" s="5" t="str">
        <f ca="1">IFERROR(__xludf.DUMMYFUNCTION("""COMPUTED_VALUE"""),"Yes")</f>
        <v>Yes</v>
      </c>
      <c r="AA374" s="5" t="str">
        <f ca="1">IFERROR(__xludf.DUMMYFUNCTION("""COMPUTED_VALUE"""),"Two adult men")</f>
        <v>Two adult men</v>
      </c>
      <c r="AB374" s="5" t="str">
        <f ca="1">IFERROR(__xludf.DUMMYFUNCTION("""COMPUTED_VALUE"""),"No")</f>
        <v>No</v>
      </c>
      <c r="AC374" s="5" t="str">
        <f ca="1">IFERROR(__xludf.DUMMYFUNCTION("""COMPUTED_VALUE"""),"No")</f>
        <v>No</v>
      </c>
      <c r="AD374" s="5" t="str">
        <f ca="1">IFERROR(__xludf.DUMMYFUNCTION("""COMPUTED_VALUE"""),"No")</f>
        <v>No</v>
      </c>
      <c r="AE374" s="5" t="str">
        <f ca="1">IFERROR(__xludf.DUMMYFUNCTION("""COMPUTED_VALUE"""),"No")</f>
        <v>No</v>
      </c>
      <c r="AF374" s="5" t="str">
        <f ca="1">IFERROR(__xludf.DUMMYFUNCTION("""COMPUTED_VALUE"""),"No")</f>
        <v>No</v>
      </c>
      <c r="AG374" s="5" t="str">
        <f ca="1">IFERROR(__xludf.DUMMYFUNCTION("""COMPUTED_VALUE"""),"No")</f>
        <v>No</v>
      </c>
      <c r="AH374" s="5" t="str">
        <f ca="1">IFERROR(__xludf.DUMMYFUNCTION("""COMPUTED_VALUE"""),"No")</f>
        <v>No</v>
      </c>
    </row>
    <row r="375" spans="1:34" ht="12.75">
      <c r="A375" s="5" t="str">
        <f ca="1">IFERROR(__xludf.DUMMYFUNCTION("""COMPUTED_VALUE"""),"20210609VAWIR")</f>
        <v>20210609VAWIR</v>
      </c>
      <c r="B375" s="8">
        <f ca="1">IFERROR(__xludf.DUMMYFUNCTION("""COMPUTED_VALUE"""),44356)</f>
        <v>44356</v>
      </c>
      <c r="C375" s="5" t="str">
        <f ca="1">IFERROR(__xludf.DUMMYFUNCTION("""COMPUTED_VALUE"""),"William Fleming High School")</f>
        <v>William Fleming High School</v>
      </c>
      <c r="D375" s="5">
        <f ca="1">IFERROR(__xludf.DUMMYFUNCTION("""COMPUTED_VALUE"""),0)</f>
        <v>0</v>
      </c>
      <c r="E375" s="5">
        <f ca="1">IFERROR(__xludf.DUMMYFUNCTION("""COMPUTED_VALUE"""),1)</f>
        <v>1</v>
      </c>
      <c r="F375" s="5">
        <f ca="1">IFERROR(__xludf.DUMMYFUNCTION("""COMPUTED_VALUE"""),1)</f>
        <v>1</v>
      </c>
      <c r="G375" s="5">
        <f ca="1">IFERROR(__xludf.DUMMYFUNCTION("""COMPUTED_VALUE"""),0)</f>
        <v>0</v>
      </c>
      <c r="H375"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I375" s="5">
        <f ca="1">IFERROR(__xludf.DUMMYFUNCTION("""COMPUTED_VALUE"""),5)</f>
        <v>5</v>
      </c>
      <c r="J375" s="5" t="str">
        <f ca="1">IFERROR(__xludf.DUMMYFUNCTION("""COMPUTED_VALUE"""),"National")</f>
        <v>National</v>
      </c>
      <c r="K375" s="5">
        <f ca="1">IFERROR(__xludf.DUMMYFUNCTION("""COMPUTED_VALUE"""),4)</f>
        <v>4</v>
      </c>
      <c r="L375" s="5"/>
      <c r="M375" s="5" t="str">
        <f ca="1">IFERROR(__xludf.DUMMYFUNCTION("""COMPUTED_VALUE"""),"Roanoke")</f>
        <v>Roanoke</v>
      </c>
      <c r="N375" s="5" t="str">
        <f ca="1">IFERROR(__xludf.DUMMYFUNCTION("""COMPUTED_VALUE"""),"VA")</f>
        <v>VA</v>
      </c>
      <c r="O375" s="5" t="str">
        <f ca="1">IFERROR(__xludf.DUMMYFUNCTION("""COMPUTED_VALUE"""),"High")</f>
        <v>High</v>
      </c>
      <c r="P375" s="5" t="str">
        <f ca="1">IFERROR(__xludf.DUMMYFUNCTION("""COMPUTED_VALUE"""),"Parking Lot")</f>
        <v>Parking Lot</v>
      </c>
      <c r="Q375" s="5" t="str">
        <f ca="1">IFERROR(__xludf.DUMMYFUNCTION("""COMPUTED_VALUE"""),"Outside on School Property")</f>
        <v>Outside on School Property</v>
      </c>
      <c r="R375" s="5" t="str">
        <f ca="1">IFERROR(__xludf.DUMMYFUNCTION("""COMPUTED_VALUE"""),"No")</f>
        <v>No</v>
      </c>
      <c r="S375" s="5" t="str">
        <f ca="1">IFERROR(__xludf.DUMMYFUNCTION("""COMPUTED_VALUE"""),"Sport Event")</f>
        <v>Sport Event</v>
      </c>
      <c r="T375" s="10">
        <f ca="1">IFERROR(__xludf.DUMMYFUNCTION("""COMPUTED_VALUE"""),0.583333333333333)</f>
        <v>0.58333333333333304</v>
      </c>
      <c r="U375" s="5">
        <f ca="1">IFERROR(__xludf.DUMMYFUNCTION("""COMPUTED_VALUE"""),1)</f>
        <v>1</v>
      </c>
      <c r="V375" s="5" t="str">
        <f ca="1">IFERROR(__xludf.DUMMYFUNCTION("""COMPUTED_VALUE"""),"Student shot in parking lot during graduation rehearsal")</f>
        <v>Student shot in parking lot during graduation rehearsal</v>
      </c>
      <c r="W375"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X375" s="5" t="str">
        <f ca="1">IFERROR(__xludf.DUMMYFUNCTION("""COMPUTED_VALUE"""),"Escalation of Dispute")</f>
        <v>Escalation of Dispute</v>
      </c>
      <c r="Y375" s="5"/>
      <c r="Z375" s="5" t="str">
        <f ca="1">IFERROR(__xludf.DUMMYFUNCTION("""COMPUTED_VALUE"""),"No")</f>
        <v>No</v>
      </c>
      <c r="AA375" s="5"/>
      <c r="AB375" s="5" t="str">
        <f ca="1">IFERROR(__xludf.DUMMYFUNCTION("""COMPUTED_VALUE"""),"No")</f>
        <v>No</v>
      </c>
      <c r="AC375" s="5" t="str">
        <f ca="1">IFERROR(__xludf.DUMMYFUNCTION("""COMPUTED_VALUE"""),"No")</f>
        <v>No</v>
      </c>
      <c r="AD375" s="5" t="str">
        <f ca="1">IFERROR(__xludf.DUMMYFUNCTION("""COMPUTED_VALUE"""),"No")</f>
        <v>No</v>
      </c>
      <c r="AE375" s="5" t="str">
        <f ca="1">IFERROR(__xludf.DUMMYFUNCTION("""COMPUTED_VALUE"""),"No")</f>
        <v>No</v>
      </c>
      <c r="AF375" s="5" t="str">
        <f ca="1">IFERROR(__xludf.DUMMYFUNCTION("""COMPUTED_VALUE"""),"No")</f>
        <v>No</v>
      </c>
      <c r="AG375" s="5"/>
      <c r="AH375" s="5" t="str">
        <f ca="1">IFERROR(__xludf.DUMMYFUNCTION("""COMPUTED_VALUE"""),"No")</f>
        <v>No</v>
      </c>
    </row>
    <row r="376" spans="1:34" ht="12.75">
      <c r="A376" s="5" t="str">
        <f ca="1">IFERROR(__xludf.DUMMYFUNCTION("""COMPUTED_VALUE"""),"20210609TXNOH")</f>
        <v>20210609TXNOH</v>
      </c>
      <c r="B376" s="8">
        <f ca="1">IFERROR(__xludf.DUMMYFUNCTION("""COMPUTED_VALUE"""),44356)</f>
        <v>44356</v>
      </c>
      <c r="C376" s="5" t="str">
        <f ca="1">IFERROR(__xludf.DUMMYFUNCTION("""COMPUTED_VALUE"""),"North Forest High School")</f>
        <v>North Forest High School</v>
      </c>
      <c r="D376" s="5">
        <f ca="1">IFERROR(__xludf.DUMMYFUNCTION("""COMPUTED_VALUE"""),0)</f>
        <v>0</v>
      </c>
      <c r="E376" s="5">
        <f ca="1">IFERROR(__xludf.DUMMYFUNCTION("""COMPUTED_VALUE"""),1)</f>
        <v>1</v>
      </c>
      <c r="F376" s="5">
        <f ca="1">IFERROR(__xludf.DUMMYFUNCTION("""COMPUTED_VALUE"""),1)</f>
        <v>1</v>
      </c>
      <c r="G376" s="5">
        <f ca="1">IFERROR(__xludf.DUMMYFUNCTION("""COMPUTED_VALUE"""),0)</f>
        <v>0</v>
      </c>
      <c r="H376"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I376" s="5">
        <f ca="1">IFERROR(__xludf.DUMMYFUNCTION("""COMPUTED_VALUE"""),5)</f>
        <v>5</v>
      </c>
      <c r="J376" s="5" t="str">
        <f ca="1">IFERROR(__xludf.DUMMYFUNCTION("""COMPUTED_VALUE"""),"Local")</f>
        <v>Local</v>
      </c>
      <c r="K376" s="5">
        <f ca="1">IFERROR(__xludf.DUMMYFUNCTION("""COMPUTED_VALUE"""),4)</f>
        <v>4</v>
      </c>
      <c r="L376" s="5" t="str">
        <f ca="1">IFERROR(__xludf.DUMMYFUNCTION("""COMPUTED_VALUE"""),"Summer")</f>
        <v>Summer</v>
      </c>
      <c r="M376" s="5" t="str">
        <f ca="1">IFERROR(__xludf.DUMMYFUNCTION("""COMPUTED_VALUE"""),"Houston")</f>
        <v>Houston</v>
      </c>
      <c r="N376" s="5" t="str">
        <f ca="1">IFERROR(__xludf.DUMMYFUNCTION("""COMPUTED_VALUE"""),"TX")</f>
        <v>TX</v>
      </c>
      <c r="O376" s="5" t="str">
        <f ca="1">IFERROR(__xludf.DUMMYFUNCTION("""COMPUTED_VALUE"""),"High")</f>
        <v>High</v>
      </c>
      <c r="P376" s="5" t="str">
        <f ca="1">IFERROR(__xludf.DUMMYFUNCTION("""COMPUTED_VALUE"""),"Parking Lot")</f>
        <v>Parking Lot</v>
      </c>
      <c r="Q376" s="5" t="str">
        <f ca="1">IFERROR(__xludf.DUMMYFUNCTION("""COMPUTED_VALUE"""),"Outside on School Property")</f>
        <v>Outside on School Property</v>
      </c>
      <c r="R376" s="5" t="str">
        <f ca="1">IFERROR(__xludf.DUMMYFUNCTION("""COMPUTED_VALUE"""),"Yes")</f>
        <v>Yes</v>
      </c>
      <c r="S376" s="5" t="str">
        <f ca="1">IFERROR(__xludf.DUMMYFUNCTION("""COMPUTED_VALUE"""),"School Event")</f>
        <v>School Event</v>
      </c>
      <c r="T376" s="10">
        <f ca="1">IFERROR(__xludf.DUMMYFUNCTION("""COMPUTED_VALUE"""),0.430555555555555)</f>
        <v>0.43055555555555503</v>
      </c>
      <c r="U376" s="5">
        <f ca="1">IFERROR(__xludf.DUMMYFUNCTION("""COMPUTED_VALUE"""),1)</f>
        <v>1</v>
      </c>
      <c r="V376" s="5" t="str">
        <f ca="1">IFERROR(__xludf.DUMMYFUNCTION("""COMPUTED_VALUE"""),"Student bystander shot during fight following graduation rehearsal")</f>
        <v>Student bystander shot during fight following graduation rehearsal</v>
      </c>
      <c r="W376"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X376" s="5" t="str">
        <f ca="1">IFERROR(__xludf.DUMMYFUNCTION("""COMPUTED_VALUE"""),"Escalation of Dispute")</f>
        <v>Escalation of Dispute</v>
      </c>
      <c r="Y376" s="5" t="str">
        <f ca="1">IFERROR(__xludf.DUMMYFUNCTION("""COMPUTED_VALUE"""),"Both")</f>
        <v>Both</v>
      </c>
      <c r="Z376" s="5" t="str">
        <f ca="1">IFERROR(__xludf.DUMMYFUNCTION("""COMPUTED_VALUE"""),"No")</f>
        <v>No</v>
      </c>
      <c r="AA376" s="5"/>
      <c r="AB376" s="5" t="str">
        <f ca="1">IFERROR(__xludf.DUMMYFUNCTION("""COMPUTED_VALUE"""),"No")</f>
        <v>No</v>
      </c>
      <c r="AC376" s="5" t="str">
        <f ca="1">IFERROR(__xludf.DUMMYFUNCTION("""COMPUTED_VALUE"""),"No")</f>
        <v>No</v>
      </c>
      <c r="AD376" s="5" t="str">
        <f ca="1">IFERROR(__xludf.DUMMYFUNCTION("""COMPUTED_VALUE"""),"No")</f>
        <v>No</v>
      </c>
      <c r="AE376" s="5" t="str">
        <f ca="1">IFERROR(__xludf.DUMMYFUNCTION("""COMPUTED_VALUE"""),"No")</f>
        <v>No</v>
      </c>
      <c r="AF376" s="5" t="str">
        <f ca="1">IFERROR(__xludf.DUMMYFUNCTION("""COMPUTED_VALUE"""),"No")</f>
        <v>No</v>
      </c>
      <c r="AG376" s="5" t="str">
        <f ca="1">IFERROR(__xludf.DUMMYFUNCTION("""COMPUTED_VALUE"""),"No")</f>
        <v>No</v>
      </c>
      <c r="AH376" s="5" t="str">
        <f ca="1">IFERROR(__xludf.DUMMYFUNCTION("""COMPUTED_VALUE"""),"No")</f>
        <v>No</v>
      </c>
    </row>
    <row r="377" spans="1:34" ht="12.75">
      <c r="A377" s="5" t="str">
        <f ca="1">IFERROR(__xludf.DUMMYFUNCTION("""COMPUTED_VALUE"""),"20210608PAMUS")</f>
        <v>20210608PAMUS</v>
      </c>
      <c r="B377" s="8">
        <f ca="1">IFERROR(__xludf.DUMMYFUNCTION("""COMPUTED_VALUE"""),44355)</f>
        <v>44355</v>
      </c>
      <c r="C377" s="5" t="str">
        <f ca="1">IFERROR(__xludf.DUMMYFUNCTION("""COMPUTED_VALUE"""),"Musser Elementary School")</f>
        <v>Musser Elementary School</v>
      </c>
      <c r="D377" s="5">
        <f ca="1">IFERROR(__xludf.DUMMYFUNCTION("""COMPUTED_VALUE"""),0)</f>
        <v>0</v>
      </c>
      <c r="E377" s="5">
        <f ca="1">IFERROR(__xludf.DUMMYFUNCTION("""COMPUTED_VALUE"""),0)</f>
        <v>0</v>
      </c>
      <c r="F377" s="5">
        <f ca="1">IFERROR(__xludf.DUMMYFUNCTION("""COMPUTED_VALUE"""),0)</f>
        <v>0</v>
      </c>
      <c r="G377" s="5">
        <f ca="1">IFERROR(__xludf.DUMMYFUNCTION("""COMPUTED_VALUE"""),0)</f>
        <v>0</v>
      </c>
      <c r="H377"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I377" s="5">
        <f ca="1">IFERROR(__xludf.DUMMYFUNCTION("""COMPUTED_VALUE"""),5)</f>
        <v>5</v>
      </c>
      <c r="J377" s="5" t="str">
        <f ca="1">IFERROR(__xludf.DUMMYFUNCTION("""COMPUTED_VALUE"""),"Local")</f>
        <v>Local</v>
      </c>
      <c r="K377" s="5">
        <f ca="1">IFERROR(__xludf.DUMMYFUNCTION("""COMPUTED_VALUE"""),4)</f>
        <v>4</v>
      </c>
      <c r="L377" s="5" t="str">
        <f ca="1">IFERROR(__xludf.DUMMYFUNCTION("""COMPUTED_VALUE"""),"Summer")</f>
        <v>Summer</v>
      </c>
      <c r="M377" s="5" t="str">
        <f ca="1">IFERROR(__xludf.DUMMYFUNCTION("""COMPUTED_VALUE"""),"Sharon")</f>
        <v>Sharon</v>
      </c>
      <c r="N377" s="5" t="str">
        <f ca="1">IFERROR(__xludf.DUMMYFUNCTION("""COMPUTED_VALUE"""),"PA")</f>
        <v>PA</v>
      </c>
      <c r="O377" s="5" t="str">
        <f ca="1">IFERROR(__xludf.DUMMYFUNCTION("""COMPUTED_VALUE"""),"Elementary")</f>
        <v>Elementary</v>
      </c>
      <c r="P377" s="5" t="str">
        <f ca="1">IFERROR(__xludf.DUMMYFUNCTION("""COMPUTED_VALUE"""),"Parking Lot")</f>
        <v>Parking Lot</v>
      </c>
      <c r="Q377" s="5" t="str">
        <f ca="1">IFERROR(__xludf.DUMMYFUNCTION("""COMPUTED_VALUE"""),"Outside on School Property")</f>
        <v>Outside on School Property</v>
      </c>
      <c r="R377" s="5" t="str">
        <f ca="1">IFERROR(__xludf.DUMMYFUNCTION("""COMPUTED_VALUE"""),"No")</f>
        <v>No</v>
      </c>
      <c r="S377" s="5" t="str">
        <f ca="1">IFERROR(__xludf.DUMMYFUNCTION("""COMPUTED_VALUE"""),"Evening")</f>
        <v>Evening</v>
      </c>
      <c r="T377" s="10">
        <f ca="1">IFERROR(__xludf.DUMMYFUNCTION("""COMPUTED_VALUE"""),0.8625)</f>
        <v>0.86250000000000004</v>
      </c>
      <c r="U377" s="5">
        <f ca="1">IFERROR(__xludf.DUMMYFUNCTION("""COMPUTED_VALUE"""),1)</f>
        <v>1</v>
      </c>
      <c r="V377" s="5" t="str">
        <f ca="1">IFERROR(__xludf.DUMMYFUNCTION("""COMPUTED_VALUE"""),"Teen fired multiple shots during dispute with other teens")</f>
        <v>Teen fired multiple shots during dispute with other teens</v>
      </c>
      <c r="W377"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X377" s="5" t="str">
        <f ca="1">IFERROR(__xludf.DUMMYFUNCTION("""COMPUTED_VALUE"""),"Escalation of Dispute")</f>
        <v>Escalation of Dispute</v>
      </c>
      <c r="Y377" s="5" t="str">
        <f ca="1">IFERROR(__xludf.DUMMYFUNCTION("""COMPUTED_VALUE"""),"Victims Targeted")</f>
        <v>Victims Targeted</v>
      </c>
      <c r="Z377" s="5" t="str">
        <f ca="1">IFERROR(__xludf.DUMMYFUNCTION("""COMPUTED_VALUE"""),"Yes")</f>
        <v>Yes</v>
      </c>
      <c r="AA377" s="5" t="str">
        <f ca="1">IFERROR(__xludf.DUMMYFUNCTION("""COMPUTED_VALUE"""),"Driver")</f>
        <v>Driver</v>
      </c>
      <c r="AB377" s="5" t="str">
        <f ca="1">IFERROR(__xludf.DUMMYFUNCTION("""COMPUTED_VALUE"""),"No")</f>
        <v>No</v>
      </c>
      <c r="AC377" s="5" t="str">
        <f ca="1">IFERROR(__xludf.DUMMYFUNCTION("""COMPUTED_VALUE"""),"No")</f>
        <v>No</v>
      </c>
      <c r="AD377" s="5" t="str">
        <f ca="1">IFERROR(__xludf.DUMMYFUNCTION("""COMPUTED_VALUE"""),"No")</f>
        <v>No</v>
      </c>
      <c r="AE377" s="5" t="str">
        <f ca="1">IFERROR(__xludf.DUMMYFUNCTION("""COMPUTED_VALUE"""),"No")</f>
        <v>No</v>
      </c>
      <c r="AF377" s="5" t="str">
        <f ca="1">IFERROR(__xludf.DUMMYFUNCTION("""COMPUTED_VALUE"""),"No")</f>
        <v>No</v>
      </c>
      <c r="AG377" s="5"/>
      <c r="AH377" s="5" t="str">
        <f ca="1">IFERROR(__xludf.DUMMYFUNCTION("""COMPUTED_VALUE"""),"No")</f>
        <v>No</v>
      </c>
    </row>
    <row r="378" spans="1:34" ht="12.75">
      <c r="A378" s="5" t="str">
        <f ca="1">IFERROR(__xludf.DUMMYFUNCTION("""COMPUTED_VALUE"""),"20210608KSHAK")</f>
        <v>20210608KSHAK</v>
      </c>
      <c r="B378" s="8">
        <f ca="1">IFERROR(__xludf.DUMMYFUNCTION("""COMPUTED_VALUE"""),44355)</f>
        <v>44355</v>
      </c>
      <c r="C378" s="5" t="str">
        <f ca="1">IFERROR(__xludf.DUMMYFUNCTION("""COMPUTED_VALUE"""),"Hazel Grove Elementary")</f>
        <v>Hazel Grove Elementary</v>
      </c>
      <c r="D378" s="5">
        <f ca="1">IFERROR(__xludf.DUMMYFUNCTION("""COMPUTED_VALUE"""),1)</f>
        <v>1</v>
      </c>
      <c r="E378" s="5">
        <f ca="1">IFERROR(__xludf.DUMMYFUNCTION("""COMPUTED_VALUE"""),0)</f>
        <v>0</v>
      </c>
      <c r="F378" s="5">
        <f ca="1">IFERROR(__xludf.DUMMYFUNCTION("""COMPUTED_VALUE"""),1)</f>
        <v>1</v>
      </c>
      <c r="G378" s="5">
        <f ca="1">IFERROR(__xludf.DUMMYFUNCTION("""COMPUTED_VALUE"""),0)</f>
        <v>0</v>
      </c>
      <c r="H378"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I378" s="5">
        <f ca="1">IFERROR(__xludf.DUMMYFUNCTION("""COMPUTED_VALUE"""),3)</f>
        <v>3</v>
      </c>
      <c r="J378" s="5" t="str">
        <f ca="1">IFERROR(__xludf.DUMMYFUNCTION("""COMPUTED_VALUE"""),"Local")</f>
        <v>Local</v>
      </c>
      <c r="K378" s="5">
        <f ca="1">IFERROR(__xludf.DUMMYFUNCTION("""COMPUTED_VALUE"""),4)</f>
        <v>4</v>
      </c>
      <c r="L378" s="5" t="str">
        <f ca="1">IFERROR(__xludf.DUMMYFUNCTION("""COMPUTED_VALUE"""),"Summer")</f>
        <v>Summer</v>
      </c>
      <c r="M378" s="5" t="str">
        <f ca="1">IFERROR(__xludf.DUMMYFUNCTION("""COMPUTED_VALUE"""),"Kansas City")</f>
        <v>Kansas City</v>
      </c>
      <c r="N378" s="5" t="str">
        <f ca="1">IFERROR(__xludf.DUMMYFUNCTION("""COMPUTED_VALUE"""),"KS")</f>
        <v>KS</v>
      </c>
      <c r="O378" s="5" t="str">
        <f ca="1">IFERROR(__xludf.DUMMYFUNCTION("""COMPUTED_VALUE"""),"Elementary")</f>
        <v>Elementary</v>
      </c>
      <c r="P378" s="5" t="str">
        <f ca="1">IFERROR(__xludf.DUMMYFUNCTION("""COMPUTED_VALUE"""),"Front of School")</f>
        <v>Front of School</v>
      </c>
      <c r="Q378" s="5" t="str">
        <f ca="1">IFERROR(__xludf.DUMMYFUNCTION("""COMPUTED_VALUE"""),"Outside on School Property")</f>
        <v>Outside on School Property</v>
      </c>
      <c r="R378" s="5" t="str">
        <f ca="1">IFERROR(__xludf.DUMMYFUNCTION("""COMPUTED_VALUE"""),"Yes")</f>
        <v>Yes</v>
      </c>
      <c r="S378" s="5" t="str">
        <f ca="1">IFERROR(__xludf.DUMMYFUNCTION("""COMPUTED_VALUE"""),"Afternoon Classes")</f>
        <v>Afternoon Classes</v>
      </c>
      <c r="T378" s="10">
        <f ca="1">IFERROR(__xludf.DUMMYFUNCTION("""COMPUTED_VALUE"""),0.5)</f>
        <v>0.5</v>
      </c>
      <c r="U378" s="5">
        <f ca="1">IFERROR(__xludf.DUMMYFUNCTION("""COMPUTED_VALUE"""),1)</f>
        <v>1</v>
      </c>
      <c r="V378" s="5" t="str">
        <f ca="1">IFERROR(__xludf.DUMMYFUNCTION("""COMPUTED_VALUE"""),"Teen walking in front of school fatally shot by drive-by")</f>
        <v>Teen walking in front of school fatally shot by drive-by</v>
      </c>
      <c r="W378"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X378" s="5" t="str">
        <f ca="1">IFERROR(__xludf.DUMMYFUNCTION("""COMPUTED_VALUE"""),"Drive-by Shooting")</f>
        <v>Drive-by Shooting</v>
      </c>
      <c r="Y378" s="5" t="str">
        <f ca="1">IFERROR(__xludf.DUMMYFUNCTION("""COMPUTED_VALUE"""),"Victims Targeted")</f>
        <v>Victims Targeted</v>
      </c>
      <c r="Z378" s="5" t="str">
        <f ca="1">IFERROR(__xludf.DUMMYFUNCTION("""COMPUTED_VALUE"""),"Yes")</f>
        <v>Yes</v>
      </c>
      <c r="AA378" s="5" t="str">
        <f ca="1">IFERROR(__xludf.DUMMYFUNCTION("""COMPUTED_VALUE"""),"Vehicle driver")</f>
        <v>Vehicle driver</v>
      </c>
      <c r="AB378" s="5" t="str">
        <f ca="1">IFERROR(__xludf.DUMMYFUNCTION("""COMPUTED_VALUE"""),"No")</f>
        <v>No</v>
      </c>
      <c r="AC378" s="5" t="str">
        <f ca="1">IFERROR(__xludf.DUMMYFUNCTION("""COMPUTED_VALUE"""),"No")</f>
        <v>No</v>
      </c>
      <c r="AD378" s="5" t="str">
        <f ca="1">IFERROR(__xludf.DUMMYFUNCTION("""COMPUTED_VALUE"""),"No")</f>
        <v>No</v>
      </c>
      <c r="AE378" s="5" t="str">
        <f ca="1">IFERROR(__xludf.DUMMYFUNCTION("""COMPUTED_VALUE"""),"No")</f>
        <v>No</v>
      </c>
      <c r="AF378" s="5" t="str">
        <f ca="1">IFERROR(__xludf.DUMMYFUNCTION("""COMPUTED_VALUE"""),"No")</f>
        <v>No</v>
      </c>
      <c r="AG378" s="5"/>
      <c r="AH378" s="5" t="str">
        <f ca="1">IFERROR(__xludf.DUMMYFUNCTION("""COMPUTED_VALUE"""),"No")</f>
        <v>No</v>
      </c>
    </row>
    <row r="379" spans="1:34" ht="12.75">
      <c r="A379" s="5" t="str">
        <f ca="1">IFERROR(__xludf.DUMMYFUNCTION("""COMPUTED_VALUE"""),"20210607TXEAF")</f>
        <v>20210607TXEAF</v>
      </c>
      <c r="B379" s="8">
        <f ca="1">IFERROR(__xludf.DUMMYFUNCTION("""COMPUTED_VALUE"""),44354)</f>
        <v>44354</v>
      </c>
      <c r="C379" s="5" t="str">
        <f ca="1">IFERROR(__xludf.DUMMYFUNCTION("""COMPUTED_VALUE"""),"Eastern Hills High School")</f>
        <v>Eastern Hills High School</v>
      </c>
      <c r="D379" s="5">
        <f ca="1">IFERROR(__xludf.DUMMYFUNCTION("""COMPUTED_VALUE"""),1)</f>
        <v>1</v>
      </c>
      <c r="E379" s="5">
        <f ca="1">IFERROR(__xludf.DUMMYFUNCTION("""COMPUTED_VALUE"""),0)</f>
        <v>0</v>
      </c>
      <c r="F379" s="5">
        <f ca="1">IFERROR(__xludf.DUMMYFUNCTION("""COMPUTED_VALUE"""),1)</f>
        <v>1</v>
      </c>
      <c r="G379" s="5">
        <f ca="1">IFERROR(__xludf.DUMMYFUNCTION("""COMPUTED_VALUE"""),0)</f>
        <v>0</v>
      </c>
      <c r="H379" s="9" t="str">
        <f ca="1">IFERROR(__xludf.DUMMYFUNCTION("""COMPUTED_VALUE"""),"https://www.nbcnews.com/news/us-news/16-year-old-critical-condition-after-getting-shot-outside-texas-n1269945")</f>
        <v>https://www.nbcnews.com/news/us-news/16-year-old-critical-condition-after-getting-shot-outside-texas-n1269945</v>
      </c>
      <c r="I379" s="5">
        <f ca="1">IFERROR(__xludf.DUMMYFUNCTION("""COMPUTED_VALUE"""),10)</f>
        <v>10</v>
      </c>
      <c r="J379" s="5" t="str">
        <f ca="1">IFERROR(__xludf.DUMMYFUNCTION("""COMPUTED_VALUE"""),"National")</f>
        <v>National</v>
      </c>
      <c r="K379" s="5">
        <f ca="1">IFERROR(__xludf.DUMMYFUNCTION("""COMPUTED_VALUE"""),4)</f>
        <v>4</v>
      </c>
      <c r="L379" s="5"/>
      <c r="M379" s="5" t="str">
        <f ca="1">IFERROR(__xludf.DUMMYFUNCTION("""COMPUTED_VALUE"""),"Fort Worth")</f>
        <v>Fort Worth</v>
      </c>
      <c r="N379" s="5" t="str">
        <f ca="1">IFERROR(__xludf.DUMMYFUNCTION("""COMPUTED_VALUE"""),"TX")</f>
        <v>TX</v>
      </c>
      <c r="O379" s="5" t="str">
        <f ca="1">IFERROR(__xludf.DUMMYFUNCTION("""COMPUTED_VALUE"""),"High")</f>
        <v>High</v>
      </c>
      <c r="P379" s="5" t="str">
        <f ca="1">IFERROR(__xludf.DUMMYFUNCTION("""COMPUTED_VALUE"""),"Parking Lot")</f>
        <v>Parking Lot</v>
      </c>
      <c r="Q379" s="5" t="str">
        <f ca="1">IFERROR(__xludf.DUMMYFUNCTION("""COMPUTED_VALUE"""),"Outside on School Property")</f>
        <v>Outside on School Property</v>
      </c>
      <c r="R379" s="5" t="str">
        <f ca="1">IFERROR(__xludf.DUMMYFUNCTION("""COMPUTED_VALUE"""),"No")</f>
        <v>No</v>
      </c>
      <c r="S379" s="5" t="str">
        <f ca="1">IFERROR(__xludf.DUMMYFUNCTION("""COMPUTED_VALUE"""),"Sport Event")</f>
        <v>Sport Event</v>
      </c>
      <c r="T379" s="10">
        <f ca="1">IFERROR(__xludf.DUMMYFUNCTION("""COMPUTED_VALUE"""),0.722222222222222)</f>
        <v>0.72222222222222199</v>
      </c>
      <c r="U379" s="5">
        <f ca="1">IFERROR(__xludf.DUMMYFUNCTION("""COMPUTED_VALUE"""),1)</f>
        <v>1</v>
      </c>
      <c r="V379" s="5" t="str">
        <f ca="1">IFERROR(__xludf.DUMMYFUNCTION("""COMPUTED_VALUE"""),"Teen shot in the neck during fight outside school gym during sporting event")</f>
        <v>Teen shot in the neck during fight outside school gym during sporting event</v>
      </c>
      <c r="W379"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X379" s="5" t="str">
        <f ca="1">IFERROR(__xludf.DUMMYFUNCTION("""COMPUTED_VALUE"""),"Escalation of Dispute")</f>
        <v>Escalation of Dispute</v>
      </c>
      <c r="Y379" s="5" t="str">
        <f ca="1">IFERROR(__xludf.DUMMYFUNCTION("""COMPUTED_VALUE"""),"Victims Targeted")</f>
        <v>Victims Targeted</v>
      </c>
      <c r="Z379" s="5" t="str">
        <f ca="1">IFERROR(__xludf.DUMMYFUNCTION("""COMPUTED_VALUE"""),"No")</f>
        <v>No</v>
      </c>
      <c r="AA379" s="5"/>
      <c r="AB379" s="5" t="str">
        <f ca="1">IFERROR(__xludf.DUMMYFUNCTION("""COMPUTED_VALUE"""),"No")</f>
        <v>No</v>
      </c>
      <c r="AC379" s="5" t="str">
        <f ca="1">IFERROR(__xludf.DUMMYFUNCTION("""COMPUTED_VALUE"""),"No")</f>
        <v>No</v>
      </c>
      <c r="AD379" s="5" t="str">
        <f ca="1">IFERROR(__xludf.DUMMYFUNCTION("""COMPUTED_VALUE"""),"No")</f>
        <v>No</v>
      </c>
      <c r="AE379" s="5" t="str">
        <f ca="1">IFERROR(__xludf.DUMMYFUNCTION("""COMPUTED_VALUE"""),"No")</f>
        <v>No</v>
      </c>
      <c r="AF379" s="5" t="str">
        <f ca="1">IFERROR(__xludf.DUMMYFUNCTION("""COMPUTED_VALUE"""),"No")</f>
        <v>No</v>
      </c>
      <c r="AG379" s="5"/>
      <c r="AH379" s="5" t="str">
        <f ca="1">IFERROR(__xludf.DUMMYFUNCTION("""COMPUTED_VALUE"""),"No")</f>
        <v>No</v>
      </c>
    </row>
    <row r="380" spans="1:34" ht="12.75">
      <c r="A380" s="5" t="str">
        <f ca="1">IFERROR(__xludf.DUMMYFUNCTION("""COMPUTED_VALUE"""),"20210606VADRA")</f>
        <v>20210606VADRA</v>
      </c>
      <c r="B380" s="8">
        <f ca="1">IFERROR(__xludf.DUMMYFUNCTION("""COMPUTED_VALUE"""),44353)</f>
        <v>44353</v>
      </c>
      <c r="C380" s="5" t="str">
        <f ca="1">IFERROR(__xludf.DUMMYFUNCTION("""COMPUTED_VALUE"""),"Dr. Charles R. Drew Elementary School")</f>
        <v>Dr. Charles R. Drew Elementary School</v>
      </c>
      <c r="D380" s="5">
        <f ca="1">IFERROR(__xludf.DUMMYFUNCTION("""COMPUTED_VALUE"""),0)</f>
        <v>0</v>
      </c>
      <c r="E380" s="5">
        <f ca="1">IFERROR(__xludf.DUMMYFUNCTION("""COMPUTED_VALUE"""),0)</f>
        <v>0</v>
      </c>
      <c r="F380" s="5">
        <f ca="1">IFERROR(__xludf.DUMMYFUNCTION("""COMPUTED_VALUE"""),0)</f>
        <v>0</v>
      </c>
      <c r="G380" s="5">
        <f ca="1">IFERROR(__xludf.DUMMYFUNCTION("""COMPUTED_VALUE"""),0)</f>
        <v>0</v>
      </c>
      <c r="H380"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I380" s="5">
        <f ca="1">IFERROR(__xludf.DUMMYFUNCTION("""COMPUTED_VALUE"""),2)</f>
        <v>2</v>
      </c>
      <c r="J380" s="5" t="str">
        <f ca="1">IFERROR(__xludf.DUMMYFUNCTION("""COMPUTED_VALUE"""),"Local")</f>
        <v>Local</v>
      </c>
      <c r="K380" s="5">
        <f ca="1">IFERROR(__xludf.DUMMYFUNCTION("""COMPUTED_VALUE"""),4)</f>
        <v>4</v>
      </c>
      <c r="L380" s="5"/>
      <c r="M380" s="5" t="str">
        <f ca="1">IFERROR(__xludf.DUMMYFUNCTION("""COMPUTED_VALUE"""),"Arlington")</f>
        <v>Arlington</v>
      </c>
      <c r="N380" s="5" t="str">
        <f ca="1">IFERROR(__xludf.DUMMYFUNCTION("""COMPUTED_VALUE"""),"VA")</f>
        <v>VA</v>
      </c>
      <c r="O380" s="5" t="str">
        <f ca="1">IFERROR(__xludf.DUMMYFUNCTION("""COMPUTED_VALUE"""),"Elementary")</f>
        <v>Elementary</v>
      </c>
      <c r="P380" s="5" t="str">
        <f ca="1">IFERROR(__xludf.DUMMYFUNCTION("""COMPUTED_VALUE"""),"Parking Lot")</f>
        <v>Parking Lot</v>
      </c>
      <c r="Q380" s="5" t="str">
        <f ca="1">IFERROR(__xludf.DUMMYFUNCTION("""COMPUTED_VALUE"""),"Outside on School Property")</f>
        <v>Outside on School Property</v>
      </c>
      <c r="R380" s="5" t="str">
        <f ca="1">IFERROR(__xludf.DUMMYFUNCTION("""COMPUTED_VALUE"""),"No")</f>
        <v>No</v>
      </c>
      <c r="S380" s="5" t="str">
        <f ca="1">IFERROR(__xludf.DUMMYFUNCTION("""COMPUTED_VALUE"""),"Night")</f>
        <v>Night</v>
      </c>
      <c r="T380" s="10">
        <f ca="1">IFERROR(__xludf.DUMMYFUNCTION("""COMPUTED_VALUE"""),0.0951388888888888)</f>
        <v>9.5138888888888801E-2</v>
      </c>
      <c r="U380" s="5">
        <f ca="1">IFERROR(__xludf.DUMMYFUNCTION("""COMPUTED_VALUE"""),1)</f>
        <v>1</v>
      </c>
      <c r="V380" s="5" t="str">
        <f ca="1">IFERROR(__xludf.DUMMYFUNCTION("""COMPUTED_VALUE"""),"Shots fired in parking lot during fight involving large crowd")</f>
        <v>Shots fired in parking lot during fight involving large crowd</v>
      </c>
      <c r="W380"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X380" s="5" t="str">
        <f ca="1">IFERROR(__xludf.DUMMYFUNCTION("""COMPUTED_VALUE"""),"Escalation of Dispute")</f>
        <v>Escalation of Dispute</v>
      </c>
      <c r="Y380" s="5" t="str">
        <f ca="1">IFERROR(__xludf.DUMMYFUNCTION("""COMPUTED_VALUE"""),"Random Shooting")</f>
        <v>Random Shooting</v>
      </c>
      <c r="Z380" s="5" t="str">
        <f ca="1">IFERROR(__xludf.DUMMYFUNCTION("""COMPUTED_VALUE"""),"Yes")</f>
        <v>Yes</v>
      </c>
      <c r="AA380" s="5" t="str">
        <f ca="1">IFERROR(__xludf.DUMMYFUNCTION("""COMPUTED_VALUE"""),"Large crowd, 2 shooters")</f>
        <v>Large crowd, 2 shooters</v>
      </c>
      <c r="AB380" s="5" t="str">
        <f ca="1">IFERROR(__xludf.DUMMYFUNCTION("""COMPUTED_VALUE"""),"No")</f>
        <v>No</v>
      </c>
      <c r="AC380" s="5" t="str">
        <f ca="1">IFERROR(__xludf.DUMMYFUNCTION("""COMPUTED_VALUE"""),"No")</f>
        <v>No</v>
      </c>
      <c r="AD380" s="5" t="str">
        <f ca="1">IFERROR(__xludf.DUMMYFUNCTION("""COMPUTED_VALUE"""),"No")</f>
        <v>No</v>
      </c>
      <c r="AE380" s="5" t="str">
        <f ca="1">IFERROR(__xludf.DUMMYFUNCTION("""COMPUTED_VALUE"""),"No")</f>
        <v>No</v>
      </c>
      <c r="AF380" s="5" t="str">
        <f ca="1">IFERROR(__xludf.DUMMYFUNCTION("""COMPUTED_VALUE"""),"No")</f>
        <v>No</v>
      </c>
      <c r="AG380" s="5"/>
      <c r="AH380" s="5" t="str">
        <f ca="1">IFERROR(__xludf.DUMMYFUNCTION("""COMPUTED_VALUE"""),"No")</f>
        <v>No</v>
      </c>
    </row>
    <row r="381" spans="1:34" ht="12.75">
      <c r="A381" s="5" t="str">
        <f ca="1">IFERROR(__xludf.DUMMYFUNCTION("""COMPUTED_VALUE"""),"20210601ILLIC")</f>
        <v>20210601ILLIC</v>
      </c>
      <c r="B381" s="8">
        <f ca="1">IFERROR(__xludf.DUMMYFUNCTION("""COMPUTED_VALUE"""),44348)</f>
        <v>44348</v>
      </c>
      <c r="C381" s="5" t="str">
        <f ca="1">IFERROR(__xludf.DUMMYFUNCTION("""COMPUTED_VALUE"""),"Lincoln Park High School")</f>
        <v>Lincoln Park High School</v>
      </c>
      <c r="D381" s="5">
        <f ca="1">IFERROR(__xludf.DUMMYFUNCTION("""COMPUTED_VALUE"""),0)</f>
        <v>0</v>
      </c>
      <c r="E381" s="5">
        <f ca="1">IFERROR(__xludf.DUMMYFUNCTION("""COMPUTED_VALUE"""),1)</f>
        <v>1</v>
      </c>
      <c r="F381" s="5">
        <f ca="1">IFERROR(__xludf.DUMMYFUNCTION("""COMPUTED_VALUE"""),1)</f>
        <v>1</v>
      </c>
      <c r="G381" s="5">
        <f ca="1">IFERROR(__xludf.DUMMYFUNCTION("""COMPUTED_VALUE"""),0)</f>
        <v>0</v>
      </c>
      <c r="H381"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I381" s="5">
        <f ca="1">IFERROR(__xludf.DUMMYFUNCTION("""COMPUTED_VALUE"""),3)</f>
        <v>3</v>
      </c>
      <c r="J381" s="5" t="str">
        <f ca="1">IFERROR(__xludf.DUMMYFUNCTION("""COMPUTED_VALUE"""),"Local")</f>
        <v>Local</v>
      </c>
      <c r="K381" s="5">
        <f ca="1">IFERROR(__xludf.DUMMYFUNCTION("""COMPUTED_VALUE"""),3)</f>
        <v>3</v>
      </c>
      <c r="L381" s="5" t="str">
        <f ca="1">IFERROR(__xludf.DUMMYFUNCTION("""COMPUTED_VALUE"""),"Summer")</f>
        <v>Summer</v>
      </c>
      <c r="M381" s="5" t="str">
        <f ca="1">IFERROR(__xludf.DUMMYFUNCTION("""COMPUTED_VALUE"""),"Chicago")</f>
        <v>Chicago</v>
      </c>
      <c r="N381" s="5" t="str">
        <f ca="1">IFERROR(__xludf.DUMMYFUNCTION("""COMPUTED_VALUE"""),"IL")</f>
        <v>IL</v>
      </c>
      <c r="O381" s="5" t="str">
        <f ca="1">IFERROR(__xludf.DUMMYFUNCTION("""COMPUTED_VALUE"""),"High")</f>
        <v>High</v>
      </c>
      <c r="P381" s="5" t="str">
        <f ca="1">IFERROR(__xludf.DUMMYFUNCTION("""COMPUTED_VALUE"""),"Parking Lot")</f>
        <v>Parking Lot</v>
      </c>
      <c r="Q381" s="5" t="str">
        <f ca="1">IFERROR(__xludf.DUMMYFUNCTION("""COMPUTED_VALUE"""),"Outside on School Property")</f>
        <v>Outside on School Property</v>
      </c>
      <c r="R381" s="5" t="str">
        <f ca="1">IFERROR(__xludf.DUMMYFUNCTION("""COMPUTED_VALUE"""),"No")</f>
        <v>No</v>
      </c>
      <c r="S381" s="5" t="str">
        <f ca="1">IFERROR(__xludf.DUMMYFUNCTION("""COMPUTED_VALUE"""),"Evening")</f>
        <v>Evening</v>
      </c>
      <c r="T381" s="10">
        <f ca="1">IFERROR(__xludf.DUMMYFUNCTION("""COMPUTED_VALUE"""),0.8125)</f>
        <v>0.8125</v>
      </c>
      <c r="U381" s="5">
        <f ca="1">IFERROR(__xludf.DUMMYFUNCTION("""COMPUTED_VALUE"""),1)</f>
        <v>1</v>
      </c>
      <c r="V381" s="5" t="str">
        <f ca="1">IFERROR(__xludf.DUMMYFUNCTION("""COMPUTED_VALUE"""),"Teen shot in school parking lot, shooter fled")</f>
        <v>Teen shot in school parking lot, shooter fled</v>
      </c>
      <c r="W381"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X381" s="5"/>
      <c r="Y381" s="5"/>
      <c r="Z381" s="5" t="str">
        <f ca="1">IFERROR(__xludf.DUMMYFUNCTION("""COMPUTED_VALUE"""),"No")</f>
        <v>No</v>
      </c>
      <c r="AA381" s="5"/>
      <c r="AB381" s="5" t="str">
        <f ca="1">IFERROR(__xludf.DUMMYFUNCTION("""COMPUTED_VALUE"""),"No")</f>
        <v>No</v>
      </c>
      <c r="AC381" s="5" t="str">
        <f ca="1">IFERROR(__xludf.DUMMYFUNCTION("""COMPUTED_VALUE"""),"No")</f>
        <v>No</v>
      </c>
      <c r="AD381" s="5" t="str">
        <f ca="1">IFERROR(__xludf.DUMMYFUNCTION("""COMPUTED_VALUE"""),"No")</f>
        <v>No</v>
      </c>
      <c r="AE381" s="5"/>
      <c r="AF381" s="5" t="str">
        <f ca="1">IFERROR(__xludf.DUMMYFUNCTION("""COMPUTED_VALUE"""),"No")</f>
        <v>No</v>
      </c>
      <c r="AG381" s="5"/>
      <c r="AH381" s="5" t="str">
        <f ca="1">IFERROR(__xludf.DUMMYFUNCTION("""COMPUTED_VALUE"""),"No")</f>
        <v>No</v>
      </c>
    </row>
    <row r="382" spans="1:34" ht="12.75">
      <c r="A382" s="5" t="str">
        <f ca="1">IFERROR(__xludf.DUMMYFUNCTION("""COMPUTED_VALUE"""),"20210525NJPAP")</f>
        <v>20210525NJPAP</v>
      </c>
      <c r="B382" s="8">
        <f ca="1">IFERROR(__xludf.DUMMYFUNCTION("""COMPUTED_VALUE"""),44341)</f>
        <v>44341</v>
      </c>
      <c r="C382" s="5" t="str">
        <f ca="1">IFERROR(__xludf.DUMMYFUNCTION("""COMPUTED_VALUE"""),"Paterson School 6")</f>
        <v>Paterson School 6</v>
      </c>
      <c r="D382" s="5">
        <f ca="1">IFERROR(__xludf.DUMMYFUNCTION("""COMPUTED_VALUE"""),0)</f>
        <v>0</v>
      </c>
      <c r="E382" s="5">
        <f ca="1">IFERROR(__xludf.DUMMYFUNCTION("""COMPUTED_VALUE"""),0)</f>
        <v>0</v>
      </c>
      <c r="F382" s="5">
        <f ca="1">IFERROR(__xludf.DUMMYFUNCTION("""COMPUTED_VALUE"""),0)</f>
        <v>0</v>
      </c>
      <c r="G382" s="5">
        <f ca="1">IFERROR(__xludf.DUMMYFUNCTION("""COMPUTED_VALUE"""),0)</f>
        <v>0</v>
      </c>
      <c r="H382"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I382" s="5">
        <f ca="1">IFERROR(__xludf.DUMMYFUNCTION("""COMPUTED_VALUE"""),2)</f>
        <v>2</v>
      </c>
      <c r="J382" s="5" t="str">
        <f ca="1">IFERROR(__xludf.DUMMYFUNCTION("""COMPUTED_VALUE"""),"Local")</f>
        <v>Local</v>
      </c>
      <c r="K382" s="5">
        <f ca="1">IFERROR(__xludf.DUMMYFUNCTION("""COMPUTED_VALUE"""),2)</f>
        <v>2</v>
      </c>
      <c r="L382" s="5" t="str">
        <f ca="1">IFERROR(__xludf.DUMMYFUNCTION("""COMPUTED_VALUE"""),"Spring")</f>
        <v>Spring</v>
      </c>
      <c r="M382" s="5" t="str">
        <f ca="1">IFERROR(__xludf.DUMMYFUNCTION("""COMPUTED_VALUE"""),"Paterson")</f>
        <v>Paterson</v>
      </c>
      <c r="N382" s="5" t="str">
        <f ca="1">IFERROR(__xludf.DUMMYFUNCTION("""COMPUTED_VALUE"""),"NJ")</f>
        <v>NJ</v>
      </c>
      <c r="O382" s="5" t="str">
        <f ca="1">IFERROR(__xludf.DUMMYFUNCTION("""COMPUTED_VALUE"""),"Elementary")</f>
        <v>Elementary</v>
      </c>
      <c r="P382" s="5" t="str">
        <f ca="1">IFERROR(__xludf.DUMMYFUNCTION("""COMPUTED_VALUE"""),"Front of School")</f>
        <v>Front of School</v>
      </c>
      <c r="Q382" s="5" t="str">
        <f ca="1">IFERROR(__xludf.DUMMYFUNCTION("""COMPUTED_VALUE"""),"Off School Property")</f>
        <v>Off School Property</v>
      </c>
      <c r="R382" s="5" t="str">
        <f ca="1">IFERROR(__xludf.DUMMYFUNCTION("""COMPUTED_VALUE"""),"Yes")</f>
        <v>Yes</v>
      </c>
      <c r="S382" s="5" t="str">
        <f ca="1">IFERROR(__xludf.DUMMYFUNCTION("""COMPUTED_VALUE"""),"Afternoon Classes")</f>
        <v>Afternoon Classes</v>
      </c>
      <c r="T382" s="5"/>
      <c r="U382" s="5">
        <f ca="1">IFERROR(__xludf.DUMMYFUNCTION("""COMPUTED_VALUE"""),1)</f>
        <v>1</v>
      </c>
      <c r="V382" s="5" t="str">
        <f ca="1">IFERROR(__xludf.DUMMYFUNCTION("""COMPUTED_VALUE"""),"Police responded for shots fired and detained teen with high-powered firearm")</f>
        <v>Police responded for shots fired and detained teen with high-powered firearm</v>
      </c>
      <c r="W382"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X382" s="5"/>
      <c r="Y382" s="5" t="str">
        <f ca="1">IFERROR(__xludf.DUMMYFUNCTION("""COMPUTED_VALUE"""),"Random Shooting")</f>
        <v>Random Shooting</v>
      </c>
      <c r="Z382" s="5" t="str">
        <f ca="1">IFERROR(__xludf.DUMMYFUNCTION("""COMPUTED_VALUE"""),"No")</f>
        <v>No</v>
      </c>
      <c r="AA382" s="5"/>
      <c r="AB382" s="5" t="str">
        <f ca="1">IFERROR(__xludf.DUMMYFUNCTION("""COMPUTED_VALUE"""),"No")</f>
        <v>No</v>
      </c>
      <c r="AC382" s="5" t="str">
        <f ca="1">IFERROR(__xludf.DUMMYFUNCTION("""COMPUTED_VALUE"""),"No")</f>
        <v>No</v>
      </c>
      <c r="AD382" s="5" t="str">
        <f ca="1">IFERROR(__xludf.DUMMYFUNCTION("""COMPUTED_VALUE"""),"No")</f>
        <v>No</v>
      </c>
      <c r="AE382" s="5" t="str">
        <f ca="1">IFERROR(__xludf.DUMMYFUNCTION("""COMPUTED_VALUE"""),"No")</f>
        <v>No</v>
      </c>
      <c r="AF382" s="5" t="str">
        <f ca="1">IFERROR(__xludf.DUMMYFUNCTION("""COMPUTED_VALUE"""),"No")</f>
        <v>No</v>
      </c>
      <c r="AG382" s="5"/>
      <c r="AH382" s="5" t="str">
        <f ca="1">IFERROR(__xludf.DUMMYFUNCTION("""COMPUTED_VALUE"""),"No")</f>
        <v>No</v>
      </c>
    </row>
    <row r="383" spans="1:34" ht="12.75">
      <c r="A383" s="5" t="str">
        <f ca="1">IFERROR(__xludf.DUMMYFUNCTION("""COMPUTED_VALUE"""),"20210517TXBRE")</f>
        <v>20210517TXBRE</v>
      </c>
      <c r="B383" s="8">
        <f ca="1">IFERROR(__xludf.DUMMYFUNCTION("""COMPUTED_VALUE"""),44333)</f>
        <v>44333</v>
      </c>
      <c r="C383" s="5" t="str">
        <f ca="1">IFERROR(__xludf.DUMMYFUNCTION("""COMPUTED_VALUE"""),"Brown Middle School")</f>
        <v>Brown Middle School</v>
      </c>
      <c r="D383" s="5">
        <f ca="1">IFERROR(__xludf.DUMMYFUNCTION("""COMPUTED_VALUE"""),0)</f>
        <v>0</v>
      </c>
      <c r="E383" s="5">
        <f ca="1">IFERROR(__xludf.DUMMYFUNCTION("""COMPUTED_VALUE"""),0)</f>
        <v>0</v>
      </c>
      <c r="F383" s="5">
        <f ca="1">IFERROR(__xludf.DUMMYFUNCTION("""COMPUTED_VALUE"""),0)</f>
        <v>0</v>
      </c>
      <c r="G383" s="5">
        <f ca="1">IFERROR(__xludf.DUMMYFUNCTION("""COMPUTED_VALUE"""),0)</f>
        <v>0</v>
      </c>
      <c r="H383"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I383" s="5">
        <f ca="1">IFERROR(__xludf.DUMMYFUNCTION("""COMPUTED_VALUE"""),2)</f>
        <v>2</v>
      </c>
      <c r="J383" s="5" t="str">
        <f ca="1">IFERROR(__xludf.DUMMYFUNCTION("""COMPUTED_VALUE"""),"Local")</f>
        <v>Local</v>
      </c>
      <c r="K383" s="5">
        <f ca="1">IFERROR(__xludf.DUMMYFUNCTION("""COMPUTED_VALUE"""),3)</f>
        <v>3</v>
      </c>
      <c r="L383" s="5" t="str">
        <f ca="1">IFERROR(__xludf.DUMMYFUNCTION("""COMPUTED_VALUE"""),"Spring")</f>
        <v>Spring</v>
      </c>
      <c r="M383" s="5" t="str">
        <f ca="1">IFERROR(__xludf.DUMMYFUNCTION("""COMPUTED_VALUE"""),"El Paso")</f>
        <v>El Paso</v>
      </c>
      <c r="N383" s="5" t="str">
        <f ca="1">IFERROR(__xludf.DUMMYFUNCTION("""COMPUTED_VALUE"""),"TX")</f>
        <v>TX</v>
      </c>
      <c r="O383" s="5" t="str">
        <f ca="1">IFERROR(__xludf.DUMMYFUNCTION("""COMPUTED_VALUE"""),"Middle")</f>
        <v>Middle</v>
      </c>
      <c r="P383" s="5" t="str">
        <f ca="1">IFERROR(__xludf.DUMMYFUNCTION("""COMPUTED_VALUE"""),"Classroom")</f>
        <v>Classroom</v>
      </c>
      <c r="Q383" s="5" t="str">
        <f ca="1">IFERROR(__xludf.DUMMYFUNCTION("""COMPUTED_VALUE"""),"Inside School Building")</f>
        <v>Inside School Building</v>
      </c>
      <c r="R383" s="5" t="str">
        <f ca="1">IFERROR(__xludf.DUMMYFUNCTION("""COMPUTED_VALUE"""),"Yes")</f>
        <v>Yes</v>
      </c>
      <c r="S383" s="5" t="str">
        <f ca="1">IFERROR(__xludf.DUMMYFUNCTION("""COMPUTED_VALUE"""),"Afternoon Classes")</f>
        <v>Afternoon Classes</v>
      </c>
      <c r="T383" s="5"/>
      <c r="U383" s="5">
        <f ca="1">IFERROR(__xludf.DUMMYFUNCTION("""COMPUTED_VALUE"""),30)</f>
        <v>30</v>
      </c>
      <c r="V383" s="5" t="str">
        <f ca="1">IFERROR(__xludf.DUMMYFUNCTION("""COMPUTED_VALUE"""),"Student pointed BB gun at a female student in the classroom and then fired at students in the hallway")</f>
        <v>Student pointed BB gun at a female student in the classroom and then fired at students in the hallway</v>
      </c>
      <c r="W383"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X383" s="5" t="str">
        <f ca="1">IFERROR(__xludf.DUMMYFUNCTION("""COMPUTED_VALUE"""),"Indiscriminate Shooting")</f>
        <v>Indiscriminate Shooting</v>
      </c>
      <c r="Y383" s="5" t="str">
        <f ca="1">IFERROR(__xludf.DUMMYFUNCTION("""COMPUTED_VALUE"""),"Both")</f>
        <v>Both</v>
      </c>
      <c r="Z383" s="5" t="str">
        <f ca="1">IFERROR(__xludf.DUMMYFUNCTION("""COMPUTED_VALUE"""),"No")</f>
        <v>No</v>
      </c>
      <c r="AA383" s="5"/>
      <c r="AB383" s="5" t="str">
        <f ca="1">IFERROR(__xludf.DUMMYFUNCTION("""COMPUTED_VALUE"""),"No")</f>
        <v>No</v>
      </c>
      <c r="AC383" s="5" t="str">
        <f ca="1">IFERROR(__xludf.DUMMYFUNCTION("""COMPUTED_VALUE"""),"No")</f>
        <v>No</v>
      </c>
      <c r="AD383" s="5" t="str">
        <f ca="1">IFERROR(__xludf.DUMMYFUNCTION("""COMPUTED_VALUE"""),"No")</f>
        <v>No</v>
      </c>
      <c r="AE383" s="5"/>
      <c r="AF383" s="5" t="str">
        <f ca="1">IFERROR(__xludf.DUMMYFUNCTION("""COMPUTED_VALUE"""),"No")</f>
        <v>No</v>
      </c>
      <c r="AG383" s="5" t="str">
        <f ca="1">IFERROR(__xludf.DUMMYFUNCTION("""COMPUTED_VALUE"""),"No")</f>
        <v>No</v>
      </c>
      <c r="AH383" s="5" t="str">
        <f ca="1">IFERROR(__xludf.DUMMYFUNCTION("""COMPUTED_VALUE"""),"No")</f>
        <v>No</v>
      </c>
    </row>
    <row r="384" spans="1:34" ht="12.75">
      <c r="A384" s="5" t="str">
        <f ca="1">IFERROR(__xludf.DUMMYFUNCTION("""COMPUTED_VALUE"""),"20210517TNAUM")</f>
        <v>20210517TNAUM</v>
      </c>
      <c r="B384" s="8">
        <f ca="1">IFERROR(__xludf.DUMMYFUNCTION("""COMPUTED_VALUE"""),44333)</f>
        <v>44333</v>
      </c>
      <c r="C384" s="5" t="str">
        <f ca="1">IFERROR(__xludf.DUMMYFUNCTION("""COMPUTED_VALUE"""),"Aurora Collegiate Academy")</f>
        <v>Aurora Collegiate Academy</v>
      </c>
      <c r="D384" s="5">
        <f ca="1">IFERROR(__xludf.DUMMYFUNCTION("""COMPUTED_VALUE"""),0)</f>
        <v>0</v>
      </c>
      <c r="E384" s="5">
        <f ca="1">IFERROR(__xludf.DUMMYFUNCTION("""COMPUTED_VALUE"""),1)</f>
        <v>1</v>
      </c>
      <c r="F384" s="5">
        <f ca="1">IFERROR(__xludf.DUMMYFUNCTION("""COMPUTED_VALUE"""),1)</f>
        <v>1</v>
      </c>
      <c r="G384" s="5">
        <f ca="1">IFERROR(__xludf.DUMMYFUNCTION("""COMPUTED_VALUE"""),0)</f>
        <v>0</v>
      </c>
      <c r="H384"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I384" s="5">
        <f ca="1">IFERROR(__xludf.DUMMYFUNCTION("""COMPUTED_VALUE"""),3)</f>
        <v>3</v>
      </c>
      <c r="J384" s="5" t="str">
        <f ca="1">IFERROR(__xludf.DUMMYFUNCTION("""COMPUTED_VALUE"""),"Local")</f>
        <v>Local</v>
      </c>
      <c r="K384" s="5">
        <f ca="1">IFERROR(__xludf.DUMMYFUNCTION("""COMPUTED_VALUE"""),4)</f>
        <v>4</v>
      </c>
      <c r="L384" s="5" t="str">
        <f ca="1">IFERROR(__xludf.DUMMYFUNCTION("""COMPUTED_VALUE"""),"Spring")</f>
        <v>Spring</v>
      </c>
      <c r="M384" s="5" t="str">
        <f ca="1">IFERROR(__xludf.DUMMYFUNCTION("""COMPUTED_VALUE"""),"Memphis")</f>
        <v>Memphis</v>
      </c>
      <c r="N384" s="5" t="str">
        <f ca="1">IFERROR(__xludf.DUMMYFUNCTION("""COMPUTED_VALUE"""),"TN")</f>
        <v>TN</v>
      </c>
      <c r="O384" s="5" t="str">
        <f ca="1">IFERROR(__xludf.DUMMYFUNCTION("""COMPUTED_VALUE"""),"Elementary")</f>
        <v>Elementary</v>
      </c>
      <c r="P384" s="5" t="str">
        <f ca="1">IFERROR(__xludf.DUMMYFUNCTION("""COMPUTED_VALUE"""),"Front of School")</f>
        <v>Front of School</v>
      </c>
      <c r="Q384" s="5" t="str">
        <f ca="1">IFERROR(__xludf.DUMMYFUNCTION("""COMPUTED_VALUE"""),"Off School Property")</f>
        <v>Off School Property</v>
      </c>
      <c r="R384" s="5" t="str">
        <f ca="1">IFERROR(__xludf.DUMMYFUNCTION("""COMPUTED_VALUE"""),"Yes")</f>
        <v>Yes</v>
      </c>
      <c r="S384" s="5" t="str">
        <f ca="1">IFERROR(__xludf.DUMMYFUNCTION("""COMPUTED_VALUE"""),"Morning Classes")</f>
        <v>Morning Classes</v>
      </c>
      <c r="T384" s="10">
        <f ca="1">IFERROR(__xludf.DUMMYFUNCTION("""COMPUTED_VALUE"""),0.322916666666666)</f>
        <v>0.32291666666666602</v>
      </c>
      <c r="U384" s="5">
        <f ca="1">IFERROR(__xludf.DUMMYFUNCTION("""COMPUTED_VALUE"""),1)</f>
        <v>1</v>
      </c>
      <c r="V384" s="5" t="str">
        <f ca="1">IFERROR(__xludf.DUMMYFUNCTION("""COMPUTED_VALUE"""),"Man in vehicle shot and crashed vehicle into the front of the school")</f>
        <v>Man in vehicle shot and crashed vehicle into the front of the school</v>
      </c>
      <c r="W384"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X384" s="5" t="str">
        <f ca="1">IFERROR(__xludf.DUMMYFUNCTION("""COMPUTED_VALUE"""),"Illegal Activity")</f>
        <v>Illegal Activity</v>
      </c>
      <c r="Y384" s="5" t="str">
        <f ca="1">IFERROR(__xludf.DUMMYFUNCTION("""COMPUTED_VALUE"""),"Victims Targeted")</f>
        <v>Victims Targeted</v>
      </c>
      <c r="Z384" s="5" t="str">
        <f ca="1">IFERROR(__xludf.DUMMYFUNCTION("""COMPUTED_VALUE"""),"No")</f>
        <v>No</v>
      </c>
      <c r="AA384" s="5"/>
      <c r="AB384" s="5" t="str">
        <f ca="1">IFERROR(__xludf.DUMMYFUNCTION("""COMPUTED_VALUE"""),"No")</f>
        <v>No</v>
      </c>
      <c r="AC384" s="5" t="str">
        <f ca="1">IFERROR(__xludf.DUMMYFUNCTION("""COMPUTED_VALUE"""),"No")</f>
        <v>No</v>
      </c>
      <c r="AD384" s="5" t="str">
        <f ca="1">IFERROR(__xludf.DUMMYFUNCTION("""COMPUTED_VALUE"""),"No")</f>
        <v>No</v>
      </c>
      <c r="AE384" s="5" t="str">
        <f ca="1">IFERROR(__xludf.DUMMYFUNCTION("""COMPUTED_VALUE"""),"No")</f>
        <v>No</v>
      </c>
      <c r="AF384" s="5" t="str">
        <f ca="1">IFERROR(__xludf.DUMMYFUNCTION("""COMPUTED_VALUE"""),"No")</f>
        <v>No</v>
      </c>
      <c r="AG384" s="5" t="str">
        <f ca="1">IFERROR(__xludf.DUMMYFUNCTION("""COMPUTED_VALUE"""),"No")</f>
        <v>No</v>
      </c>
      <c r="AH384" s="5" t="str">
        <f ca="1">IFERROR(__xludf.DUMMYFUNCTION("""COMPUTED_VALUE"""),"No")</f>
        <v>No</v>
      </c>
    </row>
    <row r="385" spans="1:34" ht="12.75">
      <c r="A385" s="5" t="str">
        <f ca="1">IFERROR(__xludf.DUMMYFUNCTION("""COMPUTED_VALUE"""),"20210517MDLOC")</f>
        <v>20210517MDLOC</v>
      </c>
      <c r="B385" s="8">
        <f ca="1">IFERROR(__xludf.DUMMYFUNCTION("""COMPUTED_VALUE"""),44333)</f>
        <v>44333</v>
      </c>
      <c r="C385" s="5" t="str">
        <f ca="1">IFERROR(__xludf.DUMMYFUNCTION("""COMPUTED_VALUE"""),"Long Reach High School")</f>
        <v>Long Reach High School</v>
      </c>
      <c r="D385" s="5">
        <f ca="1">IFERROR(__xludf.DUMMYFUNCTION("""COMPUTED_VALUE"""),0)</f>
        <v>0</v>
      </c>
      <c r="E385" s="5">
        <f ca="1">IFERROR(__xludf.DUMMYFUNCTION("""COMPUTED_VALUE"""),0)</f>
        <v>0</v>
      </c>
      <c r="F385" s="5">
        <f ca="1">IFERROR(__xludf.DUMMYFUNCTION("""COMPUTED_VALUE"""),0)</f>
        <v>0</v>
      </c>
      <c r="G385" s="5">
        <f ca="1">IFERROR(__xludf.DUMMYFUNCTION("""COMPUTED_VALUE"""),0)</f>
        <v>0</v>
      </c>
      <c r="H385"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I385" s="5">
        <f ca="1">IFERROR(__xludf.DUMMYFUNCTION("""COMPUTED_VALUE"""),2)</f>
        <v>2</v>
      </c>
      <c r="J385" s="5" t="str">
        <f ca="1">IFERROR(__xludf.DUMMYFUNCTION("""COMPUTED_VALUE"""),"Local")</f>
        <v>Local</v>
      </c>
      <c r="K385" s="5">
        <f ca="1">IFERROR(__xludf.DUMMYFUNCTION("""COMPUTED_VALUE"""),4)</f>
        <v>4</v>
      </c>
      <c r="L385" s="5" t="str">
        <f ca="1">IFERROR(__xludf.DUMMYFUNCTION("""COMPUTED_VALUE"""),"Spring")</f>
        <v>Spring</v>
      </c>
      <c r="M385" s="5" t="str">
        <f ca="1">IFERROR(__xludf.DUMMYFUNCTION("""COMPUTED_VALUE"""),"Columbia")</f>
        <v>Columbia</v>
      </c>
      <c r="N385" s="5" t="str">
        <f ca="1">IFERROR(__xludf.DUMMYFUNCTION("""COMPUTED_VALUE"""),"MD")</f>
        <v>MD</v>
      </c>
      <c r="O385" s="5" t="str">
        <f ca="1">IFERROR(__xludf.DUMMYFUNCTION("""COMPUTED_VALUE"""),"High")</f>
        <v>High</v>
      </c>
      <c r="P385" s="5" t="str">
        <f ca="1">IFERROR(__xludf.DUMMYFUNCTION("""COMPUTED_VALUE"""),"Parking Lot")</f>
        <v>Parking Lot</v>
      </c>
      <c r="Q385" s="5" t="str">
        <f ca="1">IFERROR(__xludf.DUMMYFUNCTION("""COMPUTED_VALUE"""),"Outside on School Property")</f>
        <v>Outside on School Property</v>
      </c>
      <c r="R385" s="5" t="str">
        <f ca="1">IFERROR(__xludf.DUMMYFUNCTION("""COMPUTED_VALUE"""),"Yes")</f>
        <v>Yes</v>
      </c>
      <c r="S385" s="5" t="str">
        <f ca="1">IFERROR(__xludf.DUMMYFUNCTION("""COMPUTED_VALUE"""),"Morning Classes")</f>
        <v>Morning Classes</v>
      </c>
      <c r="T385" s="10">
        <f ca="1">IFERROR(__xludf.DUMMYFUNCTION("""COMPUTED_VALUE"""),0.392361111111111)</f>
        <v>0.39236111111111099</v>
      </c>
      <c r="U385" s="5">
        <f ca="1">IFERROR(__xludf.DUMMYFUNCTION("""COMPUTED_VALUE"""),1)</f>
        <v>1</v>
      </c>
      <c r="V385" s="5" t="str">
        <f ca="1">IFERROR(__xludf.DUMMYFUNCTION("""COMPUTED_VALUE"""),"Domestic dispute in dropoff lane, both arrested with handguns")</f>
        <v>Domestic dispute in dropoff lane, both arrested with handguns</v>
      </c>
      <c r="W385"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X385" s="5" t="str">
        <f ca="1">IFERROR(__xludf.DUMMYFUNCTION("""COMPUTED_VALUE"""),"Domestic w/ Targeted Victim")</f>
        <v>Domestic w/ Targeted Victim</v>
      </c>
      <c r="Y385" s="5" t="str">
        <f ca="1">IFERROR(__xludf.DUMMYFUNCTION("""COMPUTED_VALUE"""),"Victims Targeted")</f>
        <v>Victims Targeted</v>
      </c>
      <c r="Z385" s="5" t="str">
        <f ca="1">IFERROR(__xludf.DUMMYFUNCTION("""COMPUTED_VALUE"""),"No")</f>
        <v>No</v>
      </c>
      <c r="AA385" s="5"/>
      <c r="AB385" s="5" t="str">
        <f ca="1">IFERROR(__xludf.DUMMYFUNCTION("""COMPUTED_VALUE"""),"No")</f>
        <v>No</v>
      </c>
      <c r="AC385" s="5" t="str">
        <f ca="1">IFERROR(__xludf.DUMMYFUNCTION("""COMPUTED_VALUE"""),"No")</f>
        <v>No</v>
      </c>
      <c r="AD385" s="5" t="str">
        <f ca="1">IFERROR(__xludf.DUMMYFUNCTION("""COMPUTED_VALUE"""),"No")</f>
        <v>No</v>
      </c>
      <c r="AE385" s="5" t="str">
        <f ca="1">IFERROR(__xludf.DUMMYFUNCTION("""COMPUTED_VALUE"""),"No")</f>
        <v>No</v>
      </c>
      <c r="AF385" s="5" t="str">
        <f ca="1">IFERROR(__xludf.DUMMYFUNCTION("""COMPUTED_VALUE"""),"Yes")</f>
        <v>Yes</v>
      </c>
      <c r="AG385" s="5" t="str">
        <f ca="1">IFERROR(__xludf.DUMMYFUNCTION("""COMPUTED_VALUE"""),"No")</f>
        <v>No</v>
      </c>
      <c r="AH385" s="5" t="str">
        <f ca="1">IFERROR(__xludf.DUMMYFUNCTION("""COMPUTED_VALUE"""),"No")</f>
        <v>No</v>
      </c>
    </row>
    <row r="386" spans="1:34" ht="12.75">
      <c r="A386" s="5" t="str">
        <f ca="1">IFERROR(__xludf.DUMMYFUNCTION("""COMPUTED_VALUE"""),"20210514CASAS")</f>
        <v>20210514CASAS</v>
      </c>
      <c r="B386" s="8">
        <f ca="1">IFERROR(__xludf.DUMMYFUNCTION("""COMPUTED_VALUE"""),44330)</f>
        <v>44330</v>
      </c>
      <c r="C386" s="5" t="str">
        <f ca="1">IFERROR(__xludf.DUMMYFUNCTION("""COMPUTED_VALUE"""),"San Mateo High School")</f>
        <v>San Mateo High School</v>
      </c>
      <c r="D386" s="5">
        <f ca="1">IFERROR(__xludf.DUMMYFUNCTION("""COMPUTED_VALUE"""),1)</f>
        <v>1</v>
      </c>
      <c r="E386" s="5">
        <f ca="1">IFERROR(__xludf.DUMMYFUNCTION("""COMPUTED_VALUE"""),0)</f>
        <v>0</v>
      </c>
      <c r="F386" s="5">
        <f ca="1">IFERROR(__xludf.DUMMYFUNCTION("""COMPUTED_VALUE"""),1)</f>
        <v>1</v>
      </c>
      <c r="G386" s="5">
        <f ca="1">IFERROR(__xludf.DUMMYFUNCTION("""COMPUTED_VALUE"""),0)</f>
        <v>0</v>
      </c>
      <c r="H386"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I386" s="5">
        <f ca="1">IFERROR(__xludf.DUMMYFUNCTION("""COMPUTED_VALUE"""),10)</f>
        <v>10</v>
      </c>
      <c r="J386" s="5" t="str">
        <f ca="1">IFERROR(__xludf.DUMMYFUNCTION("""COMPUTED_VALUE"""),"National")</f>
        <v>National</v>
      </c>
      <c r="K386" s="5">
        <f ca="1">IFERROR(__xludf.DUMMYFUNCTION("""COMPUTED_VALUE"""),4)</f>
        <v>4</v>
      </c>
      <c r="L386" s="5" t="str">
        <f ca="1">IFERROR(__xludf.DUMMYFUNCTION("""COMPUTED_VALUE"""),"Spring")</f>
        <v>Spring</v>
      </c>
      <c r="M386" s="5" t="str">
        <f ca="1">IFERROR(__xludf.DUMMYFUNCTION("""COMPUTED_VALUE"""),"San Mateo")</f>
        <v>San Mateo</v>
      </c>
      <c r="N386" s="5" t="str">
        <f ca="1">IFERROR(__xludf.DUMMYFUNCTION("""COMPUTED_VALUE"""),"CA")</f>
        <v>CA</v>
      </c>
      <c r="O386" s="5" t="str">
        <f ca="1">IFERROR(__xludf.DUMMYFUNCTION("""COMPUTED_VALUE"""),"High")</f>
        <v>High</v>
      </c>
      <c r="P386" s="5" t="str">
        <f ca="1">IFERROR(__xludf.DUMMYFUNCTION("""COMPUTED_VALUE"""),"Parking Lot")</f>
        <v>Parking Lot</v>
      </c>
      <c r="Q386" s="5" t="str">
        <f ca="1">IFERROR(__xludf.DUMMYFUNCTION("""COMPUTED_VALUE"""),"Outside on School Property")</f>
        <v>Outside on School Property</v>
      </c>
      <c r="R386" s="5" t="str">
        <f ca="1">IFERROR(__xludf.DUMMYFUNCTION("""COMPUTED_VALUE"""),"No")</f>
        <v>No</v>
      </c>
      <c r="S386" s="5" t="str">
        <f ca="1">IFERROR(__xludf.DUMMYFUNCTION("""COMPUTED_VALUE"""),"Night")</f>
        <v>Night</v>
      </c>
      <c r="T386" s="10">
        <f ca="1">IFERROR(__xludf.DUMMYFUNCTION("""COMPUTED_VALUE"""),0.875)</f>
        <v>0.875</v>
      </c>
      <c r="U386" s="5">
        <f ca="1">IFERROR(__xludf.DUMMYFUNCTION("""COMPUTED_VALUE"""),1)</f>
        <v>1</v>
      </c>
      <c r="V386" s="5" t="str">
        <f ca="1">IFERROR(__xludf.DUMMYFUNCTION("""COMPUTED_VALUE"""),"Teen fatally shot inside car in the school parking lot during attempted carjacking")</f>
        <v>Teen fatally shot inside car in the school parking lot during attempted carjacking</v>
      </c>
      <c r="W386"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X386" s="5" t="str">
        <f ca="1">IFERROR(__xludf.DUMMYFUNCTION("""COMPUTED_VALUE"""),"Illegal Activity")</f>
        <v>Illegal Activity</v>
      </c>
      <c r="Y386" s="5" t="str">
        <f ca="1">IFERROR(__xludf.DUMMYFUNCTION("""COMPUTED_VALUE"""),"Victims Targeted")</f>
        <v>Victims Targeted</v>
      </c>
      <c r="Z386" s="5" t="str">
        <f ca="1">IFERROR(__xludf.DUMMYFUNCTION("""COMPUTED_VALUE"""),"Yes")</f>
        <v>Yes</v>
      </c>
      <c r="AA386" s="5" t="str">
        <f ca="1">IFERROR(__xludf.DUMMYFUNCTION("""COMPUTED_VALUE"""),"3 suspects ran from the scene")</f>
        <v>3 suspects ran from the scene</v>
      </c>
      <c r="AB386" s="5" t="str">
        <f ca="1">IFERROR(__xludf.DUMMYFUNCTION("""COMPUTED_VALUE"""),"No")</f>
        <v>No</v>
      </c>
      <c r="AC386" s="5" t="str">
        <f ca="1">IFERROR(__xludf.DUMMYFUNCTION("""COMPUTED_VALUE"""),"No")</f>
        <v>No</v>
      </c>
      <c r="AD386" s="5" t="str">
        <f ca="1">IFERROR(__xludf.DUMMYFUNCTION("""COMPUTED_VALUE"""),"No")</f>
        <v>No</v>
      </c>
      <c r="AE386" s="5" t="str">
        <f ca="1">IFERROR(__xludf.DUMMYFUNCTION("""COMPUTED_VALUE"""),"No")</f>
        <v>No</v>
      </c>
      <c r="AF386" s="5" t="str">
        <f ca="1">IFERROR(__xludf.DUMMYFUNCTION("""COMPUTED_VALUE"""),"No")</f>
        <v>No</v>
      </c>
      <c r="AG386" s="5"/>
      <c r="AH386" s="5" t="str">
        <f ca="1">IFERROR(__xludf.DUMMYFUNCTION("""COMPUTED_VALUE"""),"No")</f>
        <v>No</v>
      </c>
    </row>
    <row r="387" spans="1:34" ht="12.75">
      <c r="A387" s="5" t="str">
        <f ca="1">IFERROR(__xludf.DUMMYFUNCTION("""COMPUTED_VALUE"""),"20210511NYPSB")</f>
        <v>20210511NYPSB</v>
      </c>
      <c r="B387" s="8">
        <f ca="1">IFERROR(__xludf.DUMMYFUNCTION("""COMPUTED_VALUE"""),44327)</f>
        <v>44327</v>
      </c>
      <c r="C387" s="5" t="str">
        <f ca="1">IFERROR(__xludf.DUMMYFUNCTION("""COMPUTED_VALUE"""),"P.S. 178 Saint Clair Mckelway Grade School")</f>
        <v>P.S. 178 Saint Clair Mckelway Grade School</v>
      </c>
      <c r="D387" s="5">
        <f ca="1">IFERROR(__xludf.DUMMYFUNCTION("""COMPUTED_VALUE"""),0)</f>
        <v>0</v>
      </c>
      <c r="E387" s="5">
        <f ca="1">IFERROR(__xludf.DUMMYFUNCTION("""COMPUTED_VALUE"""),1)</f>
        <v>1</v>
      </c>
      <c r="F387" s="5">
        <f ca="1">IFERROR(__xludf.DUMMYFUNCTION("""COMPUTED_VALUE"""),1)</f>
        <v>1</v>
      </c>
      <c r="G387" s="5">
        <f ca="1">IFERROR(__xludf.DUMMYFUNCTION("""COMPUTED_VALUE"""),0)</f>
        <v>0</v>
      </c>
      <c r="H387"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I387" s="5">
        <f ca="1">IFERROR(__xludf.DUMMYFUNCTION("""COMPUTED_VALUE"""),3)</f>
        <v>3</v>
      </c>
      <c r="J387" s="5" t="str">
        <f ca="1">IFERROR(__xludf.DUMMYFUNCTION("""COMPUTED_VALUE"""),"Local")</f>
        <v>Local</v>
      </c>
      <c r="K387" s="5">
        <f ca="1">IFERROR(__xludf.DUMMYFUNCTION("""COMPUTED_VALUE"""),4)</f>
        <v>4</v>
      </c>
      <c r="L387" s="5" t="str">
        <f ca="1">IFERROR(__xludf.DUMMYFUNCTION("""COMPUTED_VALUE"""),"Spring")</f>
        <v>Spring</v>
      </c>
      <c r="M387" s="5" t="str">
        <f ca="1">IFERROR(__xludf.DUMMYFUNCTION("""COMPUTED_VALUE"""),"Brooklyn")</f>
        <v>Brooklyn</v>
      </c>
      <c r="N387" s="5" t="str">
        <f ca="1">IFERROR(__xludf.DUMMYFUNCTION("""COMPUTED_VALUE"""),"NY")</f>
        <v>NY</v>
      </c>
      <c r="O387" s="5" t="str">
        <f ca="1">IFERROR(__xludf.DUMMYFUNCTION("""COMPUTED_VALUE"""),"K-8")</f>
        <v>K-8</v>
      </c>
      <c r="P387" s="5" t="str">
        <f ca="1">IFERROR(__xludf.DUMMYFUNCTION("""COMPUTED_VALUE"""),"Front of School")</f>
        <v>Front of School</v>
      </c>
      <c r="Q387" s="5" t="str">
        <f ca="1">IFERROR(__xludf.DUMMYFUNCTION("""COMPUTED_VALUE"""),"Outside on School Property")</f>
        <v>Outside on School Property</v>
      </c>
      <c r="R387" s="5" t="str">
        <f ca="1">IFERROR(__xludf.DUMMYFUNCTION("""COMPUTED_VALUE"""),"No")</f>
        <v>No</v>
      </c>
      <c r="S387" s="5" t="str">
        <f ca="1">IFERROR(__xludf.DUMMYFUNCTION("""COMPUTED_VALUE"""),"Evening")</f>
        <v>Evening</v>
      </c>
      <c r="T387" s="10">
        <f ca="1">IFERROR(__xludf.DUMMYFUNCTION("""COMPUTED_VALUE"""),0.709722222222222)</f>
        <v>0.70972222222222203</v>
      </c>
      <c r="U387" s="5">
        <f ca="1">IFERROR(__xludf.DUMMYFUNCTION("""COMPUTED_VALUE"""),1)</f>
        <v>1</v>
      </c>
      <c r="V387" s="5" t="str">
        <f ca="1">IFERROR(__xludf.DUMMYFUNCTION("""COMPUTED_VALUE"""),"Teen shot in front of school during fight that escalated into shooting")</f>
        <v>Teen shot in front of school during fight that escalated into shooting</v>
      </c>
      <c r="W387"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X387" s="5" t="str">
        <f ca="1">IFERROR(__xludf.DUMMYFUNCTION("""COMPUTED_VALUE"""),"Escalation of Dispute")</f>
        <v>Escalation of Dispute</v>
      </c>
      <c r="Y387" s="5" t="str">
        <f ca="1">IFERROR(__xludf.DUMMYFUNCTION("""COMPUTED_VALUE"""),"Victims Targeted")</f>
        <v>Victims Targeted</v>
      </c>
      <c r="Z387" s="5" t="str">
        <f ca="1">IFERROR(__xludf.DUMMYFUNCTION("""COMPUTED_VALUE"""),"No")</f>
        <v>No</v>
      </c>
      <c r="AA387" s="5"/>
      <c r="AB387" s="5"/>
      <c r="AC387" s="5" t="str">
        <f ca="1">IFERROR(__xludf.DUMMYFUNCTION("""COMPUTED_VALUE"""),"No")</f>
        <v>No</v>
      </c>
      <c r="AD387" s="5" t="str">
        <f ca="1">IFERROR(__xludf.DUMMYFUNCTION("""COMPUTED_VALUE"""),"No")</f>
        <v>No</v>
      </c>
      <c r="AE387" s="5" t="str">
        <f ca="1">IFERROR(__xludf.DUMMYFUNCTION("""COMPUTED_VALUE"""),"No")</f>
        <v>No</v>
      </c>
      <c r="AF387" s="5" t="str">
        <f ca="1">IFERROR(__xludf.DUMMYFUNCTION("""COMPUTED_VALUE"""),"No")</f>
        <v>No</v>
      </c>
      <c r="AG387" s="5"/>
      <c r="AH387" s="5" t="str">
        <f ca="1">IFERROR(__xludf.DUMMYFUNCTION("""COMPUTED_VALUE"""),"No")</f>
        <v>No</v>
      </c>
    </row>
    <row r="388" spans="1:34" ht="12.75">
      <c r="A388" s="5" t="str">
        <f ca="1">IFERROR(__xludf.DUMMYFUNCTION("""COMPUTED_VALUE"""),"20210511CAVEL")</f>
        <v>20210511CAVEL</v>
      </c>
      <c r="B388" s="8">
        <f ca="1">IFERROR(__xludf.DUMMYFUNCTION("""COMPUTED_VALUE"""),44327)</f>
        <v>44327</v>
      </c>
      <c r="C388" s="5" t="str">
        <f ca="1">IFERROR(__xludf.DUMMYFUNCTION("""COMPUTED_VALUE"""),"Verbum Dei High School")</f>
        <v>Verbum Dei High School</v>
      </c>
      <c r="D388" s="5">
        <f ca="1">IFERROR(__xludf.DUMMYFUNCTION("""COMPUTED_VALUE"""),0)</f>
        <v>0</v>
      </c>
      <c r="E388" s="5">
        <f ca="1">IFERROR(__xludf.DUMMYFUNCTION("""COMPUTED_VALUE"""),0)</f>
        <v>0</v>
      </c>
      <c r="F388" s="5">
        <f ca="1">IFERROR(__xludf.DUMMYFUNCTION("""COMPUTED_VALUE"""),0)</f>
        <v>0</v>
      </c>
      <c r="G388" s="5">
        <f ca="1">IFERROR(__xludf.DUMMYFUNCTION("""COMPUTED_VALUE"""),0)</f>
        <v>0</v>
      </c>
      <c r="H388"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I388" s="5">
        <f ca="1">IFERROR(__xludf.DUMMYFUNCTION("""COMPUTED_VALUE"""),2)</f>
        <v>2</v>
      </c>
      <c r="J388" s="5" t="str">
        <f ca="1">IFERROR(__xludf.DUMMYFUNCTION("""COMPUTED_VALUE"""),"Local")</f>
        <v>Local</v>
      </c>
      <c r="K388" s="5">
        <f ca="1">IFERROR(__xludf.DUMMYFUNCTION("""COMPUTED_VALUE"""),4)</f>
        <v>4</v>
      </c>
      <c r="L388" s="5" t="str">
        <f ca="1">IFERROR(__xludf.DUMMYFUNCTION("""COMPUTED_VALUE"""),"Spring")</f>
        <v>Spring</v>
      </c>
      <c r="M388" s="5" t="str">
        <f ca="1">IFERROR(__xludf.DUMMYFUNCTION("""COMPUTED_VALUE"""),"Los Angeles")</f>
        <v>Los Angeles</v>
      </c>
      <c r="N388" s="5" t="str">
        <f ca="1">IFERROR(__xludf.DUMMYFUNCTION("""COMPUTED_VALUE"""),"CA")</f>
        <v>CA</v>
      </c>
      <c r="O388" s="5" t="str">
        <f ca="1">IFERROR(__xludf.DUMMYFUNCTION("""COMPUTED_VALUE"""),"High")</f>
        <v>High</v>
      </c>
      <c r="P388" s="5" t="str">
        <f ca="1">IFERROR(__xludf.DUMMYFUNCTION("""COMPUTED_VALUE"""),"School Bus")</f>
        <v>School Bus</v>
      </c>
      <c r="Q388" s="5" t="str">
        <f ca="1">IFERROR(__xludf.DUMMYFUNCTION("""COMPUTED_VALUE"""),"School Bus")</f>
        <v>School Bus</v>
      </c>
      <c r="R388" s="5" t="str">
        <f ca="1">IFERROR(__xludf.DUMMYFUNCTION("""COMPUTED_VALUE"""),"Yes")</f>
        <v>Yes</v>
      </c>
      <c r="S388" s="5" t="str">
        <f ca="1">IFERROR(__xludf.DUMMYFUNCTION("""COMPUTED_VALUE"""),"Afternoon Classes")</f>
        <v>Afternoon Classes</v>
      </c>
      <c r="T388" s="10">
        <f ca="1">IFERROR(__xludf.DUMMYFUNCTION("""COMPUTED_VALUE"""),0.625)</f>
        <v>0.625</v>
      </c>
      <c r="U388" s="5">
        <f ca="1">IFERROR(__xludf.DUMMYFUNCTION("""COMPUTED_VALUE"""),1)</f>
        <v>1</v>
      </c>
      <c r="V388" s="5" t="str">
        <f ca="1">IFERROR(__xludf.DUMMYFUNCTION("""COMPUTED_VALUE"""),"School bus windows shot by pellet gun on freeway")</f>
        <v>School bus windows shot by pellet gun on freeway</v>
      </c>
      <c r="W388"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X388" s="5" t="str">
        <f ca="1">IFERROR(__xludf.DUMMYFUNCTION("""COMPUTED_VALUE"""),"Intentional Property Damage")</f>
        <v>Intentional Property Damage</v>
      </c>
      <c r="Y388" s="5" t="str">
        <f ca="1">IFERROR(__xludf.DUMMYFUNCTION("""COMPUTED_VALUE"""),"Random Shooting")</f>
        <v>Random Shooting</v>
      </c>
      <c r="Z388" s="5" t="str">
        <f ca="1">IFERROR(__xludf.DUMMYFUNCTION("""COMPUTED_VALUE"""),"No")</f>
        <v>No</v>
      </c>
      <c r="AA388" s="5"/>
      <c r="AB388" s="5" t="str">
        <f ca="1">IFERROR(__xludf.DUMMYFUNCTION("""COMPUTED_VALUE"""),"No")</f>
        <v>No</v>
      </c>
      <c r="AC388" s="5" t="str">
        <f ca="1">IFERROR(__xludf.DUMMYFUNCTION("""COMPUTED_VALUE"""),"No")</f>
        <v>No</v>
      </c>
      <c r="AD388" s="5" t="str">
        <f ca="1">IFERROR(__xludf.DUMMYFUNCTION("""COMPUTED_VALUE"""),"No")</f>
        <v>No</v>
      </c>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row>
    <row r="389" spans="1:34" ht="12.75">
      <c r="A389" s="5" t="str">
        <f ca="1">IFERROR(__xludf.DUMMYFUNCTION("""COMPUTED_VALUE"""),"20210506SCFOC")</f>
        <v>20210506SCFOC</v>
      </c>
      <c r="B389" s="8">
        <f ca="1">IFERROR(__xludf.DUMMYFUNCTION("""COMPUTED_VALUE"""),44322)</f>
        <v>44322</v>
      </c>
      <c r="C389" s="5" t="str">
        <f ca="1">IFERROR(__xludf.DUMMYFUNCTION("""COMPUTED_VALUE"""),"Forest Lake Elementary")</f>
        <v>Forest Lake Elementary</v>
      </c>
      <c r="D389" s="5">
        <f ca="1">IFERROR(__xludf.DUMMYFUNCTION("""COMPUTED_VALUE"""),0)</f>
        <v>0</v>
      </c>
      <c r="E389" s="5">
        <f ca="1">IFERROR(__xludf.DUMMYFUNCTION("""COMPUTED_VALUE"""),0)</f>
        <v>0</v>
      </c>
      <c r="F389" s="5">
        <f ca="1">IFERROR(__xludf.DUMMYFUNCTION("""COMPUTED_VALUE"""),0)</f>
        <v>0</v>
      </c>
      <c r="G389" s="5">
        <f ca="1">IFERROR(__xludf.DUMMYFUNCTION("""COMPUTED_VALUE"""),0)</f>
        <v>0</v>
      </c>
      <c r="H389" s="5" t="str">
        <f ca="1">IFERROR(__xludf.DUMMYFUNCTION("""COMPUTED_VALUE"""),"https://www.wistv.com/2021/05/06/fort-jackson-trainee-arrested-after-emergency-incident-school-bus-full-children/ https://www.nbcnews.com/news/amp/ncna1266514")</f>
        <v>https://www.wistv.com/2021/05/06/fort-jackson-trainee-arrested-after-emergency-incident-school-bus-full-children/ https://www.nbcnews.com/news/amp/ncna1266514</v>
      </c>
      <c r="I389" s="5">
        <f ca="1">IFERROR(__xludf.DUMMYFUNCTION("""COMPUTED_VALUE"""),2)</f>
        <v>2</v>
      </c>
      <c r="J389" s="5" t="str">
        <f ca="1">IFERROR(__xludf.DUMMYFUNCTION("""COMPUTED_VALUE"""),"National")</f>
        <v>National</v>
      </c>
      <c r="K389" s="5">
        <f ca="1">IFERROR(__xludf.DUMMYFUNCTION("""COMPUTED_VALUE"""),4)</f>
        <v>4</v>
      </c>
      <c r="L389" s="5" t="str">
        <f ca="1">IFERROR(__xludf.DUMMYFUNCTION("""COMPUTED_VALUE"""),"Spring")</f>
        <v>Spring</v>
      </c>
      <c r="M389" s="5" t="str">
        <f ca="1">IFERROR(__xludf.DUMMYFUNCTION("""COMPUTED_VALUE"""),"Columbia")</f>
        <v>Columbia</v>
      </c>
      <c r="N389" s="5" t="str">
        <f ca="1">IFERROR(__xludf.DUMMYFUNCTION("""COMPUTED_VALUE"""),"SC")</f>
        <v>SC</v>
      </c>
      <c r="O389" s="5" t="str">
        <f ca="1">IFERROR(__xludf.DUMMYFUNCTION("""COMPUTED_VALUE"""),"Elementary")</f>
        <v>Elementary</v>
      </c>
      <c r="P389" s="5" t="str">
        <f ca="1">IFERROR(__xludf.DUMMYFUNCTION("""COMPUTED_VALUE"""),"School Bus")</f>
        <v>School Bus</v>
      </c>
      <c r="Q389" s="5" t="str">
        <f ca="1">IFERROR(__xludf.DUMMYFUNCTION("""COMPUTED_VALUE"""),"School Bus")</f>
        <v>School Bus</v>
      </c>
      <c r="R389" s="5" t="str">
        <f ca="1">IFERROR(__xludf.DUMMYFUNCTION("""COMPUTED_VALUE"""),"Yes")</f>
        <v>Yes</v>
      </c>
      <c r="S389" s="5" t="str">
        <f ca="1">IFERROR(__xludf.DUMMYFUNCTION("""COMPUTED_VALUE"""),"Before School")</f>
        <v>Before School</v>
      </c>
      <c r="T389" s="10">
        <f ca="1">IFERROR(__xludf.DUMMYFUNCTION("""COMPUTED_VALUE"""),0.291666666666666)</f>
        <v>0.29166666666666602</v>
      </c>
      <c r="U389" s="5">
        <f ca="1">IFERROR(__xludf.DUMMYFUNCTION("""COMPUTED_VALUE"""),6)</f>
        <v>6</v>
      </c>
      <c r="V389" s="5" t="str">
        <f ca="1">IFERROR(__xludf.DUMMYFUNCTION("""COMPUTED_VALUE"""),"Army trainee jumped the fence of the fort with a rifle then hijacked school bus full of students")</f>
        <v>Army trainee jumped the fence of the fort with a rifle then hijacked school bus full of students</v>
      </c>
      <c r="W389"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X389" s="5" t="str">
        <f ca="1">IFERROR(__xludf.DUMMYFUNCTION("""COMPUTED_VALUE"""),"Hostage/Standoff")</f>
        <v>Hostage/Standoff</v>
      </c>
      <c r="Y389" s="5" t="str">
        <f ca="1">IFERROR(__xludf.DUMMYFUNCTION("""COMPUTED_VALUE"""),"Random Shooting")</f>
        <v>Random Shooting</v>
      </c>
      <c r="Z389" s="5" t="str">
        <f ca="1">IFERROR(__xludf.DUMMYFUNCTION("""COMPUTED_VALUE"""),"No")</f>
        <v>No</v>
      </c>
      <c r="AA389" s="5"/>
      <c r="AB389" s="5" t="str">
        <f ca="1">IFERROR(__xludf.DUMMYFUNCTION("""COMPUTED_VALUE"""),"Yes")</f>
        <v>Yes</v>
      </c>
      <c r="AC389" s="5" t="str">
        <f ca="1">IFERROR(__xludf.DUMMYFUNCTION("""COMPUTED_VALUE"""),"No")</f>
        <v>No</v>
      </c>
      <c r="AD389" s="5" t="str">
        <f ca="1">IFERROR(__xludf.DUMMYFUNCTION("""COMPUTED_VALUE"""),"No")</f>
        <v>No</v>
      </c>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IFERROR(__xludf.DUMMYFUNCTION("""COMPUTED_VALUE"""),"Yes")</f>
        <v>Yes</v>
      </c>
    </row>
    <row r="390" spans="1:34" ht="12.75">
      <c r="A390" s="5" t="str">
        <f ca="1">IFERROR(__xludf.DUMMYFUNCTION("""COMPUTED_VALUE"""),"20210506IDRIR")</f>
        <v>20210506IDRIR</v>
      </c>
      <c r="B390" s="8">
        <f ca="1">IFERROR(__xludf.DUMMYFUNCTION("""COMPUTED_VALUE"""),44322)</f>
        <v>44322</v>
      </c>
      <c r="C390" s="5" t="str">
        <f ca="1">IFERROR(__xludf.DUMMYFUNCTION("""COMPUTED_VALUE"""),"Rigby Middle School")</f>
        <v>Rigby Middle School</v>
      </c>
      <c r="D390" s="5">
        <f ca="1">IFERROR(__xludf.DUMMYFUNCTION("""COMPUTED_VALUE"""),0)</f>
        <v>0</v>
      </c>
      <c r="E390" s="5">
        <f ca="1">IFERROR(__xludf.DUMMYFUNCTION("""COMPUTED_VALUE"""),3)</f>
        <v>3</v>
      </c>
      <c r="F390" s="5">
        <f ca="1">IFERROR(__xludf.DUMMYFUNCTION("""COMPUTED_VALUE"""),3)</f>
        <v>3</v>
      </c>
      <c r="G390" s="5">
        <f ca="1">IFERROR(__xludf.DUMMYFUNCTION("""COMPUTED_VALUE"""),0)</f>
        <v>0</v>
      </c>
      <c r="H390"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I390" s="5">
        <f ca="1">IFERROR(__xludf.DUMMYFUNCTION("""COMPUTED_VALUE"""),500)</f>
        <v>500</v>
      </c>
      <c r="J390" s="5" t="str">
        <f ca="1">IFERROR(__xludf.DUMMYFUNCTION("""COMPUTED_VALUE"""),"International")</f>
        <v>International</v>
      </c>
      <c r="K390" s="5">
        <f ca="1">IFERROR(__xludf.DUMMYFUNCTION("""COMPUTED_VALUE"""),4)</f>
        <v>4</v>
      </c>
      <c r="L390" s="5" t="str">
        <f ca="1">IFERROR(__xludf.DUMMYFUNCTION("""COMPUTED_VALUE"""),"Spring")</f>
        <v>Spring</v>
      </c>
      <c r="M390" s="5" t="str">
        <f ca="1">IFERROR(__xludf.DUMMYFUNCTION("""COMPUTED_VALUE"""),"Rigby")</f>
        <v>Rigby</v>
      </c>
      <c r="N390" s="5" t="str">
        <f ca="1">IFERROR(__xludf.DUMMYFUNCTION("""COMPUTED_VALUE"""),"ID")</f>
        <v>ID</v>
      </c>
      <c r="O390" s="5" t="str">
        <f ca="1">IFERROR(__xludf.DUMMYFUNCTION("""COMPUTED_VALUE"""),"Middle")</f>
        <v>Middle</v>
      </c>
      <c r="P390" s="5" t="str">
        <f ca="1">IFERROR(__xludf.DUMMYFUNCTION("""COMPUTED_VALUE"""),"Inside School Building")</f>
        <v>Inside School Building</v>
      </c>
      <c r="Q390" s="5" t="str">
        <f ca="1">IFERROR(__xludf.DUMMYFUNCTION("""COMPUTED_VALUE"""),"Both Inside/Outside")</f>
        <v>Both Inside/Outside</v>
      </c>
      <c r="R390" s="5" t="str">
        <f ca="1">IFERROR(__xludf.DUMMYFUNCTION("""COMPUTED_VALUE"""),"Yes")</f>
        <v>Yes</v>
      </c>
      <c r="S390" s="5" t="str">
        <f ca="1">IFERROR(__xludf.DUMMYFUNCTION("""COMPUTED_VALUE"""),"Morning Classes")</f>
        <v>Morning Classes</v>
      </c>
      <c r="T390" s="10">
        <f ca="1">IFERROR(__xludf.DUMMYFUNCTION("""COMPUTED_VALUE"""),0.385416666666666)</f>
        <v>0.38541666666666602</v>
      </c>
      <c r="U390" s="5">
        <f ca="1">IFERROR(__xludf.DUMMYFUNCTION("""COMPUTED_VALUE"""),1)</f>
        <v>1</v>
      </c>
      <c r="V390"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W390"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X390" s="5" t="str">
        <f ca="1">IFERROR(__xludf.DUMMYFUNCTION("""COMPUTED_VALUE"""),"Indiscriminate Shooting")</f>
        <v>Indiscriminate Shooting</v>
      </c>
      <c r="Y390" s="5" t="str">
        <f ca="1">IFERROR(__xludf.DUMMYFUNCTION("""COMPUTED_VALUE"""),"Both")</f>
        <v>Both</v>
      </c>
      <c r="Z390" s="5" t="str">
        <f ca="1">IFERROR(__xludf.DUMMYFUNCTION("""COMPUTED_VALUE"""),"No")</f>
        <v>No</v>
      </c>
      <c r="AA390" s="5"/>
      <c r="AB390" s="5" t="str">
        <f ca="1">IFERROR(__xludf.DUMMYFUNCTION("""COMPUTED_VALUE"""),"No")</f>
        <v>No</v>
      </c>
      <c r="AC390" s="5" t="str">
        <f ca="1">IFERROR(__xludf.DUMMYFUNCTION("""COMPUTED_VALUE"""),"No")</f>
        <v>No</v>
      </c>
      <c r="AD390" s="5" t="str">
        <f ca="1">IFERROR(__xludf.DUMMYFUNCTION("""COMPUTED_VALUE"""),"No")</f>
        <v>No</v>
      </c>
      <c r="AE390" s="5"/>
      <c r="AF390" s="5" t="str">
        <f ca="1">IFERROR(__xludf.DUMMYFUNCTION("""COMPUTED_VALUE"""),"No")</f>
        <v>No</v>
      </c>
      <c r="AG390" s="5" t="str">
        <f ca="1">IFERROR(__xludf.DUMMYFUNCTION("""COMPUTED_VALUE"""),"No")</f>
        <v>No</v>
      </c>
      <c r="AH390" s="5" t="str">
        <f ca="1">IFERROR(__xludf.DUMMYFUNCTION("""COMPUTED_VALUE"""),"Yes")</f>
        <v>Yes</v>
      </c>
    </row>
    <row r="391" spans="1:34" ht="12.75">
      <c r="A391" s="5" t="str">
        <f ca="1">IFERROR(__xludf.DUMMYFUNCTION("""COMPUTED_VALUE"""),"20210505SCWAW")</f>
        <v>20210505SCWAW</v>
      </c>
      <c r="B391" s="8">
        <f ca="1">IFERROR(__xludf.DUMMYFUNCTION("""COMPUTED_VALUE"""),44321)</f>
        <v>44321</v>
      </c>
      <c r="C391" s="5" t="str">
        <f ca="1">IFERROR(__xludf.DUMMYFUNCTION("""COMPUTED_VALUE"""),"Ware Shoals High School")</f>
        <v>Ware Shoals High School</v>
      </c>
      <c r="D391" s="5">
        <f ca="1">IFERROR(__xludf.DUMMYFUNCTION("""COMPUTED_VALUE"""),0)</f>
        <v>0</v>
      </c>
      <c r="E391" s="5">
        <f ca="1">IFERROR(__xludf.DUMMYFUNCTION("""COMPUTED_VALUE"""),0)</f>
        <v>0</v>
      </c>
      <c r="F391" s="5">
        <f ca="1">IFERROR(__xludf.DUMMYFUNCTION("""COMPUTED_VALUE"""),0)</f>
        <v>0</v>
      </c>
      <c r="G391" s="5">
        <f ca="1">IFERROR(__xludf.DUMMYFUNCTION("""COMPUTED_VALUE"""),1)</f>
        <v>1</v>
      </c>
      <c r="H391"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I391" s="5">
        <f ca="1">IFERROR(__xludf.DUMMYFUNCTION("""COMPUTED_VALUE"""),10)</f>
        <v>10</v>
      </c>
      <c r="J391" s="5" t="str">
        <f ca="1">IFERROR(__xludf.DUMMYFUNCTION("""COMPUTED_VALUE"""),"Regional")</f>
        <v>Regional</v>
      </c>
      <c r="K391" s="5">
        <f ca="1">IFERROR(__xludf.DUMMYFUNCTION("""COMPUTED_VALUE"""),4)</f>
        <v>4</v>
      </c>
      <c r="L391" s="5" t="str">
        <f ca="1">IFERROR(__xludf.DUMMYFUNCTION("""COMPUTED_VALUE"""),"Spring")</f>
        <v>Spring</v>
      </c>
      <c r="M391" s="5" t="str">
        <f ca="1">IFERROR(__xludf.DUMMYFUNCTION("""COMPUTED_VALUE"""),"Ware Shoals")</f>
        <v>Ware Shoals</v>
      </c>
      <c r="N391" s="5" t="str">
        <f ca="1">IFERROR(__xludf.DUMMYFUNCTION("""COMPUTED_VALUE"""),"SC")</f>
        <v>SC</v>
      </c>
      <c r="O391" s="5" t="str">
        <f ca="1">IFERROR(__xludf.DUMMYFUNCTION("""COMPUTED_VALUE"""),"High")</f>
        <v>High</v>
      </c>
      <c r="P391" s="5" t="str">
        <f ca="1">IFERROR(__xludf.DUMMYFUNCTION("""COMPUTED_VALUE"""),"Parking Lot")</f>
        <v>Parking Lot</v>
      </c>
      <c r="Q391" s="5" t="str">
        <f ca="1">IFERROR(__xludf.DUMMYFUNCTION("""COMPUTED_VALUE"""),"Outside on School Property")</f>
        <v>Outside on School Property</v>
      </c>
      <c r="R391" s="5" t="str">
        <f ca="1">IFERROR(__xludf.DUMMYFUNCTION("""COMPUTED_VALUE"""),"Yes")</f>
        <v>Yes</v>
      </c>
      <c r="S391" s="5" t="str">
        <f ca="1">IFERROR(__xludf.DUMMYFUNCTION("""COMPUTED_VALUE"""),"School Start")</f>
        <v>School Start</v>
      </c>
      <c r="T391" s="10">
        <f ca="1">IFERROR(__xludf.DUMMYFUNCTION("""COMPUTED_VALUE"""),0.336805555555555)</f>
        <v>0.33680555555555503</v>
      </c>
      <c r="U391" s="5">
        <f ca="1">IFERROR(__xludf.DUMMYFUNCTION("""COMPUTED_VALUE"""),1)</f>
        <v>1</v>
      </c>
      <c r="V391" s="5" t="str">
        <f ca="1">IFERROR(__xludf.DUMMYFUNCTION("""COMPUTED_VALUE"""),"Student got out of his car with a handgun and then shot himself in the head")</f>
        <v>Student got out of his car with a handgun and then shot himself in the head</v>
      </c>
      <c r="W391"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X391" s="5" t="str">
        <f ca="1">IFERROR(__xludf.DUMMYFUNCTION("""COMPUTED_VALUE"""),"Suicide/Attempted")</f>
        <v>Suicide/Attempted</v>
      </c>
      <c r="Y391" s="5"/>
      <c r="Z391" s="5" t="str">
        <f ca="1">IFERROR(__xludf.DUMMYFUNCTION("""COMPUTED_VALUE"""),"No")</f>
        <v>No</v>
      </c>
      <c r="AA391" s="5"/>
      <c r="AB391" s="5" t="str">
        <f ca="1">IFERROR(__xludf.DUMMYFUNCTION("""COMPUTED_VALUE"""),"No")</f>
        <v>No</v>
      </c>
      <c r="AC391" s="5" t="str">
        <f ca="1">IFERROR(__xludf.DUMMYFUNCTION("""COMPUTED_VALUE"""),"No")</f>
        <v>No</v>
      </c>
      <c r="AD391" s="5" t="str">
        <f ca="1">IFERROR(__xludf.DUMMYFUNCTION("""COMPUTED_VALUE"""),"No")</f>
        <v>No</v>
      </c>
      <c r="AE391" s="5"/>
      <c r="AF391" s="5" t="str">
        <f ca="1">IFERROR(__xludf.DUMMYFUNCTION("""COMPUTED_VALUE"""),"No")</f>
        <v>No</v>
      </c>
      <c r="AG391" s="5" t="str">
        <f ca="1">IFERROR(__xludf.DUMMYFUNCTION("""COMPUTED_VALUE"""),"No")</f>
        <v>No</v>
      </c>
      <c r="AH391" s="5" t="str">
        <f ca="1">IFERROR(__xludf.DUMMYFUNCTION("""COMPUTED_VALUE"""),"No")</f>
        <v>No</v>
      </c>
    </row>
    <row r="392" spans="1:34" ht="12.75">
      <c r="A392" s="5" t="str">
        <f ca="1">IFERROR(__xludf.DUMMYFUNCTION("""COMPUTED_VALUE"""),"20210505MICRC")</f>
        <v>20210505MICRC</v>
      </c>
      <c r="B392" s="8">
        <f ca="1">IFERROR(__xludf.DUMMYFUNCTION("""COMPUTED_VALUE"""),44321)</f>
        <v>44321</v>
      </c>
      <c r="C392" s="5" t="str">
        <f ca="1">IFERROR(__xludf.DUMMYFUNCTION("""COMPUTED_VALUE"""),"Crossroads Alternative High")</f>
        <v>Crossroads Alternative High</v>
      </c>
      <c r="D392" s="5">
        <f ca="1">IFERROR(__xludf.DUMMYFUNCTION("""COMPUTED_VALUE"""),0)</f>
        <v>0</v>
      </c>
      <c r="E392" s="5">
        <f ca="1">IFERROR(__xludf.DUMMYFUNCTION("""COMPUTED_VALUE"""),1)</f>
        <v>1</v>
      </c>
      <c r="F392" s="5">
        <f ca="1">IFERROR(__xludf.DUMMYFUNCTION("""COMPUTED_VALUE"""),1)</f>
        <v>1</v>
      </c>
      <c r="G392" s="5">
        <f ca="1">IFERROR(__xludf.DUMMYFUNCTION("""COMPUTED_VALUE"""),0)</f>
        <v>0</v>
      </c>
      <c r="H392"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I392" s="5">
        <f ca="1">IFERROR(__xludf.DUMMYFUNCTION("""COMPUTED_VALUE"""),3)</f>
        <v>3</v>
      </c>
      <c r="J392" s="5" t="str">
        <f ca="1">IFERROR(__xludf.DUMMYFUNCTION("""COMPUTED_VALUE"""),"Local")</f>
        <v>Local</v>
      </c>
      <c r="K392" s="5">
        <f ca="1">IFERROR(__xludf.DUMMYFUNCTION("""COMPUTED_VALUE"""),3)</f>
        <v>3</v>
      </c>
      <c r="L392" s="5" t="str">
        <f ca="1">IFERROR(__xludf.DUMMYFUNCTION("""COMPUTED_VALUE"""),"Spring")</f>
        <v>Spring</v>
      </c>
      <c r="M392" s="5" t="str">
        <f ca="1">IFERROR(__xludf.DUMMYFUNCTION("""COMPUTED_VALUE"""),"Cutlerville")</f>
        <v>Cutlerville</v>
      </c>
      <c r="N392" s="5" t="str">
        <f ca="1">IFERROR(__xludf.DUMMYFUNCTION("""COMPUTED_VALUE"""),"MI")</f>
        <v>MI</v>
      </c>
      <c r="O392" s="5" t="str">
        <f ca="1">IFERROR(__xludf.DUMMYFUNCTION("""COMPUTED_VALUE"""),"High")</f>
        <v>High</v>
      </c>
      <c r="P392" s="5" t="str">
        <f ca="1">IFERROR(__xludf.DUMMYFUNCTION("""COMPUTED_VALUE"""),"Front of School")</f>
        <v>Front of School</v>
      </c>
      <c r="Q392" s="5" t="str">
        <f ca="1">IFERROR(__xludf.DUMMYFUNCTION("""COMPUTED_VALUE"""),"Outside on School Property")</f>
        <v>Outside on School Property</v>
      </c>
      <c r="R392" s="5" t="str">
        <f ca="1">IFERROR(__xludf.DUMMYFUNCTION("""COMPUTED_VALUE"""),"Yes")</f>
        <v>Yes</v>
      </c>
      <c r="S392" s="5" t="str">
        <f ca="1">IFERROR(__xludf.DUMMYFUNCTION("""COMPUTED_VALUE"""),"Afternoon Classes")</f>
        <v>Afternoon Classes</v>
      </c>
      <c r="T392" s="10">
        <f ca="1">IFERROR(__xludf.DUMMYFUNCTION("""COMPUTED_VALUE"""),0.583333333333333)</f>
        <v>0.58333333333333304</v>
      </c>
      <c r="U392" s="5">
        <f ca="1">IFERROR(__xludf.DUMMYFUNCTION("""COMPUTED_VALUE"""),1)</f>
        <v>1</v>
      </c>
      <c r="V392"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W392"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X392" s="5" t="str">
        <f ca="1">IFERROR(__xludf.DUMMYFUNCTION("""COMPUTED_VALUE"""),"Drive-by Shooting")</f>
        <v>Drive-by Shooting</v>
      </c>
      <c r="Y392" s="5" t="str">
        <f ca="1">IFERROR(__xludf.DUMMYFUNCTION("""COMPUTED_VALUE"""),"Victims Targeted")</f>
        <v>Victims Targeted</v>
      </c>
      <c r="Z392" s="5" t="str">
        <f ca="1">IFERROR(__xludf.DUMMYFUNCTION("""COMPUTED_VALUE"""),"No")</f>
        <v>No</v>
      </c>
      <c r="AA392" s="5"/>
      <c r="AB392" s="5" t="str">
        <f ca="1">IFERROR(__xludf.DUMMYFUNCTION("""COMPUTED_VALUE"""),"No")</f>
        <v>No</v>
      </c>
      <c r="AC392" s="5" t="str">
        <f ca="1">IFERROR(__xludf.DUMMYFUNCTION("""COMPUTED_VALUE"""),"No")</f>
        <v>No</v>
      </c>
      <c r="AD392" s="5" t="str">
        <f ca="1">IFERROR(__xludf.DUMMYFUNCTION("""COMPUTED_VALUE"""),"No")</f>
        <v>No</v>
      </c>
      <c r="AE392" s="5" t="str">
        <f ca="1">IFERROR(__xludf.DUMMYFUNCTION("""COMPUTED_VALUE"""),"No")</f>
        <v>No</v>
      </c>
      <c r="AF392" s="5" t="str">
        <f ca="1">IFERROR(__xludf.DUMMYFUNCTION("""COMPUTED_VALUE"""),"No")</f>
        <v>No</v>
      </c>
      <c r="AG392" s="5"/>
      <c r="AH392" s="5" t="str">
        <f ca="1">IFERROR(__xludf.DUMMYFUNCTION("""COMPUTED_VALUE"""),"No")</f>
        <v>No</v>
      </c>
    </row>
    <row r="393" spans="1:34" ht="12.75">
      <c r="A393" s="5" t="str">
        <f ca="1">IFERROR(__xludf.DUMMYFUNCTION("""COMPUTED_VALUE"""),"20210502ILCHC")</f>
        <v>20210502ILCHC</v>
      </c>
      <c r="B393" s="8">
        <f ca="1">IFERROR(__xludf.DUMMYFUNCTION("""COMPUTED_VALUE"""),44318)</f>
        <v>44318</v>
      </c>
      <c r="C393" s="5" t="str">
        <f ca="1">IFERROR(__xludf.DUMMYFUNCTION("""COMPUTED_VALUE"""),"Chicago Bulls College Prep High School")</f>
        <v>Chicago Bulls College Prep High School</v>
      </c>
      <c r="D393" s="5">
        <f ca="1">IFERROR(__xludf.DUMMYFUNCTION("""COMPUTED_VALUE"""),0)</f>
        <v>0</v>
      </c>
      <c r="E393" s="5">
        <f ca="1">IFERROR(__xludf.DUMMYFUNCTION("""COMPUTED_VALUE"""),5)</f>
        <v>5</v>
      </c>
      <c r="F393" s="5">
        <f ca="1">IFERROR(__xludf.DUMMYFUNCTION("""COMPUTED_VALUE"""),5)</f>
        <v>5</v>
      </c>
      <c r="G393" s="5">
        <f ca="1">IFERROR(__xludf.DUMMYFUNCTION("""COMPUTED_VALUE"""),0)</f>
        <v>0</v>
      </c>
      <c r="H393" s="9" t="str">
        <f ca="1">IFERROR(__xludf.DUMMYFUNCTION("""COMPUTED_VALUE"""),"https://chicago.cbslocal.com/2021/05/03/near-west-side-shooting-2/")</f>
        <v>https://chicago.cbslocal.com/2021/05/03/near-west-side-shooting-2/</v>
      </c>
      <c r="I393" s="5">
        <f ca="1">IFERROR(__xludf.DUMMYFUNCTION("""COMPUTED_VALUE"""),2)</f>
        <v>2</v>
      </c>
      <c r="J393" s="5" t="str">
        <f ca="1">IFERROR(__xludf.DUMMYFUNCTION("""COMPUTED_VALUE"""),"Local")</f>
        <v>Local</v>
      </c>
      <c r="K393" s="5">
        <f ca="1">IFERROR(__xludf.DUMMYFUNCTION("""COMPUTED_VALUE"""),3)</f>
        <v>3</v>
      </c>
      <c r="L393" s="5" t="str">
        <f ca="1">IFERROR(__xludf.DUMMYFUNCTION("""COMPUTED_VALUE"""),"Spring")</f>
        <v>Spring</v>
      </c>
      <c r="M393" s="5" t="str">
        <f ca="1">IFERROR(__xludf.DUMMYFUNCTION("""COMPUTED_VALUE"""),"Chicago")</f>
        <v>Chicago</v>
      </c>
      <c r="N393" s="5" t="str">
        <f ca="1">IFERROR(__xludf.DUMMYFUNCTION("""COMPUTED_VALUE"""),"IL")</f>
        <v>IL</v>
      </c>
      <c r="O393" s="5" t="str">
        <f ca="1">IFERROR(__xludf.DUMMYFUNCTION("""COMPUTED_VALUE"""),"High")</f>
        <v>High</v>
      </c>
      <c r="P393" s="5" t="str">
        <f ca="1">IFERROR(__xludf.DUMMYFUNCTION("""COMPUTED_VALUE"""),"Front of School")</f>
        <v>Front of School</v>
      </c>
      <c r="Q393" s="5" t="str">
        <f ca="1">IFERROR(__xludf.DUMMYFUNCTION("""COMPUTED_VALUE"""),"Outside on School Property")</f>
        <v>Outside on School Property</v>
      </c>
      <c r="R393" s="5" t="str">
        <f ca="1">IFERROR(__xludf.DUMMYFUNCTION("""COMPUTED_VALUE"""),"No")</f>
        <v>No</v>
      </c>
      <c r="S393" s="5" t="str">
        <f ca="1">IFERROR(__xludf.DUMMYFUNCTION("""COMPUTED_VALUE"""),"Night")</f>
        <v>Night</v>
      </c>
      <c r="T393" s="10">
        <f ca="1">IFERROR(__xludf.DUMMYFUNCTION("""COMPUTED_VALUE"""),0.965277777777777)</f>
        <v>0.96527777777777701</v>
      </c>
      <c r="U393" s="5">
        <f ca="1">IFERROR(__xludf.DUMMYFUNCTION("""COMPUTED_VALUE"""),1)</f>
        <v>1</v>
      </c>
      <c r="V393" s="5" t="str">
        <f ca="1">IFERROR(__xludf.DUMMYFUNCTION("""COMPUTED_VALUE"""),"5 people shot during drive-by shooting in front of the school")</f>
        <v>5 people shot during drive-by shooting in front of the school</v>
      </c>
      <c r="W393"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X393" s="5" t="str">
        <f ca="1">IFERROR(__xludf.DUMMYFUNCTION("""COMPUTED_VALUE"""),"Drive-by Shooting")</f>
        <v>Drive-by Shooting</v>
      </c>
      <c r="Y393" s="5" t="str">
        <f ca="1">IFERROR(__xludf.DUMMYFUNCTION("""COMPUTED_VALUE"""),"Both")</f>
        <v>Both</v>
      </c>
      <c r="Z393" s="5" t="str">
        <f ca="1">IFERROR(__xludf.DUMMYFUNCTION("""COMPUTED_VALUE"""),"Yes")</f>
        <v>Yes</v>
      </c>
      <c r="AA393" s="5" t="str">
        <f ca="1">IFERROR(__xludf.DUMMYFUNCTION("""COMPUTED_VALUE"""),"Three shooters in vehicle")</f>
        <v>Three shooters in vehicle</v>
      </c>
      <c r="AB393" s="5"/>
      <c r="AC393" s="5" t="str">
        <f ca="1">IFERROR(__xludf.DUMMYFUNCTION("""COMPUTED_VALUE"""),"No")</f>
        <v>No</v>
      </c>
      <c r="AD393" s="5" t="str">
        <f ca="1">IFERROR(__xludf.DUMMYFUNCTION("""COMPUTED_VALUE"""),"No")</f>
        <v>No</v>
      </c>
      <c r="AE393" s="5" t="str">
        <f ca="1">IFERROR(__xludf.DUMMYFUNCTION("""COMPUTED_VALUE"""),"No")</f>
        <v>No</v>
      </c>
      <c r="AF393" s="5" t="str">
        <f ca="1">IFERROR(__xludf.DUMMYFUNCTION("""COMPUTED_VALUE"""),"No")</f>
        <v>No</v>
      </c>
      <c r="AG393" s="5"/>
      <c r="AH393" s="5" t="str">
        <f ca="1">IFERROR(__xludf.DUMMYFUNCTION("""COMPUTED_VALUE"""),"No")</f>
        <v>No</v>
      </c>
    </row>
    <row r="394" spans="1:34" ht="12.75">
      <c r="A394" s="5" t="str">
        <f ca="1">IFERROR(__xludf.DUMMYFUNCTION("""COMPUTED_VALUE"""),"20210501MNBES")</f>
        <v>20210501MNBES</v>
      </c>
      <c r="B394" s="8">
        <f ca="1">IFERROR(__xludf.DUMMYFUNCTION("""COMPUTED_VALUE"""),44317)</f>
        <v>44317</v>
      </c>
      <c r="C394" s="5" t="str">
        <f ca="1">IFERROR(__xludf.DUMMYFUNCTION("""COMPUTED_VALUE"""),"Benjamin E Mays School")</f>
        <v>Benjamin E Mays School</v>
      </c>
      <c r="D394" s="5">
        <f ca="1">IFERROR(__xludf.DUMMYFUNCTION("""COMPUTED_VALUE"""),0)</f>
        <v>0</v>
      </c>
      <c r="E394" s="5">
        <f ca="1">IFERROR(__xludf.DUMMYFUNCTION("""COMPUTED_VALUE"""),0)</f>
        <v>0</v>
      </c>
      <c r="F394" s="5">
        <f ca="1">IFERROR(__xludf.DUMMYFUNCTION("""COMPUTED_VALUE"""),0)</f>
        <v>0</v>
      </c>
      <c r="G394" s="5">
        <f ca="1">IFERROR(__xludf.DUMMYFUNCTION("""COMPUTED_VALUE"""),0)</f>
        <v>0</v>
      </c>
      <c r="H394"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I394" s="5">
        <f ca="1">IFERROR(__xludf.DUMMYFUNCTION("""COMPUTED_VALUE"""),3)</f>
        <v>3</v>
      </c>
      <c r="J394" s="5" t="str">
        <f ca="1">IFERROR(__xludf.DUMMYFUNCTION("""COMPUTED_VALUE"""),"Local")</f>
        <v>Local</v>
      </c>
      <c r="K394" s="5">
        <f ca="1">IFERROR(__xludf.DUMMYFUNCTION("""COMPUTED_VALUE"""),4)</f>
        <v>4</v>
      </c>
      <c r="L394" s="5" t="str">
        <f ca="1">IFERROR(__xludf.DUMMYFUNCTION("""COMPUTED_VALUE"""),"Spring")</f>
        <v>Spring</v>
      </c>
      <c r="M394" s="5" t="str">
        <f ca="1">IFERROR(__xludf.DUMMYFUNCTION("""COMPUTED_VALUE"""),"St. Paul")</f>
        <v>St. Paul</v>
      </c>
      <c r="N394" s="5" t="str">
        <f ca="1">IFERROR(__xludf.DUMMYFUNCTION("""COMPUTED_VALUE"""),"MN")</f>
        <v>MN</v>
      </c>
      <c r="O394" s="5" t="str">
        <f ca="1">IFERROR(__xludf.DUMMYFUNCTION("""COMPUTED_VALUE"""),"Elementary")</f>
        <v>Elementary</v>
      </c>
      <c r="P394" s="5" t="str">
        <f ca="1">IFERROR(__xludf.DUMMYFUNCTION("""COMPUTED_VALUE"""),"Front of School")</f>
        <v>Front of School</v>
      </c>
      <c r="Q394" s="5" t="str">
        <f ca="1">IFERROR(__xludf.DUMMYFUNCTION("""COMPUTED_VALUE"""),"Outside on School Property")</f>
        <v>Outside on School Property</v>
      </c>
      <c r="R394" s="5" t="str">
        <f ca="1">IFERROR(__xludf.DUMMYFUNCTION("""COMPUTED_VALUE"""),"No")</f>
        <v>No</v>
      </c>
      <c r="S394" s="5" t="str">
        <f ca="1">IFERROR(__xludf.DUMMYFUNCTION("""COMPUTED_VALUE"""),"Night")</f>
        <v>Night</v>
      </c>
      <c r="T394" s="10">
        <f ca="1">IFERROR(__xludf.DUMMYFUNCTION("""COMPUTED_VALUE"""),0.981944444444444)</f>
        <v>0.98194444444444395</v>
      </c>
      <c r="U394" s="5">
        <f ca="1">IFERROR(__xludf.DUMMYFUNCTION("""COMPUTED_VALUE"""),1)</f>
        <v>1</v>
      </c>
      <c r="V394" s="5" t="str">
        <f ca="1">IFERROR(__xludf.DUMMYFUNCTION("""COMPUTED_VALUE"""),"Shots fired by 5 different armed men involved in a fight struck the school building")</f>
        <v>Shots fired by 5 different armed men involved in a fight struck the school building</v>
      </c>
      <c r="W394"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X394" s="5"/>
      <c r="Y394" s="5" t="str">
        <f ca="1">IFERROR(__xludf.DUMMYFUNCTION("""COMPUTED_VALUE"""),"Victims Targeted")</f>
        <v>Victims Targeted</v>
      </c>
      <c r="Z394" s="5" t="str">
        <f ca="1">IFERROR(__xludf.DUMMYFUNCTION("""COMPUTED_VALUE"""),"Yes")</f>
        <v>Yes</v>
      </c>
      <c r="AA394" s="5" t="str">
        <f ca="1">IFERROR(__xludf.DUMMYFUNCTION("""COMPUTED_VALUE"""),"3 men involved with initial shooting")</f>
        <v>3 men involved with initial shooting</v>
      </c>
      <c r="AB394" s="5" t="str">
        <f ca="1">IFERROR(__xludf.DUMMYFUNCTION("""COMPUTED_VALUE"""),"No")</f>
        <v>No</v>
      </c>
      <c r="AC394" s="5" t="str">
        <f ca="1">IFERROR(__xludf.DUMMYFUNCTION("""COMPUTED_VALUE"""),"No")</f>
        <v>No</v>
      </c>
      <c r="AD394" s="5"/>
      <c r="AE394" s="5" t="str">
        <f ca="1">IFERROR(__xludf.DUMMYFUNCTION("""COMPUTED_VALUE"""),"No")</f>
        <v>No</v>
      </c>
      <c r="AF394" s="5" t="str">
        <f ca="1">IFERROR(__xludf.DUMMYFUNCTION("""COMPUTED_VALUE"""),"No")</f>
        <v>No</v>
      </c>
      <c r="AG394" s="5"/>
      <c r="AH394" s="5" t="str">
        <f ca="1">IFERROR(__xludf.DUMMYFUNCTION("""COMPUTED_VALUE"""),"No")</f>
        <v>No</v>
      </c>
    </row>
    <row r="395" spans="1:34" ht="12.75">
      <c r="A395" s="5" t="str">
        <f ca="1">IFERROR(__xludf.DUMMYFUNCTION("""COMPUTED_VALUE"""),"20210430INMAI")</f>
        <v>20210430INMAI</v>
      </c>
      <c r="B395" s="8">
        <f ca="1">IFERROR(__xludf.DUMMYFUNCTION("""COMPUTED_VALUE"""),44316)</f>
        <v>44316</v>
      </c>
      <c r="C395" s="5" t="str">
        <f ca="1">IFERROR(__xludf.DUMMYFUNCTION("""COMPUTED_VALUE"""),"Mary Castle Elementary School")</f>
        <v>Mary Castle Elementary School</v>
      </c>
      <c r="D395" s="5">
        <f ca="1">IFERROR(__xludf.DUMMYFUNCTION("""COMPUTED_VALUE"""),0)</f>
        <v>0</v>
      </c>
      <c r="E395" s="5">
        <f ca="1">IFERROR(__xludf.DUMMYFUNCTION("""COMPUTED_VALUE"""),1)</f>
        <v>1</v>
      </c>
      <c r="F395" s="5">
        <f ca="1">IFERROR(__xludf.DUMMYFUNCTION("""COMPUTED_VALUE"""),1)</f>
        <v>1</v>
      </c>
      <c r="G395" s="5">
        <f ca="1">IFERROR(__xludf.DUMMYFUNCTION("""COMPUTED_VALUE"""),0)</f>
        <v>0</v>
      </c>
      <c r="H395"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I395" s="5">
        <f ca="1">IFERROR(__xludf.DUMMYFUNCTION("""COMPUTED_VALUE"""),10)</f>
        <v>10</v>
      </c>
      <c r="J395" s="5" t="str">
        <f ca="1">IFERROR(__xludf.DUMMYFUNCTION("""COMPUTED_VALUE"""),"Regional")</f>
        <v>Regional</v>
      </c>
      <c r="K395" s="5">
        <f ca="1">IFERROR(__xludf.DUMMYFUNCTION("""COMPUTED_VALUE"""),4)</f>
        <v>4</v>
      </c>
      <c r="L395" s="5" t="str">
        <f ca="1">IFERROR(__xludf.DUMMYFUNCTION("""COMPUTED_VALUE"""),"Spring")</f>
        <v>Spring</v>
      </c>
      <c r="M395" s="5" t="str">
        <f ca="1">IFERROR(__xludf.DUMMYFUNCTION("""COMPUTED_VALUE"""),"Indianapolis")</f>
        <v>Indianapolis</v>
      </c>
      <c r="N395" s="5" t="str">
        <f ca="1">IFERROR(__xludf.DUMMYFUNCTION("""COMPUTED_VALUE"""),"IN")</f>
        <v>IN</v>
      </c>
      <c r="O395" s="5" t="str">
        <f ca="1">IFERROR(__xludf.DUMMYFUNCTION("""COMPUTED_VALUE"""),"Elementary")</f>
        <v>Elementary</v>
      </c>
      <c r="P395" s="5" t="str">
        <f ca="1">IFERROR(__xludf.DUMMYFUNCTION("""COMPUTED_VALUE"""),"Parking Lot")</f>
        <v>Parking Lot</v>
      </c>
      <c r="Q395" s="5" t="str">
        <f ca="1">IFERROR(__xludf.DUMMYFUNCTION("""COMPUTED_VALUE"""),"Off School Property")</f>
        <v>Off School Property</v>
      </c>
      <c r="R395" s="5" t="str">
        <f ca="1">IFERROR(__xludf.DUMMYFUNCTION("""COMPUTED_VALUE"""),"Yes")</f>
        <v>Yes</v>
      </c>
      <c r="S395" s="5" t="str">
        <f ca="1">IFERROR(__xludf.DUMMYFUNCTION("""COMPUTED_VALUE"""),"Afternoon Classes")</f>
        <v>Afternoon Classes</v>
      </c>
      <c r="T395" s="10">
        <f ca="1">IFERROR(__xludf.DUMMYFUNCTION("""COMPUTED_VALUE"""),0.541666666666666)</f>
        <v>0.54166666666666596</v>
      </c>
      <c r="U395" s="5">
        <f ca="1">IFERROR(__xludf.DUMMYFUNCTION("""COMPUTED_VALUE"""),1)</f>
        <v>1</v>
      </c>
      <c r="V395" s="5" t="str">
        <f ca="1">IFERROR(__xludf.DUMMYFUNCTION("""COMPUTED_VALUE"""),"Parent shot during domestic incident in school parking lot while class was in session")</f>
        <v>Parent shot during domestic incident in school parking lot while class was in session</v>
      </c>
      <c r="W395"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X395" s="5" t="str">
        <f ca="1">IFERROR(__xludf.DUMMYFUNCTION("""COMPUTED_VALUE"""),"Domestic w/ Targeted Victim")</f>
        <v>Domestic w/ Targeted Victim</v>
      </c>
      <c r="Y395" s="5" t="str">
        <f ca="1">IFERROR(__xludf.DUMMYFUNCTION("""COMPUTED_VALUE"""),"Victims Targeted")</f>
        <v>Victims Targeted</v>
      </c>
      <c r="Z395" s="5" t="str">
        <f ca="1">IFERROR(__xludf.DUMMYFUNCTION("""COMPUTED_VALUE"""),"No")</f>
        <v>No</v>
      </c>
      <c r="AA395" s="5"/>
      <c r="AB395" s="5" t="str">
        <f ca="1">IFERROR(__xludf.DUMMYFUNCTION("""COMPUTED_VALUE"""),"No")</f>
        <v>No</v>
      </c>
      <c r="AC395" s="5" t="str">
        <f ca="1">IFERROR(__xludf.DUMMYFUNCTION("""COMPUTED_VALUE"""),"No")</f>
        <v>No</v>
      </c>
      <c r="AD395" s="5" t="str">
        <f ca="1">IFERROR(__xludf.DUMMYFUNCTION("""COMPUTED_VALUE"""),"No")</f>
        <v>No</v>
      </c>
      <c r="AE395" s="5" t="str">
        <f ca="1">IFERROR(__xludf.DUMMYFUNCTION("""COMPUTED_VALUE"""),"No")</f>
        <v>No</v>
      </c>
      <c r="AF395" s="5" t="str">
        <f ca="1">IFERROR(__xludf.DUMMYFUNCTION("""COMPUTED_VALUE"""),"Yes")</f>
        <v>Yes</v>
      </c>
      <c r="AG395" s="5" t="str">
        <f ca="1">IFERROR(__xludf.DUMMYFUNCTION("""COMPUTED_VALUE"""),"No")</f>
        <v>No</v>
      </c>
      <c r="AH395" s="5" t="str">
        <f ca="1">IFERROR(__xludf.DUMMYFUNCTION("""COMPUTED_VALUE"""),"No")</f>
        <v>No</v>
      </c>
    </row>
    <row r="396" spans="1:34" ht="12.75">
      <c r="A396" s="5" t="str">
        <f ca="1">IFERROR(__xludf.DUMMYFUNCTION("""COMPUTED_VALUE"""),"20210429NYURB")</f>
        <v>20210429NYURB</v>
      </c>
      <c r="B396" s="8">
        <f ca="1">IFERROR(__xludf.DUMMYFUNCTION("""COMPUTED_VALUE"""),44315)</f>
        <v>44315</v>
      </c>
      <c r="C396" s="5" t="str">
        <f ca="1">IFERROR(__xludf.DUMMYFUNCTION("""COMPUTED_VALUE"""),"Urban Dove Charter School")</f>
        <v>Urban Dove Charter School</v>
      </c>
      <c r="D396" s="5">
        <f ca="1">IFERROR(__xludf.DUMMYFUNCTION("""COMPUTED_VALUE"""),1)</f>
        <v>1</v>
      </c>
      <c r="E396" s="5">
        <f ca="1">IFERROR(__xludf.DUMMYFUNCTION("""COMPUTED_VALUE"""),0)</f>
        <v>0</v>
      </c>
      <c r="F396" s="5">
        <f ca="1">IFERROR(__xludf.DUMMYFUNCTION("""COMPUTED_VALUE"""),1)</f>
        <v>1</v>
      </c>
      <c r="G396" s="5">
        <f ca="1">IFERROR(__xludf.DUMMYFUNCTION("""COMPUTED_VALUE"""),0)</f>
        <v>0</v>
      </c>
      <c r="H396"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I396" s="5">
        <f ca="1">IFERROR(__xludf.DUMMYFUNCTION("""COMPUTED_VALUE"""),10)</f>
        <v>10</v>
      </c>
      <c r="J396" s="5" t="str">
        <f ca="1">IFERROR(__xludf.DUMMYFUNCTION("""COMPUTED_VALUE"""),"Regional")</f>
        <v>Regional</v>
      </c>
      <c r="K396" s="5">
        <f ca="1">IFERROR(__xludf.DUMMYFUNCTION("""COMPUTED_VALUE"""),4)</f>
        <v>4</v>
      </c>
      <c r="L396" s="5" t="str">
        <f ca="1">IFERROR(__xludf.DUMMYFUNCTION("""COMPUTED_VALUE"""),"Spring")</f>
        <v>Spring</v>
      </c>
      <c r="M396" s="5" t="str">
        <f ca="1">IFERROR(__xludf.DUMMYFUNCTION("""COMPUTED_VALUE"""),"Brooklyn")</f>
        <v>Brooklyn</v>
      </c>
      <c r="N396" s="5" t="str">
        <f ca="1">IFERROR(__xludf.DUMMYFUNCTION("""COMPUTED_VALUE"""),"NY")</f>
        <v>NY</v>
      </c>
      <c r="O396" s="5" t="str">
        <f ca="1">IFERROR(__xludf.DUMMYFUNCTION("""COMPUTED_VALUE"""),"High")</f>
        <v>High</v>
      </c>
      <c r="P396" s="5" t="str">
        <f ca="1">IFERROR(__xludf.DUMMYFUNCTION("""COMPUTED_VALUE"""),"Front of School")</f>
        <v>Front of School</v>
      </c>
      <c r="Q396" s="5" t="str">
        <f ca="1">IFERROR(__xludf.DUMMYFUNCTION("""COMPUTED_VALUE"""),"Outside on School Property")</f>
        <v>Outside on School Property</v>
      </c>
      <c r="R396" s="5" t="str">
        <f ca="1">IFERROR(__xludf.DUMMYFUNCTION("""COMPUTED_VALUE"""),"Yes")</f>
        <v>Yes</v>
      </c>
      <c r="S396" s="5" t="str">
        <f ca="1">IFERROR(__xludf.DUMMYFUNCTION("""COMPUTED_VALUE"""),"Dismissal")</f>
        <v>Dismissal</v>
      </c>
      <c r="T396" s="10">
        <f ca="1">IFERROR(__xludf.DUMMYFUNCTION("""COMPUTED_VALUE"""),0.614583333333333)</f>
        <v>0.61458333333333304</v>
      </c>
      <c r="U396" s="5">
        <f ca="1">IFERROR(__xludf.DUMMYFUNCTION("""COMPUTED_VALUE"""),1)</f>
        <v>1</v>
      </c>
      <c r="V396" s="5" t="str">
        <f ca="1">IFERROR(__xludf.DUMMYFUNCTION("""COMPUTED_VALUE"""),"Teen fatally shot on front steps leaving the school building")</f>
        <v>Teen fatally shot on front steps leaving the school building</v>
      </c>
      <c r="W396" s="5" t="str">
        <f ca="1">IFERROR(__xludf.DUMMYFUNCTION("""COMPUTED_VALUE"""),"Teen fatally shot on front steps leaving the school building")</f>
        <v>Teen fatally shot on front steps leaving the school building</v>
      </c>
      <c r="X396" s="5"/>
      <c r="Y396" s="5" t="str">
        <f ca="1">IFERROR(__xludf.DUMMYFUNCTION("""COMPUTED_VALUE"""),"Victims Targeted")</f>
        <v>Victims Targeted</v>
      </c>
      <c r="Z396" s="5" t="str">
        <f ca="1">IFERROR(__xludf.DUMMYFUNCTION("""COMPUTED_VALUE"""),"Yes")</f>
        <v>Yes</v>
      </c>
      <c r="AA396" s="5"/>
      <c r="AB396" s="5" t="str">
        <f ca="1">IFERROR(__xludf.DUMMYFUNCTION("""COMPUTED_VALUE"""),"No")</f>
        <v>No</v>
      </c>
      <c r="AC396" s="5" t="str">
        <f ca="1">IFERROR(__xludf.DUMMYFUNCTION("""COMPUTED_VALUE"""),"No")</f>
        <v>No</v>
      </c>
      <c r="AD396" s="5" t="str">
        <f ca="1">IFERROR(__xludf.DUMMYFUNCTION("""COMPUTED_VALUE"""),"No")</f>
        <v>No</v>
      </c>
      <c r="AE396" s="5" t="str">
        <f ca="1">IFERROR(__xludf.DUMMYFUNCTION("""COMPUTED_VALUE"""),"No")</f>
        <v>No</v>
      </c>
      <c r="AF396" s="5" t="str">
        <f ca="1">IFERROR(__xludf.DUMMYFUNCTION("""COMPUTED_VALUE"""),"No")</f>
        <v>No</v>
      </c>
      <c r="AG396" s="5"/>
      <c r="AH396" s="5" t="str">
        <f ca="1">IFERROR(__xludf.DUMMYFUNCTION("""COMPUTED_VALUE"""),"No")</f>
        <v>No</v>
      </c>
    </row>
    <row r="397" spans="1:34" ht="12.75">
      <c r="A397" s="5" t="str">
        <f ca="1">IFERROR(__xludf.DUMMYFUNCTION("""COMPUTED_VALUE"""),"20210429CAVIV")</f>
        <v>20210429CAVIV</v>
      </c>
      <c r="B397" s="8">
        <f ca="1">IFERROR(__xludf.DUMMYFUNCTION("""COMPUTED_VALUE"""),44315)</f>
        <v>44315</v>
      </c>
      <c r="C397" s="5" t="str">
        <f ca="1">IFERROR(__xludf.DUMMYFUNCTION("""COMPUTED_VALUE"""),"Victor Valley High School")</f>
        <v>Victor Valley High School</v>
      </c>
      <c r="D397" s="5">
        <f ca="1">IFERROR(__xludf.DUMMYFUNCTION("""COMPUTED_VALUE"""),0)</f>
        <v>0</v>
      </c>
      <c r="E397" s="5">
        <f ca="1">IFERROR(__xludf.DUMMYFUNCTION("""COMPUTED_VALUE"""),1)</f>
        <v>1</v>
      </c>
      <c r="F397" s="5">
        <f ca="1">IFERROR(__xludf.DUMMYFUNCTION("""COMPUTED_VALUE"""),1)</f>
        <v>1</v>
      </c>
      <c r="G397" s="5">
        <f ca="1">IFERROR(__xludf.DUMMYFUNCTION("""COMPUTED_VALUE"""),0)</f>
        <v>0</v>
      </c>
      <c r="H397"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I397" s="5">
        <f ca="1">IFERROR(__xludf.DUMMYFUNCTION("""COMPUTED_VALUE"""),5)</f>
        <v>5</v>
      </c>
      <c r="J397" s="5" t="str">
        <f ca="1">IFERROR(__xludf.DUMMYFUNCTION("""COMPUTED_VALUE"""),"Regional")</f>
        <v>Regional</v>
      </c>
      <c r="K397" s="5">
        <f ca="1">IFERROR(__xludf.DUMMYFUNCTION("""COMPUTED_VALUE"""),4)</f>
        <v>4</v>
      </c>
      <c r="L397" s="5" t="str">
        <f ca="1">IFERROR(__xludf.DUMMYFUNCTION("""COMPUTED_VALUE"""),"Spring")</f>
        <v>Spring</v>
      </c>
      <c r="M397" s="5" t="str">
        <f ca="1">IFERROR(__xludf.DUMMYFUNCTION("""COMPUTED_VALUE"""),"Victorville")</f>
        <v>Victorville</v>
      </c>
      <c r="N397" s="5" t="str">
        <f ca="1">IFERROR(__xludf.DUMMYFUNCTION("""COMPUTED_VALUE"""),"CA")</f>
        <v>CA</v>
      </c>
      <c r="O397" s="5" t="str">
        <f ca="1">IFERROR(__xludf.DUMMYFUNCTION("""COMPUTED_VALUE"""),"High")</f>
        <v>High</v>
      </c>
      <c r="P397" s="5" t="str">
        <f ca="1">IFERROR(__xludf.DUMMYFUNCTION("""COMPUTED_VALUE"""),"Parking Lot")</f>
        <v>Parking Lot</v>
      </c>
      <c r="Q397" s="5" t="str">
        <f ca="1">IFERROR(__xludf.DUMMYFUNCTION("""COMPUTED_VALUE"""),"Outside on School Property")</f>
        <v>Outside on School Property</v>
      </c>
      <c r="R397" s="5" t="str">
        <f ca="1">IFERROR(__xludf.DUMMYFUNCTION("""COMPUTED_VALUE"""),"Yes")</f>
        <v>Yes</v>
      </c>
      <c r="S397" s="5" t="str">
        <f ca="1">IFERROR(__xludf.DUMMYFUNCTION("""COMPUTED_VALUE"""),"Lunch")</f>
        <v>Lunch</v>
      </c>
      <c r="T397" s="10">
        <f ca="1">IFERROR(__xludf.DUMMYFUNCTION("""COMPUTED_VALUE"""),0.504861111111111)</f>
        <v>0.50486111111111098</v>
      </c>
      <c r="U397" s="5">
        <f ca="1">IFERROR(__xludf.DUMMYFUNCTION("""COMPUTED_VALUE"""),1)</f>
        <v>1</v>
      </c>
      <c r="V397" s="5" t="str">
        <f ca="1">IFERROR(__xludf.DUMMYFUNCTION("""COMPUTED_VALUE"""),"Teen fired into crowd during fight in school parking lot during lunch")</f>
        <v>Teen fired into crowd during fight in school parking lot during lunch</v>
      </c>
      <c r="W397"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X397" s="5" t="str">
        <f ca="1">IFERROR(__xludf.DUMMYFUNCTION("""COMPUTED_VALUE"""),"Escalation of Dispute")</f>
        <v>Escalation of Dispute</v>
      </c>
      <c r="Y397" s="5" t="str">
        <f ca="1">IFERROR(__xludf.DUMMYFUNCTION("""COMPUTED_VALUE"""),"Random Shooting")</f>
        <v>Random Shooting</v>
      </c>
      <c r="Z397" s="5" t="str">
        <f ca="1">IFERROR(__xludf.DUMMYFUNCTION("""COMPUTED_VALUE"""),"No")</f>
        <v>No</v>
      </c>
      <c r="AA397" s="5"/>
      <c r="AB397" s="5" t="str">
        <f ca="1">IFERROR(__xludf.DUMMYFUNCTION("""COMPUTED_VALUE"""),"No")</f>
        <v>No</v>
      </c>
      <c r="AC397" s="5" t="str">
        <f ca="1">IFERROR(__xludf.DUMMYFUNCTION("""COMPUTED_VALUE"""),"No")</f>
        <v>No</v>
      </c>
      <c r="AD397" s="5" t="str">
        <f ca="1">IFERROR(__xludf.DUMMYFUNCTION("""COMPUTED_VALUE"""),"No")</f>
        <v>No</v>
      </c>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row>
    <row r="398" spans="1:34" ht="12.75">
      <c r="A398" s="5" t="str">
        <f ca="1">IFERROR(__xludf.DUMMYFUNCTION("""COMPUTED_VALUE"""),"20210427TNLAM")</f>
        <v>20210427TNLAM</v>
      </c>
      <c r="B398" s="8">
        <f ca="1">IFERROR(__xludf.DUMMYFUNCTION("""COMPUTED_VALUE"""),44313)</f>
        <v>44313</v>
      </c>
      <c r="C398" s="5" t="str">
        <f ca="1">IFERROR(__xludf.DUMMYFUNCTION("""COMPUTED_VALUE"""),"La Petite Academy")</f>
        <v>La Petite Academy</v>
      </c>
      <c r="D398" s="5">
        <f ca="1">IFERROR(__xludf.DUMMYFUNCTION("""COMPUTED_VALUE"""),0)</f>
        <v>0</v>
      </c>
      <c r="E398" s="5">
        <f ca="1">IFERROR(__xludf.DUMMYFUNCTION("""COMPUTED_VALUE"""),0)</f>
        <v>0</v>
      </c>
      <c r="F398" s="5">
        <f ca="1">IFERROR(__xludf.DUMMYFUNCTION("""COMPUTED_VALUE"""),0)</f>
        <v>0</v>
      </c>
      <c r="G398" s="5">
        <f ca="1">IFERROR(__xludf.DUMMYFUNCTION("""COMPUTED_VALUE"""),0)</f>
        <v>0</v>
      </c>
      <c r="H398"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I398" s="5">
        <f ca="1">IFERROR(__xludf.DUMMYFUNCTION("""COMPUTED_VALUE"""),2)</f>
        <v>2</v>
      </c>
      <c r="J398" s="5" t="str">
        <f ca="1">IFERROR(__xludf.DUMMYFUNCTION("""COMPUTED_VALUE"""),"Local")</f>
        <v>Local</v>
      </c>
      <c r="K398" s="5">
        <f ca="1">IFERROR(__xludf.DUMMYFUNCTION("""COMPUTED_VALUE"""),4)</f>
        <v>4</v>
      </c>
      <c r="L398" s="5" t="str">
        <f ca="1">IFERROR(__xludf.DUMMYFUNCTION("""COMPUTED_VALUE"""),"Spring")</f>
        <v>Spring</v>
      </c>
      <c r="M398" s="5" t="str">
        <f ca="1">IFERROR(__xludf.DUMMYFUNCTION("""COMPUTED_VALUE"""),"Memphis")</f>
        <v>Memphis</v>
      </c>
      <c r="N398" s="5" t="str">
        <f ca="1">IFERROR(__xludf.DUMMYFUNCTION("""COMPUTED_VALUE"""),"TN")</f>
        <v>TN</v>
      </c>
      <c r="O398" s="5" t="str">
        <f ca="1">IFERROR(__xludf.DUMMYFUNCTION("""COMPUTED_VALUE"""),"Other")</f>
        <v>Other</v>
      </c>
      <c r="P398" s="5" t="str">
        <f ca="1">IFERROR(__xludf.DUMMYFUNCTION("""COMPUTED_VALUE"""),"Front of School")</f>
        <v>Front of School</v>
      </c>
      <c r="Q398" s="5" t="str">
        <f ca="1">IFERROR(__xludf.DUMMYFUNCTION("""COMPUTED_VALUE"""),"Outside on School Property")</f>
        <v>Outside on School Property</v>
      </c>
      <c r="R398" s="5" t="str">
        <f ca="1">IFERROR(__xludf.DUMMYFUNCTION("""COMPUTED_VALUE"""),"Yes")</f>
        <v>Yes</v>
      </c>
      <c r="S398" s="5" t="str">
        <f ca="1">IFERROR(__xludf.DUMMYFUNCTION("""COMPUTED_VALUE"""),"Dismissal")</f>
        <v>Dismissal</v>
      </c>
      <c r="T398" s="10">
        <f ca="1">IFERROR(__xludf.DUMMYFUNCTION("""COMPUTED_VALUE"""),0.666666666666666)</f>
        <v>0.66666666666666596</v>
      </c>
      <c r="U398" s="5">
        <f ca="1">IFERROR(__xludf.DUMMYFUNCTION("""COMPUTED_VALUE"""),1)</f>
        <v>1</v>
      </c>
      <c r="V398" s="5" t="str">
        <f ca="1">IFERROR(__xludf.DUMMYFUNCTION("""COMPUTED_VALUE"""),"Following a dispute with staff about attendance, a parent fired a shot at the front door of the school")</f>
        <v>Following a dispute with staff about attendance, a parent fired a shot at the front door of the school</v>
      </c>
      <c r="W398"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X398" s="5" t="str">
        <f ca="1">IFERROR(__xludf.DUMMYFUNCTION("""COMPUTED_VALUE"""),"Escalation of Dispute")</f>
        <v>Escalation of Dispute</v>
      </c>
      <c r="Y398" s="5" t="str">
        <f ca="1">IFERROR(__xludf.DUMMYFUNCTION("""COMPUTED_VALUE"""),"Random Shooting")</f>
        <v>Random Shooting</v>
      </c>
      <c r="Z398" s="5" t="str">
        <f ca="1">IFERROR(__xludf.DUMMYFUNCTION("""COMPUTED_VALUE"""),"No")</f>
        <v>No</v>
      </c>
      <c r="AA398" s="5"/>
      <c r="AB398" s="5" t="str">
        <f ca="1">IFERROR(__xludf.DUMMYFUNCTION("""COMPUTED_VALUE"""),"No")</f>
        <v>No</v>
      </c>
      <c r="AC398" s="5" t="str">
        <f ca="1">IFERROR(__xludf.DUMMYFUNCTION("""COMPUTED_VALUE"""),"No")</f>
        <v>No</v>
      </c>
      <c r="AD398" s="5" t="str">
        <f ca="1">IFERROR(__xludf.DUMMYFUNCTION("""COMPUTED_VALUE"""),"No")</f>
        <v>No</v>
      </c>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row>
    <row r="399" spans="1:34" ht="12.75">
      <c r="A399" s="5" t="str">
        <f ca="1">IFERROR(__xludf.DUMMYFUNCTION("""COMPUTED_VALUE"""),"20210427DESMS")</f>
        <v>20210427DESMS</v>
      </c>
      <c r="B399" s="8">
        <f ca="1">IFERROR(__xludf.DUMMYFUNCTION("""COMPUTED_VALUE"""),44313)</f>
        <v>44313</v>
      </c>
      <c r="C399" s="5" t="str">
        <f ca="1">IFERROR(__xludf.DUMMYFUNCTION("""COMPUTED_VALUE"""),"Smyrna Middle School")</f>
        <v>Smyrna Middle School</v>
      </c>
      <c r="D399" s="5">
        <f ca="1">IFERROR(__xludf.DUMMYFUNCTION("""COMPUTED_VALUE"""),1)</f>
        <v>1</v>
      </c>
      <c r="E399" s="5">
        <f ca="1">IFERROR(__xludf.DUMMYFUNCTION("""COMPUTED_VALUE"""),0)</f>
        <v>0</v>
      </c>
      <c r="F399" s="5">
        <f ca="1">IFERROR(__xludf.DUMMYFUNCTION("""COMPUTED_VALUE"""),1)</f>
        <v>1</v>
      </c>
      <c r="G399" s="5">
        <f ca="1">IFERROR(__xludf.DUMMYFUNCTION("""COMPUTED_VALUE"""),1)</f>
        <v>1</v>
      </c>
      <c r="H399"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I399" s="5">
        <f ca="1">IFERROR(__xludf.DUMMYFUNCTION("""COMPUTED_VALUE"""),10)</f>
        <v>10</v>
      </c>
      <c r="J399" s="5" t="str">
        <f ca="1">IFERROR(__xludf.DUMMYFUNCTION("""COMPUTED_VALUE"""),"Regional")</f>
        <v>Regional</v>
      </c>
      <c r="K399" s="5">
        <f ca="1">IFERROR(__xludf.DUMMYFUNCTION("""COMPUTED_VALUE"""),4)</f>
        <v>4</v>
      </c>
      <c r="L399" s="5" t="str">
        <f ca="1">IFERROR(__xludf.DUMMYFUNCTION("""COMPUTED_VALUE"""),"Spring")</f>
        <v>Spring</v>
      </c>
      <c r="M399" s="5" t="str">
        <f ca="1">IFERROR(__xludf.DUMMYFUNCTION("""COMPUTED_VALUE"""),"Smyrna")</f>
        <v>Smyrna</v>
      </c>
      <c r="N399" s="5" t="str">
        <f ca="1">IFERROR(__xludf.DUMMYFUNCTION("""COMPUTED_VALUE"""),"DE")</f>
        <v>DE</v>
      </c>
      <c r="O399" s="5" t="str">
        <f ca="1">IFERROR(__xludf.DUMMYFUNCTION("""COMPUTED_VALUE"""),"Middle")</f>
        <v>Middle</v>
      </c>
      <c r="P399" s="5" t="str">
        <f ca="1">IFERROR(__xludf.DUMMYFUNCTION("""COMPUTED_VALUE"""),"Parking Lot")</f>
        <v>Parking Lot</v>
      </c>
      <c r="Q399" s="5" t="str">
        <f ca="1">IFERROR(__xludf.DUMMYFUNCTION("""COMPUTED_VALUE"""),"Outside on School Property")</f>
        <v>Outside on School Property</v>
      </c>
      <c r="R399" s="5" t="str">
        <f ca="1">IFERROR(__xludf.DUMMYFUNCTION("""COMPUTED_VALUE"""),"Yes")</f>
        <v>Yes</v>
      </c>
      <c r="S399" s="5" t="str">
        <f ca="1">IFERROR(__xludf.DUMMYFUNCTION("""COMPUTED_VALUE"""),"Morning Classes")</f>
        <v>Morning Classes</v>
      </c>
      <c r="T399" s="10">
        <f ca="1">IFERROR(__xludf.DUMMYFUNCTION("""COMPUTED_VALUE"""),0.934027777777777)</f>
        <v>0.93402777777777701</v>
      </c>
      <c r="U399" s="5">
        <f ca="1">IFERROR(__xludf.DUMMYFUNCTION("""COMPUTED_VALUE"""),1)</f>
        <v>1</v>
      </c>
      <c r="V399" s="5" t="str">
        <f ca="1">IFERROR(__xludf.DUMMYFUNCTION("""COMPUTED_VALUE"""),"Husband shot wife in school parking lot while she was waiting to pick-up child from medical appointment")</f>
        <v>Husband shot wife in school parking lot while she was waiting to pick-up child from medical appointment</v>
      </c>
      <c r="W399" s="5" t="str">
        <f ca="1">IFERROR(__xludf.DUMMYFUNCTION("""COMPUTED_VALUE"""),"Husband shot wife in school parking lot while she was waiting to pick-up child from medical appointment")</f>
        <v>Husband shot wife in school parking lot while she was waiting to pick-up child from medical appointment</v>
      </c>
      <c r="X399" s="5" t="str">
        <f ca="1">IFERROR(__xludf.DUMMYFUNCTION("""COMPUTED_VALUE"""),"Domestic w/ Targeted Victim")</f>
        <v>Domestic w/ Targeted Victim</v>
      </c>
      <c r="Y399" s="5" t="str">
        <f ca="1">IFERROR(__xludf.DUMMYFUNCTION("""COMPUTED_VALUE"""),"Victims Targeted")</f>
        <v>Victims Targeted</v>
      </c>
      <c r="Z399" s="5" t="str">
        <f ca="1">IFERROR(__xludf.DUMMYFUNCTION("""COMPUTED_VALUE"""),"No")</f>
        <v>No</v>
      </c>
      <c r="AA399" s="5"/>
      <c r="AB399" s="5" t="str">
        <f ca="1">IFERROR(__xludf.DUMMYFUNCTION("""COMPUTED_VALUE"""),"No")</f>
        <v>No</v>
      </c>
      <c r="AC399" s="5" t="str">
        <f ca="1">IFERROR(__xludf.DUMMYFUNCTION("""COMPUTED_VALUE"""),"No")</f>
        <v>No</v>
      </c>
      <c r="AD399" s="5" t="str">
        <f ca="1">IFERROR(__xludf.DUMMYFUNCTION("""COMPUTED_VALUE"""),"No")</f>
        <v>No</v>
      </c>
      <c r="AE399" s="5" t="str">
        <f ca="1">IFERROR(__xludf.DUMMYFUNCTION("""COMPUTED_VALUE"""),"No")</f>
        <v>No</v>
      </c>
      <c r="AF399" s="5" t="str">
        <f ca="1">IFERROR(__xludf.DUMMYFUNCTION("""COMPUTED_VALUE"""),"Yes")</f>
        <v>Yes</v>
      </c>
      <c r="AG399" s="5" t="str">
        <f ca="1">IFERROR(__xludf.DUMMYFUNCTION("""COMPUTED_VALUE"""),"No")</f>
        <v>No</v>
      </c>
      <c r="AH399" s="5" t="str">
        <f ca="1">IFERROR(__xludf.DUMMYFUNCTION("""COMPUTED_VALUE"""),"No")</f>
        <v>No</v>
      </c>
    </row>
    <row r="400" spans="1:34" ht="12.75">
      <c r="A400" s="5" t="str">
        <f ca="1">IFERROR(__xludf.DUMMYFUNCTION("""COMPUTED_VALUE"""),"20210426MNPLP")</f>
        <v>20210426MNPLP</v>
      </c>
      <c r="B400" s="8">
        <f ca="1">IFERROR(__xludf.DUMMYFUNCTION("""COMPUTED_VALUE"""),44312)</f>
        <v>44312</v>
      </c>
      <c r="C400" s="5" t="str">
        <f ca="1">IFERROR(__xludf.DUMMYFUNCTION("""COMPUTED_VALUE"""),"Plymouth Middle School")</f>
        <v>Plymouth Middle School</v>
      </c>
      <c r="D400" s="5">
        <f ca="1">IFERROR(__xludf.DUMMYFUNCTION("""COMPUTED_VALUE"""),0)</f>
        <v>0</v>
      </c>
      <c r="E400" s="5">
        <f ca="1">IFERROR(__xludf.DUMMYFUNCTION("""COMPUTED_VALUE"""),0)</f>
        <v>0</v>
      </c>
      <c r="F400" s="5">
        <f ca="1">IFERROR(__xludf.DUMMYFUNCTION("""COMPUTED_VALUE"""),0)</f>
        <v>0</v>
      </c>
      <c r="G400" s="5">
        <f ca="1">IFERROR(__xludf.DUMMYFUNCTION("""COMPUTED_VALUE"""),0)</f>
        <v>0</v>
      </c>
      <c r="H400"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I400" s="5">
        <f ca="1">IFERROR(__xludf.DUMMYFUNCTION("""COMPUTED_VALUE"""),50)</f>
        <v>50</v>
      </c>
      <c r="J400" s="5" t="str">
        <f ca="1">IFERROR(__xludf.DUMMYFUNCTION("""COMPUTED_VALUE"""),"National")</f>
        <v>National</v>
      </c>
      <c r="K400" s="5">
        <f ca="1">IFERROR(__xludf.DUMMYFUNCTION("""COMPUTED_VALUE"""),4)</f>
        <v>4</v>
      </c>
      <c r="L400" s="5" t="str">
        <f ca="1">IFERROR(__xludf.DUMMYFUNCTION("""COMPUTED_VALUE"""),"Spring")</f>
        <v>Spring</v>
      </c>
      <c r="M400" s="5" t="str">
        <f ca="1">IFERROR(__xludf.DUMMYFUNCTION("""COMPUTED_VALUE"""),"Plymouth")</f>
        <v>Plymouth</v>
      </c>
      <c r="N400" s="5" t="str">
        <f ca="1">IFERROR(__xludf.DUMMYFUNCTION("""COMPUTED_VALUE"""),"MN")</f>
        <v>MN</v>
      </c>
      <c r="O400" s="5" t="str">
        <f ca="1">IFERROR(__xludf.DUMMYFUNCTION("""COMPUTED_VALUE"""),"Middle")</f>
        <v>Middle</v>
      </c>
      <c r="P400" s="5" t="str">
        <f ca="1">IFERROR(__xludf.DUMMYFUNCTION("""COMPUTED_VALUE"""),"Hallway")</f>
        <v>Hallway</v>
      </c>
      <c r="Q400" s="5" t="str">
        <f ca="1">IFERROR(__xludf.DUMMYFUNCTION("""COMPUTED_VALUE"""),"Inside School Building")</f>
        <v>Inside School Building</v>
      </c>
      <c r="R400" s="5" t="str">
        <f ca="1">IFERROR(__xludf.DUMMYFUNCTION("""COMPUTED_VALUE"""),"Yes")</f>
        <v>Yes</v>
      </c>
      <c r="S400" s="5" t="str">
        <f ca="1">IFERROR(__xludf.DUMMYFUNCTION("""COMPUTED_VALUE"""),"Morning Classes")</f>
        <v>Morning Classes</v>
      </c>
      <c r="T400" s="10">
        <f ca="1">IFERROR(__xludf.DUMMYFUNCTION("""COMPUTED_VALUE"""),0.363888888888888)</f>
        <v>0.36388888888888798</v>
      </c>
      <c r="U400" s="5">
        <f ca="1">IFERROR(__xludf.DUMMYFUNCTION("""COMPUTED_VALUE"""),1)</f>
        <v>1</v>
      </c>
      <c r="V400" s="5" t="str">
        <f ca="1">IFERROR(__xludf.DUMMYFUNCTION("""COMPUTED_VALUE"""),"Student fired multiple shots in the school hallway attempting suicide by cop")</f>
        <v>Student fired multiple shots in the school hallway attempting suicide by cop</v>
      </c>
      <c r="W400"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X400" s="5" t="str">
        <f ca="1">IFERROR(__xludf.DUMMYFUNCTION("""COMPUTED_VALUE"""),"Suicide/Attempted")</f>
        <v>Suicide/Attempted</v>
      </c>
      <c r="Y400" s="5" t="str">
        <f ca="1">IFERROR(__xludf.DUMMYFUNCTION("""COMPUTED_VALUE"""),"Random Shooting")</f>
        <v>Random Shooting</v>
      </c>
      <c r="Z400" s="5" t="str">
        <f ca="1">IFERROR(__xludf.DUMMYFUNCTION("""COMPUTED_VALUE"""),"No")</f>
        <v>No</v>
      </c>
      <c r="AA400" s="5"/>
      <c r="AB400" s="5" t="str">
        <f ca="1">IFERROR(__xludf.DUMMYFUNCTION("""COMPUTED_VALUE"""),"No")</f>
        <v>No</v>
      </c>
      <c r="AC400" s="5" t="str">
        <f ca="1">IFERROR(__xludf.DUMMYFUNCTION("""COMPUTED_VALUE"""),"No")</f>
        <v>No</v>
      </c>
      <c r="AD400" s="5" t="str">
        <f ca="1">IFERROR(__xludf.DUMMYFUNCTION("""COMPUTED_VALUE"""),"No")</f>
        <v>No</v>
      </c>
      <c r="AE400" s="5"/>
      <c r="AF400" s="5" t="str">
        <f ca="1">IFERROR(__xludf.DUMMYFUNCTION("""COMPUTED_VALUE"""),"No")</f>
        <v>No</v>
      </c>
      <c r="AG400" s="5" t="str">
        <f ca="1">IFERROR(__xludf.DUMMYFUNCTION("""COMPUTED_VALUE"""),"No")</f>
        <v>No</v>
      </c>
      <c r="AH400" s="5" t="str">
        <f ca="1">IFERROR(__xludf.DUMMYFUNCTION("""COMPUTED_VALUE"""),"No")</f>
        <v>No</v>
      </c>
    </row>
    <row r="401" spans="1:34" ht="12.75">
      <c r="A401" s="5" t="str">
        <f ca="1">IFERROR(__xludf.DUMMYFUNCTION("""COMPUTED_VALUE"""),"20210420TXHAH")</f>
        <v>20210420TXHAH</v>
      </c>
      <c r="B401" s="8">
        <f ca="1">IFERROR(__xludf.DUMMYFUNCTION("""COMPUTED_VALUE"""),44306)</f>
        <v>44306</v>
      </c>
      <c r="C401" s="5" t="str">
        <f ca="1">IFERROR(__xludf.DUMMYFUNCTION("""COMPUTED_VALUE"""),"Harker Heights High School")</f>
        <v>Harker Heights High School</v>
      </c>
      <c r="D401" s="5">
        <f ca="1">IFERROR(__xludf.DUMMYFUNCTION("""COMPUTED_VALUE"""),1)</f>
        <v>1</v>
      </c>
      <c r="E401" s="5">
        <f ca="1">IFERROR(__xludf.DUMMYFUNCTION("""COMPUTED_VALUE"""),0)</f>
        <v>0</v>
      </c>
      <c r="F401" s="5">
        <f ca="1">IFERROR(__xludf.DUMMYFUNCTION("""COMPUTED_VALUE"""),1)</f>
        <v>1</v>
      </c>
      <c r="G401" s="5">
        <f ca="1">IFERROR(__xludf.DUMMYFUNCTION("""COMPUTED_VALUE"""),0)</f>
        <v>0</v>
      </c>
      <c r="H401"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I401" s="5">
        <f ca="1">IFERROR(__xludf.DUMMYFUNCTION("""COMPUTED_VALUE"""),10)</f>
        <v>10</v>
      </c>
      <c r="J401" s="5" t="str">
        <f ca="1">IFERROR(__xludf.DUMMYFUNCTION("""COMPUTED_VALUE"""),"Local")</f>
        <v>Local</v>
      </c>
      <c r="K401" s="5">
        <f ca="1">IFERROR(__xludf.DUMMYFUNCTION("""COMPUTED_VALUE"""),4)</f>
        <v>4</v>
      </c>
      <c r="L401" s="5" t="str">
        <f ca="1">IFERROR(__xludf.DUMMYFUNCTION("""COMPUTED_VALUE"""),"Spring")</f>
        <v>Spring</v>
      </c>
      <c r="M401" s="5" t="str">
        <f ca="1">IFERROR(__xludf.DUMMYFUNCTION("""COMPUTED_VALUE"""),"Harker Heights")</f>
        <v>Harker Heights</v>
      </c>
      <c r="N401" s="5" t="str">
        <f ca="1">IFERROR(__xludf.DUMMYFUNCTION("""COMPUTED_VALUE"""),"TX")</f>
        <v>TX</v>
      </c>
      <c r="O401" s="5" t="str">
        <f ca="1">IFERROR(__xludf.DUMMYFUNCTION("""COMPUTED_VALUE"""),"High")</f>
        <v>High</v>
      </c>
      <c r="P401" s="5" t="str">
        <f ca="1">IFERROR(__xludf.DUMMYFUNCTION("""COMPUTED_VALUE"""),"Parking Lot")</f>
        <v>Parking Lot</v>
      </c>
      <c r="Q401" s="5" t="str">
        <f ca="1">IFERROR(__xludf.DUMMYFUNCTION("""COMPUTED_VALUE"""),"Outside on School Property")</f>
        <v>Outside on School Property</v>
      </c>
      <c r="R401" s="5" t="str">
        <f ca="1">IFERROR(__xludf.DUMMYFUNCTION("""COMPUTED_VALUE"""),"No")</f>
        <v>No</v>
      </c>
      <c r="S401" s="5" t="str">
        <f ca="1">IFERROR(__xludf.DUMMYFUNCTION("""COMPUTED_VALUE"""),"Night")</f>
        <v>Night</v>
      </c>
      <c r="T401" s="10">
        <f ca="1">IFERROR(__xludf.DUMMYFUNCTION("""COMPUTED_VALUE"""),0.964583333333333)</f>
        <v>0.96458333333333302</v>
      </c>
      <c r="U401" s="5">
        <f ca="1">IFERROR(__xludf.DUMMYFUNCTION("""COMPUTED_VALUE"""),1)</f>
        <v>1</v>
      </c>
      <c r="V401" s="5" t="str">
        <f ca="1">IFERROR(__xludf.DUMMYFUNCTION("""COMPUTED_VALUE"""),"Teen shot and killed in school parking lot")</f>
        <v>Teen shot and killed in school parking lot</v>
      </c>
      <c r="W401"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X401" s="5" t="str">
        <f ca="1">IFERROR(__xludf.DUMMYFUNCTION("""COMPUTED_VALUE"""),"Illegal Activity")</f>
        <v>Illegal Activity</v>
      </c>
      <c r="Y401" s="5" t="str">
        <f ca="1">IFERROR(__xludf.DUMMYFUNCTION("""COMPUTED_VALUE"""),"Victims Targeted")</f>
        <v>Victims Targeted</v>
      </c>
      <c r="Z401" s="5" t="str">
        <f ca="1">IFERROR(__xludf.DUMMYFUNCTION("""COMPUTED_VALUE"""),"Yes")</f>
        <v>Yes</v>
      </c>
      <c r="AA401" s="5" t="str">
        <f ca="1">IFERROR(__xludf.DUMMYFUNCTION("""COMPUTED_VALUE"""),"Three teens charged")</f>
        <v>Three teens charged</v>
      </c>
      <c r="AB401" s="5" t="str">
        <f ca="1">IFERROR(__xludf.DUMMYFUNCTION("""COMPUTED_VALUE"""),"No")</f>
        <v>No</v>
      </c>
      <c r="AC401" s="5" t="str">
        <f ca="1">IFERROR(__xludf.DUMMYFUNCTION("""COMPUTED_VALUE"""),"No")</f>
        <v>No</v>
      </c>
      <c r="AD401" s="5" t="str">
        <f ca="1">IFERROR(__xludf.DUMMYFUNCTION("""COMPUTED_VALUE"""),"No")</f>
        <v>No</v>
      </c>
      <c r="AE401" s="5" t="str">
        <f ca="1">IFERROR(__xludf.DUMMYFUNCTION("""COMPUTED_VALUE"""),"No")</f>
        <v>No</v>
      </c>
      <c r="AF401" s="5" t="str">
        <f ca="1">IFERROR(__xludf.DUMMYFUNCTION("""COMPUTED_VALUE"""),"No")</f>
        <v>No</v>
      </c>
      <c r="AG401" s="5" t="str">
        <f ca="1">IFERROR(__xludf.DUMMYFUNCTION("""COMPUTED_VALUE"""),"No")</f>
        <v>No</v>
      </c>
      <c r="AH401" s="5" t="str">
        <f ca="1">IFERROR(__xludf.DUMMYFUNCTION("""COMPUTED_VALUE"""),"No")</f>
        <v>No</v>
      </c>
    </row>
    <row r="402" spans="1:34" ht="12.75">
      <c r="A402" s="5" t="str">
        <f ca="1">IFERROR(__xludf.DUMMYFUNCTION("""COMPUTED_VALUE"""),"20210418OHWED")</f>
        <v>20210418OHWED</v>
      </c>
      <c r="B402" s="8">
        <f ca="1">IFERROR(__xludf.DUMMYFUNCTION("""COMPUTED_VALUE"""),44304)</f>
        <v>44304</v>
      </c>
      <c r="C402" s="5" t="str">
        <f ca="1">IFERROR(__xludf.DUMMYFUNCTION("""COMPUTED_VALUE"""),"Westwood Elementary School")</f>
        <v>Westwood Elementary School</v>
      </c>
      <c r="D402" s="5">
        <f ca="1">IFERROR(__xludf.DUMMYFUNCTION("""COMPUTED_VALUE"""),1)</f>
        <v>1</v>
      </c>
      <c r="E402" s="5">
        <f ca="1">IFERROR(__xludf.DUMMYFUNCTION("""COMPUTED_VALUE"""),1)</f>
        <v>1</v>
      </c>
      <c r="F402" s="5">
        <f ca="1">IFERROR(__xludf.DUMMYFUNCTION("""COMPUTED_VALUE"""),2)</f>
        <v>2</v>
      </c>
      <c r="G402" s="5">
        <f ca="1">IFERROR(__xludf.DUMMYFUNCTION("""COMPUTED_VALUE"""),0)</f>
        <v>0</v>
      </c>
      <c r="H402"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I402" s="5">
        <f ca="1">IFERROR(__xludf.DUMMYFUNCTION("""COMPUTED_VALUE"""),2)</f>
        <v>2</v>
      </c>
      <c r="J402" s="5" t="str">
        <f ca="1">IFERROR(__xludf.DUMMYFUNCTION("""COMPUTED_VALUE"""),"Local")</f>
        <v>Local</v>
      </c>
      <c r="K402" s="5">
        <f ca="1">IFERROR(__xludf.DUMMYFUNCTION("""COMPUTED_VALUE"""),3)</f>
        <v>3</v>
      </c>
      <c r="L402" s="5" t="str">
        <f ca="1">IFERROR(__xludf.DUMMYFUNCTION("""COMPUTED_VALUE"""),"Spring")</f>
        <v>Spring</v>
      </c>
      <c r="M402" s="5" t="str">
        <f ca="1">IFERROR(__xludf.DUMMYFUNCTION("""COMPUTED_VALUE"""),"Dayton")</f>
        <v>Dayton</v>
      </c>
      <c r="N402" s="5" t="str">
        <f ca="1">IFERROR(__xludf.DUMMYFUNCTION("""COMPUTED_VALUE"""),"OH")</f>
        <v>OH</v>
      </c>
      <c r="O402" s="5" t="str">
        <f ca="1">IFERROR(__xludf.DUMMYFUNCTION("""COMPUTED_VALUE"""),"Elementary")</f>
        <v>Elementary</v>
      </c>
      <c r="P402" s="5" t="str">
        <f ca="1">IFERROR(__xludf.DUMMYFUNCTION("""COMPUTED_VALUE"""),"Playground")</f>
        <v>Playground</v>
      </c>
      <c r="Q402" s="5" t="str">
        <f ca="1">IFERROR(__xludf.DUMMYFUNCTION("""COMPUTED_VALUE"""),"Outside on School Property")</f>
        <v>Outside on School Property</v>
      </c>
      <c r="R402" s="5" t="str">
        <f ca="1">IFERROR(__xludf.DUMMYFUNCTION("""COMPUTED_VALUE"""),"No")</f>
        <v>No</v>
      </c>
      <c r="S402" s="5" t="str">
        <f ca="1">IFERROR(__xludf.DUMMYFUNCTION("""COMPUTED_VALUE"""),"Not a School Day")</f>
        <v>Not a School Day</v>
      </c>
      <c r="T402" s="10">
        <f ca="1">IFERROR(__xludf.DUMMYFUNCTION("""COMPUTED_VALUE"""),0.677083333333333)</f>
        <v>0.67708333333333304</v>
      </c>
      <c r="U402" s="5">
        <f ca="1">IFERROR(__xludf.DUMMYFUNCTION("""COMPUTED_VALUE"""),1)</f>
        <v>1</v>
      </c>
      <c r="V402" s="5" t="str">
        <f ca="1">IFERROR(__xludf.DUMMYFUNCTION("""COMPUTED_VALUE"""),"Two teens found shot inside a vehicle near the school playground")</f>
        <v>Two teens found shot inside a vehicle near the school playground</v>
      </c>
      <c r="W402"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X402" s="5"/>
      <c r="Y402" s="5" t="str">
        <f ca="1">IFERROR(__xludf.DUMMYFUNCTION("""COMPUTED_VALUE"""),"Victims Targeted")</f>
        <v>Victims Targeted</v>
      </c>
      <c r="Z402" s="5"/>
      <c r="AA402" s="5"/>
      <c r="AB402" s="5" t="str">
        <f ca="1">IFERROR(__xludf.DUMMYFUNCTION("""COMPUTED_VALUE"""),"No")</f>
        <v>No</v>
      </c>
      <c r="AC402" s="5" t="str">
        <f ca="1">IFERROR(__xludf.DUMMYFUNCTION("""COMPUTED_VALUE"""),"No")</f>
        <v>No</v>
      </c>
      <c r="AD402" s="5" t="str">
        <f ca="1">IFERROR(__xludf.DUMMYFUNCTION("""COMPUTED_VALUE"""),"No")</f>
        <v>No</v>
      </c>
      <c r="AE402" s="5" t="str">
        <f ca="1">IFERROR(__xludf.DUMMYFUNCTION("""COMPUTED_VALUE"""),"No")</f>
        <v>No</v>
      </c>
      <c r="AF402" s="5" t="str">
        <f ca="1">IFERROR(__xludf.DUMMYFUNCTION("""COMPUTED_VALUE"""),"No")</f>
        <v>No</v>
      </c>
      <c r="AG402" s="5"/>
      <c r="AH402" s="5" t="str">
        <f ca="1">IFERROR(__xludf.DUMMYFUNCTION("""COMPUTED_VALUE"""),"No")</f>
        <v>No</v>
      </c>
    </row>
    <row r="403" spans="1:34" ht="12.75">
      <c r="A403" s="5" t="str">
        <f ca="1">IFERROR(__xludf.DUMMYFUNCTION("""COMPUTED_VALUE"""),"20210413TNMAC")</f>
        <v>20210413TNMAC</v>
      </c>
      <c r="B403" s="8">
        <f ca="1">IFERROR(__xludf.DUMMYFUNCTION("""COMPUTED_VALUE"""),44299)</f>
        <v>44299</v>
      </c>
      <c r="C403" s="5" t="str">
        <f ca="1">IFERROR(__xludf.DUMMYFUNCTION("""COMPUTED_VALUE"""),"Maury County Public Schools Bus No. 50")</f>
        <v>Maury County Public Schools Bus No. 50</v>
      </c>
      <c r="D403" s="5">
        <f ca="1">IFERROR(__xludf.DUMMYFUNCTION("""COMPUTED_VALUE"""),0)</f>
        <v>0</v>
      </c>
      <c r="E403" s="5">
        <f ca="1">IFERROR(__xludf.DUMMYFUNCTION("""COMPUTED_VALUE"""),0)</f>
        <v>0</v>
      </c>
      <c r="F403" s="5">
        <f ca="1">IFERROR(__xludf.DUMMYFUNCTION("""COMPUTED_VALUE"""),0)</f>
        <v>0</v>
      </c>
      <c r="G403" s="5">
        <f ca="1">IFERROR(__xludf.DUMMYFUNCTION("""COMPUTED_VALUE"""),0)</f>
        <v>0</v>
      </c>
      <c r="H403"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I403" s="5">
        <f ca="1">IFERROR(__xludf.DUMMYFUNCTION("""COMPUTED_VALUE"""),2)</f>
        <v>2</v>
      </c>
      <c r="J403" s="5" t="str">
        <f ca="1">IFERROR(__xludf.DUMMYFUNCTION("""COMPUTED_VALUE"""),"Local")</f>
        <v>Local</v>
      </c>
      <c r="K403" s="5">
        <f ca="1">IFERROR(__xludf.DUMMYFUNCTION("""COMPUTED_VALUE"""),3)</f>
        <v>3</v>
      </c>
      <c r="L403" s="5" t="str">
        <f ca="1">IFERROR(__xludf.DUMMYFUNCTION("""COMPUTED_VALUE"""),"Spring")</f>
        <v>Spring</v>
      </c>
      <c r="M403" s="5" t="str">
        <f ca="1">IFERROR(__xludf.DUMMYFUNCTION("""COMPUTED_VALUE"""),"Columbia")</f>
        <v>Columbia</v>
      </c>
      <c r="N403" s="5" t="str">
        <f ca="1">IFERROR(__xludf.DUMMYFUNCTION("""COMPUTED_VALUE"""),"TN")</f>
        <v>TN</v>
      </c>
      <c r="O403" s="5"/>
      <c r="P403" s="5" t="str">
        <f ca="1">IFERROR(__xludf.DUMMYFUNCTION("""COMPUTED_VALUE"""),"School Bus")</f>
        <v>School Bus</v>
      </c>
      <c r="Q403" s="5" t="str">
        <f ca="1">IFERROR(__xludf.DUMMYFUNCTION("""COMPUTED_VALUE"""),"School Bus")</f>
        <v>School Bus</v>
      </c>
      <c r="R403" s="5" t="str">
        <f ca="1">IFERROR(__xludf.DUMMYFUNCTION("""COMPUTED_VALUE"""),"Yes")</f>
        <v>Yes</v>
      </c>
      <c r="S403" s="5" t="str">
        <f ca="1">IFERROR(__xludf.DUMMYFUNCTION("""COMPUTED_VALUE"""),"Dismissal")</f>
        <v>Dismissal</v>
      </c>
      <c r="T403" s="10">
        <f ca="1">IFERROR(__xludf.DUMMYFUNCTION("""COMPUTED_VALUE"""),0.666666666666666)</f>
        <v>0.66666666666666596</v>
      </c>
      <c r="U403" s="5">
        <f ca="1">IFERROR(__xludf.DUMMYFUNCTION("""COMPUTED_VALUE"""),1)</f>
        <v>1</v>
      </c>
      <c r="V403" s="5" t="str">
        <f ca="1">IFERROR(__xludf.DUMMYFUNCTION("""COMPUTED_VALUE"""),"Woman was upset school bus was late and pulled gun during argument with bus driver")</f>
        <v>Woman was upset school bus was late and pulled gun during argument with bus driver</v>
      </c>
      <c r="W403"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X403" s="5" t="str">
        <f ca="1">IFERROR(__xludf.DUMMYFUNCTION("""COMPUTED_VALUE"""),"Escalation of Dispute")</f>
        <v>Escalation of Dispute</v>
      </c>
      <c r="Y403" s="5" t="str">
        <f ca="1">IFERROR(__xludf.DUMMYFUNCTION("""COMPUTED_VALUE"""),"Victims Targeted")</f>
        <v>Victims Targeted</v>
      </c>
      <c r="Z403" s="5" t="str">
        <f ca="1">IFERROR(__xludf.DUMMYFUNCTION("""COMPUTED_VALUE"""),"No")</f>
        <v>No</v>
      </c>
      <c r="AA403" s="5"/>
      <c r="AB403" s="5" t="str">
        <f ca="1">IFERROR(__xludf.DUMMYFUNCTION("""COMPUTED_VALUE"""),"No")</f>
        <v>No</v>
      </c>
      <c r="AC403" s="5" t="str">
        <f ca="1">IFERROR(__xludf.DUMMYFUNCTION("""COMPUTED_VALUE"""),"No")</f>
        <v>No</v>
      </c>
      <c r="AD403" s="5" t="str">
        <f ca="1">IFERROR(__xludf.DUMMYFUNCTION("""COMPUTED_VALUE"""),"No")</f>
        <v>No</v>
      </c>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row>
    <row r="404" spans="1:34" ht="12.75">
      <c r="A404" s="5" t="str">
        <f ca="1">IFERROR(__xludf.DUMMYFUNCTION("""COMPUTED_VALUE"""),"20210412TNAUK")</f>
        <v>20210412TNAUK</v>
      </c>
      <c r="B404" s="8">
        <f ca="1">IFERROR(__xludf.DUMMYFUNCTION("""COMPUTED_VALUE"""),44298)</f>
        <v>44298</v>
      </c>
      <c r="C404" s="5" t="str">
        <f ca="1">IFERROR(__xludf.DUMMYFUNCTION("""COMPUTED_VALUE"""),"Austin-East Magnet High School")</f>
        <v>Austin-East Magnet High School</v>
      </c>
      <c r="D404" s="5">
        <f ca="1">IFERROR(__xludf.DUMMYFUNCTION("""COMPUTED_VALUE"""),0)</f>
        <v>0</v>
      </c>
      <c r="E404" s="5">
        <f ca="1">IFERROR(__xludf.DUMMYFUNCTION("""COMPUTED_VALUE"""),1)</f>
        <v>1</v>
      </c>
      <c r="F404" s="5">
        <f ca="1">IFERROR(__xludf.DUMMYFUNCTION("""COMPUTED_VALUE"""),1)</f>
        <v>1</v>
      </c>
      <c r="G404" s="5">
        <f ca="1">IFERROR(__xludf.DUMMYFUNCTION("""COMPUTED_VALUE"""),1)</f>
        <v>1</v>
      </c>
      <c r="H404"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I404" s="5">
        <f ca="1">IFERROR(__xludf.DUMMYFUNCTION("""COMPUTED_VALUE"""),100)</f>
        <v>100</v>
      </c>
      <c r="J404" s="5" t="str">
        <f ca="1">IFERROR(__xludf.DUMMYFUNCTION("""COMPUTED_VALUE"""),"International")</f>
        <v>International</v>
      </c>
      <c r="K404" s="5">
        <f ca="1">IFERROR(__xludf.DUMMYFUNCTION("""COMPUTED_VALUE"""),4)</f>
        <v>4</v>
      </c>
      <c r="L404" s="5" t="str">
        <f ca="1">IFERROR(__xludf.DUMMYFUNCTION("""COMPUTED_VALUE"""),"Spring")</f>
        <v>Spring</v>
      </c>
      <c r="M404" s="5" t="str">
        <f ca="1">IFERROR(__xludf.DUMMYFUNCTION("""COMPUTED_VALUE"""),"Knoxville")</f>
        <v>Knoxville</v>
      </c>
      <c r="N404" s="5" t="str">
        <f ca="1">IFERROR(__xludf.DUMMYFUNCTION("""COMPUTED_VALUE"""),"TN")</f>
        <v>TN</v>
      </c>
      <c r="O404" s="5" t="str">
        <f ca="1">IFERROR(__xludf.DUMMYFUNCTION("""COMPUTED_VALUE"""),"High")</f>
        <v>High</v>
      </c>
      <c r="P404" s="5" t="str">
        <f ca="1">IFERROR(__xludf.DUMMYFUNCTION("""COMPUTED_VALUE"""),"Bathroom")</f>
        <v>Bathroom</v>
      </c>
      <c r="Q404" s="5" t="str">
        <f ca="1">IFERROR(__xludf.DUMMYFUNCTION("""COMPUTED_VALUE"""),"Inside School Building")</f>
        <v>Inside School Building</v>
      </c>
      <c r="R404" s="5" t="str">
        <f ca="1">IFERROR(__xludf.DUMMYFUNCTION("""COMPUTED_VALUE"""),"Yes")</f>
        <v>Yes</v>
      </c>
      <c r="S404" s="5" t="str">
        <f ca="1">IFERROR(__xludf.DUMMYFUNCTION("""COMPUTED_VALUE"""),"Afternoon Classes")</f>
        <v>Afternoon Classes</v>
      </c>
      <c r="T404" s="10">
        <f ca="1">IFERROR(__xludf.DUMMYFUNCTION("""COMPUTED_VALUE"""),0.635416666666666)</f>
        <v>0.63541666666666596</v>
      </c>
      <c r="U404" s="5">
        <f ca="1">IFERROR(__xludf.DUMMYFUNCTION("""COMPUTED_VALUE"""),1)</f>
        <v>1</v>
      </c>
      <c r="V404" s="5" t="str">
        <f ca="1">IFERROR(__xludf.DUMMYFUNCTION("""COMPUTED_VALUE"""),"Shots fired during struggle with police in school bathroom by armed student")</f>
        <v>Shots fired during struggle with police in school bathroom by armed student</v>
      </c>
      <c r="W404"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X404" s="5"/>
      <c r="Y404" s="5" t="str">
        <f ca="1">IFERROR(__xludf.DUMMYFUNCTION("""COMPUTED_VALUE"""),"Victims Targeted")</f>
        <v>Victims Targeted</v>
      </c>
      <c r="Z404" s="5" t="str">
        <f ca="1">IFERROR(__xludf.DUMMYFUNCTION("""COMPUTED_VALUE"""),"No")</f>
        <v>No</v>
      </c>
      <c r="AA404" s="5"/>
      <c r="AB404" s="5" t="str">
        <f ca="1">IFERROR(__xludf.DUMMYFUNCTION("""COMPUTED_VALUE"""),"No")</f>
        <v>No</v>
      </c>
      <c r="AC404" s="5" t="str">
        <f ca="1">IFERROR(__xludf.DUMMYFUNCTION("""COMPUTED_VALUE"""),"Yes")</f>
        <v>Yes</v>
      </c>
      <c r="AD404" s="5" t="str">
        <f ca="1">IFERROR(__xludf.DUMMYFUNCTION("""COMPUTED_VALUE"""),"No")</f>
        <v>No</v>
      </c>
      <c r="AE404" s="5" t="str">
        <f ca="1">IFERROR(__xludf.DUMMYFUNCTION("""COMPUTED_VALUE"""),"No")</f>
        <v>No</v>
      </c>
      <c r="AF404" s="5" t="str">
        <f ca="1">IFERROR(__xludf.DUMMYFUNCTION("""COMPUTED_VALUE"""),"Yes")</f>
        <v>Yes</v>
      </c>
      <c r="AG404" s="5" t="str">
        <f ca="1">IFERROR(__xludf.DUMMYFUNCTION("""COMPUTED_VALUE"""),"No")</f>
        <v>No</v>
      </c>
      <c r="AH404" s="5" t="str">
        <f ca="1">IFERROR(__xludf.DUMMYFUNCTION("""COMPUTED_VALUE"""),"No")</f>
        <v>No</v>
      </c>
    </row>
    <row r="405" spans="1:34" ht="12.75">
      <c r="A405" s="5" t="str">
        <f ca="1">IFERROR(__xludf.DUMMYFUNCTION("""COMPUTED_VALUE"""),"20210412CASAS")</f>
        <v>20210412CASAS</v>
      </c>
      <c r="B405" s="8">
        <f ca="1">IFERROR(__xludf.DUMMYFUNCTION("""COMPUTED_VALUE"""),44298)</f>
        <v>44298</v>
      </c>
      <c r="C405" s="5" t="str">
        <f ca="1">IFERROR(__xludf.DUMMYFUNCTION("""COMPUTED_VALUE"""),"San Diego High School")</f>
        <v>San Diego High School</v>
      </c>
      <c r="D405" s="5">
        <f ca="1">IFERROR(__xludf.DUMMYFUNCTION("""COMPUTED_VALUE"""),0)</f>
        <v>0</v>
      </c>
      <c r="E405" s="5">
        <f ca="1">IFERROR(__xludf.DUMMYFUNCTION("""COMPUTED_VALUE"""),0)</f>
        <v>0</v>
      </c>
      <c r="F405" s="5">
        <f ca="1">IFERROR(__xludf.DUMMYFUNCTION("""COMPUTED_VALUE"""),0)</f>
        <v>0</v>
      </c>
      <c r="G405" s="5">
        <f ca="1">IFERROR(__xludf.DUMMYFUNCTION("""COMPUTED_VALUE"""),1)</f>
        <v>1</v>
      </c>
      <c r="H405"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I405" s="5">
        <f ca="1">IFERROR(__xludf.DUMMYFUNCTION("""COMPUTED_VALUE"""),10)</f>
        <v>10</v>
      </c>
      <c r="J405" s="5" t="str">
        <f ca="1">IFERROR(__xludf.DUMMYFUNCTION("""COMPUTED_VALUE"""),"Regional")</f>
        <v>Regional</v>
      </c>
      <c r="K405" s="5">
        <f ca="1">IFERROR(__xludf.DUMMYFUNCTION("""COMPUTED_VALUE"""),4)</f>
        <v>4</v>
      </c>
      <c r="L405" s="5" t="str">
        <f ca="1">IFERROR(__xludf.DUMMYFUNCTION("""COMPUTED_VALUE"""),"Spring")</f>
        <v>Spring</v>
      </c>
      <c r="M405" s="5" t="str">
        <f ca="1">IFERROR(__xludf.DUMMYFUNCTION("""COMPUTED_VALUE"""),"San Diego")</f>
        <v>San Diego</v>
      </c>
      <c r="N405" s="5" t="str">
        <f ca="1">IFERROR(__xludf.DUMMYFUNCTION("""COMPUTED_VALUE"""),"CA")</f>
        <v>CA</v>
      </c>
      <c r="O405" s="5" t="str">
        <f ca="1">IFERROR(__xludf.DUMMYFUNCTION("""COMPUTED_VALUE"""),"High")</f>
        <v>High</v>
      </c>
      <c r="P405" s="5" t="str">
        <f ca="1">IFERROR(__xludf.DUMMYFUNCTION("""COMPUTED_VALUE"""),"Football Field/Track")</f>
        <v>Football Field/Track</v>
      </c>
      <c r="Q405" s="5" t="str">
        <f ca="1">IFERROR(__xludf.DUMMYFUNCTION("""COMPUTED_VALUE"""),"Outside on School Property")</f>
        <v>Outside on School Property</v>
      </c>
      <c r="R405" s="5" t="str">
        <f ca="1">IFERROR(__xludf.DUMMYFUNCTION("""COMPUTED_VALUE"""),"No")</f>
        <v>No</v>
      </c>
      <c r="S405" s="5" t="str">
        <f ca="1">IFERROR(__xludf.DUMMYFUNCTION("""COMPUTED_VALUE"""),"Evening")</f>
        <v>Evening</v>
      </c>
      <c r="T405" s="10">
        <f ca="1">IFERROR(__xludf.DUMMYFUNCTION("""COMPUTED_VALUE"""),0.864583333333333)</f>
        <v>0.86458333333333304</v>
      </c>
      <c r="U405" s="5">
        <f ca="1">IFERROR(__xludf.DUMMYFUNCTION("""COMPUTED_VALUE"""),660)</f>
        <v>660</v>
      </c>
      <c r="V405" s="5" t="str">
        <f ca="1">IFERROR(__xludf.DUMMYFUNCTION("""COMPUTED_VALUE"""),"Hostage standoff inside dumpster near the football field")</f>
        <v>Hostage standoff inside dumpster near the football field</v>
      </c>
      <c r="W405"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X405" s="5" t="str">
        <f ca="1">IFERROR(__xludf.DUMMYFUNCTION("""COMPUTED_VALUE"""),"Hostage/Standoff")</f>
        <v>Hostage/Standoff</v>
      </c>
      <c r="Y405" s="5" t="str">
        <f ca="1">IFERROR(__xludf.DUMMYFUNCTION("""COMPUTED_VALUE"""),"Random Shooting")</f>
        <v>Random Shooting</v>
      </c>
      <c r="Z405" s="5" t="str">
        <f ca="1">IFERROR(__xludf.DUMMYFUNCTION("""COMPUTED_VALUE"""),"Yes")</f>
        <v>Yes</v>
      </c>
      <c r="AA405" s="5" t="str">
        <f ca="1">IFERROR(__xludf.DUMMYFUNCTION("""COMPUTED_VALUE"""),"Adult female who became a hostage")</f>
        <v>Adult female who became a hostage</v>
      </c>
      <c r="AB405" s="5" t="str">
        <f ca="1">IFERROR(__xludf.DUMMYFUNCTION("""COMPUTED_VALUE"""),"Yes")</f>
        <v>Yes</v>
      </c>
      <c r="AC405" s="5" t="str">
        <f ca="1">IFERROR(__xludf.DUMMYFUNCTION("""COMPUTED_VALUE"""),"Yes")</f>
        <v>Yes</v>
      </c>
      <c r="AD405" s="5" t="str">
        <f ca="1">IFERROR(__xludf.DUMMYFUNCTION("""COMPUTED_VALUE"""),"No")</f>
        <v>No</v>
      </c>
      <c r="AE405" s="5" t="str">
        <f ca="1">IFERROR(__xludf.DUMMYFUNCTION("""COMPUTED_VALUE"""),"No")</f>
        <v>No</v>
      </c>
      <c r="AF405" s="5" t="str">
        <f ca="1">IFERROR(__xludf.DUMMYFUNCTION("""COMPUTED_VALUE"""),"No")</f>
        <v>No</v>
      </c>
      <c r="AG405" s="5" t="str">
        <f ca="1">IFERROR(__xludf.DUMMYFUNCTION("""COMPUTED_VALUE"""),"No")</f>
        <v>No</v>
      </c>
      <c r="AH405" s="5" t="str">
        <f ca="1">IFERROR(__xludf.DUMMYFUNCTION("""COMPUTED_VALUE"""),"Yes")</f>
        <v>Yes</v>
      </c>
    </row>
    <row r="406" spans="1:34" ht="12.75">
      <c r="A406" s="5" t="str">
        <f ca="1">IFERROR(__xludf.DUMMYFUNCTION("""COMPUTED_VALUE"""),"20210411INBIH")</f>
        <v>20210411INBIH</v>
      </c>
      <c r="B406" s="8">
        <f ca="1">IFERROR(__xludf.DUMMYFUNCTION("""COMPUTED_VALUE"""),44297)</f>
        <v>44297</v>
      </c>
      <c r="C406" s="5" t="str">
        <f ca="1">IFERROR(__xludf.DUMMYFUNCTION("""COMPUTED_VALUE"""),"Bishop Noll Institute")</f>
        <v>Bishop Noll Institute</v>
      </c>
      <c r="D406" s="5">
        <f ca="1">IFERROR(__xludf.DUMMYFUNCTION("""COMPUTED_VALUE"""),1)</f>
        <v>1</v>
      </c>
      <c r="E406" s="5">
        <f ca="1">IFERROR(__xludf.DUMMYFUNCTION("""COMPUTED_VALUE"""),0)</f>
        <v>0</v>
      </c>
      <c r="F406" s="5">
        <f ca="1">IFERROR(__xludf.DUMMYFUNCTION("""COMPUTED_VALUE"""),1)</f>
        <v>1</v>
      </c>
      <c r="G406" s="5">
        <f ca="1">IFERROR(__xludf.DUMMYFUNCTION("""COMPUTED_VALUE"""),0)</f>
        <v>0</v>
      </c>
      <c r="H406"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I406" s="5">
        <f ca="1">IFERROR(__xludf.DUMMYFUNCTION("""COMPUTED_VALUE"""),2)</f>
        <v>2</v>
      </c>
      <c r="J406" s="5" t="str">
        <f ca="1">IFERROR(__xludf.DUMMYFUNCTION("""COMPUTED_VALUE"""),"Regional")</f>
        <v>Regional</v>
      </c>
      <c r="K406" s="5">
        <f ca="1">IFERROR(__xludf.DUMMYFUNCTION("""COMPUTED_VALUE"""),3)</f>
        <v>3</v>
      </c>
      <c r="L406" s="5" t="str">
        <f ca="1">IFERROR(__xludf.DUMMYFUNCTION("""COMPUTED_VALUE"""),"Spring")</f>
        <v>Spring</v>
      </c>
      <c r="M406" s="5" t="str">
        <f ca="1">IFERROR(__xludf.DUMMYFUNCTION("""COMPUTED_VALUE"""),"Hammond")</f>
        <v>Hammond</v>
      </c>
      <c r="N406" s="5" t="str">
        <f ca="1">IFERROR(__xludf.DUMMYFUNCTION("""COMPUTED_VALUE"""),"IN")</f>
        <v>IN</v>
      </c>
      <c r="O406" s="5" t="str">
        <f ca="1">IFERROR(__xludf.DUMMYFUNCTION("""COMPUTED_VALUE"""),"High")</f>
        <v>High</v>
      </c>
      <c r="P406" s="5" t="str">
        <f ca="1">IFERROR(__xludf.DUMMYFUNCTION("""COMPUTED_VALUE"""),"Parking Lot")</f>
        <v>Parking Lot</v>
      </c>
      <c r="Q406" s="5" t="str">
        <f ca="1">IFERROR(__xludf.DUMMYFUNCTION("""COMPUTED_VALUE"""),"Outside on School Property")</f>
        <v>Outside on School Property</v>
      </c>
      <c r="R406" s="5" t="str">
        <f ca="1">IFERROR(__xludf.DUMMYFUNCTION("""COMPUTED_VALUE"""),"No")</f>
        <v>No</v>
      </c>
      <c r="S406" s="5" t="str">
        <f ca="1">IFERROR(__xludf.DUMMYFUNCTION("""COMPUTED_VALUE"""),"Night")</f>
        <v>Night</v>
      </c>
      <c r="T406" s="10">
        <f ca="1">IFERROR(__xludf.DUMMYFUNCTION("""COMPUTED_VALUE"""),0.888888888888888)</f>
        <v>0.88888888888888795</v>
      </c>
      <c r="U406" s="5">
        <f ca="1">IFERROR(__xludf.DUMMYFUNCTION("""COMPUTED_VALUE"""),1)</f>
        <v>1</v>
      </c>
      <c r="V406" s="5" t="str">
        <f ca="1">IFERROR(__xludf.DUMMYFUNCTION("""COMPUTED_VALUE"""),"Adult male shot adult female in the school parking lot")</f>
        <v>Adult male shot adult female in the school parking lot</v>
      </c>
      <c r="W406"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X406" s="5" t="str">
        <f ca="1">IFERROR(__xludf.DUMMYFUNCTION("""COMPUTED_VALUE"""),"Domestic w/ Targeted Victim")</f>
        <v>Domestic w/ Targeted Victim</v>
      </c>
      <c r="Y406" s="5" t="str">
        <f ca="1">IFERROR(__xludf.DUMMYFUNCTION("""COMPUTED_VALUE"""),"Victims Targeted")</f>
        <v>Victims Targeted</v>
      </c>
      <c r="Z406" s="5" t="str">
        <f ca="1">IFERROR(__xludf.DUMMYFUNCTION("""COMPUTED_VALUE"""),"No")</f>
        <v>No</v>
      </c>
      <c r="AA406" s="5"/>
      <c r="AB406" s="5" t="str">
        <f ca="1">IFERROR(__xludf.DUMMYFUNCTION("""COMPUTED_VALUE"""),"No")</f>
        <v>No</v>
      </c>
      <c r="AC406" s="5" t="str">
        <f ca="1">IFERROR(__xludf.DUMMYFUNCTION("""COMPUTED_VALUE"""),"No")</f>
        <v>No</v>
      </c>
      <c r="AD406" s="5" t="str">
        <f ca="1">IFERROR(__xludf.DUMMYFUNCTION("""COMPUTED_VALUE"""),"No")</f>
        <v>No</v>
      </c>
      <c r="AE406" s="5" t="str">
        <f ca="1">IFERROR(__xludf.DUMMYFUNCTION("""COMPUTED_VALUE"""),"No")</f>
        <v>No</v>
      </c>
      <c r="AF406" s="5" t="str">
        <f ca="1">IFERROR(__xludf.DUMMYFUNCTION("""COMPUTED_VALUE"""),"Yes")</f>
        <v>Yes</v>
      </c>
      <c r="AG406" s="5" t="str">
        <f ca="1">IFERROR(__xludf.DUMMYFUNCTION("""COMPUTED_VALUE"""),"No")</f>
        <v>No</v>
      </c>
      <c r="AH406" s="5" t="str">
        <f ca="1">IFERROR(__xludf.DUMMYFUNCTION("""COMPUTED_VALUE"""),"No")</f>
        <v>No</v>
      </c>
    </row>
    <row r="407" spans="1:34" ht="12.75">
      <c r="A407" s="5" t="str">
        <f ca="1">IFERROR(__xludf.DUMMYFUNCTION("""COMPUTED_VALUE"""),"20210407ILPEP")</f>
        <v>20210407ILPEP</v>
      </c>
      <c r="B407" s="8">
        <f ca="1">IFERROR(__xludf.DUMMYFUNCTION("""COMPUTED_VALUE"""),44293)</f>
        <v>44293</v>
      </c>
      <c r="C407" s="5" t="str">
        <f ca="1">IFERROR(__xludf.DUMMYFUNCTION("""COMPUTED_VALUE"""),"Peoria High School")</f>
        <v>Peoria High School</v>
      </c>
      <c r="D407" s="5">
        <f ca="1">IFERROR(__xludf.DUMMYFUNCTION("""COMPUTED_VALUE"""),0)</f>
        <v>0</v>
      </c>
      <c r="E407" s="5">
        <f ca="1">IFERROR(__xludf.DUMMYFUNCTION("""COMPUTED_VALUE"""),0)</f>
        <v>0</v>
      </c>
      <c r="F407" s="5">
        <f ca="1">IFERROR(__xludf.DUMMYFUNCTION("""COMPUTED_VALUE"""),0)</f>
        <v>0</v>
      </c>
      <c r="G407" s="5">
        <f ca="1">IFERROR(__xludf.DUMMYFUNCTION("""COMPUTED_VALUE"""),0)</f>
        <v>0</v>
      </c>
      <c r="H407"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I407" s="5">
        <f ca="1">IFERROR(__xludf.DUMMYFUNCTION("""COMPUTED_VALUE"""),3)</f>
        <v>3</v>
      </c>
      <c r="J407" s="5" t="str">
        <f ca="1">IFERROR(__xludf.DUMMYFUNCTION("""COMPUTED_VALUE"""),"Local")</f>
        <v>Local</v>
      </c>
      <c r="K407" s="5">
        <f ca="1">IFERROR(__xludf.DUMMYFUNCTION("""COMPUTED_VALUE"""),4)</f>
        <v>4</v>
      </c>
      <c r="L407" s="5" t="str">
        <f ca="1">IFERROR(__xludf.DUMMYFUNCTION("""COMPUTED_VALUE"""),"Spring")</f>
        <v>Spring</v>
      </c>
      <c r="M407" s="5" t="str">
        <f ca="1">IFERROR(__xludf.DUMMYFUNCTION("""COMPUTED_VALUE"""),"Peoria")</f>
        <v>Peoria</v>
      </c>
      <c r="N407" s="5" t="str">
        <f ca="1">IFERROR(__xludf.DUMMYFUNCTION("""COMPUTED_VALUE"""),"IL")</f>
        <v>IL</v>
      </c>
      <c r="O407" s="5" t="str">
        <f ca="1">IFERROR(__xludf.DUMMYFUNCTION("""COMPUTED_VALUE"""),"High")</f>
        <v>High</v>
      </c>
      <c r="P407" s="5" t="str">
        <f ca="1">IFERROR(__xludf.DUMMYFUNCTION("""COMPUTED_VALUE"""),"Inside School Building")</f>
        <v>Inside School Building</v>
      </c>
      <c r="Q407" s="5" t="str">
        <f ca="1">IFERROR(__xludf.DUMMYFUNCTION("""COMPUTED_VALUE"""),"Inside School Building")</f>
        <v>Inside School Building</v>
      </c>
      <c r="R407" s="5" t="str">
        <f ca="1">IFERROR(__xludf.DUMMYFUNCTION("""COMPUTED_VALUE"""),"Yes")</f>
        <v>Yes</v>
      </c>
      <c r="S407" s="5" t="str">
        <f ca="1">IFERROR(__xludf.DUMMYFUNCTION("""COMPUTED_VALUE"""),"Morning Classes")</f>
        <v>Morning Classes</v>
      </c>
      <c r="T407" s="10">
        <f ca="1">IFERROR(__xludf.DUMMYFUNCTION("""COMPUTED_VALUE"""),0.416666666666666)</f>
        <v>0.41666666666666602</v>
      </c>
      <c r="U407" s="5">
        <f ca="1">IFERROR(__xludf.DUMMYFUNCTION("""COMPUTED_VALUE"""),1)</f>
        <v>1</v>
      </c>
      <c r="V407" s="5" t="str">
        <f ca="1">IFERROR(__xludf.DUMMYFUNCTION("""COMPUTED_VALUE"""),"Student pointed a gun at another student during a fight inside the school")</f>
        <v>Student pointed a gun at another student during a fight inside the school</v>
      </c>
      <c r="W407"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X407" s="5" t="str">
        <f ca="1">IFERROR(__xludf.DUMMYFUNCTION("""COMPUTED_VALUE"""),"Escalation of Dispute")</f>
        <v>Escalation of Dispute</v>
      </c>
      <c r="Y407" s="5" t="str">
        <f ca="1">IFERROR(__xludf.DUMMYFUNCTION("""COMPUTED_VALUE"""),"Victims Targeted")</f>
        <v>Victims Targeted</v>
      </c>
      <c r="Z407" s="5" t="str">
        <f ca="1">IFERROR(__xludf.DUMMYFUNCTION("""COMPUTED_VALUE"""),"No")</f>
        <v>No</v>
      </c>
      <c r="AA407" s="5"/>
      <c r="AB407" s="5" t="str">
        <f ca="1">IFERROR(__xludf.DUMMYFUNCTION("""COMPUTED_VALUE"""),"No")</f>
        <v>No</v>
      </c>
      <c r="AC407" s="5" t="str">
        <f ca="1">IFERROR(__xludf.DUMMYFUNCTION("""COMPUTED_VALUE"""),"No")</f>
        <v>No</v>
      </c>
      <c r="AD407" s="5" t="str">
        <f ca="1">IFERROR(__xludf.DUMMYFUNCTION("""COMPUTED_VALUE"""),"No")</f>
        <v>No</v>
      </c>
      <c r="AE407" s="5"/>
      <c r="AF407" s="5" t="str">
        <f ca="1">IFERROR(__xludf.DUMMYFUNCTION("""COMPUTED_VALUE"""),"No")</f>
        <v>No</v>
      </c>
      <c r="AG407" s="5"/>
      <c r="AH407" s="5" t="str">
        <f ca="1">IFERROR(__xludf.DUMMYFUNCTION("""COMPUTED_VALUE"""),"No")</f>
        <v>No</v>
      </c>
    </row>
    <row r="408" spans="1:34" ht="12.75">
      <c r="A408" s="5" t="str">
        <f ca="1">IFERROR(__xludf.DUMMYFUNCTION("""COMPUTED_VALUE"""),"20210406ILBAC")</f>
        <v>20210406ILBAC</v>
      </c>
      <c r="B408" s="8">
        <f ca="1">IFERROR(__xludf.DUMMYFUNCTION("""COMPUTED_VALUE"""),44292)</f>
        <v>44292</v>
      </c>
      <c r="C408" s="5" t="str">
        <f ca="1">IFERROR(__xludf.DUMMYFUNCTION("""COMPUTED_VALUE"""),"Back of the Yards College Prep High School")</f>
        <v>Back of the Yards College Prep High School</v>
      </c>
      <c r="D408" s="5">
        <f ca="1">IFERROR(__xludf.DUMMYFUNCTION("""COMPUTED_VALUE"""),0)</f>
        <v>0</v>
      </c>
      <c r="E408" s="5">
        <f ca="1">IFERROR(__xludf.DUMMYFUNCTION("""COMPUTED_VALUE"""),0)</f>
        <v>0</v>
      </c>
      <c r="F408" s="5">
        <f ca="1">IFERROR(__xludf.DUMMYFUNCTION("""COMPUTED_VALUE"""),0)</f>
        <v>0</v>
      </c>
      <c r="G408" s="5">
        <f ca="1">IFERROR(__xludf.DUMMYFUNCTION("""COMPUTED_VALUE"""),0)</f>
        <v>0</v>
      </c>
      <c r="H408"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I408" s="5">
        <f ca="1">IFERROR(__xludf.DUMMYFUNCTION("""COMPUTED_VALUE"""),2)</f>
        <v>2</v>
      </c>
      <c r="J408" s="5" t="str">
        <f ca="1">IFERROR(__xludf.DUMMYFUNCTION("""COMPUTED_VALUE"""),"Local")</f>
        <v>Local</v>
      </c>
      <c r="K408" s="5">
        <f ca="1">IFERROR(__xludf.DUMMYFUNCTION("""COMPUTED_VALUE"""),3)</f>
        <v>3</v>
      </c>
      <c r="L408" s="5" t="str">
        <f ca="1">IFERROR(__xludf.DUMMYFUNCTION("""COMPUTED_VALUE"""),"Spring")</f>
        <v>Spring</v>
      </c>
      <c r="M408" s="5" t="str">
        <f ca="1">IFERROR(__xludf.DUMMYFUNCTION("""COMPUTED_VALUE"""),"Chicago")</f>
        <v>Chicago</v>
      </c>
      <c r="N408" s="5" t="str">
        <f ca="1">IFERROR(__xludf.DUMMYFUNCTION("""COMPUTED_VALUE"""),"IL")</f>
        <v>IL</v>
      </c>
      <c r="O408" s="5" t="str">
        <f ca="1">IFERROR(__xludf.DUMMYFUNCTION("""COMPUTED_VALUE"""),"High")</f>
        <v>High</v>
      </c>
      <c r="P408" s="5" t="str">
        <f ca="1">IFERROR(__xludf.DUMMYFUNCTION("""COMPUTED_VALUE"""),"Beside Building")</f>
        <v>Beside Building</v>
      </c>
      <c r="Q408" s="5" t="str">
        <f ca="1">IFERROR(__xludf.DUMMYFUNCTION("""COMPUTED_VALUE"""),"Outside on School Property")</f>
        <v>Outside on School Property</v>
      </c>
      <c r="R408" s="5" t="str">
        <f ca="1">IFERROR(__xludf.DUMMYFUNCTION("""COMPUTED_VALUE"""),"Yes")</f>
        <v>Yes</v>
      </c>
      <c r="S408" s="5" t="str">
        <f ca="1">IFERROR(__xludf.DUMMYFUNCTION("""COMPUTED_VALUE"""),"Afternoon Classes")</f>
        <v>Afternoon Classes</v>
      </c>
      <c r="T408" s="10">
        <f ca="1">IFERROR(__xludf.DUMMYFUNCTION("""COMPUTED_VALUE"""),0.583333333333333)</f>
        <v>0.58333333333333304</v>
      </c>
      <c r="U408" s="5">
        <f ca="1">IFERROR(__xludf.DUMMYFUNCTION("""COMPUTED_VALUE"""),1)</f>
        <v>1</v>
      </c>
      <c r="V408" s="5" t="str">
        <f ca="1">IFERROR(__xludf.DUMMYFUNCTION("""COMPUTED_VALUE"""),"Window of the school shot by BB during classes")</f>
        <v>Window of the school shot by BB during classes</v>
      </c>
      <c r="W408"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X408" s="5" t="str">
        <f ca="1">IFERROR(__xludf.DUMMYFUNCTION("""COMPUTED_VALUE"""),"Intentional Property Damage")</f>
        <v>Intentional Property Damage</v>
      </c>
      <c r="Y408" s="5" t="str">
        <f ca="1">IFERROR(__xludf.DUMMYFUNCTION("""COMPUTED_VALUE"""),"Neither")</f>
        <v>Neither</v>
      </c>
      <c r="Z408" s="5" t="str">
        <f ca="1">IFERROR(__xludf.DUMMYFUNCTION("""COMPUTED_VALUE"""),"No")</f>
        <v>No</v>
      </c>
      <c r="AA408" s="5"/>
      <c r="AB408" s="5" t="str">
        <f ca="1">IFERROR(__xludf.DUMMYFUNCTION("""COMPUTED_VALUE"""),"No")</f>
        <v>No</v>
      </c>
      <c r="AC408" s="5" t="str">
        <f ca="1">IFERROR(__xludf.DUMMYFUNCTION("""COMPUTED_VALUE"""),"No")</f>
        <v>No</v>
      </c>
      <c r="AD408" s="5" t="str">
        <f ca="1">IFERROR(__xludf.DUMMYFUNCTION("""COMPUTED_VALUE"""),"No")</f>
        <v>No</v>
      </c>
      <c r="AE408" s="5" t="str">
        <f ca="1">IFERROR(__xludf.DUMMYFUNCTION("""COMPUTED_VALUE"""),"No")</f>
        <v>No</v>
      </c>
      <c r="AF408" s="5" t="str">
        <f ca="1">IFERROR(__xludf.DUMMYFUNCTION("""COMPUTED_VALUE"""),"No")</f>
        <v>No</v>
      </c>
      <c r="AG408" s="5" t="str">
        <f ca="1">IFERROR(__xludf.DUMMYFUNCTION("""COMPUTED_VALUE"""),"No")</f>
        <v>No</v>
      </c>
      <c r="AH408" s="5" t="str">
        <f ca="1">IFERROR(__xludf.DUMMYFUNCTION("""COMPUTED_VALUE"""),"No")</f>
        <v>No</v>
      </c>
    </row>
    <row r="409" spans="1:34" ht="12.75">
      <c r="A409" s="5" t="str">
        <f ca="1">IFERROR(__xludf.DUMMYFUNCTION("""COMPUTED_VALUE"""),"20210401OKCLC")</f>
        <v>20210401OKCLC</v>
      </c>
      <c r="B409" s="8">
        <f ca="1">IFERROR(__xludf.DUMMYFUNCTION("""COMPUTED_VALUE"""),44287)</f>
        <v>44287</v>
      </c>
      <c r="C409" s="5" t="str">
        <f ca="1">IFERROR(__xludf.DUMMYFUNCTION("""COMPUTED_VALUE"""),"Cleveland High School")</f>
        <v>Cleveland High School</v>
      </c>
      <c r="D409" s="5">
        <f ca="1">IFERROR(__xludf.DUMMYFUNCTION("""COMPUTED_VALUE"""),0)</f>
        <v>0</v>
      </c>
      <c r="E409" s="5">
        <f ca="1">IFERROR(__xludf.DUMMYFUNCTION("""COMPUTED_VALUE"""),0)</f>
        <v>0</v>
      </c>
      <c r="F409" s="5">
        <f ca="1">IFERROR(__xludf.DUMMYFUNCTION("""COMPUTED_VALUE"""),0)</f>
        <v>0</v>
      </c>
      <c r="G409" s="5">
        <f ca="1">IFERROR(__xludf.DUMMYFUNCTION("""COMPUTED_VALUE"""),0)</f>
        <v>0</v>
      </c>
      <c r="H409"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I409" s="5">
        <f ca="1">IFERROR(__xludf.DUMMYFUNCTION("""COMPUTED_VALUE"""),5)</f>
        <v>5</v>
      </c>
      <c r="J409" s="5" t="str">
        <f ca="1">IFERROR(__xludf.DUMMYFUNCTION("""COMPUTED_VALUE"""),"Local")</f>
        <v>Local</v>
      </c>
      <c r="K409" s="5">
        <f ca="1">IFERROR(__xludf.DUMMYFUNCTION("""COMPUTED_VALUE"""),4)</f>
        <v>4</v>
      </c>
      <c r="L409" s="5" t="str">
        <f ca="1">IFERROR(__xludf.DUMMYFUNCTION("""COMPUTED_VALUE"""),"Spring")</f>
        <v>Spring</v>
      </c>
      <c r="M409" s="5" t="str">
        <f ca="1">IFERROR(__xludf.DUMMYFUNCTION("""COMPUTED_VALUE"""),"Cleveland")</f>
        <v>Cleveland</v>
      </c>
      <c r="N409" s="5" t="str">
        <f ca="1">IFERROR(__xludf.DUMMYFUNCTION("""COMPUTED_VALUE"""),"OK")</f>
        <v>OK</v>
      </c>
      <c r="O409" s="5" t="str">
        <f ca="1">IFERROR(__xludf.DUMMYFUNCTION("""COMPUTED_VALUE"""),"High")</f>
        <v>High</v>
      </c>
      <c r="P409" s="5" t="str">
        <f ca="1">IFERROR(__xludf.DUMMYFUNCTION("""COMPUTED_VALUE"""),"School Bus")</f>
        <v>School Bus</v>
      </c>
      <c r="Q409" s="5" t="str">
        <f ca="1">IFERROR(__xludf.DUMMYFUNCTION("""COMPUTED_VALUE"""),"School Bus")</f>
        <v>School Bus</v>
      </c>
      <c r="R409" s="5" t="str">
        <f ca="1">IFERROR(__xludf.DUMMYFUNCTION("""COMPUTED_VALUE"""),"Yes")</f>
        <v>Yes</v>
      </c>
      <c r="S409" s="5" t="str">
        <f ca="1">IFERROR(__xludf.DUMMYFUNCTION("""COMPUTED_VALUE"""),"Evening")</f>
        <v>Evening</v>
      </c>
      <c r="T409" s="5"/>
      <c r="U409" s="5">
        <f ca="1">IFERROR(__xludf.DUMMYFUNCTION("""COMPUTED_VALUE"""),1)</f>
        <v>1</v>
      </c>
      <c r="V409" s="5" t="str">
        <f ca="1">IFERROR(__xludf.DUMMYFUNCTION("""COMPUTED_VALUE"""),"5 windows shot and broken on moving school bus with students returning from field trip")</f>
        <v>5 windows shot and broken on moving school bus with students returning from field trip</v>
      </c>
      <c r="W409"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X409" s="5" t="str">
        <f ca="1">IFERROR(__xludf.DUMMYFUNCTION("""COMPUTED_VALUE"""),"Drive-by Shooting")</f>
        <v>Drive-by Shooting</v>
      </c>
      <c r="Y409" s="5" t="str">
        <f ca="1">IFERROR(__xludf.DUMMYFUNCTION("""COMPUTED_VALUE"""),"Neither")</f>
        <v>Neither</v>
      </c>
      <c r="Z409" s="5"/>
      <c r="AA409" s="5"/>
      <c r="AB409" s="5" t="str">
        <f ca="1">IFERROR(__xludf.DUMMYFUNCTION("""COMPUTED_VALUE"""),"No")</f>
        <v>No</v>
      </c>
      <c r="AC409" s="5" t="str">
        <f ca="1">IFERROR(__xludf.DUMMYFUNCTION("""COMPUTED_VALUE"""),"No")</f>
        <v>No</v>
      </c>
      <c r="AD409" s="5" t="str">
        <f ca="1">IFERROR(__xludf.DUMMYFUNCTION("""COMPUTED_VALUE"""),"No")</f>
        <v>No</v>
      </c>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row>
    <row r="410" spans="1:34" ht="12.75">
      <c r="A410" s="5" t="str">
        <f ca="1">IFERROR(__xludf.DUMMYFUNCTION("""COMPUTED_VALUE"""),"20210401ALSES")</f>
        <v>20210401ALSES</v>
      </c>
      <c r="B410" s="8">
        <f ca="1">IFERROR(__xludf.DUMMYFUNCTION("""COMPUTED_VALUE"""),44287)</f>
        <v>44287</v>
      </c>
      <c r="C410" s="5" t="str">
        <f ca="1">IFERROR(__xludf.DUMMYFUNCTION("""COMPUTED_VALUE"""),"Selma High School")</f>
        <v>Selma High School</v>
      </c>
      <c r="D410" s="5">
        <f ca="1">IFERROR(__xludf.DUMMYFUNCTION("""COMPUTED_VALUE"""),0)</f>
        <v>0</v>
      </c>
      <c r="E410" s="5">
        <f ca="1">IFERROR(__xludf.DUMMYFUNCTION("""COMPUTED_VALUE"""),0)</f>
        <v>0</v>
      </c>
      <c r="F410" s="5">
        <f ca="1">IFERROR(__xludf.DUMMYFUNCTION("""COMPUTED_VALUE"""),0)</f>
        <v>0</v>
      </c>
      <c r="G410" s="5">
        <f ca="1">IFERROR(__xludf.DUMMYFUNCTION("""COMPUTED_VALUE"""),0)</f>
        <v>0</v>
      </c>
      <c r="H410"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I410" s="5">
        <f ca="1">IFERROR(__xludf.DUMMYFUNCTION("""COMPUTED_VALUE"""),10)</f>
        <v>10</v>
      </c>
      <c r="J410" s="5" t="str">
        <f ca="1">IFERROR(__xludf.DUMMYFUNCTION("""COMPUTED_VALUE"""),"Regional")</f>
        <v>Regional</v>
      </c>
      <c r="K410" s="5">
        <f ca="1">IFERROR(__xludf.DUMMYFUNCTION("""COMPUTED_VALUE"""),4)</f>
        <v>4</v>
      </c>
      <c r="L410" s="5" t="str">
        <f ca="1">IFERROR(__xludf.DUMMYFUNCTION("""COMPUTED_VALUE"""),"Spring")</f>
        <v>Spring</v>
      </c>
      <c r="M410" s="5" t="str">
        <f ca="1">IFERROR(__xludf.DUMMYFUNCTION("""COMPUTED_VALUE"""),"Selma")</f>
        <v>Selma</v>
      </c>
      <c r="N410" s="5" t="str">
        <f ca="1">IFERROR(__xludf.DUMMYFUNCTION("""COMPUTED_VALUE"""),"AL")</f>
        <v>AL</v>
      </c>
      <c r="O410" s="5" t="str">
        <f ca="1">IFERROR(__xludf.DUMMYFUNCTION("""COMPUTED_VALUE"""),"High")</f>
        <v>High</v>
      </c>
      <c r="P410" s="5" t="str">
        <f ca="1">IFERROR(__xludf.DUMMYFUNCTION("""COMPUTED_VALUE"""),"Cafeteria")</f>
        <v>Cafeteria</v>
      </c>
      <c r="Q410" s="5" t="str">
        <f ca="1">IFERROR(__xludf.DUMMYFUNCTION("""COMPUTED_VALUE"""),"Inside School Building")</f>
        <v>Inside School Building</v>
      </c>
      <c r="R410" s="5" t="str">
        <f ca="1">IFERROR(__xludf.DUMMYFUNCTION("""COMPUTED_VALUE"""),"Yes")</f>
        <v>Yes</v>
      </c>
      <c r="S410" s="5" t="str">
        <f ca="1">IFERROR(__xludf.DUMMYFUNCTION("""COMPUTED_VALUE"""),"Lunch")</f>
        <v>Lunch</v>
      </c>
      <c r="T410" s="10">
        <f ca="1">IFERROR(__xludf.DUMMYFUNCTION("""COMPUTED_VALUE"""),0.541666666666666)</f>
        <v>0.54166666666666596</v>
      </c>
      <c r="U410" s="5">
        <f ca="1">IFERROR(__xludf.DUMMYFUNCTION("""COMPUTED_VALUE"""),1)</f>
        <v>1</v>
      </c>
      <c r="V410" s="5" t="str">
        <f ca="1">IFERROR(__xludf.DUMMYFUNCTION("""COMPUTED_VALUE"""),"Student fired one shot at another student during a fight in the cafeteria")</f>
        <v>Student fired one shot at another student during a fight in the cafeteria</v>
      </c>
      <c r="W410"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X410" s="5" t="str">
        <f ca="1">IFERROR(__xludf.DUMMYFUNCTION("""COMPUTED_VALUE"""),"Escalation of Dispute")</f>
        <v>Escalation of Dispute</v>
      </c>
      <c r="Y410" s="5" t="str">
        <f ca="1">IFERROR(__xludf.DUMMYFUNCTION("""COMPUTED_VALUE"""),"Victims Targeted")</f>
        <v>Victims Targeted</v>
      </c>
      <c r="Z410" s="5" t="str">
        <f ca="1">IFERROR(__xludf.DUMMYFUNCTION("""COMPUTED_VALUE"""),"Yes")</f>
        <v>Yes</v>
      </c>
      <c r="AA410" s="5" t="str">
        <f ca="1">IFERROR(__xludf.DUMMYFUNCTION("""COMPUTED_VALUE"""),"Two students charged")</f>
        <v>Two students charged</v>
      </c>
      <c r="AB410" s="5" t="str">
        <f ca="1">IFERROR(__xludf.DUMMYFUNCTION("""COMPUTED_VALUE"""),"No")</f>
        <v>No</v>
      </c>
      <c r="AC410" s="5" t="str">
        <f ca="1">IFERROR(__xludf.DUMMYFUNCTION("""COMPUTED_VALUE"""),"No")</f>
        <v>No</v>
      </c>
      <c r="AD410" s="5" t="str">
        <f ca="1">IFERROR(__xludf.DUMMYFUNCTION("""COMPUTED_VALUE"""),"No")</f>
        <v>No</v>
      </c>
      <c r="AE410" s="5"/>
      <c r="AF410" s="5" t="str">
        <f ca="1">IFERROR(__xludf.DUMMYFUNCTION("""COMPUTED_VALUE"""),"No")</f>
        <v>No</v>
      </c>
      <c r="AG410" s="5"/>
      <c r="AH410" s="5" t="str">
        <f ca="1">IFERROR(__xludf.DUMMYFUNCTION("""COMPUTED_VALUE"""),"No")</f>
        <v>No</v>
      </c>
    </row>
    <row r="411" spans="1:34" ht="12.75">
      <c r="A411" s="5" t="str">
        <f ca="1">IFERROR(__xludf.DUMMYFUNCTION("""COMPUTED_VALUE"""),"20210327MAPEC")</f>
        <v>20210327MAPEC</v>
      </c>
      <c r="B411" s="8">
        <f ca="1">IFERROR(__xludf.DUMMYFUNCTION("""COMPUTED_VALUE"""),44282)</f>
        <v>44282</v>
      </c>
      <c r="C411" s="5" t="str">
        <f ca="1">IFERROR(__xludf.DUMMYFUNCTION("""COMPUTED_VALUE"""),"Peabody Elementary School")</f>
        <v>Peabody Elementary School</v>
      </c>
      <c r="D411" s="5">
        <f ca="1">IFERROR(__xludf.DUMMYFUNCTION("""COMPUTED_VALUE"""),1)</f>
        <v>1</v>
      </c>
      <c r="E411" s="5">
        <f ca="1">IFERROR(__xludf.DUMMYFUNCTION("""COMPUTED_VALUE"""),0)</f>
        <v>0</v>
      </c>
      <c r="F411" s="5">
        <f ca="1">IFERROR(__xludf.DUMMYFUNCTION("""COMPUTED_VALUE"""),1)</f>
        <v>1</v>
      </c>
      <c r="G411" s="5">
        <f ca="1">IFERROR(__xludf.DUMMYFUNCTION("""COMPUTED_VALUE"""),0)</f>
        <v>0</v>
      </c>
      <c r="H411"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I411" s="5">
        <f ca="1">IFERROR(__xludf.DUMMYFUNCTION("""COMPUTED_VALUE"""),1)</f>
        <v>1</v>
      </c>
      <c r="J411" s="5" t="str">
        <f ca="1">IFERROR(__xludf.DUMMYFUNCTION("""COMPUTED_VALUE"""),"Local")</f>
        <v>Local</v>
      </c>
      <c r="K411" s="5">
        <f ca="1">IFERROR(__xludf.DUMMYFUNCTION("""COMPUTED_VALUE"""),4)</f>
        <v>4</v>
      </c>
      <c r="L411" s="5" t="str">
        <f ca="1">IFERROR(__xludf.DUMMYFUNCTION("""COMPUTED_VALUE"""),"Spring")</f>
        <v>Spring</v>
      </c>
      <c r="M411" s="5" t="str">
        <f ca="1">IFERROR(__xludf.DUMMYFUNCTION("""COMPUTED_VALUE"""),"Cambridge")</f>
        <v>Cambridge</v>
      </c>
      <c r="N411" s="5" t="str">
        <f ca="1">IFERROR(__xludf.DUMMYFUNCTION("""COMPUTED_VALUE"""),"MA")</f>
        <v>MA</v>
      </c>
      <c r="O411" s="5" t="str">
        <f ca="1">IFERROR(__xludf.DUMMYFUNCTION("""COMPUTED_VALUE"""),"Elementary")</f>
        <v>Elementary</v>
      </c>
      <c r="P411" s="5" t="str">
        <f ca="1">IFERROR(__xludf.DUMMYFUNCTION("""COMPUTED_VALUE"""),"Basketball Court")</f>
        <v>Basketball Court</v>
      </c>
      <c r="Q411" s="5" t="str">
        <f ca="1">IFERROR(__xludf.DUMMYFUNCTION("""COMPUTED_VALUE"""),"Outside on School Property")</f>
        <v>Outside on School Property</v>
      </c>
      <c r="R411" s="5" t="str">
        <f ca="1">IFERROR(__xludf.DUMMYFUNCTION("""COMPUTED_VALUE"""),"No")</f>
        <v>No</v>
      </c>
      <c r="S411" s="5" t="str">
        <f ca="1">IFERROR(__xludf.DUMMYFUNCTION("""COMPUTED_VALUE"""),"Night")</f>
        <v>Night</v>
      </c>
      <c r="T411" s="10">
        <f ca="1">IFERROR(__xludf.DUMMYFUNCTION("""COMPUTED_VALUE"""),0.0277777777777777)</f>
        <v>2.77777777777777E-2</v>
      </c>
      <c r="U411" s="5">
        <f ca="1">IFERROR(__xludf.DUMMYFUNCTION("""COMPUTED_VALUE"""),1)</f>
        <v>1</v>
      </c>
      <c r="V411" s="5" t="str">
        <f ca="1">IFERROR(__xludf.DUMMYFUNCTION("""COMPUTED_VALUE"""),"Man found fatally shot next to basketball court")</f>
        <v>Man found fatally shot next to basketball court</v>
      </c>
      <c r="W411" s="5" t="str">
        <f ca="1">IFERROR(__xludf.DUMMYFUNCTION("""COMPUTED_VALUE"""),"A 19-year-old man's body was found next to the basketball court. Shooter fled the scene. Motive unknown.")</f>
        <v>A 19-year-old man's body was found next to the basketball court. Shooter fled the scene. Motive unknown.</v>
      </c>
      <c r="X411" s="5"/>
      <c r="Y411" s="5" t="str">
        <f ca="1">IFERROR(__xludf.DUMMYFUNCTION("""COMPUTED_VALUE"""),"Victims Targeted")</f>
        <v>Victims Targeted</v>
      </c>
      <c r="Z411" s="5"/>
      <c r="AA411" s="5"/>
      <c r="AB411" s="5" t="str">
        <f ca="1">IFERROR(__xludf.DUMMYFUNCTION("""COMPUTED_VALUE"""),"No")</f>
        <v>No</v>
      </c>
      <c r="AC411" s="5" t="str">
        <f ca="1">IFERROR(__xludf.DUMMYFUNCTION("""COMPUTED_VALUE"""),"No")</f>
        <v>No</v>
      </c>
      <c r="AD411" s="5" t="str">
        <f ca="1">IFERROR(__xludf.DUMMYFUNCTION("""COMPUTED_VALUE"""),"No")</f>
        <v>No</v>
      </c>
      <c r="AE411" s="5" t="str">
        <f ca="1">IFERROR(__xludf.DUMMYFUNCTION("""COMPUTED_VALUE"""),"No")</f>
        <v>No</v>
      </c>
      <c r="AF411" s="5"/>
      <c r="AG411" s="5"/>
      <c r="AH411" s="5" t="str">
        <f ca="1">IFERROR(__xludf.DUMMYFUNCTION("""COMPUTED_VALUE"""),"No")</f>
        <v>No</v>
      </c>
    </row>
    <row r="412" spans="1:34" ht="12.75">
      <c r="A412" s="5" t="str">
        <f ca="1">IFERROR(__xludf.DUMMYFUNCTION("""COMPUTED_VALUE"""),"20210326MOCAS")</f>
        <v>20210326MOCAS</v>
      </c>
      <c r="B412" s="8">
        <f ca="1">IFERROR(__xludf.DUMMYFUNCTION("""COMPUTED_VALUE"""),44281)</f>
        <v>44281</v>
      </c>
      <c r="C412" s="5" t="str">
        <f ca="1">IFERROR(__xludf.DUMMYFUNCTION("""COMPUTED_VALUE"""),"Castlio Elementary School")</f>
        <v>Castlio Elementary School</v>
      </c>
      <c r="D412" s="5">
        <f ca="1">IFERROR(__xludf.DUMMYFUNCTION("""COMPUTED_VALUE"""),0)</f>
        <v>0</v>
      </c>
      <c r="E412" s="5">
        <f ca="1">IFERROR(__xludf.DUMMYFUNCTION("""COMPUTED_VALUE"""),0)</f>
        <v>0</v>
      </c>
      <c r="F412" s="5">
        <f ca="1">IFERROR(__xludf.DUMMYFUNCTION("""COMPUTED_VALUE"""),0)</f>
        <v>0</v>
      </c>
      <c r="G412" s="5">
        <f ca="1">IFERROR(__xludf.DUMMYFUNCTION("""COMPUTED_VALUE"""),1)</f>
        <v>1</v>
      </c>
      <c r="H412"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I412" s="5">
        <f ca="1">IFERROR(__xludf.DUMMYFUNCTION("""COMPUTED_VALUE"""),2)</f>
        <v>2</v>
      </c>
      <c r="J412" s="5" t="str">
        <f ca="1">IFERROR(__xludf.DUMMYFUNCTION("""COMPUTED_VALUE"""),"Local")</f>
        <v>Local</v>
      </c>
      <c r="K412" s="5">
        <f ca="1">IFERROR(__xludf.DUMMYFUNCTION("""COMPUTED_VALUE"""),3)</f>
        <v>3</v>
      </c>
      <c r="L412" s="5" t="str">
        <f ca="1">IFERROR(__xludf.DUMMYFUNCTION("""COMPUTED_VALUE"""),"Spring")</f>
        <v>Spring</v>
      </c>
      <c r="M412" s="5" t="str">
        <f ca="1">IFERROR(__xludf.DUMMYFUNCTION("""COMPUTED_VALUE"""),"St Charles")</f>
        <v>St Charles</v>
      </c>
      <c r="N412" s="5" t="str">
        <f ca="1">IFERROR(__xludf.DUMMYFUNCTION("""COMPUTED_VALUE"""),"MO")</f>
        <v>MO</v>
      </c>
      <c r="O412" s="5" t="str">
        <f ca="1">IFERROR(__xludf.DUMMYFUNCTION("""COMPUTED_VALUE"""),"Elementary")</f>
        <v>Elementary</v>
      </c>
      <c r="P412" s="5" t="str">
        <f ca="1">IFERROR(__xludf.DUMMYFUNCTION("""COMPUTED_VALUE"""),"Parking Lot")</f>
        <v>Parking Lot</v>
      </c>
      <c r="Q412" s="5" t="str">
        <f ca="1">IFERROR(__xludf.DUMMYFUNCTION("""COMPUTED_VALUE"""),"Outside on School Property")</f>
        <v>Outside on School Property</v>
      </c>
      <c r="R412" s="5" t="str">
        <f ca="1">IFERROR(__xludf.DUMMYFUNCTION("""COMPUTED_VALUE"""),"No")</f>
        <v>No</v>
      </c>
      <c r="S412" s="5" t="str">
        <f ca="1">IFERROR(__xludf.DUMMYFUNCTION("""COMPUTED_VALUE"""),"Night")</f>
        <v>Night</v>
      </c>
      <c r="T412" s="10">
        <f ca="1">IFERROR(__xludf.DUMMYFUNCTION("""COMPUTED_VALUE"""),0.0833333333333333)</f>
        <v>8.3333333333333301E-2</v>
      </c>
      <c r="U412" s="5">
        <f ca="1">IFERROR(__xludf.DUMMYFUNCTION("""COMPUTED_VALUE"""),1)</f>
        <v>1</v>
      </c>
      <c r="V412" s="5" t="str">
        <f ca="1">IFERROR(__xludf.DUMMYFUNCTION("""COMPUTED_VALUE"""),"Suicidal man pointed gun at officer who then shot him")</f>
        <v>Suicidal man pointed gun at officer who then shot him</v>
      </c>
      <c r="W412"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X412" s="5" t="str">
        <f ca="1">IFERROR(__xludf.DUMMYFUNCTION("""COMPUTED_VALUE"""),"Suicide/Attempted")</f>
        <v>Suicide/Attempted</v>
      </c>
      <c r="Y412" s="5" t="str">
        <f ca="1">IFERROR(__xludf.DUMMYFUNCTION("""COMPUTED_VALUE"""),"Victims Targeted")</f>
        <v>Victims Targeted</v>
      </c>
      <c r="Z412" s="5" t="str">
        <f ca="1">IFERROR(__xludf.DUMMYFUNCTION("""COMPUTED_VALUE"""),"No")</f>
        <v>No</v>
      </c>
      <c r="AA412" s="5"/>
      <c r="AB412" s="5" t="str">
        <f ca="1">IFERROR(__xludf.DUMMYFUNCTION("""COMPUTED_VALUE"""),"No")</f>
        <v>No</v>
      </c>
      <c r="AC412" s="5" t="str">
        <f ca="1">IFERROR(__xludf.DUMMYFUNCTION("""COMPUTED_VALUE"""),"No")</f>
        <v>No</v>
      </c>
      <c r="AD412" s="5" t="str">
        <f ca="1">IFERROR(__xludf.DUMMYFUNCTION("""COMPUTED_VALUE"""),"Yes")</f>
        <v>Yes</v>
      </c>
      <c r="AE412" s="5" t="str">
        <f ca="1">IFERROR(__xludf.DUMMYFUNCTION("""COMPUTED_VALUE"""),"No")</f>
        <v>No</v>
      </c>
      <c r="AF412" s="5" t="str">
        <f ca="1">IFERROR(__xludf.DUMMYFUNCTION("""COMPUTED_VALUE"""),"No")</f>
        <v>No</v>
      </c>
      <c r="AG412" s="5" t="str">
        <f ca="1">IFERROR(__xludf.DUMMYFUNCTION("""COMPUTED_VALUE"""),"No")</f>
        <v>No</v>
      </c>
      <c r="AH412" s="5" t="str">
        <f ca="1">IFERROR(__xludf.DUMMYFUNCTION("""COMPUTED_VALUE"""),"No")</f>
        <v>No</v>
      </c>
    </row>
    <row r="413" spans="1:34" ht="12.75">
      <c r="A413" s="5" t="str">
        <f ca="1">IFERROR(__xludf.DUMMYFUNCTION("""COMPUTED_VALUE"""),"20210324ORFOS")</f>
        <v>20210324ORFOS</v>
      </c>
      <c r="B413" s="8">
        <f ca="1">IFERROR(__xludf.DUMMYFUNCTION("""COMPUTED_VALUE"""),44279)</f>
        <v>44279</v>
      </c>
      <c r="C413" s="5" t="str">
        <f ca="1">IFERROR(__xludf.DUMMYFUNCTION("""COMPUTED_VALUE"""),"Four Corners Elementary School")</f>
        <v>Four Corners Elementary School</v>
      </c>
      <c r="D413" s="5">
        <f ca="1">IFERROR(__xludf.DUMMYFUNCTION("""COMPUTED_VALUE"""),1)</f>
        <v>1</v>
      </c>
      <c r="E413" s="5">
        <f ca="1">IFERROR(__xludf.DUMMYFUNCTION("""COMPUTED_VALUE"""),1)</f>
        <v>1</v>
      </c>
      <c r="F413" s="5">
        <f ca="1">IFERROR(__xludf.DUMMYFUNCTION("""COMPUTED_VALUE"""),2)</f>
        <v>2</v>
      </c>
      <c r="G413" s="5">
        <f ca="1">IFERROR(__xludf.DUMMYFUNCTION("""COMPUTED_VALUE"""),0)</f>
        <v>0</v>
      </c>
      <c r="H413"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I413" s="5">
        <f ca="1">IFERROR(__xludf.DUMMYFUNCTION("""COMPUTED_VALUE"""),2)</f>
        <v>2</v>
      </c>
      <c r="J413" s="5" t="str">
        <f ca="1">IFERROR(__xludf.DUMMYFUNCTION("""COMPUTED_VALUE"""),"Local")</f>
        <v>Local</v>
      </c>
      <c r="K413" s="5">
        <f ca="1">IFERROR(__xludf.DUMMYFUNCTION("""COMPUTED_VALUE"""),3)</f>
        <v>3</v>
      </c>
      <c r="L413" s="5" t="str">
        <f ca="1">IFERROR(__xludf.DUMMYFUNCTION("""COMPUTED_VALUE"""),"Spring")</f>
        <v>Spring</v>
      </c>
      <c r="M413" s="5" t="str">
        <f ca="1">IFERROR(__xludf.DUMMYFUNCTION("""COMPUTED_VALUE"""),"Salem")</f>
        <v>Salem</v>
      </c>
      <c r="N413" s="5" t="str">
        <f ca="1">IFERROR(__xludf.DUMMYFUNCTION("""COMPUTED_VALUE"""),"OR")</f>
        <v>OR</v>
      </c>
      <c r="O413" s="5" t="str">
        <f ca="1">IFERROR(__xludf.DUMMYFUNCTION("""COMPUTED_VALUE"""),"Elementary")</f>
        <v>Elementary</v>
      </c>
      <c r="P413" s="5" t="str">
        <f ca="1">IFERROR(__xludf.DUMMYFUNCTION("""COMPUTED_VALUE"""),"Parking Lot")</f>
        <v>Parking Lot</v>
      </c>
      <c r="Q413" s="5" t="str">
        <f ca="1">IFERROR(__xludf.DUMMYFUNCTION("""COMPUTED_VALUE"""),"Outside on School Property")</f>
        <v>Outside on School Property</v>
      </c>
      <c r="R413" s="5" t="str">
        <f ca="1">IFERROR(__xludf.DUMMYFUNCTION("""COMPUTED_VALUE"""),"No")</f>
        <v>No</v>
      </c>
      <c r="S413" s="5" t="str">
        <f ca="1">IFERROR(__xludf.DUMMYFUNCTION("""COMPUTED_VALUE"""),"Evening")</f>
        <v>Evening</v>
      </c>
      <c r="T413" s="10">
        <f ca="1">IFERROR(__xludf.DUMMYFUNCTION("""COMPUTED_VALUE"""),0.680555555555555)</f>
        <v>0.68055555555555503</v>
      </c>
      <c r="U413" s="5">
        <f ca="1">IFERROR(__xludf.DUMMYFUNCTION("""COMPUTED_VALUE"""),1)</f>
        <v>1</v>
      </c>
      <c r="V413" s="5" t="str">
        <f ca="1">IFERROR(__xludf.DUMMYFUNCTION("""COMPUTED_VALUE"""),"Two teens shot during drug deal in school parking lot")</f>
        <v>Two teens shot during drug deal in school parking lot</v>
      </c>
      <c r="W413"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X413" s="5" t="str">
        <f ca="1">IFERROR(__xludf.DUMMYFUNCTION("""COMPUTED_VALUE"""),"Illegal Activity")</f>
        <v>Illegal Activity</v>
      </c>
      <c r="Y413" s="5" t="str">
        <f ca="1">IFERROR(__xludf.DUMMYFUNCTION("""COMPUTED_VALUE"""),"Victims Targeted")</f>
        <v>Victims Targeted</v>
      </c>
      <c r="Z413" s="5" t="str">
        <f ca="1">IFERROR(__xludf.DUMMYFUNCTION("""COMPUTED_VALUE"""),"Yes")</f>
        <v>Yes</v>
      </c>
      <c r="AA413" s="5" t="str">
        <f ca="1">IFERROR(__xludf.DUMMYFUNCTION("""COMPUTED_VALUE"""),"Two teens arrested")</f>
        <v>Two teens arrested</v>
      </c>
      <c r="AB413" s="5" t="str">
        <f ca="1">IFERROR(__xludf.DUMMYFUNCTION("""COMPUTED_VALUE"""),"No")</f>
        <v>No</v>
      </c>
      <c r="AC413" s="5" t="str">
        <f ca="1">IFERROR(__xludf.DUMMYFUNCTION("""COMPUTED_VALUE"""),"No")</f>
        <v>No</v>
      </c>
      <c r="AD413" s="5" t="str">
        <f ca="1">IFERROR(__xludf.DUMMYFUNCTION("""COMPUTED_VALUE"""),"No")</f>
        <v>No</v>
      </c>
      <c r="AE413" s="5" t="str">
        <f ca="1">IFERROR(__xludf.DUMMYFUNCTION("""COMPUTED_VALUE"""),"No")</f>
        <v>No</v>
      </c>
      <c r="AF413" s="5" t="str">
        <f ca="1">IFERROR(__xludf.DUMMYFUNCTION("""COMPUTED_VALUE"""),"No")</f>
        <v>No</v>
      </c>
      <c r="AG413" s="5" t="str">
        <f ca="1">IFERROR(__xludf.DUMMYFUNCTION("""COMPUTED_VALUE"""),"No")</f>
        <v>No</v>
      </c>
      <c r="AH413" s="5" t="str">
        <f ca="1">IFERROR(__xludf.DUMMYFUNCTION("""COMPUTED_VALUE"""),"No")</f>
        <v>No</v>
      </c>
    </row>
    <row r="414" spans="1:34" ht="12.75">
      <c r="A414" s="5" t="str">
        <f ca="1">IFERROR(__xludf.DUMMYFUNCTION("""COMPUTED_VALUE"""),"20210319WVSPM")</f>
        <v>20210319WVSPM</v>
      </c>
      <c r="B414" s="8">
        <f ca="1">IFERROR(__xludf.DUMMYFUNCTION("""COMPUTED_VALUE"""),44274)</f>
        <v>44274</v>
      </c>
      <c r="C414" s="5" t="str">
        <f ca="1">IFERROR(__xludf.DUMMYFUNCTION("""COMPUTED_VALUE"""),"Spring Mills Middle School")</f>
        <v>Spring Mills Middle School</v>
      </c>
      <c r="D414" s="5">
        <f ca="1">IFERROR(__xludf.DUMMYFUNCTION("""COMPUTED_VALUE"""),0)</f>
        <v>0</v>
      </c>
      <c r="E414" s="5">
        <f ca="1">IFERROR(__xludf.DUMMYFUNCTION("""COMPUTED_VALUE"""),0)</f>
        <v>0</v>
      </c>
      <c r="F414" s="5">
        <f ca="1">IFERROR(__xludf.DUMMYFUNCTION("""COMPUTED_VALUE"""),0)</f>
        <v>0</v>
      </c>
      <c r="G414" s="5">
        <f ca="1">IFERROR(__xludf.DUMMYFUNCTION("""COMPUTED_VALUE"""),0)</f>
        <v>0</v>
      </c>
      <c r="H414"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I414" s="5">
        <f ca="1">IFERROR(__xludf.DUMMYFUNCTION("""COMPUTED_VALUE"""),2)</f>
        <v>2</v>
      </c>
      <c r="J414" s="5" t="str">
        <f ca="1">IFERROR(__xludf.DUMMYFUNCTION("""COMPUTED_VALUE"""),"Local")</f>
        <v>Local</v>
      </c>
      <c r="K414" s="5">
        <f ca="1">IFERROR(__xludf.DUMMYFUNCTION("""COMPUTED_VALUE"""),4)</f>
        <v>4</v>
      </c>
      <c r="L414" s="5" t="str">
        <f ca="1">IFERROR(__xludf.DUMMYFUNCTION("""COMPUTED_VALUE"""),"Spring")</f>
        <v>Spring</v>
      </c>
      <c r="M414" s="5" t="str">
        <f ca="1">IFERROR(__xludf.DUMMYFUNCTION("""COMPUTED_VALUE"""),"Martinsburg")</f>
        <v>Martinsburg</v>
      </c>
      <c r="N414" s="5" t="str">
        <f ca="1">IFERROR(__xludf.DUMMYFUNCTION("""COMPUTED_VALUE"""),"WV")</f>
        <v>WV</v>
      </c>
      <c r="O414" s="5" t="str">
        <f ca="1">IFERROR(__xludf.DUMMYFUNCTION("""COMPUTED_VALUE"""),"Middle")</f>
        <v>Middle</v>
      </c>
      <c r="P414" s="5" t="str">
        <f ca="1">IFERROR(__xludf.DUMMYFUNCTION("""COMPUTED_VALUE"""),"School Bus")</f>
        <v>School Bus</v>
      </c>
      <c r="Q414" s="5" t="str">
        <f ca="1">IFERROR(__xludf.DUMMYFUNCTION("""COMPUTED_VALUE"""),"School Bus")</f>
        <v>School Bus</v>
      </c>
      <c r="R414" s="5" t="str">
        <f ca="1">IFERROR(__xludf.DUMMYFUNCTION("""COMPUTED_VALUE"""),"Yes")</f>
        <v>Yes</v>
      </c>
      <c r="S414" s="5" t="str">
        <f ca="1">IFERROR(__xludf.DUMMYFUNCTION("""COMPUTED_VALUE"""),"Dismissal")</f>
        <v>Dismissal</v>
      </c>
      <c r="T414" s="10">
        <f ca="1">IFERROR(__xludf.DUMMYFUNCTION("""COMPUTED_VALUE"""),0.625)</f>
        <v>0.625</v>
      </c>
      <c r="U414" s="5">
        <f ca="1">IFERROR(__xludf.DUMMYFUNCTION("""COMPUTED_VALUE"""),2)</f>
        <v>2</v>
      </c>
      <c r="V414" s="5" t="str">
        <f ca="1">IFERROR(__xludf.DUMMYFUNCTION("""COMPUTED_VALUE"""),"Two teens fired BB guns at two school buses full of students leaving the school")</f>
        <v>Two teens fired BB guns at two school buses full of students leaving the school</v>
      </c>
      <c r="W414"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X414" s="5" t="str">
        <f ca="1">IFERROR(__xludf.DUMMYFUNCTION("""COMPUTED_VALUE"""),"Intentional Property Damage")</f>
        <v>Intentional Property Damage</v>
      </c>
      <c r="Y414" s="5" t="str">
        <f ca="1">IFERROR(__xludf.DUMMYFUNCTION("""COMPUTED_VALUE"""),"Random Shooting")</f>
        <v>Random Shooting</v>
      </c>
      <c r="Z414" s="5" t="str">
        <f ca="1">IFERROR(__xludf.DUMMYFUNCTION("""COMPUTED_VALUE"""),"Yes")</f>
        <v>Yes</v>
      </c>
      <c r="AA414" s="5" t="str">
        <f ca="1">IFERROR(__xludf.DUMMYFUNCTION("""COMPUTED_VALUE"""),"Two teens fired shots")</f>
        <v>Two teens fired shots</v>
      </c>
      <c r="AB414" s="5" t="str">
        <f ca="1">IFERROR(__xludf.DUMMYFUNCTION("""COMPUTED_VALUE"""),"No")</f>
        <v>No</v>
      </c>
      <c r="AC414" s="5" t="str">
        <f ca="1">IFERROR(__xludf.DUMMYFUNCTION("""COMPUTED_VALUE"""),"No")</f>
        <v>No</v>
      </c>
      <c r="AD414" s="5" t="str">
        <f ca="1">IFERROR(__xludf.DUMMYFUNCTION("""COMPUTED_VALUE"""),"No")</f>
        <v>No</v>
      </c>
      <c r="AE414" s="5"/>
      <c r="AF414" s="5" t="str">
        <f ca="1">IFERROR(__xludf.DUMMYFUNCTION("""COMPUTED_VALUE"""),"No")</f>
        <v>No</v>
      </c>
      <c r="AG414" s="5" t="str">
        <f ca="1">IFERROR(__xludf.DUMMYFUNCTION("""COMPUTED_VALUE"""),"No")</f>
        <v>No</v>
      </c>
      <c r="AH414" s="5" t="str">
        <f ca="1">IFERROR(__xludf.DUMMYFUNCTION("""COMPUTED_VALUE"""),"No")</f>
        <v>No</v>
      </c>
    </row>
    <row r="415" spans="1:34" ht="12.75">
      <c r="A415" s="5" t="str">
        <f ca="1">IFERROR(__xludf.DUMMYFUNCTION("""COMPUTED_VALUE"""),"20210318KYGRL")</f>
        <v>20210318KYGRL</v>
      </c>
      <c r="B415" s="8">
        <f ca="1">IFERROR(__xludf.DUMMYFUNCTION("""COMPUTED_VALUE"""),44273)</f>
        <v>44273</v>
      </c>
      <c r="C415" s="5" t="str">
        <f ca="1">IFERROR(__xludf.DUMMYFUNCTION("""COMPUTED_VALUE"""),"Greenwood Elementary School")</f>
        <v>Greenwood Elementary School</v>
      </c>
      <c r="D415" s="5">
        <f ca="1">IFERROR(__xludf.DUMMYFUNCTION("""COMPUTED_VALUE"""),0)</f>
        <v>0</v>
      </c>
      <c r="E415" s="5">
        <f ca="1">IFERROR(__xludf.DUMMYFUNCTION("""COMPUTED_VALUE"""),0)</f>
        <v>0</v>
      </c>
      <c r="F415" s="5">
        <f ca="1">IFERROR(__xludf.DUMMYFUNCTION("""COMPUTED_VALUE"""),0)</f>
        <v>0</v>
      </c>
      <c r="G415" s="5">
        <f ca="1">IFERROR(__xludf.DUMMYFUNCTION("""COMPUTED_VALUE"""),0)</f>
        <v>0</v>
      </c>
      <c r="H415"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I415" s="5">
        <f ca="1">IFERROR(__xludf.DUMMYFUNCTION("""COMPUTED_VALUE"""),3)</f>
        <v>3</v>
      </c>
      <c r="J415" s="5" t="str">
        <f ca="1">IFERROR(__xludf.DUMMYFUNCTION("""COMPUTED_VALUE"""),"Local")</f>
        <v>Local</v>
      </c>
      <c r="K415" s="5">
        <f ca="1">IFERROR(__xludf.DUMMYFUNCTION("""COMPUTED_VALUE"""),4)</f>
        <v>4</v>
      </c>
      <c r="L415" s="5" t="str">
        <f ca="1">IFERROR(__xludf.DUMMYFUNCTION("""COMPUTED_VALUE"""),"Spring")</f>
        <v>Spring</v>
      </c>
      <c r="M415" s="5" t="str">
        <f ca="1">IFERROR(__xludf.DUMMYFUNCTION("""COMPUTED_VALUE"""),"Louisville")</f>
        <v>Louisville</v>
      </c>
      <c r="N415" s="5" t="str">
        <f ca="1">IFERROR(__xludf.DUMMYFUNCTION("""COMPUTED_VALUE"""),"KY")</f>
        <v>KY</v>
      </c>
      <c r="O415" s="5" t="str">
        <f ca="1">IFERROR(__xludf.DUMMYFUNCTION("""COMPUTED_VALUE"""),"Elementary")</f>
        <v>Elementary</v>
      </c>
      <c r="P415" s="5" t="str">
        <f ca="1">IFERROR(__xludf.DUMMYFUNCTION("""COMPUTED_VALUE"""),"Cafeteria")</f>
        <v>Cafeteria</v>
      </c>
      <c r="Q415" s="5" t="str">
        <f ca="1">IFERROR(__xludf.DUMMYFUNCTION("""COMPUTED_VALUE"""),"Outside on School Property")</f>
        <v>Outside on School Property</v>
      </c>
      <c r="R415" s="5" t="str">
        <f ca="1">IFERROR(__xludf.DUMMYFUNCTION("""COMPUTED_VALUE"""),"Yes")</f>
        <v>Yes</v>
      </c>
      <c r="S415" s="5" t="str">
        <f ca="1">IFERROR(__xludf.DUMMYFUNCTION("""COMPUTED_VALUE"""),"Lunch")</f>
        <v>Lunch</v>
      </c>
      <c r="T415" s="10">
        <f ca="1">IFERROR(__xludf.DUMMYFUNCTION("""COMPUTED_VALUE"""),0.530555555555555)</f>
        <v>0.530555555555555</v>
      </c>
      <c r="U415" s="5">
        <f ca="1">IFERROR(__xludf.DUMMYFUNCTION("""COMPUTED_VALUE"""),10)</f>
        <v>10</v>
      </c>
      <c r="V415" s="5" t="str">
        <f ca="1">IFERROR(__xludf.DUMMYFUNCTION("""COMPUTED_VALUE"""),"Adult male pointed gun and threatened school staff who did not allow him to enter")</f>
        <v>Adult male pointed gun and threatened school staff who did not allow him to enter</v>
      </c>
      <c r="W415"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X415" s="5" t="str">
        <f ca="1">IFERROR(__xludf.DUMMYFUNCTION("""COMPUTED_VALUE"""),"Domestic w/ Targeted Victim")</f>
        <v>Domestic w/ Targeted Victim</v>
      </c>
      <c r="Y415" s="5" t="str">
        <f ca="1">IFERROR(__xludf.DUMMYFUNCTION("""COMPUTED_VALUE"""),"Neither")</f>
        <v>Neither</v>
      </c>
      <c r="Z415" s="5" t="str">
        <f ca="1">IFERROR(__xludf.DUMMYFUNCTION("""COMPUTED_VALUE"""),"No")</f>
        <v>No</v>
      </c>
      <c r="AA415" s="5"/>
      <c r="AB415" s="5" t="str">
        <f ca="1">IFERROR(__xludf.DUMMYFUNCTION("""COMPUTED_VALUE"""),"No")</f>
        <v>No</v>
      </c>
      <c r="AC415" s="5" t="str">
        <f ca="1">IFERROR(__xludf.DUMMYFUNCTION("""COMPUTED_VALUE"""),"No")</f>
        <v>No</v>
      </c>
      <c r="AD415" s="5" t="str">
        <f ca="1">IFERROR(__xludf.DUMMYFUNCTION("""COMPUTED_VALUE"""),"No")</f>
        <v>No</v>
      </c>
      <c r="AE415" s="5" t="str">
        <f ca="1">IFERROR(__xludf.DUMMYFUNCTION("""COMPUTED_VALUE"""),"No")</f>
        <v>No</v>
      </c>
      <c r="AF415" s="5" t="str">
        <f ca="1">IFERROR(__xludf.DUMMYFUNCTION("""COMPUTED_VALUE"""),"Yes")</f>
        <v>Yes</v>
      </c>
      <c r="AG415" s="5" t="str">
        <f ca="1">IFERROR(__xludf.DUMMYFUNCTION("""COMPUTED_VALUE"""),"No")</f>
        <v>No</v>
      </c>
      <c r="AH415" s="5" t="str">
        <f ca="1">IFERROR(__xludf.DUMMYFUNCTION("""COMPUTED_VALUE"""),"No")</f>
        <v>No</v>
      </c>
    </row>
    <row r="416" spans="1:34" ht="12.75">
      <c r="A416" s="5" t="str">
        <f ca="1">IFERROR(__xludf.DUMMYFUNCTION("""COMPUTED_VALUE"""),"20210315INMEM")</f>
        <v>20210315INMEM</v>
      </c>
      <c r="B416" s="8">
        <f ca="1">IFERROR(__xludf.DUMMYFUNCTION("""COMPUTED_VALUE"""),44270)</f>
        <v>44270</v>
      </c>
      <c r="C416" s="5" t="str">
        <f ca="1">IFERROR(__xludf.DUMMYFUNCTION("""COMPUTED_VALUE"""),"Merrillville High School")</f>
        <v>Merrillville High School</v>
      </c>
      <c r="D416" s="5">
        <f ca="1">IFERROR(__xludf.DUMMYFUNCTION("""COMPUTED_VALUE"""),1)</f>
        <v>1</v>
      </c>
      <c r="E416" s="5">
        <f ca="1">IFERROR(__xludf.DUMMYFUNCTION("""COMPUTED_VALUE"""),1)</f>
        <v>1</v>
      </c>
      <c r="F416" s="5">
        <f ca="1">IFERROR(__xludf.DUMMYFUNCTION("""COMPUTED_VALUE"""),2)</f>
        <v>2</v>
      </c>
      <c r="G416" s="5">
        <f ca="1">IFERROR(__xludf.DUMMYFUNCTION("""COMPUTED_VALUE"""),0)</f>
        <v>0</v>
      </c>
      <c r="H416"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I416" s="5">
        <f ca="1">IFERROR(__xludf.DUMMYFUNCTION("""COMPUTED_VALUE"""),1)</f>
        <v>1</v>
      </c>
      <c r="J416" s="5" t="str">
        <f ca="1">IFERROR(__xludf.DUMMYFUNCTION("""COMPUTED_VALUE"""),"Regional")</f>
        <v>Regional</v>
      </c>
      <c r="K416" s="5">
        <f ca="1">IFERROR(__xludf.DUMMYFUNCTION("""COMPUTED_VALUE"""),4)</f>
        <v>4</v>
      </c>
      <c r="L416" s="5" t="str">
        <f ca="1">IFERROR(__xludf.DUMMYFUNCTION("""COMPUTED_VALUE"""),"Spring")</f>
        <v>Spring</v>
      </c>
      <c r="M416" s="5" t="str">
        <f ca="1">IFERROR(__xludf.DUMMYFUNCTION("""COMPUTED_VALUE"""),"Merrillville")</f>
        <v>Merrillville</v>
      </c>
      <c r="N416" s="5" t="str">
        <f ca="1">IFERROR(__xludf.DUMMYFUNCTION("""COMPUTED_VALUE"""),"IN")</f>
        <v>IN</v>
      </c>
      <c r="O416" s="5" t="str">
        <f ca="1">IFERROR(__xludf.DUMMYFUNCTION("""COMPUTED_VALUE"""),"High")</f>
        <v>High</v>
      </c>
      <c r="P416" s="5" t="str">
        <f ca="1">IFERROR(__xludf.DUMMYFUNCTION("""COMPUTED_VALUE"""),"Parking Lot")</f>
        <v>Parking Lot</v>
      </c>
      <c r="Q416" s="5" t="str">
        <f ca="1">IFERROR(__xludf.DUMMYFUNCTION("""COMPUTED_VALUE"""),"Outside on School Property")</f>
        <v>Outside on School Property</v>
      </c>
      <c r="R416" s="5" t="str">
        <f ca="1">IFERROR(__xludf.DUMMYFUNCTION("""COMPUTED_VALUE"""),"No")</f>
        <v>No</v>
      </c>
      <c r="S416" s="5" t="str">
        <f ca="1">IFERROR(__xludf.DUMMYFUNCTION("""COMPUTED_VALUE"""),"Night")</f>
        <v>Night</v>
      </c>
      <c r="T416" s="10">
        <f ca="1">IFERROR(__xludf.DUMMYFUNCTION("""COMPUTED_VALUE"""),0.0104166666666666)</f>
        <v>1.04166666666666E-2</v>
      </c>
      <c r="U416" s="5">
        <f ca="1">IFERROR(__xludf.DUMMYFUNCTION("""COMPUTED_VALUE"""),1)</f>
        <v>1</v>
      </c>
      <c r="V416" s="5" t="str">
        <f ca="1">IFERROR(__xludf.DUMMYFUNCTION("""COMPUTED_VALUE"""),"Two men shot during planned fight in the school parking lot")</f>
        <v>Two men shot during planned fight in the school parking lot</v>
      </c>
      <c r="W416"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X416" s="5" t="str">
        <f ca="1">IFERROR(__xludf.DUMMYFUNCTION("""COMPUTED_VALUE"""),"Escalation of Dispute")</f>
        <v>Escalation of Dispute</v>
      </c>
      <c r="Y416" s="5" t="str">
        <f ca="1">IFERROR(__xludf.DUMMYFUNCTION("""COMPUTED_VALUE"""),"Victims Targeted")</f>
        <v>Victims Targeted</v>
      </c>
      <c r="Z416" s="5" t="str">
        <f ca="1">IFERROR(__xludf.DUMMYFUNCTION("""COMPUTED_VALUE"""),"Yes")</f>
        <v>Yes</v>
      </c>
      <c r="AA416" s="5" t="str">
        <f ca="1">IFERROR(__xludf.DUMMYFUNCTION("""COMPUTED_VALUE"""),"Two men fired shots")</f>
        <v>Two men fired shots</v>
      </c>
      <c r="AB416" s="5" t="str">
        <f ca="1">IFERROR(__xludf.DUMMYFUNCTION("""COMPUTED_VALUE"""),"No")</f>
        <v>No</v>
      </c>
      <c r="AC416" s="5" t="str">
        <f ca="1">IFERROR(__xludf.DUMMYFUNCTION("""COMPUTED_VALUE"""),"No")</f>
        <v>No</v>
      </c>
      <c r="AD416" s="5" t="str">
        <f ca="1">IFERROR(__xludf.DUMMYFUNCTION("""COMPUTED_VALUE"""),"No")</f>
        <v>No</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row>
    <row r="417" spans="1:34" ht="12.75">
      <c r="A417" s="5" t="str">
        <f ca="1">IFERROR(__xludf.DUMMYFUNCTION("""COMPUTED_VALUE"""),"20210313TXLEA")</f>
        <v>20210313TXLEA</v>
      </c>
      <c r="B417" s="8">
        <f ca="1">IFERROR(__xludf.DUMMYFUNCTION("""COMPUTED_VALUE"""),44268)</f>
        <v>44268</v>
      </c>
      <c r="C417" s="5" t="str">
        <f ca="1">IFERROR(__xludf.DUMMYFUNCTION("""COMPUTED_VALUE"""),"Lee Elementary School")</f>
        <v>Lee Elementary School</v>
      </c>
      <c r="D417" s="5">
        <f ca="1">IFERROR(__xludf.DUMMYFUNCTION("""COMPUTED_VALUE"""),0)</f>
        <v>0</v>
      </c>
      <c r="E417" s="5">
        <f ca="1">IFERROR(__xludf.DUMMYFUNCTION("""COMPUTED_VALUE"""),1)</f>
        <v>1</v>
      </c>
      <c r="F417" s="5">
        <f ca="1">IFERROR(__xludf.DUMMYFUNCTION("""COMPUTED_VALUE"""),1)</f>
        <v>1</v>
      </c>
      <c r="G417" s="5">
        <f ca="1">IFERROR(__xludf.DUMMYFUNCTION("""COMPUTED_VALUE"""),0)</f>
        <v>0</v>
      </c>
      <c r="H417"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I417" s="5">
        <f ca="1">IFERROR(__xludf.DUMMYFUNCTION("""COMPUTED_VALUE"""),2)</f>
        <v>2</v>
      </c>
      <c r="J417" s="5" t="str">
        <f ca="1">IFERROR(__xludf.DUMMYFUNCTION("""COMPUTED_VALUE"""),"Local")</f>
        <v>Local</v>
      </c>
      <c r="K417" s="5">
        <f ca="1">IFERROR(__xludf.DUMMYFUNCTION("""COMPUTED_VALUE"""),3)</f>
        <v>3</v>
      </c>
      <c r="L417" s="5" t="str">
        <f ca="1">IFERROR(__xludf.DUMMYFUNCTION("""COMPUTED_VALUE"""),"Spring")</f>
        <v>Spring</v>
      </c>
      <c r="M417" s="5" t="str">
        <f ca="1">IFERROR(__xludf.DUMMYFUNCTION("""COMPUTED_VALUE"""),"Abilene")</f>
        <v>Abilene</v>
      </c>
      <c r="N417" s="5" t="str">
        <f ca="1">IFERROR(__xludf.DUMMYFUNCTION("""COMPUTED_VALUE"""),"TX")</f>
        <v>TX</v>
      </c>
      <c r="O417" s="5" t="str">
        <f ca="1">IFERROR(__xludf.DUMMYFUNCTION("""COMPUTED_VALUE"""),"Elementary")</f>
        <v>Elementary</v>
      </c>
      <c r="P417" s="5" t="str">
        <f ca="1">IFERROR(__xludf.DUMMYFUNCTION("""COMPUTED_VALUE"""),"Football Field/Track")</f>
        <v>Football Field/Track</v>
      </c>
      <c r="Q417" s="5" t="str">
        <f ca="1">IFERROR(__xludf.DUMMYFUNCTION("""COMPUTED_VALUE"""),"Outside on School Property")</f>
        <v>Outside on School Property</v>
      </c>
      <c r="R417" s="5" t="str">
        <f ca="1">IFERROR(__xludf.DUMMYFUNCTION("""COMPUTED_VALUE"""),"No")</f>
        <v>No</v>
      </c>
      <c r="S417" s="5" t="str">
        <f ca="1">IFERROR(__xludf.DUMMYFUNCTION("""COMPUTED_VALUE"""),"Night")</f>
        <v>Night</v>
      </c>
      <c r="T417" s="10">
        <f ca="1">IFERROR(__xludf.DUMMYFUNCTION("""COMPUTED_VALUE"""),0.875)</f>
        <v>0.875</v>
      </c>
      <c r="U417" s="5">
        <f ca="1">IFERROR(__xludf.DUMMYFUNCTION("""COMPUTED_VALUE"""),1)</f>
        <v>1</v>
      </c>
      <c r="V417" s="5" t="str">
        <f ca="1">IFERROR(__xludf.DUMMYFUNCTION("""COMPUTED_VALUE"""),"Semi-pro football player shot by fan during game held at elementary school field")</f>
        <v>Semi-pro football player shot by fan during game held at elementary school field</v>
      </c>
      <c r="W417"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X417" s="5"/>
      <c r="Y417" s="5" t="str">
        <f ca="1">IFERROR(__xludf.DUMMYFUNCTION("""COMPUTED_VALUE"""),"Victims Targeted")</f>
        <v>Victims Targeted</v>
      </c>
      <c r="Z417" s="5" t="str">
        <f ca="1">IFERROR(__xludf.DUMMYFUNCTION("""COMPUTED_VALUE"""),"No")</f>
        <v>No</v>
      </c>
      <c r="AA417" s="5"/>
      <c r="AB417" s="5" t="str">
        <f ca="1">IFERROR(__xludf.DUMMYFUNCTION("""COMPUTED_VALUE"""),"No")</f>
        <v>No</v>
      </c>
      <c r="AC417" s="5" t="str">
        <f ca="1">IFERROR(__xludf.DUMMYFUNCTION("""COMPUTED_VALUE"""),"No")</f>
        <v>No</v>
      </c>
      <c r="AD417" s="5" t="str">
        <f ca="1">IFERROR(__xludf.DUMMYFUNCTION("""COMPUTED_VALUE"""),"No")</f>
        <v>No</v>
      </c>
      <c r="AE417" s="5" t="str">
        <f ca="1">IFERROR(__xludf.DUMMYFUNCTION("""COMPUTED_VALUE"""),"No")</f>
        <v>No</v>
      </c>
      <c r="AF417" s="5"/>
      <c r="AG417" s="5"/>
      <c r="AH417" s="5" t="str">
        <f ca="1">IFERROR(__xludf.DUMMYFUNCTION("""COMPUTED_VALUE"""),"No")</f>
        <v>No</v>
      </c>
    </row>
    <row r="418" spans="1:34" ht="12.75">
      <c r="A418" s="5" t="str">
        <f ca="1">IFERROR(__xludf.DUMMYFUNCTION("""COMPUTED_VALUE"""),"20210311OHCIC")</f>
        <v>20210311OHCIC</v>
      </c>
      <c r="B418" s="8">
        <f ca="1">IFERROR(__xludf.DUMMYFUNCTION("""COMPUTED_VALUE"""),44266)</f>
        <v>44266</v>
      </c>
      <c r="C418" s="5" t="str">
        <f ca="1">IFERROR(__xludf.DUMMYFUNCTION("""COMPUTED_VALUE"""),"Cincinnati College Preparatory Academy")</f>
        <v>Cincinnati College Preparatory Academy</v>
      </c>
      <c r="D418" s="5">
        <f ca="1">IFERROR(__xludf.DUMMYFUNCTION("""COMPUTED_VALUE"""),0)</f>
        <v>0</v>
      </c>
      <c r="E418" s="5">
        <f ca="1">IFERROR(__xludf.DUMMYFUNCTION("""COMPUTED_VALUE"""),1)</f>
        <v>1</v>
      </c>
      <c r="F418" s="5">
        <f ca="1">IFERROR(__xludf.DUMMYFUNCTION("""COMPUTED_VALUE"""),1)</f>
        <v>1</v>
      </c>
      <c r="G418" s="5">
        <f ca="1">IFERROR(__xludf.DUMMYFUNCTION("""COMPUTED_VALUE"""),0)</f>
        <v>0</v>
      </c>
      <c r="H418"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I418" s="5">
        <f ca="1">IFERROR(__xludf.DUMMYFUNCTION("""COMPUTED_VALUE"""),2)</f>
        <v>2</v>
      </c>
      <c r="J418" s="5"/>
      <c r="K418" s="5">
        <f ca="1">IFERROR(__xludf.DUMMYFUNCTION("""COMPUTED_VALUE"""),3)</f>
        <v>3</v>
      </c>
      <c r="L418" s="5" t="str">
        <f ca="1">IFERROR(__xludf.DUMMYFUNCTION("""COMPUTED_VALUE"""),"Spring")</f>
        <v>Spring</v>
      </c>
      <c r="M418" s="5" t="str">
        <f ca="1">IFERROR(__xludf.DUMMYFUNCTION("""COMPUTED_VALUE"""),"Cincinnati")</f>
        <v>Cincinnati</v>
      </c>
      <c r="N418" s="5" t="str">
        <f ca="1">IFERROR(__xludf.DUMMYFUNCTION("""COMPUTED_VALUE"""),"OH")</f>
        <v>OH</v>
      </c>
      <c r="O418" s="5" t="str">
        <f ca="1">IFERROR(__xludf.DUMMYFUNCTION("""COMPUTED_VALUE"""),"K-12")</f>
        <v>K-12</v>
      </c>
      <c r="P418" s="5" t="str">
        <f ca="1">IFERROR(__xludf.DUMMYFUNCTION("""COMPUTED_VALUE"""),"Front of School")</f>
        <v>Front of School</v>
      </c>
      <c r="Q418" s="5" t="str">
        <f ca="1">IFERROR(__xludf.DUMMYFUNCTION("""COMPUTED_VALUE"""),"Outside on School Property")</f>
        <v>Outside on School Property</v>
      </c>
      <c r="R418" s="5" t="str">
        <f ca="1">IFERROR(__xludf.DUMMYFUNCTION("""COMPUTED_VALUE"""),"Yes")</f>
        <v>Yes</v>
      </c>
      <c r="S418" s="5" t="str">
        <f ca="1">IFERROR(__xludf.DUMMYFUNCTION("""COMPUTED_VALUE"""),"School Start")</f>
        <v>School Start</v>
      </c>
      <c r="T418" s="10">
        <f ca="1">IFERROR(__xludf.DUMMYFUNCTION("""COMPUTED_VALUE"""),0.333333333333333)</f>
        <v>0.33333333333333298</v>
      </c>
      <c r="U418" s="5">
        <f ca="1">IFERROR(__xludf.DUMMYFUNCTION("""COMPUTED_VALUE"""),1)</f>
        <v>1</v>
      </c>
      <c r="V418" s="5" t="str">
        <f ca="1">IFERROR(__xludf.DUMMYFUNCTION("""COMPUTED_VALUE"""),"Person in vehicle shot and crashed in front of school")</f>
        <v>Person in vehicle shot and crashed in front of school</v>
      </c>
      <c r="W418"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X418" s="5"/>
      <c r="Y418" s="5" t="str">
        <f ca="1">IFERROR(__xludf.DUMMYFUNCTION("""COMPUTED_VALUE"""),"Victims Targeted")</f>
        <v>Victims Targeted</v>
      </c>
      <c r="Z418" s="5"/>
      <c r="AA418" s="5"/>
      <c r="AB418" s="5" t="str">
        <f ca="1">IFERROR(__xludf.DUMMYFUNCTION("""COMPUTED_VALUE"""),"No")</f>
        <v>No</v>
      </c>
      <c r="AC418" s="5" t="str">
        <f ca="1">IFERROR(__xludf.DUMMYFUNCTION("""COMPUTED_VALUE"""),"No")</f>
        <v>No</v>
      </c>
      <c r="AD418" s="5" t="str">
        <f ca="1">IFERROR(__xludf.DUMMYFUNCTION("""COMPUTED_VALUE"""),"No")</f>
        <v>No</v>
      </c>
      <c r="AE418" s="5" t="str">
        <f ca="1">IFERROR(__xludf.DUMMYFUNCTION("""COMPUTED_VALUE"""),"No")</f>
        <v>No</v>
      </c>
      <c r="AF418" s="5" t="str">
        <f ca="1">IFERROR(__xludf.DUMMYFUNCTION("""COMPUTED_VALUE"""),"No")</f>
        <v>No</v>
      </c>
      <c r="AG418" s="5"/>
      <c r="AH418" s="5" t="str">
        <f ca="1">IFERROR(__xludf.DUMMYFUNCTION("""COMPUTED_VALUE"""),"No")</f>
        <v>No</v>
      </c>
    </row>
    <row r="419" spans="1:34" ht="12.75">
      <c r="A419" s="5" t="str">
        <f ca="1">IFERROR(__xludf.DUMMYFUNCTION("""COMPUTED_VALUE"""),"20210309TNSAK")</f>
        <v>20210309TNSAK</v>
      </c>
      <c r="B419" s="8">
        <f ca="1">IFERROR(__xludf.DUMMYFUNCTION("""COMPUTED_VALUE"""),44264)</f>
        <v>44264</v>
      </c>
      <c r="C419" s="5" t="str">
        <f ca="1">IFERROR(__xludf.DUMMYFUNCTION("""COMPUTED_VALUE"""),"Sarah Moore Greene Elementary")</f>
        <v>Sarah Moore Greene Elementary</v>
      </c>
      <c r="D419" s="5">
        <f ca="1">IFERROR(__xludf.DUMMYFUNCTION("""COMPUTED_VALUE"""),0)</f>
        <v>0</v>
      </c>
      <c r="E419" s="5">
        <f ca="1">IFERROR(__xludf.DUMMYFUNCTION("""COMPUTED_VALUE"""),0)</f>
        <v>0</v>
      </c>
      <c r="F419" s="5">
        <f ca="1">IFERROR(__xludf.DUMMYFUNCTION("""COMPUTED_VALUE"""),0)</f>
        <v>0</v>
      </c>
      <c r="G419" s="5">
        <f ca="1">IFERROR(__xludf.DUMMYFUNCTION("""COMPUTED_VALUE"""),0)</f>
        <v>0</v>
      </c>
      <c r="H419"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I419" s="5">
        <f ca="1">IFERROR(__xludf.DUMMYFUNCTION("""COMPUTED_VALUE"""),3)</f>
        <v>3</v>
      </c>
      <c r="J419" s="5" t="str">
        <f ca="1">IFERROR(__xludf.DUMMYFUNCTION("""COMPUTED_VALUE"""),"Local")</f>
        <v>Local</v>
      </c>
      <c r="K419" s="5">
        <f ca="1">IFERROR(__xludf.DUMMYFUNCTION("""COMPUTED_VALUE"""),4)</f>
        <v>4</v>
      </c>
      <c r="L419" s="5" t="str">
        <f ca="1">IFERROR(__xludf.DUMMYFUNCTION("""COMPUTED_VALUE"""),"Spring")</f>
        <v>Spring</v>
      </c>
      <c r="M419" s="5" t="str">
        <f ca="1">IFERROR(__xludf.DUMMYFUNCTION("""COMPUTED_VALUE"""),"Knoxville")</f>
        <v>Knoxville</v>
      </c>
      <c r="N419" s="5" t="str">
        <f ca="1">IFERROR(__xludf.DUMMYFUNCTION("""COMPUTED_VALUE"""),"TN")</f>
        <v>TN</v>
      </c>
      <c r="O419" s="5" t="str">
        <f ca="1">IFERROR(__xludf.DUMMYFUNCTION("""COMPUTED_VALUE"""),"Elementary")</f>
        <v>Elementary</v>
      </c>
      <c r="P419" s="5" t="str">
        <f ca="1">IFERROR(__xludf.DUMMYFUNCTION("""COMPUTED_VALUE"""),"Parking Lot")</f>
        <v>Parking Lot</v>
      </c>
      <c r="Q419" s="5" t="str">
        <f ca="1">IFERROR(__xludf.DUMMYFUNCTION("""COMPUTED_VALUE"""),"Outside on School Property")</f>
        <v>Outside on School Property</v>
      </c>
      <c r="R419" s="5" t="str">
        <f ca="1">IFERROR(__xludf.DUMMYFUNCTION("""COMPUTED_VALUE"""),"Yes")</f>
        <v>Yes</v>
      </c>
      <c r="S419" s="5" t="str">
        <f ca="1">IFERROR(__xludf.DUMMYFUNCTION("""COMPUTED_VALUE"""),"Afternoon Classes")</f>
        <v>Afternoon Classes</v>
      </c>
      <c r="T419" s="10">
        <f ca="1">IFERROR(__xludf.DUMMYFUNCTION("""COMPUTED_VALUE"""),0.5625)</f>
        <v>0.5625</v>
      </c>
      <c r="U419" s="5">
        <f ca="1">IFERROR(__xludf.DUMMYFUNCTION("""COMPUTED_VALUE"""),1)</f>
        <v>1</v>
      </c>
      <c r="V419" s="5" t="str">
        <f ca="1">IFERROR(__xludf.DUMMYFUNCTION("""COMPUTED_VALUE"""),"Shots fired from a vehicle in the school parking lot")</f>
        <v>Shots fired from a vehicle in the school parking lot</v>
      </c>
      <c r="W419"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X419" s="5" t="str">
        <f ca="1">IFERROR(__xludf.DUMMYFUNCTION("""COMPUTED_VALUE"""),"Drive-by Shooting")</f>
        <v>Drive-by Shooting</v>
      </c>
      <c r="Y419" s="5" t="str">
        <f ca="1">IFERROR(__xludf.DUMMYFUNCTION("""COMPUTED_VALUE"""),"Victims Targeted")</f>
        <v>Victims Targeted</v>
      </c>
      <c r="Z419" s="5"/>
      <c r="AA419" s="5"/>
      <c r="AB419" s="5" t="str">
        <f ca="1">IFERROR(__xludf.DUMMYFUNCTION("""COMPUTED_VALUE"""),"No")</f>
        <v>No</v>
      </c>
      <c r="AC419" s="5" t="str">
        <f ca="1">IFERROR(__xludf.DUMMYFUNCTION("""COMPUTED_VALUE"""),"No")</f>
        <v>No</v>
      </c>
      <c r="AD419" s="5" t="str">
        <f ca="1">IFERROR(__xludf.DUMMYFUNCTION("""COMPUTED_VALUE"""),"No")</f>
        <v>No</v>
      </c>
      <c r="AE419" s="5" t="str">
        <f ca="1">IFERROR(__xludf.DUMMYFUNCTION("""COMPUTED_VALUE"""),"No")</f>
        <v>No</v>
      </c>
      <c r="AF419" s="5"/>
      <c r="AG419" s="5"/>
      <c r="AH419" s="5" t="str">
        <f ca="1">IFERROR(__xludf.DUMMYFUNCTION("""COMPUTED_VALUE"""),"No")</f>
        <v>No</v>
      </c>
    </row>
    <row r="420" spans="1:34" ht="12.75">
      <c r="A420" s="5" t="str">
        <f ca="1">IFERROR(__xludf.DUMMYFUNCTION("""COMPUTED_VALUE"""),"20210309OHBIC")</f>
        <v>20210309OHBIC</v>
      </c>
      <c r="B420" s="8">
        <f ca="1">IFERROR(__xludf.DUMMYFUNCTION("""COMPUTED_VALUE"""),44264)</f>
        <v>44264</v>
      </c>
      <c r="C420" s="5" t="str">
        <f ca="1">IFERROR(__xludf.DUMMYFUNCTION("""COMPUTED_VALUE"""),"Bishop Hartley High School")</f>
        <v>Bishop Hartley High School</v>
      </c>
      <c r="D420" s="5">
        <f ca="1">IFERROR(__xludf.DUMMYFUNCTION("""COMPUTED_VALUE"""),0)</f>
        <v>0</v>
      </c>
      <c r="E420" s="5">
        <f ca="1">IFERROR(__xludf.DUMMYFUNCTION("""COMPUTED_VALUE"""),0)</f>
        <v>0</v>
      </c>
      <c r="F420" s="5">
        <f ca="1">IFERROR(__xludf.DUMMYFUNCTION("""COMPUTED_VALUE"""),0)</f>
        <v>0</v>
      </c>
      <c r="G420" s="5">
        <f ca="1">IFERROR(__xludf.DUMMYFUNCTION("""COMPUTED_VALUE"""),0)</f>
        <v>0</v>
      </c>
      <c r="H420"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I420" s="5">
        <f ca="1">IFERROR(__xludf.DUMMYFUNCTION("""COMPUTED_VALUE"""),3)</f>
        <v>3</v>
      </c>
      <c r="J420" s="5" t="str">
        <f ca="1">IFERROR(__xludf.DUMMYFUNCTION("""COMPUTED_VALUE"""),"Local")</f>
        <v>Local</v>
      </c>
      <c r="K420" s="5">
        <f ca="1">IFERROR(__xludf.DUMMYFUNCTION("""COMPUTED_VALUE"""),4)</f>
        <v>4</v>
      </c>
      <c r="L420" s="5" t="str">
        <f ca="1">IFERROR(__xludf.DUMMYFUNCTION("""COMPUTED_VALUE"""),"Spring")</f>
        <v>Spring</v>
      </c>
      <c r="M420" s="5" t="str">
        <f ca="1">IFERROR(__xludf.DUMMYFUNCTION("""COMPUTED_VALUE"""),"Columbus")</f>
        <v>Columbus</v>
      </c>
      <c r="N420" s="5" t="str">
        <f ca="1">IFERROR(__xludf.DUMMYFUNCTION("""COMPUTED_VALUE"""),"OH")</f>
        <v>OH</v>
      </c>
      <c r="O420" s="5" t="str">
        <f ca="1">IFERROR(__xludf.DUMMYFUNCTION("""COMPUTED_VALUE"""),"High")</f>
        <v>High</v>
      </c>
      <c r="P420" s="5" t="str">
        <f ca="1">IFERROR(__xludf.DUMMYFUNCTION("""COMPUTED_VALUE"""),"Gym")</f>
        <v>Gym</v>
      </c>
      <c r="Q420" s="5" t="str">
        <f ca="1">IFERROR(__xludf.DUMMYFUNCTION("""COMPUTED_VALUE"""),"Both Inside/Outside")</f>
        <v>Both Inside/Outside</v>
      </c>
      <c r="R420" s="5" t="str">
        <f ca="1">IFERROR(__xludf.DUMMYFUNCTION("""COMPUTED_VALUE"""),"Yes")</f>
        <v>Yes</v>
      </c>
      <c r="S420" s="5" t="str">
        <f ca="1">IFERROR(__xludf.DUMMYFUNCTION("""COMPUTED_VALUE"""),"Morning Classes")</f>
        <v>Morning Classes</v>
      </c>
      <c r="T420" s="10">
        <f ca="1">IFERROR(__xludf.DUMMYFUNCTION("""COMPUTED_VALUE"""),0.368055555555555)</f>
        <v>0.36805555555555503</v>
      </c>
      <c r="U420" s="5">
        <f ca="1">IFERROR(__xludf.DUMMYFUNCTION("""COMPUTED_VALUE"""),1)</f>
        <v>1</v>
      </c>
      <c r="V420" s="5" t="str">
        <f ca="1">IFERROR(__xludf.DUMMYFUNCTION("""COMPUTED_VALUE"""),"Bullet fired from outside the school went through the gym wall with 59 students inside")</f>
        <v>Bullet fired from outside the school went through the gym wall with 59 students inside</v>
      </c>
      <c r="W420"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X420" s="5"/>
      <c r="Y420" s="5"/>
      <c r="Z420" s="5" t="str">
        <f ca="1">IFERROR(__xludf.DUMMYFUNCTION("""COMPUTED_VALUE"""),"No")</f>
        <v>No</v>
      </c>
      <c r="AA420" s="5"/>
      <c r="AB420" s="5" t="str">
        <f ca="1">IFERROR(__xludf.DUMMYFUNCTION("""COMPUTED_VALUE"""),"No")</f>
        <v>No</v>
      </c>
      <c r="AC420" s="5" t="str">
        <f ca="1">IFERROR(__xludf.DUMMYFUNCTION("""COMPUTED_VALUE"""),"No")</f>
        <v>No</v>
      </c>
      <c r="AD420" s="5" t="str">
        <f ca="1">IFERROR(__xludf.DUMMYFUNCTION("""COMPUTED_VALUE"""),"No")</f>
        <v>No</v>
      </c>
      <c r="AE420" s="5" t="str">
        <f ca="1">IFERROR(__xludf.DUMMYFUNCTION("""COMPUTED_VALUE"""),"No")</f>
        <v>No</v>
      </c>
      <c r="AF420" s="5"/>
      <c r="AG420" s="5"/>
      <c r="AH420" s="5" t="str">
        <f ca="1">IFERROR(__xludf.DUMMYFUNCTION("""COMPUTED_VALUE"""),"No")</f>
        <v>No</v>
      </c>
    </row>
    <row r="421" spans="1:34" ht="12.75">
      <c r="A421" s="5" t="str">
        <f ca="1">IFERROR(__xludf.DUMMYFUNCTION("""COMPUTED_VALUE"""),"20210308SCEDC")</f>
        <v>20210308SCEDC</v>
      </c>
      <c r="B421" s="8">
        <f ca="1">IFERROR(__xludf.DUMMYFUNCTION("""COMPUTED_VALUE"""),44263)</f>
        <v>44263</v>
      </c>
      <c r="C421" s="5" t="str">
        <f ca="1">IFERROR(__xludf.DUMMYFUNCTION("""COMPUTED_VALUE"""),"Chesterfield Elementary School")</f>
        <v>Chesterfield Elementary School</v>
      </c>
      <c r="D421" s="5">
        <f ca="1">IFERROR(__xludf.DUMMYFUNCTION("""COMPUTED_VALUE"""),0)</f>
        <v>0</v>
      </c>
      <c r="E421" s="5">
        <f ca="1">IFERROR(__xludf.DUMMYFUNCTION("""COMPUTED_VALUE"""),1)</f>
        <v>1</v>
      </c>
      <c r="F421" s="5">
        <f ca="1">IFERROR(__xludf.DUMMYFUNCTION("""COMPUTED_VALUE"""),1)</f>
        <v>1</v>
      </c>
      <c r="G421" s="5">
        <f ca="1">IFERROR(__xludf.DUMMYFUNCTION("""COMPUTED_VALUE"""),0)</f>
        <v>0</v>
      </c>
      <c r="H421" s="5" t="str">
        <f ca="1">IFERROR(__xludf.DUMMYFUNCTION("""COMPUTED_VALUE"""),"https://www.wbtv.com/2021/03/11/woman-wanted-school-parking-lot-shooting-chesterfield-turns-herself/ https://myfox8.com/news/person-shot-in-the-leg-during-family-dispute-in-sc-elementary-school-parking-lot-officials-say/ https://www.wsoctv.com/news/local/"&amp;"domestic-situation-leads-shooting-chesterfield-county-elementary-school-parking-lot/42ZNUCYQDZDWROWFM3K5XM73OM/ https://www.wbtv.com/2021/03/08/person-shot-during-argument-front-chesterfield-county-elementary-school/")</f>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I421" s="5">
        <f ca="1">IFERROR(__xludf.DUMMYFUNCTION("""COMPUTED_VALUE"""),5)</f>
        <v>5</v>
      </c>
      <c r="J421" s="5" t="str">
        <f ca="1">IFERROR(__xludf.DUMMYFUNCTION("""COMPUTED_VALUE"""),"Regional")</f>
        <v>Regional</v>
      </c>
      <c r="K421" s="5">
        <f ca="1">IFERROR(__xludf.DUMMYFUNCTION("""COMPUTED_VALUE"""),4)</f>
        <v>4</v>
      </c>
      <c r="L421" s="5" t="str">
        <f ca="1">IFERROR(__xludf.DUMMYFUNCTION("""COMPUTED_VALUE"""),"Spring")</f>
        <v>Spring</v>
      </c>
      <c r="M421" s="5" t="str">
        <f ca="1">IFERROR(__xludf.DUMMYFUNCTION("""COMPUTED_VALUE"""),"Chesterfield")</f>
        <v>Chesterfield</v>
      </c>
      <c r="N421" s="5" t="str">
        <f ca="1">IFERROR(__xludf.DUMMYFUNCTION("""COMPUTED_VALUE"""),"SC")</f>
        <v>SC</v>
      </c>
      <c r="O421" s="5" t="str">
        <f ca="1">IFERROR(__xludf.DUMMYFUNCTION("""COMPUTED_VALUE"""),"Elementary")</f>
        <v>Elementary</v>
      </c>
      <c r="P421" s="5" t="str">
        <f ca="1">IFERROR(__xludf.DUMMYFUNCTION("""COMPUTED_VALUE"""),"Parking Lot")</f>
        <v>Parking Lot</v>
      </c>
      <c r="Q421" s="5" t="str">
        <f ca="1">IFERROR(__xludf.DUMMYFUNCTION("""COMPUTED_VALUE"""),"Outside on School Property")</f>
        <v>Outside on School Property</v>
      </c>
      <c r="R421" s="5" t="str">
        <f ca="1">IFERROR(__xludf.DUMMYFUNCTION("""COMPUTED_VALUE"""),"Yes")</f>
        <v>Yes</v>
      </c>
      <c r="S421" s="5" t="str">
        <f ca="1">IFERROR(__xludf.DUMMYFUNCTION("""COMPUTED_VALUE"""),"Afternoon Classes")</f>
        <v>Afternoon Classes</v>
      </c>
      <c r="T421" s="10">
        <f ca="1">IFERROR(__xludf.DUMMYFUNCTION("""COMPUTED_VALUE"""),0.5625)</f>
        <v>0.5625</v>
      </c>
      <c r="U421" s="5">
        <f ca="1">IFERROR(__xludf.DUMMYFUNCTION("""COMPUTED_VALUE"""),1)</f>
        <v>1</v>
      </c>
      <c r="V421" s="5" t="str">
        <f ca="1">IFERROR(__xludf.DUMMYFUNCTION("""COMPUTED_VALUE"""),"Adult woman shot her son-in-law in the leg in the school parking lot")</f>
        <v>Adult woman shot her son-in-law in the leg in the school parking lot</v>
      </c>
      <c r="W421" s="5" t="str">
        <f ca="1">IFERROR(__xludf.DUMMYFUNCTION("""COMPUTED_VALUE"""),"A 54-year-old woman shot her adult son-in-law in the leg during a dispute in the parking lot of the school. The school was in session at the time and placed on lockdown. Shooter fled the scene in a vehicle and turned herself in 3 days later. Her son was a"&amp;"lso involved and arrested. The victim was shot in hip and transported to the hospital. No students or staff were involved or injured.")</f>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X421" s="5" t="str">
        <f ca="1">IFERROR(__xludf.DUMMYFUNCTION("""COMPUTED_VALUE"""),"Domestic w/ Targeted Victim")</f>
        <v>Domestic w/ Targeted Victim</v>
      </c>
      <c r="Y421" s="5" t="str">
        <f ca="1">IFERROR(__xludf.DUMMYFUNCTION("""COMPUTED_VALUE"""),"Victims Targeted")</f>
        <v>Victims Targeted</v>
      </c>
      <c r="Z421" s="5" t="str">
        <f ca="1">IFERROR(__xludf.DUMMYFUNCTION("""COMPUTED_VALUE"""),"Yes")</f>
        <v>Yes</v>
      </c>
      <c r="AA421" s="5" t="str">
        <f ca="1">IFERROR(__xludf.DUMMYFUNCTION("""COMPUTED_VALUE"""),"Son charged with accessory to attempted murder")</f>
        <v>Son charged with accessory to attempted murder</v>
      </c>
      <c r="AB421" s="5" t="str">
        <f ca="1">IFERROR(__xludf.DUMMYFUNCTION("""COMPUTED_VALUE"""),"No")</f>
        <v>No</v>
      </c>
      <c r="AC421" s="5" t="str">
        <f ca="1">IFERROR(__xludf.DUMMYFUNCTION("""COMPUTED_VALUE"""),"No")</f>
        <v>No</v>
      </c>
      <c r="AD421" s="5" t="str">
        <f ca="1">IFERROR(__xludf.DUMMYFUNCTION("""COMPUTED_VALUE"""),"No")</f>
        <v>No</v>
      </c>
      <c r="AE421" s="5" t="str">
        <f ca="1">IFERROR(__xludf.DUMMYFUNCTION("""COMPUTED_VALUE"""),"No")</f>
        <v>No</v>
      </c>
      <c r="AF421" s="5" t="str">
        <f ca="1">IFERROR(__xludf.DUMMYFUNCTION("""COMPUTED_VALUE"""),"Yes")</f>
        <v>Yes</v>
      </c>
      <c r="AG421" s="5" t="str">
        <f ca="1">IFERROR(__xludf.DUMMYFUNCTION("""COMPUTED_VALUE"""),"No")</f>
        <v>No</v>
      </c>
      <c r="AH421" s="5" t="str">
        <f ca="1">IFERROR(__xludf.DUMMYFUNCTION("""COMPUTED_VALUE"""),"No")</f>
        <v>No</v>
      </c>
    </row>
    <row r="422" spans="1:34" ht="12.75">
      <c r="A422" s="5" t="str">
        <f ca="1">IFERROR(__xludf.DUMMYFUNCTION("""COMPUTED_VALUE"""),"20210301ARWAP")</f>
        <v>20210301ARWAP</v>
      </c>
      <c r="B422" s="8">
        <f ca="1">IFERROR(__xludf.DUMMYFUNCTION("""COMPUTED_VALUE"""),44256)</f>
        <v>44256</v>
      </c>
      <c r="C422" s="5" t="str">
        <f ca="1">IFERROR(__xludf.DUMMYFUNCTION("""COMPUTED_VALUE"""),"Watson Chapel Junior High")</f>
        <v>Watson Chapel Junior High</v>
      </c>
      <c r="D422" s="5">
        <f ca="1">IFERROR(__xludf.DUMMYFUNCTION("""COMPUTED_VALUE"""),1)</f>
        <v>1</v>
      </c>
      <c r="E422" s="5">
        <f ca="1">IFERROR(__xludf.DUMMYFUNCTION("""COMPUTED_VALUE"""),0)</f>
        <v>0</v>
      </c>
      <c r="F422" s="5">
        <f ca="1">IFERROR(__xludf.DUMMYFUNCTION("""COMPUTED_VALUE"""),1)</f>
        <v>1</v>
      </c>
      <c r="G422" s="5">
        <f ca="1">IFERROR(__xludf.DUMMYFUNCTION("""COMPUTED_VALUE"""),0)</f>
        <v>0</v>
      </c>
      <c r="H422"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I422" s="5">
        <f ca="1">IFERROR(__xludf.DUMMYFUNCTION("""COMPUTED_VALUE"""),100)</f>
        <v>100</v>
      </c>
      <c r="J422" s="5" t="str">
        <f ca="1">IFERROR(__xludf.DUMMYFUNCTION("""COMPUTED_VALUE"""),"National")</f>
        <v>National</v>
      </c>
      <c r="K422" s="5">
        <f ca="1">IFERROR(__xludf.DUMMYFUNCTION("""COMPUTED_VALUE"""),4)</f>
        <v>4</v>
      </c>
      <c r="L422" s="5" t="str">
        <f ca="1">IFERROR(__xludf.DUMMYFUNCTION("""COMPUTED_VALUE"""),"Spring")</f>
        <v>Spring</v>
      </c>
      <c r="M422" s="5" t="str">
        <f ca="1">IFERROR(__xludf.DUMMYFUNCTION("""COMPUTED_VALUE"""),"Pine Bluff")</f>
        <v>Pine Bluff</v>
      </c>
      <c r="N422" s="5" t="str">
        <f ca="1">IFERROR(__xludf.DUMMYFUNCTION("""COMPUTED_VALUE"""),"AR")</f>
        <v>AR</v>
      </c>
      <c r="O422" s="5" t="str">
        <f ca="1">IFERROR(__xludf.DUMMYFUNCTION("""COMPUTED_VALUE"""),"Junior High")</f>
        <v>Junior High</v>
      </c>
      <c r="P422" s="5" t="str">
        <f ca="1">IFERROR(__xludf.DUMMYFUNCTION("""COMPUTED_VALUE"""),"Hallway")</f>
        <v>Hallway</v>
      </c>
      <c r="Q422" s="5" t="str">
        <f ca="1">IFERROR(__xludf.DUMMYFUNCTION("""COMPUTED_VALUE"""),"Inside School Building")</f>
        <v>Inside School Building</v>
      </c>
      <c r="R422" s="5" t="str">
        <f ca="1">IFERROR(__xludf.DUMMYFUNCTION("""COMPUTED_VALUE"""),"Yes")</f>
        <v>Yes</v>
      </c>
      <c r="S422" s="5" t="str">
        <f ca="1">IFERROR(__xludf.DUMMYFUNCTION("""COMPUTED_VALUE"""),"Morning Classes")</f>
        <v>Morning Classes</v>
      </c>
      <c r="T422" s="10">
        <f ca="1">IFERROR(__xludf.DUMMYFUNCTION("""COMPUTED_VALUE"""),0.415972222222222)</f>
        <v>0.41597222222222202</v>
      </c>
      <c r="U422" s="5">
        <f ca="1">IFERROR(__xludf.DUMMYFUNCTION("""COMPUTED_VALUE"""),1)</f>
        <v>1</v>
      </c>
      <c r="V422" s="5" t="str">
        <f ca="1">IFERROR(__xludf.DUMMYFUNCTION("""COMPUTED_VALUE"""),"Student shot by another student in the hallway between classes")</f>
        <v>Student shot by another student in the hallway between classes</v>
      </c>
      <c r="W422"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X422" s="5" t="str">
        <f ca="1">IFERROR(__xludf.DUMMYFUNCTION("""COMPUTED_VALUE"""),"Escalation of Dispute")</f>
        <v>Escalation of Dispute</v>
      </c>
      <c r="Y422" s="5" t="str">
        <f ca="1">IFERROR(__xludf.DUMMYFUNCTION("""COMPUTED_VALUE"""),"Victims Targeted")</f>
        <v>Victims Targeted</v>
      </c>
      <c r="Z422" s="5" t="str">
        <f ca="1">IFERROR(__xludf.DUMMYFUNCTION("""COMPUTED_VALUE"""),"No")</f>
        <v>No</v>
      </c>
      <c r="AA422" s="5"/>
      <c r="AB422" s="5" t="str">
        <f ca="1">IFERROR(__xludf.DUMMYFUNCTION("""COMPUTED_VALUE"""),"No")</f>
        <v>No</v>
      </c>
      <c r="AC422" s="5" t="str">
        <f ca="1">IFERROR(__xludf.DUMMYFUNCTION("""COMPUTED_VALUE"""),"No")</f>
        <v>No</v>
      </c>
      <c r="AD422" s="5" t="str">
        <f ca="1">IFERROR(__xludf.DUMMYFUNCTION("""COMPUTED_VALUE"""),"No")</f>
        <v>No</v>
      </c>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row>
    <row r="423" spans="1:34" ht="12.75">
      <c r="A423" s="5" t="str">
        <f ca="1">IFERROR(__xludf.DUMMYFUNCTION("""COMPUTED_VALUE"""),"20210226LAGEN")</f>
        <v>20210226LAGEN</v>
      </c>
      <c r="B423" s="8">
        <f ca="1">IFERROR(__xludf.DUMMYFUNCTION("""COMPUTED_VALUE"""),44253)</f>
        <v>44253</v>
      </c>
      <c r="C423" s="5" t="str">
        <f ca="1">IFERROR(__xludf.DUMMYFUNCTION("""COMPUTED_VALUE"""),"George Washington Carver High School")</f>
        <v>George Washington Carver High School</v>
      </c>
      <c r="D423" s="5">
        <f ca="1">IFERROR(__xludf.DUMMYFUNCTION("""COMPUTED_VALUE"""),1)</f>
        <v>1</v>
      </c>
      <c r="E423" s="5">
        <f ca="1">IFERROR(__xludf.DUMMYFUNCTION("""COMPUTED_VALUE"""),0)</f>
        <v>0</v>
      </c>
      <c r="F423" s="5">
        <f ca="1">IFERROR(__xludf.DUMMYFUNCTION("""COMPUTED_VALUE"""),1)</f>
        <v>1</v>
      </c>
      <c r="G423" s="5">
        <f ca="1">IFERROR(__xludf.DUMMYFUNCTION("""COMPUTED_VALUE"""),0)</f>
        <v>0</v>
      </c>
      <c r="H423"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I423" s="5">
        <f ca="1">IFERROR(__xludf.DUMMYFUNCTION("""COMPUTED_VALUE"""),100)</f>
        <v>100</v>
      </c>
      <c r="J423" s="5" t="str">
        <f ca="1">IFERROR(__xludf.DUMMYFUNCTION("""COMPUTED_VALUE"""),"National")</f>
        <v>National</v>
      </c>
      <c r="K423" s="5">
        <f ca="1">IFERROR(__xludf.DUMMYFUNCTION("""COMPUTED_VALUE"""),4)</f>
        <v>4</v>
      </c>
      <c r="L423" s="5"/>
      <c r="M423" s="5" t="str">
        <f ca="1">IFERROR(__xludf.DUMMYFUNCTION("""COMPUTED_VALUE"""),"New Orleans")</f>
        <v>New Orleans</v>
      </c>
      <c r="N423" s="5" t="str">
        <f ca="1">IFERROR(__xludf.DUMMYFUNCTION("""COMPUTED_VALUE"""),"LA")</f>
        <v>LA</v>
      </c>
      <c r="O423" s="5" t="str">
        <f ca="1">IFERROR(__xludf.DUMMYFUNCTION("""COMPUTED_VALUE"""),"High")</f>
        <v>High</v>
      </c>
      <c r="P423" s="5" t="str">
        <f ca="1">IFERROR(__xludf.DUMMYFUNCTION("""COMPUTED_VALUE"""),"Hallway")</f>
        <v>Hallway</v>
      </c>
      <c r="Q423" s="5" t="str">
        <f ca="1">IFERROR(__xludf.DUMMYFUNCTION("""COMPUTED_VALUE"""),"Inside School Building")</f>
        <v>Inside School Building</v>
      </c>
      <c r="R423" s="5" t="str">
        <f ca="1">IFERROR(__xludf.DUMMYFUNCTION("""COMPUTED_VALUE"""),"No")</f>
        <v>No</v>
      </c>
      <c r="S423" s="5" t="str">
        <f ca="1">IFERROR(__xludf.DUMMYFUNCTION("""COMPUTED_VALUE"""),"Sport Event")</f>
        <v>Sport Event</v>
      </c>
      <c r="T423" s="10">
        <f ca="1">IFERROR(__xludf.DUMMYFUNCTION("""COMPUTED_VALUE"""),0.760416666666666)</f>
        <v>0.76041666666666596</v>
      </c>
      <c r="U423" s="5">
        <f ca="1">IFERROR(__xludf.DUMMYFUNCTION("""COMPUTED_VALUE"""),1)</f>
        <v>1</v>
      </c>
      <c r="V423" s="5" t="str">
        <f ca="1">IFERROR(__xludf.DUMMYFUNCTION("""COMPUTED_VALUE"""),"Police officer shot while escorting person out of high school basketball game")</f>
        <v>Police officer shot while escorting person out of high school basketball game</v>
      </c>
      <c r="W423"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X423" s="5" t="str">
        <f ca="1">IFERROR(__xludf.DUMMYFUNCTION("""COMPUTED_VALUE"""),"Illegal Activity")</f>
        <v>Illegal Activity</v>
      </c>
      <c r="Y423" s="5" t="str">
        <f ca="1">IFERROR(__xludf.DUMMYFUNCTION("""COMPUTED_VALUE"""),"Random Shooting")</f>
        <v>Random Shooting</v>
      </c>
      <c r="Z423" s="5" t="str">
        <f ca="1">IFERROR(__xludf.DUMMYFUNCTION("""COMPUTED_VALUE"""),"No")</f>
        <v>No</v>
      </c>
      <c r="AA423" s="5"/>
      <c r="AB423" s="5" t="str">
        <f ca="1">IFERROR(__xludf.DUMMYFUNCTION("""COMPUTED_VALUE"""),"No")</f>
        <v>No</v>
      </c>
      <c r="AC423" s="5" t="str">
        <f ca="1">IFERROR(__xludf.DUMMYFUNCTION("""COMPUTED_VALUE"""),"No")</f>
        <v>No</v>
      </c>
      <c r="AD423" s="5" t="str">
        <f ca="1">IFERROR(__xludf.DUMMYFUNCTION("""COMPUTED_VALUE"""),"No")</f>
        <v>No</v>
      </c>
      <c r="AE423" s="5" t="str">
        <f ca="1">IFERROR(__xludf.DUMMYFUNCTION("""COMPUTED_VALUE"""),"No")</f>
        <v>No</v>
      </c>
      <c r="AF423" s="5" t="str">
        <f ca="1">IFERROR(__xludf.DUMMYFUNCTION("""COMPUTED_VALUE"""),"No")</f>
        <v>No</v>
      </c>
      <c r="AG423" s="5" t="str">
        <f ca="1">IFERROR(__xludf.DUMMYFUNCTION("""COMPUTED_VALUE"""),"No")</f>
        <v>No</v>
      </c>
      <c r="AH423" s="5" t="str">
        <f ca="1">IFERROR(__xludf.DUMMYFUNCTION("""COMPUTED_VALUE"""),"No")</f>
        <v>No</v>
      </c>
    </row>
    <row r="424" spans="1:34" ht="12.75">
      <c r="A424" s="5" t="str">
        <f ca="1">IFERROR(__xludf.DUMMYFUNCTION("""COMPUTED_VALUE"""),"20210224WAGAY")</f>
        <v>20210224WAGAY</v>
      </c>
      <c r="B424" s="8">
        <f ca="1">IFERROR(__xludf.DUMMYFUNCTION("""COMPUTED_VALUE"""),44251)</f>
        <v>44251</v>
      </c>
      <c r="C424" s="5" t="str">
        <f ca="1">IFERROR(__xludf.DUMMYFUNCTION("""COMPUTED_VALUE"""),"Garfield Elementary School")</f>
        <v>Garfield Elementary School</v>
      </c>
      <c r="D424" s="5">
        <f ca="1">IFERROR(__xludf.DUMMYFUNCTION("""COMPUTED_VALUE"""),0)</f>
        <v>0</v>
      </c>
      <c r="E424" s="5">
        <f ca="1">IFERROR(__xludf.DUMMYFUNCTION("""COMPUTED_VALUE"""),1)</f>
        <v>1</v>
      </c>
      <c r="F424" s="5">
        <f ca="1">IFERROR(__xludf.DUMMYFUNCTION("""COMPUTED_VALUE"""),1)</f>
        <v>1</v>
      </c>
      <c r="G424" s="5">
        <f ca="1">IFERROR(__xludf.DUMMYFUNCTION("""COMPUTED_VALUE"""),0)</f>
        <v>0</v>
      </c>
      <c r="H424"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I424" s="5">
        <f ca="1">IFERROR(__xludf.DUMMYFUNCTION("""COMPUTED_VALUE"""),4)</f>
        <v>4</v>
      </c>
      <c r="J424" s="5" t="str">
        <f ca="1">IFERROR(__xludf.DUMMYFUNCTION("""COMPUTED_VALUE"""),"Local")</f>
        <v>Local</v>
      </c>
      <c r="K424" s="5">
        <f ca="1">IFERROR(__xludf.DUMMYFUNCTION("""COMPUTED_VALUE"""),4)</f>
        <v>4</v>
      </c>
      <c r="L424" s="5" t="str">
        <f ca="1">IFERROR(__xludf.DUMMYFUNCTION("""COMPUTED_VALUE"""),"Winter")</f>
        <v>Winter</v>
      </c>
      <c r="M424" s="5" t="str">
        <f ca="1">IFERROR(__xludf.DUMMYFUNCTION("""COMPUTED_VALUE"""),"Yakima")</f>
        <v>Yakima</v>
      </c>
      <c r="N424" s="5" t="str">
        <f ca="1">IFERROR(__xludf.DUMMYFUNCTION("""COMPUTED_VALUE"""),"WA")</f>
        <v>WA</v>
      </c>
      <c r="O424" s="5" t="str">
        <f ca="1">IFERROR(__xludf.DUMMYFUNCTION("""COMPUTED_VALUE"""),"Elementary")</f>
        <v>Elementary</v>
      </c>
      <c r="P424" s="5" t="str">
        <f ca="1">IFERROR(__xludf.DUMMYFUNCTION("""COMPUTED_VALUE"""),"Parking Lot")</f>
        <v>Parking Lot</v>
      </c>
      <c r="Q424" s="5" t="str">
        <f ca="1">IFERROR(__xludf.DUMMYFUNCTION("""COMPUTED_VALUE"""),"Outside on School Property")</f>
        <v>Outside on School Property</v>
      </c>
      <c r="R424" s="5" t="str">
        <f ca="1">IFERROR(__xludf.DUMMYFUNCTION("""COMPUTED_VALUE"""),"Yes")</f>
        <v>Yes</v>
      </c>
      <c r="S424" s="5" t="str">
        <f ca="1">IFERROR(__xludf.DUMMYFUNCTION("""COMPUTED_VALUE"""),"Afternoon Classes")</f>
        <v>Afternoon Classes</v>
      </c>
      <c r="T424" s="10">
        <f ca="1">IFERROR(__xludf.DUMMYFUNCTION("""COMPUTED_VALUE"""),0.506944444444444)</f>
        <v>0.50694444444444398</v>
      </c>
      <c r="U424" s="5">
        <f ca="1">IFERROR(__xludf.DUMMYFUNCTION("""COMPUTED_VALUE"""),1)</f>
        <v>1</v>
      </c>
      <c r="V424" s="5" t="str">
        <f ca="1">IFERROR(__xludf.DUMMYFUNCTION("""COMPUTED_VALUE"""),"Teen shot in the parking lot of the school, shooter fled and crashed vehicle into school bus")</f>
        <v>Teen shot in the parking lot of the school, shooter fled and crashed vehicle into school bus</v>
      </c>
      <c r="W424"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X424" s="5" t="str">
        <f ca="1">IFERROR(__xludf.DUMMYFUNCTION("""COMPUTED_VALUE"""),"Drive-by Shooting")</f>
        <v>Drive-by Shooting</v>
      </c>
      <c r="Y424" s="5" t="str">
        <f ca="1">IFERROR(__xludf.DUMMYFUNCTION("""COMPUTED_VALUE"""),"Victims Targeted")</f>
        <v>Victims Targeted</v>
      </c>
      <c r="Z424" s="5" t="str">
        <f ca="1">IFERROR(__xludf.DUMMYFUNCTION("""COMPUTED_VALUE"""),"Yes")</f>
        <v>Yes</v>
      </c>
      <c r="AA424" s="5" t="str">
        <f ca="1">IFERROR(__xludf.DUMMYFUNCTION("""COMPUTED_VALUE"""),"Four teens fled in vehicle")</f>
        <v>Four teens fled in vehicle</v>
      </c>
      <c r="AB424" s="5" t="str">
        <f ca="1">IFERROR(__xludf.DUMMYFUNCTION("""COMPUTED_VALUE"""),"No")</f>
        <v>No</v>
      </c>
      <c r="AC424" s="5" t="str">
        <f ca="1">IFERROR(__xludf.DUMMYFUNCTION("""COMPUTED_VALUE"""),"No")</f>
        <v>No</v>
      </c>
      <c r="AD424" s="5" t="str">
        <f ca="1">IFERROR(__xludf.DUMMYFUNCTION("""COMPUTED_VALUE"""),"No")</f>
        <v>No</v>
      </c>
      <c r="AE424" s="5" t="str">
        <f ca="1">IFERROR(__xludf.DUMMYFUNCTION("""COMPUTED_VALUE"""),"No")</f>
        <v>No</v>
      </c>
      <c r="AF424" s="5" t="str">
        <f ca="1">IFERROR(__xludf.DUMMYFUNCTION("""COMPUTED_VALUE"""),"No")</f>
        <v>No</v>
      </c>
      <c r="AG424" s="5" t="str">
        <f ca="1">IFERROR(__xludf.DUMMYFUNCTION("""COMPUTED_VALUE"""),"Yes")</f>
        <v>Yes</v>
      </c>
      <c r="AH424" s="5" t="str">
        <f ca="1">IFERROR(__xludf.DUMMYFUNCTION("""COMPUTED_VALUE"""),"No")</f>
        <v>No</v>
      </c>
    </row>
    <row r="425" spans="1:34" ht="12.75">
      <c r="A425" s="5" t="str">
        <f ca="1">IFERROR(__xludf.DUMMYFUNCTION("""COMPUTED_VALUE"""),"20210222CAHOV")</f>
        <v>20210222CAHOV</v>
      </c>
      <c r="B425" s="8">
        <f ca="1">IFERROR(__xludf.DUMMYFUNCTION("""COMPUTED_VALUE"""),44249)</f>
        <v>44249</v>
      </c>
      <c r="C425" s="5" t="str">
        <f ca="1">IFERROR(__xludf.DUMMYFUNCTION("""COMPUTED_VALUE"""),"Houston Elementary School")</f>
        <v>Houston Elementary School</v>
      </c>
      <c r="D425" s="5">
        <f ca="1">IFERROR(__xludf.DUMMYFUNCTION("""COMPUTED_VALUE"""),0)</f>
        <v>0</v>
      </c>
      <c r="E425" s="5">
        <f ca="1">IFERROR(__xludf.DUMMYFUNCTION("""COMPUTED_VALUE"""),1)</f>
        <v>1</v>
      </c>
      <c r="F425" s="5">
        <f ca="1">IFERROR(__xludf.DUMMYFUNCTION("""COMPUTED_VALUE"""),1)</f>
        <v>1</v>
      </c>
      <c r="G425" s="5">
        <f ca="1">IFERROR(__xludf.DUMMYFUNCTION("""COMPUTED_VALUE"""),0)</f>
        <v>0</v>
      </c>
      <c r="H425" s="9" t="str">
        <f ca="1">IFERROR(__xludf.DUMMYFUNCTION("""COMPUTED_VALUE"""),"https://abc30.com/visalia-shooting-houston-elementary-school-police-man-shot/10361223/")</f>
        <v>https://abc30.com/visalia-shooting-houston-elementary-school-police-man-shot/10361223/</v>
      </c>
      <c r="I425" s="5">
        <f ca="1">IFERROR(__xludf.DUMMYFUNCTION("""COMPUTED_VALUE"""),1)</f>
        <v>1</v>
      </c>
      <c r="J425" s="5" t="str">
        <f ca="1">IFERROR(__xludf.DUMMYFUNCTION("""COMPUTED_VALUE"""),"Local")</f>
        <v>Local</v>
      </c>
      <c r="K425" s="5">
        <f ca="1">IFERROR(__xludf.DUMMYFUNCTION("""COMPUTED_VALUE"""),3)</f>
        <v>3</v>
      </c>
      <c r="L425" s="5" t="str">
        <f ca="1">IFERROR(__xludf.DUMMYFUNCTION("""COMPUTED_VALUE"""),"Winter")</f>
        <v>Winter</v>
      </c>
      <c r="M425" s="5" t="str">
        <f ca="1">IFERROR(__xludf.DUMMYFUNCTION("""COMPUTED_VALUE"""),"Visalia")</f>
        <v>Visalia</v>
      </c>
      <c r="N425" s="5" t="str">
        <f ca="1">IFERROR(__xludf.DUMMYFUNCTION("""COMPUTED_VALUE"""),"CA")</f>
        <v>CA</v>
      </c>
      <c r="O425" s="5" t="str">
        <f ca="1">IFERROR(__xludf.DUMMYFUNCTION("""COMPUTED_VALUE"""),"Elementary")</f>
        <v>Elementary</v>
      </c>
      <c r="P425" s="5" t="str">
        <f ca="1">IFERROR(__xludf.DUMMYFUNCTION("""COMPUTED_VALUE"""),"Front of School")</f>
        <v>Front of School</v>
      </c>
      <c r="Q425" s="5" t="str">
        <f ca="1">IFERROR(__xludf.DUMMYFUNCTION("""COMPUTED_VALUE"""),"Outside on School Property")</f>
        <v>Outside on School Property</v>
      </c>
      <c r="R425" s="5" t="str">
        <f ca="1">IFERROR(__xludf.DUMMYFUNCTION("""COMPUTED_VALUE"""),"No")</f>
        <v>No</v>
      </c>
      <c r="S425" s="5" t="str">
        <f ca="1">IFERROR(__xludf.DUMMYFUNCTION("""COMPUTED_VALUE"""),"Night")</f>
        <v>Night</v>
      </c>
      <c r="T425" s="10">
        <f ca="1">IFERROR(__xludf.DUMMYFUNCTION("""COMPUTED_VALUE"""),0.166666666666666)</f>
        <v>0.16666666666666599</v>
      </c>
      <c r="U425" s="5">
        <f ca="1">IFERROR(__xludf.DUMMYFUNCTION("""COMPUTED_VALUE"""),1)</f>
        <v>1</v>
      </c>
      <c r="V425" s="5" t="str">
        <f ca="1">IFERROR(__xludf.DUMMYFUNCTION("""COMPUTED_VALUE"""),"Man shot in front of the school")</f>
        <v>Man shot in front of the school</v>
      </c>
      <c r="W425"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X425" s="5"/>
      <c r="Y425" s="5"/>
      <c r="Z425" s="5"/>
      <c r="AA425" s="5"/>
      <c r="AB425" s="5" t="str">
        <f ca="1">IFERROR(__xludf.DUMMYFUNCTION("""COMPUTED_VALUE"""),"No")</f>
        <v>No</v>
      </c>
      <c r="AC425" s="5" t="str">
        <f ca="1">IFERROR(__xludf.DUMMYFUNCTION("""COMPUTED_VALUE"""),"No")</f>
        <v>No</v>
      </c>
      <c r="AD425" s="5" t="str">
        <f ca="1">IFERROR(__xludf.DUMMYFUNCTION("""COMPUTED_VALUE"""),"No")</f>
        <v>No</v>
      </c>
      <c r="AE425" s="5" t="str">
        <f ca="1">IFERROR(__xludf.DUMMYFUNCTION("""COMPUTED_VALUE"""),"No")</f>
        <v>No</v>
      </c>
      <c r="AF425" s="5"/>
      <c r="AG425" s="5"/>
      <c r="AH425" s="5" t="str">
        <f ca="1">IFERROR(__xludf.DUMMYFUNCTION("""COMPUTED_VALUE"""),"No")</f>
        <v>No</v>
      </c>
    </row>
    <row r="426" spans="1:34" ht="12.75">
      <c r="A426" s="5" t="str">
        <f ca="1">IFERROR(__xludf.DUMMYFUNCTION("""COMPUTED_VALUE"""),"20210219ILLIR")</f>
        <v>20210219ILLIR</v>
      </c>
      <c r="B426" s="8">
        <f ca="1">IFERROR(__xludf.DUMMYFUNCTION("""COMPUTED_VALUE"""),44246)</f>
        <v>44246</v>
      </c>
      <c r="C426" s="5" t="str">
        <f ca="1">IFERROR(__xludf.DUMMYFUNCTION("""COMPUTED_VALUE"""),"Lincoln Middle School")</f>
        <v>Lincoln Middle School</v>
      </c>
      <c r="D426" s="5">
        <f ca="1">IFERROR(__xludf.DUMMYFUNCTION("""COMPUTED_VALUE"""),1)</f>
        <v>1</v>
      </c>
      <c r="E426" s="5">
        <f ca="1">IFERROR(__xludf.DUMMYFUNCTION("""COMPUTED_VALUE"""),0)</f>
        <v>0</v>
      </c>
      <c r="F426" s="5">
        <f ca="1">IFERROR(__xludf.DUMMYFUNCTION("""COMPUTED_VALUE"""),1)</f>
        <v>1</v>
      </c>
      <c r="G426" s="5">
        <f ca="1">IFERROR(__xludf.DUMMYFUNCTION("""COMPUTED_VALUE"""),0)</f>
        <v>0</v>
      </c>
      <c r="H426"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I426" s="5">
        <f ca="1">IFERROR(__xludf.DUMMYFUNCTION("""COMPUTED_VALUE"""),3)</f>
        <v>3</v>
      </c>
      <c r="J426" s="5" t="str">
        <f ca="1">IFERROR(__xludf.DUMMYFUNCTION("""COMPUTED_VALUE"""),"Local")</f>
        <v>Local</v>
      </c>
      <c r="K426" s="5">
        <f ca="1">IFERROR(__xludf.DUMMYFUNCTION("""COMPUTED_VALUE"""),4)</f>
        <v>4</v>
      </c>
      <c r="L426" s="5" t="str">
        <f ca="1">IFERROR(__xludf.DUMMYFUNCTION("""COMPUTED_VALUE"""),"Winter")</f>
        <v>Winter</v>
      </c>
      <c r="M426" s="5" t="str">
        <f ca="1">IFERROR(__xludf.DUMMYFUNCTION("""COMPUTED_VALUE"""),"Rockford")</f>
        <v>Rockford</v>
      </c>
      <c r="N426" s="5" t="str">
        <f ca="1">IFERROR(__xludf.DUMMYFUNCTION("""COMPUTED_VALUE"""),"IL")</f>
        <v>IL</v>
      </c>
      <c r="O426" s="5" t="str">
        <f ca="1">IFERROR(__xludf.DUMMYFUNCTION("""COMPUTED_VALUE"""),"Middle")</f>
        <v>Middle</v>
      </c>
      <c r="P426" s="5" t="str">
        <f ca="1">IFERROR(__xludf.DUMMYFUNCTION("""COMPUTED_VALUE"""),"Front of School")</f>
        <v>Front of School</v>
      </c>
      <c r="Q426" s="5" t="str">
        <f ca="1">IFERROR(__xludf.DUMMYFUNCTION("""COMPUTED_VALUE"""),"Outside on School Property")</f>
        <v>Outside on School Property</v>
      </c>
      <c r="R426" s="5" t="str">
        <f ca="1">IFERROR(__xludf.DUMMYFUNCTION("""COMPUTED_VALUE"""),"Yes")</f>
        <v>Yes</v>
      </c>
      <c r="S426" s="5" t="str">
        <f ca="1">IFERROR(__xludf.DUMMYFUNCTION("""COMPUTED_VALUE"""),"Afternoon Classes")</f>
        <v>Afternoon Classes</v>
      </c>
      <c r="T426" s="10">
        <f ca="1">IFERROR(__xludf.DUMMYFUNCTION("""COMPUTED_VALUE"""),0.534722222222222)</f>
        <v>0.53472222222222199</v>
      </c>
      <c r="U426" s="5">
        <f ca="1">IFERROR(__xludf.DUMMYFUNCTION("""COMPUTED_VALUE"""),1)</f>
        <v>1</v>
      </c>
      <c r="V426" s="5" t="str">
        <f ca="1">IFERROR(__xludf.DUMMYFUNCTION("""COMPUTED_VALUE"""),"Man who was fatally shot found inside vehicle on the front yard of the school")</f>
        <v>Man who was fatally shot found inside vehicle on the front yard of the school</v>
      </c>
      <c r="W426"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X426" s="5"/>
      <c r="Y426" s="5" t="str">
        <f ca="1">IFERROR(__xludf.DUMMYFUNCTION("""COMPUTED_VALUE"""),"Victims Targeted")</f>
        <v>Victims Targeted</v>
      </c>
      <c r="Z426" s="5"/>
      <c r="AA426" s="5"/>
      <c r="AB426" s="5" t="str">
        <f ca="1">IFERROR(__xludf.DUMMYFUNCTION("""COMPUTED_VALUE"""),"No")</f>
        <v>No</v>
      </c>
      <c r="AC426" s="5" t="str">
        <f ca="1">IFERROR(__xludf.DUMMYFUNCTION("""COMPUTED_VALUE"""),"No")</f>
        <v>No</v>
      </c>
      <c r="AD426" s="5"/>
      <c r="AE426" s="5" t="str">
        <f ca="1">IFERROR(__xludf.DUMMYFUNCTION("""COMPUTED_VALUE"""),"No")</f>
        <v>No</v>
      </c>
      <c r="AF426" s="5"/>
      <c r="AG426" s="5"/>
      <c r="AH426" s="5" t="str">
        <f ca="1">IFERROR(__xludf.DUMMYFUNCTION("""COMPUTED_VALUE"""),"No")</f>
        <v>No</v>
      </c>
    </row>
    <row r="427" spans="1:34" ht="12.75">
      <c r="A427" s="5" t="str">
        <f ca="1">IFERROR(__xludf.DUMMYFUNCTION("""COMPUTED_VALUE"""),"20210217TNKNK")</f>
        <v>20210217TNKNK</v>
      </c>
      <c r="B427" s="8">
        <f ca="1">IFERROR(__xludf.DUMMYFUNCTION("""COMPUTED_VALUE"""),44244)</f>
        <v>44244</v>
      </c>
      <c r="C427" s="5" t="str">
        <f ca="1">IFERROR(__xludf.DUMMYFUNCTION("""COMPUTED_VALUE"""),"Christenberry Elementary School")</f>
        <v>Christenberry Elementary School</v>
      </c>
      <c r="D427" s="5">
        <f ca="1">IFERROR(__xludf.DUMMYFUNCTION("""COMPUTED_VALUE"""),0)</f>
        <v>0</v>
      </c>
      <c r="E427" s="5">
        <f ca="1">IFERROR(__xludf.DUMMYFUNCTION("""COMPUTED_VALUE"""),0)</f>
        <v>0</v>
      </c>
      <c r="F427" s="5">
        <f ca="1">IFERROR(__xludf.DUMMYFUNCTION("""COMPUTED_VALUE"""),0)</f>
        <v>0</v>
      </c>
      <c r="G427" s="5">
        <f ca="1">IFERROR(__xludf.DUMMYFUNCTION("""COMPUTED_VALUE"""),0)</f>
        <v>0</v>
      </c>
      <c r="H427" s="9" t="str">
        <f ca="1">IFERROR(__xludf.DUMMYFUNCTION("""COMPUTED_VALUE"""),"https://www.wate.com/news/local-news/dispatch-knoxville-police-respond-to-reported-shooting-in-north-knoxville/")</f>
        <v>https://www.wate.com/news/local-news/dispatch-knoxville-police-respond-to-reported-shooting-in-north-knoxville/</v>
      </c>
      <c r="I427" s="5">
        <f ca="1">IFERROR(__xludf.DUMMYFUNCTION("""COMPUTED_VALUE"""),1)</f>
        <v>1</v>
      </c>
      <c r="J427" s="5" t="str">
        <f ca="1">IFERROR(__xludf.DUMMYFUNCTION("""COMPUTED_VALUE"""),"Local")</f>
        <v>Local</v>
      </c>
      <c r="K427" s="5">
        <f ca="1">IFERROR(__xludf.DUMMYFUNCTION("""COMPUTED_VALUE"""),3)</f>
        <v>3</v>
      </c>
      <c r="L427" s="5" t="str">
        <f ca="1">IFERROR(__xludf.DUMMYFUNCTION("""COMPUTED_VALUE"""),"Winter")</f>
        <v>Winter</v>
      </c>
      <c r="M427" s="5" t="str">
        <f ca="1">IFERROR(__xludf.DUMMYFUNCTION("""COMPUTED_VALUE"""),"Knoxville")</f>
        <v>Knoxville</v>
      </c>
      <c r="N427" s="5" t="str">
        <f ca="1">IFERROR(__xludf.DUMMYFUNCTION("""COMPUTED_VALUE"""),"TN")</f>
        <v>TN</v>
      </c>
      <c r="O427" s="5" t="str">
        <f ca="1">IFERROR(__xludf.DUMMYFUNCTION("""COMPUTED_VALUE"""),"Elementary")</f>
        <v>Elementary</v>
      </c>
      <c r="P427" s="5" t="str">
        <f ca="1">IFERROR(__xludf.DUMMYFUNCTION("""COMPUTED_VALUE"""),"School Bus")</f>
        <v>School Bus</v>
      </c>
      <c r="Q427" s="5" t="str">
        <f ca="1">IFERROR(__xludf.DUMMYFUNCTION("""COMPUTED_VALUE"""),"School Bus")</f>
        <v>School Bus</v>
      </c>
      <c r="R427" s="5" t="str">
        <f ca="1">IFERROR(__xludf.DUMMYFUNCTION("""COMPUTED_VALUE"""),"Yes")</f>
        <v>Yes</v>
      </c>
      <c r="S427" s="5" t="str">
        <f ca="1">IFERROR(__xludf.DUMMYFUNCTION("""COMPUTED_VALUE"""),"Dismissal")</f>
        <v>Dismissal</v>
      </c>
      <c r="T427" s="10">
        <f ca="1">IFERROR(__xludf.DUMMYFUNCTION("""COMPUTED_VALUE"""),0.614583333333333)</f>
        <v>0.61458333333333304</v>
      </c>
      <c r="U427" s="5">
        <f ca="1">IFERROR(__xludf.DUMMYFUNCTION("""COMPUTED_VALUE"""),1)</f>
        <v>1</v>
      </c>
      <c r="V427" s="5" t="str">
        <f ca="1">IFERROR(__xludf.DUMMYFUNCTION("""COMPUTED_VALUE"""),"School bus struck by bullet")</f>
        <v>School bus struck by bullet</v>
      </c>
      <c r="W427"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X427" s="5"/>
      <c r="Y427" s="5"/>
      <c r="Z427" s="5" t="str">
        <f ca="1">IFERROR(__xludf.DUMMYFUNCTION("""COMPUTED_VALUE"""),"No")</f>
        <v>No</v>
      </c>
      <c r="AA427" s="5"/>
      <c r="AB427" s="5" t="str">
        <f ca="1">IFERROR(__xludf.DUMMYFUNCTION("""COMPUTED_VALUE"""),"No")</f>
        <v>No</v>
      </c>
      <c r="AC427" s="5" t="str">
        <f ca="1">IFERROR(__xludf.DUMMYFUNCTION("""COMPUTED_VALUE"""),"No")</f>
        <v>No</v>
      </c>
      <c r="AD427" s="5" t="str">
        <f ca="1">IFERROR(__xludf.DUMMYFUNCTION("""COMPUTED_VALUE"""),"No")</f>
        <v>No</v>
      </c>
      <c r="AE427" s="5" t="str">
        <f ca="1">IFERROR(__xludf.DUMMYFUNCTION("""COMPUTED_VALUE"""),"No")</f>
        <v>No</v>
      </c>
      <c r="AF427" s="5"/>
      <c r="AG427" s="5"/>
      <c r="AH427" s="5" t="str">
        <f ca="1">IFERROR(__xludf.DUMMYFUNCTION("""COMPUTED_VALUE"""),"No")</f>
        <v>No</v>
      </c>
    </row>
    <row r="428" spans="1:34" ht="12.75">
      <c r="A428" s="5" t="str">
        <f ca="1">IFERROR(__xludf.DUMMYFUNCTION("""COMPUTED_VALUE"""),"20210216NCTHS")</f>
        <v>20210216NCTHS</v>
      </c>
      <c r="B428" s="8">
        <f ca="1">IFERROR(__xludf.DUMMYFUNCTION("""COMPUTED_VALUE"""),44243)</f>
        <v>44243</v>
      </c>
      <c r="C428" s="5" t="str">
        <f ca="1">IFERROR(__xludf.DUMMYFUNCTION("""COMPUTED_VALUE"""),"Third Creek Elementary School")</f>
        <v>Third Creek Elementary School</v>
      </c>
      <c r="D428" s="5">
        <f ca="1">IFERROR(__xludf.DUMMYFUNCTION("""COMPUTED_VALUE"""),0)</f>
        <v>0</v>
      </c>
      <c r="E428" s="5">
        <f ca="1">IFERROR(__xludf.DUMMYFUNCTION("""COMPUTED_VALUE"""),0)</f>
        <v>0</v>
      </c>
      <c r="F428" s="5">
        <f ca="1">IFERROR(__xludf.DUMMYFUNCTION("""COMPUTED_VALUE"""),0)</f>
        <v>0</v>
      </c>
      <c r="G428" s="5">
        <f ca="1">IFERROR(__xludf.DUMMYFUNCTION("""COMPUTED_VALUE"""),0)</f>
        <v>0</v>
      </c>
      <c r="H428"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I428" s="5">
        <f ca="1">IFERROR(__xludf.DUMMYFUNCTION("""COMPUTED_VALUE"""),4)</f>
        <v>4</v>
      </c>
      <c r="J428" s="5" t="str">
        <f ca="1">IFERROR(__xludf.DUMMYFUNCTION("""COMPUTED_VALUE"""),"Local")</f>
        <v>Local</v>
      </c>
      <c r="K428" s="5">
        <f ca="1">IFERROR(__xludf.DUMMYFUNCTION("""COMPUTED_VALUE"""),4)</f>
        <v>4</v>
      </c>
      <c r="L428" s="5" t="str">
        <f ca="1">IFERROR(__xludf.DUMMYFUNCTION("""COMPUTED_VALUE"""),"Winter")</f>
        <v>Winter</v>
      </c>
      <c r="M428" s="5" t="str">
        <f ca="1">IFERROR(__xludf.DUMMYFUNCTION("""COMPUTED_VALUE"""),"Statesville")</f>
        <v>Statesville</v>
      </c>
      <c r="N428" s="5" t="str">
        <f ca="1">IFERROR(__xludf.DUMMYFUNCTION("""COMPUTED_VALUE"""),"NC")</f>
        <v>NC</v>
      </c>
      <c r="O428" s="5" t="str">
        <f ca="1">IFERROR(__xludf.DUMMYFUNCTION("""COMPUTED_VALUE"""),"Elementary")</f>
        <v>Elementary</v>
      </c>
      <c r="P428" s="5" t="str">
        <f ca="1">IFERROR(__xludf.DUMMYFUNCTION("""COMPUTED_VALUE"""),"School Bus")</f>
        <v>School Bus</v>
      </c>
      <c r="Q428" s="5" t="str">
        <f ca="1">IFERROR(__xludf.DUMMYFUNCTION("""COMPUTED_VALUE"""),"School Bus")</f>
        <v>School Bus</v>
      </c>
      <c r="R428" s="5" t="str">
        <f ca="1">IFERROR(__xludf.DUMMYFUNCTION("""COMPUTED_VALUE"""),"Yes")</f>
        <v>Yes</v>
      </c>
      <c r="S428" s="5" t="str">
        <f ca="1">IFERROR(__xludf.DUMMYFUNCTION("""COMPUTED_VALUE"""),"School Start")</f>
        <v>School Start</v>
      </c>
      <c r="T428" s="10">
        <f ca="1">IFERROR(__xludf.DUMMYFUNCTION("""COMPUTED_VALUE"""),0.333333333333333)</f>
        <v>0.33333333333333298</v>
      </c>
      <c r="U428" s="5">
        <f ca="1">IFERROR(__xludf.DUMMYFUNCTION("""COMPUTED_VALUE"""),1)</f>
        <v>1</v>
      </c>
      <c r="V428" s="5" t="str">
        <f ca="1">IFERROR(__xludf.DUMMYFUNCTION("""COMPUTED_VALUE"""),"Student shot another student with a pellet gun on the school bus")</f>
        <v>Student shot another student with a pellet gun on the school bus</v>
      </c>
      <c r="W428"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X428" s="5"/>
      <c r="Y428" s="5"/>
      <c r="Z428" s="5" t="str">
        <f ca="1">IFERROR(__xludf.DUMMYFUNCTION("""COMPUTED_VALUE"""),"Yes")</f>
        <v>Yes</v>
      </c>
      <c r="AA428" s="5" t="str">
        <f ca="1">IFERROR(__xludf.DUMMYFUNCTION("""COMPUTED_VALUE"""),"Two students charged")</f>
        <v>Two students charged</v>
      </c>
      <c r="AB428" s="5" t="str">
        <f ca="1">IFERROR(__xludf.DUMMYFUNCTION("""COMPUTED_VALUE"""),"No")</f>
        <v>No</v>
      </c>
      <c r="AC428" s="5" t="str">
        <f ca="1">IFERROR(__xludf.DUMMYFUNCTION("""COMPUTED_VALUE"""),"No")</f>
        <v>No</v>
      </c>
      <c r="AD428" s="5" t="str">
        <f ca="1">IFERROR(__xludf.DUMMYFUNCTION("""COMPUTED_VALUE"""),"No")</f>
        <v>No</v>
      </c>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row>
    <row r="429" spans="1:34" ht="12.75">
      <c r="A429" s="5" t="str">
        <f ca="1">IFERROR(__xludf.DUMMYFUNCTION("""COMPUTED_VALUE"""),"20210214MNROM")</f>
        <v>20210214MNROM</v>
      </c>
      <c r="B429" s="8">
        <f ca="1">IFERROR(__xludf.DUMMYFUNCTION("""COMPUTED_VALUE"""),44241)</f>
        <v>44241</v>
      </c>
      <c r="C429" s="5" t="str">
        <f ca="1">IFERROR(__xludf.DUMMYFUNCTION("""COMPUTED_VALUE"""),"Roosevelt High School")</f>
        <v>Roosevelt High School</v>
      </c>
      <c r="D429" s="5">
        <f ca="1">IFERROR(__xludf.DUMMYFUNCTION("""COMPUTED_VALUE"""),2)</f>
        <v>2</v>
      </c>
      <c r="E429" s="5">
        <f ca="1">IFERROR(__xludf.DUMMYFUNCTION("""COMPUTED_VALUE"""),1)</f>
        <v>1</v>
      </c>
      <c r="F429" s="5">
        <f ca="1">IFERROR(__xludf.DUMMYFUNCTION("""COMPUTED_VALUE"""),3)</f>
        <v>3</v>
      </c>
      <c r="G429" s="5">
        <f ca="1">IFERROR(__xludf.DUMMYFUNCTION("""COMPUTED_VALUE"""),0)</f>
        <v>0</v>
      </c>
      <c r="H429"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I429" s="5">
        <f ca="1">IFERROR(__xludf.DUMMYFUNCTION("""COMPUTED_VALUE"""),2)</f>
        <v>2</v>
      </c>
      <c r="J429" s="5" t="str">
        <f ca="1">IFERROR(__xludf.DUMMYFUNCTION("""COMPUTED_VALUE"""),"Local")</f>
        <v>Local</v>
      </c>
      <c r="K429" s="5">
        <f ca="1">IFERROR(__xludf.DUMMYFUNCTION("""COMPUTED_VALUE"""),3)</f>
        <v>3</v>
      </c>
      <c r="L429" s="5" t="str">
        <f ca="1">IFERROR(__xludf.DUMMYFUNCTION("""COMPUTED_VALUE"""),"Winter")</f>
        <v>Winter</v>
      </c>
      <c r="M429" s="5" t="str">
        <f ca="1">IFERROR(__xludf.DUMMYFUNCTION("""COMPUTED_VALUE"""),"Minneapolis")</f>
        <v>Minneapolis</v>
      </c>
      <c r="N429" s="5" t="str">
        <f ca="1">IFERROR(__xludf.DUMMYFUNCTION("""COMPUTED_VALUE"""),"MN")</f>
        <v>MN</v>
      </c>
      <c r="O429" s="5" t="str">
        <f ca="1">IFERROR(__xludf.DUMMYFUNCTION("""COMPUTED_VALUE"""),"High")</f>
        <v>High</v>
      </c>
      <c r="P429" s="5" t="str">
        <f ca="1">IFERROR(__xludf.DUMMYFUNCTION("""COMPUTED_VALUE"""),"Front of School")</f>
        <v>Front of School</v>
      </c>
      <c r="Q429" s="5" t="str">
        <f ca="1">IFERROR(__xludf.DUMMYFUNCTION("""COMPUTED_VALUE"""),"Outside on School Property")</f>
        <v>Outside on School Property</v>
      </c>
      <c r="R429" s="5" t="str">
        <f ca="1">IFERROR(__xludf.DUMMYFUNCTION("""COMPUTED_VALUE"""),"No")</f>
        <v>No</v>
      </c>
      <c r="S429" s="5" t="str">
        <f ca="1">IFERROR(__xludf.DUMMYFUNCTION("""COMPUTED_VALUE"""),"Night")</f>
        <v>Night</v>
      </c>
      <c r="T429" s="10">
        <f ca="1">IFERROR(__xludf.DUMMYFUNCTION("""COMPUTED_VALUE"""),0.9375)</f>
        <v>0.9375</v>
      </c>
      <c r="U429" s="5">
        <f ca="1">IFERROR(__xludf.DUMMYFUNCTION("""COMPUTED_VALUE"""),1)</f>
        <v>1</v>
      </c>
      <c r="V429" s="5" t="str">
        <f ca="1">IFERROR(__xludf.DUMMYFUNCTION("""COMPUTED_VALUE"""),"Two adults found fatally shot inside car in front of the school")</f>
        <v>Two adults found fatally shot inside car in front of the school</v>
      </c>
      <c r="W429"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X429" s="5"/>
      <c r="Y429" s="5" t="str">
        <f ca="1">IFERROR(__xludf.DUMMYFUNCTION("""COMPUTED_VALUE"""),"Victims Targeted")</f>
        <v>Victims Targeted</v>
      </c>
      <c r="Z429" s="5"/>
      <c r="AA429" s="5"/>
      <c r="AB429" s="5" t="str">
        <f ca="1">IFERROR(__xludf.DUMMYFUNCTION("""COMPUTED_VALUE"""),"No")</f>
        <v>No</v>
      </c>
      <c r="AC429" s="5" t="str">
        <f ca="1">IFERROR(__xludf.DUMMYFUNCTION("""COMPUTED_VALUE"""),"No")</f>
        <v>No</v>
      </c>
      <c r="AD429" s="5" t="str">
        <f ca="1">IFERROR(__xludf.DUMMYFUNCTION("""COMPUTED_VALUE"""),"No")</f>
        <v>No</v>
      </c>
      <c r="AE429" s="5" t="str">
        <f ca="1">IFERROR(__xludf.DUMMYFUNCTION("""COMPUTED_VALUE"""),"No")</f>
        <v>No</v>
      </c>
      <c r="AF429" s="5"/>
      <c r="AG429" s="5"/>
      <c r="AH429" s="5" t="str">
        <f ca="1">IFERROR(__xludf.DUMMYFUNCTION("""COMPUTED_VALUE"""),"No")</f>
        <v>No</v>
      </c>
    </row>
    <row r="430" spans="1:34" ht="12.75">
      <c r="A430" s="5" t="str">
        <f ca="1">IFERROR(__xludf.DUMMYFUNCTION("""COMPUTED_VALUE"""),"20210210TXFOF")</f>
        <v>20210210TXFOF</v>
      </c>
      <c r="B430" s="8">
        <f ca="1">IFERROR(__xludf.DUMMYFUNCTION("""COMPUTED_VALUE"""),44237)</f>
        <v>44237</v>
      </c>
      <c r="C430" s="5" t="str">
        <f ca="1">IFERROR(__xludf.DUMMYFUNCTION("""COMPUTED_VALUE"""),"Forest Oak Middle School")</f>
        <v>Forest Oak Middle School</v>
      </c>
      <c r="D430" s="5">
        <f ca="1">IFERROR(__xludf.DUMMYFUNCTION("""COMPUTED_VALUE"""),1)</f>
        <v>1</v>
      </c>
      <c r="E430" s="5">
        <f ca="1">IFERROR(__xludf.DUMMYFUNCTION("""COMPUTED_VALUE"""),0)</f>
        <v>0</v>
      </c>
      <c r="F430" s="5">
        <f ca="1">IFERROR(__xludf.DUMMYFUNCTION("""COMPUTED_VALUE"""),1)</f>
        <v>1</v>
      </c>
      <c r="G430" s="5">
        <f ca="1">IFERROR(__xludf.DUMMYFUNCTION("""COMPUTED_VALUE"""),0)</f>
        <v>0</v>
      </c>
      <c r="H430"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I430" s="5">
        <f ca="1">IFERROR(__xludf.DUMMYFUNCTION("""COMPUTED_VALUE"""),3)</f>
        <v>3</v>
      </c>
      <c r="J430" s="5" t="str">
        <f ca="1">IFERROR(__xludf.DUMMYFUNCTION("""COMPUTED_VALUE"""),"Local")</f>
        <v>Local</v>
      </c>
      <c r="K430" s="5">
        <f ca="1">IFERROR(__xludf.DUMMYFUNCTION("""COMPUTED_VALUE"""),4)</f>
        <v>4</v>
      </c>
      <c r="L430" s="5" t="str">
        <f ca="1">IFERROR(__xludf.DUMMYFUNCTION("""COMPUTED_VALUE"""),"Winter")</f>
        <v>Winter</v>
      </c>
      <c r="M430" s="5" t="str">
        <f ca="1">IFERROR(__xludf.DUMMYFUNCTION("""COMPUTED_VALUE"""),"Fort Worth")</f>
        <v>Fort Worth</v>
      </c>
      <c r="N430" s="5" t="str">
        <f ca="1">IFERROR(__xludf.DUMMYFUNCTION("""COMPUTED_VALUE"""),"TX")</f>
        <v>TX</v>
      </c>
      <c r="O430" s="5" t="str">
        <f ca="1">IFERROR(__xludf.DUMMYFUNCTION("""COMPUTED_VALUE"""),"Middle")</f>
        <v>Middle</v>
      </c>
      <c r="P430" s="5" t="str">
        <f ca="1">IFERROR(__xludf.DUMMYFUNCTION("""COMPUTED_VALUE"""),"Front of School")</f>
        <v>Front of School</v>
      </c>
      <c r="Q430" s="5" t="str">
        <f ca="1">IFERROR(__xludf.DUMMYFUNCTION("""COMPUTED_VALUE"""),"Outside on School Property")</f>
        <v>Outside on School Property</v>
      </c>
      <c r="R430" s="5" t="str">
        <f ca="1">IFERROR(__xludf.DUMMYFUNCTION("""COMPUTED_VALUE"""),"No")</f>
        <v>No</v>
      </c>
      <c r="S430" s="5" t="str">
        <f ca="1">IFERROR(__xludf.DUMMYFUNCTION("""COMPUTED_VALUE"""),"Night")</f>
        <v>Night</v>
      </c>
      <c r="T430" s="10">
        <f ca="1">IFERROR(__xludf.DUMMYFUNCTION("""COMPUTED_VALUE"""),0.0208333333333333)</f>
        <v>2.0833333333333301E-2</v>
      </c>
      <c r="U430" s="5">
        <f ca="1">IFERROR(__xludf.DUMMYFUNCTION("""COMPUTED_VALUE"""),1)</f>
        <v>1</v>
      </c>
      <c r="V430" s="5" t="str">
        <f ca="1">IFERROR(__xludf.DUMMYFUNCTION("""COMPUTED_VALUE"""),"Adult male shot to death in vehicle in front of school")</f>
        <v>Adult male shot to death in vehicle in front of school</v>
      </c>
      <c r="W430"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X430" s="5"/>
      <c r="Y430" s="5" t="str">
        <f ca="1">IFERROR(__xludf.DUMMYFUNCTION("""COMPUTED_VALUE"""),"Victims Targeted")</f>
        <v>Victims Targeted</v>
      </c>
      <c r="Z430" s="5"/>
      <c r="AA430" s="5"/>
      <c r="AB430" s="5" t="str">
        <f ca="1">IFERROR(__xludf.DUMMYFUNCTION("""COMPUTED_VALUE"""),"No")</f>
        <v>No</v>
      </c>
      <c r="AC430" s="5" t="str">
        <f ca="1">IFERROR(__xludf.DUMMYFUNCTION("""COMPUTED_VALUE"""),"No")</f>
        <v>No</v>
      </c>
      <c r="AD430" s="5" t="str">
        <f ca="1">IFERROR(__xludf.DUMMYFUNCTION("""COMPUTED_VALUE"""),"No")</f>
        <v>No</v>
      </c>
      <c r="AE430" s="5" t="str">
        <f ca="1">IFERROR(__xludf.DUMMYFUNCTION("""COMPUTED_VALUE"""),"No")</f>
        <v>No</v>
      </c>
      <c r="AF430" s="5" t="str">
        <f ca="1">IFERROR(__xludf.DUMMYFUNCTION("""COMPUTED_VALUE"""),"No")</f>
        <v>No</v>
      </c>
      <c r="AG430" s="5"/>
      <c r="AH430" s="5" t="str">
        <f ca="1">IFERROR(__xludf.DUMMYFUNCTION("""COMPUTED_VALUE"""),"No")</f>
        <v>No</v>
      </c>
    </row>
    <row r="431" spans="1:34" ht="12.75">
      <c r="A431" s="5" t="str">
        <f ca="1">IFERROR(__xludf.DUMMYFUNCTION("""COMPUTED_VALUE"""),"20210210NJSCP")</f>
        <v>20210210NJSCP</v>
      </c>
      <c r="B431" s="8">
        <f ca="1">IFERROR(__xludf.DUMMYFUNCTION("""COMPUTED_VALUE"""),44237)</f>
        <v>44237</v>
      </c>
      <c r="C431" s="5" t="str">
        <f ca="1">IFERROR(__xludf.DUMMYFUNCTION("""COMPUTED_VALUE"""),"School Number 15")</f>
        <v>School Number 15</v>
      </c>
      <c r="D431" s="5">
        <f ca="1">IFERROR(__xludf.DUMMYFUNCTION("""COMPUTED_VALUE"""),1)</f>
        <v>1</v>
      </c>
      <c r="E431" s="5">
        <f ca="1">IFERROR(__xludf.DUMMYFUNCTION("""COMPUTED_VALUE"""),0)</f>
        <v>0</v>
      </c>
      <c r="F431" s="5">
        <f ca="1">IFERROR(__xludf.DUMMYFUNCTION("""COMPUTED_VALUE"""),1)</f>
        <v>1</v>
      </c>
      <c r="G431" s="5">
        <f ca="1">IFERROR(__xludf.DUMMYFUNCTION("""COMPUTED_VALUE"""),0)</f>
        <v>0</v>
      </c>
      <c r="H431"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I431" s="5">
        <f ca="1">IFERROR(__xludf.DUMMYFUNCTION("""COMPUTED_VALUE"""),4)</f>
        <v>4</v>
      </c>
      <c r="J431" s="5" t="str">
        <f ca="1">IFERROR(__xludf.DUMMYFUNCTION("""COMPUTED_VALUE"""),"Local")</f>
        <v>Local</v>
      </c>
      <c r="K431" s="5">
        <f ca="1">IFERROR(__xludf.DUMMYFUNCTION("""COMPUTED_VALUE"""),4)</f>
        <v>4</v>
      </c>
      <c r="L431" s="5" t="str">
        <f ca="1">IFERROR(__xludf.DUMMYFUNCTION("""COMPUTED_VALUE"""),"Winter")</f>
        <v>Winter</v>
      </c>
      <c r="M431" s="5" t="str">
        <f ca="1">IFERROR(__xludf.DUMMYFUNCTION("""COMPUTED_VALUE"""),"Paterson")</f>
        <v>Paterson</v>
      </c>
      <c r="N431" s="5" t="str">
        <f ca="1">IFERROR(__xludf.DUMMYFUNCTION("""COMPUTED_VALUE"""),"NJ")</f>
        <v>NJ</v>
      </c>
      <c r="O431" s="5" t="str">
        <f ca="1">IFERROR(__xludf.DUMMYFUNCTION("""COMPUTED_VALUE"""),"Elementary")</f>
        <v>Elementary</v>
      </c>
      <c r="P431" s="5" t="str">
        <f ca="1">IFERROR(__xludf.DUMMYFUNCTION("""COMPUTED_VALUE"""),"Beside Building")</f>
        <v>Beside Building</v>
      </c>
      <c r="Q431" s="5" t="str">
        <f ca="1">IFERROR(__xludf.DUMMYFUNCTION("""COMPUTED_VALUE"""),"Outside on School Property")</f>
        <v>Outside on School Property</v>
      </c>
      <c r="R431" s="5" t="str">
        <f ca="1">IFERROR(__xludf.DUMMYFUNCTION("""COMPUTED_VALUE"""),"No")</f>
        <v>No</v>
      </c>
      <c r="S431" s="5" t="str">
        <f ca="1">IFERROR(__xludf.DUMMYFUNCTION("""COMPUTED_VALUE"""),"Night")</f>
        <v>Night</v>
      </c>
      <c r="T431" s="10">
        <f ca="1">IFERROR(__xludf.DUMMYFUNCTION("""COMPUTED_VALUE"""),0.0770833333333333)</f>
        <v>7.7083333333333295E-2</v>
      </c>
      <c r="U431" s="5">
        <f ca="1">IFERROR(__xludf.DUMMYFUNCTION("""COMPUTED_VALUE"""),1)</f>
        <v>1</v>
      </c>
      <c r="V431" s="5" t="str">
        <f ca="1">IFERROR(__xludf.DUMMYFUNCTION("""COMPUTED_VALUE"""),"Woman shot multiple times next to school")</f>
        <v>Woman shot multiple times next to school</v>
      </c>
      <c r="W431"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X431" s="5"/>
      <c r="Y431" s="5" t="str">
        <f ca="1">IFERROR(__xludf.DUMMYFUNCTION("""COMPUTED_VALUE"""),"Victims Targeted")</f>
        <v>Victims Targeted</v>
      </c>
      <c r="Z431" s="5"/>
      <c r="AA431" s="5"/>
      <c r="AB431" s="5" t="str">
        <f ca="1">IFERROR(__xludf.DUMMYFUNCTION("""COMPUTED_VALUE"""),"No")</f>
        <v>No</v>
      </c>
      <c r="AC431" s="5" t="str">
        <f ca="1">IFERROR(__xludf.DUMMYFUNCTION("""COMPUTED_VALUE"""),"No")</f>
        <v>No</v>
      </c>
      <c r="AD431" s="5" t="str">
        <f ca="1">IFERROR(__xludf.DUMMYFUNCTION("""COMPUTED_VALUE"""),"No")</f>
        <v>No</v>
      </c>
      <c r="AE431" s="5" t="str">
        <f ca="1">IFERROR(__xludf.DUMMYFUNCTION("""COMPUTED_VALUE"""),"No")</f>
        <v>No</v>
      </c>
      <c r="AF431" s="5"/>
      <c r="AG431" s="5"/>
      <c r="AH431" s="5" t="str">
        <f ca="1">IFERROR(__xludf.DUMMYFUNCTION("""COMPUTED_VALUE"""),"No")</f>
        <v>No</v>
      </c>
    </row>
    <row r="432" spans="1:34" ht="12.75">
      <c r="A432" s="5" t="str">
        <f ca="1">IFERROR(__xludf.DUMMYFUNCTION("""COMPUTED_VALUE"""),"20210210LASTS")</f>
        <v>20210210LASTS</v>
      </c>
      <c r="B432" s="8">
        <f ca="1">IFERROR(__xludf.DUMMYFUNCTION("""COMPUTED_VALUE"""),44237)</f>
        <v>44237</v>
      </c>
      <c r="C432" s="5" t="str">
        <f ca="1">IFERROR(__xludf.DUMMYFUNCTION("""COMPUTED_VALUE"""),"St. Martinville Head Start Center")</f>
        <v>St. Martinville Head Start Center</v>
      </c>
      <c r="D432" s="5">
        <f ca="1">IFERROR(__xludf.DUMMYFUNCTION("""COMPUTED_VALUE"""),0)</f>
        <v>0</v>
      </c>
      <c r="E432" s="5">
        <f ca="1">IFERROR(__xludf.DUMMYFUNCTION("""COMPUTED_VALUE"""),0)</f>
        <v>0</v>
      </c>
      <c r="F432" s="5">
        <f ca="1">IFERROR(__xludf.DUMMYFUNCTION("""COMPUTED_VALUE"""),0)</f>
        <v>0</v>
      </c>
      <c r="G432" s="5">
        <f ca="1">IFERROR(__xludf.DUMMYFUNCTION("""COMPUTED_VALUE"""),0)</f>
        <v>0</v>
      </c>
      <c r="H432"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I432" s="5">
        <f ca="1">IFERROR(__xludf.DUMMYFUNCTION("""COMPUTED_VALUE"""),4)</f>
        <v>4</v>
      </c>
      <c r="J432" s="5" t="str">
        <f ca="1">IFERROR(__xludf.DUMMYFUNCTION("""COMPUTED_VALUE"""),"Local")</f>
        <v>Local</v>
      </c>
      <c r="K432" s="5">
        <f ca="1">IFERROR(__xludf.DUMMYFUNCTION("""COMPUTED_VALUE"""),4)</f>
        <v>4</v>
      </c>
      <c r="L432" s="5" t="str">
        <f ca="1">IFERROR(__xludf.DUMMYFUNCTION("""COMPUTED_VALUE"""),"Winter")</f>
        <v>Winter</v>
      </c>
      <c r="M432" s="5" t="str">
        <f ca="1">IFERROR(__xludf.DUMMYFUNCTION("""COMPUTED_VALUE"""),"St. Martinville")</f>
        <v>St. Martinville</v>
      </c>
      <c r="N432" s="5" t="str">
        <f ca="1">IFERROR(__xludf.DUMMYFUNCTION("""COMPUTED_VALUE"""),"LA")</f>
        <v>LA</v>
      </c>
      <c r="O432" s="5" t="str">
        <f ca="1">IFERROR(__xludf.DUMMYFUNCTION("""COMPUTED_VALUE"""),"Other")</f>
        <v>Other</v>
      </c>
      <c r="P432" s="5" t="str">
        <f ca="1">IFERROR(__xludf.DUMMYFUNCTION("""COMPUTED_VALUE"""),"Cafeteria")</f>
        <v>Cafeteria</v>
      </c>
      <c r="Q432" s="5" t="str">
        <f ca="1">IFERROR(__xludf.DUMMYFUNCTION("""COMPUTED_VALUE"""),"Inside School Building")</f>
        <v>Inside School Building</v>
      </c>
      <c r="R432" s="5" t="str">
        <f ca="1">IFERROR(__xludf.DUMMYFUNCTION("""COMPUTED_VALUE"""),"Yes")</f>
        <v>Yes</v>
      </c>
      <c r="S432" s="5" t="str">
        <f ca="1">IFERROR(__xludf.DUMMYFUNCTION("""COMPUTED_VALUE"""),"Lunch")</f>
        <v>Lunch</v>
      </c>
      <c r="T432" s="10">
        <f ca="1">IFERROR(__xludf.DUMMYFUNCTION("""COMPUTED_VALUE"""),0.502777777777777)</f>
        <v>0.50277777777777699</v>
      </c>
      <c r="U432" s="5">
        <f ca="1">IFERROR(__xludf.DUMMYFUNCTION("""COMPUTED_VALUE"""),1)</f>
        <v>1</v>
      </c>
      <c r="V432" s="5" t="str">
        <f ca="1">IFERROR(__xludf.DUMMYFUNCTION("""COMPUTED_VALUE"""),"Bullet from drive-by struck plate child was holding in cafeteria")</f>
        <v>Bullet from drive-by struck plate child was holding in cafeteria</v>
      </c>
      <c r="W432"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X432" s="5" t="str">
        <f ca="1">IFERROR(__xludf.DUMMYFUNCTION("""COMPUTED_VALUE"""),"Drive-by Shooting")</f>
        <v>Drive-by Shooting</v>
      </c>
      <c r="Y432" s="5" t="str">
        <f ca="1">IFERROR(__xludf.DUMMYFUNCTION("""COMPUTED_VALUE"""),"Both")</f>
        <v>Both</v>
      </c>
      <c r="Z432" s="5" t="str">
        <f ca="1">IFERROR(__xludf.DUMMYFUNCTION("""COMPUTED_VALUE"""),"Yes")</f>
        <v>Yes</v>
      </c>
      <c r="AA432" s="5" t="str">
        <f ca="1">IFERROR(__xludf.DUMMYFUNCTION("""COMPUTED_VALUE"""),"Two suspects in vehicle")</f>
        <v>Two suspects in vehicle</v>
      </c>
      <c r="AB432" s="5" t="str">
        <f ca="1">IFERROR(__xludf.DUMMYFUNCTION("""COMPUTED_VALUE"""),"No")</f>
        <v>No</v>
      </c>
      <c r="AC432" s="5" t="str">
        <f ca="1">IFERROR(__xludf.DUMMYFUNCTION("""COMPUTED_VALUE"""),"No")</f>
        <v>No</v>
      </c>
      <c r="AD432" s="5" t="str">
        <f ca="1">IFERROR(__xludf.DUMMYFUNCTION("""COMPUTED_VALUE"""),"No")</f>
        <v>No</v>
      </c>
      <c r="AE432" s="5" t="str">
        <f ca="1">IFERROR(__xludf.DUMMYFUNCTION("""COMPUTED_VALUE"""),"No")</f>
        <v>No</v>
      </c>
      <c r="AF432" s="5" t="str">
        <f ca="1">IFERROR(__xludf.DUMMYFUNCTION("""COMPUTED_VALUE"""),"No")</f>
        <v>No</v>
      </c>
      <c r="AG432" s="5" t="str">
        <f ca="1">IFERROR(__xludf.DUMMYFUNCTION("""COMPUTED_VALUE"""),"Yes")</f>
        <v>Yes</v>
      </c>
      <c r="AH432" s="5" t="str">
        <f ca="1">IFERROR(__xludf.DUMMYFUNCTION("""COMPUTED_VALUE"""),"No")</f>
        <v>No</v>
      </c>
    </row>
    <row r="433" spans="1:34" ht="12.75">
      <c r="A433" s="5" t="str">
        <f ca="1">IFERROR(__xludf.DUMMYFUNCTION("""COMPUTED_VALUE"""),"20210208MISCG")</f>
        <v>20210208MISCG</v>
      </c>
      <c r="B433" s="8">
        <f ca="1">IFERROR(__xludf.DUMMYFUNCTION("""COMPUTED_VALUE"""),44235)</f>
        <v>44235</v>
      </c>
      <c r="C433" s="5" t="str">
        <f ca="1">IFERROR(__xludf.DUMMYFUNCTION("""COMPUTED_VALUE"""),"School Bus")</f>
        <v>School Bus</v>
      </c>
      <c r="D433" s="5">
        <f ca="1">IFERROR(__xludf.DUMMYFUNCTION("""COMPUTED_VALUE"""),0)</f>
        <v>0</v>
      </c>
      <c r="E433" s="5">
        <f ca="1">IFERROR(__xludf.DUMMYFUNCTION("""COMPUTED_VALUE"""),0)</f>
        <v>0</v>
      </c>
      <c r="F433" s="5">
        <f ca="1">IFERROR(__xludf.DUMMYFUNCTION("""COMPUTED_VALUE"""),0)</f>
        <v>0</v>
      </c>
      <c r="G433" s="5">
        <f ca="1">IFERROR(__xludf.DUMMYFUNCTION("""COMPUTED_VALUE"""),0)</f>
        <v>0</v>
      </c>
      <c r="H433"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I433" s="5">
        <f ca="1">IFERROR(__xludf.DUMMYFUNCTION("""COMPUTED_VALUE"""),4)</f>
        <v>4</v>
      </c>
      <c r="J433" s="5" t="str">
        <f ca="1">IFERROR(__xludf.DUMMYFUNCTION("""COMPUTED_VALUE"""),"Local")</f>
        <v>Local</v>
      </c>
      <c r="K433" s="5">
        <f ca="1">IFERROR(__xludf.DUMMYFUNCTION("""COMPUTED_VALUE"""),4)</f>
        <v>4</v>
      </c>
      <c r="L433" s="5" t="str">
        <f ca="1">IFERROR(__xludf.DUMMYFUNCTION("""COMPUTED_VALUE"""),"Winter")</f>
        <v>Winter</v>
      </c>
      <c r="M433" s="5" t="str">
        <f ca="1">IFERROR(__xludf.DUMMYFUNCTION("""COMPUTED_VALUE"""),"Grand Rapids")</f>
        <v>Grand Rapids</v>
      </c>
      <c r="N433" s="5" t="str">
        <f ca="1">IFERROR(__xludf.DUMMYFUNCTION("""COMPUTED_VALUE"""),"MI")</f>
        <v>MI</v>
      </c>
      <c r="O433" s="5"/>
      <c r="P433" s="5" t="str">
        <f ca="1">IFERROR(__xludf.DUMMYFUNCTION("""COMPUTED_VALUE"""),"School Bus")</f>
        <v>School Bus</v>
      </c>
      <c r="Q433" s="5" t="str">
        <f ca="1">IFERROR(__xludf.DUMMYFUNCTION("""COMPUTED_VALUE"""),"School Bus")</f>
        <v>School Bus</v>
      </c>
      <c r="R433" s="5" t="str">
        <f ca="1">IFERROR(__xludf.DUMMYFUNCTION("""COMPUTED_VALUE"""),"Yes")</f>
        <v>Yes</v>
      </c>
      <c r="S433" s="5" t="str">
        <f ca="1">IFERROR(__xludf.DUMMYFUNCTION("""COMPUTED_VALUE"""),"Dismissal")</f>
        <v>Dismissal</v>
      </c>
      <c r="T433" s="10">
        <f ca="1">IFERROR(__xludf.DUMMYFUNCTION("""COMPUTED_VALUE"""),0.664583333333333)</f>
        <v>0.66458333333333297</v>
      </c>
      <c r="U433" s="5">
        <f ca="1">IFERROR(__xludf.DUMMYFUNCTION("""COMPUTED_VALUE"""),1)</f>
        <v>1</v>
      </c>
      <c r="V433" s="5" t="str">
        <f ca="1">IFERROR(__xludf.DUMMYFUNCTION("""COMPUTED_VALUE"""),"School bus struck by bullet fired from another vehicle")</f>
        <v>School bus struck by bullet fired from another vehicle</v>
      </c>
      <c r="W433"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X433" s="5" t="str">
        <f ca="1">IFERROR(__xludf.DUMMYFUNCTION("""COMPUTED_VALUE"""),"Drive-by Shooting")</f>
        <v>Drive-by Shooting</v>
      </c>
      <c r="Y433" s="5" t="str">
        <f ca="1">IFERROR(__xludf.DUMMYFUNCTION("""COMPUTED_VALUE"""),"Victims Targeted")</f>
        <v>Victims Targeted</v>
      </c>
      <c r="Z433" s="5"/>
      <c r="AA433" s="5"/>
      <c r="AB433" s="5" t="str">
        <f ca="1">IFERROR(__xludf.DUMMYFUNCTION("""COMPUTED_VALUE"""),"No")</f>
        <v>No</v>
      </c>
      <c r="AC433" s="5" t="str">
        <f ca="1">IFERROR(__xludf.DUMMYFUNCTION("""COMPUTED_VALUE"""),"No")</f>
        <v>No</v>
      </c>
      <c r="AD433" s="5" t="str">
        <f ca="1">IFERROR(__xludf.DUMMYFUNCTION("""COMPUTED_VALUE"""),"No")</f>
        <v>No</v>
      </c>
      <c r="AE433" s="5" t="str">
        <f ca="1">IFERROR(__xludf.DUMMYFUNCTION("""COMPUTED_VALUE"""),"No")</f>
        <v>No</v>
      </c>
      <c r="AF433" s="5" t="str">
        <f ca="1">IFERROR(__xludf.DUMMYFUNCTION("""COMPUTED_VALUE"""),"No")</f>
        <v>No</v>
      </c>
      <c r="AG433" s="5"/>
      <c r="AH433" s="5" t="str">
        <f ca="1">IFERROR(__xludf.DUMMYFUNCTION("""COMPUTED_VALUE"""),"No")</f>
        <v>No</v>
      </c>
    </row>
    <row r="434" spans="1:34" ht="12.75">
      <c r="A434" s="5" t="str">
        <f ca="1">IFERROR(__xludf.DUMMYFUNCTION("""COMPUTED_VALUE"""),"20210205MDBEM")</f>
        <v>20210205MDBEM</v>
      </c>
      <c r="B434" s="8">
        <f ca="1">IFERROR(__xludf.DUMMYFUNCTION("""COMPUTED_VALUE"""),44232)</f>
        <v>44232</v>
      </c>
      <c r="C434" s="5" t="str">
        <f ca="1">IFERROR(__xludf.DUMMYFUNCTION("""COMPUTED_VALUE"""),"Benjamin Stoddert Middle School")</f>
        <v>Benjamin Stoddert Middle School</v>
      </c>
      <c r="D434" s="5">
        <f ca="1">IFERROR(__xludf.DUMMYFUNCTION("""COMPUTED_VALUE"""),0)</f>
        <v>0</v>
      </c>
      <c r="E434" s="5">
        <f ca="1">IFERROR(__xludf.DUMMYFUNCTION("""COMPUTED_VALUE"""),1)</f>
        <v>1</v>
      </c>
      <c r="F434" s="5">
        <f ca="1">IFERROR(__xludf.DUMMYFUNCTION("""COMPUTED_VALUE"""),1)</f>
        <v>1</v>
      </c>
      <c r="G434" s="5">
        <f ca="1">IFERROR(__xludf.DUMMYFUNCTION("""COMPUTED_VALUE"""),0)</f>
        <v>0</v>
      </c>
      <c r="H434"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I434" s="5">
        <f ca="1">IFERROR(__xludf.DUMMYFUNCTION("""COMPUTED_VALUE"""),2)</f>
        <v>2</v>
      </c>
      <c r="J434" s="5" t="str">
        <f ca="1">IFERROR(__xludf.DUMMYFUNCTION("""COMPUTED_VALUE"""),"Local")</f>
        <v>Local</v>
      </c>
      <c r="K434" s="5">
        <f ca="1">IFERROR(__xludf.DUMMYFUNCTION("""COMPUTED_VALUE"""),3)</f>
        <v>3</v>
      </c>
      <c r="L434" s="5" t="str">
        <f ca="1">IFERROR(__xludf.DUMMYFUNCTION("""COMPUTED_VALUE"""),"Winter")</f>
        <v>Winter</v>
      </c>
      <c r="M434" s="5" t="str">
        <f ca="1">IFERROR(__xludf.DUMMYFUNCTION("""COMPUTED_VALUE"""),"Marlow Heights")</f>
        <v>Marlow Heights</v>
      </c>
      <c r="N434" s="5" t="str">
        <f ca="1">IFERROR(__xludf.DUMMYFUNCTION("""COMPUTED_VALUE"""),"MD")</f>
        <v>MD</v>
      </c>
      <c r="O434" s="5" t="str">
        <f ca="1">IFERROR(__xludf.DUMMYFUNCTION("""COMPUTED_VALUE"""),"Middle")</f>
        <v>Middle</v>
      </c>
      <c r="P434" s="5" t="str">
        <f ca="1">IFERROR(__xludf.DUMMYFUNCTION("""COMPUTED_VALUE"""),"Football Field/Track")</f>
        <v>Football Field/Track</v>
      </c>
      <c r="Q434" s="5" t="str">
        <f ca="1">IFERROR(__xludf.DUMMYFUNCTION("""COMPUTED_VALUE"""),"Outside on School Property")</f>
        <v>Outside on School Property</v>
      </c>
      <c r="R434" s="5" t="str">
        <f ca="1">IFERROR(__xludf.DUMMYFUNCTION("""COMPUTED_VALUE"""),"No")</f>
        <v>No</v>
      </c>
      <c r="S434" s="5" t="str">
        <f ca="1">IFERROR(__xludf.DUMMYFUNCTION("""COMPUTED_VALUE"""),"Evening")</f>
        <v>Evening</v>
      </c>
      <c r="T434" s="10">
        <f ca="1">IFERROR(__xludf.DUMMYFUNCTION("""COMPUTED_VALUE"""),0.708333333333333)</f>
        <v>0.70833333333333304</v>
      </c>
      <c r="U434" s="5"/>
      <c r="V434" s="5" t="str">
        <f ca="1">IFERROR(__xludf.DUMMYFUNCTION("""COMPUTED_VALUE"""),"Man shot near football field behind the school")</f>
        <v>Man shot near football field behind the school</v>
      </c>
      <c r="W434"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X434" s="5"/>
      <c r="Y434" s="5" t="str">
        <f ca="1">IFERROR(__xludf.DUMMYFUNCTION("""COMPUTED_VALUE"""),"Victims Targeted")</f>
        <v>Victims Targeted</v>
      </c>
      <c r="Z434" s="5"/>
      <c r="AA434" s="5"/>
      <c r="AB434" s="5" t="str">
        <f ca="1">IFERROR(__xludf.DUMMYFUNCTION("""COMPUTED_VALUE"""),"No")</f>
        <v>No</v>
      </c>
      <c r="AC434" s="5" t="str">
        <f ca="1">IFERROR(__xludf.DUMMYFUNCTION("""COMPUTED_VALUE"""),"No")</f>
        <v>No</v>
      </c>
      <c r="AD434" s="5" t="str">
        <f ca="1">IFERROR(__xludf.DUMMYFUNCTION("""COMPUTED_VALUE"""),"No")</f>
        <v>No</v>
      </c>
      <c r="AE434" s="5" t="str">
        <f ca="1">IFERROR(__xludf.DUMMYFUNCTION("""COMPUTED_VALUE"""),"No")</f>
        <v>No</v>
      </c>
      <c r="AF434" s="5" t="str">
        <f ca="1">IFERROR(__xludf.DUMMYFUNCTION("""COMPUTED_VALUE"""),"No")</f>
        <v>No</v>
      </c>
      <c r="AG434" s="5"/>
      <c r="AH434" s="5" t="str">
        <f ca="1">IFERROR(__xludf.DUMMYFUNCTION("""COMPUTED_VALUE"""),"No")</f>
        <v>No</v>
      </c>
    </row>
    <row r="435" spans="1:34" ht="12.75">
      <c r="A435" s="5" t="str">
        <f ca="1">IFERROR(__xludf.DUMMYFUNCTION("""COMPUTED_VALUE"""),"20210201MIMUD")</f>
        <v>20210201MIMUD</v>
      </c>
      <c r="B435" s="8">
        <f ca="1">IFERROR(__xludf.DUMMYFUNCTION("""COMPUTED_VALUE"""),44228)</f>
        <v>44228</v>
      </c>
      <c r="C435" s="5" t="str">
        <f ca="1">IFERROR(__xludf.DUMMYFUNCTION("""COMPUTED_VALUE"""),"Muslim American Youth Academy")</f>
        <v>Muslim American Youth Academy</v>
      </c>
      <c r="D435" s="5">
        <f ca="1">IFERROR(__xludf.DUMMYFUNCTION("""COMPUTED_VALUE"""),0)</f>
        <v>0</v>
      </c>
      <c r="E435" s="5">
        <f ca="1">IFERROR(__xludf.DUMMYFUNCTION("""COMPUTED_VALUE"""),1)</f>
        <v>1</v>
      </c>
      <c r="F435" s="5">
        <f ca="1">IFERROR(__xludf.DUMMYFUNCTION("""COMPUTED_VALUE"""),1)</f>
        <v>1</v>
      </c>
      <c r="G435" s="5">
        <f ca="1">IFERROR(__xludf.DUMMYFUNCTION("""COMPUTED_VALUE"""),0)</f>
        <v>0</v>
      </c>
      <c r="H435"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I435" s="5">
        <f ca="1">IFERROR(__xludf.DUMMYFUNCTION("""COMPUTED_VALUE"""),3)</f>
        <v>3</v>
      </c>
      <c r="J435" s="5" t="str">
        <f ca="1">IFERROR(__xludf.DUMMYFUNCTION("""COMPUTED_VALUE"""),"Local")</f>
        <v>Local</v>
      </c>
      <c r="K435" s="5">
        <f ca="1">IFERROR(__xludf.DUMMYFUNCTION("""COMPUTED_VALUE"""),4)</f>
        <v>4</v>
      </c>
      <c r="L435" s="5" t="str">
        <f ca="1">IFERROR(__xludf.DUMMYFUNCTION("""COMPUTED_VALUE"""),"Winter")</f>
        <v>Winter</v>
      </c>
      <c r="M435" s="5" t="str">
        <f ca="1">IFERROR(__xludf.DUMMYFUNCTION("""COMPUTED_VALUE"""),"Dearborn")</f>
        <v>Dearborn</v>
      </c>
      <c r="N435" s="5" t="str">
        <f ca="1">IFERROR(__xludf.DUMMYFUNCTION("""COMPUTED_VALUE"""),"MI")</f>
        <v>MI</v>
      </c>
      <c r="O435" s="5" t="str">
        <f ca="1">IFERROR(__xludf.DUMMYFUNCTION("""COMPUTED_VALUE"""),"K-8")</f>
        <v>K-8</v>
      </c>
      <c r="P435" s="5" t="str">
        <f ca="1">IFERROR(__xludf.DUMMYFUNCTION("""COMPUTED_VALUE"""),"Gym")</f>
        <v>Gym</v>
      </c>
      <c r="Q435" s="5" t="str">
        <f ca="1">IFERROR(__xludf.DUMMYFUNCTION("""COMPUTED_VALUE"""),"Inside School Building")</f>
        <v>Inside School Building</v>
      </c>
      <c r="R435" s="5" t="str">
        <f ca="1">IFERROR(__xludf.DUMMYFUNCTION("""COMPUTED_VALUE"""),"No")</f>
        <v>No</v>
      </c>
      <c r="S435" s="5" t="str">
        <f ca="1">IFERROR(__xludf.DUMMYFUNCTION("""COMPUTED_VALUE"""),"Night")</f>
        <v>Night</v>
      </c>
      <c r="T435" s="10">
        <f ca="1">IFERROR(__xludf.DUMMYFUNCTION("""COMPUTED_VALUE"""),0.958333333333333)</f>
        <v>0.95833333333333304</v>
      </c>
      <c r="U435" s="5">
        <f ca="1">IFERROR(__xludf.DUMMYFUNCTION("""COMPUTED_VALUE"""),1)</f>
        <v>1</v>
      </c>
      <c r="V435" s="5" t="str">
        <f ca="1">IFERROR(__xludf.DUMMYFUNCTION("""COMPUTED_VALUE"""),"Shooting inside school gym during dispute between two groups")</f>
        <v>Shooting inside school gym during dispute between two groups</v>
      </c>
      <c r="W435"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X435" s="5" t="str">
        <f ca="1">IFERROR(__xludf.DUMMYFUNCTION("""COMPUTED_VALUE"""),"Escalation of Dispute")</f>
        <v>Escalation of Dispute</v>
      </c>
      <c r="Y435" s="5" t="str">
        <f ca="1">IFERROR(__xludf.DUMMYFUNCTION("""COMPUTED_VALUE"""),"Victims Targeted")</f>
        <v>Victims Targeted</v>
      </c>
      <c r="Z435" s="5" t="str">
        <f ca="1">IFERROR(__xludf.DUMMYFUNCTION("""COMPUTED_VALUE"""),"No")</f>
        <v>No</v>
      </c>
      <c r="AA435" s="5"/>
      <c r="AB435" s="5" t="str">
        <f ca="1">IFERROR(__xludf.DUMMYFUNCTION("""COMPUTED_VALUE"""),"No")</f>
        <v>No</v>
      </c>
      <c r="AC435" s="5" t="str">
        <f ca="1">IFERROR(__xludf.DUMMYFUNCTION("""COMPUTED_VALUE"""),"No")</f>
        <v>No</v>
      </c>
      <c r="AD435" s="5" t="str">
        <f ca="1">IFERROR(__xludf.DUMMYFUNCTION("""COMPUTED_VALUE"""),"No")</f>
        <v>No</v>
      </c>
      <c r="AE435" s="5" t="str">
        <f ca="1">IFERROR(__xludf.DUMMYFUNCTION("""COMPUTED_VALUE"""),"No")</f>
        <v>No</v>
      </c>
      <c r="AF435" s="5" t="str">
        <f ca="1">IFERROR(__xludf.DUMMYFUNCTION("""COMPUTED_VALUE"""),"No")</f>
        <v>No</v>
      </c>
      <c r="AG435" s="5"/>
      <c r="AH435" s="5" t="str">
        <f ca="1">IFERROR(__xludf.DUMMYFUNCTION("""COMPUTED_VALUE"""),"No")</f>
        <v>No</v>
      </c>
    </row>
    <row r="436" spans="1:34" ht="12.75">
      <c r="A436" s="5" t="str">
        <f ca="1">IFERROR(__xludf.DUMMYFUNCTION("""COMPUTED_VALUE"""),"20210127MSHAH")</f>
        <v>20210127MSHAH</v>
      </c>
      <c r="B436" s="8">
        <f ca="1">IFERROR(__xludf.DUMMYFUNCTION("""COMPUTED_VALUE"""),44223)</f>
        <v>44223</v>
      </c>
      <c r="C436" s="5" t="str">
        <f ca="1">IFERROR(__xludf.DUMMYFUNCTION("""COMPUTED_VALUE"""),"Hattiesburg High School")</f>
        <v>Hattiesburg High School</v>
      </c>
      <c r="D436" s="5">
        <f ca="1">IFERROR(__xludf.DUMMYFUNCTION("""COMPUTED_VALUE"""),0)</f>
        <v>0</v>
      </c>
      <c r="E436" s="5">
        <f ca="1">IFERROR(__xludf.DUMMYFUNCTION("""COMPUTED_VALUE"""),0)</f>
        <v>0</v>
      </c>
      <c r="F436" s="5">
        <f ca="1">IFERROR(__xludf.DUMMYFUNCTION("""COMPUTED_VALUE"""),0)</f>
        <v>0</v>
      </c>
      <c r="G436" s="5">
        <f ca="1">IFERROR(__xludf.DUMMYFUNCTION("""COMPUTED_VALUE"""),0)</f>
        <v>0</v>
      </c>
      <c r="H436"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I436" s="5">
        <f ca="1">IFERROR(__xludf.DUMMYFUNCTION("""COMPUTED_VALUE"""),2)</f>
        <v>2</v>
      </c>
      <c r="J436" s="5" t="str">
        <f ca="1">IFERROR(__xludf.DUMMYFUNCTION("""COMPUTED_VALUE"""),"Local")</f>
        <v>Local</v>
      </c>
      <c r="K436" s="5">
        <f ca="1">IFERROR(__xludf.DUMMYFUNCTION("""COMPUTED_VALUE"""),4)</f>
        <v>4</v>
      </c>
      <c r="L436" s="5" t="str">
        <f ca="1">IFERROR(__xludf.DUMMYFUNCTION("""COMPUTED_VALUE"""),"Winter")</f>
        <v>Winter</v>
      </c>
      <c r="M436" s="5" t="str">
        <f ca="1">IFERROR(__xludf.DUMMYFUNCTION("""COMPUTED_VALUE"""),"Hattiesburg")</f>
        <v>Hattiesburg</v>
      </c>
      <c r="N436" s="5" t="str">
        <f ca="1">IFERROR(__xludf.DUMMYFUNCTION("""COMPUTED_VALUE"""),"MS")</f>
        <v>MS</v>
      </c>
      <c r="O436" s="5" t="str">
        <f ca="1">IFERROR(__xludf.DUMMYFUNCTION("""COMPUTED_VALUE"""),"High")</f>
        <v>High</v>
      </c>
      <c r="P436" s="5" t="str">
        <f ca="1">IFERROR(__xludf.DUMMYFUNCTION("""COMPUTED_VALUE"""),"Off School Property")</f>
        <v>Off School Property</v>
      </c>
      <c r="Q436" s="5" t="str">
        <f ca="1">IFERROR(__xludf.DUMMYFUNCTION("""COMPUTED_VALUE"""),"School Bus")</f>
        <v>School Bus</v>
      </c>
      <c r="R436" s="5" t="str">
        <f ca="1">IFERROR(__xludf.DUMMYFUNCTION("""COMPUTED_VALUE"""),"Yes")</f>
        <v>Yes</v>
      </c>
      <c r="S436" s="5" t="str">
        <f ca="1">IFERROR(__xludf.DUMMYFUNCTION("""COMPUTED_VALUE"""),"School Start")</f>
        <v>School Start</v>
      </c>
      <c r="T436" s="10">
        <f ca="1">IFERROR(__xludf.DUMMYFUNCTION("""COMPUTED_VALUE"""),0.333333333333333)</f>
        <v>0.33333333333333298</v>
      </c>
      <c r="U436" s="5">
        <f ca="1">IFERROR(__xludf.DUMMYFUNCTION("""COMPUTED_VALUE"""),21)</f>
        <v>21</v>
      </c>
      <c r="V436" s="5" t="str">
        <f ca="1">IFERROR(__xludf.DUMMYFUNCTION("""COMPUTED_VALUE"""),"Teen pointed gun at school bus and then fired shots into the air near the school")</f>
        <v>Teen pointed gun at school bus and then fired shots into the air near the school</v>
      </c>
      <c r="W436"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X436" s="5"/>
      <c r="Y436" s="5" t="str">
        <f ca="1">IFERROR(__xludf.DUMMYFUNCTION("""COMPUTED_VALUE"""),"Random Shooting")</f>
        <v>Random Shooting</v>
      </c>
      <c r="Z436" s="5" t="str">
        <f ca="1">IFERROR(__xludf.DUMMYFUNCTION("""COMPUTED_VALUE"""),"No")</f>
        <v>No</v>
      </c>
      <c r="AA436" s="5"/>
      <c r="AB436" s="5" t="str">
        <f ca="1">IFERROR(__xludf.DUMMYFUNCTION("""COMPUTED_VALUE"""),"No")</f>
        <v>No</v>
      </c>
      <c r="AC436" s="5" t="str">
        <f ca="1">IFERROR(__xludf.DUMMYFUNCTION("""COMPUTED_VALUE"""),"No")</f>
        <v>No</v>
      </c>
      <c r="AD436" s="5" t="str">
        <f ca="1">IFERROR(__xludf.DUMMYFUNCTION("""COMPUTED_VALUE"""),"Yes")</f>
        <v>Yes</v>
      </c>
      <c r="AE436" s="5" t="str">
        <f ca="1">IFERROR(__xludf.DUMMYFUNCTION("""COMPUTED_VALUE"""),"No")</f>
        <v>No</v>
      </c>
      <c r="AF436" s="5" t="str">
        <f ca="1">IFERROR(__xludf.DUMMYFUNCTION("""COMPUTED_VALUE"""),"No")</f>
        <v>No</v>
      </c>
      <c r="AG436" s="5" t="str">
        <f ca="1">IFERROR(__xludf.DUMMYFUNCTION("""COMPUTED_VALUE"""),"No")</f>
        <v>No</v>
      </c>
      <c r="AH436" s="5" t="str">
        <f ca="1">IFERROR(__xludf.DUMMYFUNCTION("""COMPUTED_VALUE"""),"No")</f>
        <v>No</v>
      </c>
    </row>
    <row r="437" spans="1:34" ht="12.75">
      <c r="A437" s="5" t="str">
        <f ca="1">IFERROR(__xludf.DUMMYFUNCTION("""COMPUTED_VALUE"""),"20210127FLHOH")</f>
        <v>20210127FLHOH</v>
      </c>
      <c r="B437" s="8">
        <f ca="1">IFERROR(__xludf.DUMMYFUNCTION("""COMPUTED_VALUE"""),44223)</f>
        <v>44223</v>
      </c>
      <c r="C437" s="5" t="str">
        <f ca="1">IFERROR(__xludf.DUMMYFUNCTION("""COMPUTED_VALUE"""),"Holly Hill School")</f>
        <v>Holly Hill School</v>
      </c>
      <c r="D437" s="5">
        <f ca="1">IFERROR(__xludf.DUMMYFUNCTION("""COMPUTED_VALUE"""),0)</f>
        <v>0</v>
      </c>
      <c r="E437" s="5">
        <f ca="1">IFERROR(__xludf.DUMMYFUNCTION("""COMPUTED_VALUE"""),0)</f>
        <v>0</v>
      </c>
      <c r="F437" s="5">
        <f ca="1">IFERROR(__xludf.DUMMYFUNCTION("""COMPUTED_VALUE"""),0)</f>
        <v>0</v>
      </c>
      <c r="G437" s="5">
        <f ca="1">IFERROR(__xludf.DUMMYFUNCTION("""COMPUTED_VALUE"""),0)</f>
        <v>0</v>
      </c>
      <c r="H437"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I437" s="5">
        <f ca="1">IFERROR(__xludf.DUMMYFUNCTION("""COMPUTED_VALUE"""),2)</f>
        <v>2</v>
      </c>
      <c r="J437" s="5" t="str">
        <f ca="1">IFERROR(__xludf.DUMMYFUNCTION("""COMPUTED_VALUE"""),"Local")</f>
        <v>Local</v>
      </c>
      <c r="K437" s="5">
        <f ca="1">IFERROR(__xludf.DUMMYFUNCTION("""COMPUTED_VALUE"""),4)</f>
        <v>4</v>
      </c>
      <c r="L437" s="5" t="str">
        <f ca="1">IFERROR(__xludf.DUMMYFUNCTION("""COMPUTED_VALUE"""),"Winter")</f>
        <v>Winter</v>
      </c>
      <c r="M437" s="5" t="str">
        <f ca="1">IFERROR(__xludf.DUMMYFUNCTION("""COMPUTED_VALUE"""),"Holly Hill")</f>
        <v>Holly Hill</v>
      </c>
      <c r="N437" s="5" t="str">
        <f ca="1">IFERROR(__xludf.DUMMYFUNCTION("""COMPUTED_VALUE"""),"FL")</f>
        <v>FL</v>
      </c>
      <c r="O437" s="5" t="str">
        <f ca="1">IFERROR(__xludf.DUMMYFUNCTION("""COMPUTED_VALUE"""),"K-8")</f>
        <v>K-8</v>
      </c>
      <c r="P437" s="5" t="str">
        <f ca="1">IFERROR(__xludf.DUMMYFUNCTION("""COMPUTED_VALUE"""),"Gym")</f>
        <v>Gym</v>
      </c>
      <c r="Q437" s="5" t="str">
        <f ca="1">IFERROR(__xludf.DUMMYFUNCTION("""COMPUTED_VALUE"""),"Inside School Building")</f>
        <v>Inside School Building</v>
      </c>
      <c r="R437" s="5" t="str">
        <f ca="1">IFERROR(__xludf.DUMMYFUNCTION("""COMPUTED_VALUE"""),"Yes")</f>
        <v>Yes</v>
      </c>
      <c r="S437" s="5" t="str">
        <f ca="1">IFERROR(__xludf.DUMMYFUNCTION("""COMPUTED_VALUE"""),"Afternoon Classes")</f>
        <v>Afternoon Classes</v>
      </c>
      <c r="T437" s="5"/>
      <c r="U437" s="5">
        <f ca="1">IFERROR(__xludf.DUMMYFUNCTION("""COMPUTED_VALUE"""),1)</f>
        <v>1</v>
      </c>
      <c r="V437" s="5" t="str">
        <f ca="1">IFERROR(__xludf.DUMMYFUNCTION("""COMPUTED_VALUE"""),"Student shot with airsoft gun in locker room")</f>
        <v>Student shot with airsoft gun in locker room</v>
      </c>
      <c r="W437"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X437" s="5"/>
      <c r="Y437" s="5" t="str">
        <f ca="1">IFERROR(__xludf.DUMMYFUNCTION("""COMPUTED_VALUE"""),"Victims Targeted")</f>
        <v>Victims Targeted</v>
      </c>
      <c r="Z437" s="5" t="str">
        <f ca="1">IFERROR(__xludf.DUMMYFUNCTION("""COMPUTED_VALUE"""),"Yes")</f>
        <v>Yes</v>
      </c>
      <c r="AA437" s="5"/>
      <c r="AB437" s="5" t="str">
        <f ca="1">IFERROR(__xludf.DUMMYFUNCTION("""COMPUTED_VALUE"""),"No")</f>
        <v>No</v>
      </c>
      <c r="AC437" s="5" t="str">
        <f ca="1">IFERROR(__xludf.DUMMYFUNCTION("""COMPUTED_VALUE"""),"No")</f>
        <v>No</v>
      </c>
      <c r="AD437" s="5" t="str">
        <f ca="1">IFERROR(__xludf.DUMMYFUNCTION("""COMPUTED_VALUE"""),"No")</f>
        <v>No</v>
      </c>
      <c r="AE437" s="5"/>
      <c r="AF437" s="5" t="str">
        <f ca="1">IFERROR(__xludf.DUMMYFUNCTION("""COMPUTED_VALUE"""),"No")</f>
        <v>No</v>
      </c>
      <c r="AG437" s="5"/>
      <c r="AH437" s="5" t="str">
        <f ca="1">IFERROR(__xludf.DUMMYFUNCTION("""COMPUTED_VALUE"""),"No")</f>
        <v>No</v>
      </c>
    </row>
    <row r="438" spans="1:34" ht="12.75">
      <c r="A438" s="5" t="str">
        <f ca="1">IFERROR(__xludf.DUMMYFUNCTION("""COMPUTED_VALUE"""),"20210121OKLOG")</f>
        <v>20210121OKLOG</v>
      </c>
      <c r="B438" s="8">
        <f ca="1">IFERROR(__xludf.DUMMYFUNCTION("""COMPUTED_VALUE"""),44217)</f>
        <v>44217</v>
      </c>
      <c r="C438" s="5" t="str">
        <f ca="1">IFERROR(__xludf.DUMMYFUNCTION("""COMPUTED_VALUE"""),"Lower Elementary School")</f>
        <v>Lower Elementary School</v>
      </c>
      <c r="D438" s="5">
        <f ca="1">IFERROR(__xludf.DUMMYFUNCTION("""COMPUTED_VALUE"""),0)</f>
        <v>0</v>
      </c>
      <c r="E438" s="5">
        <f ca="1">IFERROR(__xludf.DUMMYFUNCTION("""COMPUTED_VALUE"""),0)</f>
        <v>0</v>
      </c>
      <c r="F438" s="5">
        <f ca="1">IFERROR(__xludf.DUMMYFUNCTION("""COMPUTED_VALUE"""),0)</f>
        <v>0</v>
      </c>
      <c r="G438" s="5">
        <f ca="1">IFERROR(__xludf.DUMMYFUNCTION("""COMPUTED_VALUE"""),0)</f>
        <v>0</v>
      </c>
      <c r="H438"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I438" s="5">
        <f ca="1">IFERROR(__xludf.DUMMYFUNCTION("""COMPUTED_VALUE"""),1)</f>
        <v>1</v>
      </c>
      <c r="J438" s="5" t="str">
        <f ca="1">IFERROR(__xludf.DUMMYFUNCTION("""COMPUTED_VALUE"""),"Local")</f>
        <v>Local</v>
      </c>
      <c r="K438" s="5">
        <f ca="1">IFERROR(__xludf.DUMMYFUNCTION("""COMPUTED_VALUE"""),4)</f>
        <v>4</v>
      </c>
      <c r="L438" s="5" t="str">
        <f ca="1">IFERROR(__xludf.DUMMYFUNCTION("""COMPUTED_VALUE"""),"Winter")</f>
        <v>Winter</v>
      </c>
      <c r="M438" s="5" t="str">
        <f ca="1">IFERROR(__xludf.DUMMYFUNCTION("""COMPUTED_VALUE"""),"Grove")</f>
        <v>Grove</v>
      </c>
      <c r="N438" s="5" t="str">
        <f ca="1">IFERROR(__xludf.DUMMYFUNCTION("""COMPUTED_VALUE"""),"OK")</f>
        <v>OK</v>
      </c>
      <c r="O438" s="5" t="str">
        <f ca="1">IFERROR(__xludf.DUMMYFUNCTION("""COMPUTED_VALUE"""),"Elementary")</f>
        <v>Elementary</v>
      </c>
      <c r="P438" s="5" t="str">
        <f ca="1">IFERROR(__xludf.DUMMYFUNCTION("""COMPUTED_VALUE"""),"Parking Lot")</f>
        <v>Parking Lot</v>
      </c>
      <c r="Q438" s="5" t="str">
        <f ca="1">IFERROR(__xludf.DUMMYFUNCTION("""COMPUTED_VALUE"""),"Outside on School Property")</f>
        <v>Outside on School Property</v>
      </c>
      <c r="R438" s="5" t="str">
        <f ca="1">IFERROR(__xludf.DUMMYFUNCTION("""COMPUTED_VALUE"""),"Yes")</f>
        <v>Yes</v>
      </c>
      <c r="S438" s="5" t="str">
        <f ca="1">IFERROR(__xludf.DUMMYFUNCTION("""COMPUTED_VALUE"""),"Dismissal")</f>
        <v>Dismissal</v>
      </c>
      <c r="T438" s="10">
        <f ca="1">IFERROR(__xludf.DUMMYFUNCTION("""COMPUTED_VALUE"""),0.625)</f>
        <v>0.625</v>
      </c>
      <c r="U438" s="5">
        <f ca="1">IFERROR(__xludf.DUMMYFUNCTION("""COMPUTED_VALUE"""),1)</f>
        <v>1</v>
      </c>
      <c r="V438" s="5" t="str">
        <f ca="1">IFERROR(__xludf.DUMMYFUNCTION("""COMPUTED_VALUE"""),"Parent shot self inside car while in pickup line at school")</f>
        <v>Parent shot self inside car while in pickup line at school</v>
      </c>
      <c r="W438"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X438" s="5" t="str">
        <f ca="1">IFERROR(__xludf.DUMMYFUNCTION("""COMPUTED_VALUE"""),"Accidental")</f>
        <v>Accidental</v>
      </c>
      <c r="Y438" s="5" t="str">
        <f ca="1">IFERROR(__xludf.DUMMYFUNCTION("""COMPUTED_VALUE"""),"Random Shooting")</f>
        <v>Random Shooting</v>
      </c>
      <c r="Z438" s="5" t="str">
        <f ca="1">IFERROR(__xludf.DUMMYFUNCTION("""COMPUTED_VALUE"""),"No")</f>
        <v>No</v>
      </c>
      <c r="AA438" s="5"/>
      <c r="AB438" s="5" t="str">
        <f ca="1">IFERROR(__xludf.DUMMYFUNCTION("""COMPUTED_VALUE"""),"No")</f>
        <v>No</v>
      </c>
      <c r="AC438" s="5" t="str">
        <f ca="1">IFERROR(__xludf.DUMMYFUNCTION("""COMPUTED_VALUE"""),"No")</f>
        <v>No</v>
      </c>
      <c r="AD438" s="5" t="str">
        <f ca="1">IFERROR(__xludf.DUMMYFUNCTION("""COMPUTED_VALUE"""),"No")</f>
        <v>No</v>
      </c>
      <c r="AE438" s="5" t="str">
        <f ca="1">IFERROR(__xludf.DUMMYFUNCTION("""COMPUTED_VALUE"""),"No")</f>
        <v>No</v>
      </c>
      <c r="AF438" s="5" t="str">
        <f ca="1">IFERROR(__xludf.DUMMYFUNCTION("""COMPUTED_VALUE"""),"No")</f>
        <v>No</v>
      </c>
      <c r="AG438" s="5" t="str">
        <f ca="1">IFERROR(__xludf.DUMMYFUNCTION("""COMPUTED_VALUE"""),"No")</f>
        <v>No</v>
      </c>
      <c r="AH438" s="5" t="str">
        <f ca="1">IFERROR(__xludf.DUMMYFUNCTION("""COMPUTED_VALUE"""),"No")</f>
        <v>No</v>
      </c>
    </row>
    <row r="439" spans="1:34" ht="12.75">
      <c r="A439" s="5" t="str">
        <f ca="1">IFERROR(__xludf.DUMMYFUNCTION("""COMPUTED_VALUE"""),"20210121OHEAC")</f>
        <v>20210121OHEAC</v>
      </c>
      <c r="B439" s="8">
        <f ca="1">IFERROR(__xludf.DUMMYFUNCTION("""COMPUTED_VALUE"""),44217)</f>
        <v>44217</v>
      </c>
      <c r="C439" s="5" t="str">
        <f ca="1">IFERROR(__xludf.DUMMYFUNCTION("""COMPUTED_VALUE"""),"Eastmoor Academy")</f>
        <v>Eastmoor Academy</v>
      </c>
      <c r="D439" s="5">
        <f ca="1">IFERROR(__xludf.DUMMYFUNCTION("""COMPUTED_VALUE"""),0)</f>
        <v>0</v>
      </c>
      <c r="E439" s="5">
        <f ca="1">IFERROR(__xludf.DUMMYFUNCTION("""COMPUTED_VALUE"""),1)</f>
        <v>1</v>
      </c>
      <c r="F439" s="5">
        <f ca="1">IFERROR(__xludf.DUMMYFUNCTION("""COMPUTED_VALUE"""),1)</f>
        <v>1</v>
      </c>
      <c r="G439" s="5">
        <f ca="1">IFERROR(__xludf.DUMMYFUNCTION("""COMPUTED_VALUE"""),0)</f>
        <v>0</v>
      </c>
      <c r="H439" s="9" t="str">
        <f ca="1">IFERROR(__xludf.DUMMYFUNCTION("""COMPUTED_VALUE"""),"https://www.nbc4i.com/news/local-news/cpd-school-fight-leads-to-shooting/")</f>
        <v>https://www.nbc4i.com/news/local-news/cpd-school-fight-leads-to-shooting/</v>
      </c>
      <c r="I439" s="5">
        <f ca="1">IFERROR(__xludf.DUMMYFUNCTION("""COMPUTED_VALUE"""),1)</f>
        <v>1</v>
      </c>
      <c r="J439" s="5" t="str">
        <f ca="1">IFERROR(__xludf.DUMMYFUNCTION("""COMPUTED_VALUE"""),"Local")</f>
        <v>Local</v>
      </c>
      <c r="K439" s="5">
        <f ca="1">IFERROR(__xludf.DUMMYFUNCTION("""COMPUTED_VALUE"""),3)</f>
        <v>3</v>
      </c>
      <c r="L439" s="5" t="str">
        <f ca="1">IFERROR(__xludf.DUMMYFUNCTION("""COMPUTED_VALUE"""),"Winter")</f>
        <v>Winter</v>
      </c>
      <c r="M439" s="5" t="str">
        <f ca="1">IFERROR(__xludf.DUMMYFUNCTION("""COMPUTED_VALUE"""),"Columbus")</f>
        <v>Columbus</v>
      </c>
      <c r="N439" s="5" t="str">
        <f ca="1">IFERROR(__xludf.DUMMYFUNCTION("""COMPUTED_VALUE"""),"OH")</f>
        <v>OH</v>
      </c>
      <c r="O439" s="5" t="str">
        <f ca="1">IFERROR(__xludf.DUMMYFUNCTION("""COMPUTED_VALUE"""),"High")</f>
        <v>High</v>
      </c>
      <c r="P439" s="5" t="str">
        <f ca="1">IFERROR(__xludf.DUMMYFUNCTION("""COMPUTED_VALUE"""),"Parking Lot")</f>
        <v>Parking Lot</v>
      </c>
      <c r="Q439" s="5" t="str">
        <f ca="1">IFERROR(__xludf.DUMMYFUNCTION("""COMPUTED_VALUE"""),"Outside on School Property")</f>
        <v>Outside on School Property</v>
      </c>
      <c r="R439" s="5" t="str">
        <f ca="1">IFERROR(__xludf.DUMMYFUNCTION("""COMPUTED_VALUE"""),"No")</f>
        <v>No</v>
      </c>
      <c r="S439" s="5" t="str">
        <f ca="1">IFERROR(__xludf.DUMMYFUNCTION("""COMPUTED_VALUE"""),"Evening")</f>
        <v>Evening</v>
      </c>
      <c r="T439" s="10">
        <f ca="1">IFERROR(__xludf.DUMMYFUNCTION("""COMPUTED_VALUE"""),0.8125)</f>
        <v>0.8125</v>
      </c>
      <c r="U439" s="5">
        <f ca="1">IFERROR(__xludf.DUMMYFUNCTION("""COMPUTED_VALUE"""),1)</f>
        <v>1</v>
      </c>
      <c r="V439" s="5" t="str">
        <f ca="1">IFERROR(__xludf.DUMMYFUNCTION("""COMPUTED_VALUE"""),"Man shot while watching fight in school parking lot")</f>
        <v>Man shot while watching fight in school parking lot</v>
      </c>
      <c r="W439"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X439" s="5" t="str">
        <f ca="1">IFERROR(__xludf.DUMMYFUNCTION("""COMPUTED_VALUE"""),"Escalation of Dispute")</f>
        <v>Escalation of Dispute</v>
      </c>
      <c r="Y439" s="5" t="str">
        <f ca="1">IFERROR(__xludf.DUMMYFUNCTION("""COMPUTED_VALUE"""),"Both")</f>
        <v>Both</v>
      </c>
      <c r="Z439" s="5" t="str">
        <f ca="1">IFERROR(__xludf.DUMMYFUNCTION("""COMPUTED_VALUE"""),"No")</f>
        <v>No</v>
      </c>
      <c r="AA439" s="5"/>
      <c r="AB439" s="5" t="str">
        <f ca="1">IFERROR(__xludf.DUMMYFUNCTION("""COMPUTED_VALUE"""),"No")</f>
        <v>No</v>
      </c>
      <c r="AC439" s="5" t="str">
        <f ca="1">IFERROR(__xludf.DUMMYFUNCTION("""COMPUTED_VALUE"""),"No")</f>
        <v>No</v>
      </c>
      <c r="AD439" s="5" t="str">
        <f ca="1">IFERROR(__xludf.DUMMYFUNCTION("""COMPUTED_VALUE"""),"No")</f>
        <v>No</v>
      </c>
      <c r="AE439" s="5" t="str">
        <f ca="1">IFERROR(__xludf.DUMMYFUNCTION("""COMPUTED_VALUE"""),"No")</f>
        <v>No</v>
      </c>
      <c r="AF439" s="5" t="str">
        <f ca="1">IFERROR(__xludf.DUMMYFUNCTION("""COMPUTED_VALUE"""),"No")</f>
        <v>No</v>
      </c>
      <c r="AG439" s="5"/>
      <c r="AH439" s="5" t="str">
        <f ca="1">IFERROR(__xludf.DUMMYFUNCTION("""COMPUTED_VALUE"""),"No")</f>
        <v>No</v>
      </c>
    </row>
    <row r="440" spans="1:34" ht="12.75">
      <c r="A440" s="5" t="str">
        <f ca="1">IFERROR(__xludf.DUMMYFUNCTION("""COMPUTED_VALUE"""),"20210114MDHIW")</f>
        <v>20210114MDHIW</v>
      </c>
      <c r="B440" s="8">
        <f ca="1">IFERROR(__xludf.DUMMYFUNCTION("""COMPUTED_VALUE"""),44210)</f>
        <v>44210</v>
      </c>
      <c r="C440" s="5" t="str">
        <f ca="1">IFERROR(__xludf.DUMMYFUNCTION("""COMPUTED_VALUE"""),"Highland Elementary School")</f>
        <v>Highland Elementary School</v>
      </c>
      <c r="D440" s="5">
        <f ca="1">IFERROR(__xludf.DUMMYFUNCTION("""COMPUTED_VALUE"""),1)</f>
        <v>1</v>
      </c>
      <c r="E440" s="5">
        <f ca="1">IFERROR(__xludf.DUMMYFUNCTION("""COMPUTED_VALUE"""),0)</f>
        <v>0</v>
      </c>
      <c r="F440" s="5">
        <f ca="1">IFERROR(__xludf.DUMMYFUNCTION("""COMPUTED_VALUE"""),1)</f>
        <v>1</v>
      </c>
      <c r="G440" s="5">
        <f ca="1">IFERROR(__xludf.DUMMYFUNCTION("""COMPUTED_VALUE"""),0)</f>
        <v>0</v>
      </c>
      <c r="H440"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I440" s="5">
        <f ca="1">IFERROR(__xludf.DUMMYFUNCTION("""COMPUTED_VALUE"""),3)</f>
        <v>3</v>
      </c>
      <c r="J440" s="5" t="str">
        <f ca="1">IFERROR(__xludf.DUMMYFUNCTION("""COMPUTED_VALUE"""),"Local")</f>
        <v>Local</v>
      </c>
      <c r="K440" s="5">
        <f ca="1">IFERROR(__xludf.DUMMYFUNCTION("""COMPUTED_VALUE"""),4)</f>
        <v>4</v>
      </c>
      <c r="L440" s="5" t="str">
        <f ca="1">IFERROR(__xludf.DUMMYFUNCTION("""COMPUTED_VALUE"""),"Winter")</f>
        <v>Winter</v>
      </c>
      <c r="M440" s="5" t="str">
        <f ca="1">IFERROR(__xludf.DUMMYFUNCTION("""COMPUTED_VALUE"""),"Wheaton")</f>
        <v>Wheaton</v>
      </c>
      <c r="N440" s="5" t="str">
        <f ca="1">IFERROR(__xludf.DUMMYFUNCTION("""COMPUTED_VALUE"""),"MD")</f>
        <v>MD</v>
      </c>
      <c r="O440" s="5" t="str">
        <f ca="1">IFERROR(__xludf.DUMMYFUNCTION("""COMPUTED_VALUE"""),"Elementary")</f>
        <v>Elementary</v>
      </c>
      <c r="P440" s="5" t="str">
        <f ca="1">IFERROR(__xludf.DUMMYFUNCTION("""COMPUTED_VALUE"""),"Parking Lot")</f>
        <v>Parking Lot</v>
      </c>
      <c r="Q440" s="5" t="str">
        <f ca="1">IFERROR(__xludf.DUMMYFUNCTION("""COMPUTED_VALUE"""),"Outside on School Property")</f>
        <v>Outside on School Property</v>
      </c>
      <c r="R440" s="5" t="str">
        <f ca="1">IFERROR(__xludf.DUMMYFUNCTION("""COMPUTED_VALUE"""),"No")</f>
        <v>No</v>
      </c>
      <c r="S440" s="5" t="str">
        <f ca="1">IFERROR(__xludf.DUMMYFUNCTION("""COMPUTED_VALUE"""),"Before School")</f>
        <v>Before School</v>
      </c>
      <c r="T440" s="10">
        <f ca="1">IFERROR(__xludf.DUMMYFUNCTION("""COMPUTED_VALUE"""),0.236111111111111)</f>
        <v>0.23611111111111099</v>
      </c>
      <c r="U440" s="5">
        <f ca="1">IFERROR(__xludf.DUMMYFUNCTION("""COMPUTED_VALUE"""),1)</f>
        <v>1</v>
      </c>
      <c r="V440" s="5" t="str">
        <f ca="1">IFERROR(__xludf.DUMMYFUNCTION("""COMPUTED_VALUE"""),"Man found shot and killed inside vehicle in school parking lot")</f>
        <v>Man found shot and killed inside vehicle in school parking lot</v>
      </c>
      <c r="W440"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X440" s="5"/>
      <c r="Y440" s="5" t="str">
        <f ca="1">IFERROR(__xludf.DUMMYFUNCTION("""COMPUTED_VALUE"""),"Victims Targeted")</f>
        <v>Victims Targeted</v>
      </c>
      <c r="Z440" s="5"/>
      <c r="AA440" s="5"/>
      <c r="AB440" s="5" t="str">
        <f ca="1">IFERROR(__xludf.DUMMYFUNCTION("""COMPUTED_VALUE"""),"No")</f>
        <v>No</v>
      </c>
      <c r="AC440" s="5" t="str">
        <f ca="1">IFERROR(__xludf.DUMMYFUNCTION("""COMPUTED_VALUE"""),"No")</f>
        <v>No</v>
      </c>
      <c r="AD440" s="5" t="str">
        <f ca="1">IFERROR(__xludf.DUMMYFUNCTION("""COMPUTED_VALUE"""),"No")</f>
        <v>No</v>
      </c>
      <c r="AE440" s="5" t="str">
        <f ca="1">IFERROR(__xludf.DUMMYFUNCTION("""COMPUTED_VALUE"""),"No")</f>
        <v>No</v>
      </c>
      <c r="AF440" s="5" t="str">
        <f ca="1">IFERROR(__xludf.DUMMYFUNCTION("""COMPUTED_VALUE"""),"No")</f>
        <v>No</v>
      </c>
      <c r="AG440" s="5"/>
      <c r="AH440" s="5" t="str">
        <f ca="1">IFERROR(__xludf.DUMMYFUNCTION("""COMPUTED_VALUE"""),"No")</f>
        <v>No</v>
      </c>
    </row>
    <row r="441" spans="1:34" ht="12.75">
      <c r="A441" s="5" t="str">
        <f ca="1">IFERROR(__xludf.DUMMYFUNCTION("""COMPUTED_VALUE"""),"20210110ILSOS")</f>
        <v>20210110ILSOS</v>
      </c>
      <c r="B441" s="8">
        <f ca="1">IFERROR(__xludf.DUMMYFUNCTION("""COMPUTED_VALUE"""),44206)</f>
        <v>44206</v>
      </c>
      <c r="C441" s="5" t="str">
        <f ca="1">IFERROR(__xludf.DUMMYFUNCTION("""COMPUTED_VALUE"""),"Southeast High School")</f>
        <v>Southeast High School</v>
      </c>
      <c r="D441" s="5">
        <f ca="1">IFERROR(__xludf.DUMMYFUNCTION("""COMPUTED_VALUE"""),0)</f>
        <v>0</v>
      </c>
      <c r="E441" s="5">
        <f ca="1">IFERROR(__xludf.DUMMYFUNCTION("""COMPUTED_VALUE"""),2)</f>
        <v>2</v>
      </c>
      <c r="F441" s="5">
        <f ca="1">IFERROR(__xludf.DUMMYFUNCTION("""COMPUTED_VALUE"""),2)</f>
        <v>2</v>
      </c>
      <c r="G441" s="5">
        <f ca="1">IFERROR(__xludf.DUMMYFUNCTION("""COMPUTED_VALUE"""),0)</f>
        <v>0</v>
      </c>
      <c r="H441"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I441" s="5">
        <f ca="1">IFERROR(__xludf.DUMMYFUNCTION("""COMPUTED_VALUE"""),2)</f>
        <v>2</v>
      </c>
      <c r="J441" s="5" t="str">
        <f ca="1">IFERROR(__xludf.DUMMYFUNCTION("""COMPUTED_VALUE"""),"Local")</f>
        <v>Local</v>
      </c>
      <c r="K441" s="5">
        <f ca="1">IFERROR(__xludf.DUMMYFUNCTION("""COMPUTED_VALUE"""),3)</f>
        <v>3</v>
      </c>
      <c r="L441" s="5" t="str">
        <f ca="1">IFERROR(__xludf.DUMMYFUNCTION("""COMPUTED_VALUE"""),"Winter")</f>
        <v>Winter</v>
      </c>
      <c r="M441" s="5" t="str">
        <f ca="1">IFERROR(__xludf.DUMMYFUNCTION("""COMPUTED_VALUE"""),"Springfield")</f>
        <v>Springfield</v>
      </c>
      <c r="N441" s="5" t="str">
        <f ca="1">IFERROR(__xludf.DUMMYFUNCTION("""COMPUTED_VALUE"""),"IL")</f>
        <v>IL</v>
      </c>
      <c r="O441" s="5" t="str">
        <f ca="1">IFERROR(__xludf.DUMMYFUNCTION("""COMPUTED_VALUE"""),"High")</f>
        <v>High</v>
      </c>
      <c r="P441" s="5" t="str">
        <f ca="1">IFERROR(__xludf.DUMMYFUNCTION("""COMPUTED_VALUE"""),"Parking Lot")</f>
        <v>Parking Lot</v>
      </c>
      <c r="Q441" s="5" t="str">
        <f ca="1">IFERROR(__xludf.DUMMYFUNCTION("""COMPUTED_VALUE"""),"Outside on School Property")</f>
        <v>Outside on School Property</v>
      </c>
      <c r="R441" s="5" t="str">
        <f ca="1">IFERROR(__xludf.DUMMYFUNCTION("""COMPUTED_VALUE"""),"No")</f>
        <v>No</v>
      </c>
      <c r="S441" s="5" t="str">
        <f ca="1">IFERROR(__xludf.DUMMYFUNCTION("""COMPUTED_VALUE"""),"Not a School Day")</f>
        <v>Not a School Day</v>
      </c>
      <c r="T441" s="10">
        <f ca="1">IFERROR(__xludf.DUMMYFUNCTION("""COMPUTED_VALUE"""),0.636805555555555)</f>
        <v>0.63680555555555496</v>
      </c>
      <c r="U441" s="5">
        <f ca="1">IFERROR(__xludf.DUMMYFUNCTION("""COMPUTED_VALUE"""),1)</f>
        <v>1</v>
      </c>
      <c r="V441" s="5" t="str">
        <f ca="1">IFERROR(__xludf.DUMMYFUNCTION("""COMPUTED_VALUE"""),"Two women in vehicle shot in school parking lot")</f>
        <v>Two women in vehicle shot in school parking lot</v>
      </c>
      <c r="W441"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X441" s="5"/>
      <c r="Y441" s="5" t="str">
        <f ca="1">IFERROR(__xludf.DUMMYFUNCTION("""COMPUTED_VALUE"""),"Victims Targeted")</f>
        <v>Victims Targeted</v>
      </c>
      <c r="Z441" s="5" t="str">
        <f ca="1">IFERROR(__xludf.DUMMYFUNCTION("""COMPUTED_VALUE"""),"No")</f>
        <v>No</v>
      </c>
      <c r="AA441" s="5"/>
      <c r="AB441" s="5" t="str">
        <f ca="1">IFERROR(__xludf.DUMMYFUNCTION("""COMPUTED_VALUE"""),"No")</f>
        <v>No</v>
      </c>
      <c r="AC441" s="5" t="str">
        <f ca="1">IFERROR(__xludf.DUMMYFUNCTION("""COMPUTED_VALUE"""),"No")</f>
        <v>No</v>
      </c>
      <c r="AD441" s="5"/>
      <c r="AE441" s="5" t="str">
        <f ca="1">IFERROR(__xludf.DUMMYFUNCTION("""COMPUTED_VALUE"""),"No")</f>
        <v>No</v>
      </c>
      <c r="AF441" s="5"/>
      <c r="AG441" s="5"/>
      <c r="AH441" s="5" t="str">
        <f ca="1">IFERROR(__xludf.DUMMYFUNCTION("""COMPUTED_VALUE"""),"No")</f>
        <v>No</v>
      </c>
    </row>
    <row r="442" spans="1:34" ht="12.75">
      <c r="A442" s="5" t="str">
        <f ca="1">IFERROR(__xludf.DUMMYFUNCTION("""COMPUTED_VALUE"""),"20210104NYPEJ")</f>
        <v>20210104NYPEJ</v>
      </c>
      <c r="B442" s="8">
        <f ca="1">IFERROR(__xludf.DUMMYFUNCTION("""COMPUTED_VALUE"""),44200)</f>
        <v>44200</v>
      </c>
      <c r="C442" s="5" t="str">
        <f ca="1">IFERROR(__xludf.DUMMYFUNCTION("""COMPUTED_VALUE"""),"Perth Bible Church and Christian Academy")</f>
        <v>Perth Bible Church and Christian Academy</v>
      </c>
      <c r="D442" s="5">
        <f ca="1">IFERROR(__xludf.DUMMYFUNCTION("""COMPUTED_VALUE"""),0)</f>
        <v>0</v>
      </c>
      <c r="E442" s="5">
        <f ca="1">IFERROR(__xludf.DUMMYFUNCTION("""COMPUTED_VALUE"""),0)</f>
        <v>0</v>
      </c>
      <c r="F442" s="5">
        <f ca="1">IFERROR(__xludf.DUMMYFUNCTION("""COMPUTED_VALUE"""),0)</f>
        <v>0</v>
      </c>
      <c r="G442" s="5">
        <f ca="1">IFERROR(__xludf.DUMMYFUNCTION("""COMPUTED_VALUE"""),0)</f>
        <v>0</v>
      </c>
      <c r="H442" s="9" t="str">
        <f ca="1">IFERROR(__xludf.DUMMYFUNCTION("""COMPUTED_VALUE"""),"https://www.timesunion.com/news/article/Town-of-Perth-man-charged-for-alleged-animal-16084406.php#photo-20839860")</f>
        <v>https://www.timesunion.com/news/article/Town-of-Perth-man-charged-for-alleged-animal-16084406.php#photo-20839860</v>
      </c>
      <c r="I442" s="5">
        <f ca="1">IFERROR(__xludf.DUMMYFUNCTION("""COMPUTED_VALUE"""),1)</f>
        <v>1</v>
      </c>
      <c r="J442" s="5" t="str">
        <f ca="1">IFERROR(__xludf.DUMMYFUNCTION("""COMPUTED_VALUE"""),"Local")</f>
        <v>Local</v>
      </c>
      <c r="K442" s="5">
        <f ca="1">IFERROR(__xludf.DUMMYFUNCTION("""COMPUTED_VALUE"""),3)</f>
        <v>3</v>
      </c>
      <c r="L442" s="5" t="str">
        <f ca="1">IFERROR(__xludf.DUMMYFUNCTION("""COMPUTED_VALUE"""),"Winter")</f>
        <v>Winter</v>
      </c>
      <c r="M442" s="5" t="str">
        <f ca="1">IFERROR(__xludf.DUMMYFUNCTION("""COMPUTED_VALUE"""),"Johnstown")</f>
        <v>Johnstown</v>
      </c>
      <c r="N442" s="5" t="str">
        <f ca="1">IFERROR(__xludf.DUMMYFUNCTION("""COMPUTED_VALUE"""),"NY")</f>
        <v>NY</v>
      </c>
      <c r="O442" s="11">
        <f ca="1">IFERROR(__xludf.DUMMYFUNCTION("""COMPUTED_VALUE"""),44724)</f>
        <v>44724</v>
      </c>
      <c r="P442" s="5" t="str">
        <f ca="1">IFERROR(__xludf.DUMMYFUNCTION("""COMPUTED_VALUE"""),"Field (General)")</f>
        <v>Field (General)</v>
      </c>
      <c r="Q442" s="5" t="str">
        <f ca="1">IFERROR(__xludf.DUMMYFUNCTION("""COMPUTED_VALUE"""),"Outside on School Property")</f>
        <v>Outside on School Property</v>
      </c>
      <c r="R442" s="5" t="str">
        <f ca="1">IFERROR(__xludf.DUMMYFUNCTION("""COMPUTED_VALUE"""),"Yes")</f>
        <v>Yes</v>
      </c>
      <c r="S442" s="5" t="str">
        <f ca="1">IFERROR(__xludf.DUMMYFUNCTION("""COMPUTED_VALUE"""),"Morning Classes")</f>
        <v>Morning Classes</v>
      </c>
      <c r="T442" s="5"/>
      <c r="U442" s="5">
        <f ca="1">IFERROR(__xludf.DUMMYFUNCTION("""COMPUTED_VALUE"""),1)</f>
        <v>1</v>
      </c>
      <c r="V442" s="5" t="str">
        <f ca="1">IFERROR(__xludf.DUMMYFUNCTION("""COMPUTED_VALUE"""),"Animal control officer fired personal handgun at animal on school property while school was in session")</f>
        <v>Animal control officer fired personal handgun at animal on school property while school was in session</v>
      </c>
      <c r="W442"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X442" s="5" t="str">
        <f ca="1">IFERROR(__xludf.DUMMYFUNCTION("""COMPUTED_VALUE"""),"Illegal Activity")</f>
        <v>Illegal Activity</v>
      </c>
      <c r="Y442" s="5" t="str">
        <f ca="1">IFERROR(__xludf.DUMMYFUNCTION("""COMPUTED_VALUE"""),"Neither")</f>
        <v>Neither</v>
      </c>
      <c r="Z442" s="5" t="str">
        <f ca="1">IFERROR(__xludf.DUMMYFUNCTION("""COMPUTED_VALUE"""),"No")</f>
        <v>No</v>
      </c>
      <c r="AA442" s="5"/>
      <c r="AB442" s="5" t="str">
        <f ca="1">IFERROR(__xludf.DUMMYFUNCTION("""COMPUTED_VALUE"""),"No")</f>
        <v>No</v>
      </c>
      <c r="AC442" s="5" t="str">
        <f ca="1">IFERROR(__xludf.DUMMYFUNCTION("""COMPUTED_VALUE"""),"No")</f>
        <v>No</v>
      </c>
      <c r="AD442" s="5" t="str">
        <f ca="1">IFERROR(__xludf.DUMMYFUNCTION("""COMPUTED_VALUE"""),"No")</f>
        <v>No</v>
      </c>
      <c r="AE442" s="5" t="str">
        <f ca="1">IFERROR(__xludf.DUMMYFUNCTION("""COMPUTED_VALUE"""),"No")</f>
        <v>No</v>
      </c>
      <c r="AF442" s="5" t="str">
        <f ca="1">IFERROR(__xludf.DUMMYFUNCTION("""COMPUTED_VALUE"""),"No")</f>
        <v>No</v>
      </c>
      <c r="AG442" s="5" t="str">
        <f ca="1">IFERROR(__xludf.DUMMYFUNCTION("""COMPUTED_VALUE"""),"No")</f>
        <v>No</v>
      </c>
      <c r="AH442" s="5" t="str">
        <f ca="1">IFERROR(__xludf.DUMMYFUNCTION("""COMPUTED_VALUE"""),"No")</f>
        <v>No</v>
      </c>
    </row>
    <row r="443" spans="1:34" ht="12.75">
      <c r="A443" s="5" t="str">
        <f ca="1">IFERROR(__xludf.DUMMYFUNCTION("""COMPUTED_VALUE"""),"20201229WAROS")</f>
        <v>20201229WAROS</v>
      </c>
      <c r="B443" s="8">
        <f ca="1">IFERROR(__xludf.DUMMYFUNCTION("""COMPUTED_VALUE"""),44194)</f>
        <v>44194</v>
      </c>
      <c r="C443" s="5" t="str">
        <f ca="1">IFERROR(__xludf.DUMMYFUNCTION("""COMPUTED_VALUE"""),"Rogers High School")</f>
        <v>Rogers High School</v>
      </c>
      <c r="D443" s="5">
        <f ca="1">IFERROR(__xludf.DUMMYFUNCTION("""COMPUTED_VALUE"""),0)</f>
        <v>0</v>
      </c>
      <c r="E443" s="5">
        <f ca="1">IFERROR(__xludf.DUMMYFUNCTION("""COMPUTED_VALUE"""),2)</f>
        <v>2</v>
      </c>
      <c r="F443" s="5">
        <f ca="1">IFERROR(__xludf.DUMMYFUNCTION("""COMPUTED_VALUE"""),2)</f>
        <v>2</v>
      </c>
      <c r="G443" s="5">
        <f ca="1">IFERROR(__xludf.DUMMYFUNCTION("""COMPUTED_VALUE"""),0)</f>
        <v>0</v>
      </c>
      <c r="H443"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I443" s="5">
        <f ca="1">IFERROR(__xludf.DUMMYFUNCTION("""COMPUTED_VALUE"""),2)</f>
        <v>2</v>
      </c>
      <c r="J443" s="5" t="str">
        <f ca="1">IFERROR(__xludf.DUMMYFUNCTION("""COMPUTED_VALUE"""),"Local")</f>
        <v>Local</v>
      </c>
      <c r="K443" s="5">
        <f ca="1">IFERROR(__xludf.DUMMYFUNCTION("""COMPUTED_VALUE"""),4)</f>
        <v>4</v>
      </c>
      <c r="L443" s="5" t="str">
        <f ca="1">IFERROR(__xludf.DUMMYFUNCTION("""COMPUTED_VALUE"""),"Winter")</f>
        <v>Winter</v>
      </c>
      <c r="M443" s="5" t="str">
        <f ca="1">IFERROR(__xludf.DUMMYFUNCTION("""COMPUTED_VALUE"""),"Spokane")</f>
        <v>Spokane</v>
      </c>
      <c r="N443" s="5" t="str">
        <f ca="1">IFERROR(__xludf.DUMMYFUNCTION("""COMPUTED_VALUE"""),"WA")</f>
        <v>WA</v>
      </c>
      <c r="O443" s="5" t="str">
        <f ca="1">IFERROR(__xludf.DUMMYFUNCTION("""COMPUTED_VALUE"""),"High")</f>
        <v>High</v>
      </c>
      <c r="P443" s="5" t="str">
        <f ca="1">IFERROR(__xludf.DUMMYFUNCTION("""COMPUTED_VALUE"""),"Parking Lot")</f>
        <v>Parking Lot</v>
      </c>
      <c r="Q443" s="5" t="str">
        <f ca="1">IFERROR(__xludf.DUMMYFUNCTION("""COMPUTED_VALUE"""),"Outside on School Property")</f>
        <v>Outside on School Property</v>
      </c>
      <c r="R443" s="5" t="str">
        <f ca="1">IFERROR(__xludf.DUMMYFUNCTION("""COMPUTED_VALUE"""),"No")</f>
        <v>No</v>
      </c>
      <c r="S443" s="5" t="str">
        <f ca="1">IFERROR(__xludf.DUMMYFUNCTION("""COMPUTED_VALUE"""),"Evening")</f>
        <v>Evening</v>
      </c>
      <c r="T443" s="10">
        <f ca="1">IFERROR(__xludf.DUMMYFUNCTION("""COMPUTED_VALUE"""),0.729166666666666)</f>
        <v>0.72916666666666596</v>
      </c>
      <c r="U443" s="5">
        <f ca="1">IFERROR(__xludf.DUMMYFUNCTION("""COMPUTED_VALUE"""),1)</f>
        <v>1</v>
      </c>
      <c r="V443" s="5" t="str">
        <f ca="1">IFERROR(__xludf.DUMMYFUNCTION("""COMPUTED_VALUE"""),"Two teens shot in school parking lot")</f>
        <v>Two teens shot in school parking lot</v>
      </c>
      <c r="W443"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X443" s="5" t="str">
        <f ca="1">IFERROR(__xludf.DUMMYFUNCTION("""COMPUTED_VALUE"""),"Escalation of Dispute")</f>
        <v>Escalation of Dispute</v>
      </c>
      <c r="Y443" s="5" t="str">
        <f ca="1">IFERROR(__xludf.DUMMYFUNCTION("""COMPUTED_VALUE"""),"Victims Targeted")</f>
        <v>Victims Targeted</v>
      </c>
      <c r="Z443" s="5"/>
      <c r="AA443" s="5"/>
      <c r="AB443" s="5" t="str">
        <f ca="1">IFERROR(__xludf.DUMMYFUNCTION("""COMPUTED_VALUE"""),"No")</f>
        <v>No</v>
      </c>
      <c r="AC443" s="5" t="str">
        <f ca="1">IFERROR(__xludf.DUMMYFUNCTION("""COMPUTED_VALUE"""),"No")</f>
        <v>No</v>
      </c>
      <c r="AD443" s="5" t="str">
        <f ca="1">IFERROR(__xludf.DUMMYFUNCTION("""COMPUTED_VALUE"""),"No")</f>
        <v>No</v>
      </c>
      <c r="AE443" s="5" t="str">
        <f ca="1">IFERROR(__xludf.DUMMYFUNCTION("""COMPUTED_VALUE"""),"No")</f>
        <v>No</v>
      </c>
      <c r="AF443" s="5" t="str">
        <f ca="1">IFERROR(__xludf.DUMMYFUNCTION("""COMPUTED_VALUE"""),"No")</f>
        <v>No</v>
      </c>
      <c r="AG443" s="5"/>
      <c r="AH443" s="5" t="str">
        <f ca="1">IFERROR(__xludf.DUMMYFUNCTION("""COMPUTED_VALUE"""),"No")</f>
        <v>No</v>
      </c>
    </row>
    <row r="444" spans="1:34" ht="12.75">
      <c r="A444" s="5" t="str">
        <f ca="1">IFERROR(__xludf.DUMMYFUNCTION("""COMPUTED_VALUE"""),"20201225FLYOP")</f>
        <v>20201225FLYOP</v>
      </c>
      <c r="B444" s="8">
        <f ca="1">IFERROR(__xludf.DUMMYFUNCTION("""COMPUTED_VALUE"""),44190)</f>
        <v>44190</v>
      </c>
      <c r="C444" s="5" t="str">
        <f ca="1">IFERROR(__xludf.DUMMYFUNCTION("""COMPUTED_VALUE"""),"Youth Under Construction Youth Center")</f>
        <v>Youth Under Construction Youth Center</v>
      </c>
      <c r="D444" s="5">
        <f ca="1">IFERROR(__xludf.DUMMYFUNCTION("""COMPUTED_VALUE"""),0)</f>
        <v>0</v>
      </c>
      <c r="E444" s="5">
        <f ca="1">IFERROR(__xludf.DUMMYFUNCTION("""COMPUTED_VALUE"""),0)</f>
        <v>0</v>
      </c>
      <c r="F444" s="5">
        <f ca="1">IFERROR(__xludf.DUMMYFUNCTION("""COMPUTED_VALUE"""),0)</f>
        <v>0</v>
      </c>
      <c r="G444" s="5">
        <f ca="1">IFERROR(__xludf.DUMMYFUNCTION("""COMPUTED_VALUE"""),0)</f>
        <v>0</v>
      </c>
      <c r="H444"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I444" s="5">
        <f ca="1">IFERROR(__xludf.DUMMYFUNCTION("""COMPUTED_VALUE"""),1)</f>
        <v>1</v>
      </c>
      <c r="J444" s="5" t="str">
        <f ca="1">IFERROR(__xludf.DUMMYFUNCTION("""COMPUTED_VALUE"""),"Local")</f>
        <v>Local</v>
      </c>
      <c r="K444" s="5">
        <f ca="1">IFERROR(__xludf.DUMMYFUNCTION("""COMPUTED_VALUE"""),4)</f>
        <v>4</v>
      </c>
      <c r="L444" s="5" t="str">
        <f ca="1">IFERROR(__xludf.DUMMYFUNCTION("""COMPUTED_VALUE"""),"Winter")</f>
        <v>Winter</v>
      </c>
      <c r="M444" s="5" t="str">
        <f ca="1">IFERROR(__xludf.DUMMYFUNCTION("""COMPUTED_VALUE"""),"Pompano Beach")</f>
        <v>Pompano Beach</v>
      </c>
      <c r="N444" s="5" t="str">
        <f ca="1">IFERROR(__xludf.DUMMYFUNCTION("""COMPUTED_VALUE"""),"FL")</f>
        <v>FL</v>
      </c>
      <c r="O444" s="5" t="str">
        <f ca="1">IFERROR(__xludf.DUMMYFUNCTION("""COMPUTED_VALUE"""),"High")</f>
        <v>High</v>
      </c>
      <c r="P444" s="5" t="str">
        <f ca="1">IFERROR(__xludf.DUMMYFUNCTION("""COMPUTED_VALUE"""),"Parking Lot")</f>
        <v>Parking Lot</v>
      </c>
      <c r="Q444" s="5" t="str">
        <f ca="1">IFERROR(__xludf.DUMMYFUNCTION("""COMPUTED_VALUE"""),"Outside on School Property")</f>
        <v>Outside on School Property</v>
      </c>
      <c r="R444" s="5" t="str">
        <f ca="1">IFERROR(__xludf.DUMMYFUNCTION("""COMPUTED_VALUE"""),"No")</f>
        <v>No</v>
      </c>
      <c r="S444" s="5" t="str">
        <f ca="1">IFERROR(__xludf.DUMMYFUNCTION("""COMPUTED_VALUE"""),"School Event")</f>
        <v>School Event</v>
      </c>
      <c r="T444" s="10">
        <f ca="1">IFERROR(__xludf.DUMMYFUNCTION("""COMPUTED_VALUE"""),0.958333333333333)</f>
        <v>0.95833333333333304</v>
      </c>
      <c r="U444" s="5">
        <f ca="1">IFERROR(__xludf.DUMMYFUNCTION("""COMPUTED_VALUE"""),1)</f>
        <v>1</v>
      </c>
      <c r="V444" s="5" t="str">
        <f ca="1">IFERROR(__xludf.DUMMYFUNCTION("""COMPUTED_VALUE"""),"Shots fired in the parking lot during school holiday party")</f>
        <v>Shots fired in the parking lot during school holiday party</v>
      </c>
      <c r="W444"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X444" s="5"/>
      <c r="Y444" s="5"/>
      <c r="Z444" s="5" t="str">
        <f ca="1">IFERROR(__xludf.DUMMYFUNCTION("""COMPUTED_VALUE"""),"No")</f>
        <v>No</v>
      </c>
      <c r="AA444" s="5"/>
      <c r="AB444" s="5" t="str">
        <f ca="1">IFERROR(__xludf.DUMMYFUNCTION("""COMPUTED_VALUE"""),"No")</f>
        <v>No</v>
      </c>
      <c r="AC444" s="5" t="str">
        <f ca="1">IFERROR(__xludf.DUMMYFUNCTION("""COMPUTED_VALUE"""),"No")</f>
        <v>No</v>
      </c>
      <c r="AD444" s="5" t="str">
        <f ca="1">IFERROR(__xludf.DUMMYFUNCTION("""COMPUTED_VALUE"""),"No")</f>
        <v>No</v>
      </c>
      <c r="AE444" s="5"/>
      <c r="AF444" s="5" t="str">
        <f ca="1">IFERROR(__xludf.DUMMYFUNCTION("""COMPUTED_VALUE"""),"No")</f>
        <v>No</v>
      </c>
      <c r="AG444" s="5"/>
      <c r="AH444" s="5" t="str">
        <f ca="1">IFERROR(__xludf.DUMMYFUNCTION("""COMPUTED_VALUE"""),"No")</f>
        <v>No</v>
      </c>
    </row>
    <row r="445" spans="1:34" ht="12.75">
      <c r="A445" s="5" t="str">
        <f ca="1">IFERROR(__xludf.DUMMYFUNCTION("""COMPUTED_VALUE"""),"20201216ILDUC")</f>
        <v>20201216ILDUC</v>
      </c>
      <c r="B445" s="8">
        <f ca="1">IFERROR(__xludf.DUMMYFUNCTION("""COMPUTED_VALUE"""),44181)</f>
        <v>44181</v>
      </c>
      <c r="C445" s="5" t="str">
        <f ca="1">IFERROR(__xludf.DUMMYFUNCTION("""COMPUTED_VALUE"""),"Dubois Elementary School")</f>
        <v>Dubois Elementary School</v>
      </c>
      <c r="D445" s="5">
        <f ca="1">IFERROR(__xludf.DUMMYFUNCTION("""COMPUTED_VALUE"""),1)</f>
        <v>1</v>
      </c>
      <c r="E445" s="5">
        <f ca="1">IFERROR(__xludf.DUMMYFUNCTION("""COMPUTED_VALUE"""),0)</f>
        <v>0</v>
      </c>
      <c r="F445" s="5">
        <f ca="1">IFERROR(__xludf.DUMMYFUNCTION("""COMPUTED_VALUE"""),1)</f>
        <v>1</v>
      </c>
      <c r="G445" s="5">
        <f ca="1">IFERROR(__xludf.DUMMYFUNCTION("""COMPUTED_VALUE"""),0)</f>
        <v>0</v>
      </c>
      <c r="H445"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I445" s="5">
        <f ca="1">IFERROR(__xludf.DUMMYFUNCTION("""COMPUTED_VALUE"""),4)</f>
        <v>4</v>
      </c>
      <c r="J445" s="5" t="str">
        <f ca="1">IFERROR(__xludf.DUMMYFUNCTION("""COMPUTED_VALUE"""),"Local")</f>
        <v>Local</v>
      </c>
      <c r="K445" s="5">
        <f ca="1">IFERROR(__xludf.DUMMYFUNCTION("""COMPUTED_VALUE"""),4)</f>
        <v>4</v>
      </c>
      <c r="L445" s="5" t="str">
        <f ca="1">IFERROR(__xludf.DUMMYFUNCTION("""COMPUTED_VALUE"""),"Winter")</f>
        <v>Winter</v>
      </c>
      <c r="M445" s="5" t="str">
        <f ca="1">IFERROR(__xludf.DUMMYFUNCTION("""COMPUTED_VALUE"""),"Chicago")</f>
        <v>Chicago</v>
      </c>
      <c r="N445" s="5" t="str">
        <f ca="1">IFERROR(__xludf.DUMMYFUNCTION("""COMPUTED_VALUE"""),"IL")</f>
        <v>IL</v>
      </c>
      <c r="O445" s="5" t="str">
        <f ca="1">IFERROR(__xludf.DUMMYFUNCTION("""COMPUTED_VALUE"""),"Elementary")</f>
        <v>Elementary</v>
      </c>
      <c r="P445" s="5" t="str">
        <f ca="1">IFERROR(__xludf.DUMMYFUNCTION("""COMPUTED_VALUE"""),"Parking Lot")</f>
        <v>Parking Lot</v>
      </c>
      <c r="Q445" s="5" t="str">
        <f ca="1">IFERROR(__xludf.DUMMYFUNCTION("""COMPUTED_VALUE"""),"Outside on School Property")</f>
        <v>Outside on School Property</v>
      </c>
      <c r="R445" s="5" t="str">
        <f ca="1">IFERROR(__xludf.DUMMYFUNCTION("""COMPUTED_VALUE"""),"No")</f>
        <v>No</v>
      </c>
      <c r="S445" s="5" t="str">
        <f ca="1">IFERROR(__xludf.DUMMYFUNCTION("""COMPUTED_VALUE"""),"Night")</f>
        <v>Night</v>
      </c>
      <c r="T445" s="10">
        <f ca="1">IFERROR(__xludf.DUMMYFUNCTION("""COMPUTED_VALUE"""),0.979166666666666)</f>
        <v>0.97916666666666596</v>
      </c>
      <c r="U445" s="5">
        <f ca="1">IFERROR(__xludf.DUMMYFUNCTION("""COMPUTED_VALUE"""),1)</f>
        <v>1</v>
      </c>
      <c r="V445" s="5" t="str">
        <f ca="1">IFERROR(__xludf.DUMMYFUNCTION("""COMPUTED_VALUE"""),"Man fatally shot in parking lot of school")</f>
        <v>Man fatally shot in parking lot of school</v>
      </c>
      <c r="W445"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X445" s="5"/>
      <c r="Y445" s="5" t="str">
        <f ca="1">IFERROR(__xludf.DUMMYFUNCTION("""COMPUTED_VALUE"""),"Victims Targeted")</f>
        <v>Victims Targeted</v>
      </c>
      <c r="Z445" s="5"/>
      <c r="AA445" s="5"/>
      <c r="AB445" s="5" t="str">
        <f ca="1">IFERROR(__xludf.DUMMYFUNCTION("""COMPUTED_VALUE"""),"No")</f>
        <v>No</v>
      </c>
      <c r="AC445" s="5" t="str">
        <f ca="1">IFERROR(__xludf.DUMMYFUNCTION("""COMPUTED_VALUE"""),"No")</f>
        <v>No</v>
      </c>
      <c r="AD445" s="5" t="str">
        <f ca="1">IFERROR(__xludf.DUMMYFUNCTION("""COMPUTED_VALUE"""),"No")</f>
        <v>No</v>
      </c>
      <c r="AE445" s="5" t="str">
        <f ca="1">IFERROR(__xludf.DUMMYFUNCTION("""COMPUTED_VALUE"""),"No")</f>
        <v>No</v>
      </c>
      <c r="AF445" s="5" t="str">
        <f ca="1">IFERROR(__xludf.DUMMYFUNCTION("""COMPUTED_VALUE"""),"No")</f>
        <v>No</v>
      </c>
      <c r="AG445" s="5"/>
      <c r="AH445" s="5" t="str">
        <f ca="1">IFERROR(__xludf.DUMMYFUNCTION("""COMPUTED_VALUE"""),"No")</f>
        <v>No</v>
      </c>
    </row>
    <row r="446" spans="1:34" ht="12.75">
      <c r="A446" s="5" t="str">
        <f ca="1">IFERROR(__xludf.DUMMYFUNCTION("""COMPUTED_VALUE"""),"20201211VATAY")</f>
        <v>20201211VATAY</v>
      </c>
      <c r="B446" s="8">
        <f ca="1">IFERROR(__xludf.DUMMYFUNCTION("""COMPUTED_VALUE"""),44176)</f>
        <v>44176</v>
      </c>
      <c r="C446" s="5" t="str">
        <f ca="1">IFERROR(__xludf.DUMMYFUNCTION("""COMPUTED_VALUE"""),"Tabb Middle School")</f>
        <v>Tabb Middle School</v>
      </c>
      <c r="D446" s="5">
        <f ca="1">IFERROR(__xludf.DUMMYFUNCTION("""COMPUTED_VALUE"""),0)</f>
        <v>0</v>
      </c>
      <c r="E446" s="5">
        <f ca="1">IFERROR(__xludf.DUMMYFUNCTION("""COMPUTED_VALUE"""),0)</f>
        <v>0</v>
      </c>
      <c r="F446" s="5">
        <f ca="1">IFERROR(__xludf.DUMMYFUNCTION("""COMPUTED_VALUE"""),0)</f>
        <v>0</v>
      </c>
      <c r="G446" s="5">
        <f ca="1">IFERROR(__xludf.DUMMYFUNCTION("""COMPUTED_VALUE"""),0)</f>
        <v>0</v>
      </c>
      <c r="H446"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I446" s="5">
        <f ca="1">IFERROR(__xludf.DUMMYFUNCTION("""COMPUTED_VALUE"""),2)</f>
        <v>2</v>
      </c>
      <c r="J446" s="5" t="str">
        <f ca="1">IFERROR(__xludf.DUMMYFUNCTION("""COMPUTED_VALUE"""),"Local")</f>
        <v>Local</v>
      </c>
      <c r="K446" s="5">
        <f ca="1">IFERROR(__xludf.DUMMYFUNCTION("""COMPUTED_VALUE"""),3)</f>
        <v>3</v>
      </c>
      <c r="L446" s="5" t="str">
        <f ca="1">IFERROR(__xludf.DUMMYFUNCTION("""COMPUTED_VALUE"""),"Winter")</f>
        <v>Winter</v>
      </c>
      <c r="M446" s="5" t="str">
        <f ca="1">IFERROR(__xludf.DUMMYFUNCTION("""COMPUTED_VALUE"""),"Yorktown")</f>
        <v>Yorktown</v>
      </c>
      <c r="N446" s="5" t="str">
        <f ca="1">IFERROR(__xludf.DUMMYFUNCTION("""COMPUTED_VALUE"""),"VA")</f>
        <v>VA</v>
      </c>
      <c r="O446" s="5" t="str">
        <f ca="1">IFERROR(__xludf.DUMMYFUNCTION("""COMPUTED_VALUE"""),"Middle")</f>
        <v>Middle</v>
      </c>
      <c r="P446" s="5" t="str">
        <f ca="1">IFERROR(__xludf.DUMMYFUNCTION("""COMPUTED_VALUE"""),"Basketball Court")</f>
        <v>Basketball Court</v>
      </c>
      <c r="Q446" s="5" t="str">
        <f ca="1">IFERROR(__xludf.DUMMYFUNCTION("""COMPUTED_VALUE"""),"Outside on School Property")</f>
        <v>Outside on School Property</v>
      </c>
      <c r="R446" s="5" t="str">
        <f ca="1">IFERROR(__xludf.DUMMYFUNCTION("""COMPUTED_VALUE"""),"No")</f>
        <v>No</v>
      </c>
      <c r="S446" s="5" t="str">
        <f ca="1">IFERROR(__xludf.DUMMYFUNCTION("""COMPUTED_VALUE"""),"Evening")</f>
        <v>Evening</v>
      </c>
      <c r="T446" s="10">
        <f ca="1">IFERROR(__xludf.DUMMYFUNCTION("""COMPUTED_VALUE"""),0.693055555555555)</f>
        <v>0.69305555555555498</v>
      </c>
      <c r="U446" s="5">
        <f ca="1">IFERROR(__xludf.DUMMYFUNCTION("""COMPUTED_VALUE"""),1)</f>
        <v>1</v>
      </c>
      <c r="V446" s="5" t="str">
        <f ca="1">IFERROR(__xludf.DUMMYFUNCTION("""COMPUTED_VALUE"""),"Shooting on school basketball court")</f>
        <v>Shooting on school basketball court</v>
      </c>
      <c r="W446"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X446" s="5"/>
      <c r="Y446" s="5"/>
      <c r="Z446" s="5"/>
      <c r="AA446" s="5"/>
      <c r="AB446" s="5" t="str">
        <f ca="1">IFERROR(__xludf.DUMMYFUNCTION("""COMPUTED_VALUE"""),"No")</f>
        <v>No</v>
      </c>
      <c r="AC446" s="5" t="str">
        <f ca="1">IFERROR(__xludf.DUMMYFUNCTION("""COMPUTED_VALUE"""),"No")</f>
        <v>No</v>
      </c>
      <c r="AD446" s="5" t="str">
        <f ca="1">IFERROR(__xludf.DUMMYFUNCTION("""COMPUTED_VALUE"""),"No")</f>
        <v>No</v>
      </c>
      <c r="AE446" s="5" t="str">
        <f ca="1">IFERROR(__xludf.DUMMYFUNCTION("""COMPUTED_VALUE"""),"No")</f>
        <v>No</v>
      </c>
      <c r="AF446" s="5" t="str">
        <f ca="1">IFERROR(__xludf.DUMMYFUNCTION("""COMPUTED_VALUE"""),"No")</f>
        <v>No</v>
      </c>
      <c r="AG446" s="5"/>
      <c r="AH446" s="5" t="str">
        <f ca="1">IFERROR(__xludf.DUMMYFUNCTION("""COMPUTED_VALUE"""),"No")</f>
        <v>No</v>
      </c>
    </row>
    <row r="447" spans="1:34" ht="12.75">
      <c r="A447" s="5" t="str">
        <f ca="1">IFERROR(__xludf.DUMMYFUNCTION("""COMPUTED_VALUE"""),"20201207ILEAC")</f>
        <v>20201207ILEAC</v>
      </c>
      <c r="B447" s="8">
        <f ca="1">IFERROR(__xludf.DUMMYFUNCTION("""COMPUTED_VALUE"""),44171)</f>
        <v>44171</v>
      </c>
      <c r="C447" s="5" t="str">
        <f ca="1">IFERROR(__xludf.DUMMYFUNCTION("""COMPUTED_VALUE"""),"East Chicago Academy of Visual and Performing Arts")</f>
        <v>East Chicago Academy of Visual and Performing Arts</v>
      </c>
      <c r="D447" s="5">
        <f ca="1">IFERROR(__xludf.DUMMYFUNCTION("""COMPUTED_VALUE"""),1)</f>
        <v>1</v>
      </c>
      <c r="E447" s="5">
        <f ca="1">IFERROR(__xludf.DUMMYFUNCTION("""COMPUTED_VALUE"""),0)</f>
        <v>0</v>
      </c>
      <c r="F447" s="5">
        <f ca="1">IFERROR(__xludf.DUMMYFUNCTION("""COMPUTED_VALUE"""),1)</f>
        <v>1</v>
      </c>
      <c r="G447" s="5">
        <f ca="1">IFERROR(__xludf.DUMMYFUNCTION("""COMPUTED_VALUE"""),0)</f>
        <v>0</v>
      </c>
      <c r="H447"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I447" s="5">
        <f ca="1">IFERROR(__xludf.DUMMYFUNCTION("""COMPUTED_VALUE"""),2)</f>
        <v>2</v>
      </c>
      <c r="J447" s="5" t="str">
        <f ca="1">IFERROR(__xludf.DUMMYFUNCTION("""COMPUTED_VALUE"""),"Local")</f>
        <v>Local</v>
      </c>
      <c r="K447" s="5">
        <f ca="1">IFERROR(__xludf.DUMMYFUNCTION("""COMPUTED_VALUE"""),3)</f>
        <v>3</v>
      </c>
      <c r="L447" s="5" t="str">
        <f ca="1">IFERROR(__xludf.DUMMYFUNCTION("""COMPUTED_VALUE"""),"Winter")</f>
        <v>Winter</v>
      </c>
      <c r="M447" s="5" t="str">
        <f ca="1">IFERROR(__xludf.DUMMYFUNCTION("""COMPUTED_VALUE"""),"Chicago")</f>
        <v>Chicago</v>
      </c>
      <c r="N447" s="5" t="str">
        <f ca="1">IFERROR(__xludf.DUMMYFUNCTION("""COMPUTED_VALUE"""),"IL")</f>
        <v>IL</v>
      </c>
      <c r="O447" s="5" t="str">
        <f ca="1">IFERROR(__xludf.DUMMYFUNCTION("""COMPUTED_VALUE"""),"High")</f>
        <v>High</v>
      </c>
      <c r="P447" s="5" t="str">
        <f ca="1">IFERROR(__xludf.DUMMYFUNCTION("""COMPUTED_VALUE"""),"Front of School")</f>
        <v>Front of School</v>
      </c>
      <c r="Q447" s="5" t="str">
        <f ca="1">IFERROR(__xludf.DUMMYFUNCTION("""COMPUTED_VALUE"""),"Outside on School Property")</f>
        <v>Outside on School Property</v>
      </c>
      <c r="R447" s="5" t="str">
        <f ca="1">IFERROR(__xludf.DUMMYFUNCTION("""COMPUTED_VALUE"""),"No")</f>
        <v>No</v>
      </c>
      <c r="S447" s="5" t="str">
        <f ca="1">IFERROR(__xludf.DUMMYFUNCTION("""COMPUTED_VALUE"""),"Night")</f>
        <v>Night</v>
      </c>
      <c r="T447" s="5"/>
      <c r="U447" s="5">
        <f ca="1">IFERROR(__xludf.DUMMYFUNCTION("""COMPUTED_VALUE"""),1)</f>
        <v>1</v>
      </c>
      <c r="V447" s="5" t="str">
        <f ca="1">IFERROR(__xludf.DUMMYFUNCTION("""COMPUTED_VALUE"""),"Man found dead in front of school from gunshot wound")</f>
        <v>Man found dead in front of school from gunshot wound</v>
      </c>
      <c r="W447"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X447" s="5"/>
      <c r="Y447" s="5"/>
      <c r="Z447" s="5"/>
      <c r="AA447" s="5"/>
      <c r="AB447" s="5" t="str">
        <f ca="1">IFERROR(__xludf.DUMMYFUNCTION("""COMPUTED_VALUE"""),"No")</f>
        <v>No</v>
      </c>
      <c r="AC447" s="5" t="str">
        <f ca="1">IFERROR(__xludf.DUMMYFUNCTION("""COMPUTED_VALUE"""),"No")</f>
        <v>No</v>
      </c>
      <c r="AD447" s="5"/>
      <c r="AE447" s="5" t="str">
        <f ca="1">IFERROR(__xludf.DUMMYFUNCTION("""COMPUTED_VALUE"""),"No")</f>
        <v>No</v>
      </c>
      <c r="AF447" s="5" t="str">
        <f ca="1">IFERROR(__xludf.DUMMYFUNCTION("""COMPUTED_VALUE"""),"No")</f>
        <v>No</v>
      </c>
      <c r="AG447" s="5"/>
      <c r="AH447" s="5" t="str">
        <f ca="1">IFERROR(__xludf.DUMMYFUNCTION("""COMPUTED_VALUE"""),"No")</f>
        <v>No</v>
      </c>
    </row>
    <row r="448" spans="1:34" ht="12.75">
      <c r="A448" s="5" t="str">
        <f ca="1">IFERROR(__xludf.DUMMYFUNCTION("""COMPUTED_VALUE"""),"20201125KSABG")</f>
        <v>20201125KSABG</v>
      </c>
      <c r="B448" s="8">
        <f ca="1">IFERROR(__xludf.DUMMYFUNCTION("""COMPUTED_VALUE"""),44160)</f>
        <v>44160</v>
      </c>
      <c r="C448" s="5" t="str">
        <f ca="1">IFERROR(__xludf.DUMMYFUNCTION("""COMPUTED_VALUE"""),"Abe Hubert Elementary School")</f>
        <v>Abe Hubert Elementary School</v>
      </c>
      <c r="D448" s="5">
        <f ca="1">IFERROR(__xludf.DUMMYFUNCTION("""COMPUTED_VALUE"""),0)</f>
        <v>0</v>
      </c>
      <c r="E448" s="5">
        <f ca="1">IFERROR(__xludf.DUMMYFUNCTION("""COMPUTED_VALUE"""),1)</f>
        <v>1</v>
      </c>
      <c r="F448" s="5">
        <f ca="1">IFERROR(__xludf.DUMMYFUNCTION("""COMPUTED_VALUE"""),1)</f>
        <v>1</v>
      </c>
      <c r="G448" s="5">
        <f ca="1">IFERROR(__xludf.DUMMYFUNCTION("""COMPUTED_VALUE"""),0)</f>
        <v>0</v>
      </c>
      <c r="H448"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I448" s="5">
        <f ca="1">IFERROR(__xludf.DUMMYFUNCTION("""COMPUTED_VALUE"""),6)</f>
        <v>6</v>
      </c>
      <c r="J448" s="5" t="str">
        <f ca="1">IFERROR(__xludf.DUMMYFUNCTION("""COMPUTED_VALUE"""),"Local")</f>
        <v>Local</v>
      </c>
      <c r="K448" s="5">
        <f ca="1">IFERROR(__xludf.DUMMYFUNCTION("""COMPUTED_VALUE"""),4)</f>
        <v>4</v>
      </c>
      <c r="L448" s="5" t="str">
        <f ca="1">IFERROR(__xludf.DUMMYFUNCTION("""COMPUTED_VALUE"""),"Fall")</f>
        <v>Fall</v>
      </c>
      <c r="M448" s="5" t="str">
        <f ca="1">IFERROR(__xludf.DUMMYFUNCTION("""COMPUTED_VALUE"""),"Garden City")</f>
        <v>Garden City</v>
      </c>
      <c r="N448" s="5" t="str">
        <f ca="1">IFERROR(__xludf.DUMMYFUNCTION("""COMPUTED_VALUE"""),"KS")</f>
        <v>KS</v>
      </c>
      <c r="O448" s="5" t="str">
        <f ca="1">IFERROR(__xludf.DUMMYFUNCTION("""COMPUTED_VALUE"""),"Elementary")</f>
        <v>Elementary</v>
      </c>
      <c r="P448" s="5" t="str">
        <f ca="1">IFERROR(__xludf.DUMMYFUNCTION("""COMPUTED_VALUE"""),"Parking Lot")</f>
        <v>Parking Lot</v>
      </c>
      <c r="Q448" s="5" t="str">
        <f ca="1">IFERROR(__xludf.DUMMYFUNCTION("""COMPUTED_VALUE"""),"Outside on School Property")</f>
        <v>Outside on School Property</v>
      </c>
      <c r="R448" s="5" t="str">
        <f ca="1">IFERROR(__xludf.DUMMYFUNCTION("""COMPUTED_VALUE"""),"No")</f>
        <v>No</v>
      </c>
      <c r="S448" s="5" t="str">
        <f ca="1">IFERROR(__xludf.DUMMYFUNCTION("""COMPUTED_VALUE"""),"Not a School Day")</f>
        <v>Not a School Day</v>
      </c>
      <c r="T448" s="10">
        <f ca="1">IFERROR(__xludf.DUMMYFUNCTION("""COMPUTED_VALUE"""),0.53125)</f>
        <v>0.53125</v>
      </c>
      <c r="U448" s="5">
        <f ca="1">IFERROR(__xludf.DUMMYFUNCTION("""COMPUTED_VALUE"""),1)</f>
        <v>1</v>
      </c>
      <c r="V448" s="5" t="str">
        <f ca="1">IFERROR(__xludf.DUMMYFUNCTION("""COMPUTED_VALUE"""),"Teen shot in parking lot of school")</f>
        <v>Teen shot in parking lot of school</v>
      </c>
      <c r="W448"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X448" s="5" t="str">
        <f ca="1">IFERROR(__xludf.DUMMYFUNCTION("""COMPUTED_VALUE"""),"Domestic w/ Targeted Victim")</f>
        <v>Domestic w/ Targeted Victim</v>
      </c>
      <c r="Y448" s="5" t="str">
        <f ca="1">IFERROR(__xludf.DUMMYFUNCTION("""COMPUTED_VALUE"""),"Victims Targeted")</f>
        <v>Victims Targeted</v>
      </c>
      <c r="Z448" s="5" t="str">
        <f ca="1">IFERROR(__xludf.DUMMYFUNCTION("""COMPUTED_VALUE"""),"No")</f>
        <v>No</v>
      </c>
      <c r="AA448" s="5"/>
      <c r="AB448" s="5" t="str">
        <f ca="1">IFERROR(__xludf.DUMMYFUNCTION("""COMPUTED_VALUE"""),"No")</f>
        <v>No</v>
      </c>
      <c r="AC448" s="5" t="str">
        <f ca="1">IFERROR(__xludf.DUMMYFUNCTION("""COMPUTED_VALUE"""),"No")</f>
        <v>No</v>
      </c>
      <c r="AD448" s="5" t="str">
        <f ca="1">IFERROR(__xludf.DUMMYFUNCTION("""COMPUTED_VALUE"""),"No")</f>
        <v>No</v>
      </c>
      <c r="AE448" s="5" t="str">
        <f ca="1">IFERROR(__xludf.DUMMYFUNCTION("""COMPUTED_VALUE"""),"No")</f>
        <v>No</v>
      </c>
      <c r="AF448" s="5" t="str">
        <f ca="1">IFERROR(__xludf.DUMMYFUNCTION("""COMPUTED_VALUE"""),"Yes")</f>
        <v>Yes</v>
      </c>
      <c r="AG448" s="5" t="str">
        <f ca="1">IFERROR(__xludf.DUMMYFUNCTION("""COMPUTED_VALUE"""),"No")</f>
        <v>No</v>
      </c>
      <c r="AH448" s="5" t="str">
        <f ca="1">IFERROR(__xludf.DUMMYFUNCTION("""COMPUTED_VALUE"""),"No")</f>
        <v>No</v>
      </c>
    </row>
    <row r="449" spans="1:34" ht="12.75">
      <c r="A449" s="5" t="str">
        <f ca="1">IFERROR(__xludf.DUMMYFUNCTION("""COMPUTED_VALUE"""),"20201124NCHEH")</f>
        <v>20201124NCHEH</v>
      </c>
      <c r="B449" s="8">
        <f ca="1">IFERROR(__xludf.DUMMYFUNCTION("""COMPUTED_VALUE"""),44160)</f>
        <v>44160</v>
      </c>
      <c r="C449" s="5" t="str">
        <f ca="1">IFERROR(__xludf.DUMMYFUNCTION("""COMPUTED_VALUE"""),"Hendersonville Middle School")</f>
        <v>Hendersonville Middle School</v>
      </c>
      <c r="D449" s="5">
        <f ca="1">IFERROR(__xludf.DUMMYFUNCTION("""COMPUTED_VALUE"""),0)</f>
        <v>0</v>
      </c>
      <c r="E449" s="5">
        <f ca="1">IFERROR(__xludf.DUMMYFUNCTION("""COMPUTED_VALUE"""),1)</f>
        <v>1</v>
      </c>
      <c r="F449" s="5">
        <f ca="1">IFERROR(__xludf.DUMMYFUNCTION("""COMPUTED_VALUE"""),1)</f>
        <v>1</v>
      </c>
      <c r="G449" s="5">
        <f ca="1">IFERROR(__xludf.DUMMYFUNCTION("""COMPUTED_VALUE"""),0)</f>
        <v>0</v>
      </c>
      <c r="H449"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I449" s="5">
        <f ca="1">IFERROR(__xludf.DUMMYFUNCTION("""COMPUTED_VALUE"""),10)</f>
        <v>10</v>
      </c>
      <c r="J449" s="5" t="str">
        <f ca="1">IFERROR(__xludf.DUMMYFUNCTION("""COMPUTED_VALUE"""),"Regional")</f>
        <v>Regional</v>
      </c>
      <c r="K449" s="5">
        <f ca="1">IFERROR(__xludf.DUMMYFUNCTION("""COMPUTED_VALUE"""),4)</f>
        <v>4</v>
      </c>
      <c r="L449" s="5" t="str">
        <f ca="1">IFERROR(__xludf.DUMMYFUNCTION("""COMPUTED_VALUE"""),"Fall")</f>
        <v>Fall</v>
      </c>
      <c r="M449" s="5" t="str">
        <f ca="1">IFERROR(__xludf.DUMMYFUNCTION("""COMPUTED_VALUE"""),"Hendersonville")</f>
        <v>Hendersonville</v>
      </c>
      <c r="N449" s="5" t="str">
        <f ca="1">IFERROR(__xludf.DUMMYFUNCTION("""COMPUTED_VALUE"""),"NC")</f>
        <v>NC</v>
      </c>
      <c r="O449" s="5" t="str">
        <f ca="1">IFERROR(__xludf.DUMMYFUNCTION("""COMPUTED_VALUE"""),"Middle")</f>
        <v>Middle</v>
      </c>
      <c r="P449" s="5" t="str">
        <f ca="1">IFERROR(__xludf.DUMMYFUNCTION("""COMPUTED_VALUE"""),"Gym")</f>
        <v>Gym</v>
      </c>
      <c r="Q449" s="5" t="str">
        <f ca="1">IFERROR(__xludf.DUMMYFUNCTION("""COMPUTED_VALUE"""),"Inside School Building")</f>
        <v>Inside School Building</v>
      </c>
      <c r="R449" s="5" t="str">
        <f ca="1">IFERROR(__xludf.DUMMYFUNCTION("""COMPUTED_VALUE"""),"Yes")</f>
        <v>Yes</v>
      </c>
      <c r="S449" s="5" t="str">
        <f ca="1">IFERROR(__xludf.DUMMYFUNCTION("""COMPUTED_VALUE"""),"Morning Classes")</f>
        <v>Morning Classes</v>
      </c>
      <c r="T449" s="10">
        <f ca="1">IFERROR(__xludf.DUMMYFUNCTION("""COMPUTED_VALUE"""),0.322916666666666)</f>
        <v>0.32291666666666602</v>
      </c>
      <c r="U449" s="5">
        <f ca="1">IFERROR(__xludf.DUMMYFUNCTION("""COMPUTED_VALUE"""),1)</f>
        <v>1</v>
      </c>
      <c r="V449" s="5" t="str">
        <f ca="1">IFERROR(__xludf.DUMMYFUNCTION("""COMPUTED_VALUE"""),"Student fired single shot at another student in the school gym")</f>
        <v>Student fired single shot at another student in the school gym</v>
      </c>
      <c r="W449"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X449" s="5"/>
      <c r="Y449" s="5" t="str">
        <f ca="1">IFERROR(__xludf.DUMMYFUNCTION("""COMPUTED_VALUE"""),"Victims Targeted")</f>
        <v>Victims Targeted</v>
      </c>
      <c r="Z449" s="5" t="str">
        <f ca="1">IFERROR(__xludf.DUMMYFUNCTION("""COMPUTED_VALUE"""),"No")</f>
        <v>No</v>
      </c>
      <c r="AA449" s="5"/>
      <c r="AB449" s="5" t="str">
        <f ca="1">IFERROR(__xludf.DUMMYFUNCTION("""COMPUTED_VALUE"""),"No")</f>
        <v>No</v>
      </c>
      <c r="AC449" s="5" t="str">
        <f ca="1">IFERROR(__xludf.DUMMYFUNCTION("""COMPUTED_VALUE"""),"No")</f>
        <v>No</v>
      </c>
      <c r="AD449" s="5" t="str">
        <f ca="1">IFERROR(__xludf.DUMMYFUNCTION("""COMPUTED_VALUE"""),"No")</f>
        <v>No</v>
      </c>
      <c r="AE449" s="5"/>
      <c r="AF449" s="5"/>
      <c r="AG449" s="5" t="str">
        <f ca="1">IFERROR(__xludf.DUMMYFUNCTION("""COMPUTED_VALUE"""),"No")</f>
        <v>No</v>
      </c>
      <c r="AH449" s="5" t="str">
        <f ca="1">IFERROR(__xludf.DUMMYFUNCTION("""COMPUTED_VALUE"""),"No")</f>
        <v>No</v>
      </c>
    </row>
    <row r="450" spans="1:34" ht="12.75">
      <c r="A450" s="5" t="str">
        <f ca="1">IFERROR(__xludf.DUMMYFUNCTION("""COMPUTED_VALUE"""),"20201117TXWEW")</f>
        <v>20201117TXWEW</v>
      </c>
      <c r="B450" s="8">
        <f ca="1">IFERROR(__xludf.DUMMYFUNCTION("""COMPUTED_VALUE"""),44152)</f>
        <v>44152</v>
      </c>
      <c r="C450" s="5" t="str">
        <f ca="1">IFERROR(__xludf.DUMMYFUNCTION("""COMPUTED_VALUE"""),"Weatherford High School")</f>
        <v>Weatherford High School</v>
      </c>
      <c r="D450" s="5">
        <f ca="1">IFERROR(__xludf.DUMMYFUNCTION("""COMPUTED_VALUE"""),0)</f>
        <v>0</v>
      </c>
      <c r="E450" s="5">
        <f ca="1">IFERROR(__xludf.DUMMYFUNCTION("""COMPUTED_VALUE"""),0)</f>
        <v>0</v>
      </c>
      <c r="F450" s="5">
        <f ca="1">IFERROR(__xludf.DUMMYFUNCTION("""COMPUTED_VALUE"""),0)</f>
        <v>0</v>
      </c>
      <c r="G450" s="5">
        <f ca="1">IFERROR(__xludf.DUMMYFUNCTION("""COMPUTED_VALUE"""),0)</f>
        <v>0</v>
      </c>
      <c r="H450"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I450" s="5">
        <f ca="1">IFERROR(__xludf.DUMMYFUNCTION("""COMPUTED_VALUE"""),3)</f>
        <v>3</v>
      </c>
      <c r="J450" s="5" t="str">
        <f ca="1">IFERROR(__xludf.DUMMYFUNCTION("""COMPUTED_VALUE"""),"Regional")</f>
        <v>Regional</v>
      </c>
      <c r="K450" s="5">
        <f ca="1">IFERROR(__xludf.DUMMYFUNCTION("""COMPUTED_VALUE"""),4)</f>
        <v>4</v>
      </c>
      <c r="L450" s="5" t="str">
        <f ca="1">IFERROR(__xludf.DUMMYFUNCTION("""COMPUTED_VALUE"""),"Fall")</f>
        <v>Fall</v>
      </c>
      <c r="M450" s="5" t="str">
        <f ca="1">IFERROR(__xludf.DUMMYFUNCTION("""COMPUTED_VALUE"""),"Weatherford")</f>
        <v>Weatherford</v>
      </c>
      <c r="N450" s="5" t="str">
        <f ca="1">IFERROR(__xludf.DUMMYFUNCTION("""COMPUTED_VALUE"""),"TX")</f>
        <v>TX</v>
      </c>
      <c r="O450" s="5" t="str">
        <f ca="1">IFERROR(__xludf.DUMMYFUNCTION("""COMPUTED_VALUE"""),"High")</f>
        <v>High</v>
      </c>
      <c r="P450" s="5" t="str">
        <f ca="1">IFERROR(__xludf.DUMMYFUNCTION("""COMPUTED_VALUE"""),"Beside Building")</f>
        <v>Beside Building</v>
      </c>
      <c r="Q450" s="5" t="str">
        <f ca="1">IFERROR(__xludf.DUMMYFUNCTION("""COMPUTED_VALUE"""),"Outside on School Property")</f>
        <v>Outside on School Property</v>
      </c>
      <c r="R450" s="5" t="str">
        <f ca="1">IFERROR(__xludf.DUMMYFUNCTION("""COMPUTED_VALUE"""),"Yes")</f>
        <v>Yes</v>
      </c>
      <c r="S450" s="5" t="str">
        <f ca="1">IFERROR(__xludf.DUMMYFUNCTION("""COMPUTED_VALUE"""),"Afternoon Classes")</f>
        <v>Afternoon Classes</v>
      </c>
      <c r="T450" s="10">
        <f ca="1">IFERROR(__xludf.DUMMYFUNCTION("""COMPUTED_VALUE"""),0.583333333333333)</f>
        <v>0.58333333333333304</v>
      </c>
      <c r="U450" s="5"/>
      <c r="V450" s="5" t="str">
        <f ca="1">IFERROR(__xludf.DUMMYFUNCTION("""COMPUTED_VALUE"""),"Teen with handgun shot himself when confronted by police")</f>
        <v>Teen with handgun shot himself when confronted by police</v>
      </c>
      <c r="W450"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X450" s="5" t="str">
        <f ca="1">IFERROR(__xludf.DUMMYFUNCTION("""COMPUTED_VALUE"""),"Suicide/Attempted")</f>
        <v>Suicide/Attempted</v>
      </c>
      <c r="Y450" s="5" t="str">
        <f ca="1">IFERROR(__xludf.DUMMYFUNCTION("""COMPUTED_VALUE"""),"Victims Targeted")</f>
        <v>Victims Targeted</v>
      </c>
      <c r="Z450" s="5" t="str">
        <f ca="1">IFERROR(__xludf.DUMMYFUNCTION("""COMPUTED_VALUE"""),"No")</f>
        <v>No</v>
      </c>
      <c r="AA450" s="5"/>
      <c r="AB450" s="5" t="str">
        <f ca="1">IFERROR(__xludf.DUMMYFUNCTION("""COMPUTED_VALUE"""),"No")</f>
        <v>No</v>
      </c>
      <c r="AC450" s="5" t="str">
        <f ca="1">IFERROR(__xludf.DUMMYFUNCTION("""COMPUTED_VALUE"""),"No")</f>
        <v>No</v>
      </c>
      <c r="AD450" s="5" t="str">
        <f ca="1">IFERROR(__xludf.DUMMYFUNCTION("""COMPUTED_VALUE"""),"No")</f>
        <v>No</v>
      </c>
      <c r="AE450" s="5"/>
      <c r="AF450" s="5" t="str">
        <f ca="1">IFERROR(__xludf.DUMMYFUNCTION("""COMPUTED_VALUE"""),"No")</f>
        <v>No</v>
      </c>
      <c r="AG450" s="5" t="str">
        <f ca="1">IFERROR(__xludf.DUMMYFUNCTION("""COMPUTED_VALUE"""),"No")</f>
        <v>No</v>
      </c>
      <c r="AH450" s="5" t="str">
        <f ca="1">IFERROR(__xludf.DUMMYFUNCTION("""COMPUTED_VALUE"""),"No")</f>
        <v>No</v>
      </c>
    </row>
    <row r="451" spans="1:34" ht="12.75">
      <c r="A451" s="5" t="str">
        <f ca="1">IFERROR(__xludf.DUMMYFUNCTION("""COMPUTED_VALUE"""),"20201117MTGRG")</f>
        <v>20201117MTGRG</v>
      </c>
      <c r="B451" s="8">
        <f ca="1">IFERROR(__xludf.DUMMYFUNCTION("""COMPUTED_VALUE"""),44152)</f>
        <v>44152</v>
      </c>
      <c r="C451" s="5" t="str">
        <f ca="1">IFERROR(__xludf.DUMMYFUNCTION("""COMPUTED_VALUE"""),"Great Falls High School")</f>
        <v>Great Falls High School</v>
      </c>
      <c r="D451" s="5">
        <f ca="1">IFERROR(__xludf.DUMMYFUNCTION("""COMPUTED_VALUE"""),0)</f>
        <v>0</v>
      </c>
      <c r="E451" s="5">
        <f ca="1">IFERROR(__xludf.DUMMYFUNCTION("""COMPUTED_VALUE"""),0)</f>
        <v>0</v>
      </c>
      <c r="F451" s="5">
        <f ca="1">IFERROR(__xludf.DUMMYFUNCTION("""COMPUTED_VALUE"""),0)</f>
        <v>0</v>
      </c>
      <c r="G451" s="5">
        <f ca="1">IFERROR(__xludf.DUMMYFUNCTION("""COMPUTED_VALUE"""),0)</f>
        <v>0</v>
      </c>
      <c r="H451" s="9" t="str">
        <f ca="1">IFERROR(__xludf.DUMMYFUNCTION("""COMPUTED_VALUE"""),"https://www.krtv.com/news/crime-and-courts/ledford-charged-with-shooting-out-windows-at-great-falls-high-school")</f>
        <v>https://www.krtv.com/news/crime-and-courts/ledford-charged-with-shooting-out-windows-at-great-falls-high-school</v>
      </c>
      <c r="I451" s="5">
        <f ca="1">IFERROR(__xludf.DUMMYFUNCTION("""COMPUTED_VALUE"""),1)</f>
        <v>1</v>
      </c>
      <c r="J451" s="5" t="str">
        <f ca="1">IFERROR(__xludf.DUMMYFUNCTION("""COMPUTED_VALUE"""),"Local")</f>
        <v>Local</v>
      </c>
      <c r="K451" s="5">
        <f ca="1">IFERROR(__xludf.DUMMYFUNCTION("""COMPUTED_VALUE"""),4)</f>
        <v>4</v>
      </c>
      <c r="L451" s="5"/>
      <c r="M451" s="5" t="str">
        <f ca="1">IFERROR(__xludf.DUMMYFUNCTION("""COMPUTED_VALUE"""),"Great Falls")</f>
        <v>Great Falls</v>
      </c>
      <c r="N451" s="5" t="str">
        <f ca="1">IFERROR(__xludf.DUMMYFUNCTION("""COMPUTED_VALUE"""),"MT")</f>
        <v>MT</v>
      </c>
      <c r="O451" s="5" t="str">
        <f ca="1">IFERROR(__xludf.DUMMYFUNCTION("""COMPUTED_VALUE"""),"High")</f>
        <v>High</v>
      </c>
      <c r="P451" s="5" t="str">
        <f ca="1">IFERROR(__xludf.DUMMYFUNCTION("""COMPUTED_VALUE"""),"Front of School")</f>
        <v>Front of School</v>
      </c>
      <c r="Q451" s="5" t="str">
        <f ca="1">IFERROR(__xludf.DUMMYFUNCTION("""COMPUTED_VALUE"""),"Outside on School Property")</f>
        <v>Outside on School Property</v>
      </c>
      <c r="R451" s="5" t="str">
        <f ca="1">IFERROR(__xludf.DUMMYFUNCTION("""COMPUTED_VALUE"""),"No")</f>
        <v>No</v>
      </c>
      <c r="S451" s="5" t="str">
        <f ca="1">IFERROR(__xludf.DUMMYFUNCTION("""COMPUTED_VALUE"""),"Evening")</f>
        <v>Evening</v>
      </c>
      <c r="T451" s="10">
        <f ca="1">IFERROR(__xludf.DUMMYFUNCTION("""COMPUTED_VALUE"""),0.788194444444444)</f>
        <v>0.78819444444444398</v>
      </c>
      <c r="U451" s="5">
        <f ca="1">IFERROR(__xludf.DUMMYFUNCTION("""COMPUTED_VALUE"""),1)</f>
        <v>1</v>
      </c>
      <c r="V451" s="5" t="str">
        <f ca="1">IFERROR(__xludf.DUMMYFUNCTION("""COMPUTED_VALUE"""),"Teen fired BB gun from vehicle breaking multiple windows")</f>
        <v>Teen fired BB gun from vehicle breaking multiple windows</v>
      </c>
      <c r="W451"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X451" s="5" t="str">
        <f ca="1">IFERROR(__xludf.DUMMYFUNCTION("""COMPUTED_VALUE"""),"Intentional Property Damage")</f>
        <v>Intentional Property Damage</v>
      </c>
      <c r="Y451" s="5" t="str">
        <f ca="1">IFERROR(__xludf.DUMMYFUNCTION("""COMPUTED_VALUE"""),"Neither")</f>
        <v>Neither</v>
      </c>
      <c r="Z451" s="5" t="str">
        <f ca="1">IFERROR(__xludf.DUMMYFUNCTION("""COMPUTED_VALUE"""),"No")</f>
        <v>No</v>
      </c>
      <c r="AA451" s="5"/>
      <c r="AB451" s="5" t="str">
        <f ca="1">IFERROR(__xludf.DUMMYFUNCTION("""COMPUTED_VALUE"""),"No")</f>
        <v>No</v>
      </c>
      <c r="AC451" s="5" t="str">
        <f ca="1">IFERROR(__xludf.DUMMYFUNCTION("""COMPUTED_VALUE"""),"No")</f>
        <v>No</v>
      </c>
      <c r="AD451" s="5" t="str">
        <f ca="1">IFERROR(__xludf.DUMMYFUNCTION("""COMPUTED_VALUE"""),"No")</f>
        <v>No</v>
      </c>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row>
    <row r="452" spans="1:34" ht="12.75">
      <c r="A452" s="5" t="str">
        <f ca="1">IFERROR(__xludf.DUMMYFUNCTION("""COMPUTED_VALUE"""),"20201116TNWIM")</f>
        <v>20201116TNWIM</v>
      </c>
      <c r="B452" s="8">
        <f ca="1">IFERROR(__xludf.DUMMYFUNCTION("""COMPUTED_VALUE"""),44151)</f>
        <v>44151</v>
      </c>
      <c r="C452" s="5" t="str">
        <f ca="1">IFERROR(__xludf.DUMMYFUNCTION("""COMPUTED_VALUE"""),"Winridge Elementary School")</f>
        <v>Winridge Elementary School</v>
      </c>
      <c r="D452" s="5">
        <f ca="1">IFERROR(__xludf.DUMMYFUNCTION("""COMPUTED_VALUE"""),0)</f>
        <v>0</v>
      </c>
      <c r="E452" s="5">
        <f ca="1">IFERROR(__xludf.DUMMYFUNCTION("""COMPUTED_VALUE"""),0)</f>
        <v>0</v>
      </c>
      <c r="F452" s="5">
        <f ca="1">IFERROR(__xludf.DUMMYFUNCTION("""COMPUTED_VALUE"""),0)</f>
        <v>0</v>
      </c>
      <c r="G452" s="5">
        <f ca="1">IFERROR(__xludf.DUMMYFUNCTION("""COMPUTED_VALUE"""),0)</f>
        <v>0</v>
      </c>
      <c r="H452"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I452" s="5">
        <f ca="1">IFERROR(__xludf.DUMMYFUNCTION("""COMPUTED_VALUE"""),1)</f>
        <v>1</v>
      </c>
      <c r="J452" s="5" t="str">
        <f ca="1">IFERROR(__xludf.DUMMYFUNCTION("""COMPUTED_VALUE"""),"Local")</f>
        <v>Local</v>
      </c>
      <c r="K452" s="5">
        <f ca="1">IFERROR(__xludf.DUMMYFUNCTION("""COMPUTED_VALUE"""),3)</f>
        <v>3</v>
      </c>
      <c r="L452" s="5" t="str">
        <f ca="1">IFERROR(__xludf.DUMMYFUNCTION("""COMPUTED_VALUE"""),"Fall")</f>
        <v>Fall</v>
      </c>
      <c r="M452" s="5" t="str">
        <f ca="1">IFERROR(__xludf.DUMMYFUNCTION("""COMPUTED_VALUE"""),"Memphis")</f>
        <v>Memphis</v>
      </c>
      <c r="N452" s="5" t="str">
        <f ca="1">IFERROR(__xludf.DUMMYFUNCTION("""COMPUTED_VALUE"""),"TN")</f>
        <v>TN</v>
      </c>
      <c r="O452" s="5" t="str">
        <f ca="1">IFERROR(__xludf.DUMMYFUNCTION("""COMPUTED_VALUE"""),"Elementary")</f>
        <v>Elementary</v>
      </c>
      <c r="P452" s="5" t="str">
        <f ca="1">IFERROR(__xludf.DUMMYFUNCTION("""COMPUTED_VALUE"""),"Beside Building")</f>
        <v>Beside Building</v>
      </c>
      <c r="Q452" s="5" t="str">
        <f ca="1">IFERROR(__xludf.DUMMYFUNCTION("""COMPUTED_VALUE"""),"Outside on School Property")</f>
        <v>Outside on School Property</v>
      </c>
      <c r="R452" s="5" t="str">
        <f ca="1">IFERROR(__xludf.DUMMYFUNCTION("""COMPUTED_VALUE"""),"No")</f>
        <v>No</v>
      </c>
      <c r="S452" s="5"/>
      <c r="T452" s="5"/>
      <c r="U452" s="5">
        <f ca="1">IFERROR(__xludf.DUMMYFUNCTION("""COMPUTED_VALUE"""),1)</f>
        <v>1</v>
      </c>
      <c r="V452" s="5" t="str">
        <f ca="1">IFERROR(__xludf.DUMMYFUNCTION("""COMPUTED_VALUE"""),"Man shot at woman with two children following robbery")</f>
        <v>Man shot at woman with two children following robbery</v>
      </c>
      <c r="W452"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X452" s="5" t="str">
        <f ca="1">IFERROR(__xludf.DUMMYFUNCTION("""COMPUTED_VALUE"""),"Domestic w/ Targeted Victim")</f>
        <v>Domestic w/ Targeted Victim</v>
      </c>
      <c r="Y452" s="5" t="str">
        <f ca="1">IFERROR(__xludf.DUMMYFUNCTION("""COMPUTED_VALUE"""),"Victims Targeted")</f>
        <v>Victims Targeted</v>
      </c>
      <c r="Z452" s="5" t="str">
        <f ca="1">IFERROR(__xludf.DUMMYFUNCTION("""COMPUTED_VALUE"""),"No")</f>
        <v>No</v>
      </c>
      <c r="AA452" s="5"/>
      <c r="AB452" s="5" t="str">
        <f ca="1">IFERROR(__xludf.DUMMYFUNCTION("""COMPUTED_VALUE"""),"No")</f>
        <v>No</v>
      </c>
      <c r="AC452" s="5" t="str">
        <f ca="1">IFERROR(__xludf.DUMMYFUNCTION("""COMPUTED_VALUE"""),"No")</f>
        <v>No</v>
      </c>
      <c r="AD452" s="5" t="str">
        <f ca="1">IFERROR(__xludf.DUMMYFUNCTION("""COMPUTED_VALUE"""),"No")</f>
        <v>No</v>
      </c>
      <c r="AE452" s="5" t="str">
        <f ca="1">IFERROR(__xludf.DUMMYFUNCTION("""COMPUTED_VALUE"""),"No")</f>
        <v>No</v>
      </c>
      <c r="AF452" s="5" t="str">
        <f ca="1">IFERROR(__xludf.DUMMYFUNCTION("""COMPUTED_VALUE"""),"Yes")</f>
        <v>Yes</v>
      </c>
      <c r="AG452" s="5" t="str">
        <f ca="1">IFERROR(__xludf.DUMMYFUNCTION("""COMPUTED_VALUE"""),"No")</f>
        <v>No</v>
      </c>
      <c r="AH452" s="5" t="str">
        <f ca="1">IFERROR(__xludf.DUMMYFUNCTION("""COMPUTED_VALUE"""),"No")</f>
        <v>No</v>
      </c>
    </row>
    <row r="453" spans="1:34" ht="12.75">
      <c r="A453" s="5" t="str">
        <f ca="1">IFERROR(__xludf.DUMMYFUNCTION("""COMPUTED_VALUE"""),"20201113NCLIL")</f>
        <v>20201113NCLIL</v>
      </c>
      <c r="B453" s="8">
        <f ca="1">IFERROR(__xludf.DUMMYFUNCTION("""COMPUTED_VALUE"""),44148)</f>
        <v>44148</v>
      </c>
      <c r="C453" s="5" t="str">
        <f ca="1">IFERROR(__xludf.DUMMYFUNCTION("""COMPUTED_VALUE"""),"Lincoln Elementary School")</f>
        <v>Lincoln Elementary School</v>
      </c>
      <c r="D453" s="5">
        <f ca="1">IFERROR(__xludf.DUMMYFUNCTION("""COMPUTED_VALUE"""),0)</f>
        <v>0</v>
      </c>
      <c r="E453" s="5">
        <f ca="1">IFERROR(__xludf.DUMMYFUNCTION("""COMPUTED_VALUE"""),1)</f>
        <v>1</v>
      </c>
      <c r="F453" s="5">
        <f ca="1">IFERROR(__xludf.DUMMYFUNCTION("""COMPUTED_VALUE"""),1)</f>
        <v>1</v>
      </c>
      <c r="G453" s="5">
        <f ca="1">IFERROR(__xludf.DUMMYFUNCTION("""COMPUTED_VALUE"""),0)</f>
        <v>0</v>
      </c>
      <c r="H453"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I453" s="5">
        <f ca="1">IFERROR(__xludf.DUMMYFUNCTION("""COMPUTED_VALUE"""),10)</f>
        <v>10</v>
      </c>
      <c r="J453" s="5" t="str">
        <f ca="1">IFERROR(__xludf.DUMMYFUNCTION("""COMPUTED_VALUE"""),"International")</f>
        <v>International</v>
      </c>
      <c r="K453" s="5">
        <f ca="1">IFERROR(__xludf.DUMMYFUNCTION("""COMPUTED_VALUE"""),4)</f>
        <v>4</v>
      </c>
      <c r="L453" s="5" t="str">
        <f ca="1">IFERROR(__xludf.DUMMYFUNCTION("""COMPUTED_VALUE"""),"Fall")</f>
        <v>Fall</v>
      </c>
      <c r="M453" s="5" t="str">
        <f ca="1">IFERROR(__xludf.DUMMYFUNCTION("""COMPUTED_VALUE"""),"Leland")</f>
        <v>Leland</v>
      </c>
      <c r="N453" s="5" t="str">
        <f ca="1">IFERROR(__xludf.DUMMYFUNCTION("""COMPUTED_VALUE"""),"NC")</f>
        <v>NC</v>
      </c>
      <c r="O453" s="5" t="str">
        <f ca="1">IFERROR(__xludf.DUMMYFUNCTION("""COMPUTED_VALUE"""),"Elementary")</f>
        <v>Elementary</v>
      </c>
      <c r="P453" s="5" t="str">
        <f ca="1">IFERROR(__xludf.DUMMYFUNCTION("""COMPUTED_VALUE"""),"Playground")</f>
        <v>Playground</v>
      </c>
      <c r="Q453" s="5" t="str">
        <f ca="1">IFERROR(__xludf.DUMMYFUNCTION("""COMPUTED_VALUE"""),"Outside on School Property")</f>
        <v>Outside on School Property</v>
      </c>
      <c r="R453" s="5" t="str">
        <f ca="1">IFERROR(__xludf.DUMMYFUNCTION("""COMPUTED_VALUE"""),"Yes")</f>
        <v>Yes</v>
      </c>
      <c r="S453" s="5" t="str">
        <f ca="1">IFERROR(__xludf.DUMMYFUNCTION("""COMPUTED_VALUE"""),"Afternoon Classes")</f>
        <v>Afternoon Classes</v>
      </c>
      <c r="T453" s="10">
        <f ca="1">IFERROR(__xludf.DUMMYFUNCTION("""COMPUTED_VALUE"""),0.59375)</f>
        <v>0.59375</v>
      </c>
      <c r="U453" s="5">
        <f ca="1">IFERROR(__xludf.DUMMYFUNCTION("""COMPUTED_VALUE"""),1)</f>
        <v>1</v>
      </c>
      <c r="V453" s="5" t="str">
        <f ca="1">IFERROR(__xludf.DUMMYFUNCTION("""COMPUTED_VALUE"""),"Student struck by shot fired from long distance")</f>
        <v>Student struck by shot fired from long distance</v>
      </c>
      <c r="W453"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X453" s="5" t="str">
        <f ca="1">IFERROR(__xludf.DUMMYFUNCTION("""COMPUTED_VALUE"""),"Accidental")</f>
        <v>Accidental</v>
      </c>
      <c r="Y453" s="5" t="str">
        <f ca="1">IFERROR(__xludf.DUMMYFUNCTION("""COMPUTED_VALUE"""),"Random Shooting")</f>
        <v>Random Shooting</v>
      </c>
      <c r="Z453" s="5" t="str">
        <f ca="1">IFERROR(__xludf.DUMMYFUNCTION("""COMPUTED_VALUE"""),"No")</f>
        <v>No</v>
      </c>
      <c r="AA453" s="5"/>
      <c r="AB453" s="5" t="str">
        <f ca="1">IFERROR(__xludf.DUMMYFUNCTION("""COMPUTED_VALUE"""),"No")</f>
        <v>No</v>
      </c>
      <c r="AC453" s="5" t="str">
        <f ca="1">IFERROR(__xludf.DUMMYFUNCTION("""COMPUTED_VALUE"""),"No")</f>
        <v>No</v>
      </c>
      <c r="AD453" s="5" t="str">
        <f ca="1">IFERROR(__xludf.DUMMYFUNCTION("""COMPUTED_VALUE"""),"No")</f>
        <v>No</v>
      </c>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row>
    <row r="454" spans="1:34" ht="12.75">
      <c r="A454" s="5" t="str">
        <f ca="1">IFERROR(__xludf.DUMMYFUNCTION("""COMPUTED_VALUE"""),"20201112PANAH")</f>
        <v>20201112PANAH</v>
      </c>
      <c r="B454" s="8">
        <f ca="1">IFERROR(__xludf.DUMMYFUNCTION("""COMPUTED_VALUE"""),44147)</f>
        <v>44147</v>
      </c>
      <c r="C454" s="5" t="str">
        <f ca="1">IFERROR(__xludf.DUMMYFUNCTION("""COMPUTED_VALUE"""),"Nativity School of Harrisburg")</f>
        <v>Nativity School of Harrisburg</v>
      </c>
      <c r="D454" s="5">
        <f ca="1">IFERROR(__xludf.DUMMYFUNCTION("""COMPUTED_VALUE"""),1)</f>
        <v>1</v>
      </c>
      <c r="E454" s="5">
        <f ca="1">IFERROR(__xludf.DUMMYFUNCTION("""COMPUTED_VALUE"""),0)</f>
        <v>0</v>
      </c>
      <c r="F454" s="5">
        <f ca="1">IFERROR(__xludf.DUMMYFUNCTION("""COMPUTED_VALUE"""),1)</f>
        <v>1</v>
      </c>
      <c r="G454" s="5">
        <f ca="1">IFERROR(__xludf.DUMMYFUNCTION("""COMPUTED_VALUE"""),0)</f>
        <v>0</v>
      </c>
      <c r="H454"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I454" s="5">
        <f ca="1">IFERROR(__xludf.DUMMYFUNCTION("""COMPUTED_VALUE"""),2)</f>
        <v>2</v>
      </c>
      <c r="J454" s="5" t="str">
        <f ca="1">IFERROR(__xludf.DUMMYFUNCTION("""COMPUTED_VALUE"""),"Local")</f>
        <v>Local</v>
      </c>
      <c r="K454" s="5">
        <f ca="1">IFERROR(__xludf.DUMMYFUNCTION("""COMPUTED_VALUE"""),4)</f>
        <v>4</v>
      </c>
      <c r="L454" s="5" t="str">
        <f ca="1">IFERROR(__xludf.DUMMYFUNCTION("""COMPUTED_VALUE"""),"Fall")</f>
        <v>Fall</v>
      </c>
      <c r="M454" s="5" t="str">
        <f ca="1">IFERROR(__xludf.DUMMYFUNCTION("""COMPUTED_VALUE"""),"Harrisburg")</f>
        <v>Harrisburg</v>
      </c>
      <c r="N454" s="5" t="str">
        <f ca="1">IFERROR(__xludf.DUMMYFUNCTION("""COMPUTED_VALUE"""),"PA")</f>
        <v>PA</v>
      </c>
      <c r="O454" s="5" t="str">
        <f ca="1">IFERROR(__xludf.DUMMYFUNCTION("""COMPUTED_VALUE"""),"Middle")</f>
        <v>Middle</v>
      </c>
      <c r="P454" s="5" t="str">
        <f ca="1">IFERROR(__xludf.DUMMYFUNCTION("""COMPUTED_VALUE"""),"Parking Lot")</f>
        <v>Parking Lot</v>
      </c>
      <c r="Q454" s="5" t="str">
        <f ca="1">IFERROR(__xludf.DUMMYFUNCTION("""COMPUTED_VALUE"""),"Outside on School Property")</f>
        <v>Outside on School Property</v>
      </c>
      <c r="R454" s="5" t="str">
        <f ca="1">IFERROR(__xludf.DUMMYFUNCTION("""COMPUTED_VALUE"""),"No")</f>
        <v>No</v>
      </c>
      <c r="S454" s="5" t="str">
        <f ca="1">IFERROR(__xludf.DUMMYFUNCTION("""COMPUTED_VALUE"""),"Evening")</f>
        <v>Evening</v>
      </c>
      <c r="T454" s="10">
        <f ca="1">IFERROR(__xludf.DUMMYFUNCTION("""COMPUTED_VALUE"""),0.729166666666666)</f>
        <v>0.72916666666666596</v>
      </c>
      <c r="U454" s="5">
        <f ca="1">IFERROR(__xludf.DUMMYFUNCTION("""COMPUTED_VALUE"""),1)</f>
        <v>1</v>
      </c>
      <c r="V454" s="5" t="str">
        <f ca="1">IFERROR(__xludf.DUMMYFUNCTION("""COMPUTED_VALUE"""),"Teen shot and killed in school parking lot")</f>
        <v>Teen shot and killed in school parking lot</v>
      </c>
      <c r="W454"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X454" s="5"/>
      <c r="Y454" s="5"/>
      <c r="Z454" s="5"/>
      <c r="AA454" s="5"/>
      <c r="AB454" s="5" t="str">
        <f ca="1">IFERROR(__xludf.DUMMYFUNCTION("""COMPUTED_VALUE"""),"No")</f>
        <v>No</v>
      </c>
      <c r="AC454" s="5" t="str">
        <f ca="1">IFERROR(__xludf.DUMMYFUNCTION("""COMPUTED_VALUE"""),"No")</f>
        <v>No</v>
      </c>
      <c r="AD454" s="5" t="str">
        <f ca="1">IFERROR(__xludf.DUMMYFUNCTION("""COMPUTED_VALUE"""),"No")</f>
        <v>No</v>
      </c>
      <c r="AE454" s="5" t="str">
        <f ca="1">IFERROR(__xludf.DUMMYFUNCTION("""COMPUTED_VALUE"""),"No")</f>
        <v>No</v>
      </c>
      <c r="AF454" s="5" t="str">
        <f ca="1">IFERROR(__xludf.DUMMYFUNCTION("""COMPUTED_VALUE"""),"No")</f>
        <v>No</v>
      </c>
      <c r="AG454" s="5"/>
      <c r="AH454" s="5" t="str">
        <f ca="1">IFERROR(__xludf.DUMMYFUNCTION("""COMPUTED_VALUE"""),"No")</f>
        <v>No</v>
      </c>
    </row>
    <row r="455" spans="1:34" ht="12.75">
      <c r="A455" s="5" t="str">
        <f ca="1">IFERROR(__xludf.DUMMYFUNCTION("""COMPUTED_VALUE"""),"20201112CACEU")</f>
        <v>20201112CACEU</v>
      </c>
      <c r="B455" s="8">
        <f ca="1">IFERROR(__xludf.DUMMYFUNCTION("""COMPUTED_VALUE"""),44147)</f>
        <v>44147</v>
      </c>
      <c r="C455" s="5" t="str">
        <f ca="1">IFERROR(__xludf.DUMMYFUNCTION("""COMPUTED_VALUE"""),"Cesar Chavez Middle School")</f>
        <v>Cesar Chavez Middle School</v>
      </c>
      <c r="D455" s="5">
        <f ca="1">IFERROR(__xludf.DUMMYFUNCTION("""COMPUTED_VALUE"""),0)</f>
        <v>0</v>
      </c>
      <c r="E455" s="5">
        <f ca="1">IFERROR(__xludf.DUMMYFUNCTION("""COMPUTED_VALUE"""),1)</f>
        <v>1</v>
      </c>
      <c r="F455" s="5">
        <f ca="1">IFERROR(__xludf.DUMMYFUNCTION("""COMPUTED_VALUE"""),1)</f>
        <v>1</v>
      </c>
      <c r="G455" s="5">
        <f ca="1">IFERROR(__xludf.DUMMYFUNCTION("""COMPUTED_VALUE"""),0)</f>
        <v>0</v>
      </c>
      <c r="H455" s="9" t="str">
        <f ca="1">IFERROR(__xludf.DUMMYFUNCTION("""COMPUTED_VALUE"""),"https://www.eastbaytimes.com/2020/11/13/union-city-man-shot-near-cesar-chavez-middle-school/")</f>
        <v>https://www.eastbaytimes.com/2020/11/13/union-city-man-shot-near-cesar-chavez-middle-school/</v>
      </c>
      <c r="I455" s="5">
        <f ca="1">IFERROR(__xludf.DUMMYFUNCTION("""COMPUTED_VALUE"""),1)</f>
        <v>1</v>
      </c>
      <c r="J455" s="5" t="str">
        <f ca="1">IFERROR(__xludf.DUMMYFUNCTION("""COMPUTED_VALUE"""),"Local")</f>
        <v>Local</v>
      </c>
      <c r="K455" s="5">
        <f ca="1">IFERROR(__xludf.DUMMYFUNCTION("""COMPUTED_VALUE"""),3)</f>
        <v>3</v>
      </c>
      <c r="L455" s="5" t="str">
        <f ca="1">IFERROR(__xludf.DUMMYFUNCTION("""COMPUTED_VALUE"""),"Fall")</f>
        <v>Fall</v>
      </c>
      <c r="M455" s="5" t="str">
        <f ca="1">IFERROR(__xludf.DUMMYFUNCTION("""COMPUTED_VALUE"""),"Union City")</f>
        <v>Union City</v>
      </c>
      <c r="N455" s="5" t="str">
        <f ca="1">IFERROR(__xludf.DUMMYFUNCTION("""COMPUTED_VALUE"""),"CA")</f>
        <v>CA</v>
      </c>
      <c r="O455" s="5" t="str">
        <f ca="1">IFERROR(__xludf.DUMMYFUNCTION("""COMPUTED_VALUE"""),"Middle")</f>
        <v>Middle</v>
      </c>
      <c r="P455" s="5" t="str">
        <f ca="1">IFERROR(__xludf.DUMMYFUNCTION("""COMPUTED_VALUE"""),"Parking Lot")</f>
        <v>Parking Lot</v>
      </c>
      <c r="Q455" s="5" t="str">
        <f ca="1">IFERROR(__xludf.DUMMYFUNCTION("""COMPUTED_VALUE"""),"Outside on School Property")</f>
        <v>Outside on School Property</v>
      </c>
      <c r="R455" s="5" t="str">
        <f ca="1">IFERROR(__xludf.DUMMYFUNCTION("""COMPUTED_VALUE"""),"No")</f>
        <v>No</v>
      </c>
      <c r="S455" s="5" t="str">
        <f ca="1">IFERROR(__xludf.DUMMYFUNCTION("""COMPUTED_VALUE"""),"Evening")</f>
        <v>Evening</v>
      </c>
      <c r="T455" s="10">
        <f ca="1">IFERROR(__xludf.DUMMYFUNCTION("""COMPUTED_VALUE"""),0.732638888888888)</f>
        <v>0.73263888888888795</v>
      </c>
      <c r="U455" s="5">
        <f ca="1">IFERROR(__xludf.DUMMYFUNCTION("""COMPUTED_VALUE"""),1)</f>
        <v>1</v>
      </c>
      <c r="V455" s="5" t="str">
        <f ca="1">IFERROR(__xludf.DUMMYFUNCTION("""COMPUTED_VALUE"""),"Man in vehicle shot in school parking lot, fled and crashed nearby")</f>
        <v>Man in vehicle shot in school parking lot, fled and crashed nearby</v>
      </c>
      <c r="W455"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X455" s="5"/>
      <c r="Y455" s="5" t="str">
        <f ca="1">IFERROR(__xludf.DUMMYFUNCTION("""COMPUTED_VALUE"""),"Victims Targeted")</f>
        <v>Victims Targeted</v>
      </c>
      <c r="Z455" s="5"/>
      <c r="AA455" s="5"/>
      <c r="AB455" s="5" t="str">
        <f ca="1">IFERROR(__xludf.DUMMYFUNCTION("""COMPUTED_VALUE"""),"No")</f>
        <v>No</v>
      </c>
      <c r="AC455" s="5" t="str">
        <f ca="1">IFERROR(__xludf.DUMMYFUNCTION("""COMPUTED_VALUE"""),"No")</f>
        <v>No</v>
      </c>
      <c r="AD455" s="5" t="str">
        <f ca="1">IFERROR(__xludf.DUMMYFUNCTION("""COMPUTED_VALUE"""),"No")</f>
        <v>No</v>
      </c>
      <c r="AE455" s="5" t="str">
        <f ca="1">IFERROR(__xludf.DUMMYFUNCTION("""COMPUTED_VALUE"""),"No")</f>
        <v>No</v>
      </c>
      <c r="AF455" s="5" t="str">
        <f ca="1">IFERROR(__xludf.DUMMYFUNCTION("""COMPUTED_VALUE"""),"No")</f>
        <v>No</v>
      </c>
      <c r="AG455" s="5"/>
      <c r="AH455" s="5" t="str">
        <f ca="1">IFERROR(__xludf.DUMMYFUNCTION("""COMPUTED_VALUE"""),"No")</f>
        <v>No</v>
      </c>
    </row>
    <row r="456" spans="1:34" ht="12.75">
      <c r="A456" s="5" t="str">
        <f ca="1">IFERROR(__xludf.DUMMYFUNCTION("""COMPUTED_VALUE"""),"20201109TXCOH")</f>
        <v>20201109TXCOH</v>
      </c>
      <c r="B456" s="8">
        <f ca="1">IFERROR(__xludf.DUMMYFUNCTION("""COMPUTED_VALUE"""),44144)</f>
        <v>44144</v>
      </c>
      <c r="C456" s="5" t="str">
        <f ca="1">IFERROR(__xludf.DUMMYFUNCTION("""COMPUTED_VALUE"""),"Collins Elementary School")</f>
        <v>Collins Elementary School</v>
      </c>
      <c r="D456" s="5">
        <f ca="1">IFERROR(__xludf.DUMMYFUNCTION("""COMPUTED_VALUE"""),1)</f>
        <v>1</v>
      </c>
      <c r="E456" s="5">
        <f ca="1">IFERROR(__xludf.DUMMYFUNCTION("""COMPUTED_VALUE"""),0)</f>
        <v>0</v>
      </c>
      <c r="F456" s="5">
        <f ca="1">IFERROR(__xludf.DUMMYFUNCTION("""COMPUTED_VALUE"""),1)</f>
        <v>1</v>
      </c>
      <c r="G456" s="5">
        <f ca="1">IFERROR(__xludf.DUMMYFUNCTION("""COMPUTED_VALUE"""),0)</f>
        <v>0</v>
      </c>
      <c r="H456"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I456" s="5">
        <f ca="1">IFERROR(__xludf.DUMMYFUNCTION("""COMPUTED_VALUE"""),2)</f>
        <v>2</v>
      </c>
      <c r="J456" s="5" t="str">
        <f ca="1">IFERROR(__xludf.DUMMYFUNCTION("""COMPUTED_VALUE"""),"Local")</f>
        <v>Local</v>
      </c>
      <c r="K456" s="5">
        <f ca="1">IFERROR(__xludf.DUMMYFUNCTION("""COMPUTED_VALUE"""),4)</f>
        <v>4</v>
      </c>
      <c r="L456" s="5" t="str">
        <f ca="1">IFERROR(__xludf.DUMMYFUNCTION("""COMPUTED_VALUE"""),"Fall")</f>
        <v>Fall</v>
      </c>
      <c r="M456" s="5" t="str">
        <f ca="1">IFERROR(__xludf.DUMMYFUNCTION("""COMPUTED_VALUE"""),"Houston")</f>
        <v>Houston</v>
      </c>
      <c r="N456" s="5" t="str">
        <f ca="1">IFERROR(__xludf.DUMMYFUNCTION("""COMPUTED_VALUE"""),"TX")</f>
        <v>TX</v>
      </c>
      <c r="O456" s="5" t="str">
        <f ca="1">IFERROR(__xludf.DUMMYFUNCTION("""COMPUTED_VALUE"""),"Elementary")</f>
        <v>Elementary</v>
      </c>
      <c r="P456" s="5" t="str">
        <f ca="1">IFERROR(__xludf.DUMMYFUNCTION("""COMPUTED_VALUE"""),"Parking Lot")</f>
        <v>Parking Lot</v>
      </c>
      <c r="Q456" s="5" t="str">
        <f ca="1">IFERROR(__xludf.DUMMYFUNCTION("""COMPUTED_VALUE"""),"Outside on School Property")</f>
        <v>Outside on School Property</v>
      </c>
      <c r="R456" s="5" t="str">
        <f ca="1">IFERROR(__xludf.DUMMYFUNCTION("""COMPUTED_VALUE"""),"No")</f>
        <v>No</v>
      </c>
      <c r="S456" s="5" t="str">
        <f ca="1">IFERROR(__xludf.DUMMYFUNCTION("""COMPUTED_VALUE"""),"Night")</f>
        <v>Night</v>
      </c>
      <c r="T456" s="5"/>
      <c r="U456" s="5">
        <f ca="1">IFERROR(__xludf.DUMMYFUNCTION("""COMPUTED_VALUE"""),1)</f>
        <v>1</v>
      </c>
      <c r="V456" s="5" t="str">
        <f ca="1">IFERROR(__xludf.DUMMYFUNCTION("""COMPUTED_VALUE"""),"Man found fatally shot in school parking lot")</f>
        <v>Man found fatally shot in school parking lot</v>
      </c>
      <c r="W456"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X456" s="5"/>
      <c r="Y456" s="5" t="str">
        <f ca="1">IFERROR(__xludf.DUMMYFUNCTION("""COMPUTED_VALUE"""),"Victims Targeted")</f>
        <v>Victims Targeted</v>
      </c>
      <c r="Z456" s="5"/>
      <c r="AA456" s="5"/>
      <c r="AB456" s="5" t="str">
        <f ca="1">IFERROR(__xludf.DUMMYFUNCTION("""COMPUTED_VALUE"""),"No")</f>
        <v>No</v>
      </c>
      <c r="AC456" s="5" t="str">
        <f ca="1">IFERROR(__xludf.DUMMYFUNCTION("""COMPUTED_VALUE"""),"No")</f>
        <v>No</v>
      </c>
      <c r="AD456" s="5" t="str">
        <f ca="1">IFERROR(__xludf.DUMMYFUNCTION("""COMPUTED_VALUE"""),"No")</f>
        <v>No</v>
      </c>
      <c r="AE456" s="5" t="str">
        <f ca="1">IFERROR(__xludf.DUMMYFUNCTION("""COMPUTED_VALUE"""),"No")</f>
        <v>No</v>
      </c>
      <c r="AF456" s="5" t="str">
        <f ca="1">IFERROR(__xludf.DUMMYFUNCTION("""COMPUTED_VALUE"""),"No")</f>
        <v>No</v>
      </c>
      <c r="AG456" s="5"/>
      <c r="AH456" s="5" t="str">
        <f ca="1">IFERROR(__xludf.DUMMYFUNCTION("""COMPUTED_VALUE"""),"No")</f>
        <v>No</v>
      </c>
    </row>
    <row r="457" spans="1:34" ht="12.75">
      <c r="A457" s="5" t="str">
        <f ca="1">IFERROR(__xludf.DUMMYFUNCTION("""COMPUTED_VALUE"""),"20201109CABAL")</f>
        <v>20201109CABAL</v>
      </c>
      <c r="B457" s="8">
        <f ca="1">IFERROR(__xludf.DUMMYFUNCTION("""COMPUTED_VALUE"""),44144)</f>
        <v>44144</v>
      </c>
      <c r="C457" s="5" t="str">
        <f ca="1">IFERROR(__xludf.DUMMYFUNCTION("""COMPUTED_VALUE"""),"Baldwin Elementary School")</f>
        <v>Baldwin Elementary School</v>
      </c>
      <c r="D457" s="5">
        <f ca="1">IFERROR(__xludf.DUMMYFUNCTION("""COMPUTED_VALUE"""),0)</f>
        <v>0</v>
      </c>
      <c r="E457" s="5">
        <f ca="1">IFERROR(__xludf.DUMMYFUNCTION("""COMPUTED_VALUE"""),0)</f>
        <v>0</v>
      </c>
      <c r="F457" s="5">
        <f ca="1">IFERROR(__xludf.DUMMYFUNCTION("""COMPUTED_VALUE"""),0)</f>
        <v>0</v>
      </c>
      <c r="G457" s="5">
        <f ca="1">IFERROR(__xludf.DUMMYFUNCTION("""COMPUTED_VALUE"""),1)</f>
        <v>1</v>
      </c>
      <c r="H457" s="9" t="str">
        <f ca="1">IFERROR(__xludf.DUMMYFUNCTION("""COMPUTED_VALUE"""),"https://www.sgvtribune.com/2020/11/09/body-of-man-who-had-been-fatally-shot-is-found-at-school-near-la-puente/")</f>
        <v>https://www.sgvtribune.com/2020/11/09/body-of-man-who-had-been-fatally-shot-is-found-at-school-near-la-puente/</v>
      </c>
      <c r="I457" s="5">
        <f ca="1">IFERROR(__xludf.DUMMYFUNCTION("""COMPUTED_VALUE"""),1)</f>
        <v>1</v>
      </c>
      <c r="J457" s="5" t="str">
        <f ca="1">IFERROR(__xludf.DUMMYFUNCTION("""COMPUTED_VALUE"""),"Local")</f>
        <v>Local</v>
      </c>
      <c r="K457" s="5">
        <f ca="1">IFERROR(__xludf.DUMMYFUNCTION("""COMPUTED_VALUE"""),4)</f>
        <v>4</v>
      </c>
      <c r="L457" s="5" t="str">
        <f ca="1">IFERROR(__xludf.DUMMYFUNCTION("""COMPUTED_VALUE"""),"Fall")</f>
        <v>Fall</v>
      </c>
      <c r="M457" s="5" t="str">
        <f ca="1">IFERROR(__xludf.DUMMYFUNCTION("""COMPUTED_VALUE"""),"La Puente")</f>
        <v>La Puente</v>
      </c>
      <c r="N457" s="5" t="str">
        <f ca="1">IFERROR(__xludf.DUMMYFUNCTION("""COMPUTED_VALUE"""),"CA")</f>
        <v>CA</v>
      </c>
      <c r="O457" s="5" t="str">
        <f ca="1">IFERROR(__xludf.DUMMYFUNCTION("""COMPUTED_VALUE"""),"Elementary")</f>
        <v>Elementary</v>
      </c>
      <c r="P457" s="5" t="str">
        <f ca="1">IFERROR(__xludf.DUMMYFUNCTION("""COMPUTED_VALUE"""),"Beside Building")</f>
        <v>Beside Building</v>
      </c>
      <c r="Q457" s="5" t="str">
        <f ca="1">IFERROR(__xludf.DUMMYFUNCTION("""COMPUTED_VALUE"""),"Outside on School Property")</f>
        <v>Outside on School Property</v>
      </c>
      <c r="R457" s="5" t="str">
        <f ca="1">IFERROR(__xludf.DUMMYFUNCTION("""COMPUTED_VALUE"""),"No")</f>
        <v>No</v>
      </c>
      <c r="S457" s="5" t="str">
        <f ca="1">IFERROR(__xludf.DUMMYFUNCTION("""COMPUTED_VALUE"""),"Night")</f>
        <v>Night</v>
      </c>
      <c r="T457" s="5"/>
      <c r="U457" s="5">
        <f ca="1">IFERROR(__xludf.DUMMYFUNCTION("""COMPUTED_VALUE"""),1)</f>
        <v>1</v>
      </c>
      <c r="V457" s="5" t="str">
        <f ca="1">IFERROR(__xludf.DUMMYFUNCTION("""COMPUTED_VALUE"""),"Janitor found man dead from gunshot wound next to the school")</f>
        <v>Janitor found man dead from gunshot wound next to the school</v>
      </c>
      <c r="W457"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X457" s="5" t="str">
        <f ca="1">IFERROR(__xludf.DUMMYFUNCTION("""COMPUTED_VALUE"""),"Suicide/Attempted")</f>
        <v>Suicide/Attempted</v>
      </c>
      <c r="Y457" s="5" t="str">
        <f ca="1">IFERROR(__xludf.DUMMYFUNCTION("""COMPUTED_VALUE"""),"Victims Targeted")</f>
        <v>Victims Targeted</v>
      </c>
      <c r="Z457" s="5" t="str">
        <f ca="1">IFERROR(__xludf.DUMMYFUNCTION("""COMPUTED_VALUE"""),"No")</f>
        <v>No</v>
      </c>
      <c r="AA457" s="5"/>
      <c r="AB457" s="5" t="str">
        <f ca="1">IFERROR(__xludf.DUMMYFUNCTION("""COMPUTED_VALUE"""),"No")</f>
        <v>No</v>
      </c>
      <c r="AC457" s="5" t="str">
        <f ca="1">IFERROR(__xludf.DUMMYFUNCTION("""COMPUTED_VALUE"""),"No")</f>
        <v>No</v>
      </c>
      <c r="AD457" s="5" t="str">
        <f ca="1">IFERROR(__xludf.DUMMYFUNCTION("""COMPUTED_VALUE"""),"No")</f>
        <v>No</v>
      </c>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row>
    <row r="458" spans="1:34" ht="12.75">
      <c r="A458" s="5" t="str">
        <f ca="1">IFERROR(__xludf.DUMMYFUNCTION("""COMPUTED_VALUE"""),"20201108INTET")</f>
        <v>20201108INTET</v>
      </c>
      <c r="B458" s="8">
        <f ca="1">IFERROR(__xludf.DUMMYFUNCTION("""COMPUTED_VALUE"""),44143)</f>
        <v>44143</v>
      </c>
      <c r="C458" s="5" t="str">
        <f ca="1">IFERROR(__xludf.DUMMYFUNCTION("""COMPUTED_VALUE"""),"Terre Haute South Vigo High School")</f>
        <v>Terre Haute South Vigo High School</v>
      </c>
      <c r="D458" s="5">
        <f ca="1">IFERROR(__xludf.DUMMYFUNCTION("""COMPUTED_VALUE"""),0)</f>
        <v>0</v>
      </c>
      <c r="E458" s="5">
        <f ca="1">IFERROR(__xludf.DUMMYFUNCTION("""COMPUTED_VALUE"""),0)</f>
        <v>0</v>
      </c>
      <c r="F458" s="5">
        <f ca="1">IFERROR(__xludf.DUMMYFUNCTION("""COMPUTED_VALUE"""),0)</f>
        <v>0</v>
      </c>
      <c r="G458" s="5">
        <f ca="1">IFERROR(__xludf.DUMMYFUNCTION("""COMPUTED_VALUE"""),0)</f>
        <v>0</v>
      </c>
      <c r="H458" s="9" t="str">
        <f ca="1">IFERROR(__xludf.DUMMYFUNCTION("""COMPUTED_VALUE"""),"https://www.mywabashvalley.com/top-news/thpd-shots-fired-at-terre-haute-high-school-no-injuries/")</f>
        <v>https://www.mywabashvalley.com/top-news/thpd-shots-fired-at-terre-haute-high-school-no-injuries/</v>
      </c>
      <c r="I458" s="5">
        <f ca="1">IFERROR(__xludf.DUMMYFUNCTION("""COMPUTED_VALUE"""),1)</f>
        <v>1</v>
      </c>
      <c r="J458" s="5" t="str">
        <f ca="1">IFERROR(__xludf.DUMMYFUNCTION("""COMPUTED_VALUE"""),"Local")</f>
        <v>Local</v>
      </c>
      <c r="K458" s="5">
        <f ca="1">IFERROR(__xludf.DUMMYFUNCTION("""COMPUTED_VALUE"""),4)</f>
        <v>4</v>
      </c>
      <c r="L458" s="5" t="str">
        <f ca="1">IFERROR(__xludf.DUMMYFUNCTION("""COMPUTED_VALUE"""),"Fall")</f>
        <v>Fall</v>
      </c>
      <c r="M458" s="5" t="str">
        <f ca="1">IFERROR(__xludf.DUMMYFUNCTION("""COMPUTED_VALUE"""),"Terre Haute")</f>
        <v>Terre Haute</v>
      </c>
      <c r="N458" s="5" t="str">
        <f ca="1">IFERROR(__xludf.DUMMYFUNCTION("""COMPUTED_VALUE"""),"IN")</f>
        <v>IN</v>
      </c>
      <c r="O458" s="5" t="str">
        <f ca="1">IFERROR(__xludf.DUMMYFUNCTION("""COMPUTED_VALUE"""),"High")</f>
        <v>High</v>
      </c>
      <c r="P458" s="5" t="str">
        <f ca="1">IFERROR(__xludf.DUMMYFUNCTION("""COMPUTED_VALUE"""),"Parking Lot")</f>
        <v>Parking Lot</v>
      </c>
      <c r="Q458" s="5" t="str">
        <f ca="1">IFERROR(__xludf.DUMMYFUNCTION("""COMPUTED_VALUE"""),"Outside on School Property")</f>
        <v>Outside on School Property</v>
      </c>
      <c r="R458" s="5" t="str">
        <f ca="1">IFERROR(__xludf.DUMMYFUNCTION("""COMPUTED_VALUE"""),"No")</f>
        <v>No</v>
      </c>
      <c r="S458" s="5" t="str">
        <f ca="1">IFERROR(__xludf.DUMMYFUNCTION("""COMPUTED_VALUE"""),"Not a School Day")</f>
        <v>Not a School Day</v>
      </c>
      <c r="T458" s="10">
        <f ca="1">IFERROR(__xludf.DUMMYFUNCTION("""COMPUTED_VALUE"""),0.69375)</f>
        <v>0.69374999999999998</v>
      </c>
      <c r="U458" s="5">
        <f ca="1">IFERROR(__xludf.DUMMYFUNCTION("""COMPUTED_VALUE"""),1)</f>
        <v>1</v>
      </c>
      <c r="V458" s="5" t="str">
        <f ca="1">IFERROR(__xludf.DUMMYFUNCTION("""COMPUTED_VALUE"""),"Shots fired in the school parking lot")</f>
        <v>Shots fired in the school parking lot</v>
      </c>
      <c r="W458"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X458" s="5"/>
      <c r="Y458" s="5" t="str">
        <f ca="1">IFERROR(__xludf.DUMMYFUNCTION("""COMPUTED_VALUE"""),"Victims Targeted")</f>
        <v>Victims Targeted</v>
      </c>
      <c r="Z458" s="5"/>
      <c r="AA458" s="5"/>
      <c r="AB458" s="5" t="str">
        <f ca="1">IFERROR(__xludf.DUMMYFUNCTION("""COMPUTED_VALUE"""),"No")</f>
        <v>No</v>
      </c>
      <c r="AC458" s="5" t="str">
        <f ca="1">IFERROR(__xludf.DUMMYFUNCTION("""COMPUTED_VALUE"""),"No")</f>
        <v>No</v>
      </c>
      <c r="AD458" s="5" t="str">
        <f ca="1">IFERROR(__xludf.DUMMYFUNCTION("""COMPUTED_VALUE"""),"No")</f>
        <v>No</v>
      </c>
      <c r="AE458" s="5" t="str">
        <f ca="1">IFERROR(__xludf.DUMMYFUNCTION("""COMPUTED_VALUE"""),"No")</f>
        <v>No</v>
      </c>
      <c r="AF458" s="5" t="str">
        <f ca="1">IFERROR(__xludf.DUMMYFUNCTION("""COMPUTED_VALUE"""),"No")</f>
        <v>No</v>
      </c>
      <c r="AG458" s="5"/>
      <c r="AH458" s="5" t="str">
        <f ca="1">IFERROR(__xludf.DUMMYFUNCTION("""COMPUTED_VALUE"""),"No")</f>
        <v>No</v>
      </c>
    </row>
    <row r="459" spans="1:34" ht="12.75">
      <c r="A459" s="5" t="str">
        <f ca="1">IFERROR(__xludf.DUMMYFUNCTION("""COMPUTED_VALUE"""),"20201106AZKHT")</f>
        <v>20201106AZKHT</v>
      </c>
      <c r="B459" s="8">
        <f ca="1">IFERROR(__xludf.DUMMYFUNCTION("""COMPUTED_VALUE"""),44141)</f>
        <v>44141</v>
      </c>
      <c r="C459" s="5" t="str">
        <f ca="1">IFERROR(__xludf.DUMMYFUNCTION("""COMPUTED_VALUE"""),"Khalsa Montessori Charter")</f>
        <v>Khalsa Montessori Charter</v>
      </c>
      <c r="D459" s="5">
        <f ca="1">IFERROR(__xludf.DUMMYFUNCTION("""COMPUTED_VALUE"""),0)</f>
        <v>0</v>
      </c>
      <c r="E459" s="5">
        <f ca="1">IFERROR(__xludf.DUMMYFUNCTION("""COMPUTED_VALUE"""),0)</f>
        <v>0</v>
      </c>
      <c r="F459" s="5">
        <f ca="1">IFERROR(__xludf.DUMMYFUNCTION("""COMPUTED_VALUE"""),0)</f>
        <v>0</v>
      </c>
      <c r="G459" s="5">
        <f ca="1">IFERROR(__xludf.DUMMYFUNCTION("""COMPUTED_VALUE"""),0)</f>
        <v>0</v>
      </c>
      <c r="H459"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I459" s="5">
        <f ca="1">IFERROR(__xludf.DUMMYFUNCTION("""COMPUTED_VALUE"""),2)</f>
        <v>2</v>
      </c>
      <c r="J459" s="5" t="str">
        <f ca="1">IFERROR(__xludf.DUMMYFUNCTION("""COMPUTED_VALUE"""),"Local")</f>
        <v>Local</v>
      </c>
      <c r="K459" s="5">
        <f ca="1">IFERROR(__xludf.DUMMYFUNCTION("""COMPUTED_VALUE"""),3)</f>
        <v>3</v>
      </c>
      <c r="L459" s="5" t="str">
        <f ca="1">IFERROR(__xludf.DUMMYFUNCTION("""COMPUTED_VALUE"""),"Fall")</f>
        <v>Fall</v>
      </c>
      <c r="M459" s="5" t="str">
        <f ca="1">IFERROR(__xludf.DUMMYFUNCTION("""COMPUTED_VALUE"""),"Tuscon")</f>
        <v>Tuscon</v>
      </c>
      <c r="N459" s="5" t="str">
        <f ca="1">IFERROR(__xludf.DUMMYFUNCTION("""COMPUTED_VALUE"""),"AZ")</f>
        <v>AZ</v>
      </c>
      <c r="O459" s="5" t="str">
        <f ca="1">IFERROR(__xludf.DUMMYFUNCTION("""COMPUTED_VALUE"""),"Elementary")</f>
        <v>Elementary</v>
      </c>
      <c r="P459" s="5" t="str">
        <f ca="1">IFERROR(__xludf.DUMMYFUNCTION("""COMPUTED_VALUE"""),"Parking Lot")</f>
        <v>Parking Lot</v>
      </c>
      <c r="Q459" s="5" t="str">
        <f ca="1">IFERROR(__xludf.DUMMYFUNCTION("""COMPUTED_VALUE"""),"Outside on School Property")</f>
        <v>Outside on School Property</v>
      </c>
      <c r="R459" s="5" t="str">
        <f ca="1">IFERROR(__xludf.DUMMYFUNCTION("""COMPUTED_VALUE"""),"Yes")</f>
        <v>Yes</v>
      </c>
      <c r="S459" s="5" t="str">
        <f ca="1">IFERROR(__xludf.DUMMYFUNCTION("""COMPUTED_VALUE"""),"Morning Classes")</f>
        <v>Morning Classes</v>
      </c>
      <c r="T459" s="10">
        <f ca="1">IFERROR(__xludf.DUMMYFUNCTION("""COMPUTED_VALUE"""),0.416666666666666)</f>
        <v>0.41666666666666602</v>
      </c>
      <c r="U459" s="5"/>
      <c r="V459" s="5" t="str">
        <f ca="1">IFERROR(__xludf.DUMMYFUNCTION("""COMPUTED_VALUE"""),"Man fired shots at multiple vehicles in the school parking lot during standoff with police")</f>
        <v>Man fired shots at multiple vehicles in the school parking lot during standoff with police</v>
      </c>
      <c r="W459"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X459" s="5" t="str">
        <f ca="1">IFERROR(__xludf.DUMMYFUNCTION("""COMPUTED_VALUE"""),"Hostage/Standoff")</f>
        <v>Hostage/Standoff</v>
      </c>
      <c r="Y459" s="5" t="str">
        <f ca="1">IFERROR(__xludf.DUMMYFUNCTION("""COMPUTED_VALUE"""),"Neither")</f>
        <v>Neither</v>
      </c>
      <c r="Z459" s="5" t="str">
        <f ca="1">IFERROR(__xludf.DUMMYFUNCTION("""COMPUTED_VALUE"""),"No")</f>
        <v>No</v>
      </c>
      <c r="AA459" s="5"/>
      <c r="AB459" s="5" t="str">
        <f ca="1">IFERROR(__xludf.DUMMYFUNCTION("""COMPUTED_VALUE"""),"No")</f>
        <v>No</v>
      </c>
      <c r="AC459" s="5" t="str">
        <f ca="1">IFERROR(__xludf.DUMMYFUNCTION("""COMPUTED_VALUE"""),"No")</f>
        <v>No</v>
      </c>
      <c r="AD459" s="5" t="str">
        <f ca="1">IFERROR(__xludf.DUMMYFUNCTION("""COMPUTED_VALUE"""),"No")</f>
        <v>No</v>
      </c>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IFERROR(__xludf.DUMMYFUNCTION("""COMPUTED_VALUE"""),"Yes")</f>
        <v>Yes</v>
      </c>
    </row>
    <row r="460" spans="1:34" ht="12.75">
      <c r="A460" s="5" t="str">
        <f ca="1">IFERROR(__xludf.DUMMYFUNCTION("""COMPUTED_VALUE"""),"20201102COERE")</f>
        <v>20201102COERE</v>
      </c>
      <c r="B460" s="8">
        <f ca="1">IFERROR(__xludf.DUMMYFUNCTION("""COMPUTED_VALUE"""),44137)</f>
        <v>44137</v>
      </c>
      <c r="C460" s="5" t="str">
        <f ca="1">IFERROR(__xludf.DUMMYFUNCTION("""COMPUTED_VALUE"""),"Erie High School")</f>
        <v>Erie High School</v>
      </c>
      <c r="D460" s="5">
        <f ca="1">IFERROR(__xludf.DUMMYFUNCTION("""COMPUTED_VALUE"""),0)</f>
        <v>0</v>
      </c>
      <c r="E460" s="5">
        <f ca="1">IFERROR(__xludf.DUMMYFUNCTION("""COMPUTED_VALUE"""),0)</f>
        <v>0</v>
      </c>
      <c r="F460" s="5">
        <f ca="1">IFERROR(__xludf.DUMMYFUNCTION("""COMPUTED_VALUE"""),0)</f>
        <v>0</v>
      </c>
      <c r="G460" s="5">
        <f ca="1">IFERROR(__xludf.DUMMYFUNCTION("""COMPUTED_VALUE"""),0)</f>
        <v>0</v>
      </c>
      <c r="H460"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I460" s="5">
        <f ca="1">IFERROR(__xludf.DUMMYFUNCTION("""COMPUTED_VALUE"""),2)</f>
        <v>2</v>
      </c>
      <c r="J460" s="5" t="str">
        <f ca="1">IFERROR(__xludf.DUMMYFUNCTION("""COMPUTED_VALUE"""),"Local")</f>
        <v>Local</v>
      </c>
      <c r="K460" s="5">
        <f ca="1">IFERROR(__xludf.DUMMYFUNCTION("""COMPUTED_VALUE"""),2)</f>
        <v>2</v>
      </c>
      <c r="L460" s="5" t="str">
        <f ca="1">IFERROR(__xludf.DUMMYFUNCTION("""COMPUTED_VALUE"""),"Fall")</f>
        <v>Fall</v>
      </c>
      <c r="M460" s="5" t="str">
        <f ca="1">IFERROR(__xludf.DUMMYFUNCTION("""COMPUTED_VALUE"""),"Erie")</f>
        <v>Erie</v>
      </c>
      <c r="N460" s="5" t="str">
        <f ca="1">IFERROR(__xludf.DUMMYFUNCTION("""COMPUTED_VALUE"""),"CO")</f>
        <v>CO</v>
      </c>
      <c r="O460" s="5" t="str">
        <f ca="1">IFERROR(__xludf.DUMMYFUNCTION("""COMPUTED_VALUE"""),"High")</f>
        <v>High</v>
      </c>
      <c r="P460" s="5" t="str">
        <f ca="1">IFERROR(__xludf.DUMMYFUNCTION("""COMPUTED_VALUE"""),"Cafeteria")</f>
        <v>Cafeteria</v>
      </c>
      <c r="Q460" s="5" t="str">
        <f ca="1">IFERROR(__xludf.DUMMYFUNCTION("""COMPUTED_VALUE"""),"Outside on School Property")</f>
        <v>Outside on School Property</v>
      </c>
      <c r="R460" s="5" t="str">
        <f ca="1">IFERROR(__xludf.DUMMYFUNCTION("""COMPUTED_VALUE"""),"No")</f>
        <v>No</v>
      </c>
      <c r="S460" s="5" t="str">
        <f ca="1">IFERROR(__xludf.DUMMYFUNCTION("""COMPUTED_VALUE"""),"Night")</f>
        <v>Night</v>
      </c>
      <c r="T460" s="10">
        <f ca="1">IFERROR(__xludf.DUMMYFUNCTION("""COMPUTED_VALUE"""),0.00347222222222222)</f>
        <v>3.4722222222222199E-3</v>
      </c>
      <c r="U460" s="5">
        <f ca="1">IFERROR(__xludf.DUMMYFUNCTION("""COMPUTED_VALUE"""),1)</f>
        <v>1</v>
      </c>
      <c r="V460" s="5" t="str">
        <f ca="1">IFERROR(__xludf.DUMMYFUNCTION("""COMPUTED_VALUE"""),"Bullet shot at cafeteria window")</f>
        <v>Bullet shot at cafeteria window</v>
      </c>
      <c r="W460"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X460" s="5" t="str">
        <f ca="1">IFERROR(__xludf.DUMMYFUNCTION("""COMPUTED_VALUE"""),"Intentional Property Damage")</f>
        <v>Intentional Property Damage</v>
      </c>
      <c r="Y460" s="5" t="str">
        <f ca="1">IFERROR(__xludf.DUMMYFUNCTION("""COMPUTED_VALUE"""),"Neither")</f>
        <v>Neither</v>
      </c>
      <c r="Z460" s="5"/>
      <c r="AA460" s="5"/>
      <c r="AB460" s="5" t="str">
        <f ca="1">IFERROR(__xludf.DUMMYFUNCTION("""COMPUTED_VALUE"""),"No")</f>
        <v>No</v>
      </c>
      <c r="AC460" s="5" t="str">
        <f ca="1">IFERROR(__xludf.DUMMYFUNCTION("""COMPUTED_VALUE"""),"No")</f>
        <v>No</v>
      </c>
      <c r="AD460" s="5" t="str">
        <f ca="1">IFERROR(__xludf.DUMMYFUNCTION("""COMPUTED_VALUE"""),"No")</f>
        <v>No</v>
      </c>
      <c r="AE460" s="5"/>
      <c r="AF460" s="5" t="str">
        <f ca="1">IFERROR(__xludf.DUMMYFUNCTION("""COMPUTED_VALUE"""),"No")</f>
        <v>No</v>
      </c>
      <c r="AG460" s="5" t="str">
        <f ca="1">IFERROR(__xludf.DUMMYFUNCTION("""COMPUTED_VALUE"""),"No")</f>
        <v>No</v>
      </c>
      <c r="AH460" s="5" t="str">
        <f ca="1">IFERROR(__xludf.DUMMYFUNCTION("""COMPUTED_VALUE"""),"No")</f>
        <v>No</v>
      </c>
    </row>
    <row r="461" spans="1:34" ht="12.75">
      <c r="A461" s="5" t="str">
        <f ca="1">IFERROR(__xludf.DUMMYFUNCTION("""COMPUTED_VALUE"""),"20201029FLLAM")</f>
        <v>20201029FLLAM</v>
      </c>
      <c r="B461" s="8">
        <f ca="1">IFERROR(__xludf.DUMMYFUNCTION("""COMPUTED_VALUE"""),44133)</f>
        <v>44133</v>
      </c>
      <c r="C461" s="5" t="str">
        <f ca="1">IFERROR(__xludf.DUMMYFUNCTION("""COMPUTED_VALUE"""),"Lawton Chiles Middle School")</f>
        <v>Lawton Chiles Middle School</v>
      </c>
      <c r="D461" s="5">
        <f ca="1">IFERROR(__xludf.DUMMYFUNCTION("""COMPUTED_VALUE"""),2)</f>
        <v>2</v>
      </c>
      <c r="E461" s="5">
        <f ca="1">IFERROR(__xludf.DUMMYFUNCTION("""COMPUTED_VALUE"""),0)</f>
        <v>0</v>
      </c>
      <c r="F461" s="5">
        <f ca="1">IFERROR(__xludf.DUMMYFUNCTION("""COMPUTED_VALUE"""),2)</f>
        <v>2</v>
      </c>
      <c r="G461" s="5">
        <f ca="1">IFERROR(__xludf.DUMMYFUNCTION("""COMPUTED_VALUE"""),0)</f>
        <v>0</v>
      </c>
      <c r="H461"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I461" s="5">
        <f ca="1">IFERROR(__xludf.DUMMYFUNCTION("""COMPUTED_VALUE"""),10)</f>
        <v>10</v>
      </c>
      <c r="J461" s="5" t="str">
        <f ca="1">IFERROR(__xludf.DUMMYFUNCTION("""COMPUTED_VALUE"""),"National")</f>
        <v>National</v>
      </c>
      <c r="K461" s="5">
        <f ca="1">IFERROR(__xludf.DUMMYFUNCTION("""COMPUTED_VALUE"""),4)</f>
        <v>4</v>
      </c>
      <c r="L461" s="5" t="str">
        <f ca="1">IFERROR(__xludf.DUMMYFUNCTION("""COMPUTED_VALUE"""),"Fall")</f>
        <v>Fall</v>
      </c>
      <c r="M461" s="5" t="str">
        <f ca="1">IFERROR(__xludf.DUMMYFUNCTION("""COMPUTED_VALUE"""),"Miramar")</f>
        <v>Miramar</v>
      </c>
      <c r="N461" s="5" t="str">
        <f ca="1">IFERROR(__xludf.DUMMYFUNCTION("""COMPUTED_VALUE"""),"FL")</f>
        <v>FL</v>
      </c>
      <c r="O461" s="5" t="str">
        <f ca="1">IFERROR(__xludf.DUMMYFUNCTION("""COMPUTED_VALUE"""),"Middle")</f>
        <v>Middle</v>
      </c>
      <c r="P461" s="5" t="str">
        <f ca="1">IFERROR(__xludf.DUMMYFUNCTION("""COMPUTED_VALUE"""),"Parking Lot")</f>
        <v>Parking Lot</v>
      </c>
      <c r="Q461" s="5" t="str">
        <f ca="1">IFERROR(__xludf.DUMMYFUNCTION("""COMPUTED_VALUE"""),"Outside on School Property")</f>
        <v>Outside on School Property</v>
      </c>
      <c r="R461" s="5" t="str">
        <f ca="1">IFERROR(__xludf.DUMMYFUNCTION("""COMPUTED_VALUE"""),"No")</f>
        <v>No</v>
      </c>
      <c r="S461" s="5" t="str">
        <f ca="1">IFERROR(__xludf.DUMMYFUNCTION("""COMPUTED_VALUE"""),"Night")</f>
        <v>Night</v>
      </c>
      <c r="T461" s="10">
        <f ca="1">IFERROR(__xludf.DUMMYFUNCTION("""COMPUTED_VALUE"""),0.96875)</f>
        <v>0.96875</v>
      </c>
      <c r="U461" s="5">
        <f ca="1">IFERROR(__xludf.DUMMYFUNCTION("""COMPUTED_VALUE"""),1)</f>
        <v>1</v>
      </c>
      <c r="V461" s="5" t="str">
        <f ca="1">IFERROR(__xludf.DUMMYFUNCTION("""COMPUTED_VALUE"""),"Two men fatally shot in school parking lot")</f>
        <v>Two men fatally shot in school parking lot</v>
      </c>
      <c r="W461"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X461" s="5"/>
      <c r="Y461" s="5" t="str">
        <f ca="1">IFERROR(__xludf.DUMMYFUNCTION("""COMPUTED_VALUE"""),"Victims Targeted")</f>
        <v>Victims Targeted</v>
      </c>
      <c r="Z461" s="5"/>
      <c r="AA461" s="5"/>
      <c r="AB461" s="5" t="str">
        <f ca="1">IFERROR(__xludf.DUMMYFUNCTION("""COMPUTED_VALUE"""),"No")</f>
        <v>No</v>
      </c>
      <c r="AC461" s="5" t="str">
        <f ca="1">IFERROR(__xludf.DUMMYFUNCTION("""COMPUTED_VALUE"""),"No")</f>
        <v>No</v>
      </c>
      <c r="AD461" s="5" t="str">
        <f ca="1">IFERROR(__xludf.DUMMYFUNCTION("""COMPUTED_VALUE"""),"No")</f>
        <v>No</v>
      </c>
      <c r="AE461" s="5" t="str">
        <f ca="1">IFERROR(__xludf.DUMMYFUNCTION("""COMPUTED_VALUE"""),"No")</f>
        <v>No</v>
      </c>
      <c r="AF461" s="5" t="str">
        <f ca="1">IFERROR(__xludf.DUMMYFUNCTION("""COMPUTED_VALUE"""),"No")</f>
        <v>No</v>
      </c>
      <c r="AG461" s="5"/>
      <c r="AH461" s="5" t="str">
        <f ca="1">IFERROR(__xludf.DUMMYFUNCTION("""COMPUTED_VALUE"""),"No")</f>
        <v>No</v>
      </c>
    </row>
    <row r="462" spans="1:34" ht="12.75">
      <c r="A462" s="5" t="str">
        <f ca="1">IFERROR(__xludf.DUMMYFUNCTION("""COMPUTED_VALUE"""),"20201028NYROR")</f>
        <v>20201028NYROR</v>
      </c>
      <c r="B462" s="8">
        <f ca="1">IFERROR(__xludf.DUMMYFUNCTION("""COMPUTED_VALUE"""),44132)</f>
        <v>44132</v>
      </c>
      <c r="C462" s="5" t="str">
        <f ca="1">IFERROR(__xludf.DUMMYFUNCTION("""COMPUTED_VALUE"""),"Rochester Prep Charter School")</f>
        <v>Rochester Prep Charter School</v>
      </c>
      <c r="D462" s="5">
        <f ca="1">IFERROR(__xludf.DUMMYFUNCTION("""COMPUTED_VALUE"""),0)</f>
        <v>0</v>
      </c>
      <c r="E462" s="5">
        <f ca="1">IFERROR(__xludf.DUMMYFUNCTION("""COMPUTED_VALUE"""),0)</f>
        <v>0</v>
      </c>
      <c r="F462" s="5">
        <f ca="1">IFERROR(__xludf.DUMMYFUNCTION("""COMPUTED_VALUE"""),0)</f>
        <v>0</v>
      </c>
      <c r="G462" s="5">
        <f ca="1">IFERROR(__xludf.DUMMYFUNCTION("""COMPUTED_VALUE"""),0)</f>
        <v>0</v>
      </c>
      <c r="H462"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I462" s="5">
        <f ca="1">IFERROR(__xludf.DUMMYFUNCTION("""COMPUTED_VALUE"""),1)</f>
        <v>1</v>
      </c>
      <c r="J462" s="5" t="str">
        <f ca="1">IFERROR(__xludf.DUMMYFUNCTION("""COMPUTED_VALUE"""),"Local")</f>
        <v>Local</v>
      </c>
      <c r="K462" s="5">
        <f ca="1">IFERROR(__xludf.DUMMYFUNCTION("""COMPUTED_VALUE"""),3)</f>
        <v>3</v>
      </c>
      <c r="L462" s="5" t="str">
        <f ca="1">IFERROR(__xludf.DUMMYFUNCTION("""COMPUTED_VALUE"""),"Fall")</f>
        <v>Fall</v>
      </c>
      <c r="M462" s="5" t="str">
        <f ca="1">IFERROR(__xludf.DUMMYFUNCTION("""COMPUTED_VALUE"""),"Rochester")</f>
        <v>Rochester</v>
      </c>
      <c r="N462" s="5" t="str">
        <f ca="1">IFERROR(__xludf.DUMMYFUNCTION("""COMPUTED_VALUE"""),"NY")</f>
        <v>NY</v>
      </c>
      <c r="O462" s="5" t="str">
        <f ca="1">IFERROR(__xludf.DUMMYFUNCTION("""COMPUTED_VALUE"""),"K-12")</f>
        <v>K-12</v>
      </c>
      <c r="P462" s="5" t="str">
        <f ca="1">IFERROR(__xludf.DUMMYFUNCTION("""COMPUTED_VALUE"""),"Front of School")</f>
        <v>Front of School</v>
      </c>
      <c r="Q462" s="5" t="str">
        <f ca="1">IFERROR(__xludf.DUMMYFUNCTION("""COMPUTED_VALUE"""),"Off School Property")</f>
        <v>Off School Property</v>
      </c>
      <c r="R462" s="5" t="str">
        <f ca="1">IFERROR(__xludf.DUMMYFUNCTION("""COMPUTED_VALUE"""),"No")</f>
        <v>No</v>
      </c>
      <c r="S462" s="5" t="str">
        <f ca="1">IFERROR(__xludf.DUMMYFUNCTION("""COMPUTED_VALUE"""),"Evening")</f>
        <v>Evening</v>
      </c>
      <c r="T462" s="10">
        <f ca="1">IFERROR(__xludf.DUMMYFUNCTION("""COMPUTED_VALUE"""),0.708333333333333)</f>
        <v>0.70833333333333304</v>
      </c>
      <c r="U462" s="5">
        <f ca="1">IFERROR(__xludf.DUMMYFUNCTION("""COMPUTED_VALUE"""),1)</f>
        <v>1</v>
      </c>
      <c r="V462" s="5" t="str">
        <f ca="1">IFERROR(__xludf.DUMMYFUNCTION("""COMPUTED_VALUE"""),"School building struck by shot fired during drive-by")</f>
        <v>School building struck by shot fired during drive-by</v>
      </c>
      <c r="W462"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X462" s="5" t="str">
        <f ca="1">IFERROR(__xludf.DUMMYFUNCTION("""COMPUTED_VALUE"""),"Drive-by Shooting")</f>
        <v>Drive-by Shooting</v>
      </c>
      <c r="Y462" s="5" t="str">
        <f ca="1">IFERROR(__xludf.DUMMYFUNCTION("""COMPUTED_VALUE"""),"Victims Targeted")</f>
        <v>Victims Targeted</v>
      </c>
      <c r="Z462" s="5"/>
      <c r="AA462" s="5"/>
      <c r="AB462" s="5" t="str">
        <f ca="1">IFERROR(__xludf.DUMMYFUNCTION("""COMPUTED_VALUE"""),"No")</f>
        <v>No</v>
      </c>
      <c r="AC462" s="5" t="str">
        <f ca="1">IFERROR(__xludf.DUMMYFUNCTION("""COMPUTED_VALUE"""),"No")</f>
        <v>No</v>
      </c>
      <c r="AD462" s="5" t="str">
        <f ca="1">IFERROR(__xludf.DUMMYFUNCTION("""COMPUTED_VALUE"""),"No")</f>
        <v>No</v>
      </c>
      <c r="AE462" s="5" t="str">
        <f ca="1">IFERROR(__xludf.DUMMYFUNCTION("""COMPUTED_VALUE"""),"No")</f>
        <v>No</v>
      </c>
      <c r="AF462" s="5" t="str">
        <f ca="1">IFERROR(__xludf.DUMMYFUNCTION("""COMPUTED_VALUE"""),"No")</f>
        <v>No</v>
      </c>
      <c r="AG462" s="5"/>
      <c r="AH462" s="5" t="str">
        <f ca="1">IFERROR(__xludf.DUMMYFUNCTION("""COMPUTED_VALUE"""),"No")</f>
        <v>No</v>
      </c>
    </row>
    <row r="463" spans="1:34" ht="12.75">
      <c r="A463" s="5" t="str">
        <f ca="1">IFERROR(__xludf.DUMMYFUNCTION("""COMPUTED_VALUE"""),"20201026GARIR")</f>
        <v>20201026GARIR</v>
      </c>
      <c r="B463" s="8">
        <f ca="1">IFERROR(__xludf.DUMMYFUNCTION("""COMPUTED_VALUE"""),44130)</f>
        <v>44130</v>
      </c>
      <c r="C463" s="5" t="str">
        <f ca="1">IFERROR(__xludf.DUMMYFUNCTION("""COMPUTED_VALUE"""),"Riverdale High School")</f>
        <v>Riverdale High School</v>
      </c>
      <c r="D463" s="5">
        <f ca="1">IFERROR(__xludf.DUMMYFUNCTION("""COMPUTED_VALUE"""),1)</f>
        <v>1</v>
      </c>
      <c r="E463" s="5">
        <f ca="1">IFERROR(__xludf.DUMMYFUNCTION("""COMPUTED_VALUE"""),0)</f>
        <v>0</v>
      </c>
      <c r="F463" s="5">
        <f ca="1">IFERROR(__xludf.DUMMYFUNCTION("""COMPUTED_VALUE"""),1)</f>
        <v>1</v>
      </c>
      <c r="G463" s="5">
        <f ca="1">IFERROR(__xludf.DUMMYFUNCTION("""COMPUTED_VALUE"""),0)</f>
        <v>0</v>
      </c>
      <c r="H463"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I463" s="5">
        <f ca="1">IFERROR(__xludf.DUMMYFUNCTION("""COMPUTED_VALUE"""),6)</f>
        <v>6</v>
      </c>
      <c r="J463" s="5" t="str">
        <f ca="1">IFERROR(__xludf.DUMMYFUNCTION("""COMPUTED_VALUE"""),"Local")</f>
        <v>Local</v>
      </c>
      <c r="K463" s="5">
        <f ca="1">IFERROR(__xludf.DUMMYFUNCTION("""COMPUTED_VALUE"""),4)</f>
        <v>4</v>
      </c>
      <c r="L463" s="5" t="str">
        <f ca="1">IFERROR(__xludf.DUMMYFUNCTION("""COMPUTED_VALUE"""),"Fall")</f>
        <v>Fall</v>
      </c>
      <c r="M463" s="5" t="str">
        <f ca="1">IFERROR(__xludf.DUMMYFUNCTION("""COMPUTED_VALUE"""),"Riverdale")</f>
        <v>Riverdale</v>
      </c>
      <c r="N463" s="5" t="str">
        <f ca="1">IFERROR(__xludf.DUMMYFUNCTION("""COMPUTED_VALUE"""),"GA")</f>
        <v>GA</v>
      </c>
      <c r="O463" s="5" t="str">
        <f ca="1">IFERROR(__xludf.DUMMYFUNCTION("""COMPUTED_VALUE"""),"High")</f>
        <v>High</v>
      </c>
      <c r="P463" s="5" t="str">
        <f ca="1">IFERROR(__xludf.DUMMYFUNCTION("""COMPUTED_VALUE"""),"Parking Lot")</f>
        <v>Parking Lot</v>
      </c>
      <c r="Q463" s="5" t="str">
        <f ca="1">IFERROR(__xludf.DUMMYFUNCTION("""COMPUTED_VALUE"""),"Outside on School Property")</f>
        <v>Outside on School Property</v>
      </c>
      <c r="R463" s="5" t="str">
        <f ca="1">IFERROR(__xludf.DUMMYFUNCTION("""COMPUTED_VALUE"""),"No")</f>
        <v>No</v>
      </c>
      <c r="S463" s="5" t="str">
        <f ca="1">IFERROR(__xludf.DUMMYFUNCTION("""COMPUTED_VALUE"""),"Evening")</f>
        <v>Evening</v>
      </c>
      <c r="T463" s="10">
        <f ca="1">IFERROR(__xludf.DUMMYFUNCTION("""COMPUTED_VALUE"""),0.723611111111111)</f>
        <v>0.72361111111111098</v>
      </c>
      <c r="U463" s="5">
        <f ca="1">IFERROR(__xludf.DUMMYFUNCTION("""COMPUTED_VALUE"""),1)</f>
        <v>1</v>
      </c>
      <c r="V463" s="5" t="str">
        <f ca="1">IFERROR(__xludf.DUMMYFUNCTION("""COMPUTED_VALUE"""),"Man shot and killed in school parking lot")</f>
        <v>Man shot and killed in school parking lot</v>
      </c>
      <c r="W463"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X463" s="5" t="str">
        <f ca="1">IFERROR(__xludf.DUMMYFUNCTION("""COMPUTED_VALUE"""),"Illegal Activity")</f>
        <v>Illegal Activity</v>
      </c>
      <c r="Y463" s="5" t="str">
        <f ca="1">IFERROR(__xludf.DUMMYFUNCTION("""COMPUTED_VALUE"""),"Victims Targeted")</f>
        <v>Victims Targeted</v>
      </c>
      <c r="Z463" s="5" t="str">
        <f ca="1">IFERROR(__xludf.DUMMYFUNCTION("""COMPUTED_VALUE"""),"Yes")</f>
        <v>Yes</v>
      </c>
      <c r="AA463" s="5" t="str">
        <f ca="1">IFERROR(__xludf.DUMMYFUNCTION("""COMPUTED_VALUE"""),"Drive of vehicle, passenger was the shooter")</f>
        <v>Drive of vehicle, passenger was the shooter</v>
      </c>
      <c r="AB463" s="5" t="str">
        <f ca="1">IFERROR(__xludf.DUMMYFUNCTION("""COMPUTED_VALUE"""),"No")</f>
        <v>No</v>
      </c>
      <c r="AC463" s="5" t="str">
        <f ca="1">IFERROR(__xludf.DUMMYFUNCTION("""COMPUTED_VALUE"""),"No")</f>
        <v>No</v>
      </c>
      <c r="AD463" s="5" t="str">
        <f ca="1">IFERROR(__xludf.DUMMYFUNCTION("""COMPUTED_VALUE"""),"No")</f>
        <v>No</v>
      </c>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row>
    <row r="464" spans="1:34" ht="12.75">
      <c r="A464" s="5" t="str">
        <f ca="1">IFERROR(__xludf.DUMMYFUNCTION("""COMPUTED_VALUE"""),"20201024CTSTS")</f>
        <v>20201024CTSTS</v>
      </c>
      <c r="B464" s="8">
        <f ca="1">IFERROR(__xludf.DUMMYFUNCTION("""COMPUTED_VALUE"""),44128)</f>
        <v>44128</v>
      </c>
      <c r="C464" s="5" t="str">
        <f ca="1">IFERROR(__xludf.DUMMYFUNCTION("""COMPUTED_VALUE"""),"Stillwater Elementary School")</f>
        <v>Stillwater Elementary School</v>
      </c>
      <c r="D464" s="5">
        <f ca="1">IFERROR(__xludf.DUMMYFUNCTION("""COMPUTED_VALUE"""),0)</f>
        <v>0</v>
      </c>
      <c r="E464" s="5">
        <f ca="1">IFERROR(__xludf.DUMMYFUNCTION("""COMPUTED_VALUE"""),0)</f>
        <v>0</v>
      </c>
      <c r="F464" s="5">
        <f ca="1">IFERROR(__xludf.DUMMYFUNCTION("""COMPUTED_VALUE"""),0)</f>
        <v>0</v>
      </c>
      <c r="G464" s="5">
        <f ca="1">IFERROR(__xludf.DUMMYFUNCTION("""COMPUTED_VALUE"""),0)</f>
        <v>0</v>
      </c>
      <c r="H464" s="9" t="str">
        <f ca="1">IFERROR(__xludf.DUMMYFUNCTION("""COMPUTED_VALUE"""),"https://www.stamfordadvocate.com/policereports/article/Police-Man-shot-early-Tuesday-in-Stamford-15678594.php")</f>
        <v>https://www.stamfordadvocate.com/policereports/article/Police-Man-shot-early-Tuesday-in-Stamford-15678594.php</v>
      </c>
      <c r="I464" s="5">
        <f ca="1">IFERROR(__xludf.DUMMYFUNCTION("""COMPUTED_VALUE"""),1)</f>
        <v>1</v>
      </c>
      <c r="J464" s="5" t="str">
        <f ca="1">IFERROR(__xludf.DUMMYFUNCTION("""COMPUTED_VALUE"""),"Local")</f>
        <v>Local</v>
      </c>
      <c r="K464" s="5">
        <f ca="1">IFERROR(__xludf.DUMMYFUNCTION("""COMPUTED_VALUE"""),3)</f>
        <v>3</v>
      </c>
      <c r="L464" s="5" t="str">
        <f ca="1">IFERROR(__xludf.DUMMYFUNCTION("""COMPUTED_VALUE"""),"Fall")</f>
        <v>Fall</v>
      </c>
      <c r="M464" s="5" t="str">
        <f ca="1">IFERROR(__xludf.DUMMYFUNCTION("""COMPUTED_VALUE"""),"Stamford")</f>
        <v>Stamford</v>
      </c>
      <c r="N464" s="5" t="str">
        <f ca="1">IFERROR(__xludf.DUMMYFUNCTION("""COMPUTED_VALUE"""),"CT")</f>
        <v>CT</v>
      </c>
      <c r="O464" s="5" t="str">
        <f ca="1">IFERROR(__xludf.DUMMYFUNCTION("""COMPUTED_VALUE"""),"Elementary")</f>
        <v>Elementary</v>
      </c>
      <c r="P464" s="5" t="str">
        <f ca="1">IFERROR(__xludf.DUMMYFUNCTION("""COMPUTED_VALUE"""),"Beside Building")</f>
        <v>Beside Building</v>
      </c>
      <c r="Q464" s="5" t="str">
        <f ca="1">IFERROR(__xludf.DUMMYFUNCTION("""COMPUTED_VALUE"""),"Outside on School Property")</f>
        <v>Outside on School Property</v>
      </c>
      <c r="R464" s="5" t="str">
        <f ca="1">IFERROR(__xludf.DUMMYFUNCTION("""COMPUTED_VALUE"""),"No")</f>
        <v>No</v>
      </c>
      <c r="S464" s="5" t="str">
        <f ca="1">IFERROR(__xludf.DUMMYFUNCTION("""COMPUTED_VALUE"""),"Night")</f>
        <v>Night</v>
      </c>
      <c r="T464" s="10">
        <f ca="1">IFERROR(__xludf.DUMMYFUNCTION("""COMPUTED_VALUE"""),0.983333333333333)</f>
        <v>0.98333333333333295</v>
      </c>
      <c r="U464" s="5">
        <f ca="1">IFERROR(__xludf.DUMMYFUNCTION("""COMPUTED_VALUE"""),1)</f>
        <v>1</v>
      </c>
      <c r="V464" s="5" t="str">
        <f ca="1">IFERROR(__xludf.DUMMYFUNCTION("""COMPUTED_VALUE"""),"Shots fired next to school building")</f>
        <v>Shots fired next to school building</v>
      </c>
      <c r="W464"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X464" s="5"/>
      <c r="Y464" s="5"/>
      <c r="Z464" s="5"/>
      <c r="AA464" s="5"/>
      <c r="AB464" s="5" t="str">
        <f ca="1">IFERROR(__xludf.DUMMYFUNCTION("""COMPUTED_VALUE"""),"No")</f>
        <v>No</v>
      </c>
      <c r="AC464" s="5" t="str">
        <f ca="1">IFERROR(__xludf.DUMMYFUNCTION("""COMPUTED_VALUE"""),"No")</f>
        <v>No</v>
      </c>
      <c r="AD464" s="5" t="str">
        <f ca="1">IFERROR(__xludf.DUMMYFUNCTION("""COMPUTED_VALUE"""),"No")</f>
        <v>No</v>
      </c>
      <c r="AE464" s="5" t="str">
        <f ca="1">IFERROR(__xludf.DUMMYFUNCTION("""COMPUTED_VALUE"""),"No")</f>
        <v>No</v>
      </c>
      <c r="AF464" s="5"/>
      <c r="AG464" s="5"/>
      <c r="AH464" s="5" t="str">
        <f ca="1">IFERROR(__xludf.DUMMYFUNCTION("""COMPUTED_VALUE"""),"No")</f>
        <v>No</v>
      </c>
    </row>
    <row r="465" spans="1:34" ht="12.75">
      <c r="A465" s="5" t="str">
        <f ca="1">IFERROR(__xludf.DUMMYFUNCTION("""COMPUTED_VALUE"""),"20201020ARJAP")</f>
        <v>20201020ARJAP</v>
      </c>
      <c r="B465" s="8">
        <f ca="1">IFERROR(__xludf.DUMMYFUNCTION("""COMPUTED_VALUE"""),44124)</f>
        <v>44124</v>
      </c>
      <c r="C465" s="5" t="str">
        <f ca="1">IFERROR(__xludf.DUMMYFUNCTION("""COMPUTED_VALUE"""),"Jack Robey Junior High School")</f>
        <v>Jack Robey Junior High School</v>
      </c>
      <c r="D465" s="5">
        <f ca="1">IFERROR(__xludf.DUMMYFUNCTION("""COMPUTED_VALUE"""),1)</f>
        <v>1</v>
      </c>
      <c r="E465" s="5">
        <f ca="1">IFERROR(__xludf.DUMMYFUNCTION("""COMPUTED_VALUE"""),0)</f>
        <v>0</v>
      </c>
      <c r="F465" s="5">
        <f ca="1">IFERROR(__xludf.DUMMYFUNCTION("""COMPUTED_VALUE"""),1)</f>
        <v>1</v>
      </c>
      <c r="G465" s="5">
        <f ca="1">IFERROR(__xludf.DUMMYFUNCTION("""COMPUTED_VALUE"""),0)</f>
        <v>0</v>
      </c>
      <c r="H465"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I465" s="5">
        <f ca="1">IFERROR(__xludf.DUMMYFUNCTION("""COMPUTED_VALUE"""),10)</f>
        <v>10</v>
      </c>
      <c r="J465" s="5" t="str">
        <f ca="1">IFERROR(__xludf.DUMMYFUNCTION("""COMPUTED_VALUE"""),"National")</f>
        <v>National</v>
      </c>
      <c r="K465" s="5">
        <f ca="1">IFERROR(__xludf.DUMMYFUNCTION("""COMPUTED_VALUE"""),4)</f>
        <v>4</v>
      </c>
      <c r="L465" s="5" t="str">
        <f ca="1">IFERROR(__xludf.DUMMYFUNCTION("""COMPUTED_VALUE"""),"Fall")</f>
        <v>Fall</v>
      </c>
      <c r="M465" s="5" t="str">
        <f ca="1">IFERROR(__xludf.DUMMYFUNCTION("""COMPUTED_VALUE"""),"Pine Bluff")</f>
        <v>Pine Bluff</v>
      </c>
      <c r="N465" s="5" t="str">
        <f ca="1">IFERROR(__xludf.DUMMYFUNCTION("""COMPUTED_VALUE"""),"AR")</f>
        <v>AR</v>
      </c>
      <c r="O465" s="5" t="str">
        <f ca="1">IFERROR(__xludf.DUMMYFUNCTION("""COMPUTED_VALUE"""),"Junior High")</f>
        <v>Junior High</v>
      </c>
      <c r="P465" s="5" t="str">
        <f ca="1">IFERROR(__xludf.DUMMYFUNCTION("""COMPUTED_VALUE"""),"Parking Lot")</f>
        <v>Parking Lot</v>
      </c>
      <c r="Q465" s="5" t="str">
        <f ca="1">IFERROR(__xludf.DUMMYFUNCTION("""COMPUTED_VALUE"""),"Outside on School Property")</f>
        <v>Outside on School Property</v>
      </c>
      <c r="R465" s="5" t="str">
        <f ca="1">IFERROR(__xludf.DUMMYFUNCTION("""COMPUTED_VALUE"""),"No")</f>
        <v>No</v>
      </c>
      <c r="S465" s="5" t="str">
        <f ca="1">IFERROR(__xludf.DUMMYFUNCTION("""COMPUTED_VALUE"""),"Night")</f>
        <v>Night</v>
      </c>
      <c r="T465" s="10">
        <f ca="1">IFERROR(__xludf.DUMMYFUNCTION("""COMPUTED_VALUE"""),0.885416666666666)</f>
        <v>0.88541666666666596</v>
      </c>
      <c r="U465" s="5">
        <f ca="1">IFERROR(__xludf.DUMMYFUNCTION("""COMPUTED_VALUE"""),1)</f>
        <v>1</v>
      </c>
      <c r="V465" s="5" t="str">
        <f ca="1">IFERROR(__xludf.DUMMYFUNCTION("""COMPUTED_VALUE"""),"Teen found shot and killed in vehicle in the school parking lot")</f>
        <v>Teen found shot and killed in vehicle in the school parking lot</v>
      </c>
      <c r="W465"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X465" s="5" t="str">
        <f ca="1">IFERROR(__xludf.DUMMYFUNCTION("""COMPUTED_VALUE"""),"Escalation of Dispute")</f>
        <v>Escalation of Dispute</v>
      </c>
      <c r="Y465" s="5" t="str">
        <f ca="1">IFERROR(__xludf.DUMMYFUNCTION("""COMPUTED_VALUE"""),"Victims Targeted")</f>
        <v>Victims Targeted</v>
      </c>
      <c r="Z465" s="5"/>
      <c r="AA465" s="5"/>
      <c r="AB465" s="5" t="str">
        <f ca="1">IFERROR(__xludf.DUMMYFUNCTION("""COMPUTED_VALUE"""),"No")</f>
        <v>No</v>
      </c>
      <c r="AC465" s="5" t="str">
        <f ca="1">IFERROR(__xludf.DUMMYFUNCTION("""COMPUTED_VALUE"""),"No")</f>
        <v>No</v>
      </c>
      <c r="AD465" s="5" t="str">
        <f ca="1">IFERROR(__xludf.DUMMYFUNCTION("""COMPUTED_VALUE"""),"No")</f>
        <v>No</v>
      </c>
      <c r="AE465" s="5" t="str">
        <f ca="1">IFERROR(__xludf.DUMMYFUNCTION("""COMPUTED_VALUE"""),"No")</f>
        <v>No</v>
      </c>
      <c r="AF465" s="5" t="str">
        <f ca="1">IFERROR(__xludf.DUMMYFUNCTION("""COMPUTED_VALUE"""),"No")</f>
        <v>No</v>
      </c>
      <c r="AG465" s="5" t="str">
        <f ca="1">IFERROR(__xludf.DUMMYFUNCTION("""COMPUTED_VALUE"""),"Yes")</f>
        <v>Yes</v>
      </c>
      <c r="AH465" s="5" t="str">
        <f ca="1">IFERROR(__xludf.DUMMYFUNCTION("""COMPUTED_VALUE"""),"No")</f>
        <v>No</v>
      </c>
    </row>
    <row r="466" spans="1:34" ht="12.75">
      <c r="A466" s="5" t="str">
        <f ca="1">IFERROR(__xludf.DUMMYFUNCTION("""COMPUTED_VALUE"""),"20201018KYSEL")</f>
        <v>20201018KYSEL</v>
      </c>
      <c r="B466" s="8">
        <f ca="1">IFERROR(__xludf.DUMMYFUNCTION("""COMPUTED_VALUE"""),44122)</f>
        <v>44122</v>
      </c>
      <c r="C466" s="5" t="str">
        <f ca="1">IFERROR(__xludf.DUMMYFUNCTION("""COMPUTED_VALUE"""),"Seneca High School")</f>
        <v>Seneca High School</v>
      </c>
      <c r="D466" s="5">
        <f ca="1">IFERROR(__xludf.DUMMYFUNCTION("""COMPUTED_VALUE"""),0)</f>
        <v>0</v>
      </c>
      <c r="E466" s="5">
        <f ca="1">IFERROR(__xludf.DUMMYFUNCTION("""COMPUTED_VALUE"""),3)</f>
        <v>3</v>
      </c>
      <c r="F466" s="5">
        <f ca="1">IFERROR(__xludf.DUMMYFUNCTION("""COMPUTED_VALUE"""),3)</f>
        <v>3</v>
      </c>
      <c r="G466" s="5">
        <f ca="1">IFERROR(__xludf.DUMMYFUNCTION("""COMPUTED_VALUE"""),0)</f>
        <v>0</v>
      </c>
      <c r="H466"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I466" s="5">
        <f ca="1">IFERROR(__xludf.DUMMYFUNCTION("""COMPUTED_VALUE"""),3)</f>
        <v>3</v>
      </c>
      <c r="J466" s="5" t="str">
        <f ca="1">IFERROR(__xludf.DUMMYFUNCTION("""COMPUTED_VALUE"""),"Local")</f>
        <v>Local</v>
      </c>
      <c r="K466" s="5">
        <f ca="1">IFERROR(__xludf.DUMMYFUNCTION("""COMPUTED_VALUE"""),4)</f>
        <v>4</v>
      </c>
      <c r="L466" s="5" t="str">
        <f ca="1">IFERROR(__xludf.DUMMYFUNCTION("""COMPUTED_VALUE"""),"Fall")</f>
        <v>Fall</v>
      </c>
      <c r="M466" s="5" t="str">
        <f ca="1">IFERROR(__xludf.DUMMYFUNCTION("""COMPUTED_VALUE"""),"Louisville")</f>
        <v>Louisville</v>
      </c>
      <c r="N466" s="5" t="str">
        <f ca="1">IFERROR(__xludf.DUMMYFUNCTION("""COMPUTED_VALUE"""),"KY")</f>
        <v>KY</v>
      </c>
      <c r="O466" s="5" t="str">
        <f ca="1">IFERROR(__xludf.DUMMYFUNCTION("""COMPUTED_VALUE"""),"High")</f>
        <v>High</v>
      </c>
      <c r="P466" s="5" t="str">
        <f ca="1">IFERROR(__xludf.DUMMYFUNCTION("""COMPUTED_VALUE"""),"Parking Lot (Bus)")</f>
        <v>Parking Lot (Bus)</v>
      </c>
      <c r="Q466" s="5" t="str">
        <f ca="1">IFERROR(__xludf.DUMMYFUNCTION("""COMPUTED_VALUE"""),"Outside on School Property")</f>
        <v>Outside on School Property</v>
      </c>
      <c r="R466" s="5" t="str">
        <f ca="1">IFERROR(__xludf.DUMMYFUNCTION("""COMPUTED_VALUE"""),"No")</f>
        <v>No</v>
      </c>
      <c r="S466" s="5" t="str">
        <f ca="1">IFERROR(__xludf.DUMMYFUNCTION("""COMPUTED_VALUE"""),"Not a School Day")</f>
        <v>Not a School Day</v>
      </c>
      <c r="T466" s="10">
        <f ca="1">IFERROR(__xludf.DUMMYFUNCTION("""COMPUTED_VALUE"""),0.559722222222222)</f>
        <v>0.55972222222222201</v>
      </c>
      <c r="U466" s="5">
        <f ca="1">IFERROR(__xludf.DUMMYFUNCTION("""COMPUTED_VALUE"""),1)</f>
        <v>1</v>
      </c>
      <c r="V466" s="5" t="str">
        <f ca="1">IFERROR(__xludf.DUMMYFUNCTION("""COMPUTED_VALUE"""),"Three teens shot in school parking lot")</f>
        <v>Three teens shot in school parking lot</v>
      </c>
      <c r="W466"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X466" s="5"/>
      <c r="Y466" s="5"/>
      <c r="Z466" s="5"/>
      <c r="AA466" s="5"/>
      <c r="AB466" s="5" t="str">
        <f ca="1">IFERROR(__xludf.DUMMYFUNCTION("""COMPUTED_VALUE"""),"No")</f>
        <v>No</v>
      </c>
      <c r="AC466" s="5" t="str">
        <f ca="1">IFERROR(__xludf.DUMMYFUNCTION("""COMPUTED_VALUE"""),"No")</f>
        <v>No</v>
      </c>
      <c r="AD466" s="5" t="str">
        <f ca="1">IFERROR(__xludf.DUMMYFUNCTION("""COMPUTED_VALUE"""),"No")</f>
        <v>No</v>
      </c>
      <c r="AE466" s="5" t="str">
        <f ca="1">IFERROR(__xludf.DUMMYFUNCTION("""COMPUTED_VALUE"""),"No")</f>
        <v>No</v>
      </c>
      <c r="AF466" s="5" t="str">
        <f ca="1">IFERROR(__xludf.DUMMYFUNCTION("""COMPUTED_VALUE"""),"No")</f>
        <v>No</v>
      </c>
      <c r="AG466" s="5"/>
      <c r="AH466" s="5" t="str">
        <f ca="1">IFERROR(__xludf.DUMMYFUNCTION("""COMPUTED_VALUE"""),"No")</f>
        <v>No</v>
      </c>
    </row>
    <row r="467" spans="1:34" ht="12.75">
      <c r="A467" s="5" t="str">
        <f ca="1">IFERROR(__xludf.DUMMYFUNCTION("""COMPUTED_VALUE"""),"20201014WAWAS")</f>
        <v>20201014WAWAS</v>
      </c>
      <c r="B467" s="8">
        <f ca="1">IFERROR(__xludf.DUMMYFUNCTION("""COMPUTED_VALUE"""),44118)</f>
        <v>44118</v>
      </c>
      <c r="C467" s="5" t="str">
        <f ca="1">IFERROR(__xludf.DUMMYFUNCTION("""COMPUTED_VALUE"""),"Washington Elementary School")</f>
        <v>Washington Elementary School</v>
      </c>
      <c r="D467" s="5">
        <f ca="1">IFERROR(__xludf.DUMMYFUNCTION("""COMPUTED_VALUE"""),0)</f>
        <v>0</v>
      </c>
      <c r="E467" s="5">
        <f ca="1">IFERROR(__xludf.DUMMYFUNCTION("""COMPUTED_VALUE"""),0)</f>
        <v>0</v>
      </c>
      <c r="F467" s="5">
        <f ca="1">IFERROR(__xludf.DUMMYFUNCTION("""COMPUTED_VALUE"""),0)</f>
        <v>0</v>
      </c>
      <c r="G467" s="5">
        <f ca="1">IFERROR(__xludf.DUMMYFUNCTION("""COMPUTED_VALUE"""),0)</f>
        <v>0</v>
      </c>
      <c r="H467"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I467" s="5">
        <f ca="1">IFERROR(__xludf.DUMMYFUNCTION("""COMPUTED_VALUE"""),2)</f>
        <v>2</v>
      </c>
      <c r="J467" s="5" t="str">
        <f ca="1">IFERROR(__xludf.DUMMYFUNCTION("""COMPUTED_VALUE"""),"Local")</f>
        <v>Local</v>
      </c>
      <c r="K467" s="5">
        <f ca="1">IFERROR(__xludf.DUMMYFUNCTION("""COMPUTED_VALUE"""),3)</f>
        <v>3</v>
      </c>
      <c r="L467" s="5" t="str">
        <f ca="1">IFERROR(__xludf.DUMMYFUNCTION("""COMPUTED_VALUE"""),"Fall")</f>
        <v>Fall</v>
      </c>
      <c r="M467" s="5" t="str">
        <f ca="1">IFERROR(__xludf.DUMMYFUNCTION("""COMPUTED_VALUE"""),"Sunnyside")</f>
        <v>Sunnyside</v>
      </c>
      <c r="N467" s="5" t="str">
        <f ca="1">IFERROR(__xludf.DUMMYFUNCTION("""COMPUTED_VALUE"""),"WA")</f>
        <v>WA</v>
      </c>
      <c r="O467" s="5" t="str">
        <f ca="1">IFERROR(__xludf.DUMMYFUNCTION("""COMPUTED_VALUE"""),"Elementary")</f>
        <v>Elementary</v>
      </c>
      <c r="P467" s="5" t="str">
        <f ca="1">IFERROR(__xludf.DUMMYFUNCTION("""COMPUTED_VALUE"""),"Front of School")</f>
        <v>Front of School</v>
      </c>
      <c r="Q467" s="5" t="str">
        <f ca="1">IFERROR(__xludf.DUMMYFUNCTION("""COMPUTED_VALUE"""),"Off School Property")</f>
        <v>Off School Property</v>
      </c>
      <c r="R467" s="5" t="str">
        <f ca="1">IFERROR(__xludf.DUMMYFUNCTION("""COMPUTED_VALUE"""),"Yes")</f>
        <v>Yes</v>
      </c>
      <c r="S467" s="5" t="str">
        <f ca="1">IFERROR(__xludf.DUMMYFUNCTION("""COMPUTED_VALUE"""),"Morning Classes")</f>
        <v>Morning Classes</v>
      </c>
      <c r="T467" s="10">
        <f ca="1">IFERROR(__xludf.DUMMYFUNCTION("""COMPUTED_VALUE"""),0.444444444444444)</f>
        <v>0.44444444444444398</v>
      </c>
      <c r="U467" s="5">
        <f ca="1">IFERROR(__xludf.DUMMYFUNCTION("""COMPUTED_VALUE"""),1)</f>
        <v>1</v>
      </c>
      <c r="V467" s="5" t="str">
        <f ca="1">IFERROR(__xludf.DUMMYFUNCTION("""COMPUTED_VALUE"""),"Shots from drive-by shooting struck occupied school building")</f>
        <v>Shots from drive-by shooting struck occupied school building</v>
      </c>
      <c r="W467"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X467" s="5" t="str">
        <f ca="1">IFERROR(__xludf.DUMMYFUNCTION("""COMPUTED_VALUE"""),"Drive-by Shooting")</f>
        <v>Drive-by Shooting</v>
      </c>
      <c r="Y467" s="5" t="str">
        <f ca="1">IFERROR(__xludf.DUMMYFUNCTION("""COMPUTED_VALUE"""),"Victims Targeted")</f>
        <v>Victims Targeted</v>
      </c>
      <c r="Z467" s="5" t="str">
        <f ca="1">IFERROR(__xludf.DUMMYFUNCTION("""COMPUTED_VALUE"""),"Yes")</f>
        <v>Yes</v>
      </c>
      <c r="AA467" s="5" t="str">
        <f ca="1">IFERROR(__xludf.DUMMYFUNCTION("""COMPUTED_VALUE"""),"Two men fired shots at a third man")</f>
        <v>Two men fired shots at a third man</v>
      </c>
      <c r="AB467" s="5" t="str">
        <f ca="1">IFERROR(__xludf.DUMMYFUNCTION("""COMPUTED_VALUE"""),"No")</f>
        <v>No</v>
      </c>
      <c r="AC467" s="5" t="str">
        <f ca="1">IFERROR(__xludf.DUMMYFUNCTION("""COMPUTED_VALUE"""),"No")</f>
        <v>No</v>
      </c>
      <c r="AD467" s="5" t="str">
        <f ca="1">IFERROR(__xludf.DUMMYFUNCTION("""COMPUTED_VALUE"""),"No")</f>
        <v>No</v>
      </c>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row>
    <row r="468" spans="1:34" ht="12.75">
      <c r="A468" s="5" t="str">
        <f ca="1">IFERROR(__xludf.DUMMYFUNCTION("""COMPUTED_VALUE"""),"20201014PABRB")</f>
        <v>20201014PABRB</v>
      </c>
      <c r="B468" s="8">
        <f ca="1">IFERROR(__xludf.DUMMYFUNCTION("""COMPUTED_VALUE"""),44118)</f>
        <v>44118</v>
      </c>
      <c r="C468" s="5" t="str">
        <f ca="1">IFERROR(__xludf.DUMMYFUNCTION("""COMPUTED_VALUE"""),"Bradford Area School District")</f>
        <v>Bradford Area School District</v>
      </c>
      <c r="D468" s="5">
        <f ca="1">IFERROR(__xludf.DUMMYFUNCTION("""COMPUTED_VALUE"""),0)</f>
        <v>0</v>
      </c>
      <c r="E468" s="5">
        <f ca="1">IFERROR(__xludf.DUMMYFUNCTION("""COMPUTED_VALUE"""),0)</f>
        <v>0</v>
      </c>
      <c r="F468" s="5">
        <f ca="1">IFERROR(__xludf.DUMMYFUNCTION("""COMPUTED_VALUE"""),0)</f>
        <v>0</v>
      </c>
      <c r="G468" s="5">
        <f ca="1">IFERROR(__xludf.DUMMYFUNCTION("""COMPUTED_VALUE"""),0)</f>
        <v>0</v>
      </c>
      <c r="H468"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I468" s="5">
        <f ca="1">IFERROR(__xludf.DUMMYFUNCTION("""COMPUTED_VALUE"""),1)</f>
        <v>1</v>
      </c>
      <c r="J468" s="5" t="str">
        <f ca="1">IFERROR(__xludf.DUMMYFUNCTION("""COMPUTED_VALUE"""),"Local")</f>
        <v>Local</v>
      </c>
      <c r="K468" s="5">
        <f ca="1">IFERROR(__xludf.DUMMYFUNCTION("""COMPUTED_VALUE"""),3)</f>
        <v>3</v>
      </c>
      <c r="L468" s="5" t="str">
        <f ca="1">IFERROR(__xludf.DUMMYFUNCTION("""COMPUTED_VALUE"""),"Fall")</f>
        <v>Fall</v>
      </c>
      <c r="M468" s="5" t="str">
        <f ca="1">IFERROR(__xludf.DUMMYFUNCTION("""COMPUTED_VALUE"""),"Bradford")</f>
        <v>Bradford</v>
      </c>
      <c r="N468" s="5" t="str">
        <f ca="1">IFERROR(__xludf.DUMMYFUNCTION("""COMPUTED_VALUE"""),"PA")</f>
        <v>PA</v>
      </c>
      <c r="O468" s="5"/>
      <c r="P468" s="5" t="str">
        <f ca="1">IFERROR(__xludf.DUMMYFUNCTION("""COMPUTED_VALUE"""),"School Bus")</f>
        <v>School Bus</v>
      </c>
      <c r="Q468" s="5" t="str">
        <f ca="1">IFERROR(__xludf.DUMMYFUNCTION("""COMPUTED_VALUE"""),"School Bus")</f>
        <v>School Bus</v>
      </c>
      <c r="R468" s="5" t="str">
        <f ca="1">IFERROR(__xludf.DUMMYFUNCTION("""COMPUTED_VALUE"""),"Yes")</f>
        <v>Yes</v>
      </c>
      <c r="S468" s="5" t="str">
        <f ca="1">IFERROR(__xludf.DUMMYFUNCTION("""COMPUTED_VALUE"""),"After School")</f>
        <v>After School</v>
      </c>
      <c r="T468" s="5"/>
      <c r="U468" s="5">
        <f ca="1">IFERROR(__xludf.DUMMYFUNCTION("""COMPUTED_VALUE"""),1)</f>
        <v>1</v>
      </c>
      <c r="V468" s="5" t="str">
        <f ca="1">IFERROR(__xludf.DUMMYFUNCTION("""COMPUTED_VALUE"""),"School bus window behind driver's head struck by BB")</f>
        <v>School bus window behind driver's head struck by BB</v>
      </c>
      <c r="W468"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X468" s="5" t="str">
        <f ca="1">IFERROR(__xludf.DUMMYFUNCTION("""COMPUTED_VALUE"""),"Intentional Property Damage")</f>
        <v>Intentional Property Damage</v>
      </c>
      <c r="Y468" s="5" t="str">
        <f ca="1">IFERROR(__xludf.DUMMYFUNCTION("""COMPUTED_VALUE"""),"Neither")</f>
        <v>Neither</v>
      </c>
      <c r="Z468" s="5" t="str">
        <f ca="1">IFERROR(__xludf.DUMMYFUNCTION("""COMPUTED_VALUE"""),"No")</f>
        <v>No</v>
      </c>
      <c r="AA468" s="5"/>
      <c r="AB468" s="5" t="str">
        <f ca="1">IFERROR(__xludf.DUMMYFUNCTION("""COMPUTED_VALUE"""),"No")</f>
        <v>No</v>
      </c>
      <c r="AC468" s="5" t="str">
        <f ca="1">IFERROR(__xludf.DUMMYFUNCTION("""COMPUTED_VALUE"""),"No")</f>
        <v>No</v>
      </c>
      <c r="AD468" s="5" t="str">
        <f ca="1">IFERROR(__xludf.DUMMYFUNCTION("""COMPUTED_VALUE"""),"No")</f>
        <v>No</v>
      </c>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row>
    <row r="469" spans="1:34" ht="12.75">
      <c r="A469" s="5" t="str">
        <f ca="1">IFERROR(__xludf.DUMMYFUNCTION("""COMPUTED_VALUE"""),"20201013RIRHP")</f>
        <v>20201013RIRHP</v>
      </c>
      <c r="B469" s="8">
        <f ca="1">IFERROR(__xludf.DUMMYFUNCTION("""COMPUTED_VALUE"""),44117)</f>
        <v>44117</v>
      </c>
      <c r="C469" s="5" t="str">
        <f ca="1">IFERROR(__xludf.DUMMYFUNCTION("""COMPUTED_VALUE"""),"Rhode Island School for the Deaf")</f>
        <v>Rhode Island School for the Deaf</v>
      </c>
      <c r="D469" s="5">
        <f ca="1">IFERROR(__xludf.DUMMYFUNCTION("""COMPUTED_VALUE"""),1)</f>
        <v>1</v>
      </c>
      <c r="E469" s="5">
        <f ca="1">IFERROR(__xludf.DUMMYFUNCTION("""COMPUTED_VALUE"""),2)</f>
        <v>2</v>
      </c>
      <c r="F469" s="5">
        <f ca="1">IFERROR(__xludf.DUMMYFUNCTION("""COMPUTED_VALUE"""),3)</f>
        <v>3</v>
      </c>
      <c r="G469" s="5">
        <f ca="1">IFERROR(__xludf.DUMMYFUNCTION("""COMPUTED_VALUE"""),0)</f>
        <v>0</v>
      </c>
      <c r="H469"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I469" s="5">
        <f ca="1">IFERROR(__xludf.DUMMYFUNCTION("""COMPUTED_VALUE"""),2)</f>
        <v>2</v>
      </c>
      <c r="J469" s="5" t="str">
        <f ca="1">IFERROR(__xludf.DUMMYFUNCTION("""COMPUTED_VALUE"""),"Local")</f>
        <v>Local</v>
      </c>
      <c r="K469" s="5">
        <f ca="1">IFERROR(__xludf.DUMMYFUNCTION("""COMPUTED_VALUE"""),4)</f>
        <v>4</v>
      </c>
      <c r="L469" s="5" t="str">
        <f ca="1">IFERROR(__xludf.DUMMYFUNCTION("""COMPUTED_VALUE"""),"Fall")</f>
        <v>Fall</v>
      </c>
      <c r="M469" s="5" t="str">
        <f ca="1">IFERROR(__xludf.DUMMYFUNCTION("""COMPUTED_VALUE"""),"Providence")</f>
        <v>Providence</v>
      </c>
      <c r="N469" s="5" t="str">
        <f ca="1">IFERROR(__xludf.DUMMYFUNCTION("""COMPUTED_VALUE"""),"RI")</f>
        <v>RI</v>
      </c>
      <c r="O469" s="5" t="str">
        <f ca="1">IFERROR(__xludf.DUMMYFUNCTION("""COMPUTED_VALUE"""),"K-12")</f>
        <v>K-12</v>
      </c>
      <c r="P469" s="5" t="str">
        <f ca="1">IFERROR(__xludf.DUMMYFUNCTION("""COMPUTED_VALUE"""),"Parking Lot")</f>
        <v>Parking Lot</v>
      </c>
      <c r="Q469" s="5" t="str">
        <f ca="1">IFERROR(__xludf.DUMMYFUNCTION("""COMPUTED_VALUE"""),"Outside on School Property")</f>
        <v>Outside on School Property</v>
      </c>
      <c r="R469" s="5" t="str">
        <f ca="1">IFERROR(__xludf.DUMMYFUNCTION("""COMPUTED_VALUE"""),"No")</f>
        <v>No</v>
      </c>
      <c r="S469" s="5" t="str">
        <f ca="1">IFERROR(__xludf.DUMMYFUNCTION("""COMPUTED_VALUE"""),"After School")</f>
        <v>After School</v>
      </c>
      <c r="T469" s="10">
        <f ca="1">IFERROR(__xludf.DUMMYFUNCTION("""COMPUTED_VALUE"""),0.6875)</f>
        <v>0.6875</v>
      </c>
      <c r="U469" s="5">
        <f ca="1">IFERROR(__xludf.DUMMYFUNCTION("""COMPUTED_VALUE"""),1)</f>
        <v>1</v>
      </c>
      <c r="V469" s="5" t="str">
        <f ca="1">IFERROR(__xludf.DUMMYFUNCTION("""COMPUTED_VALUE"""),"3 adult men shot in the school parking lot")</f>
        <v>3 adult men shot in the school parking lot</v>
      </c>
      <c r="W469"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X469" s="5"/>
      <c r="Y469" s="5" t="str">
        <f ca="1">IFERROR(__xludf.DUMMYFUNCTION("""COMPUTED_VALUE"""),"Victims Targeted")</f>
        <v>Victims Targeted</v>
      </c>
      <c r="Z469" s="5"/>
      <c r="AA469" s="5"/>
      <c r="AB469" s="5" t="str">
        <f ca="1">IFERROR(__xludf.DUMMYFUNCTION("""COMPUTED_VALUE"""),"No")</f>
        <v>No</v>
      </c>
      <c r="AC469" s="5" t="str">
        <f ca="1">IFERROR(__xludf.DUMMYFUNCTION("""COMPUTED_VALUE"""),"No")</f>
        <v>No</v>
      </c>
      <c r="AD469" s="5" t="str">
        <f ca="1">IFERROR(__xludf.DUMMYFUNCTION("""COMPUTED_VALUE"""),"No")</f>
        <v>No</v>
      </c>
      <c r="AE469" s="5" t="str">
        <f ca="1">IFERROR(__xludf.DUMMYFUNCTION("""COMPUTED_VALUE"""),"No")</f>
        <v>No</v>
      </c>
      <c r="AF469" s="5" t="str">
        <f ca="1">IFERROR(__xludf.DUMMYFUNCTION("""COMPUTED_VALUE"""),"No")</f>
        <v>No</v>
      </c>
      <c r="AG469" s="5"/>
      <c r="AH469" s="5" t="str">
        <f ca="1">IFERROR(__xludf.DUMMYFUNCTION("""COMPUTED_VALUE"""),"No")</f>
        <v>No</v>
      </c>
    </row>
    <row r="470" spans="1:34" ht="12.75">
      <c r="A470" s="5" t="str">
        <f ca="1">IFERROR(__xludf.DUMMYFUNCTION("""COMPUTED_VALUE"""),"20201012TXNOD")</f>
        <v>20201012TXNOD</v>
      </c>
      <c r="B470" s="8">
        <f ca="1">IFERROR(__xludf.DUMMYFUNCTION("""COMPUTED_VALUE"""),44116)</f>
        <v>44116</v>
      </c>
      <c r="C470" s="5" t="str">
        <f ca="1">IFERROR(__xludf.DUMMYFUNCTION("""COMPUTED_VALUE"""),"North Dallas High School")</f>
        <v>North Dallas High School</v>
      </c>
      <c r="D470" s="5">
        <f ca="1">IFERROR(__xludf.DUMMYFUNCTION("""COMPUTED_VALUE"""),0)</f>
        <v>0</v>
      </c>
      <c r="E470" s="5">
        <f ca="1">IFERROR(__xludf.DUMMYFUNCTION("""COMPUTED_VALUE"""),0)</f>
        <v>0</v>
      </c>
      <c r="F470" s="5">
        <f ca="1">IFERROR(__xludf.DUMMYFUNCTION("""COMPUTED_VALUE"""),0)</f>
        <v>0</v>
      </c>
      <c r="G470" s="5">
        <f ca="1">IFERROR(__xludf.DUMMYFUNCTION("""COMPUTED_VALUE"""),0)</f>
        <v>0</v>
      </c>
      <c r="H470"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I470" s="5">
        <f ca="1">IFERROR(__xludf.DUMMYFUNCTION("""COMPUTED_VALUE"""),1)</f>
        <v>1</v>
      </c>
      <c r="J470" s="5" t="str">
        <f ca="1">IFERROR(__xludf.DUMMYFUNCTION("""COMPUTED_VALUE"""),"Local")</f>
        <v>Local</v>
      </c>
      <c r="K470" s="5">
        <f ca="1">IFERROR(__xludf.DUMMYFUNCTION("""COMPUTED_VALUE"""),3)</f>
        <v>3</v>
      </c>
      <c r="L470" s="5" t="str">
        <f ca="1">IFERROR(__xludf.DUMMYFUNCTION("""COMPUTED_VALUE"""),"Fall")</f>
        <v>Fall</v>
      </c>
      <c r="M470" s="5" t="str">
        <f ca="1">IFERROR(__xludf.DUMMYFUNCTION("""COMPUTED_VALUE"""),"Dallas")</f>
        <v>Dallas</v>
      </c>
      <c r="N470" s="5" t="str">
        <f ca="1">IFERROR(__xludf.DUMMYFUNCTION("""COMPUTED_VALUE"""),"TX")</f>
        <v>TX</v>
      </c>
      <c r="O470" s="5" t="str">
        <f ca="1">IFERROR(__xludf.DUMMYFUNCTION("""COMPUTED_VALUE"""),"High")</f>
        <v>High</v>
      </c>
      <c r="P470" s="5" t="str">
        <f ca="1">IFERROR(__xludf.DUMMYFUNCTION("""COMPUTED_VALUE"""),"Parking Lot")</f>
        <v>Parking Lot</v>
      </c>
      <c r="Q470" s="5" t="str">
        <f ca="1">IFERROR(__xludf.DUMMYFUNCTION("""COMPUTED_VALUE"""),"Outside on School Property")</f>
        <v>Outside on School Property</v>
      </c>
      <c r="R470" s="5" t="str">
        <f ca="1">IFERROR(__xludf.DUMMYFUNCTION("""COMPUTED_VALUE"""),"Yes")</f>
        <v>Yes</v>
      </c>
      <c r="S470" s="5" t="str">
        <f ca="1">IFERROR(__xludf.DUMMYFUNCTION("""COMPUTED_VALUE"""),"Afternoon Classes")</f>
        <v>Afternoon Classes</v>
      </c>
      <c r="T470" s="5"/>
      <c r="U470" s="5">
        <f ca="1">IFERROR(__xludf.DUMMYFUNCTION("""COMPUTED_VALUE"""),1)</f>
        <v>1</v>
      </c>
      <c r="V470" s="5" t="str">
        <f ca="1">IFERROR(__xludf.DUMMYFUNCTION("""COMPUTED_VALUE"""),"Shots fired during dispute in school parking lot")</f>
        <v>Shots fired during dispute in school parking lot</v>
      </c>
      <c r="W470"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X470" s="5" t="str">
        <f ca="1">IFERROR(__xludf.DUMMYFUNCTION("""COMPUTED_VALUE"""),"Escalation of Dispute")</f>
        <v>Escalation of Dispute</v>
      </c>
      <c r="Y470" s="5" t="str">
        <f ca="1">IFERROR(__xludf.DUMMYFUNCTION("""COMPUTED_VALUE"""),"Victims Targeted")</f>
        <v>Victims Targeted</v>
      </c>
      <c r="Z470" s="5" t="str">
        <f ca="1">IFERROR(__xludf.DUMMYFUNCTION("""COMPUTED_VALUE"""),"No")</f>
        <v>No</v>
      </c>
      <c r="AA470" s="5"/>
      <c r="AB470" s="5" t="str">
        <f ca="1">IFERROR(__xludf.DUMMYFUNCTION("""COMPUTED_VALUE"""),"No")</f>
        <v>No</v>
      </c>
      <c r="AC470" s="5" t="str">
        <f ca="1">IFERROR(__xludf.DUMMYFUNCTION("""COMPUTED_VALUE"""),"No")</f>
        <v>No</v>
      </c>
      <c r="AD470" s="5" t="str">
        <f ca="1">IFERROR(__xludf.DUMMYFUNCTION("""COMPUTED_VALUE"""),"No")</f>
        <v>No</v>
      </c>
      <c r="AE470" s="5" t="str">
        <f ca="1">IFERROR(__xludf.DUMMYFUNCTION("""COMPUTED_VALUE"""),"No")</f>
        <v>No</v>
      </c>
      <c r="AF470" s="5" t="str">
        <f ca="1">IFERROR(__xludf.DUMMYFUNCTION("""COMPUTED_VALUE"""),"No")</f>
        <v>No</v>
      </c>
      <c r="AG470" s="5" t="str">
        <f ca="1">IFERROR(__xludf.DUMMYFUNCTION("""COMPUTED_VALUE"""),"No")</f>
        <v>No</v>
      </c>
      <c r="AH470" s="5" t="str">
        <f ca="1">IFERROR(__xludf.DUMMYFUNCTION("""COMPUTED_VALUE"""),"No")</f>
        <v>No</v>
      </c>
    </row>
    <row r="471" spans="1:34" ht="12.75">
      <c r="A471" s="5" t="str">
        <f ca="1">IFERROR(__xludf.DUMMYFUNCTION("""COMPUTED_VALUE"""),"20201012MNSHS")</f>
        <v>20201012MNSHS</v>
      </c>
      <c r="B471" s="8">
        <f ca="1">IFERROR(__xludf.DUMMYFUNCTION("""COMPUTED_VALUE"""),44116)</f>
        <v>44116</v>
      </c>
      <c r="C471" s="5" t="str">
        <f ca="1">IFERROR(__xludf.DUMMYFUNCTION("""COMPUTED_VALUE"""),"Shakopee High School")</f>
        <v>Shakopee High School</v>
      </c>
      <c r="D471" s="5">
        <f ca="1">IFERROR(__xludf.DUMMYFUNCTION("""COMPUTED_VALUE"""),0)</f>
        <v>0</v>
      </c>
      <c r="E471" s="5">
        <f ca="1">IFERROR(__xludf.DUMMYFUNCTION("""COMPUTED_VALUE"""),0)</f>
        <v>0</v>
      </c>
      <c r="F471" s="5">
        <f ca="1">IFERROR(__xludf.DUMMYFUNCTION("""COMPUTED_VALUE"""),0)</f>
        <v>0</v>
      </c>
      <c r="G471" s="5">
        <f ca="1">IFERROR(__xludf.DUMMYFUNCTION("""COMPUTED_VALUE"""),0)</f>
        <v>0</v>
      </c>
      <c r="H471" s="9" t="str">
        <f ca="1">IFERROR(__xludf.DUMMYFUNCTION("""COMPUTED_VALUE"""),"https://www.fox9.com/news/target-shooter-fires-accidental-shots-near-shakopee-sports-stadium")</f>
        <v>https://www.fox9.com/news/target-shooter-fires-accidental-shots-near-shakopee-sports-stadium</v>
      </c>
      <c r="I471" s="5">
        <f ca="1">IFERROR(__xludf.DUMMYFUNCTION("""COMPUTED_VALUE"""),1)</f>
        <v>1</v>
      </c>
      <c r="J471" s="5" t="str">
        <f ca="1">IFERROR(__xludf.DUMMYFUNCTION("""COMPUTED_VALUE"""),"Local")</f>
        <v>Local</v>
      </c>
      <c r="K471" s="5">
        <f ca="1">IFERROR(__xludf.DUMMYFUNCTION("""COMPUTED_VALUE"""),4)</f>
        <v>4</v>
      </c>
      <c r="L471" s="5" t="str">
        <f ca="1">IFERROR(__xludf.DUMMYFUNCTION("""COMPUTED_VALUE"""),"Fall")</f>
        <v>Fall</v>
      </c>
      <c r="M471" s="5" t="str">
        <f ca="1">IFERROR(__xludf.DUMMYFUNCTION("""COMPUTED_VALUE"""),"Shakopee")</f>
        <v>Shakopee</v>
      </c>
      <c r="N471" s="5" t="str">
        <f ca="1">IFERROR(__xludf.DUMMYFUNCTION("""COMPUTED_VALUE"""),"MN")</f>
        <v>MN</v>
      </c>
      <c r="O471" s="5" t="str">
        <f ca="1">IFERROR(__xludf.DUMMYFUNCTION("""COMPUTED_VALUE"""),"High")</f>
        <v>High</v>
      </c>
      <c r="P471" s="5" t="str">
        <f ca="1">IFERROR(__xludf.DUMMYFUNCTION("""COMPUTED_VALUE"""),"Field (General)")</f>
        <v>Field (General)</v>
      </c>
      <c r="Q471" s="5" t="str">
        <f ca="1">IFERROR(__xludf.DUMMYFUNCTION("""COMPUTED_VALUE"""),"Off School Property")</f>
        <v>Off School Property</v>
      </c>
      <c r="R471" s="5" t="str">
        <f ca="1">IFERROR(__xludf.DUMMYFUNCTION("""COMPUTED_VALUE"""),"No")</f>
        <v>No</v>
      </c>
      <c r="S471" s="5" t="str">
        <f ca="1">IFERROR(__xludf.DUMMYFUNCTION("""COMPUTED_VALUE"""),"School Event")</f>
        <v>School Event</v>
      </c>
      <c r="T471" s="10">
        <f ca="1">IFERROR(__xludf.DUMMYFUNCTION("""COMPUTED_VALUE"""),0.729166666666666)</f>
        <v>0.72916666666666596</v>
      </c>
      <c r="U471" s="5"/>
      <c r="V471" s="5" t="str">
        <f ca="1">IFERROR(__xludf.DUMMYFUNCTION("""COMPUTED_VALUE"""),"Shots fired at field during high school baseball practice")</f>
        <v>Shots fired at field during high school baseball practice</v>
      </c>
      <c r="W471"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X471" s="5" t="str">
        <f ca="1">IFERROR(__xludf.DUMMYFUNCTION("""COMPUTED_VALUE"""),"Accidental")</f>
        <v>Accidental</v>
      </c>
      <c r="Y471" s="5" t="str">
        <f ca="1">IFERROR(__xludf.DUMMYFUNCTION("""COMPUTED_VALUE"""),"Neither")</f>
        <v>Neither</v>
      </c>
      <c r="Z471" s="5" t="str">
        <f ca="1">IFERROR(__xludf.DUMMYFUNCTION("""COMPUTED_VALUE"""),"No")</f>
        <v>No</v>
      </c>
      <c r="AA471" s="5"/>
      <c r="AB471" s="5" t="str">
        <f ca="1">IFERROR(__xludf.DUMMYFUNCTION("""COMPUTED_VALUE"""),"No")</f>
        <v>No</v>
      </c>
      <c r="AC471" s="5" t="str">
        <f ca="1">IFERROR(__xludf.DUMMYFUNCTION("""COMPUTED_VALUE"""),"No")</f>
        <v>No</v>
      </c>
      <c r="AD471" s="5"/>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row>
    <row r="472" spans="1:34" ht="12.75">
      <c r="A472" s="5" t="str">
        <f ca="1">IFERROR(__xludf.DUMMYFUNCTION("""COMPUTED_VALUE"""),"20201009FLJEJ")</f>
        <v>20201009FLJEJ</v>
      </c>
      <c r="B472" s="8">
        <f ca="1">IFERROR(__xludf.DUMMYFUNCTION("""COMPUTED_VALUE"""),44113)</f>
        <v>44113</v>
      </c>
      <c r="C472" s="5" t="str">
        <f ca="1">IFERROR(__xludf.DUMMYFUNCTION("""COMPUTED_VALUE"""),"Jean Ribault High School")</f>
        <v>Jean Ribault High School</v>
      </c>
      <c r="D472" s="5">
        <f ca="1">IFERROR(__xludf.DUMMYFUNCTION("""COMPUTED_VALUE"""),0)</f>
        <v>0</v>
      </c>
      <c r="E472" s="5">
        <f ca="1">IFERROR(__xludf.DUMMYFUNCTION("""COMPUTED_VALUE"""),1)</f>
        <v>1</v>
      </c>
      <c r="F472" s="5">
        <f ca="1">IFERROR(__xludf.DUMMYFUNCTION("""COMPUTED_VALUE"""),1)</f>
        <v>1</v>
      </c>
      <c r="G472" s="5">
        <f ca="1">IFERROR(__xludf.DUMMYFUNCTION("""COMPUTED_VALUE"""),0)</f>
        <v>0</v>
      </c>
      <c r="H472"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I472" s="5">
        <f ca="1">IFERROR(__xludf.DUMMYFUNCTION("""COMPUTED_VALUE"""),5)</f>
        <v>5</v>
      </c>
      <c r="J472" s="5" t="str">
        <f ca="1">IFERROR(__xludf.DUMMYFUNCTION("""COMPUTED_VALUE"""),"Local")</f>
        <v>Local</v>
      </c>
      <c r="K472" s="5">
        <f ca="1">IFERROR(__xludf.DUMMYFUNCTION("""COMPUTED_VALUE"""),4)</f>
        <v>4</v>
      </c>
      <c r="L472" s="5" t="str">
        <f ca="1">IFERROR(__xludf.DUMMYFUNCTION("""COMPUTED_VALUE"""),"Fall")</f>
        <v>Fall</v>
      </c>
      <c r="M472" s="5" t="str">
        <f ca="1">IFERROR(__xludf.DUMMYFUNCTION("""COMPUTED_VALUE"""),"Jacksonville")</f>
        <v>Jacksonville</v>
      </c>
      <c r="N472" s="5" t="str">
        <f ca="1">IFERROR(__xludf.DUMMYFUNCTION("""COMPUTED_VALUE"""),"FL")</f>
        <v>FL</v>
      </c>
      <c r="O472" s="5" t="str">
        <f ca="1">IFERROR(__xludf.DUMMYFUNCTION("""COMPUTED_VALUE"""),"High")</f>
        <v>High</v>
      </c>
      <c r="P472" s="5"/>
      <c r="Q472" s="5"/>
      <c r="R472" s="5"/>
      <c r="S472" s="5"/>
      <c r="T472" s="10">
        <f ca="1">IFERROR(__xludf.DUMMYFUNCTION("""COMPUTED_VALUE"""),0.583333333333333)</f>
        <v>0.58333333333333304</v>
      </c>
      <c r="U472" s="5">
        <f ca="1">IFERROR(__xludf.DUMMYFUNCTION("""COMPUTED_VALUE"""),1)</f>
        <v>1</v>
      </c>
      <c r="V472" s="5" t="str">
        <f ca="1">IFERROR(__xludf.DUMMYFUNCTION("""COMPUTED_VALUE"""),"Student shot in the arm by another student")</f>
        <v>Student shot in the arm by another student</v>
      </c>
      <c r="W472"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X472" s="5" t="str">
        <f ca="1">IFERROR(__xludf.DUMMYFUNCTION("""COMPUTED_VALUE"""),"Accidental")</f>
        <v>Accidental</v>
      </c>
      <c r="Y472" s="5" t="str">
        <f ca="1">IFERROR(__xludf.DUMMYFUNCTION("""COMPUTED_VALUE"""),"Random Shooting")</f>
        <v>Random Shooting</v>
      </c>
      <c r="Z472" s="5" t="str">
        <f ca="1">IFERROR(__xludf.DUMMYFUNCTION("""COMPUTED_VALUE"""),"No")</f>
        <v>No</v>
      </c>
      <c r="AA472" s="5"/>
      <c r="AB472" s="5" t="str">
        <f ca="1">IFERROR(__xludf.DUMMYFUNCTION("""COMPUTED_VALUE"""),"No")</f>
        <v>No</v>
      </c>
      <c r="AC472" s="5" t="str">
        <f ca="1">IFERROR(__xludf.DUMMYFUNCTION("""COMPUTED_VALUE"""),"No")</f>
        <v>No</v>
      </c>
      <c r="AD472" s="5" t="str">
        <f ca="1">IFERROR(__xludf.DUMMYFUNCTION("""COMPUTED_VALUE"""),"No")</f>
        <v>No</v>
      </c>
      <c r="AE472" s="5" t="str">
        <f ca="1">IFERROR(__xludf.DUMMYFUNCTION("""COMPUTED_VALUE"""),"No")</f>
        <v>No</v>
      </c>
      <c r="AF472" s="5" t="str">
        <f ca="1">IFERROR(__xludf.DUMMYFUNCTION("""COMPUTED_VALUE"""),"No")</f>
        <v>No</v>
      </c>
      <c r="AG472" s="5" t="str">
        <f ca="1">IFERROR(__xludf.DUMMYFUNCTION("""COMPUTED_VALUE"""),"No")</f>
        <v>No</v>
      </c>
      <c r="AH472" s="5" t="str">
        <f ca="1">IFERROR(__xludf.DUMMYFUNCTION("""COMPUTED_VALUE"""),"No")</f>
        <v>No</v>
      </c>
    </row>
    <row r="473" spans="1:34" ht="12.75">
      <c r="A473" s="5" t="str">
        <f ca="1">IFERROR(__xludf.DUMMYFUNCTION("""COMPUTED_VALUE"""),"20201005OKSOM")</f>
        <v>20201005OKSOM</v>
      </c>
      <c r="B473" s="8">
        <f ca="1">IFERROR(__xludf.DUMMYFUNCTION("""COMPUTED_VALUE"""),44109)</f>
        <v>44109</v>
      </c>
      <c r="C473" s="5" t="str">
        <f ca="1">IFERROR(__xludf.DUMMYFUNCTION("""COMPUTED_VALUE"""),"Southridge Junior High")</f>
        <v>Southridge Junior High</v>
      </c>
      <c r="D473" s="5">
        <f ca="1">IFERROR(__xludf.DUMMYFUNCTION("""COMPUTED_VALUE"""),0)</f>
        <v>0</v>
      </c>
      <c r="E473" s="5">
        <f ca="1">IFERROR(__xludf.DUMMYFUNCTION("""COMPUTED_VALUE"""),0)</f>
        <v>0</v>
      </c>
      <c r="F473" s="5">
        <f ca="1">IFERROR(__xludf.DUMMYFUNCTION("""COMPUTED_VALUE"""),0)</f>
        <v>0</v>
      </c>
      <c r="G473" s="5">
        <f ca="1">IFERROR(__xludf.DUMMYFUNCTION("""COMPUTED_VALUE"""),0)</f>
        <v>0</v>
      </c>
      <c r="H473"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I473" s="5">
        <f ca="1">IFERROR(__xludf.DUMMYFUNCTION("""COMPUTED_VALUE"""),3)</f>
        <v>3</v>
      </c>
      <c r="J473" s="5" t="str">
        <f ca="1">IFERROR(__xludf.DUMMYFUNCTION("""COMPUTED_VALUE"""),"Local")</f>
        <v>Local</v>
      </c>
      <c r="K473" s="5">
        <f ca="1">IFERROR(__xludf.DUMMYFUNCTION("""COMPUTED_VALUE"""),3)</f>
        <v>3</v>
      </c>
      <c r="L473" s="5" t="str">
        <f ca="1">IFERROR(__xludf.DUMMYFUNCTION("""COMPUTED_VALUE"""),"Fall")</f>
        <v>Fall</v>
      </c>
      <c r="M473" s="5" t="str">
        <f ca="1">IFERROR(__xludf.DUMMYFUNCTION("""COMPUTED_VALUE"""),"Moore")</f>
        <v>Moore</v>
      </c>
      <c r="N473" s="5" t="str">
        <f ca="1">IFERROR(__xludf.DUMMYFUNCTION("""COMPUTED_VALUE"""),"OK")</f>
        <v>OK</v>
      </c>
      <c r="O473" s="5" t="str">
        <f ca="1">IFERROR(__xludf.DUMMYFUNCTION("""COMPUTED_VALUE"""),"High")</f>
        <v>High</v>
      </c>
      <c r="P473" s="5" t="str">
        <f ca="1">IFERROR(__xludf.DUMMYFUNCTION("""COMPUTED_VALUE"""),"School Bus")</f>
        <v>School Bus</v>
      </c>
      <c r="Q473" s="5" t="str">
        <f ca="1">IFERROR(__xludf.DUMMYFUNCTION("""COMPUTED_VALUE"""),"School Bus")</f>
        <v>School Bus</v>
      </c>
      <c r="R473" s="5" t="str">
        <f ca="1">IFERROR(__xludf.DUMMYFUNCTION("""COMPUTED_VALUE"""),"Yes")</f>
        <v>Yes</v>
      </c>
      <c r="S473" s="5" t="str">
        <f ca="1">IFERROR(__xludf.DUMMYFUNCTION("""COMPUTED_VALUE"""),"Before School")</f>
        <v>Before School</v>
      </c>
      <c r="T473" s="5"/>
      <c r="U473" s="5">
        <f ca="1">IFERROR(__xludf.DUMMYFUNCTION("""COMPUTED_VALUE"""),1)</f>
        <v>1</v>
      </c>
      <c r="V473" s="5" t="str">
        <f ca="1">IFERROR(__xludf.DUMMYFUNCTION("""COMPUTED_VALUE"""),"Student with airsoft gun fired multiple shots at other students on school bus")</f>
        <v>Student with airsoft gun fired multiple shots at other students on school bus</v>
      </c>
      <c r="W473"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X473" s="5"/>
      <c r="Y473" s="5"/>
      <c r="Z473" s="5" t="str">
        <f ca="1">IFERROR(__xludf.DUMMYFUNCTION("""COMPUTED_VALUE"""),"No")</f>
        <v>No</v>
      </c>
      <c r="AA473" s="5"/>
      <c r="AB473" s="5" t="str">
        <f ca="1">IFERROR(__xludf.DUMMYFUNCTION("""COMPUTED_VALUE"""),"No")</f>
        <v>No</v>
      </c>
      <c r="AC473" s="5" t="str">
        <f ca="1">IFERROR(__xludf.DUMMYFUNCTION("""COMPUTED_VALUE"""),"No")</f>
        <v>No</v>
      </c>
      <c r="AD473" s="5" t="str">
        <f ca="1">IFERROR(__xludf.DUMMYFUNCTION("""COMPUTED_VALUE"""),"No")</f>
        <v>No</v>
      </c>
      <c r="AE473" s="5"/>
      <c r="AF473" s="5" t="str">
        <f ca="1">IFERROR(__xludf.DUMMYFUNCTION("""COMPUTED_VALUE"""),"No")</f>
        <v>No</v>
      </c>
      <c r="AG473" s="5" t="str">
        <f ca="1">IFERROR(__xludf.DUMMYFUNCTION("""COMPUTED_VALUE"""),"No")</f>
        <v>No</v>
      </c>
      <c r="AH473" s="5" t="str">
        <f ca="1">IFERROR(__xludf.DUMMYFUNCTION("""COMPUTED_VALUE"""),"No")</f>
        <v>No</v>
      </c>
    </row>
    <row r="474" spans="1:34" ht="12.75">
      <c r="A474" s="5" t="str">
        <f ca="1">IFERROR(__xludf.DUMMYFUNCTION("""COMPUTED_VALUE"""),"20201005ARKIH")</f>
        <v>20201005ARKIH</v>
      </c>
      <c r="B474" s="8">
        <f ca="1">IFERROR(__xludf.DUMMYFUNCTION("""COMPUTED_VALUE"""),44109)</f>
        <v>44109</v>
      </c>
      <c r="C474" s="5" t="str">
        <f ca="1">IFERROR(__xludf.DUMMYFUNCTION("""COMPUTED_VALUE"""),"KIPP Delta Elementary School")</f>
        <v>KIPP Delta Elementary School</v>
      </c>
      <c r="D474" s="5">
        <f ca="1">IFERROR(__xludf.DUMMYFUNCTION("""COMPUTED_VALUE"""),1)</f>
        <v>1</v>
      </c>
      <c r="E474" s="5">
        <f ca="1">IFERROR(__xludf.DUMMYFUNCTION("""COMPUTED_VALUE"""),1)</f>
        <v>1</v>
      </c>
      <c r="F474" s="5">
        <f ca="1">IFERROR(__xludf.DUMMYFUNCTION("""COMPUTED_VALUE"""),2)</f>
        <v>2</v>
      </c>
      <c r="G474" s="5">
        <f ca="1">IFERROR(__xludf.DUMMYFUNCTION("""COMPUTED_VALUE"""),0)</f>
        <v>0</v>
      </c>
      <c r="H474"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I474" s="5">
        <f ca="1">IFERROR(__xludf.DUMMYFUNCTION("""COMPUTED_VALUE"""),2)</f>
        <v>2</v>
      </c>
      <c r="J474" s="5" t="str">
        <f ca="1">IFERROR(__xludf.DUMMYFUNCTION("""COMPUTED_VALUE"""),"Local")</f>
        <v>Local</v>
      </c>
      <c r="K474" s="5">
        <f ca="1">IFERROR(__xludf.DUMMYFUNCTION("""COMPUTED_VALUE"""),4)</f>
        <v>4</v>
      </c>
      <c r="L474" s="5" t="str">
        <f ca="1">IFERROR(__xludf.DUMMYFUNCTION("""COMPUTED_VALUE"""),"Fall")</f>
        <v>Fall</v>
      </c>
      <c r="M474" s="5" t="str">
        <f ca="1">IFERROR(__xludf.DUMMYFUNCTION("""COMPUTED_VALUE"""),"West Helena")</f>
        <v>West Helena</v>
      </c>
      <c r="N474" s="5" t="str">
        <f ca="1">IFERROR(__xludf.DUMMYFUNCTION("""COMPUTED_VALUE"""),"AR")</f>
        <v>AR</v>
      </c>
      <c r="O474" s="5" t="str">
        <f ca="1">IFERROR(__xludf.DUMMYFUNCTION("""COMPUTED_VALUE"""),"Elementary")</f>
        <v>Elementary</v>
      </c>
      <c r="P474" s="5" t="str">
        <f ca="1">IFERROR(__xludf.DUMMYFUNCTION("""COMPUTED_VALUE"""),"Front of School")</f>
        <v>Front of School</v>
      </c>
      <c r="Q474" s="5" t="str">
        <f ca="1">IFERROR(__xludf.DUMMYFUNCTION("""COMPUTED_VALUE"""),"Outside on School Property")</f>
        <v>Outside on School Property</v>
      </c>
      <c r="R474" s="5" t="str">
        <f ca="1">IFERROR(__xludf.DUMMYFUNCTION("""COMPUTED_VALUE"""),"Yes")</f>
        <v>Yes</v>
      </c>
      <c r="S474" s="5" t="str">
        <f ca="1">IFERROR(__xludf.DUMMYFUNCTION("""COMPUTED_VALUE"""),"Dismissal")</f>
        <v>Dismissal</v>
      </c>
      <c r="T474" s="10">
        <f ca="1">IFERROR(__xludf.DUMMYFUNCTION("""COMPUTED_VALUE"""),0.625)</f>
        <v>0.625</v>
      </c>
      <c r="U474" s="5"/>
      <c r="V474" s="5" t="str">
        <f ca="1">IFERROR(__xludf.DUMMYFUNCTION("""COMPUTED_VALUE"""),"Two men shot during domestic dispute in front of school during dismissal")</f>
        <v>Two men shot during domestic dispute in front of school during dismissal</v>
      </c>
      <c r="W474"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X474" s="5" t="str">
        <f ca="1">IFERROR(__xludf.DUMMYFUNCTION("""COMPUTED_VALUE"""),"Domestic w/ Targeted Victim")</f>
        <v>Domestic w/ Targeted Victim</v>
      </c>
      <c r="Y474" s="5" t="str">
        <f ca="1">IFERROR(__xludf.DUMMYFUNCTION("""COMPUTED_VALUE"""),"Victims Targeted")</f>
        <v>Victims Targeted</v>
      </c>
      <c r="Z474" s="5"/>
      <c r="AA474" s="5"/>
      <c r="AB474" s="5" t="str">
        <f ca="1">IFERROR(__xludf.DUMMYFUNCTION("""COMPUTED_VALUE"""),"No")</f>
        <v>No</v>
      </c>
      <c r="AC474" s="5" t="str">
        <f ca="1">IFERROR(__xludf.DUMMYFUNCTION("""COMPUTED_VALUE"""),"No")</f>
        <v>No</v>
      </c>
      <c r="AD474" s="5" t="str">
        <f ca="1">IFERROR(__xludf.DUMMYFUNCTION("""COMPUTED_VALUE"""),"No")</f>
        <v>No</v>
      </c>
      <c r="AE474" s="5" t="str">
        <f ca="1">IFERROR(__xludf.DUMMYFUNCTION("""COMPUTED_VALUE"""),"No")</f>
        <v>No</v>
      </c>
      <c r="AF474" s="5" t="str">
        <f ca="1">IFERROR(__xludf.DUMMYFUNCTION("""COMPUTED_VALUE"""),"Yes")</f>
        <v>Yes</v>
      </c>
      <c r="AG474" s="5" t="str">
        <f ca="1">IFERROR(__xludf.DUMMYFUNCTION("""COMPUTED_VALUE"""),"No")</f>
        <v>No</v>
      </c>
      <c r="AH474" s="5" t="str">
        <f ca="1">IFERROR(__xludf.DUMMYFUNCTION("""COMPUTED_VALUE"""),"No")</f>
        <v>No</v>
      </c>
    </row>
    <row r="475" spans="1:34" ht="12.75">
      <c r="A475" s="5" t="str">
        <f ca="1">IFERROR(__xludf.DUMMYFUNCTION("""COMPUTED_VALUE"""),"20201004NEADL")</f>
        <v>20201004NEADL</v>
      </c>
      <c r="B475" s="8">
        <f ca="1">IFERROR(__xludf.DUMMYFUNCTION("""COMPUTED_VALUE"""),44108)</f>
        <v>44108</v>
      </c>
      <c r="C475" s="5" t="str">
        <f ca="1">IFERROR(__xludf.DUMMYFUNCTION("""COMPUTED_VALUE"""),"Adam’s Elementary School")</f>
        <v>Adam’s Elementary School</v>
      </c>
      <c r="D475" s="5">
        <f ca="1">IFERROR(__xludf.DUMMYFUNCTION("""COMPUTED_VALUE"""),0)</f>
        <v>0</v>
      </c>
      <c r="E475" s="5">
        <f ca="1">IFERROR(__xludf.DUMMYFUNCTION("""COMPUTED_VALUE"""),0)</f>
        <v>0</v>
      </c>
      <c r="F475" s="5">
        <f ca="1">IFERROR(__xludf.DUMMYFUNCTION("""COMPUTED_VALUE"""),0)</f>
        <v>0</v>
      </c>
      <c r="G475" s="5">
        <f ca="1">IFERROR(__xludf.DUMMYFUNCTION("""COMPUTED_VALUE"""),0)</f>
        <v>0</v>
      </c>
      <c r="H475" s="9" t="str">
        <f ca="1">IFERROR(__xludf.DUMMYFUNCTION("""COMPUTED_VALUE"""),"https://www.klkntv.com/shots-fired-at-a-lincoln-elementary-school-officers-say-its-alarming/")</f>
        <v>https://www.klkntv.com/shots-fired-at-a-lincoln-elementary-school-officers-say-its-alarming/</v>
      </c>
      <c r="I475" s="5">
        <f ca="1">IFERROR(__xludf.DUMMYFUNCTION("""COMPUTED_VALUE"""),1)</f>
        <v>1</v>
      </c>
      <c r="J475" s="5" t="str">
        <f ca="1">IFERROR(__xludf.DUMMYFUNCTION("""COMPUTED_VALUE"""),"Local")</f>
        <v>Local</v>
      </c>
      <c r="K475" s="5">
        <f ca="1">IFERROR(__xludf.DUMMYFUNCTION("""COMPUTED_VALUE"""),3)</f>
        <v>3</v>
      </c>
      <c r="L475" s="5" t="str">
        <f ca="1">IFERROR(__xludf.DUMMYFUNCTION("""COMPUTED_VALUE"""),"Fall")</f>
        <v>Fall</v>
      </c>
      <c r="M475" s="5" t="str">
        <f ca="1">IFERROR(__xludf.DUMMYFUNCTION("""COMPUTED_VALUE"""),"Lincoln")</f>
        <v>Lincoln</v>
      </c>
      <c r="N475" s="5" t="str">
        <f ca="1">IFERROR(__xludf.DUMMYFUNCTION("""COMPUTED_VALUE"""),"NE")</f>
        <v>NE</v>
      </c>
      <c r="O475" s="5" t="str">
        <f ca="1">IFERROR(__xludf.DUMMYFUNCTION("""COMPUTED_VALUE"""),"Elementary")</f>
        <v>Elementary</v>
      </c>
      <c r="P475" s="5" t="str">
        <f ca="1">IFERROR(__xludf.DUMMYFUNCTION("""COMPUTED_VALUE"""),"Parking Lot")</f>
        <v>Parking Lot</v>
      </c>
      <c r="Q475" s="5" t="str">
        <f ca="1">IFERROR(__xludf.DUMMYFUNCTION("""COMPUTED_VALUE"""),"Outside on School Property")</f>
        <v>Outside on School Property</v>
      </c>
      <c r="R475" s="5" t="str">
        <f ca="1">IFERROR(__xludf.DUMMYFUNCTION("""COMPUTED_VALUE"""),"No")</f>
        <v>No</v>
      </c>
      <c r="S475" s="5"/>
      <c r="T475" s="5"/>
      <c r="U475" s="5"/>
      <c r="V475" s="5" t="str">
        <f ca="1">IFERROR(__xludf.DUMMYFUNCTION("""COMPUTED_VALUE"""),"Police found shell casings near the elementary school playground")</f>
        <v>Police found shell casings near the elementary school playground</v>
      </c>
      <c r="W475"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X475" s="5" t="str">
        <f ca="1">IFERROR(__xludf.DUMMYFUNCTION("""COMPUTED_VALUE"""),"Drive-by Shooting")</f>
        <v>Drive-by Shooting</v>
      </c>
      <c r="Y475" s="5" t="str">
        <f ca="1">IFERROR(__xludf.DUMMYFUNCTION("""COMPUTED_VALUE"""),"Neither")</f>
        <v>Neither</v>
      </c>
      <c r="Z475" s="5"/>
      <c r="AA475" s="5"/>
      <c r="AB475" s="5" t="str">
        <f ca="1">IFERROR(__xludf.DUMMYFUNCTION("""COMPUTED_VALUE"""),"No")</f>
        <v>No</v>
      </c>
      <c r="AC475" s="5" t="str">
        <f ca="1">IFERROR(__xludf.DUMMYFUNCTION("""COMPUTED_VALUE"""),"No")</f>
        <v>No</v>
      </c>
      <c r="AD475" s="5" t="str">
        <f ca="1">IFERROR(__xludf.DUMMYFUNCTION("""COMPUTED_VALUE"""),"No")</f>
        <v>No</v>
      </c>
      <c r="AE475" s="5" t="str">
        <f ca="1">IFERROR(__xludf.DUMMYFUNCTION("""COMPUTED_VALUE"""),"No")</f>
        <v>No</v>
      </c>
      <c r="AF475" s="5" t="str">
        <f ca="1">IFERROR(__xludf.DUMMYFUNCTION("""COMPUTED_VALUE"""),"No")</f>
        <v>No</v>
      </c>
      <c r="AG475" s="5"/>
      <c r="AH475" s="5" t="str">
        <f ca="1">IFERROR(__xludf.DUMMYFUNCTION("""COMPUTED_VALUE"""),"No")</f>
        <v>No</v>
      </c>
    </row>
    <row r="476" spans="1:34" ht="12.75">
      <c r="A476" s="5" t="str">
        <f ca="1">IFERROR(__xludf.DUMMYFUNCTION("""COMPUTED_VALUE"""),"20201002PAMAE")</f>
        <v>20201002PAMAE</v>
      </c>
      <c r="B476" s="8">
        <f ca="1">IFERROR(__xludf.DUMMYFUNCTION("""COMPUTED_VALUE"""),44106)</f>
        <v>44106</v>
      </c>
      <c r="C476" s="5" t="str">
        <f ca="1">IFERROR(__xludf.DUMMYFUNCTION("""COMPUTED_VALUE"""),"Marple-Newtown School Bus")</f>
        <v>Marple-Newtown School Bus</v>
      </c>
      <c r="D476" s="5">
        <f ca="1">IFERROR(__xludf.DUMMYFUNCTION("""COMPUTED_VALUE"""),0)</f>
        <v>0</v>
      </c>
      <c r="E476" s="5">
        <f ca="1">IFERROR(__xludf.DUMMYFUNCTION("""COMPUTED_VALUE"""),0)</f>
        <v>0</v>
      </c>
      <c r="F476" s="5">
        <f ca="1">IFERROR(__xludf.DUMMYFUNCTION("""COMPUTED_VALUE"""),0)</f>
        <v>0</v>
      </c>
      <c r="G476" s="5">
        <f ca="1">IFERROR(__xludf.DUMMYFUNCTION("""COMPUTED_VALUE"""),0)</f>
        <v>0</v>
      </c>
      <c r="H476"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I476" s="5">
        <f ca="1">IFERROR(__xludf.DUMMYFUNCTION("""COMPUTED_VALUE"""),1)</f>
        <v>1</v>
      </c>
      <c r="J476" s="5" t="str">
        <f ca="1">IFERROR(__xludf.DUMMYFUNCTION("""COMPUTED_VALUE"""),"Local")</f>
        <v>Local</v>
      </c>
      <c r="K476" s="5">
        <f ca="1">IFERROR(__xludf.DUMMYFUNCTION("""COMPUTED_VALUE"""),3)</f>
        <v>3</v>
      </c>
      <c r="L476" s="5" t="str">
        <f ca="1">IFERROR(__xludf.DUMMYFUNCTION("""COMPUTED_VALUE"""),"Fall")</f>
        <v>Fall</v>
      </c>
      <c r="M476" s="5" t="str">
        <f ca="1">IFERROR(__xludf.DUMMYFUNCTION("""COMPUTED_VALUE"""),"Exton")</f>
        <v>Exton</v>
      </c>
      <c r="N476" s="5" t="str">
        <f ca="1">IFERROR(__xludf.DUMMYFUNCTION("""COMPUTED_VALUE"""),"PA")</f>
        <v>PA</v>
      </c>
      <c r="O476" s="5"/>
      <c r="P476" s="5" t="str">
        <f ca="1">IFERROR(__xludf.DUMMYFUNCTION("""COMPUTED_VALUE"""),"School Bus")</f>
        <v>School Bus</v>
      </c>
      <c r="Q476" s="5" t="str">
        <f ca="1">IFERROR(__xludf.DUMMYFUNCTION("""COMPUTED_VALUE"""),"School Bus")</f>
        <v>School Bus</v>
      </c>
      <c r="R476" s="5"/>
      <c r="S476" s="5"/>
      <c r="T476" s="5"/>
      <c r="U476" s="5">
        <f ca="1">IFERROR(__xludf.DUMMYFUNCTION("""COMPUTED_VALUE"""),1)</f>
        <v>1</v>
      </c>
      <c r="V476" s="5" t="str">
        <f ca="1">IFERROR(__xludf.DUMMYFUNCTION("""COMPUTED_VALUE"""),"Multiple school bus windows shot while bus was driving on city street")</f>
        <v>Multiple school bus windows shot while bus was driving on city street</v>
      </c>
      <c r="W476"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X476" s="5" t="str">
        <f ca="1">IFERROR(__xludf.DUMMYFUNCTION("""COMPUTED_VALUE"""),"Intentional Property Damage")</f>
        <v>Intentional Property Damage</v>
      </c>
      <c r="Y476" s="5" t="str">
        <f ca="1">IFERROR(__xludf.DUMMYFUNCTION("""COMPUTED_VALUE"""),"Neither")</f>
        <v>Neither</v>
      </c>
      <c r="Z476" s="5"/>
      <c r="AA476" s="5"/>
      <c r="AB476" s="5" t="str">
        <f ca="1">IFERROR(__xludf.DUMMYFUNCTION("""COMPUTED_VALUE"""),"No")</f>
        <v>No</v>
      </c>
      <c r="AC476" s="5" t="str">
        <f ca="1">IFERROR(__xludf.DUMMYFUNCTION("""COMPUTED_VALUE"""),"No")</f>
        <v>No</v>
      </c>
      <c r="AD476" s="5" t="str">
        <f ca="1">IFERROR(__xludf.DUMMYFUNCTION("""COMPUTED_VALUE"""),"No")</f>
        <v>No</v>
      </c>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row>
    <row r="477" spans="1:34" ht="12.75">
      <c r="A477" s="5" t="str">
        <f ca="1">IFERROR(__xludf.DUMMYFUNCTION("""COMPUTED_VALUE"""),"20200930CADYL")</f>
        <v>20200930CADYL</v>
      </c>
      <c r="B477" s="8">
        <f ca="1">IFERROR(__xludf.DUMMYFUNCTION("""COMPUTED_VALUE"""),44104)</f>
        <v>44104</v>
      </c>
      <c r="C477" s="5" t="str">
        <f ca="1">IFERROR(__xludf.DUMMYFUNCTION("""COMPUTED_VALUE"""),"Dymally High School")</f>
        <v>Dymally High School</v>
      </c>
      <c r="D477" s="5">
        <f ca="1">IFERROR(__xludf.DUMMYFUNCTION("""COMPUTED_VALUE"""),0)</f>
        <v>0</v>
      </c>
      <c r="E477" s="5">
        <f ca="1">IFERROR(__xludf.DUMMYFUNCTION("""COMPUTED_VALUE"""),2)</f>
        <v>2</v>
      </c>
      <c r="F477" s="5">
        <f ca="1">IFERROR(__xludf.DUMMYFUNCTION("""COMPUTED_VALUE"""),2)</f>
        <v>2</v>
      </c>
      <c r="G477" s="5">
        <f ca="1">IFERROR(__xludf.DUMMYFUNCTION("""COMPUTED_VALUE"""),0)</f>
        <v>0</v>
      </c>
      <c r="H477"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I477" s="5">
        <f ca="1">IFERROR(__xludf.DUMMYFUNCTION("""COMPUTED_VALUE"""),1)</f>
        <v>1</v>
      </c>
      <c r="J477" s="5" t="str">
        <f ca="1">IFERROR(__xludf.DUMMYFUNCTION("""COMPUTED_VALUE"""),"Local")</f>
        <v>Local</v>
      </c>
      <c r="K477" s="5">
        <f ca="1">IFERROR(__xludf.DUMMYFUNCTION("""COMPUTED_VALUE"""),4)</f>
        <v>4</v>
      </c>
      <c r="L477" s="5" t="str">
        <f ca="1">IFERROR(__xludf.DUMMYFUNCTION("""COMPUTED_VALUE"""),"Fall")</f>
        <v>Fall</v>
      </c>
      <c r="M477" s="5" t="str">
        <f ca="1">IFERROR(__xludf.DUMMYFUNCTION("""COMPUTED_VALUE"""),"Los Angeles")</f>
        <v>Los Angeles</v>
      </c>
      <c r="N477" s="5" t="str">
        <f ca="1">IFERROR(__xludf.DUMMYFUNCTION("""COMPUTED_VALUE"""),"CA")</f>
        <v>CA</v>
      </c>
      <c r="O477" s="5" t="str">
        <f ca="1">IFERROR(__xludf.DUMMYFUNCTION("""COMPUTED_VALUE"""),"High")</f>
        <v>High</v>
      </c>
      <c r="P477" s="5" t="str">
        <f ca="1">IFERROR(__xludf.DUMMYFUNCTION("""COMPUTED_VALUE"""),"Front of School")</f>
        <v>Front of School</v>
      </c>
      <c r="Q477" s="5" t="str">
        <f ca="1">IFERROR(__xludf.DUMMYFUNCTION("""COMPUTED_VALUE"""),"Outside on School Property")</f>
        <v>Outside on School Property</v>
      </c>
      <c r="R477" s="5" t="str">
        <f ca="1">IFERROR(__xludf.DUMMYFUNCTION("""COMPUTED_VALUE"""),"Yes")</f>
        <v>Yes</v>
      </c>
      <c r="S477" s="5" t="str">
        <f ca="1">IFERROR(__xludf.DUMMYFUNCTION("""COMPUTED_VALUE"""),"Afternoon Classes")</f>
        <v>Afternoon Classes</v>
      </c>
      <c r="T477" s="5"/>
      <c r="U477" s="5">
        <f ca="1">IFERROR(__xludf.DUMMYFUNCTION("""COMPUTED_VALUE"""),1)</f>
        <v>1</v>
      </c>
      <c r="V477" s="5" t="str">
        <f ca="1">IFERROR(__xludf.DUMMYFUNCTION("""COMPUTED_VALUE"""),"Two men were shot in front of the school")</f>
        <v>Two men were shot in front of the school</v>
      </c>
      <c r="W477"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X477" s="5"/>
      <c r="Y477" s="5" t="str">
        <f ca="1">IFERROR(__xludf.DUMMYFUNCTION("""COMPUTED_VALUE"""),"Victims Targeted")</f>
        <v>Victims Targeted</v>
      </c>
      <c r="Z477" s="5"/>
      <c r="AA477" s="5"/>
      <c r="AB477" s="5" t="str">
        <f ca="1">IFERROR(__xludf.DUMMYFUNCTION("""COMPUTED_VALUE"""),"No")</f>
        <v>No</v>
      </c>
      <c r="AC477" s="5" t="str">
        <f ca="1">IFERROR(__xludf.DUMMYFUNCTION("""COMPUTED_VALUE"""),"No")</f>
        <v>No</v>
      </c>
      <c r="AD477" s="5" t="str">
        <f ca="1">IFERROR(__xludf.DUMMYFUNCTION("""COMPUTED_VALUE"""),"No")</f>
        <v>No</v>
      </c>
      <c r="AE477" s="5" t="str">
        <f ca="1">IFERROR(__xludf.DUMMYFUNCTION("""COMPUTED_VALUE"""),"No")</f>
        <v>No</v>
      </c>
      <c r="AF477" s="5" t="str">
        <f ca="1">IFERROR(__xludf.DUMMYFUNCTION("""COMPUTED_VALUE"""),"No")</f>
        <v>No</v>
      </c>
      <c r="AG477" s="5"/>
      <c r="AH477" s="5" t="str">
        <f ca="1">IFERROR(__xludf.DUMMYFUNCTION("""COMPUTED_VALUE"""),"No")</f>
        <v>No</v>
      </c>
    </row>
    <row r="478" spans="1:34" ht="12.75">
      <c r="A478" s="5" t="str">
        <f ca="1">IFERROR(__xludf.DUMMYFUNCTION("""COMPUTED_VALUE"""),"20200928CTEAN")</f>
        <v>20200928CTEAN</v>
      </c>
      <c r="B478" s="8">
        <f ca="1">IFERROR(__xludf.DUMMYFUNCTION("""COMPUTED_VALUE"""),44102)</f>
        <v>44102</v>
      </c>
      <c r="C478" s="5" t="str">
        <f ca="1">IFERROR(__xludf.DUMMYFUNCTION("""COMPUTED_VALUE"""),"East Rock Community Magnet School")</f>
        <v>East Rock Community Magnet School</v>
      </c>
      <c r="D478" s="5">
        <f ca="1">IFERROR(__xludf.DUMMYFUNCTION("""COMPUTED_VALUE"""),0)</f>
        <v>0</v>
      </c>
      <c r="E478" s="5">
        <f ca="1">IFERROR(__xludf.DUMMYFUNCTION("""COMPUTED_VALUE"""),1)</f>
        <v>1</v>
      </c>
      <c r="F478" s="5">
        <f ca="1">IFERROR(__xludf.DUMMYFUNCTION("""COMPUTED_VALUE"""),1)</f>
        <v>1</v>
      </c>
      <c r="G478" s="5">
        <f ca="1">IFERROR(__xludf.DUMMYFUNCTION("""COMPUTED_VALUE"""),0)</f>
        <v>0</v>
      </c>
      <c r="H478"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I478" s="5">
        <f ca="1">IFERROR(__xludf.DUMMYFUNCTION("""COMPUTED_VALUE"""),2)</f>
        <v>2</v>
      </c>
      <c r="J478" s="5" t="str">
        <f ca="1">IFERROR(__xludf.DUMMYFUNCTION("""COMPUTED_VALUE"""),"Local")</f>
        <v>Local</v>
      </c>
      <c r="K478" s="5">
        <f ca="1">IFERROR(__xludf.DUMMYFUNCTION("""COMPUTED_VALUE"""),3)</f>
        <v>3</v>
      </c>
      <c r="L478" s="5" t="str">
        <f ca="1">IFERROR(__xludf.DUMMYFUNCTION("""COMPUTED_VALUE"""),"Fall")</f>
        <v>Fall</v>
      </c>
      <c r="M478" s="5" t="str">
        <f ca="1">IFERROR(__xludf.DUMMYFUNCTION("""COMPUTED_VALUE"""),"New Haven")</f>
        <v>New Haven</v>
      </c>
      <c r="N478" s="5" t="str">
        <f ca="1">IFERROR(__xludf.DUMMYFUNCTION("""COMPUTED_VALUE"""),"CT")</f>
        <v>CT</v>
      </c>
      <c r="O478" s="5" t="str">
        <f ca="1">IFERROR(__xludf.DUMMYFUNCTION("""COMPUTED_VALUE"""),"K-8")</f>
        <v>K-8</v>
      </c>
      <c r="P478" s="5" t="str">
        <f ca="1">IFERROR(__xludf.DUMMYFUNCTION("""COMPUTED_VALUE"""),"Beside Building")</f>
        <v>Beside Building</v>
      </c>
      <c r="Q478" s="5" t="str">
        <f ca="1">IFERROR(__xludf.DUMMYFUNCTION("""COMPUTED_VALUE"""),"Outside on School Property")</f>
        <v>Outside on School Property</v>
      </c>
      <c r="R478" s="5" t="str">
        <f ca="1">IFERROR(__xludf.DUMMYFUNCTION("""COMPUTED_VALUE"""),"No")</f>
        <v>No</v>
      </c>
      <c r="S478" s="5" t="str">
        <f ca="1">IFERROR(__xludf.DUMMYFUNCTION("""COMPUTED_VALUE"""),"Before School")</f>
        <v>Before School</v>
      </c>
      <c r="T478" s="10">
        <f ca="1">IFERROR(__xludf.DUMMYFUNCTION("""COMPUTED_VALUE"""),0.259027777777777)</f>
        <v>0.25902777777777702</v>
      </c>
      <c r="U478" s="5">
        <f ca="1">IFERROR(__xludf.DUMMYFUNCTION("""COMPUTED_VALUE"""),1)</f>
        <v>1</v>
      </c>
      <c r="V478" s="5" t="str">
        <f ca="1">IFERROR(__xludf.DUMMYFUNCTION("""COMPUTED_VALUE"""),"Man shot next to school building")</f>
        <v>Man shot next to school building</v>
      </c>
      <c r="W478"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X478" s="5"/>
      <c r="Y478" s="5" t="str">
        <f ca="1">IFERROR(__xludf.DUMMYFUNCTION("""COMPUTED_VALUE"""),"Victims Targeted")</f>
        <v>Victims Targeted</v>
      </c>
      <c r="Z478" s="5"/>
      <c r="AA478" s="5"/>
      <c r="AB478" s="5" t="str">
        <f ca="1">IFERROR(__xludf.DUMMYFUNCTION("""COMPUTED_VALUE"""),"No")</f>
        <v>No</v>
      </c>
      <c r="AC478" s="5" t="str">
        <f ca="1">IFERROR(__xludf.DUMMYFUNCTION("""COMPUTED_VALUE"""),"No")</f>
        <v>No</v>
      </c>
      <c r="AD478" s="5" t="str">
        <f ca="1">IFERROR(__xludf.DUMMYFUNCTION("""COMPUTED_VALUE"""),"No")</f>
        <v>No</v>
      </c>
      <c r="AE478" s="5" t="str">
        <f ca="1">IFERROR(__xludf.DUMMYFUNCTION("""COMPUTED_VALUE"""),"No")</f>
        <v>No</v>
      </c>
      <c r="AF478" s="5" t="str">
        <f ca="1">IFERROR(__xludf.DUMMYFUNCTION("""COMPUTED_VALUE"""),"No")</f>
        <v>No</v>
      </c>
      <c r="AG478" s="5"/>
      <c r="AH478" s="5" t="str">
        <f ca="1">IFERROR(__xludf.DUMMYFUNCTION("""COMPUTED_VALUE"""),"No")</f>
        <v>No</v>
      </c>
    </row>
    <row r="479" spans="1:34" ht="12.75">
      <c r="A479" s="5" t="str">
        <f ca="1">IFERROR(__xludf.DUMMYFUNCTION("""COMPUTED_VALUE"""),"20200925NJHAH")</f>
        <v>20200925NJHAH</v>
      </c>
      <c r="B479" s="8">
        <f ca="1">IFERROR(__xludf.DUMMYFUNCTION("""COMPUTED_VALUE"""),44099)</f>
        <v>44099</v>
      </c>
      <c r="C479" s="5" t="str">
        <f ca="1">IFERROR(__xludf.DUMMYFUNCTION("""COMPUTED_VALUE"""),"Haledon Public School")</f>
        <v>Haledon Public School</v>
      </c>
      <c r="D479" s="5">
        <f ca="1">IFERROR(__xludf.DUMMYFUNCTION("""COMPUTED_VALUE"""),0)</f>
        <v>0</v>
      </c>
      <c r="E479" s="5">
        <f ca="1">IFERROR(__xludf.DUMMYFUNCTION("""COMPUTED_VALUE"""),1)</f>
        <v>1</v>
      </c>
      <c r="F479" s="5">
        <f ca="1">IFERROR(__xludf.DUMMYFUNCTION("""COMPUTED_VALUE"""),1)</f>
        <v>1</v>
      </c>
      <c r="G479" s="5">
        <f ca="1">IFERROR(__xludf.DUMMYFUNCTION("""COMPUTED_VALUE"""),0)</f>
        <v>0</v>
      </c>
      <c r="H479"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I479" s="5">
        <f ca="1">IFERROR(__xludf.DUMMYFUNCTION("""COMPUTED_VALUE"""),2)</f>
        <v>2</v>
      </c>
      <c r="J479" s="5" t="str">
        <f ca="1">IFERROR(__xludf.DUMMYFUNCTION("""COMPUTED_VALUE"""),"Local")</f>
        <v>Local</v>
      </c>
      <c r="K479" s="5">
        <f ca="1">IFERROR(__xludf.DUMMYFUNCTION("""COMPUTED_VALUE"""),3)</f>
        <v>3</v>
      </c>
      <c r="L479" s="5" t="str">
        <f ca="1">IFERROR(__xludf.DUMMYFUNCTION("""COMPUTED_VALUE"""),"Fall")</f>
        <v>Fall</v>
      </c>
      <c r="M479" s="5" t="str">
        <f ca="1">IFERROR(__xludf.DUMMYFUNCTION("""COMPUTED_VALUE"""),"Haledon")</f>
        <v>Haledon</v>
      </c>
      <c r="N479" s="5" t="str">
        <f ca="1">IFERROR(__xludf.DUMMYFUNCTION("""COMPUTED_VALUE"""),"NJ")</f>
        <v>NJ</v>
      </c>
      <c r="O479" s="5" t="str">
        <f ca="1">IFERROR(__xludf.DUMMYFUNCTION("""COMPUTED_VALUE"""),"K-8")</f>
        <v>K-8</v>
      </c>
      <c r="P479" s="5" t="str">
        <f ca="1">IFERROR(__xludf.DUMMYFUNCTION("""COMPUTED_VALUE"""),"Beside Building")</f>
        <v>Beside Building</v>
      </c>
      <c r="Q479" s="5" t="str">
        <f ca="1">IFERROR(__xludf.DUMMYFUNCTION("""COMPUTED_VALUE"""),"Outside on School Property")</f>
        <v>Outside on School Property</v>
      </c>
      <c r="R479" s="5" t="str">
        <f ca="1">IFERROR(__xludf.DUMMYFUNCTION("""COMPUTED_VALUE"""),"No")</f>
        <v>No</v>
      </c>
      <c r="S479" s="5" t="str">
        <f ca="1">IFERROR(__xludf.DUMMYFUNCTION("""COMPUTED_VALUE"""),"Evening")</f>
        <v>Evening</v>
      </c>
      <c r="T479" s="10">
        <f ca="1">IFERROR(__xludf.DUMMYFUNCTION("""COMPUTED_VALUE"""),0.797222222222222)</f>
        <v>0.79722222222222205</v>
      </c>
      <c r="U479" s="5">
        <f ca="1">IFERROR(__xludf.DUMMYFUNCTION("""COMPUTED_VALUE"""),1)</f>
        <v>1</v>
      </c>
      <c r="V479" s="5" t="str">
        <f ca="1">IFERROR(__xludf.DUMMYFUNCTION("""COMPUTED_VALUE"""),"Shooting victim found beside school building")</f>
        <v>Shooting victim found beside school building</v>
      </c>
      <c r="W479"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X479" s="5"/>
      <c r="Y479" s="5"/>
      <c r="Z479" s="5"/>
      <c r="AA479" s="5"/>
      <c r="AB479" s="5" t="str">
        <f ca="1">IFERROR(__xludf.DUMMYFUNCTION("""COMPUTED_VALUE"""),"No")</f>
        <v>No</v>
      </c>
      <c r="AC479" s="5" t="str">
        <f ca="1">IFERROR(__xludf.DUMMYFUNCTION("""COMPUTED_VALUE"""),"No")</f>
        <v>No</v>
      </c>
      <c r="AD479" s="5" t="str">
        <f ca="1">IFERROR(__xludf.DUMMYFUNCTION("""COMPUTED_VALUE"""),"No")</f>
        <v>No</v>
      </c>
      <c r="AE479" s="5" t="str">
        <f ca="1">IFERROR(__xludf.DUMMYFUNCTION("""COMPUTED_VALUE"""),"No")</f>
        <v>No</v>
      </c>
      <c r="AF479" s="5"/>
      <c r="AG479" s="5"/>
      <c r="AH479" s="5" t="str">
        <f ca="1">IFERROR(__xludf.DUMMYFUNCTION("""COMPUTED_VALUE"""),"No")</f>
        <v>No</v>
      </c>
    </row>
    <row r="480" spans="1:34" ht="12.75">
      <c r="A480" s="5" t="str">
        <f ca="1">IFERROR(__xludf.DUMMYFUNCTION("""COMPUTED_VALUE"""),"20200925ILROR")</f>
        <v>20200925ILROR</v>
      </c>
      <c r="B480" s="8">
        <f ca="1">IFERROR(__xludf.DUMMYFUNCTION("""COMPUTED_VALUE"""),44099)</f>
        <v>44099</v>
      </c>
      <c r="C480" s="5" t="str">
        <f ca="1">IFERROR(__xludf.DUMMYFUNCTION("""COMPUTED_VALUE"""),"Rock Island Academy")</f>
        <v>Rock Island Academy</v>
      </c>
      <c r="D480" s="5">
        <f ca="1">IFERROR(__xludf.DUMMYFUNCTION("""COMPUTED_VALUE"""),0)</f>
        <v>0</v>
      </c>
      <c r="E480" s="5">
        <f ca="1">IFERROR(__xludf.DUMMYFUNCTION("""COMPUTED_VALUE"""),0)</f>
        <v>0</v>
      </c>
      <c r="F480" s="5">
        <f ca="1">IFERROR(__xludf.DUMMYFUNCTION("""COMPUTED_VALUE"""),0)</f>
        <v>0</v>
      </c>
      <c r="G480" s="5">
        <f ca="1">IFERROR(__xludf.DUMMYFUNCTION("""COMPUTED_VALUE"""),0)</f>
        <v>0</v>
      </c>
      <c r="H480" s="9" t="str">
        <f ca="1">IFERROR(__xludf.DUMMYFUNCTION("""COMPUTED_VALUE"""),"https://www.kwqc.com/2020/09/27/police-man-found-in-school-stairwell-and-arrested-after-shooting-friday-night/")</f>
        <v>https://www.kwqc.com/2020/09/27/police-man-found-in-school-stairwell-and-arrested-after-shooting-friday-night/</v>
      </c>
      <c r="I480" s="5">
        <f ca="1">IFERROR(__xludf.DUMMYFUNCTION("""COMPUTED_VALUE"""),1)</f>
        <v>1</v>
      </c>
      <c r="J480" s="5" t="str">
        <f ca="1">IFERROR(__xludf.DUMMYFUNCTION("""COMPUTED_VALUE"""),"Local")</f>
        <v>Local</v>
      </c>
      <c r="K480" s="5">
        <f ca="1">IFERROR(__xludf.DUMMYFUNCTION("""COMPUTED_VALUE"""),3)</f>
        <v>3</v>
      </c>
      <c r="L480" s="5" t="str">
        <f ca="1">IFERROR(__xludf.DUMMYFUNCTION("""COMPUTED_VALUE"""),"Fall")</f>
        <v>Fall</v>
      </c>
      <c r="M480" s="5" t="str">
        <f ca="1">IFERROR(__xludf.DUMMYFUNCTION("""COMPUTED_VALUE"""),"Rock Island")</f>
        <v>Rock Island</v>
      </c>
      <c r="N480" s="5" t="str">
        <f ca="1">IFERROR(__xludf.DUMMYFUNCTION("""COMPUTED_VALUE"""),"IL")</f>
        <v>IL</v>
      </c>
      <c r="O480" s="5" t="str">
        <f ca="1">IFERROR(__xludf.DUMMYFUNCTION("""COMPUTED_VALUE"""),"Elementary")</f>
        <v>Elementary</v>
      </c>
      <c r="P480" s="5" t="str">
        <f ca="1">IFERROR(__xludf.DUMMYFUNCTION("""COMPUTED_VALUE"""),"Hallway")</f>
        <v>Hallway</v>
      </c>
      <c r="Q480" s="5" t="str">
        <f ca="1">IFERROR(__xludf.DUMMYFUNCTION("""COMPUTED_VALUE"""),"Inside School Building")</f>
        <v>Inside School Building</v>
      </c>
      <c r="R480" s="5" t="str">
        <f ca="1">IFERROR(__xludf.DUMMYFUNCTION("""COMPUTED_VALUE"""),"No")</f>
        <v>No</v>
      </c>
      <c r="S480" s="5"/>
      <c r="T480" s="10">
        <f ca="1">IFERROR(__xludf.DUMMYFUNCTION("""COMPUTED_VALUE"""),0.958333333333333)</f>
        <v>0.95833333333333304</v>
      </c>
      <c r="U480" s="5">
        <f ca="1">IFERROR(__xludf.DUMMYFUNCTION("""COMPUTED_VALUE"""),1)</f>
        <v>1</v>
      </c>
      <c r="V480" s="5" t="str">
        <f ca="1">IFERROR(__xludf.DUMMYFUNCTION("""COMPUTED_VALUE"""),"Armed man fled from police into the school where he was arrested")</f>
        <v>Armed man fled from police into the school where he was arrested</v>
      </c>
      <c r="W480"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X480" s="5"/>
      <c r="Y480" s="5"/>
      <c r="Z480" s="5" t="str">
        <f ca="1">IFERROR(__xludf.DUMMYFUNCTION("""COMPUTED_VALUE"""),"No")</f>
        <v>No</v>
      </c>
      <c r="AA480" s="5"/>
      <c r="AB480" s="5"/>
      <c r="AC480" s="5" t="str">
        <f ca="1">IFERROR(__xludf.DUMMYFUNCTION("""COMPUTED_VALUE"""),"No")</f>
        <v>No</v>
      </c>
      <c r="AD480" s="5" t="str">
        <f ca="1">IFERROR(__xludf.DUMMYFUNCTION("""COMPUTED_VALUE"""),"No")</f>
        <v>No</v>
      </c>
      <c r="AE480" s="5" t="str">
        <f ca="1">IFERROR(__xludf.DUMMYFUNCTION("""COMPUTED_VALUE"""),"No")</f>
        <v>No</v>
      </c>
      <c r="AF480" s="5" t="str">
        <f ca="1">IFERROR(__xludf.DUMMYFUNCTION("""COMPUTED_VALUE"""),"No")</f>
        <v>No</v>
      </c>
      <c r="AG480" s="5"/>
      <c r="AH480" s="5" t="str">
        <f ca="1">IFERROR(__xludf.DUMMYFUNCTION("""COMPUTED_VALUE"""),"No")</f>
        <v>No</v>
      </c>
    </row>
    <row r="481" spans="1:34" ht="12.75">
      <c r="A481" s="5" t="str">
        <f ca="1">IFERROR(__xludf.DUMMYFUNCTION("""COMPUTED_VALUE"""),"20200924ILMCS")</f>
        <v>20200924ILMCS</v>
      </c>
      <c r="B481" s="8">
        <f ca="1">IFERROR(__xludf.DUMMYFUNCTION("""COMPUTED_VALUE"""),44098)</f>
        <v>44098</v>
      </c>
      <c r="C481" s="5" t="str">
        <f ca="1">IFERROR(__xludf.DUMMYFUNCTION("""COMPUTED_VALUE"""),"McClernand Elementary School")</f>
        <v>McClernand Elementary School</v>
      </c>
      <c r="D481" s="5">
        <f ca="1">IFERROR(__xludf.DUMMYFUNCTION("""COMPUTED_VALUE"""),0)</f>
        <v>0</v>
      </c>
      <c r="E481" s="5">
        <f ca="1">IFERROR(__xludf.DUMMYFUNCTION("""COMPUTED_VALUE"""),0)</f>
        <v>0</v>
      </c>
      <c r="F481" s="5">
        <f ca="1">IFERROR(__xludf.DUMMYFUNCTION("""COMPUTED_VALUE"""),0)</f>
        <v>0</v>
      </c>
      <c r="G481" s="5">
        <f ca="1">IFERROR(__xludf.DUMMYFUNCTION("""COMPUTED_VALUE"""),0)</f>
        <v>0</v>
      </c>
      <c r="H481" s="9" t="str">
        <f ca="1">IFERROR(__xludf.DUMMYFUNCTION("""COMPUTED_VALUE"""),"https://newschannel20.com/news/local/man-elementary-school-window-shot-by-bb-gun")</f>
        <v>https://newschannel20.com/news/local/man-elementary-school-window-shot-by-bb-gun</v>
      </c>
      <c r="I481" s="5">
        <f ca="1">IFERROR(__xludf.DUMMYFUNCTION("""COMPUTED_VALUE"""),1)</f>
        <v>1</v>
      </c>
      <c r="J481" s="5" t="str">
        <f ca="1">IFERROR(__xludf.DUMMYFUNCTION("""COMPUTED_VALUE"""),"Local")</f>
        <v>Local</v>
      </c>
      <c r="K481" s="5">
        <f ca="1">IFERROR(__xludf.DUMMYFUNCTION("""COMPUTED_VALUE"""),3)</f>
        <v>3</v>
      </c>
      <c r="L481" s="5" t="str">
        <f ca="1">IFERROR(__xludf.DUMMYFUNCTION("""COMPUTED_VALUE"""),"Fall")</f>
        <v>Fall</v>
      </c>
      <c r="M481" s="5" t="str">
        <f ca="1">IFERROR(__xludf.DUMMYFUNCTION("""COMPUTED_VALUE"""),"Springfield")</f>
        <v>Springfield</v>
      </c>
      <c r="N481" s="5" t="str">
        <f ca="1">IFERROR(__xludf.DUMMYFUNCTION("""COMPUTED_VALUE"""),"IL")</f>
        <v>IL</v>
      </c>
      <c r="O481" s="5" t="str">
        <f ca="1">IFERROR(__xludf.DUMMYFUNCTION("""COMPUTED_VALUE"""),"Elementary")</f>
        <v>Elementary</v>
      </c>
      <c r="P481" s="5" t="str">
        <f ca="1">IFERROR(__xludf.DUMMYFUNCTION("""COMPUTED_VALUE"""),"Beside Building")</f>
        <v>Beside Building</v>
      </c>
      <c r="Q481" s="5" t="str">
        <f ca="1">IFERROR(__xludf.DUMMYFUNCTION("""COMPUTED_VALUE"""),"Outside on School Property")</f>
        <v>Outside on School Property</v>
      </c>
      <c r="R481" s="5" t="str">
        <f ca="1">IFERROR(__xludf.DUMMYFUNCTION("""COMPUTED_VALUE"""),"Yes")</f>
        <v>Yes</v>
      </c>
      <c r="S481" s="5" t="str">
        <f ca="1">IFERROR(__xludf.DUMMYFUNCTION("""COMPUTED_VALUE"""),"Afternoon Classes")</f>
        <v>Afternoon Classes</v>
      </c>
      <c r="T481" s="10">
        <f ca="1">IFERROR(__xludf.DUMMYFUNCTION("""COMPUTED_VALUE"""),0.522916666666666)</f>
        <v>0.52291666666666603</v>
      </c>
      <c r="U481" s="5"/>
      <c r="V481" s="5" t="str">
        <f ca="1">IFERROR(__xludf.DUMMYFUNCTION("""COMPUTED_VALUE"""),"Man fired shot that broke window then walked past classroom with BB gun")</f>
        <v>Man fired shot that broke window then walked past classroom with BB gun</v>
      </c>
      <c r="W481"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X481" s="5" t="str">
        <f ca="1">IFERROR(__xludf.DUMMYFUNCTION("""COMPUTED_VALUE"""),"Intentional Property Damage")</f>
        <v>Intentional Property Damage</v>
      </c>
      <c r="Y481" s="5" t="str">
        <f ca="1">IFERROR(__xludf.DUMMYFUNCTION("""COMPUTED_VALUE"""),"Neither")</f>
        <v>Neither</v>
      </c>
      <c r="Z481" s="5" t="str">
        <f ca="1">IFERROR(__xludf.DUMMYFUNCTION("""COMPUTED_VALUE"""),"No")</f>
        <v>No</v>
      </c>
      <c r="AA481" s="5" t="str">
        <f ca="1">IFERROR(__xludf.DUMMYFUNCTION("""COMPUTED_VALUE"""),"One 18YO and 2 teens arrested")</f>
        <v>One 18YO and 2 teens arrested</v>
      </c>
      <c r="AB481" s="5" t="str">
        <f ca="1">IFERROR(__xludf.DUMMYFUNCTION("""COMPUTED_VALUE"""),"No")</f>
        <v>No</v>
      </c>
      <c r="AC481" s="5" t="str">
        <f ca="1">IFERROR(__xludf.DUMMYFUNCTION("""COMPUTED_VALUE"""),"No")</f>
        <v>No</v>
      </c>
      <c r="AD481" s="5" t="str">
        <f ca="1">IFERROR(__xludf.DUMMYFUNCTION("""COMPUTED_VALUE"""),"No")</f>
        <v>No</v>
      </c>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row>
    <row r="482" spans="1:34" ht="12.75">
      <c r="A482" s="5" t="str">
        <f ca="1">IFERROR(__xludf.DUMMYFUNCTION("""COMPUTED_VALUE"""),"20200924CAWAC")</f>
        <v>20200924CAWAC</v>
      </c>
      <c r="B482" s="8">
        <f ca="1">IFERROR(__xludf.DUMMYFUNCTION("""COMPUTED_VALUE"""),44098)</f>
        <v>44098</v>
      </c>
      <c r="C482" s="5" t="str">
        <f ca="1">IFERROR(__xludf.DUMMYFUNCTION("""COMPUTED_VALUE"""),"Walt Hanline Middle School")</f>
        <v>Walt Hanline Middle School</v>
      </c>
      <c r="D482" s="5">
        <f ca="1">IFERROR(__xludf.DUMMYFUNCTION("""COMPUTED_VALUE"""),0)</f>
        <v>0</v>
      </c>
      <c r="E482" s="5">
        <f ca="1">IFERROR(__xludf.DUMMYFUNCTION("""COMPUTED_VALUE"""),0)</f>
        <v>0</v>
      </c>
      <c r="F482" s="5">
        <f ca="1">IFERROR(__xludf.DUMMYFUNCTION("""COMPUTED_VALUE"""),0)</f>
        <v>0</v>
      </c>
      <c r="G482" s="5">
        <f ca="1">IFERROR(__xludf.DUMMYFUNCTION("""COMPUTED_VALUE"""),0)</f>
        <v>0</v>
      </c>
      <c r="H482"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I482" s="5">
        <f ca="1">IFERROR(__xludf.DUMMYFUNCTION("""COMPUTED_VALUE"""),3)</f>
        <v>3</v>
      </c>
      <c r="J482" s="5" t="str">
        <f ca="1">IFERROR(__xludf.DUMMYFUNCTION("""COMPUTED_VALUE"""),"National")</f>
        <v>National</v>
      </c>
      <c r="K482" s="5">
        <f ca="1">IFERROR(__xludf.DUMMYFUNCTION("""COMPUTED_VALUE"""),4)</f>
        <v>4</v>
      </c>
      <c r="L482" s="5" t="str">
        <f ca="1">IFERROR(__xludf.DUMMYFUNCTION("""COMPUTED_VALUE"""),"Fall")</f>
        <v>Fall</v>
      </c>
      <c r="M482" s="5" t="str">
        <f ca="1">IFERROR(__xludf.DUMMYFUNCTION("""COMPUTED_VALUE"""),"Ceres")</f>
        <v>Ceres</v>
      </c>
      <c r="N482" s="5" t="str">
        <f ca="1">IFERROR(__xludf.DUMMYFUNCTION("""COMPUTED_VALUE"""),"CA")</f>
        <v>CA</v>
      </c>
      <c r="O482" s="5" t="str">
        <f ca="1">IFERROR(__xludf.DUMMYFUNCTION("""COMPUTED_VALUE"""),"Middle")</f>
        <v>Middle</v>
      </c>
      <c r="P482" s="5" t="str">
        <f ca="1">IFERROR(__xludf.DUMMYFUNCTION("""COMPUTED_VALUE"""),"Classroom")</f>
        <v>Classroom</v>
      </c>
      <c r="Q482" s="5" t="str">
        <f ca="1">IFERROR(__xludf.DUMMYFUNCTION("""COMPUTED_VALUE"""),"Both Inside/Outside")</f>
        <v>Both Inside/Outside</v>
      </c>
      <c r="R482" s="5" t="str">
        <f ca="1">IFERROR(__xludf.DUMMYFUNCTION("""COMPUTED_VALUE"""),"Yes")</f>
        <v>Yes</v>
      </c>
      <c r="S482" s="5" t="str">
        <f ca="1">IFERROR(__xludf.DUMMYFUNCTION("""COMPUTED_VALUE"""),"Afternoon Classes")</f>
        <v>Afternoon Classes</v>
      </c>
      <c r="T482" s="5"/>
      <c r="U482" s="5"/>
      <c r="V482" s="5" t="str">
        <f ca="1">IFERROR(__xludf.DUMMYFUNCTION("""COMPUTED_VALUE"""),"Bullets struck classroom and gym occupied by teachers")</f>
        <v>Bullets struck classroom and gym occupied by teachers</v>
      </c>
      <c r="W482"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X482" s="5" t="str">
        <f ca="1">IFERROR(__xludf.DUMMYFUNCTION("""COMPUTED_VALUE"""),"Illegal Activity")</f>
        <v>Illegal Activity</v>
      </c>
      <c r="Y482" s="5" t="str">
        <f ca="1">IFERROR(__xludf.DUMMYFUNCTION("""COMPUTED_VALUE"""),"Neither")</f>
        <v>Neither</v>
      </c>
      <c r="Z482" s="5" t="str">
        <f ca="1">IFERROR(__xludf.DUMMYFUNCTION("""COMPUTED_VALUE"""),"Yes")</f>
        <v>Yes</v>
      </c>
      <c r="AA482" s="5" t="str">
        <f ca="1">IFERROR(__xludf.DUMMYFUNCTION("""COMPUTED_VALUE"""),"Three men arrested")</f>
        <v>Three men arrested</v>
      </c>
      <c r="AB482" s="5" t="str">
        <f ca="1">IFERROR(__xludf.DUMMYFUNCTION("""COMPUTED_VALUE"""),"No")</f>
        <v>No</v>
      </c>
      <c r="AC482" s="5" t="str">
        <f ca="1">IFERROR(__xludf.DUMMYFUNCTION("""COMPUTED_VALUE"""),"No")</f>
        <v>No</v>
      </c>
      <c r="AD482" s="5" t="str">
        <f ca="1">IFERROR(__xludf.DUMMYFUNCTION("""COMPUTED_VALUE"""),"No")</f>
        <v>No</v>
      </c>
      <c r="AE482" s="5" t="str">
        <f ca="1">IFERROR(__xludf.DUMMYFUNCTION("""COMPUTED_VALUE"""),"No")</f>
        <v>No</v>
      </c>
      <c r="AF482" s="5" t="str">
        <f ca="1">IFERROR(__xludf.DUMMYFUNCTION("""COMPUTED_VALUE"""),"No")</f>
        <v>No</v>
      </c>
      <c r="AG482" s="5"/>
      <c r="AH482" s="5"/>
    </row>
    <row r="483" spans="1:34" ht="12.75">
      <c r="A483" s="5" t="str">
        <f ca="1">IFERROR(__xludf.DUMMYFUNCTION("""COMPUTED_VALUE"""),"20200923PAWIW")</f>
        <v>20200923PAWIW</v>
      </c>
      <c r="B483" s="8">
        <f ca="1">IFERROR(__xludf.DUMMYFUNCTION("""COMPUTED_VALUE"""),44097)</f>
        <v>44097</v>
      </c>
      <c r="C483" s="5" t="str">
        <f ca="1">IFERROR(__xludf.DUMMYFUNCTION("""COMPUTED_VALUE"""),"William Tennent High School")</f>
        <v>William Tennent High School</v>
      </c>
      <c r="D483" s="5">
        <f ca="1">IFERROR(__xludf.DUMMYFUNCTION("""COMPUTED_VALUE"""),0)</f>
        <v>0</v>
      </c>
      <c r="E483" s="5">
        <f ca="1">IFERROR(__xludf.DUMMYFUNCTION("""COMPUTED_VALUE"""),0)</f>
        <v>0</v>
      </c>
      <c r="F483" s="5">
        <f ca="1">IFERROR(__xludf.DUMMYFUNCTION("""COMPUTED_VALUE"""),0)</f>
        <v>0</v>
      </c>
      <c r="G483" s="5">
        <f ca="1">IFERROR(__xludf.DUMMYFUNCTION("""COMPUTED_VALUE"""),0)</f>
        <v>0</v>
      </c>
      <c r="H483"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I483" s="5">
        <f ca="1">IFERROR(__xludf.DUMMYFUNCTION("""COMPUTED_VALUE"""),6)</f>
        <v>6</v>
      </c>
      <c r="J483" s="5" t="str">
        <f ca="1">IFERROR(__xludf.DUMMYFUNCTION("""COMPUTED_VALUE"""),"Local")</f>
        <v>Local</v>
      </c>
      <c r="K483" s="5">
        <f ca="1">IFERROR(__xludf.DUMMYFUNCTION("""COMPUTED_VALUE"""),4)</f>
        <v>4</v>
      </c>
      <c r="L483" s="5" t="str">
        <f ca="1">IFERROR(__xludf.DUMMYFUNCTION("""COMPUTED_VALUE"""),"Fall")</f>
        <v>Fall</v>
      </c>
      <c r="M483" s="5" t="str">
        <f ca="1">IFERROR(__xludf.DUMMYFUNCTION("""COMPUTED_VALUE"""),"Warminster")</f>
        <v>Warminster</v>
      </c>
      <c r="N483" s="5" t="str">
        <f ca="1">IFERROR(__xludf.DUMMYFUNCTION("""COMPUTED_VALUE"""),"PA")</f>
        <v>PA</v>
      </c>
      <c r="O483" s="5" t="str">
        <f ca="1">IFERROR(__xludf.DUMMYFUNCTION("""COMPUTED_VALUE"""),"High")</f>
        <v>High</v>
      </c>
      <c r="P483" s="5" t="str">
        <f ca="1">IFERROR(__xludf.DUMMYFUNCTION("""COMPUTED_VALUE"""),"Parking Lot")</f>
        <v>Parking Lot</v>
      </c>
      <c r="Q483" s="5" t="str">
        <f ca="1">IFERROR(__xludf.DUMMYFUNCTION("""COMPUTED_VALUE"""),"Outside on School Property")</f>
        <v>Outside on School Property</v>
      </c>
      <c r="R483" s="5" t="str">
        <f ca="1">IFERROR(__xludf.DUMMYFUNCTION("""COMPUTED_VALUE"""),"No")</f>
        <v>No</v>
      </c>
      <c r="S483" s="5" t="str">
        <f ca="1">IFERROR(__xludf.DUMMYFUNCTION("""COMPUTED_VALUE"""),"After School")</f>
        <v>After School</v>
      </c>
      <c r="T483" s="10">
        <f ca="1">IFERROR(__xludf.DUMMYFUNCTION("""COMPUTED_VALUE"""),0.704861111111111)</f>
        <v>0.70486111111111105</v>
      </c>
      <c r="U483" s="5">
        <f ca="1">IFERROR(__xludf.DUMMYFUNCTION("""COMPUTED_VALUE"""),1)</f>
        <v>1</v>
      </c>
      <c r="V483" s="5" t="str">
        <f ca="1">IFERROR(__xludf.DUMMYFUNCTION("""COMPUTED_VALUE"""),"Shooting in parking lot during sports practice")</f>
        <v>Shooting in parking lot during sports practice</v>
      </c>
      <c r="W483"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X483" s="5" t="str">
        <f ca="1">IFERROR(__xludf.DUMMYFUNCTION("""COMPUTED_VALUE"""),"Illegal Activity")</f>
        <v>Illegal Activity</v>
      </c>
      <c r="Y483" s="5" t="str">
        <f ca="1">IFERROR(__xludf.DUMMYFUNCTION("""COMPUTED_VALUE"""),"Victims Targeted")</f>
        <v>Victims Targeted</v>
      </c>
      <c r="Z483" s="5" t="str">
        <f ca="1">IFERROR(__xludf.DUMMYFUNCTION("""COMPUTED_VALUE"""),"Yes")</f>
        <v>Yes</v>
      </c>
      <c r="AA483" s="5" t="str">
        <f ca="1">IFERROR(__xludf.DUMMYFUNCTION("""COMPUTED_VALUE"""),"Vehicle driver and shooter")</f>
        <v>Vehicle driver and shooter</v>
      </c>
      <c r="AB483" s="5" t="str">
        <f ca="1">IFERROR(__xludf.DUMMYFUNCTION("""COMPUTED_VALUE"""),"No")</f>
        <v>No</v>
      </c>
      <c r="AC483" s="5" t="str">
        <f ca="1">IFERROR(__xludf.DUMMYFUNCTION("""COMPUTED_VALUE"""),"No")</f>
        <v>No</v>
      </c>
      <c r="AD483" s="5" t="str">
        <f ca="1">IFERROR(__xludf.DUMMYFUNCTION("""COMPUTED_VALUE"""),"No")</f>
        <v>No</v>
      </c>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row>
    <row r="484" spans="1:34" ht="12.75">
      <c r="A484" s="5" t="str">
        <f ca="1">IFERROR(__xludf.DUMMYFUNCTION("""COMPUTED_VALUE"""),"20200923FLHIJ")</f>
        <v>20200923FLHIJ</v>
      </c>
      <c r="B484" s="8">
        <f ca="1">IFERROR(__xludf.DUMMYFUNCTION("""COMPUTED_VALUE"""),44097)</f>
        <v>44097</v>
      </c>
      <c r="C484" s="5" t="str">
        <f ca="1">IFERROR(__xludf.DUMMYFUNCTION("""COMPUTED_VALUE"""),"Highlands Middle School")</f>
        <v>Highlands Middle School</v>
      </c>
      <c r="D484" s="5">
        <f ca="1">IFERROR(__xludf.DUMMYFUNCTION("""COMPUTED_VALUE"""),0)</f>
        <v>0</v>
      </c>
      <c r="E484" s="5">
        <f ca="1">IFERROR(__xludf.DUMMYFUNCTION("""COMPUTED_VALUE"""),0)</f>
        <v>0</v>
      </c>
      <c r="F484" s="5">
        <f ca="1">IFERROR(__xludf.DUMMYFUNCTION("""COMPUTED_VALUE"""),0)</f>
        <v>0</v>
      </c>
      <c r="G484" s="5">
        <f ca="1">IFERROR(__xludf.DUMMYFUNCTION("""COMPUTED_VALUE"""),0)</f>
        <v>0</v>
      </c>
      <c r="H484" s="9" t="str">
        <f ca="1">IFERROR(__xludf.DUMMYFUNCTION("""COMPUTED_VALUE"""),"https://www.news4jax.com/news/local/2020/09/23/police-1-detained-after-shot-fired-at-duval-county-school-bus/")</f>
        <v>https://www.news4jax.com/news/local/2020/09/23/police-1-detained-after-shot-fired-at-duval-county-school-bus/</v>
      </c>
      <c r="I484" s="5">
        <f ca="1">IFERROR(__xludf.DUMMYFUNCTION("""COMPUTED_VALUE"""),1)</f>
        <v>1</v>
      </c>
      <c r="J484" s="5" t="str">
        <f ca="1">IFERROR(__xludf.DUMMYFUNCTION("""COMPUTED_VALUE"""),"Local")</f>
        <v>Local</v>
      </c>
      <c r="K484" s="5">
        <f ca="1">IFERROR(__xludf.DUMMYFUNCTION("""COMPUTED_VALUE"""),4)</f>
        <v>4</v>
      </c>
      <c r="L484" s="5" t="str">
        <f ca="1">IFERROR(__xludf.DUMMYFUNCTION("""COMPUTED_VALUE"""),"Fall")</f>
        <v>Fall</v>
      </c>
      <c r="M484" s="5" t="str">
        <f ca="1">IFERROR(__xludf.DUMMYFUNCTION("""COMPUTED_VALUE"""),"Jacksonville")</f>
        <v>Jacksonville</v>
      </c>
      <c r="N484" s="5" t="str">
        <f ca="1">IFERROR(__xludf.DUMMYFUNCTION("""COMPUTED_VALUE"""),"FL")</f>
        <v>FL</v>
      </c>
      <c r="O484" s="5" t="str">
        <f ca="1">IFERROR(__xludf.DUMMYFUNCTION("""COMPUTED_VALUE"""),"Middle")</f>
        <v>Middle</v>
      </c>
      <c r="P484" s="5" t="str">
        <f ca="1">IFERROR(__xludf.DUMMYFUNCTION("""COMPUTED_VALUE"""),"School Bus")</f>
        <v>School Bus</v>
      </c>
      <c r="Q484" s="5" t="str">
        <f ca="1">IFERROR(__xludf.DUMMYFUNCTION("""COMPUTED_VALUE"""),"School Bus")</f>
        <v>School Bus</v>
      </c>
      <c r="R484" s="5" t="str">
        <f ca="1">IFERROR(__xludf.DUMMYFUNCTION("""COMPUTED_VALUE"""),"Yes")</f>
        <v>Yes</v>
      </c>
      <c r="S484" s="5" t="str">
        <f ca="1">IFERROR(__xludf.DUMMYFUNCTION("""COMPUTED_VALUE"""),"Dismissal")</f>
        <v>Dismissal</v>
      </c>
      <c r="T484" s="10">
        <f ca="1">IFERROR(__xludf.DUMMYFUNCTION("""COMPUTED_VALUE"""),0.6875)</f>
        <v>0.6875</v>
      </c>
      <c r="U484" s="5">
        <f ca="1">IFERROR(__xludf.DUMMYFUNCTION("""COMPUTED_VALUE"""),1)</f>
        <v>1</v>
      </c>
      <c r="V484" s="5" t="str">
        <f ca="1">IFERROR(__xludf.DUMMYFUNCTION("""COMPUTED_VALUE"""),"Teen shot BB breaking window of occupied school bus")</f>
        <v>Teen shot BB breaking window of occupied school bus</v>
      </c>
      <c r="W484"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X484" s="5" t="str">
        <f ca="1">IFERROR(__xludf.DUMMYFUNCTION("""COMPUTED_VALUE"""),"Intentional Property Damage")</f>
        <v>Intentional Property Damage</v>
      </c>
      <c r="Y484" s="5" t="str">
        <f ca="1">IFERROR(__xludf.DUMMYFUNCTION("""COMPUTED_VALUE"""),"Neither")</f>
        <v>Neither</v>
      </c>
      <c r="Z484" s="5" t="str">
        <f ca="1">IFERROR(__xludf.DUMMYFUNCTION("""COMPUTED_VALUE"""),"No")</f>
        <v>No</v>
      </c>
      <c r="AA484" s="5"/>
      <c r="AB484" s="5" t="str">
        <f ca="1">IFERROR(__xludf.DUMMYFUNCTION("""COMPUTED_VALUE"""),"No")</f>
        <v>No</v>
      </c>
      <c r="AC484" s="5" t="str">
        <f ca="1">IFERROR(__xludf.DUMMYFUNCTION("""COMPUTED_VALUE"""),"No")</f>
        <v>No</v>
      </c>
      <c r="AD484" s="5" t="str">
        <f ca="1">IFERROR(__xludf.DUMMYFUNCTION("""COMPUTED_VALUE"""),"No")</f>
        <v>No</v>
      </c>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row>
    <row r="485" spans="1:34" ht="12.75">
      <c r="A485" s="5" t="str">
        <f ca="1">IFERROR(__xludf.DUMMYFUNCTION("""COMPUTED_VALUE"""),"20200921CAPLP")</f>
        <v>20200921CAPLP</v>
      </c>
      <c r="B485" s="8">
        <f ca="1">IFERROR(__xludf.DUMMYFUNCTION("""COMPUTED_VALUE"""),44095)</f>
        <v>44095</v>
      </c>
      <c r="C485" s="5" t="str">
        <f ca="1">IFERROR(__xludf.DUMMYFUNCTION("""COMPUTED_VALUE"""),"Pleasant Hill Elementary School")</f>
        <v>Pleasant Hill Elementary School</v>
      </c>
      <c r="D485" s="5">
        <f ca="1">IFERROR(__xludf.DUMMYFUNCTION("""COMPUTED_VALUE"""),0)</f>
        <v>0</v>
      </c>
      <c r="E485" s="5">
        <f ca="1">IFERROR(__xludf.DUMMYFUNCTION("""COMPUTED_VALUE"""),0)</f>
        <v>0</v>
      </c>
      <c r="F485" s="5">
        <f ca="1">IFERROR(__xludf.DUMMYFUNCTION("""COMPUTED_VALUE"""),0)</f>
        <v>0</v>
      </c>
      <c r="G485" s="5">
        <f ca="1">IFERROR(__xludf.DUMMYFUNCTION("""COMPUTED_VALUE"""),0)</f>
        <v>0</v>
      </c>
      <c r="H485"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I485" s="5">
        <f ca="1">IFERROR(__xludf.DUMMYFUNCTION("""COMPUTED_VALUE"""),3)</f>
        <v>3</v>
      </c>
      <c r="J485" s="5" t="str">
        <f ca="1">IFERROR(__xludf.DUMMYFUNCTION("""COMPUTED_VALUE"""),"Local")</f>
        <v>Local</v>
      </c>
      <c r="K485" s="5">
        <f ca="1">IFERROR(__xludf.DUMMYFUNCTION("""COMPUTED_VALUE"""),4)</f>
        <v>4</v>
      </c>
      <c r="L485" s="5" t="str">
        <f ca="1">IFERROR(__xludf.DUMMYFUNCTION("""COMPUTED_VALUE"""),"Fall")</f>
        <v>Fall</v>
      </c>
      <c r="M485" s="5" t="str">
        <f ca="1">IFERROR(__xludf.DUMMYFUNCTION("""COMPUTED_VALUE"""),"Pleasant Hill")</f>
        <v>Pleasant Hill</v>
      </c>
      <c r="N485" s="5" t="str">
        <f ca="1">IFERROR(__xludf.DUMMYFUNCTION("""COMPUTED_VALUE"""),"CA")</f>
        <v>CA</v>
      </c>
      <c r="O485" s="5" t="str">
        <f ca="1">IFERROR(__xludf.DUMMYFUNCTION("""COMPUTED_VALUE"""),"Elementary")</f>
        <v>Elementary</v>
      </c>
      <c r="P485" s="5" t="str">
        <f ca="1">IFERROR(__xludf.DUMMYFUNCTION("""COMPUTED_VALUE"""),"Beside Building")</f>
        <v>Beside Building</v>
      </c>
      <c r="Q485" s="5" t="str">
        <f ca="1">IFERROR(__xludf.DUMMYFUNCTION("""COMPUTED_VALUE"""),"Outside on School Property")</f>
        <v>Outside on School Property</v>
      </c>
      <c r="R485" s="5" t="str">
        <f ca="1">IFERROR(__xludf.DUMMYFUNCTION("""COMPUTED_VALUE"""),"No")</f>
        <v>No</v>
      </c>
      <c r="S485" s="5" t="str">
        <f ca="1">IFERROR(__xludf.DUMMYFUNCTION("""COMPUTED_VALUE"""),"Evening")</f>
        <v>Evening</v>
      </c>
      <c r="T485" s="5"/>
      <c r="U485" s="5">
        <f ca="1">IFERROR(__xludf.DUMMYFUNCTION("""COMPUTED_VALUE"""),1)</f>
        <v>1</v>
      </c>
      <c r="V485" s="5" t="str">
        <f ca="1">IFERROR(__xludf.DUMMYFUNCTION("""COMPUTED_VALUE"""),"Man attempted suicide behind school after firing at officers during pursuit")</f>
        <v>Man attempted suicide behind school after firing at officers during pursuit</v>
      </c>
      <c r="W485" s="5" t="str">
        <f ca="1">IFERROR(__xludf.DUMMYFUNCTION("""COMPUTED_VALUE"""),"Man attempted suicide behind school after firing at officers during pursuit")</f>
        <v>Man attempted suicide behind school after firing at officers during pursuit</v>
      </c>
      <c r="X485" s="5" t="str">
        <f ca="1">IFERROR(__xludf.DUMMYFUNCTION("""COMPUTED_VALUE"""),"Suicide/Attempted")</f>
        <v>Suicide/Attempted</v>
      </c>
      <c r="Y485" s="5" t="str">
        <f ca="1">IFERROR(__xludf.DUMMYFUNCTION("""COMPUTED_VALUE"""),"Neither")</f>
        <v>Neither</v>
      </c>
      <c r="Z485" s="5" t="str">
        <f ca="1">IFERROR(__xludf.DUMMYFUNCTION("""COMPUTED_VALUE"""),"No")</f>
        <v>No</v>
      </c>
      <c r="AA485" s="5"/>
      <c r="AB485" s="5" t="str">
        <f ca="1">IFERROR(__xludf.DUMMYFUNCTION("""COMPUTED_VALUE"""),"No")</f>
        <v>No</v>
      </c>
      <c r="AC485" s="5" t="str">
        <f ca="1">IFERROR(__xludf.DUMMYFUNCTION("""COMPUTED_VALUE"""),"No")</f>
        <v>No</v>
      </c>
      <c r="AD485" s="5" t="str">
        <f ca="1">IFERROR(__xludf.DUMMYFUNCTION("""COMPUTED_VALUE"""),"No")</f>
        <v>No</v>
      </c>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row>
    <row r="486" spans="1:34" ht="12.75">
      <c r="A486" s="5" t="str">
        <f ca="1">IFERROR(__xludf.DUMMYFUNCTION("""COMPUTED_VALUE"""),"20200920UTLIS")</f>
        <v>20200920UTLIS</v>
      </c>
      <c r="B486" s="8">
        <f ca="1">IFERROR(__xludf.DUMMYFUNCTION("""COMPUTED_VALUE"""),44094)</f>
        <v>44094</v>
      </c>
      <c r="C486" s="5" t="str">
        <f ca="1">IFERROR(__xludf.DUMMYFUNCTION("""COMPUTED_VALUE"""),"Liberty Elementary School")</f>
        <v>Liberty Elementary School</v>
      </c>
      <c r="D486" s="5">
        <f ca="1">IFERROR(__xludf.DUMMYFUNCTION("""COMPUTED_VALUE"""),0)</f>
        <v>0</v>
      </c>
      <c r="E486" s="5">
        <f ca="1">IFERROR(__xludf.DUMMYFUNCTION("""COMPUTED_VALUE"""),0)</f>
        <v>0</v>
      </c>
      <c r="F486" s="5">
        <f ca="1">IFERROR(__xludf.DUMMYFUNCTION("""COMPUTED_VALUE"""),0)</f>
        <v>0</v>
      </c>
      <c r="G486" s="5">
        <f ca="1">IFERROR(__xludf.DUMMYFUNCTION("""COMPUTED_VALUE"""),0)</f>
        <v>0</v>
      </c>
      <c r="H486"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I486" s="5">
        <f ca="1">IFERROR(__xludf.DUMMYFUNCTION("""COMPUTED_VALUE"""),2)</f>
        <v>2</v>
      </c>
      <c r="J486" s="5" t="str">
        <f ca="1">IFERROR(__xludf.DUMMYFUNCTION("""COMPUTED_VALUE"""),"Local")</f>
        <v>Local</v>
      </c>
      <c r="K486" s="5">
        <f ca="1">IFERROR(__xludf.DUMMYFUNCTION("""COMPUTED_VALUE"""),4)</f>
        <v>4</v>
      </c>
      <c r="L486" s="5" t="str">
        <f ca="1">IFERROR(__xludf.DUMMYFUNCTION("""COMPUTED_VALUE"""),"Fall")</f>
        <v>Fall</v>
      </c>
      <c r="M486" s="5" t="str">
        <f ca="1">IFERROR(__xludf.DUMMYFUNCTION("""COMPUTED_VALUE"""),"Salt Lake City")</f>
        <v>Salt Lake City</v>
      </c>
      <c r="N486" s="5" t="str">
        <f ca="1">IFERROR(__xludf.DUMMYFUNCTION("""COMPUTED_VALUE"""),"UT")</f>
        <v>UT</v>
      </c>
      <c r="O486" s="5" t="str">
        <f ca="1">IFERROR(__xludf.DUMMYFUNCTION("""COMPUTED_VALUE"""),"Elementary")</f>
        <v>Elementary</v>
      </c>
      <c r="P486" s="5" t="str">
        <f ca="1">IFERROR(__xludf.DUMMYFUNCTION("""COMPUTED_VALUE"""),"Field (General)")</f>
        <v>Field (General)</v>
      </c>
      <c r="Q486" s="5" t="str">
        <f ca="1">IFERROR(__xludf.DUMMYFUNCTION("""COMPUTED_VALUE"""),"Outside on School Property")</f>
        <v>Outside on School Property</v>
      </c>
      <c r="R486" s="5" t="str">
        <f ca="1">IFERROR(__xludf.DUMMYFUNCTION("""COMPUTED_VALUE"""),"No")</f>
        <v>No</v>
      </c>
      <c r="S486" s="5" t="str">
        <f ca="1">IFERROR(__xludf.DUMMYFUNCTION("""COMPUTED_VALUE"""),"Not a School Day")</f>
        <v>Not a School Day</v>
      </c>
      <c r="T486" s="10">
        <f ca="1">IFERROR(__xludf.DUMMYFUNCTION("""COMPUTED_VALUE"""),0.666666666666666)</f>
        <v>0.66666666666666596</v>
      </c>
      <c r="U486" s="5">
        <f ca="1">IFERROR(__xludf.DUMMYFUNCTION("""COMPUTED_VALUE"""),1)</f>
        <v>1</v>
      </c>
      <c r="V486" s="5" t="str">
        <f ca="1">IFERROR(__xludf.DUMMYFUNCTION("""COMPUTED_VALUE"""),"8 shots fired on school soccer field")</f>
        <v>8 shots fired on school soccer field</v>
      </c>
      <c r="W486"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X486" s="5"/>
      <c r="Y486" s="5"/>
      <c r="Z486" s="5"/>
      <c r="AA486" s="5"/>
      <c r="AB486" s="5" t="str">
        <f ca="1">IFERROR(__xludf.DUMMYFUNCTION("""COMPUTED_VALUE"""),"No")</f>
        <v>No</v>
      </c>
      <c r="AC486" s="5" t="str">
        <f ca="1">IFERROR(__xludf.DUMMYFUNCTION("""COMPUTED_VALUE"""),"No")</f>
        <v>No</v>
      </c>
      <c r="AD486" s="5" t="str">
        <f ca="1">IFERROR(__xludf.DUMMYFUNCTION("""COMPUTED_VALUE"""),"No")</f>
        <v>No</v>
      </c>
      <c r="AE486" s="5" t="str">
        <f ca="1">IFERROR(__xludf.DUMMYFUNCTION("""COMPUTED_VALUE"""),"No")</f>
        <v>No</v>
      </c>
      <c r="AF486" s="5" t="str">
        <f ca="1">IFERROR(__xludf.DUMMYFUNCTION("""COMPUTED_VALUE"""),"No")</f>
        <v>No</v>
      </c>
      <c r="AG486" s="5"/>
      <c r="AH486" s="5" t="str">
        <f ca="1">IFERROR(__xludf.DUMMYFUNCTION("""COMPUTED_VALUE"""),"No")</f>
        <v>No</v>
      </c>
    </row>
    <row r="487" spans="1:34" ht="12.75">
      <c r="A487" s="5" t="str">
        <f ca="1">IFERROR(__xludf.DUMMYFUNCTION("""COMPUTED_VALUE"""),"20200919CAKRS")</f>
        <v>20200919CAKRS</v>
      </c>
      <c r="B487" s="8">
        <f ca="1">IFERROR(__xludf.DUMMYFUNCTION("""COMPUTED_VALUE"""),44093)</f>
        <v>44093</v>
      </c>
      <c r="C487" s="5" t="str">
        <f ca="1">IFERROR(__xludf.DUMMYFUNCTION("""COMPUTED_VALUE"""),"Krouzian Zekarian Vasbouragan Armenian School")</f>
        <v>Krouzian Zekarian Vasbouragan Armenian School</v>
      </c>
      <c r="D487" s="5">
        <f ca="1">IFERROR(__xludf.DUMMYFUNCTION("""COMPUTED_VALUE"""),0)</f>
        <v>0</v>
      </c>
      <c r="E487" s="5">
        <f ca="1">IFERROR(__xludf.DUMMYFUNCTION("""COMPUTED_VALUE"""),0)</f>
        <v>0</v>
      </c>
      <c r="F487" s="5">
        <f ca="1">IFERROR(__xludf.DUMMYFUNCTION("""COMPUTED_VALUE"""),0)</f>
        <v>0</v>
      </c>
      <c r="G487" s="5">
        <f ca="1">IFERROR(__xludf.DUMMYFUNCTION("""COMPUTED_VALUE"""),0)</f>
        <v>0</v>
      </c>
      <c r="H487"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I487" s="5">
        <f ca="1">IFERROR(__xludf.DUMMYFUNCTION("""COMPUTED_VALUE"""),3)</f>
        <v>3</v>
      </c>
      <c r="J487" s="5" t="str">
        <f ca="1">IFERROR(__xludf.DUMMYFUNCTION("""COMPUTED_VALUE"""),"Regional")</f>
        <v>Regional</v>
      </c>
      <c r="K487" s="5">
        <f ca="1">IFERROR(__xludf.DUMMYFUNCTION("""COMPUTED_VALUE"""),4)</f>
        <v>4</v>
      </c>
      <c r="L487" s="5"/>
      <c r="M487" s="5" t="str">
        <f ca="1">IFERROR(__xludf.DUMMYFUNCTION("""COMPUTED_VALUE"""),"San Francisco")</f>
        <v>San Francisco</v>
      </c>
      <c r="N487" s="5" t="str">
        <f ca="1">IFERROR(__xludf.DUMMYFUNCTION("""COMPUTED_VALUE"""),"CA")</f>
        <v>CA</v>
      </c>
      <c r="O487" s="5" t="str">
        <f ca="1">IFERROR(__xludf.DUMMYFUNCTION("""COMPUTED_VALUE"""),"K-8")</f>
        <v>K-8</v>
      </c>
      <c r="P487" s="5" t="str">
        <f ca="1">IFERROR(__xludf.DUMMYFUNCTION("""COMPUTED_VALUE"""),"Outside on School Property")</f>
        <v>Outside on School Property</v>
      </c>
      <c r="Q487" s="5" t="str">
        <f ca="1">IFERROR(__xludf.DUMMYFUNCTION("""COMPUTED_VALUE"""),"Outside on School Property")</f>
        <v>Outside on School Property</v>
      </c>
      <c r="R487" s="5" t="str">
        <f ca="1">IFERROR(__xludf.DUMMYFUNCTION("""COMPUTED_VALUE"""),"No")</f>
        <v>No</v>
      </c>
      <c r="S487" s="5" t="str">
        <f ca="1">IFERROR(__xludf.DUMMYFUNCTION("""COMPUTED_VALUE"""),"Night")</f>
        <v>Night</v>
      </c>
      <c r="T487" s="10">
        <f ca="1">IFERROR(__xludf.DUMMYFUNCTION("""COMPUTED_VALUE"""),0.600694444444444)</f>
        <v>0.60069444444444398</v>
      </c>
      <c r="U487" s="5">
        <f ca="1">IFERROR(__xludf.DUMMYFUNCTION("""COMPUTED_VALUE"""),1)</f>
        <v>1</v>
      </c>
      <c r="V487" s="5" t="str">
        <f ca="1">IFERROR(__xludf.DUMMYFUNCTION("""COMPUTED_VALUE"""),"School sign damaged by gunshot")</f>
        <v>School sign damaged by gunshot</v>
      </c>
      <c r="W487"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X487" s="5" t="str">
        <f ca="1">IFERROR(__xludf.DUMMYFUNCTION("""COMPUTED_VALUE"""),"Intentional Property Damage")</f>
        <v>Intentional Property Damage</v>
      </c>
      <c r="Y487" s="5" t="str">
        <f ca="1">IFERROR(__xludf.DUMMYFUNCTION("""COMPUTED_VALUE"""),"Neither")</f>
        <v>Neither</v>
      </c>
      <c r="Z487" s="5"/>
      <c r="AA487" s="5"/>
      <c r="AB487" s="5" t="str">
        <f ca="1">IFERROR(__xludf.DUMMYFUNCTION("""COMPUTED_VALUE"""),"No")</f>
        <v>No</v>
      </c>
      <c r="AC487" s="5" t="str">
        <f ca="1">IFERROR(__xludf.DUMMYFUNCTION("""COMPUTED_VALUE"""),"No")</f>
        <v>No</v>
      </c>
      <c r="AD487" s="5" t="str">
        <f ca="1">IFERROR(__xludf.DUMMYFUNCTION("""COMPUTED_VALUE"""),"No")</f>
        <v>No</v>
      </c>
      <c r="AE487" s="5" t="str">
        <f ca="1">IFERROR(__xludf.DUMMYFUNCTION("""COMPUTED_VALUE"""),"No")</f>
        <v>No</v>
      </c>
      <c r="AF487" s="5" t="str">
        <f ca="1">IFERROR(__xludf.DUMMYFUNCTION("""COMPUTED_VALUE"""),"No")</f>
        <v>No</v>
      </c>
      <c r="AG487" s="5"/>
      <c r="AH487" s="5" t="str">
        <f ca="1">IFERROR(__xludf.DUMMYFUNCTION("""COMPUTED_VALUE"""),"No")</f>
        <v>No</v>
      </c>
    </row>
    <row r="488" spans="1:34" ht="12.75">
      <c r="A488" s="5" t="str">
        <f ca="1">IFERROR(__xludf.DUMMYFUNCTION("""COMPUTED_VALUE"""),"20200918KYWIL")</f>
        <v>20200918KYWIL</v>
      </c>
      <c r="B488" s="8">
        <f ca="1">IFERROR(__xludf.DUMMYFUNCTION("""COMPUTED_VALUE"""),44092)</f>
        <v>44092</v>
      </c>
      <c r="C488" s="5" t="str">
        <f ca="1">IFERROR(__xludf.DUMMYFUNCTION("""COMPUTED_VALUE"""),"Winburn Middle School")</f>
        <v>Winburn Middle School</v>
      </c>
      <c r="D488" s="5">
        <f ca="1">IFERROR(__xludf.DUMMYFUNCTION("""COMPUTED_VALUE"""),0)</f>
        <v>0</v>
      </c>
      <c r="E488" s="5">
        <f ca="1">IFERROR(__xludf.DUMMYFUNCTION("""COMPUTED_VALUE"""),1)</f>
        <v>1</v>
      </c>
      <c r="F488" s="5">
        <f ca="1">IFERROR(__xludf.DUMMYFUNCTION("""COMPUTED_VALUE"""),1)</f>
        <v>1</v>
      </c>
      <c r="G488" s="5">
        <f ca="1">IFERROR(__xludf.DUMMYFUNCTION("""COMPUTED_VALUE"""),0)</f>
        <v>0</v>
      </c>
      <c r="H488" s="9" t="str">
        <f ca="1">IFERROR(__xludf.DUMMYFUNCTION("""COMPUTED_VALUE"""),"https://www.wkyt.com/2020/09/19/one-shot-near-lexington-school/")</f>
        <v>https://www.wkyt.com/2020/09/19/one-shot-near-lexington-school/</v>
      </c>
      <c r="I488" s="5">
        <f ca="1">IFERROR(__xludf.DUMMYFUNCTION("""COMPUTED_VALUE"""),1)</f>
        <v>1</v>
      </c>
      <c r="J488" s="5" t="str">
        <f ca="1">IFERROR(__xludf.DUMMYFUNCTION("""COMPUTED_VALUE"""),"Local")</f>
        <v>Local</v>
      </c>
      <c r="K488" s="5">
        <f ca="1">IFERROR(__xludf.DUMMYFUNCTION("""COMPUTED_VALUE"""),3)</f>
        <v>3</v>
      </c>
      <c r="L488" s="5" t="str">
        <f ca="1">IFERROR(__xludf.DUMMYFUNCTION("""COMPUTED_VALUE"""),"Fall")</f>
        <v>Fall</v>
      </c>
      <c r="M488" s="5" t="str">
        <f ca="1">IFERROR(__xludf.DUMMYFUNCTION("""COMPUTED_VALUE"""),"Lexington")</f>
        <v>Lexington</v>
      </c>
      <c r="N488" s="5" t="str">
        <f ca="1">IFERROR(__xludf.DUMMYFUNCTION("""COMPUTED_VALUE"""),"KY")</f>
        <v>KY</v>
      </c>
      <c r="O488" s="5" t="str">
        <f ca="1">IFERROR(__xludf.DUMMYFUNCTION("""COMPUTED_VALUE"""),"Middle")</f>
        <v>Middle</v>
      </c>
      <c r="P488" s="5" t="str">
        <f ca="1">IFERROR(__xludf.DUMMYFUNCTION("""COMPUTED_VALUE"""),"Basketball Court")</f>
        <v>Basketball Court</v>
      </c>
      <c r="Q488" s="5" t="str">
        <f ca="1">IFERROR(__xludf.DUMMYFUNCTION("""COMPUTED_VALUE"""),"Outside on School Property")</f>
        <v>Outside on School Property</v>
      </c>
      <c r="R488" s="5" t="str">
        <f ca="1">IFERROR(__xludf.DUMMYFUNCTION("""COMPUTED_VALUE"""),"No")</f>
        <v>No</v>
      </c>
      <c r="S488" s="5" t="str">
        <f ca="1">IFERROR(__xludf.DUMMYFUNCTION("""COMPUTED_VALUE"""),"Evening")</f>
        <v>Evening</v>
      </c>
      <c r="T488" s="10">
        <f ca="1">IFERROR(__xludf.DUMMYFUNCTION("""COMPUTED_VALUE"""),0.854166666666666)</f>
        <v>0.85416666666666596</v>
      </c>
      <c r="U488" s="5">
        <f ca="1">IFERROR(__xludf.DUMMYFUNCTION("""COMPUTED_VALUE"""),1)</f>
        <v>1</v>
      </c>
      <c r="V488" s="5" t="str">
        <f ca="1">IFERROR(__xludf.DUMMYFUNCTION("""COMPUTED_VALUE"""),"Man shot near the school basketball court")</f>
        <v>Man shot near the school basketball court</v>
      </c>
      <c r="W488" s="5" t="str">
        <f ca="1">IFERROR(__xludf.DUMMYFUNCTION("""COMPUTED_VALUE"""),"Man was shot near the school basketball court. Police did not provide any other information.")</f>
        <v>Man was shot near the school basketball court. Police did not provide any other information.</v>
      </c>
      <c r="X488" s="5"/>
      <c r="Y488" s="5"/>
      <c r="Z488" s="5"/>
      <c r="AA488" s="5"/>
      <c r="AB488" s="5" t="str">
        <f ca="1">IFERROR(__xludf.DUMMYFUNCTION("""COMPUTED_VALUE"""),"No")</f>
        <v>No</v>
      </c>
      <c r="AC488" s="5" t="str">
        <f ca="1">IFERROR(__xludf.DUMMYFUNCTION("""COMPUTED_VALUE"""),"No")</f>
        <v>No</v>
      </c>
      <c r="AD488" s="5" t="str">
        <f ca="1">IFERROR(__xludf.DUMMYFUNCTION("""COMPUTED_VALUE"""),"No")</f>
        <v>No</v>
      </c>
      <c r="AE488" s="5" t="str">
        <f ca="1">IFERROR(__xludf.DUMMYFUNCTION("""COMPUTED_VALUE"""),"No")</f>
        <v>No</v>
      </c>
      <c r="AF488" s="5" t="str">
        <f ca="1">IFERROR(__xludf.DUMMYFUNCTION("""COMPUTED_VALUE"""),"No")</f>
        <v>No</v>
      </c>
      <c r="AG488" s="5"/>
      <c r="AH488" s="5" t="str">
        <f ca="1">IFERROR(__xludf.DUMMYFUNCTION("""COMPUTED_VALUE"""),"No")</f>
        <v>No</v>
      </c>
    </row>
    <row r="489" spans="1:34" ht="12.75">
      <c r="A489" s="5" t="str">
        <f ca="1">IFERROR(__xludf.DUMMYFUNCTION("""COMPUTED_VALUE"""),"20200917ORDRP")</f>
        <v>20200917ORDRP</v>
      </c>
      <c r="B489" s="8">
        <f ca="1">IFERROR(__xludf.DUMMYFUNCTION("""COMPUTED_VALUE"""),44091)</f>
        <v>44091</v>
      </c>
      <c r="C489" s="5" t="str">
        <f ca="1">IFERROR(__xludf.DUMMYFUNCTION("""COMPUTED_VALUE"""),"Dr. Martin Luther King Jr. Elementary School")</f>
        <v>Dr. Martin Luther King Jr. Elementary School</v>
      </c>
      <c r="D489" s="5">
        <f ca="1">IFERROR(__xludf.DUMMYFUNCTION("""COMPUTED_VALUE"""),0)</f>
        <v>0</v>
      </c>
      <c r="E489" s="5">
        <f ca="1">IFERROR(__xludf.DUMMYFUNCTION("""COMPUTED_VALUE"""),1)</f>
        <v>1</v>
      </c>
      <c r="F489" s="5">
        <f ca="1">IFERROR(__xludf.DUMMYFUNCTION("""COMPUTED_VALUE"""),1)</f>
        <v>1</v>
      </c>
      <c r="G489" s="5">
        <f ca="1">IFERROR(__xludf.DUMMYFUNCTION("""COMPUTED_VALUE"""),0)</f>
        <v>0</v>
      </c>
      <c r="H489"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I489" s="5">
        <f ca="1">IFERROR(__xludf.DUMMYFUNCTION("""COMPUTED_VALUE"""),2)</f>
        <v>2</v>
      </c>
      <c r="J489" s="5" t="str">
        <f ca="1">IFERROR(__xludf.DUMMYFUNCTION("""COMPUTED_VALUE"""),"Local")</f>
        <v>Local</v>
      </c>
      <c r="K489" s="5">
        <f ca="1">IFERROR(__xludf.DUMMYFUNCTION("""COMPUTED_VALUE"""),3)</f>
        <v>3</v>
      </c>
      <c r="L489" s="5" t="str">
        <f ca="1">IFERROR(__xludf.DUMMYFUNCTION("""COMPUTED_VALUE"""),"Fall")</f>
        <v>Fall</v>
      </c>
      <c r="M489" s="5" t="str">
        <f ca="1">IFERROR(__xludf.DUMMYFUNCTION("""COMPUTED_VALUE"""),"Portland")</f>
        <v>Portland</v>
      </c>
      <c r="N489" s="5" t="str">
        <f ca="1">IFERROR(__xludf.DUMMYFUNCTION("""COMPUTED_VALUE"""),"OR")</f>
        <v>OR</v>
      </c>
      <c r="O489" s="5" t="str">
        <f ca="1">IFERROR(__xludf.DUMMYFUNCTION("""COMPUTED_VALUE"""),"Elementary")</f>
        <v>Elementary</v>
      </c>
      <c r="P489" s="5" t="str">
        <f ca="1">IFERROR(__xludf.DUMMYFUNCTION("""COMPUTED_VALUE"""),"Outside on School Property")</f>
        <v>Outside on School Property</v>
      </c>
      <c r="Q489" s="5" t="str">
        <f ca="1">IFERROR(__xludf.DUMMYFUNCTION("""COMPUTED_VALUE"""),"Outside on School Property")</f>
        <v>Outside on School Property</v>
      </c>
      <c r="R489" s="5" t="str">
        <f ca="1">IFERROR(__xludf.DUMMYFUNCTION("""COMPUTED_VALUE"""),"No")</f>
        <v>No</v>
      </c>
      <c r="S489" s="5" t="str">
        <f ca="1">IFERROR(__xludf.DUMMYFUNCTION("""COMPUTED_VALUE"""),"Night")</f>
        <v>Night</v>
      </c>
      <c r="T489" s="10">
        <f ca="1">IFERROR(__xludf.DUMMYFUNCTION("""COMPUTED_VALUE"""),0.900694444444444)</f>
        <v>0.90069444444444402</v>
      </c>
      <c r="U489" s="5">
        <f ca="1">IFERROR(__xludf.DUMMYFUNCTION("""COMPUTED_VALUE"""),1)</f>
        <v>1</v>
      </c>
      <c r="V489" s="5" t="str">
        <f ca="1">IFERROR(__xludf.DUMMYFUNCTION("""COMPUTED_VALUE"""),"Victim shot near school tennis court")</f>
        <v>Victim shot near school tennis court</v>
      </c>
      <c r="W489"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X489" s="5"/>
      <c r="Y489" s="5"/>
      <c r="Z489" s="5"/>
      <c r="AA489" s="5"/>
      <c r="AB489" s="5" t="str">
        <f ca="1">IFERROR(__xludf.DUMMYFUNCTION("""COMPUTED_VALUE"""),"No")</f>
        <v>No</v>
      </c>
      <c r="AC489" s="5" t="str">
        <f ca="1">IFERROR(__xludf.DUMMYFUNCTION("""COMPUTED_VALUE"""),"No")</f>
        <v>No</v>
      </c>
      <c r="AD489" s="5" t="str">
        <f ca="1">IFERROR(__xludf.DUMMYFUNCTION("""COMPUTED_VALUE"""),"No")</f>
        <v>No</v>
      </c>
      <c r="AE489" s="5" t="str">
        <f ca="1">IFERROR(__xludf.DUMMYFUNCTION("""COMPUTED_VALUE"""),"No")</f>
        <v>No</v>
      </c>
      <c r="AF489" s="5" t="str">
        <f ca="1">IFERROR(__xludf.DUMMYFUNCTION("""COMPUTED_VALUE"""),"No")</f>
        <v>No</v>
      </c>
      <c r="AG489" s="5"/>
      <c r="AH489" s="5" t="str">
        <f ca="1">IFERROR(__xludf.DUMMYFUNCTION("""COMPUTED_VALUE"""),"No")</f>
        <v>No</v>
      </c>
    </row>
    <row r="490" spans="1:34" ht="12.75">
      <c r="A490" s="5" t="str">
        <f ca="1">IFERROR(__xludf.DUMMYFUNCTION("""COMPUTED_VALUE"""),"20200917OHELA")</f>
        <v>20200917OHELA</v>
      </c>
      <c r="B490" s="8">
        <f ca="1">IFERROR(__xludf.DUMMYFUNCTION("""COMPUTED_VALUE"""),44091)</f>
        <v>44091</v>
      </c>
      <c r="C490" s="5" t="str">
        <f ca="1">IFERROR(__xludf.DUMMYFUNCTION("""COMPUTED_VALUE"""),"Ellet High School")</f>
        <v>Ellet High School</v>
      </c>
      <c r="D490" s="5">
        <f ca="1">IFERROR(__xludf.DUMMYFUNCTION("""COMPUTED_VALUE"""),0)</f>
        <v>0</v>
      </c>
      <c r="E490" s="5">
        <f ca="1">IFERROR(__xludf.DUMMYFUNCTION("""COMPUTED_VALUE"""),2)</f>
        <v>2</v>
      </c>
      <c r="F490" s="5">
        <f ca="1">IFERROR(__xludf.DUMMYFUNCTION("""COMPUTED_VALUE"""),2)</f>
        <v>2</v>
      </c>
      <c r="G490" s="5">
        <f ca="1">IFERROR(__xludf.DUMMYFUNCTION("""COMPUTED_VALUE"""),0)</f>
        <v>0</v>
      </c>
      <c r="H490"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I490" s="5"/>
      <c r="J490" s="5" t="str">
        <f ca="1">IFERROR(__xludf.DUMMYFUNCTION("""COMPUTED_VALUE"""),"Local")</f>
        <v>Local</v>
      </c>
      <c r="K490" s="5">
        <f ca="1">IFERROR(__xludf.DUMMYFUNCTION("""COMPUTED_VALUE"""),4)</f>
        <v>4</v>
      </c>
      <c r="L490" s="5" t="str">
        <f ca="1">IFERROR(__xludf.DUMMYFUNCTION("""COMPUTED_VALUE"""),"Fall")</f>
        <v>Fall</v>
      </c>
      <c r="M490" s="5" t="str">
        <f ca="1">IFERROR(__xludf.DUMMYFUNCTION("""COMPUTED_VALUE"""),"Akron")</f>
        <v>Akron</v>
      </c>
      <c r="N490" s="5" t="str">
        <f ca="1">IFERROR(__xludf.DUMMYFUNCTION("""COMPUTED_VALUE"""),"OH")</f>
        <v>OH</v>
      </c>
      <c r="O490" s="5" t="str">
        <f ca="1">IFERROR(__xludf.DUMMYFUNCTION("""COMPUTED_VALUE"""),"High")</f>
        <v>High</v>
      </c>
      <c r="P490" s="5" t="str">
        <f ca="1">IFERROR(__xludf.DUMMYFUNCTION("""COMPUTED_VALUE"""),"Football Field/Track")</f>
        <v>Football Field/Track</v>
      </c>
      <c r="Q490" s="5" t="str">
        <f ca="1">IFERROR(__xludf.DUMMYFUNCTION("""COMPUTED_VALUE"""),"Outside on School Property")</f>
        <v>Outside on School Property</v>
      </c>
      <c r="R490" s="5" t="str">
        <f ca="1">IFERROR(__xludf.DUMMYFUNCTION("""COMPUTED_VALUE"""),"No")</f>
        <v>No</v>
      </c>
      <c r="S490" s="5" t="str">
        <f ca="1">IFERROR(__xludf.DUMMYFUNCTION("""COMPUTED_VALUE"""),"Sport Event")</f>
        <v>Sport Event</v>
      </c>
      <c r="T490" s="10">
        <f ca="1">IFERROR(__xludf.DUMMYFUNCTION("""COMPUTED_VALUE"""),0.833333333333333)</f>
        <v>0.83333333333333304</v>
      </c>
      <c r="U490" s="5">
        <f ca="1">IFERROR(__xludf.DUMMYFUNCTION("""COMPUTED_VALUE"""),1)</f>
        <v>1</v>
      </c>
      <c r="V490" s="5" t="str">
        <f ca="1">IFERROR(__xludf.DUMMYFUNCTION("""COMPUTED_VALUE"""),"Teen shot another teen and bystander during dispute at football game")</f>
        <v>Teen shot another teen and bystander during dispute at football game</v>
      </c>
      <c r="W490"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X490" s="5" t="str">
        <f ca="1">IFERROR(__xludf.DUMMYFUNCTION("""COMPUTED_VALUE"""),"Escalation of Dispute")</f>
        <v>Escalation of Dispute</v>
      </c>
      <c r="Y490" s="5" t="str">
        <f ca="1">IFERROR(__xludf.DUMMYFUNCTION("""COMPUTED_VALUE"""),"Both")</f>
        <v>Both</v>
      </c>
      <c r="Z490" s="5" t="str">
        <f ca="1">IFERROR(__xludf.DUMMYFUNCTION("""COMPUTED_VALUE"""),"No")</f>
        <v>No</v>
      </c>
      <c r="AA490" s="5"/>
      <c r="AB490" s="5" t="str">
        <f ca="1">IFERROR(__xludf.DUMMYFUNCTION("""COMPUTED_VALUE"""),"No")</f>
        <v>No</v>
      </c>
      <c r="AC490" s="5" t="str">
        <f ca="1">IFERROR(__xludf.DUMMYFUNCTION("""COMPUTED_VALUE"""),"No")</f>
        <v>No</v>
      </c>
      <c r="AD490" s="5" t="str">
        <f ca="1">IFERROR(__xludf.DUMMYFUNCTION("""COMPUTED_VALUE"""),"No")</f>
        <v>No</v>
      </c>
      <c r="AE490" s="5" t="str">
        <f ca="1">IFERROR(__xludf.DUMMYFUNCTION("""COMPUTED_VALUE"""),"No")</f>
        <v>No</v>
      </c>
      <c r="AF490" s="5" t="str">
        <f ca="1">IFERROR(__xludf.DUMMYFUNCTION("""COMPUTED_VALUE"""),"No")</f>
        <v>No</v>
      </c>
      <c r="AG490" s="5"/>
      <c r="AH490" s="5" t="str">
        <f ca="1">IFERROR(__xludf.DUMMYFUNCTION("""COMPUTED_VALUE"""),"No")</f>
        <v>No</v>
      </c>
    </row>
    <row r="491" spans="1:34" ht="12.75">
      <c r="A491" s="5" t="str">
        <f ca="1">IFERROR(__xludf.DUMMYFUNCTION("""COMPUTED_VALUE"""),"20200916CASOS")</f>
        <v>20200916CASOS</v>
      </c>
      <c r="B491" s="8">
        <f ca="1">IFERROR(__xludf.DUMMYFUNCTION("""COMPUTED_VALUE"""),44090)</f>
        <v>44090</v>
      </c>
      <c r="C491" s="5" t="str">
        <f ca="1">IFERROR(__xludf.DUMMYFUNCTION("""COMPUTED_VALUE"""),"Sonora High School")</f>
        <v>Sonora High School</v>
      </c>
      <c r="D491" s="5">
        <f ca="1">IFERROR(__xludf.DUMMYFUNCTION("""COMPUTED_VALUE"""),1)</f>
        <v>1</v>
      </c>
      <c r="E491" s="5">
        <f ca="1">IFERROR(__xludf.DUMMYFUNCTION("""COMPUTED_VALUE"""),0)</f>
        <v>0</v>
      </c>
      <c r="F491" s="5">
        <f ca="1">IFERROR(__xludf.DUMMYFUNCTION("""COMPUTED_VALUE"""),1)</f>
        <v>1</v>
      </c>
      <c r="G491" s="5">
        <f ca="1">IFERROR(__xludf.DUMMYFUNCTION("""COMPUTED_VALUE"""),0)</f>
        <v>0</v>
      </c>
      <c r="H491"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I491" s="5">
        <f ca="1">IFERROR(__xludf.DUMMYFUNCTION("""COMPUTED_VALUE"""),2)</f>
        <v>2</v>
      </c>
      <c r="J491" s="5" t="str">
        <f ca="1">IFERROR(__xludf.DUMMYFUNCTION("""COMPUTED_VALUE"""),"Local")</f>
        <v>Local</v>
      </c>
      <c r="K491" s="5">
        <f ca="1">IFERROR(__xludf.DUMMYFUNCTION("""COMPUTED_VALUE"""),4)</f>
        <v>4</v>
      </c>
      <c r="L491" s="5" t="str">
        <f ca="1">IFERROR(__xludf.DUMMYFUNCTION("""COMPUTED_VALUE"""),"Fall")</f>
        <v>Fall</v>
      </c>
      <c r="M491" s="5" t="str">
        <f ca="1">IFERROR(__xludf.DUMMYFUNCTION("""COMPUTED_VALUE"""),"Sonora")</f>
        <v>Sonora</v>
      </c>
      <c r="N491" s="5" t="str">
        <f ca="1">IFERROR(__xludf.DUMMYFUNCTION("""COMPUTED_VALUE"""),"CA")</f>
        <v>CA</v>
      </c>
      <c r="O491" s="5" t="str">
        <f ca="1">IFERROR(__xludf.DUMMYFUNCTION("""COMPUTED_VALUE"""),"High")</f>
        <v>High</v>
      </c>
      <c r="P491" s="5" t="str">
        <f ca="1">IFERROR(__xludf.DUMMYFUNCTION("""COMPUTED_VALUE"""),"Parking Lot")</f>
        <v>Parking Lot</v>
      </c>
      <c r="Q491" s="5" t="str">
        <f ca="1">IFERROR(__xludf.DUMMYFUNCTION("""COMPUTED_VALUE"""),"Outside on School Property")</f>
        <v>Outside on School Property</v>
      </c>
      <c r="R491" s="5" t="str">
        <f ca="1">IFERROR(__xludf.DUMMYFUNCTION("""COMPUTED_VALUE"""),"No")</f>
        <v>No</v>
      </c>
      <c r="S491" s="5" t="str">
        <f ca="1">IFERROR(__xludf.DUMMYFUNCTION("""COMPUTED_VALUE"""),"Night")</f>
        <v>Night</v>
      </c>
      <c r="T491" s="10">
        <f ca="1">IFERROR(__xludf.DUMMYFUNCTION("""COMPUTED_VALUE"""),0.990277777777777)</f>
        <v>0.99027777777777704</v>
      </c>
      <c r="U491" s="5">
        <f ca="1">IFERROR(__xludf.DUMMYFUNCTION("""COMPUTED_VALUE"""),1)</f>
        <v>1</v>
      </c>
      <c r="V491" s="5" t="str">
        <f ca="1">IFERROR(__xludf.DUMMYFUNCTION("""COMPUTED_VALUE"""),"17 year-old male killed in the school parking lot")</f>
        <v>17 year-old male killed in the school parking lot</v>
      </c>
      <c r="W491"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X491" s="5" t="str">
        <f ca="1">IFERROR(__xludf.DUMMYFUNCTION("""COMPUTED_VALUE"""),"Drive-by Shooting")</f>
        <v>Drive-by Shooting</v>
      </c>
      <c r="Y491" s="5" t="str">
        <f ca="1">IFERROR(__xludf.DUMMYFUNCTION("""COMPUTED_VALUE"""),"Victims Targeted")</f>
        <v>Victims Targeted</v>
      </c>
      <c r="Z491" s="5" t="str">
        <f ca="1">IFERROR(__xludf.DUMMYFUNCTION("""COMPUTED_VALUE"""),"Yes")</f>
        <v>Yes</v>
      </c>
      <c r="AA491" s="5" t="str">
        <f ca="1">IFERROR(__xludf.DUMMYFUNCTION("""COMPUTED_VALUE"""),"Multiple people and vehicles involved")</f>
        <v>Multiple people and vehicles involved</v>
      </c>
      <c r="AB491" s="5" t="str">
        <f ca="1">IFERROR(__xludf.DUMMYFUNCTION("""COMPUTED_VALUE"""),"No")</f>
        <v>No</v>
      </c>
      <c r="AC491" s="5" t="str">
        <f ca="1">IFERROR(__xludf.DUMMYFUNCTION("""COMPUTED_VALUE"""),"No")</f>
        <v>No</v>
      </c>
      <c r="AD491" s="5" t="str">
        <f ca="1">IFERROR(__xludf.DUMMYFUNCTION("""COMPUTED_VALUE"""),"No")</f>
        <v>No</v>
      </c>
      <c r="AE491" s="5" t="str">
        <f ca="1">IFERROR(__xludf.DUMMYFUNCTION("""COMPUTED_VALUE"""),"No")</f>
        <v>No</v>
      </c>
      <c r="AF491" s="5" t="str">
        <f ca="1">IFERROR(__xludf.DUMMYFUNCTION("""COMPUTED_VALUE"""),"No")</f>
        <v>No</v>
      </c>
      <c r="AG491" s="5"/>
      <c r="AH491" s="5" t="str">
        <f ca="1">IFERROR(__xludf.DUMMYFUNCTION("""COMPUTED_VALUE"""),"No")</f>
        <v>No</v>
      </c>
    </row>
    <row r="492" spans="1:34" ht="12.75">
      <c r="A492" s="5" t="str">
        <f ca="1">IFERROR(__xludf.DUMMYFUNCTION("""COMPUTED_VALUE"""),"20200916WAARG")</f>
        <v>20200916WAARG</v>
      </c>
      <c r="B492" s="8">
        <f ca="1">IFERROR(__xludf.DUMMYFUNCTION("""COMPUTED_VALUE"""),44089)</f>
        <v>44089</v>
      </c>
      <c r="C492" s="5" t="str">
        <f ca="1">IFERROR(__xludf.DUMMYFUNCTION("""COMPUTED_VALUE"""),"Artondale Elementary School")</f>
        <v>Artondale Elementary School</v>
      </c>
      <c r="D492" s="5">
        <f ca="1">IFERROR(__xludf.DUMMYFUNCTION("""COMPUTED_VALUE"""),0)</f>
        <v>0</v>
      </c>
      <c r="E492" s="5">
        <f ca="1">IFERROR(__xludf.DUMMYFUNCTION("""COMPUTED_VALUE"""),1)</f>
        <v>1</v>
      </c>
      <c r="F492" s="5">
        <f ca="1">IFERROR(__xludf.DUMMYFUNCTION("""COMPUTED_VALUE"""),1)</f>
        <v>1</v>
      </c>
      <c r="G492" s="5">
        <f ca="1">IFERROR(__xludf.DUMMYFUNCTION("""COMPUTED_VALUE"""),0)</f>
        <v>0</v>
      </c>
      <c r="H492" s="9" t="str">
        <f ca="1">IFERROR(__xludf.DUMMYFUNCTION("""COMPUTED_VALUE"""),"https://www.kiro7.com/news/local/man-injured-gig-harbor-shooting/AMXZMA2TLZC53LAN53PMT5GNAE/")</f>
        <v>https://www.kiro7.com/news/local/man-injured-gig-harbor-shooting/AMXZMA2TLZC53LAN53PMT5GNAE/</v>
      </c>
      <c r="I492" s="5">
        <f ca="1">IFERROR(__xludf.DUMMYFUNCTION("""COMPUTED_VALUE"""),3)</f>
        <v>3</v>
      </c>
      <c r="J492" s="5" t="str">
        <f ca="1">IFERROR(__xludf.DUMMYFUNCTION("""COMPUTED_VALUE"""),"Local")</f>
        <v>Local</v>
      </c>
      <c r="K492" s="5">
        <f ca="1">IFERROR(__xludf.DUMMYFUNCTION("""COMPUTED_VALUE"""),3)</f>
        <v>3</v>
      </c>
      <c r="L492" s="5" t="str">
        <f ca="1">IFERROR(__xludf.DUMMYFUNCTION("""COMPUTED_VALUE"""),"Fall")</f>
        <v>Fall</v>
      </c>
      <c r="M492" s="5" t="str">
        <f ca="1">IFERROR(__xludf.DUMMYFUNCTION("""COMPUTED_VALUE"""),"Gig Harbor")</f>
        <v>Gig Harbor</v>
      </c>
      <c r="N492" s="5" t="str">
        <f ca="1">IFERROR(__xludf.DUMMYFUNCTION("""COMPUTED_VALUE"""),"WA")</f>
        <v>WA</v>
      </c>
      <c r="O492" s="5" t="str">
        <f ca="1">IFERROR(__xludf.DUMMYFUNCTION("""COMPUTED_VALUE"""),"Elementary")</f>
        <v>Elementary</v>
      </c>
      <c r="P492" s="5" t="str">
        <f ca="1">IFERROR(__xludf.DUMMYFUNCTION("""COMPUTED_VALUE"""),"Beside Building")</f>
        <v>Beside Building</v>
      </c>
      <c r="Q492" s="5" t="str">
        <f ca="1">IFERROR(__xludf.DUMMYFUNCTION("""COMPUTED_VALUE"""),"Outside on School Property")</f>
        <v>Outside on School Property</v>
      </c>
      <c r="R492" s="5" t="str">
        <f ca="1">IFERROR(__xludf.DUMMYFUNCTION("""COMPUTED_VALUE"""),"No")</f>
        <v>No</v>
      </c>
      <c r="S492" s="5" t="str">
        <f ca="1">IFERROR(__xludf.DUMMYFUNCTION("""COMPUTED_VALUE"""),"Evening")</f>
        <v>Evening</v>
      </c>
      <c r="T492" s="10">
        <f ca="1">IFERROR(__xludf.DUMMYFUNCTION("""COMPUTED_VALUE"""),0.354166666666666)</f>
        <v>0.35416666666666602</v>
      </c>
      <c r="U492" s="5">
        <f ca="1">IFERROR(__xludf.DUMMYFUNCTION("""COMPUTED_VALUE"""),1)</f>
        <v>1</v>
      </c>
      <c r="V492" s="5" t="str">
        <f ca="1">IFERROR(__xludf.DUMMYFUNCTION("""COMPUTED_VALUE"""),"Neighbor shot man stealing construction materials from the school")</f>
        <v>Neighbor shot man stealing construction materials from the school</v>
      </c>
      <c r="W492"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X492" s="5" t="str">
        <f ca="1">IFERROR(__xludf.DUMMYFUNCTION("""COMPUTED_VALUE"""),"Illegal Activity")</f>
        <v>Illegal Activity</v>
      </c>
      <c r="Y492" s="5" t="str">
        <f ca="1">IFERROR(__xludf.DUMMYFUNCTION("""COMPUTED_VALUE"""),"Victims Targeted")</f>
        <v>Victims Targeted</v>
      </c>
      <c r="Z492" s="5" t="str">
        <f ca="1">IFERROR(__xludf.DUMMYFUNCTION("""COMPUTED_VALUE"""),"No")</f>
        <v>No</v>
      </c>
      <c r="AA492" s="5"/>
      <c r="AB492" s="5" t="str">
        <f ca="1">IFERROR(__xludf.DUMMYFUNCTION("""COMPUTED_VALUE"""),"No")</f>
        <v>No</v>
      </c>
      <c r="AC492" s="5" t="str">
        <f ca="1">IFERROR(__xludf.DUMMYFUNCTION("""COMPUTED_VALUE"""),"No")</f>
        <v>No</v>
      </c>
      <c r="AD492" s="5" t="str">
        <f ca="1">IFERROR(__xludf.DUMMYFUNCTION("""COMPUTED_VALUE"""),"No")</f>
        <v>No</v>
      </c>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row>
    <row r="493" spans="1:34" ht="12.75">
      <c r="A493" s="5" t="str">
        <f ca="1">IFERROR(__xludf.DUMMYFUNCTION("""COMPUTED_VALUE"""),"20200915UTVIB")</f>
        <v>20200915UTVIB</v>
      </c>
      <c r="B493" s="8">
        <f ca="1">IFERROR(__xludf.DUMMYFUNCTION("""COMPUTED_VALUE"""),44089)</f>
        <v>44089</v>
      </c>
      <c r="C493" s="5" t="str">
        <f ca="1">IFERROR(__xludf.DUMMYFUNCTION("""COMPUTED_VALUE"""),"Viewmont High School")</f>
        <v>Viewmont High School</v>
      </c>
      <c r="D493" s="5">
        <f ca="1">IFERROR(__xludf.DUMMYFUNCTION("""COMPUTED_VALUE"""),0)</f>
        <v>0</v>
      </c>
      <c r="E493" s="5">
        <f ca="1">IFERROR(__xludf.DUMMYFUNCTION("""COMPUTED_VALUE"""),0)</f>
        <v>0</v>
      </c>
      <c r="F493" s="5">
        <f ca="1">IFERROR(__xludf.DUMMYFUNCTION("""COMPUTED_VALUE"""),0)</f>
        <v>0</v>
      </c>
      <c r="G493" s="5">
        <f ca="1">IFERROR(__xludf.DUMMYFUNCTION("""COMPUTED_VALUE"""),1)</f>
        <v>1</v>
      </c>
      <c r="H493"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I493" s="5">
        <f ca="1">IFERROR(__xludf.DUMMYFUNCTION("""COMPUTED_VALUE"""),10)</f>
        <v>10</v>
      </c>
      <c r="J493" s="5" t="str">
        <f ca="1">IFERROR(__xludf.DUMMYFUNCTION("""COMPUTED_VALUE"""),"Regional")</f>
        <v>Regional</v>
      </c>
      <c r="K493" s="5">
        <f ca="1">IFERROR(__xludf.DUMMYFUNCTION("""COMPUTED_VALUE"""),4)</f>
        <v>4</v>
      </c>
      <c r="L493" s="5" t="str">
        <f ca="1">IFERROR(__xludf.DUMMYFUNCTION("""COMPUTED_VALUE"""),"Fall")</f>
        <v>Fall</v>
      </c>
      <c r="M493" s="5" t="str">
        <f ca="1">IFERROR(__xludf.DUMMYFUNCTION("""COMPUTED_VALUE"""),"Bountiful")</f>
        <v>Bountiful</v>
      </c>
      <c r="N493" s="5" t="str">
        <f ca="1">IFERROR(__xludf.DUMMYFUNCTION("""COMPUTED_VALUE"""),"UT")</f>
        <v>UT</v>
      </c>
      <c r="O493" s="5" t="str">
        <f ca="1">IFERROR(__xludf.DUMMYFUNCTION("""COMPUTED_VALUE"""),"High")</f>
        <v>High</v>
      </c>
      <c r="P493" s="5" t="str">
        <f ca="1">IFERROR(__xludf.DUMMYFUNCTION("""COMPUTED_VALUE"""),"Front of School")</f>
        <v>Front of School</v>
      </c>
      <c r="Q493" s="5" t="str">
        <f ca="1">IFERROR(__xludf.DUMMYFUNCTION("""COMPUTED_VALUE"""),"Outside on School Property")</f>
        <v>Outside on School Property</v>
      </c>
      <c r="R493" s="5" t="str">
        <f ca="1">IFERROR(__xludf.DUMMYFUNCTION("""COMPUTED_VALUE"""),"No")</f>
        <v>No</v>
      </c>
      <c r="S493" s="5" t="str">
        <f ca="1">IFERROR(__xludf.DUMMYFUNCTION("""COMPUTED_VALUE"""),"Night")</f>
        <v>Night</v>
      </c>
      <c r="T493" s="10">
        <f ca="1">IFERROR(__xludf.DUMMYFUNCTION("""COMPUTED_VALUE"""),0.935416666666666)</f>
        <v>0.93541666666666601</v>
      </c>
      <c r="U493" s="5">
        <f ca="1">IFERROR(__xludf.DUMMYFUNCTION("""COMPUTED_VALUE"""),1)</f>
        <v>1</v>
      </c>
      <c r="V493" s="5" t="str">
        <f ca="1">IFERROR(__xludf.DUMMYFUNCTION("""COMPUTED_VALUE"""),"Police shot a man armed with a rifle and bow in front of the school")</f>
        <v>Police shot a man armed with a rifle and bow in front of the school</v>
      </c>
      <c r="W493"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X493" s="5" t="str">
        <f ca="1">IFERROR(__xludf.DUMMYFUNCTION("""COMPUTED_VALUE"""),"Psychosis")</f>
        <v>Psychosis</v>
      </c>
      <c r="Y493" s="5" t="str">
        <f ca="1">IFERROR(__xludf.DUMMYFUNCTION("""COMPUTED_VALUE"""),"Neither")</f>
        <v>Neither</v>
      </c>
      <c r="Z493" s="5" t="str">
        <f ca="1">IFERROR(__xludf.DUMMYFUNCTION("""COMPUTED_VALUE"""),"No")</f>
        <v>No</v>
      </c>
      <c r="AA493" s="5"/>
      <c r="AB493" s="5" t="str">
        <f ca="1">IFERROR(__xludf.DUMMYFUNCTION("""COMPUTED_VALUE"""),"No")</f>
        <v>No</v>
      </c>
      <c r="AC493" s="5" t="str">
        <f ca="1">IFERROR(__xludf.DUMMYFUNCTION("""COMPUTED_VALUE"""),"No")</f>
        <v>No</v>
      </c>
      <c r="AD493" s="5" t="str">
        <f ca="1">IFERROR(__xludf.DUMMYFUNCTION("""COMPUTED_VALUE"""),"No")</f>
        <v>No</v>
      </c>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row>
    <row r="494" spans="1:34" ht="12.75">
      <c r="A494" s="5" t="str">
        <f ca="1">IFERROR(__xludf.DUMMYFUNCTION("""COMPUTED_VALUE"""),"20200915SCYOR")</f>
        <v>20200915SCYOR</v>
      </c>
      <c r="B494" s="8">
        <f ca="1">IFERROR(__xludf.DUMMYFUNCTION("""COMPUTED_VALUE"""),44089)</f>
        <v>44089</v>
      </c>
      <c r="C494" s="5" t="str">
        <f ca="1">IFERROR(__xludf.DUMMYFUNCTION("""COMPUTED_VALUE"""),"York County School Bus")</f>
        <v>York County School Bus</v>
      </c>
      <c r="D494" s="5">
        <f ca="1">IFERROR(__xludf.DUMMYFUNCTION("""COMPUTED_VALUE"""),0)</f>
        <v>0</v>
      </c>
      <c r="E494" s="5">
        <f ca="1">IFERROR(__xludf.DUMMYFUNCTION("""COMPUTED_VALUE"""),0)</f>
        <v>0</v>
      </c>
      <c r="F494" s="5">
        <f ca="1">IFERROR(__xludf.DUMMYFUNCTION("""COMPUTED_VALUE"""),0)</f>
        <v>0</v>
      </c>
      <c r="G494" s="5">
        <f ca="1">IFERROR(__xludf.DUMMYFUNCTION("""COMPUTED_VALUE"""),0)</f>
        <v>0</v>
      </c>
      <c r="H494" s="9" t="str">
        <f ca="1">IFERROR(__xludf.DUMMYFUNCTION("""COMPUTED_VALUE"""),"https://www.heraldonline.com/news/local/crime/article245774640.html")</f>
        <v>https://www.heraldonline.com/news/local/crime/article245774640.html</v>
      </c>
      <c r="I494" s="5">
        <f ca="1">IFERROR(__xludf.DUMMYFUNCTION("""COMPUTED_VALUE"""),2)</f>
        <v>2</v>
      </c>
      <c r="J494" s="5" t="str">
        <f ca="1">IFERROR(__xludf.DUMMYFUNCTION("""COMPUTED_VALUE"""),"Local")</f>
        <v>Local</v>
      </c>
      <c r="K494" s="5">
        <f ca="1">IFERROR(__xludf.DUMMYFUNCTION("""COMPUTED_VALUE"""),4)</f>
        <v>4</v>
      </c>
      <c r="L494" s="5" t="str">
        <f ca="1">IFERROR(__xludf.DUMMYFUNCTION("""COMPUTED_VALUE"""),"Fall")</f>
        <v>Fall</v>
      </c>
      <c r="M494" s="5" t="str">
        <f ca="1">IFERROR(__xludf.DUMMYFUNCTION("""COMPUTED_VALUE"""),"Rock Hill")</f>
        <v>Rock Hill</v>
      </c>
      <c r="N494" s="5" t="str">
        <f ca="1">IFERROR(__xludf.DUMMYFUNCTION("""COMPUTED_VALUE"""),"SC")</f>
        <v>SC</v>
      </c>
      <c r="O494" s="5"/>
      <c r="P494" s="5" t="str">
        <f ca="1">IFERROR(__xludf.DUMMYFUNCTION("""COMPUTED_VALUE"""),"School Bus")</f>
        <v>School Bus</v>
      </c>
      <c r="Q494" s="5" t="str">
        <f ca="1">IFERROR(__xludf.DUMMYFUNCTION("""COMPUTED_VALUE"""),"School Bus")</f>
        <v>School Bus</v>
      </c>
      <c r="R494" s="5" t="str">
        <f ca="1">IFERROR(__xludf.DUMMYFUNCTION("""COMPUTED_VALUE"""),"Yes")</f>
        <v>Yes</v>
      </c>
      <c r="S494" s="5" t="str">
        <f ca="1">IFERROR(__xludf.DUMMYFUNCTION("""COMPUTED_VALUE"""),"Dismissal")</f>
        <v>Dismissal</v>
      </c>
      <c r="T494" s="10">
        <f ca="1">IFERROR(__xludf.DUMMYFUNCTION("""COMPUTED_VALUE"""),0.614583333333333)</f>
        <v>0.61458333333333304</v>
      </c>
      <c r="U494" s="5">
        <f ca="1">IFERROR(__xludf.DUMMYFUNCTION("""COMPUTED_VALUE"""),1)</f>
        <v>1</v>
      </c>
      <c r="V494" s="5" t="str">
        <f ca="1">IFERROR(__xludf.DUMMYFUNCTION("""COMPUTED_VALUE"""),"BB shot at occupied school bus broke window")</f>
        <v>BB shot at occupied school bus broke window</v>
      </c>
      <c r="W494"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X494" s="5" t="str">
        <f ca="1">IFERROR(__xludf.DUMMYFUNCTION("""COMPUTED_VALUE"""),"Intentional Property Damage")</f>
        <v>Intentional Property Damage</v>
      </c>
      <c r="Y494" s="5" t="str">
        <f ca="1">IFERROR(__xludf.DUMMYFUNCTION("""COMPUTED_VALUE"""),"Neither")</f>
        <v>Neither</v>
      </c>
      <c r="Z494" s="5"/>
      <c r="AA494" s="5"/>
      <c r="AB494" s="5" t="str">
        <f ca="1">IFERROR(__xludf.DUMMYFUNCTION("""COMPUTED_VALUE"""),"No")</f>
        <v>No</v>
      </c>
      <c r="AC494" s="5" t="str">
        <f ca="1">IFERROR(__xludf.DUMMYFUNCTION("""COMPUTED_VALUE"""),"No")</f>
        <v>No</v>
      </c>
      <c r="AD494" s="5" t="str">
        <f ca="1">IFERROR(__xludf.DUMMYFUNCTION("""COMPUTED_VALUE"""),"No")</f>
        <v>No</v>
      </c>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row>
    <row r="495" spans="1:34" ht="12.75">
      <c r="A495" s="5" t="str">
        <f ca="1">IFERROR(__xludf.DUMMYFUNCTION("""COMPUTED_VALUE"""),"20200910ILPEP")</f>
        <v>20200910ILPEP</v>
      </c>
      <c r="B495" s="8">
        <f ca="1">IFERROR(__xludf.DUMMYFUNCTION("""COMPUTED_VALUE"""),44088)</f>
        <v>44088</v>
      </c>
      <c r="C495" s="5" t="str">
        <f ca="1">IFERROR(__xludf.DUMMYFUNCTION("""COMPUTED_VALUE"""),"Peoria Public Schools Bus")</f>
        <v>Peoria Public Schools Bus</v>
      </c>
      <c r="D495" s="5">
        <f ca="1">IFERROR(__xludf.DUMMYFUNCTION("""COMPUTED_VALUE"""),0)</f>
        <v>0</v>
      </c>
      <c r="E495" s="5">
        <f ca="1">IFERROR(__xludf.DUMMYFUNCTION("""COMPUTED_VALUE"""),0)</f>
        <v>0</v>
      </c>
      <c r="F495" s="5">
        <f ca="1">IFERROR(__xludf.DUMMYFUNCTION("""COMPUTED_VALUE"""),0)</f>
        <v>0</v>
      </c>
      <c r="G495" s="5">
        <f ca="1">IFERROR(__xludf.DUMMYFUNCTION("""COMPUTED_VALUE"""),0)</f>
        <v>0</v>
      </c>
      <c r="H495"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I495" s="5">
        <f ca="1">IFERROR(__xludf.DUMMYFUNCTION("""COMPUTED_VALUE"""),2)</f>
        <v>2</v>
      </c>
      <c r="J495" s="5" t="str">
        <f ca="1">IFERROR(__xludf.DUMMYFUNCTION("""COMPUTED_VALUE"""),"Local")</f>
        <v>Local</v>
      </c>
      <c r="K495" s="5">
        <f ca="1">IFERROR(__xludf.DUMMYFUNCTION("""COMPUTED_VALUE"""),4)</f>
        <v>4</v>
      </c>
      <c r="L495" s="5" t="str">
        <f ca="1">IFERROR(__xludf.DUMMYFUNCTION("""COMPUTED_VALUE"""),"Fall")</f>
        <v>Fall</v>
      </c>
      <c r="M495" s="5" t="str">
        <f ca="1">IFERROR(__xludf.DUMMYFUNCTION("""COMPUTED_VALUE"""),"Peoria")</f>
        <v>Peoria</v>
      </c>
      <c r="N495" s="5" t="str">
        <f ca="1">IFERROR(__xludf.DUMMYFUNCTION("""COMPUTED_VALUE"""),"IL")</f>
        <v>IL</v>
      </c>
      <c r="O495" s="5"/>
      <c r="P495" s="5" t="str">
        <f ca="1">IFERROR(__xludf.DUMMYFUNCTION("""COMPUTED_VALUE"""),"School Bus")</f>
        <v>School Bus</v>
      </c>
      <c r="Q495" s="5" t="str">
        <f ca="1">IFERROR(__xludf.DUMMYFUNCTION("""COMPUTED_VALUE"""),"School Bus")</f>
        <v>School Bus</v>
      </c>
      <c r="R495" s="5" t="str">
        <f ca="1">IFERROR(__xludf.DUMMYFUNCTION("""COMPUTED_VALUE"""),"Yes")</f>
        <v>Yes</v>
      </c>
      <c r="S495" s="5" t="str">
        <f ca="1">IFERROR(__xludf.DUMMYFUNCTION("""COMPUTED_VALUE"""),"Afternoon Classes")</f>
        <v>Afternoon Classes</v>
      </c>
      <c r="T495" s="10">
        <f ca="1">IFERROR(__xludf.DUMMYFUNCTION("""COMPUTED_VALUE"""),0.572916666666666)</f>
        <v>0.57291666666666596</v>
      </c>
      <c r="U495" s="5">
        <f ca="1">IFERROR(__xludf.DUMMYFUNCTION("""COMPUTED_VALUE"""),1)</f>
        <v>1</v>
      </c>
      <c r="V495" s="5" t="str">
        <f ca="1">IFERROR(__xludf.DUMMYFUNCTION("""COMPUTED_VALUE"""),"Occupied school bus struck by gunfire")</f>
        <v>Occupied school bus struck by gunfire</v>
      </c>
      <c r="W495" s="5" t="str">
        <f ca="1">IFERROR(__xludf.DUMMYFUNCTION("""COMPUTED_VALUE"""),"School bus was hit by shot fired during drive-by. Bus driver, aid, and one student were on the bus. No injuries.")</f>
        <v>School bus was hit by shot fired during drive-by. Bus driver, aid, and one student were on the bus. No injuries.</v>
      </c>
      <c r="X495" s="5" t="str">
        <f ca="1">IFERROR(__xludf.DUMMYFUNCTION("""COMPUTED_VALUE"""),"Drive-by Shooting")</f>
        <v>Drive-by Shooting</v>
      </c>
      <c r="Y495" s="5" t="str">
        <f ca="1">IFERROR(__xludf.DUMMYFUNCTION("""COMPUTED_VALUE"""),"Victims Targeted")</f>
        <v>Victims Targeted</v>
      </c>
      <c r="Z495" s="5"/>
      <c r="AA495" s="5"/>
      <c r="AB495" s="5" t="str">
        <f ca="1">IFERROR(__xludf.DUMMYFUNCTION("""COMPUTED_VALUE"""),"No")</f>
        <v>No</v>
      </c>
      <c r="AC495" s="5" t="str">
        <f ca="1">IFERROR(__xludf.DUMMYFUNCTION("""COMPUTED_VALUE"""),"No")</f>
        <v>No</v>
      </c>
      <c r="AD495" s="5"/>
      <c r="AE495" s="5" t="str">
        <f ca="1">IFERROR(__xludf.DUMMYFUNCTION("""COMPUTED_VALUE"""),"No")</f>
        <v>No</v>
      </c>
      <c r="AF495" s="5" t="str">
        <f ca="1">IFERROR(__xludf.DUMMYFUNCTION("""COMPUTED_VALUE"""),"No")</f>
        <v>No</v>
      </c>
      <c r="AG495" s="5"/>
      <c r="AH495" s="5" t="str">
        <f ca="1">IFERROR(__xludf.DUMMYFUNCTION("""COMPUTED_VALUE"""),"No")</f>
        <v>No</v>
      </c>
    </row>
    <row r="496" spans="1:34" ht="12.75">
      <c r="A496" s="5" t="str">
        <f ca="1">IFERROR(__xludf.DUMMYFUNCTION("""COMPUTED_VALUE"""),"20200910OHSAC")</f>
        <v>20200910OHSAC</v>
      </c>
      <c r="B496" s="8">
        <f ca="1">IFERROR(__xludf.DUMMYFUNCTION("""COMPUTED_VALUE"""),44084)</f>
        <v>44084</v>
      </c>
      <c r="C496" s="5" t="str">
        <f ca="1">IFERROR(__xludf.DUMMYFUNCTION("""COMPUTED_VALUE"""),"Saint Francis DeSales High School")</f>
        <v>Saint Francis DeSales High School</v>
      </c>
      <c r="D496" s="5">
        <f ca="1">IFERROR(__xludf.DUMMYFUNCTION("""COMPUTED_VALUE"""),0)</f>
        <v>0</v>
      </c>
      <c r="E496" s="5">
        <f ca="1">IFERROR(__xludf.DUMMYFUNCTION("""COMPUTED_VALUE"""),0)</f>
        <v>0</v>
      </c>
      <c r="F496" s="5">
        <f ca="1">IFERROR(__xludf.DUMMYFUNCTION("""COMPUTED_VALUE"""),0)</f>
        <v>0</v>
      </c>
      <c r="G496" s="5">
        <f ca="1">IFERROR(__xludf.DUMMYFUNCTION("""COMPUTED_VALUE"""),0)</f>
        <v>0</v>
      </c>
      <c r="H496"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I496" s="5">
        <f ca="1">IFERROR(__xludf.DUMMYFUNCTION("""COMPUTED_VALUE"""),1)</f>
        <v>1</v>
      </c>
      <c r="J496" s="5" t="str">
        <f ca="1">IFERROR(__xludf.DUMMYFUNCTION("""COMPUTED_VALUE"""),"Local")</f>
        <v>Local</v>
      </c>
      <c r="K496" s="5">
        <f ca="1">IFERROR(__xludf.DUMMYFUNCTION("""COMPUTED_VALUE"""),3)</f>
        <v>3</v>
      </c>
      <c r="L496" s="5" t="str">
        <f ca="1">IFERROR(__xludf.DUMMYFUNCTION("""COMPUTED_VALUE"""),"Fall")</f>
        <v>Fall</v>
      </c>
      <c r="M496" s="5" t="str">
        <f ca="1">IFERROR(__xludf.DUMMYFUNCTION("""COMPUTED_VALUE"""),"Columbus")</f>
        <v>Columbus</v>
      </c>
      <c r="N496" s="5" t="str">
        <f ca="1">IFERROR(__xludf.DUMMYFUNCTION("""COMPUTED_VALUE"""),"OH")</f>
        <v>OH</v>
      </c>
      <c r="O496" s="5" t="str">
        <f ca="1">IFERROR(__xludf.DUMMYFUNCTION("""COMPUTED_VALUE"""),"High")</f>
        <v>High</v>
      </c>
      <c r="P496" s="5" t="str">
        <f ca="1">IFERROR(__xludf.DUMMYFUNCTION("""COMPUTED_VALUE"""),"School Bus")</f>
        <v>School Bus</v>
      </c>
      <c r="Q496" s="5" t="str">
        <f ca="1">IFERROR(__xludf.DUMMYFUNCTION("""COMPUTED_VALUE"""),"School Bus")</f>
        <v>School Bus</v>
      </c>
      <c r="R496" s="5" t="str">
        <f ca="1">IFERROR(__xludf.DUMMYFUNCTION("""COMPUTED_VALUE"""),"Yes")</f>
        <v>Yes</v>
      </c>
      <c r="S496" s="5" t="str">
        <f ca="1">IFERROR(__xludf.DUMMYFUNCTION("""COMPUTED_VALUE"""),"Dismissal")</f>
        <v>Dismissal</v>
      </c>
      <c r="T496" s="10">
        <f ca="1">IFERROR(__xludf.DUMMYFUNCTION("""COMPUTED_VALUE"""),0.65625)</f>
        <v>0.65625</v>
      </c>
      <c r="U496" s="5">
        <f ca="1">IFERROR(__xludf.DUMMYFUNCTION("""COMPUTED_VALUE"""),1)</f>
        <v>1</v>
      </c>
      <c r="V496" s="5" t="str">
        <f ca="1">IFERROR(__xludf.DUMMYFUNCTION("""COMPUTED_VALUE"""),"School bus struck by multiple shots fired from vehicle")</f>
        <v>School bus struck by multiple shots fired from vehicle</v>
      </c>
      <c r="W496"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X496" s="5" t="str">
        <f ca="1">IFERROR(__xludf.DUMMYFUNCTION("""COMPUTED_VALUE"""),"Drive-by Shooting")</f>
        <v>Drive-by Shooting</v>
      </c>
      <c r="Y496" s="5" t="str">
        <f ca="1">IFERROR(__xludf.DUMMYFUNCTION("""COMPUTED_VALUE"""),"Both")</f>
        <v>Both</v>
      </c>
      <c r="Z496" s="5"/>
      <c r="AA496" s="5"/>
      <c r="AB496" s="5" t="str">
        <f ca="1">IFERROR(__xludf.DUMMYFUNCTION("""COMPUTED_VALUE"""),"No")</f>
        <v>No</v>
      </c>
      <c r="AC496" s="5" t="str">
        <f ca="1">IFERROR(__xludf.DUMMYFUNCTION("""COMPUTED_VALUE"""),"No")</f>
        <v>No</v>
      </c>
      <c r="AD496" s="5" t="str">
        <f ca="1">IFERROR(__xludf.DUMMYFUNCTION("""COMPUTED_VALUE"""),"No")</f>
        <v>No</v>
      </c>
      <c r="AE496" s="5" t="str">
        <f ca="1">IFERROR(__xludf.DUMMYFUNCTION("""COMPUTED_VALUE"""),"No")</f>
        <v>No</v>
      </c>
      <c r="AF496" s="5" t="str">
        <f ca="1">IFERROR(__xludf.DUMMYFUNCTION("""COMPUTED_VALUE"""),"No")</f>
        <v>No</v>
      </c>
      <c r="AG496" s="5"/>
      <c r="AH496" s="5" t="str">
        <f ca="1">IFERROR(__xludf.DUMMYFUNCTION("""COMPUTED_VALUE"""),"No")</f>
        <v>No</v>
      </c>
    </row>
    <row r="497" spans="1:34" ht="12.75">
      <c r="A497" s="5" t="str">
        <f ca="1">IFERROR(__xludf.DUMMYFUNCTION("""COMPUTED_VALUE"""),"20200909TXSOH")</f>
        <v>20200909TXSOH</v>
      </c>
      <c r="B497" s="8">
        <f ca="1">IFERROR(__xludf.DUMMYFUNCTION("""COMPUTED_VALUE"""),44083)</f>
        <v>44083</v>
      </c>
      <c r="C497" s="5" t="str">
        <f ca="1">IFERROR(__xludf.DUMMYFUNCTION("""COMPUTED_VALUE"""),"Southmayd Elementary School")</f>
        <v>Southmayd Elementary School</v>
      </c>
      <c r="D497" s="5">
        <f ca="1">IFERROR(__xludf.DUMMYFUNCTION("""COMPUTED_VALUE"""),0)</f>
        <v>0</v>
      </c>
      <c r="E497" s="5">
        <f ca="1">IFERROR(__xludf.DUMMYFUNCTION("""COMPUTED_VALUE"""),1)</f>
        <v>1</v>
      </c>
      <c r="F497" s="5">
        <f ca="1">IFERROR(__xludf.DUMMYFUNCTION("""COMPUTED_VALUE"""),1)</f>
        <v>1</v>
      </c>
      <c r="G497" s="5">
        <f ca="1">IFERROR(__xludf.DUMMYFUNCTION("""COMPUTED_VALUE"""),0)</f>
        <v>0</v>
      </c>
      <c r="H497"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I497" s="5">
        <f ca="1">IFERROR(__xludf.DUMMYFUNCTION("""COMPUTED_VALUE"""),2)</f>
        <v>2</v>
      </c>
      <c r="J497" s="5" t="str">
        <f ca="1">IFERROR(__xludf.DUMMYFUNCTION("""COMPUTED_VALUE"""),"Regional")</f>
        <v>Regional</v>
      </c>
      <c r="K497" s="5">
        <f ca="1">IFERROR(__xludf.DUMMYFUNCTION("""COMPUTED_VALUE"""),3)</f>
        <v>3</v>
      </c>
      <c r="L497" s="5" t="str">
        <f ca="1">IFERROR(__xludf.DUMMYFUNCTION("""COMPUTED_VALUE"""),"Fall")</f>
        <v>Fall</v>
      </c>
      <c r="M497" s="5" t="str">
        <f ca="1">IFERROR(__xludf.DUMMYFUNCTION("""COMPUTED_VALUE"""),"Houston")</f>
        <v>Houston</v>
      </c>
      <c r="N497" s="5" t="str">
        <f ca="1">IFERROR(__xludf.DUMMYFUNCTION("""COMPUTED_VALUE"""),"TX")</f>
        <v>TX</v>
      </c>
      <c r="O497" s="5" t="str">
        <f ca="1">IFERROR(__xludf.DUMMYFUNCTION("""COMPUTED_VALUE"""),"Elementary")</f>
        <v>Elementary</v>
      </c>
      <c r="P497" s="5" t="str">
        <f ca="1">IFERROR(__xludf.DUMMYFUNCTION("""COMPUTED_VALUE"""),"Front of School")</f>
        <v>Front of School</v>
      </c>
      <c r="Q497" s="5" t="str">
        <f ca="1">IFERROR(__xludf.DUMMYFUNCTION("""COMPUTED_VALUE"""),"Outside on School Property")</f>
        <v>Outside on School Property</v>
      </c>
      <c r="R497" s="5" t="str">
        <f ca="1">IFERROR(__xludf.DUMMYFUNCTION("""COMPUTED_VALUE"""),"Yes")</f>
        <v>Yes</v>
      </c>
      <c r="S497" s="5" t="str">
        <f ca="1">IFERROR(__xludf.DUMMYFUNCTION("""COMPUTED_VALUE"""),"Morning Classes")</f>
        <v>Morning Classes</v>
      </c>
      <c r="T497" s="10">
        <f ca="1">IFERROR(__xludf.DUMMYFUNCTION("""COMPUTED_VALUE"""),0.909722222222222)</f>
        <v>0.90972222222222199</v>
      </c>
      <c r="U497" s="5">
        <f ca="1">IFERROR(__xludf.DUMMYFUNCTION("""COMPUTED_VALUE"""),1)</f>
        <v>1</v>
      </c>
      <c r="V497" s="5" t="str">
        <f ca="1">IFERROR(__xludf.DUMMYFUNCTION("""COMPUTED_VALUE"""),"Teen shot during drive-by in front of school")</f>
        <v>Teen shot during drive-by in front of school</v>
      </c>
      <c r="W497"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X497" s="5" t="str">
        <f ca="1">IFERROR(__xludf.DUMMYFUNCTION("""COMPUTED_VALUE"""),"Drive-by Shooting")</f>
        <v>Drive-by Shooting</v>
      </c>
      <c r="Y497" s="5" t="str">
        <f ca="1">IFERROR(__xludf.DUMMYFUNCTION("""COMPUTED_VALUE"""),"Victims Targeted")</f>
        <v>Victims Targeted</v>
      </c>
      <c r="Z497" s="5" t="str">
        <f ca="1">IFERROR(__xludf.DUMMYFUNCTION("""COMPUTED_VALUE"""),"Yes")</f>
        <v>Yes</v>
      </c>
      <c r="AA497" s="5" t="str">
        <f ca="1">IFERROR(__xludf.DUMMYFUNCTION("""COMPUTED_VALUE"""),"Multiple males in vehicle that fled")</f>
        <v>Multiple males in vehicle that fled</v>
      </c>
      <c r="AB497" s="5" t="str">
        <f ca="1">IFERROR(__xludf.DUMMYFUNCTION("""COMPUTED_VALUE"""),"No")</f>
        <v>No</v>
      </c>
      <c r="AC497" s="5" t="str">
        <f ca="1">IFERROR(__xludf.DUMMYFUNCTION("""COMPUTED_VALUE"""),"No")</f>
        <v>No</v>
      </c>
      <c r="AD497" s="5" t="str">
        <f ca="1">IFERROR(__xludf.DUMMYFUNCTION("""COMPUTED_VALUE"""),"No")</f>
        <v>No</v>
      </c>
      <c r="AE497" s="5" t="str">
        <f ca="1">IFERROR(__xludf.DUMMYFUNCTION("""COMPUTED_VALUE"""),"No")</f>
        <v>No</v>
      </c>
      <c r="AF497" s="5" t="str">
        <f ca="1">IFERROR(__xludf.DUMMYFUNCTION("""COMPUTED_VALUE"""),"No")</f>
        <v>No</v>
      </c>
      <c r="AG497" s="5" t="str">
        <f ca="1">IFERROR(__xludf.DUMMYFUNCTION("""COMPUTED_VALUE"""),"Yes")</f>
        <v>Yes</v>
      </c>
      <c r="AH497" s="5" t="str">
        <f ca="1">IFERROR(__xludf.DUMMYFUNCTION("""COMPUTED_VALUE"""),"No")</f>
        <v>No</v>
      </c>
    </row>
    <row r="498" spans="1:34" ht="12.75">
      <c r="A498" s="5" t="str">
        <f ca="1">IFERROR(__xludf.DUMMYFUNCTION("""COMPUTED_VALUE"""),"20200909PAWEW")</f>
        <v>20200909PAWEW</v>
      </c>
      <c r="B498" s="8">
        <f ca="1">IFERROR(__xludf.DUMMYFUNCTION("""COMPUTED_VALUE"""),44083)</f>
        <v>44083</v>
      </c>
      <c r="C498" s="5" t="str">
        <f ca="1">IFERROR(__xludf.DUMMYFUNCTION("""COMPUTED_VALUE"""),"West Bradford Elementary School")</f>
        <v>West Bradford Elementary School</v>
      </c>
      <c r="D498" s="5">
        <f ca="1">IFERROR(__xludf.DUMMYFUNCTION("""COMPUTED_VALUE"""),0)</f>
        <v>0</v>
      </c>
      <c r="E498" s="5">
        <f ca="1">IFERROR(__xludf.DUMMYFUNCTION("""COMPUTED_VALUE"""),0)</f>
        <v>0</v>
      </c>
      <c r="F498" s="5">
        <f ca="1">IFERROR(__xludf.DUMMYFUNCTION("""COMPUTED_VALUE"""),0)</f>
        <v>0</v>
      </c>
      <c r="G498" s="5">
        <f ca="1">IFERROR(__xludf.DUMMYFUNCTION("""COMPUTED_VALUE"""),0)</f>
        <v>0</v>
      </c>
      <c r="H498"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I498" s="5">
        <f ca="1">IFERROR(__xludf.DUMMYFUNCTION("""COMPUTED_VALUE"""),2)</f>
        <v>2</v>
      </c>
      <c r="J498" s="5" t="str">
        <f ca="1">IFERROR(__xludf.DUMMYFUNCTION("""COMPUTED_VALUE"""),"Local")</f>
        <v>Local</v>
      </c>
      <c r="K498" s="5">
        <f ca="1">IFERROR(__xludf.DUMMYFUNCTION("""COMPUTED_VALUE"""),4)</f>
        <v>4</v>
      </c>
      <c r="L498" s="5" t="str">
        <f ca="1">IFERROR(__xludf.DUMMYFUNCTION("""COMPUTED_VALUE"""),"Fall")</f>
        <v>Fall</v>
      </c>
      <c r="M498" s="5" t="str">
        <f ca="1">IFERROR(__xludf.DUMMYFUNCTION("""COMPUTED_VALUE"""),"West Bradford Township")</f>
        <v>West Bradford Township</v>
      </c>
      <c r="N498" s="5" t="str">
        <f ca="1">IFERROR(__xludf.DUMMYFUNCTION("""COMPUTED_VALUE"""),"PA")</f>
        <v>PA</v>
      </c>
      <c r="O498" s="5" t="str">
        <f ca="1">IFERROR(__xludf.DUMMYFUNCTION("""COMPUTED_VALUE"""),"Elementary")</f>
        <v>Elementary</v>
      </c>
      <c r="P498" s="5" t="str">
        <f ca="1">IFERROR(__xludf.DUMMYFUNCTION("""COMPUTED_VALUE"""),"Parking Lot")</f>
        <v>Parking Lot</v>
      </c>
      <c r="Q498" s="5" t="str">
        <f ca="1">IFERROR(__xludf.DUMMYFUNCTION("""COMPUTED_VALUE"""),"Outside on School Property")</f>
        <v>Outside on School Property</v>
      </c>
      <c r="R498" s="5" t="str">
        <f ca="1">IFERROR(__xludf.DUMMYFUNCTION("""COMPUTED_VALUE"""),"No")</f>
        <v>No</v>
      </c>
      <c r="S498" s="5" t="str">
        <f ca="1">IFERROR(__xludf.DUMMYFUNCTION("""COMPUTED_VALUE"""),"Evening")</f>
        <v>Evening</v>
      </c>
      <c r="T498" s="10">
        <f ca="1">IFERROR(__xludf.DUMMYFUNCTION("""COMPUTED_VALUE"""),0.774305555555555)</f>
        <v>0.77430555555555503</v>
      </c>
      <c r="U498" s="5">
        <f ca="1">IFERROR(__xludf.DUMMYFUNCTION("""COMPUTED_VALUE"""),1)</f>
        <v>1</v>
      </c>
      <c r="V498" s="5" t="str">
        <f ca="1">IFERROR(__xludf.DUMMYFUNCTION("""COMPUTED_VALUE"""),"Shot fired in school parking lot following roadrage incident")</f>
        <v>Shot fired in school parking lot following roadrage incident</v>
      </c>
      <c r="W498"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X498" s="5" t="str">
        <f ca="1">IFERROR(__xludf.DUMMYFUNCTION("""COMPUTED_VALUE"""),"Escalation of Dispute")</f>
        <v>Escalation of Dispute</v>
      </c>
      <c r="Y498" s="5" t="str">
        <f ca="1">IFERROR(__xludf.DUMMYFUNCTION("""COMPUTED_VALUE"""),"Victims Targeted")</f>
        <v>Victims Targeted</v>
      </c>
      <c r="Z498" s="5" t="str">
        <f ca="1">IFERROR(__xludf.DUMMYFUNCTION("""COMPUTED_VALUE"""),"No")</f>
        <v>No</v>
      </c>
      <c r="AA498" s="5"/>
      <c r="AB498" s="5" t="str">
        <f ca="1">IFERROR(__xludf.DUMMYFUNCTION("""COMPUTED_VALUE"""),"No")</f>
        <v>No</v>
      </c>
      <c r="AC498" s="5" t="str">
        <f ca="1">IFERROR(__xludf.DUMMYFUNCTION("""COMPUTED_VALUE"""),"No")</f>
        <v>No</v>
      </c>
      <c r="AD498" s="5" t="str">
        <f ca="1">IFERROR(__xludf.DUMMYFUNCTION("""COMPUTED_VALUE"""),"No")</f>
        <v>No</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row>
    <row r="499" spans="1:34" ht="12.75">
      <c r="A499" s="5" t="str">
        <f ca="1">IFERROR(__xludf.DUMMYFUNCTION("""COMPUTED_VALUE"""),"20200904FLLOJ")</f>
        <v>20200904FLLOJ</v>
      </c>
      <c r="B499" s="8">
        <f ca="1">IFERROR(__xludf.DUMMYFUNCTION("""COMPUTED_VALUE"""),44077)</f>
        <v>44077</v>
      </c>
      <c r="C499" s="5" t="str">
        <f ca="1">IFERROR(__xludf.DUMMYFUNCTION("""COMPUTED_VALUE"""),"Lone Star Elementary School")</f>
        <v>Lone Star Elementary School</v>
      </c>
      <c r="D499" s="5">
        <f ca="1">IFERROR(__xludf.DUMMYFUNCTION("""COMPUTED_VALUE"""),0)</f>
        <v>0</v>
      </c>
      <c r="E499" s="5">
        <f ca="1">IFERROR(__xludf.DUMMYFUNCTION("""COMPUTED_VALUE"""),1)</f>
        <v>1</v>
      </c>
      <c r="F499" s="5">
        <f ca="1">IFERROR(__xludf.DUMMYFUNCTION("""COMPUTED_VALUE"""),1)</f>
        <v>1</v>
      </c>
      <c r="G499" s="5">
        <f ca="1">IFERROR(__xludf.DUMMYFUNCTION("""COMPUTED_VALUE"""),0)</f>
        <v>0</v>
      </c>
      <c r="H499"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I499" s="5">
        <f ca="1">IFERROR(__xludf.DUMMYFUNCTION("""COMPUTED_VALUE"""),2)</f>
        <v>2</v>
      </c>
      <c r="J499" s="5" t="str">
        <f ca="1">IFERROR(__xludf.DUMMYFUNCTION("""COMPUTED_VALUE"""),"Local")</f>
        <v>Local</v>
      </c>
      <c r="K499" s="5">
        <f ca="1">IFERROR(__xludf.DUMMYFUNCTION("""COMPUTED_VALUE"""),3)</f>
        <v>3</v>
      </c>
      <c r="L499" s="5" t="str">
        <f ca="1">IFERROR(__xludf.DUMMYFUNCTION("""COMPUTED_VALUE"""),"Fall")</f>
        <v>Fall</v>
      </c>
      <c r="M499" s="5" t="str">
        <f ca="1">IFERROR(__xludf.DUMMYFUNCTION("""COMPUTED_VALUE"""),"Jacksonville")</f>
        <v>Jacksonville</v>
      </c>
      <c r="N499" s="5" t="str">
        <f ca="1">IFERROR(__xludf.DUMMYFUNCTION("""COMPUTED_VALUE"""),"FL")</f>
        <v>FL</v>
      </c>
      <c r="O499" s="5" t="str">
        <f ca="1">IFERROR(__xludf.DUMMYFUNCTION("""COMPUTED_VALUE"""),"Elementary")</f>
        <v>Elementary</v>
      </c>
      <c r="P499" s="5" t="str">
        <f ca="1">IFERROR(__xludf.DUMMYFUNCTION("""COMPUTED_VALUE"""),"Beside Building")</f>
        <v>Beside Building</v>
      </c>
      <c r="Q499" s="5" t="str">
        <f ca="1">IFERROR(__xludf.DUMMYFUNCTION("""COMPUTED_VALUE"""),"Outside on School Property")</f>
        <v>Outside on School Property</v>
      </c>
      <c r="R499" s="5" t="str">
        <f ca="1">IFERROR(__xludf.DUMMYFUNCTION("""COMPUTED_VALUE"""),"No")</f>
        <v>No</v>
      </c>
      <c r="S499" s="5" t="str">
        <f ca="1">IFERROR(__xludf.DUMMYFUNCTION("""COMPUTED_VALUE"""),"Night")</f>
        <v>Night</v>
      </c>
      <c r="T499" s="10">
        <f ca="1">IFERROR(__xludf.DUMMYFUNCTION("""COMPUTED_VALUE"""),0.989583333333333)</f>
        <v>0.98958333333333304</v>
      </c>
      <c r="U499" s="5">
        <f ca="1">IFERROR(__xludf.DUMMYFUNCTION("""COMPUTED_VALUE"""),1)</f>
        <v>1</v>
      </c>
      <c r="V499" s="5" t="str">
        <f ca="1">IFERROR(__xludf.DUMMYFUNCTION("""COMPUTED_VALUE"""),"Adult male found shot to death outside of school")</f>
        <v>Adult male found shot to death outside of school</v>
      </c>
      <c r="W499"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X499" s="5"/>
      <c r="Y499" s="5"/>
      <c r="Z499" s="5"/>
      <c r="AA499" s="5"/>
      <c r="AB499" s="5" t="str">
        <f ca="1">IFERROR(__xludf.DUMMYFUNCTION("""COMPUTED_VALUE"""),"No")</f>
        <v>No</v>
      </c>
      <c r="AC499" s="5" t="str">
        <f ca="1">IFERROR(__xludf.DUMMYFUNCTION("""COMPUTED_VALUE"""),"No")</f>
        <v>No</v>
      </c>
      <c r="AD499" s="5" t="str">
        <f ca="1">IFERROR(__xludf.DUMMYFUNCTION("""COMPUTED_VALUE"""),"No")</f>
        <v>No</v>
      </c>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row>
    <row r="500" spans="1:34" ht="12.75">
      <c r="A500" s="5" t="str">
        <f ca="1">IFERROR(__xludf.DUMMYFUNCTION("""COMPUTED_VALUE"""),"20200903GADOA")</f>
        <v>20200903GADOA</v>
      </c>
      <c r="B500" s="8">
        <f ca="1">IFERROR(__xludf.DUMMYFUNCTION("""COMPUTED_VALUE"""),44077)</f>
        <v>44077</v>
      </c>
      <c r="C500" s="5" t="str">
        <f ca="1">IFERROR(__xludf.DUMMYFUNCTION("""COMPUTED_VALUE"""),"Dougherty Comprehensive High School")</f>
        <v>Dougherty Comprehensive High School</v>
      </c>
      <c r="D500" s="5">
        <f ca="1">IFERROR(__xludf.DUMMYFUNCTION("""COMPUTED_VALUE"""),1)</f>
        <v>1</v>
      </c>
      <c r="E500" s="5">
        <f ca="1">IFERROR(__xludf.DUMMYFUNCTION("""COMPUTED_VALUE"""),0)</f>
        <v>0</v>
      </c>
      <c r="F500" s="5">
        <f ca="1">IFERROR(__xludf.DUMMYFUNCTION("""COMPUTED_VALUE"""),1)</f>
        <v>1</v>
      </c>
      <c r="G500" s="5">
        <f ca="1">IFERROR(__xludf.DUMMYFUNCTION("""COMPUTED_VALUE"""),0)</f>
        <v>0</v>
      </c>
      <c r="H500"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I500" s="5">
        <f ca="1">IFERROR(__xludf.DUMMYFUNCTION("""COMPUTED_VALUE"""),2)</f>
        <v>2</v>
      </c>
      <c r="J500" s="5" t="str">
        <f ca="1">IFERROR(__xludf.DUMMYFUNCTION("""COMPUTED_VALUE"""),"Local")</f>
        <v>Local</v>
      </c>
      <c r="K500" s="5">
        <f ca="1">IFERROR(__xludf.DUMMYFUNCTION("""COMPUTED_VALUE"""),3)</f>
        <v>3</v>
      </c>
      <c r="L500" s="5" t="str">
        <f ca="1">IFERROR(__xludf.DUMMYFUNCTION("""COMPUTED_VALUE"""),"Fall")</f>
        <v>Fall</v>
      </c>
      <c r="M500" s="5" t="str">
        <f ca="1">IFERROR(__xludf.DUMMYFUNCTION("""COMPUTED_VALUE"""),"Albany")</f>
        <v>Albany</v>
      </c>
      <c r="N500" s="5" t="str">
        <f ca="1">IFERROR(__xludf.DUMMYFUNCTION("""COMPUTED_VALUE"""),"GA")</f>
        <v>GA</v>
      </c>
      <c r="O500" s="5" t="str">
        <f ca="1">IFERROR(__xludf.DUMMYFUNCTION("""COMPUTED_VALUE"""),"High")</f>
        <v>High</v>
      </c>
      <c r="P500" s="5" t="str">
        <f ca="1">IFERROR(__xludf.DUMMYFUNCTION("""COMPUTED_VALUE"""),"Parking Lot")</f>
        <v>Parking Lot</v>
      </c>
      <c r="Q500" s="5" t="str">
        <f ca="1">IFERROR(__xludf.DUMMYFUNCTION("""COMPUTED_VALUE"""),"Outside on School Property")</f>
        <v>Outside on School Property</v>
      </c>
      <c r="R500" s="5" t="str">
        <f ca="1">IFERROR(__xludf.DUMMYFUNCTION("""COMPUTED_VALUE"""),"No")</f>
        <v>No</v>
      </c>
      <c r="S500" s="5" t="str">
        <f ca="1">IFERROR(__xludf.DUMMYFUNCTION("""COMPUTED_VALUE"""),"Not a School Day")</f>
        <v>Not a School Day</v>
      </c>
      <c r="T500" s="10">
        <f ca="1">IFERROR(__xludf.DUMMYFUNCTION("""COMPUTED_VALUE"""),0.34375)</f>
        <v>0.34375</v>
      </c>
      <c r="U500" s="5">
        <f ca="1">IFERROR(__xludf.DUMMYFUNCTION("""COMPUTED_VALUE"""),1)</f>
        <v>1</v>
      </c>
      <c r="V500" s="5" t="str">
        <f ca="1">IFERROR(__xludf.DUMMYFUNCTION("""COMPUTED_VALUE"""),"18 year-old found shot and killed in vehicle in school parking lot")</f>
        <v>18 year-old found shot and killed in vehicle in school parking lot</v>
      </c>
      <c r="W500"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X500" s="5"/>
      <c r="Y500" s="5" t="str">
        <f ca="1">IFERROR(__xludf.DUMMYFUNCTION("""COMPUTED_VALUE"""),"Victims Targeted")</f>
        <v>Victims Targeted</v>
      </c>
      <c r="Z500" s="5"/>
      <c r="AA500" s="5"/>
      <c r="AB500" s="5" t="str">
        <f ca="1">IFERROR(__xludf.DUMMYFUNCTION("""COMPUTED_VALUE"""),"No")</f>
        <v>No</v>
      </c>
      <c r="AC500" s="5" t="str">
        <f ca="1">IFERROR(__xludf.DUMMYFUNCTION("""COMPUTED_VALUE"""),"No")</f>
        <v>No</v>
      </c>
      <c r="AD500" s="5" t="str">
        <f ca="1">IFERROR(__xludf.DUMMYFUNCTION("""COMPUTED_VALUE"""),"No")</f>
        <v>No</v>
      </c>
      <c r="AE500" s="5" t="str">
        <f ca="1">IFERROR(__xludf.DUMMYFUNCTION("""COMPUTED_VALUE"""),"No")</f>
        <v>No</v>
      </c>
      <c r="AF500" s="5" t="str">
        <f ca="1">IFERROR(__xludf.DUMMYFUNCTION("""COMPUTED_VALUE"""),"No")</f>
        <v>No</v>
      </c>
      <c r="AG500" s="5"/>
      <c r="AH500" s="5" t="str">
        <f ca="1">IFERROR(__xludf.DUMMYFUNCTION("""COMPUTED_VALUE"""),"No")</f>
        <v>No</v>
      </c>
    </row>
    <row r="501" spans="1:34" ht="12.75">
      <c r="A501" s="5" t="str">
        <f ca="1">IFERROR(__xludf.DUMMYFUNCTION("""COMPUTED_VALUE"""),"20200830TXLOD")</f>
        <v>20200830TXLOD</v>
      </c>
      <c r="B501" s="8">
        <f ca="1">IFERROR(__xludf.DUMMYFUNCTION("""COMPUTED_VALUE"""),44073)</f>
        <v>44073</v>
      </c>
      <c r="C501" s="5" t="str">
        <f ca="1">IFERROR(__xludf.DUMMYFUNCTION("""COMPUTED_VALUE"""),"L.O. Donald Leadership Academy")</f>
        <v>L.O. Donald Leadership Academy</v>
      </c>
      <c r="D501" s="5">
        <f ca="1">IFERROR(__xludf.DUMMYFUNCTION("""COMPUTED_VALUE"""),1)</f>
        <v>1</v>
      </c>
      <c r="E501" s="5">
        <f ca="1">IFERROR(__xludf.DUMMYFUNCTION("""COMPUTED_VALUE"""),0)</f>
        <v>0</v>
      </c>
      <c r="F501" s="5">
        <f ca="1">IFERROR(__xludf.DUMMYFUNCTION("""COMPUTED_VALUE"""),1)</f>
        <v>1</v>
      </c>
      <c r="G501" s="5">
        <f ca="1">IFERROR(__xludf.DUMMYFUNCTION("""COMPUTED_VALUE"""),0)</f>
        <v>0</v>
      </c>
      <c r="H501"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I501" s="5">
        <f ca="1">IFERROR(__xludf.DUMMYFUNCTION("""COMPUTED_VALUE"""),4)</f>
        <v>4</v>
      </c>
      <c r="J501" s="5" t="str">
        <f ca="1">IFERROR(__xludf.DUMMYFUNCTION("""COMPUTED_VALUE"""),"Local")</f>
        <v>Local</v>
      </c>
      <c r="K501" s="5">
        <f ca="1">IFERROR(__xludf.DUMMYFUNCTION("""COMPUTED_VALUE"""),4)</f>
        <v>4</v>
      </c>
      <c r="L501" s="5" t="str">
        <f ca="1">IFERROR(__xludf.DUMMYFUNCTION("""COMPUTED_VALUE"""),"Summer")</f>
        <v>Summer</v>
      </c>
      <c r="M501" s="5" t="str">
        <f ca="1">IFERROR(__xludf.DUMMYFUNCTION("""COMPUTED_VALUE"""),"Dallas")</f>
        <v>Dallas</v>
      </c>
      <c r="N501" s="5" t="str">
        <f ca="1">IFERROR(__xludf.DUMMYFUNCTION("""COMPUTED_VALUE"""),"TX")</f>
        <v>TX</v>
      </c>
      <c r="O501" s="5" t="str">
        <f ca="1">IFERROR(__xludf.DUMMYFUNCTION("""COMPUTED_VALUE"""),"Elementary")</f>
        <v>Elementary</v>
      </c>
      <c r="P501" s="5" t="str">
        <f ca="1">IFERROR(__xludf.DUMMYFUNCTION("""COMPUTED_VALUE"""),"Playground")</f>
        <v>Playground</v>
      </c>
      <c r="Q501" s="5" t="str">
        <f ca="1">IFERROR(__xludf.DUMMYFUNCTION("""COMPUTED_VALUE"""),"Outside on School Property")</f>
        <v>Outside on School Property</v>
      </c>
      <c r="R501" s="5" t="str">
        <f ca="1">IFERROR(__xludf.DUMMYFUNCTION("""COMPUTED_VALUE"""),"No")</f>
        <v>No</v>
      </c>
      <c r="S501" s="5" t="str">
        <f ca="1">IFERROR(__xludf.DUMMYFUNCTION("""COMPUTED_VALUE"""),"Night")</f>
        <v>Night</v>
      </c>
      <c r="T501" s="10">
        <f ca="1">IFERROR(__xludf.DUMMYFUNCTION("""COMPUTED_VALUE"""),0.916666666666666)</f>
        <v>0.91666666666666596</v>
      </c>
      <c r="U501" s="5">
        <f ca="1">IFERROR(__xludf.DUMMYFUNCTION("""COMPUTED_VALUE"""),1)</f>
        <v>1</v>
      </c>
      <c r="V501" s="5" t="str">
        <f ca="1">IFERROR(__xludf.DUMMYFUNCTION("""COMPUTED_VALUE"""),"Adult man shot and killed on school playground")</f>
        <v>Adult man shot and killed on school playground</v>
      </c>
      <c r="W501"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X501" s="5" t="str">
        <f ca="1">IFERROR(__xludf.DUMMYFUNCTION("""COMPUTED_VALUE"""),"Illegal Activity")</f>
        <v>Illegal Activity</v>
      </c>
      <c r="Y501" s="5" t="str">
        <f ca="1">IFERROR(__xludf.DUMMYFUNCTION("""COMPUTED_VALUE"""),"Victims Targeted")</f>
        <v>Victims Targeted</v>
      </c>
      <c r="Z501" s="5" t="str">
        <f ca="1">IFERROR(__xludf.DUMMYFUNCTION("""COMPUTED_VALUE"""),"No")</f>
        <v>No</v>
      </c>
      <c r="AA501" s="5"/>
      <c r="AB501" s="5" t="str">
        <f ca="1">IFERROR(__xludf.DUMMYFUNCTION("""COMPUTED_VALUE"""),"No")</f>
        <v>No</v>
      </c>
      <c r="AC501" s="5" t="str">
        <f ca="1">IFERROR(__xludf.DUMMYFUNCTION("""COMPUTED_VALUE"""),"No")</f>
        <v>No</v>
      </c>
      <c r="AD501" s="5" t="str">
        <f ca="1">IFERROR(__xludf.DUMMYFUNCTION("""COMPUTED_VALUE"""),"No")</f>
        <v>No</v>
      </c>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row>
    <row r="502" spans="1:34" ht="12.75">
      <c r="A502" s="5" t="str">
        <f ca="1">IFERROR(__xludf.DUMMYFUNCTION("""COMPUTED_VALUE"""),"20200825MOWEC")</f>
        <v>20200825MOWEC</v>
      </c>
      <c r="B502" s="8">
        <f ca="1">IFERROR(__xludf.DUMMYFUNCTION("""COMPUTED_VALUE"""),44068)</f>
        <v>44068</v>
      </c>
      <c r="C502" s="5" t="str">
        <f ca="1">IFERROR(__xludf.DUMMYFUNCTION("""COMPUTED_VALUE"""),"West Middle School")</f>
        <v>West Middle School</v>
      </c>
      <c r="D502" s="5">
        <f ca="1">IFERROR(__xludf.DUMMYFUNCTION("""COMPUTED_VALUE"""),0)</f>
        <v>0</v>
      </c>
      <c r="E502" s="5">
        <f ca="1">IFERROR(__xludf.DUMMYFUNCTION("""COMPUTED_VALUE"""),1)</f>
        <v>1</v>
      </c>
      <c r="F502" s="5">
        <f ca="1">IFERROR(__xludf.DUMMYFUNCTION("""COMPUTED_VALUE"""),1)</f>
        <v>1</v>
      </c>
      <c r="G502" s="5">
        <f ca="1">IFERROR(__xludf.DUMMYFUNCTION("""COMPUTED_VALUE"""),0)</f>
        <v>0</v>
      </c>
      <c r="H502" s="9" t="str">
        <f ca="1">IFERROR(__xludf.DUMMYFUNCTION("""COMPUTED_VALUE"""),"https://abc17news.com/news/crime/shooting/2020/08/25/one-person-shot-near-west-middle-school-in-columbia/")</f>
        <v>https://abc17news.com/news/crime/shooting/2020/08/25/one-person-shot-near-west-middle-school-in-columbia/</v>
      </c>
      <c r="I502" s="5">
        <f ca="1">IFERROR(__xludf.DUMMYFUNCTION("""COMPUTED_VALUE"""),1)</f>
        <v>1</v>
      </c>
      <c r="J502" s="5" t="str">
        <f ca="1">IFERROR(__xludf.DUMMYFUNCTION("""COMPUTED_VALUE"""),"Local")</f>
        <v>Local</v>
      </c>
      <c r="K502" s="5">
        <f ca="1">IFERROR(__xludf.DUMMYFUNCTION("""COMPUTED_VALUE"""),3)</f>
        <v>3</v>
      </c>
      <c r="L502" s="5" t="str">
        <f ca="1">IFERROR(__xludf.DUMMYFUNCTION("""COMPUTED_VALUE"""),"Summer")</f>
        <v>Summer</v>
      </c>
      <c r="M502" s="5" t="str">
        <f ca="1">IFERROR(__xludf.DUMMYFUNCTION("""COMPUTED_VALUE"""),"Columbia")</f>
        <v>Columbia</v>
      </c>
      <c r="N502" s="5" t="str">
        <f ca="1">IFERROR(__xludf.DUMMYFUNCTION("""COMPUTED_VALUE"""),"MO")</f>
        <v>MO</v>
      </c>
      <c r="O502" s="5" t="str">
        <f ca="1">IFERROR(__xludf.DUMMYFUNCTION("""COMPUTED_VALUE"""),"Middle")</f>
        <v>Middle</v>
      </c>
      <c r="P502" s="5" t="str">
        <f ca="1">IFERROR(__xludf.DUMMYFUNCTION("""COMPUTED_VALUE"""),"Football Field/Track")</f>
        <v>Football Field/Track</v>
      </c>
      <c r="Q502" s="5" t="str">
        <f ca="1">IFERROR(__xludf.DUMMYFUNCTION("""COMPUTED_VALUE"""),"Outside on School Property")</f>
        <v>Outside on School Property</v>
      </c>
      <c r="R502" s="5" t="str">
        <f ca="1">IFERROR(__xludf.DUMMYFUNCTION("""COMPUTED_VALUE"""),"No")</f>
        <v>No</v>
      </c>
      <c r="S502" s="5" t="str">
        <f ca="1">IFERROR(__xludf.DUMMYFUNCTION("""COMPUTED_VALUE"""),"Night")</f>
        <v>Night</v>
      </c>
      <c r="T502" s="10">
        <f ca="1">IFERROR(__xludf.DUMMYFUNCTION("""COMPUTED_VALUE"""),0.145833333333333)</f>
        <v>0.14583333333333301</v>
      </c>
      <c r="U502" s="5">
        <f ca="1">IFERROR(__xludf.DUMMYFUNCTION("""COMPUTED_VALUE"""),1)</f>
        <v>1</v>
      </c>
      <c r="V502" s="5" t="str">
        <f ca="1">IFERROR(__xludf.DUMMYFUNCTION("""COMPUTED_VALUE"""),"Adult male shot on the school track")</f>
        <v>Adult male shot on the school track</v>
      </c>
      <c r="W502"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X502" s="5"/>
      <c r="Y502" s="5"/>
      <c r="Z502" s="5"/>
      <c r="AA502" s="5"/>
      <c r="AB502" s="5" t="str">
        <f ca="1">IFERROR(__xludf.DUMMYFUNCTION("""COMPUTED_VALUE"""),"No")</f>
        <v>No</v>
      </c>
      <c r="AC502" s="5" t="str">
        <f ca="1">IFERROR(__xludf.DUMMYFUNCTION("""COMPUTED_VALUE"""),"No")</f>
        <v>No</v>
      </c>
      <c r="AD502" s="5" t="str">
        <f ca="1">IFERROR(__xludf.DUMMYFUNCTION("""COMPUTED_VALUE"""),"No")</f>
        <v>No</v>
      </c>
      <c r="AE502" s="5" t="str">
        <f ca="1">IFERROR(__xludf.DUMMYFUNCTION("""COMPUTED_VALUE"""),"No")</f>
        <v>No</v>
      </c>
      <c r="AF502" s="5" t="str">
        <f ca="1">IFERROR(__xludf.DUMMYFUNCTION("""COMPUTED_VALUE"""),"No")</f>
        <v>No</v>
      </c>
      <c r="AG502" s="5"/>
      <c r="AH502" s="5" t="str">
        <f ca="1">IFERROR(__xludf.DUMMYFUNCTION("""COMPUTED_VALUE"""),"No")</f>
        <v>No</v>
      </c>
    </row>
    <row r="503" spans="1:34" ht="12.75">
      <c r="A503" s="5" t="str">
        <f ca="1">IFERROR(__xludf.DUMMYFUNCTION("""COMPUTED_VALUE"""),"20200817MIABG")</f>
        <v>20200817MIABG</v>
      </c>
      <c r="B503" s="8">
        <f ca="1">IFERROR(__xludf.DUMMYFUNCTION("""COMPUTED_VALUE"""),44060)</f>
        <v>44060</v>
      </c>
      <c r="C503" s="5" t="str">
        <f ca="1">IFERROR(__xludf.DUMMYFUNCTION("""COMPUTED_VALUE"""),"Aberdeen K-8 School")</f>
        <v>Aberdeen K-8 School</v>
      </c>
      <c r="D503" s="5">
        <f ca="1">IFERROR(__xludf.DUMMYFUNCTION("""COMPUTED_VALUE"""),0)</f>
        <v>0</v>
      </c>
      <c r="E503" s="5">
        <f ca="1">IFERROR(__xludf.DUMMYFUNCTION("""COMPUTED_VALUE"""),1)</f>
        <v>1</v>
      </c>
      <c r="F503" s="5">
        <f ca="1">IFERROR(__xludf.DUMMYFUNCTION("""COMPUTED_VALUE"""),1)</f>
        <v>1</v>
      </c>
      <c r="G503" s="5">
        <f ca="1">IFERROR(__xludf.DUMMYFUNCTION("""COMPUTED_VALUE"""),0)</f>
        <v>0</v>
      </c>
      <c r="H503"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I503" s="5">
        <f ca="1">IFERROR(__xludf.DUMMYFUNCTION("""COMPUTED_VALUE"""),2)</f>
        <v>2</v>
      </c>
      <c r="J503" s="5" t="str">
        <f ca="1">IFERROR(__xludf.DUMMYFUNCTION("""COMPUTED_VALUE"""),"Local")</f>
        <v>Local</v>
      </c>
      <c r="K503" s="5">
        <f ca="1">IFERROR(__xludf.DUMMYFUNCTION("""COMPUTED_VALUE"""),3)</f>
        <v>3</v>
      </c>
      <c r="L503" s="5" t="str">
        <f ca="1">IFERROR(__xludf.DUMMYFUNCTION("""COMPUTED_VALUE"""),"Summer")</f>
        <v>Summer</v>
      </c>
      <c r="M503" s="5" t="str">
        <f ca="1">IFERROR(__xludf.DUMMYFUNCTION("""COMPUTED_VALUE"""),"Grand Rapids")</f>
        <v>Grand Rapids</v>
      </c>
      <c r="N503" s="5" t="str">
        <f ca="1">IFERROR(__xludf.DUMMYFUNCTION("""COMPUTED_VALUE"""),"MI")</f>
        <v>MI</v>
      </c>
      <c r="O503" s="5" t="str">
        <f ca="1">IFERROR(__xludf.DUMMYFUNCTION("""COMPUTED_VALUE"""),"K-8")</f>
        <v>K-8</v>
      </c>
      <c r="P503" s="5" t="str">
        <f ca="1">IFERROR(__xludf.DUMMYFUNCTION("""COMPUTED_VALUE"""),"Beside Building")</f>
        <v>Beside Building</v>
      </c>
      <c r="Q503" s="5" t="str">
        <f ca="1">IFERROR(__xludf.DUMMYFUNCTION("""COMPUTED_VALUE"""),"Outside on School Property")</f>
        <v>Outside on School Property</v>
      </c>
      <c r="R503" s="5" t="str">
        <f ca="1">IFERROR(__xludf.DUMMYFUNCTION("""COMPUTED_VALUE"""),"No")</f>
        <v>No</v>
      </c>
      <c r="S503" s="5" t="str">
        <f ca="1">IFERROR(__xludf.DUMMYFUNCTION("""COMPUTED_VALUE"""),"Not a School Day")</f>
        <v>Not a School Day</v>
      </c>
      <c r="T503" s="10">
        <f ca="1">IFERROR(__xludf.DUMMYFUNCTION("""COMPUTED_VALUE"""),0.6875)</f>
        <v>0.6875</v>
      </c>
      <c r="U503" s="5">
        <f ca="1">IFERROR(__xludf.DUMMYFUNCTION("""COMPUTED_VALUE"""),1)</f>
        <v>1</v>
      </c>
      <c r="V503" s="5" t="str">
        <f ca="1">IFERROR(__xludf.DUMMYFUNCTION("""COMPUTED_VALUE"""),"Adult male shot in hand next to school")</f>
        <v>Adult male shot in hand next to school</v>
      </c>
      <c r="W503"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X503" s="5"/>
      <c r="Y503" s="5"/>
      <c r="Z503" s="5" t="str">
        <f ca="1">IFERROR(__xludf.DUMMYFUNCTION("""COMPUTED_VALUE"""),"No")</f>
        <v>No</v>
      </c>
      <c r="AA503" s="5"/>
      <c r="AB503" s="5" t="str">
        <f ca="1">IFERROR(__xludf.DUMMYFUNCTION("""COMPUTED_VALUE"""),"No")</f>
        <v>No</v>
      </c>
      <c r="AC503" s="5" t="str">
        <f ca="1">IFERROR(__xludf.DUMMYFUNCTION("""COMPUTED_VALUE"""),"No")</f>
        <v>No</v>
      </c>
      <c r="AD503" s="5" t="str">
        <f ca="1">IFERROR(__xludf.DUMMYFUNCTION("""COMPUTED_VALUE"""),"No")</f>
        <v>No</v>
      </c>
      <c r="AE503" s="5" t="str">
        <f ca="1">IFERROR(__xludf.DUMMYFUNCTION("""COMPUTED_VALUE"""),"No")</f>
        <v>No</v>
      </c>
      <c r="AF503" s="5" t="str">
        <f ca="1">IFERROR(__xludf.DUMMYFUNCTION("""COMPUTED_VALUE"""),"No")</f>
        <v>No</v>
      </c>
      <c r="AG503" s="5"/>
      <c r="AH503" s="5" t="str">
        <f ca="1">IFERROR(__xludf.DUMMYFUNCTION("""COMPUTED_VALUE"""),"No")</f>
        <v>No</v>
      </c>
    </row>
    <row r="504" spans="1:34" ht="12.75">
      <c r="A504" s="5" t="str">
        <f ca="1">IFERROR(__xludf.DUMMYFUNCTION("""COMPUTED_VALUE"""),"20200804PAKEP")</f>
        <v>20200804PAKEP</v>
      </c>
      <c r="B504" s="8">
        <f ca="1">IFERROR(__xludf.DUMMYFUNCTION("""COMPUTED_VALUE"""),44047)</f>
        <v>44047</v>
      </c>
      <c r="C504" s="5" t="str">
        <f ca="1">IFERROR(__xludf.DUMMYFUNCTION("""COMPUTED_VALUE"""),"Kelly Elementary School")</f>
        <v>Kelly Elementary School</v>
      </c>
      <c r="D504" s="5">
        <f ca="1">IFERROR(__xludf.DUMMYFUNCTION("""COMPUTED_VALUE"""),1)</f>
        <v>1</v>
      </c>
      <c r="E504" s="5">
        <f ca="1">IFERROR(__xludf.DUMMYFUNCTION("""COMPUTED_VALUE"""),0)</f>
        <v>0</v>
      </c>
      <c r="F504" s="5">
        <f ca="1">IFERROR(__xludf.DUMMYFUNCTION("""COMPUTED_VALUE"""),1)</f>
        <v>1</v>
      </c>
      <c r="G504" s="5">
        <f ca="1">IFERROR(__xludf.DUMMYFUNCTION("""COMPUTED_VALUE"""),0)</f>
        <v>0</v>
      </c>
      <c r="H504"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I504" s="5">
        <f ca="1">IFERROR(__xludf.DUMMYFUNCTION("""COMPUTED_VALUE"""),3)</f>
        <v>3</v>
      </c>
      <c r="J504" s="5" t="str">
        <f ca="1">IFERROR(__xludf.DUMMYFUNCTION("""COMPUTED_VALUE"""),"Local")</f>
        <v>Local</v>
      </c>
      <c r="K504" s="5">
        <f ca="1">IFERROR(__xludf.DUMMYFUNCTION("""COMPUTED_VALUE"""),3)</f>
        <v>3</v>
      </c>
      <c r="L504" s="5" t="str">
        <f ca="1">IFERROR(__xludf.DUMMYFUNCTION("""COMPUTED_VALUE"""),"Summer")</f>
        <v>Summer</v>
      </c>
      <c r="M504" s="5" t="str">
        <f ca="1">IFERROR(__xludf.DUMMYFUNCTION("""COMPUTED_VALUE"""),"Pittsburg")</f>
        <v>Pittsburg</v>
      </c>
      <c r="N504" s="5" t="str">
        <f ca="1">IFERROR(__xludf.DUMMYFUNCTION("""COMPUTED_VALUE"""),"PA")</f>
        <v>PA</v>
      </c>
      <c r="O504" s="5" t="str">
        <f ca="1">IFERROR(__xludf.DUMMYFUNCTION("""COMPUTED_VALUE"""),"Elementary")</f>
        <v>Elementary</v>
      </c>
      <c r="P504" s="5" t="str">
        <f ca="1">IFERROR(__xludf.DUMMYFUNCTION("""COMPUTED_VALUE"""),"Beside Building")</f>
        <v>Beside Building</v>
      </c>
      <c r="Q504" s="5" t="str">
        <f ca="1">IFERROR(__xludf.DUMMYFUNCTION("""COMPUTED_VALUE"""),"Outside on School Property")</f>
        <v>Outside on School Property</v>
      </c>
      <c r="R504" s="5" t="str">
        <f ca="1">IFERROR(__xludf.DUMMYFUNCTION("""COMPUTED_VALUE"""),"No")</f>
        <v>No</v>
      </c>
      <c r="S504" s="5" t="str">
        <f ca="1">IFERROR(__xludf.DUMMYFUNCTION("""COMPUTED_VALUE"""),"Not A School Day")</f>
        <v>Not A School Day</v>
      </c>
      <c r="T504" s="10">
        <f ca="1">IFERROR(__xludf.DUMMYFUNCTION("""COMPUTED_VALUE"""),0.510416666666666)</f>
        <v>0.51041666666666596</v>
      </c>
      <c r="U504" s="5">
        <f ca="1">IFERROR(__xludf.DUMMYFUNCTION("""COMPUTED_VALUE"""),1)</f>
        <v>1</v>
      </c>
      <c r="V504" s="5" t="str">
        <f ca="1">IFERROR(__xludf.DUMMYFUNCTION("""COMPUTED_VALUE"""),"Adult male found shot next to school building")</f>
        <v>Adult male found shot next to school building</v>
      </c>
      <c r="W504"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X504" s="5" t="str">
        <f ca="1">IFERROR(__xludf.DUMMYFUNCTION("""COMPUTED_VALUE"""),"Unknown")</f>
        <v>Unknown</v>
      </c>
      <c r="Y504" s="5" t="str">
        <f ca="1">IFERROR(__xludf.DUMMYFUNCTION("""COMPUTED_VALUE"""),"Victims Targeted")</f>
        <v>Victims Targeted</v>
      </c>
      <c r="Z504" s="5"/>
      <c r="AA504" s="5"/>
      <c r="AB504" s="5" t="str">
        <f ca="1">IFERROR(__xludf.DUMMYFUNCTION("""COMPUTED_VALUE"""),"No")</f>
        <v>No</v>
      </c>
      <c r="AC504" s="5" t="str">
        <f ca="1">IFERROR(__xludf.DUMMYFUNCTION("""COMPUTED_VALUE"""),"No")</f>
        <v>No</v>
      </c>
      <c r="AD504" s="5" t="str">
        <f ca="1">IFERROR(__xludf.DUMMYFUNCTION("""COMPUTED_VALUE"""),"No")</f>
        <v>No</v>
      </c>
      <c r="AE504" s="5" t="str">
        <f ca="1">IFERROR(__xludf.DUMMYFUNCTION("""COMPUTED_VALUE"""),"No")</f>
        <v>No</v>
      </c>
      <c r="AF504" s="5" t="str">
        <f ca="1">IFERROR(__xludf.DUMMYFUNCTION("""COMPUTED_VALUE"""),"No")</f>
        <v>No</v>
      </c>
      <c r="AG504" s="5" t="str">
        <f ca="1">IFERROR(__xludf.DUMMYFUNCTION("""COMPUTED_VALUE"""),"No")</f>
        <v>No</v>
      </c>
      <c r="AH504" s="5"/>
    </row>
    <row r="505" spans="1:34" ht="12.75">
      <c r="A505" s="5" t="str">
        <f ca="1">IFERROR(__xludf.DUMMYFUNCTION("""COMPUTED_VALUE"""),"20200729ILCOC")</f>
        <v>20200729ILCOC</v>
      </c>
      <c r="B505" s="8">
        <f ca="1">IFERROR(__xludf.DUMMYFUNCTION("""COMPUTED_VALUE"""),44041)</f>
        <v>44041</v>
      </c>
      <c r="C505" s="5" t="str">
        <f ca="1">IFERROR(__xludf.DUMMYFUNCTION("""COMPUTED_VALUE"""),"Collinsville High School")</f>
        <v>Collinsville High School</v>
      </c>
      <c r="D505" s="5">
        <f ca="1">IFERROR(__xludf.DUMMYFUNCTION("""COMPUTED_VALUE"""),0)</f>
        <v>0</v>
      </c>
      <c r="E505" s="5">
        <f ca="1">IFERROR(__xludf.DUMMYFUNCTION("""COMPUTED_VALUE"""),0)</f>
        <v>0</v>
      </c>
      <c r="F505" s="5">
        <f ca="1">IFERROR(__xludf.DUMMYFUNCTION("""COMPUTED_VALUE"""),0)</f>
        <v>0</v>
      </c>
      <c r="G505" s="5">
        <f ca="1">IFERROR(__xludf.DUMMYFUNCTION("""COMPUTED_VALUE"""),0)</f>
        <v>0</v>
      </c>
      <c r="H505"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I505" s="5">
        <f ca="1">IFERROR(__xludf.DUMMYFUNCTION("""COMPUTED_VALUE"""),3)</f>
        <v>3</v>
      </c>
      <c r="J505" s="5" t="str">
        <f ca="1">IFERROR(__xludf.DUMMYFUNCTION("""COMPUTED_VALUE"""),"Local")</f>
        <v>Local</v>
      </c>
      <c r="K505" s="5">
        <f ca="1">IFERROR(__xludf.DUMMYFUNCTION("""COMPUTED_VALUE"""),4)</f>
        <v>4</v>
      </c>
      <c r="L505" s="5"/>
      <c r="M505" s="5" t="str">
        <f ca="1">IFERROR(__xludf.DUMMYFUNCTION("""COMPUTED_VALUE"""),"Collinsville")</f>
        <v>Collinsville</v>
      </c>
      <c r="N505" s="5" t="str">
        <f ca="1">IFERROR(__xludf.DUMMYFUNCTION("""COMPUTED_VALUE"""),"IL")</f>
        <v>IL</v>
      </c>
      <c r="O505" s="5" t="str">
        <f ca="1">IFERROR(__xludf.DUMMYFUNCTION("""COMPUTED_VALUE"""),"High")</f>
        <v>High</v>
      </c>
      <c r="P505" s="5" t="str">
        <f ca="1">IFERROR(__xludf.DUMMYFUNCTION("""COMPUTED_VALUE"""),"Beside Building")</f>
        <v>Beside Building</v>
      </c>
      <c r="Q505" s="5" t="str">
        <f ca="1">IFERROR(__xludf.DUMMYFUNCTION("""COMPUTED_VALUE"""),"Outside on School Property")</f>
        <v>Outside on School Property</v>
      </c>
      <c r="R505" s="5" t="str">
        <f ca="1">IFERROR(__xludf.DUMMYFUNCTION("""COMPUTED_VALUE"""),"No")</f>
        <v>No</v>
      </c>
      <c r="S505" s="5" t="str">
        <f ca="1">IFERROR(__xludf.DUMMYFUNCTION("""COMPUTED_VALUE"""),"Night")</f>
        <v>Night</v>
      </c>
      <c r="T505" s="10">
        <f ca="1">IFERROR(__xludf.DUMMYFUNCTION("""COMPUTED_VALUE"""),0.884722222222222)</f>
        <v>0.88472222222222197</v>
      </c>
      <c r="U505" s="5">
        <f ca="1">IFERROR(__xludf.DUMMYFUNCTION("""COMPUTED_VALUE"""),1)</f>
        <v>1</v>
      </c>
      <c r="V505" s="5" t="str">
        <f ca="1">IFERROR(__xludf.DUMMYFUNCTION("""COMPUTED_VALUE"""),"Teen shot by police officer after pointing gun at the officers")</f>
        <v>Teen shot by police officer after pointing gun at the officers</v>
      </c>
      <c r="W505"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X505" s="5" t="str">
        <f ca="1">IFERROR(__xludf.DUMMYFUNCTION("""COMPUTED_VALUE"""),"Unknown")</f>
        <v>Unknown</v>
      </c>
      <c r="Y505" s="5" t="str">
        <f ca="1">IFERROR(__xludf.DUMMYFUNCTION("""COMPUTED_VALUE"""),"Neither")</f>
        <v>Neither</v>
      </c>
      <c r="Z505" s="5" t="str">
        <f ca="1">IFERROR(__xludf.DUMMYFUNCTION("""COMPUTED_VALUE"""),"No")</f>
        <v>No</v>
      </c>
      <c r="AA505" s="5"/>
      <c r="AB505" s="5" t="str">
        <f ca="1">IFERROR(__xludf.DUMMYFUNCTION("""COMPUTED_VALUE"""),"No")</f>
        <v>No</v>
      </c>
      <c r="AC505" s="5" t="str">
        <f ca="1">IFERROR(__xludf.DUMMYFUNCTION("""COMPUTED_VALUE"""),"No")</f>
        <v>No</v>
      </c>
      <c r="AD505" s="5" t="str">
        <f ca="1">IFERROR(__xludf.DUMMYFUNCTION("""COMPUTED_VALUE"""),"Yes")</f>
        <v>Yes</v>
      </c>
      <c r="AE505" s="5"/>
      <c r="AF505" s="5" t="str">
        <f ca="1">IFERROR(__xludf.DUMMYFUNCTION("""COMPUTED_VALUE"""),"No")</f>
        <v>No</v>
      </c>
      <c r="AG505" s="5"/>
      <c r="AH505" s="5" t="str">
        <f ca="1">IFERROR(__xludf.DUMMYFUNCTION("""COMPUTED_VALUE"""),"No")</f>
        <v>No</v>
      </c>
    </row>
    <row r="506" spans="1:34" ht="12.75">
      <c r="A506" s="5" t="str">
        <f ca="1">IFERROR(__xludf.DUMMYFUNCTION("""COMPUTED_VALUE"""),"20200727AZCAO")</f>
        <v>20200727AZCAO</v>
      </c>
      <c r="B506" s="8">
        <f ca="1">IFERROR(__xludf.DUMMYFUNCTION("""COMPUTED_VALUE"""),44039)</f>
        <v>44039</v>
      </c>
      <c r="C506" s="5" t="str">
        <f ca="1">IFERROR(__xludf.DUMMYFUNCTION("""COMPUTED_VALUE"""),"Canyon del Oro High School")</f>
        <v>Canyon del Oro High School</v>
      </c>
      <c r="D506" s="5">
        <f ca="1">IFERROR(__xludf.DUMMYFUNCTION("""COMPUTED_VALUE"""),0)</f>
        <v>0</v>
      </c>
      <c r="E506" s="5">
        <f ca="1">IFERROR(__xludf.DUMMYFUNCTION("""COMPUTED_VALUE"""),0)</f>
        <v>0</v>
      </c>
      <c r="F506" s="5">
        <f ca="1">IFERROR(__xludf.DUMMYFUNCTION("""COMPUTED_VALUE"""),0)</f>
        <v>0</v>
      </c>
      <c r="G506" s="5">
        <f ca="1">IFERROR(__xludf.DUMMYFUNCTION("""COMPUTED_VALUE"""),1)</f>
        <v>1</v>
      </c>
      <c r="H506"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I506" s="5">
        <f ca="1">IFERROR(__xludf.DUMMYFUNCTION("""COMPUTED_VALUE"""),3)</f>
        <v>3</v>
      </c>
      <c r="J506" s="5" t="str">
        <f ca="1">IFERROR(__xludf.DUMMYFUNCTION("""COMPUTED_VALUE"""),"Local")</f>
        <v>Local</v>
      </c>
      <c r="K506" s="5">
        <f ca="1">IFERROR(__xludf.DUMMYFUNCTION("""COMPUTED_VALUE"""),4)</f>
        <v>4</v>
      </c>
      <c r="L506" s="5" t="str">
        <f ca="1">IFERROR(__xludf.DUMMYFUNCTION("""COMPUTED_VALUE"""),"Summer")</f>
        <v>Summer</v>
      </c>
      <c r="M506" s="5" t="str">
        <f ca="1">IFERROR(__xludf.DUMMYFUNCTION("""COMPUTED_VALUE"""),"Oro Valley")</f>
        <v>Oro Valley</v>
      </c>
      <c r="N506" s="5" t="str">
        <f ca="1">IFERROR(__xludf.DUMMYFUNCTION("""COMPUTED_VALUE"""),"AZ")</f>
        <v>AZ</v>
      </c>
      <c r="O506" s="5" t="str">
        <f ca="1">IFERROR(__xludf.DUMMYFUNCTION("""COMPUTED_VALUE"""),"High")</f>
        <v>High</v>
      </c>
      <c r="P506" s="5" t="str">
        <f ca="1">IFERROR(__xludf.DUMMYFUNCTION("""COMPUTED_VALUE"""),"Beside Building")</f>
        <v>Beside Building</v>
      </c>
      <c r="Q506" s="5" t="str">
        <f ca="1">IFERROR(__xludf.DUMMYFUNCTION("""COMPUTED_VALUE"""),"Outside on School Property")</f>
        <v>Outside on School Property</v>
      </c>
      <c r="R506" s="5" t="str">
        <f ca="1">IFERROR(__xludf.DUMMYFUNCTION("""COMPUTED_VALUE"""),"No")</f>
        <v>No</v>
      </c>
      <c r="S506" s="5" t="str">
        <f ca="1">IFERROR(__xludf.DUMMYFUNCTION("""COMPUTED_VALUE"""),"Not a School Day")</f>
        <v>Not a School Day</v>
      </c>
      <c r="T506" s="10">
        <f ca="1">IFERROR(__xludf.DUMMYFUNCTION("""COMPUTED_VALUE"""),0.666666666666666)</f>
        <v>0.66666666666666596</v>
      </c>
      <c r="U506" s="5">
        <f ca="1">IFERROR(__xludf.DUMMYFUNCTION("""COMPUTED_VALUE"""),1)</f>
        <v>1</v>
      </c>
      <c r="V506" s="5" t="str">
        <f ca="1">IFERROR(__xludf.DUMMYFUNCTION("""COMPUTED_VALUE"""),"Adult male construction work fatal shot self in leg")</f>
        <v>Adult male construction work fatal shot self in leg</v>
      </c>
      <c r="W506"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X506" s="5" t="str">
        <f ca="1">IFERROR(__xludf.DUMMYFUNCTION("""COMPUTED_VALUE"""),"Accidental")</f>
        <v>Accidental</v>
      </c>
      <c r="Y506" s="5" t="str">
        <f ca="1">IFERROR(__xludf.DUMMYFUNCTION("""COMPUTED_VALUE"""),"Neither")</f>
        <v>Neither</v>
      </c>
      <c r="Z506" s="5" t="str">
        <f ca="1">IFERROR(__xludf.DUMMYFUNCTION("""COMPUTED_VALUE"""),"No")</f>
        <v>No</v>
      </c>
      <c r="AA506" s="5"/>
      <c r="AB506" s="5" t="str">
        <f ca="1">IFERROR(__xludf.DUMMYFUNCTION("""COMPUTED_VALUE"""),"No")</f>
        <v>No</v>
      </c>
      <c r="AC506" s="5" t="str">
        <f ca="1">IFERROR(__xludf.DUMMYFUNCTION("""COMPUTED_VALUE"""),"No")</f>
        <v>No</v>
      </c>
      <c r="AD506" s="5" t="str">
        <f ca="1">IFERROR(__xludf.DUMMYFUNCTION("""COMPUTED_VALUE"""),"No")</f>
        <v>No</v>
      </c>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row>
    <row r="507" spans="1:34" ht="12.75">
      <c r="A507" s="5" t="str">
        <f ca="1">IFERROR(__xludf.DUMMYFUNCTION("""COMPUTED_VALUE"""),"20200721SCBRO")</f>
        <v>20200721SCBRO</v>
      </c>
      <c r="B507" s="8">
        <f ca="1">IFERROR(__xludf.DUMMYFUNCTION("""COMPUTED_VALUE"""),44033)</f>
        <v>44033</v>
      </c>
      <c r="C507" s="5" t="str">
        <f ca="1">IFERROR(__xludf.DUMMYFUNCTION("""COMPUTED_VALUE"""),"Brookdale Elementary School")</f>
        <v>Brookdale Elementary School</v>
      </c>
      <c r="D507" s="5">
        <f ca="1">IFERROR(__xludf.DUMMYFUNCTION("""COMPUTED_VALUE"""),1)</f>
        <v>1</v>
      </c>
      <c r="E507" s="5">
        <f ca="1">IFERROR(__xludf.DUMMYFUNCTION("""COMPUTED_VALUE"""),0)</f>
        <v>0</v>
      </c>
      <c r="F507" s="5">
        <f ca="1">IFERROR(__xludf.DUMMYFUNCTION("""COMPUTED_VALUE"""),1)</f>
        <v>1</v>
      </c>
      <c r="G507" s="5">
        <f ca="1">IFERROR(__xludf.DUMMYFUNCTION("""COMPUTED_VALUE"""),0)</f>
        <v>0</v>
      </c>
      <c r="H507"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I507" s="5">
        <f ca="1">IFERROR(__xludf.DUMMYFUNCTION("""COMPUTED_VALUE"""),2)</f>
        <v>2</v>
      </c>
      <c r="J507" s="5" t="str">
        <f ca="1">IFERROR(__xludf.DUMMYFUNCTION("""COMPUTED_VALUE"""),"Local")</f>
        <v>Local</v>
      </c>
      <c r="K507" s="5">
        <f ca="1">IFERROR(__xludf.DUMMYFUNCTION("""COMPUTED_VALUE"""),3)</f>
        <v>3</v>
      </c>
      <c r="L507" s="5" t="str">
        <f ca="1">IFERROR(__xludf.DUMMYFUNCTION("""COMPUTED_VALUE"""),"Summer")</f>
        <v>Summer</v>
      </c>
      <c r="M507" s="5" t="str">
        <f ca="1">IFERROR(__xludf.DUMMYFUNCTION("""COMPUTED_VALUE"""),"Orangeburg")</f>
        <v>Orangeburg</v>
      </c>
      <c r="N507" s="5" t="str">
        <f ca="1">IFERROR(__xludf.DUMMYFUNCTION("""COMPUTED_VALUE"""),"SC")</f>
        <v>SC</v>
      </c>
      <c r="O507" s="5" t="str">
        <f ca="1">IFERROR(__xludf.DUMMYFUNCTION("""COMPUTED_VALUE"""),"Elementary")</f>
        <v>Elementary</v>
      </c>
      <c r="P507" s="5" t="str">
        <f ca="1">IFERROR(__xludf.DUMMYFUNCTION("""COMPUTED_VALUE"""),"Basketball Court")</f>
        <v>Basketball Court</v>
      </c>
      <c r="Q507" s="5" t="str">
        <f ca="1">IFERROR(__xludf.DUMMYFUNCTION("""COMPUTED_VALUE"""),"Outside on School Property")</f>
        <v>Outside on School Property</v>
      </c>
      <c r="R507" s="5" t="str">
        <f ca="1">IFERROR(__xludf.DUMMYFUNCTION("""COMPUTED_VALUE"""),"No")</f>
        <v>No</v>
      </c>
      <c r="S507" s="5" t="str">
        <f ca="1">IFERROR(__xludf.DUMMYFUNCTION("""COMPUTED_VALUE"""),"Night")</f>
        <v>Night</v>
      </c>
      <c r="T507" s="10">
        <f ca="1">IFERROR(__xludf.DUMMYFUNCTION("""COMPUTED_VALUE"""),0.875)</f>
        <v>0.875</v>
      </c>
      <c r="U507" s="5">
        <f ca="1">IFERROR(__xludf.DUMMYFUNCTION("""COMPUTED_VALUE"""),1)</f>
        <v>1</v>
      </c>
      <c r="V507" s="5" t="str">
        <f ca="1">IFERROR(__xludf.DUMMYFUNCTION("""COMPUTED_VALUE"""),"Adult male shot on school basketball court")</f>
        <v>Adult male shot on school basketball court</v>
      </c>
      <c r="W507"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X507" s="5" t="str">
        <f ca="1">IFERROR(__xludf.DUMMYFUNCTION("""COMPUTED_VALUE"""),"Escalation of Dispute")</f>
        <v>Escalation of Dispute</v>
      </c>
      <c r="Y507" s="5"/>
      <c r="Z507" s="5" t="str">
        <f ca="1">IFERROR(__xludf.DUMMYFUNCTION("""COMPUTED_VALUE"""),"No")</f>
        <v>No</v>
      </c>
      <c r="AA507" s="5"/>
      <c r="AB507" s="5" t="str">
        <f ca="1">IFERROR(__xludf.DUMMYFUNCTION("""COMPUTED_VALUE"""),"No")</f>
        <v>No</v>
      </c>
      <c r="AC507" s="5" t="str">
        <f ca="1">IFERROR(__xludf.DUMMYFUNCTION("""COMPUTED_VALUE"""),"No")</f>
        <v>No</v>
      </c>
      <c r="AD507" s="5" t="str">
        <f ca="1">IFERROR(__xludf.DUMMYFUNCTION("""COMPUTED_VALUE"""),"No")</f>
        <v>No</v>
      </c>
      <c r="AE507" s="5" t="str">
        <f ca="1">IFERROR(__xludf.DUMMYFUNCTION("""COMPUTED_VALUE"""),"No")</f>
        <v>No</v>
      </c>
      <c r="AF507" s="5" t="str">
        <f ca="1">IFERROR(__xludf.DUMMYFUNCTION("""COMPUTED_VALUE"""),"No")</f>
        <v>No</v>
      </c>
      <c r="AG507" s="5"/>
      <c r="AH507" s="5" t="str">
        <f ca="1">IFERROR(__xludf.DUMMYFUNCTION("""COMPUTED_VALUE"""),"No")</f>
        <v>No</v>
      </c>
    </row>
    <row r="508" spans="1:34" ht="12.75">
      <c r="A508" s="5" t="str">
        <f ca="1">IFERROR(__xludf.DUMMYFUNCTION("""COMPUTED_VALUE"""),"20200714MIWID")</f>
        <v>20200714MIWID</v>
      </c>
      <c r="B508" s="8">
        <f ca="1">IFERROR(__xludf.DUMMYFUNCTION("""COMPUTED_VALUE"""),44026)</f>
        <v>44026</v>
      </c>
      <c r="C508" s="5" t="str">
        <f ca="1">IFERROR(__xludf.DUMMYFUNCTION("""COMPUTED_VALUE"""),"Willow Woods Elementary School")</f>
        <v>Willow Woods Elementary School</v>
      </c>
      <c r="D508" s="5">
        <f ca="1">IFERROR(__xludf.DUMMYFUNCTION("""COMPUTED_VALUE"""),0)</f>
        <v>0</v>
      </c>
      <c r="E508" s="5">
        <f ca="1">IFERROR(__xludf.DUMMYFUNCTION("""COMPUTED_VALUE"""),0)</f>
        <v>0</v>
      </c>
      <c r="F508" s="5">
        <f ca="1">IFERROR(__xludf.DUMMYFUNCTION("""COMPUTED_VALUE"""),0)</f>
        <v>0</v>
      </c>
      <c r="G508" s="5">
        <f ca="1">IFERROR(__xludf.DUMMYFUNCTION("""COMPUTED_VALUE"""),0)</f>
        <v>0</v>
      </c>
      <c r="H508"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I508" s="5">
        <f ca="1">IFERROR(__xludf.DUMMYFUNCTION("""COMPUTED_VALUE"""),1)</f>
        <v>1</v>
      </c>
      <c r="J508" s="5" t="str">
        <f ca="1">IFERROR(__xludf.DUMMYFUNCTION("""COMPUTED_VALUE"""),"Local")</f>
        <v>Local</v>
      </c>
      <c r="K508" s="5">
        <f ca="1">IFERROR(__xludf.DUMMYFUNCTION("""COMPUTED_VALUE"""),3)</f>
        <v>3</v>
      </c>
      <c r="L508" s="5" t="str">
        <f ca="1">IFERROR(__xludf.DUMMYFUNCTION("""COMPUTED_VALUE"""),"Summer")</f>
        <v>Summer</v>
      </c>
      <c r="M508" s="5" t="str">
        <f ca="1">IFERROR(__xludf.DUMMYFUNCTION("""COMPUTED_VALUE"""),"Detroit")</f>
        <v>Detroit</v>
      </c>
      <c r="N508" s="5" t="str">
        <f ca="1">IFERROR(__xludf.DUMMYFUNCTION("""COMPUTED_VALUE"""),"MI")</f>
        <v>MI</v>
      </c>
      <c r="O508" s="5" t="str">
        <f ca="1">IFERROR(__xludf.DUMMYFUNCTION("""COMPUTED_VALUE"""),"Elementary")</f>
        <v>Elementary</v>
      </c>
      <c r="P508" s="5" t="str">
        <f ca="1">IFERROR(__xludf.DUMMYFUNCTION("""COMPUTED_VALUE"""),"Parking Lot")</f>
        <v>Parking Lot</v>
      </c>
      <c r="Q508" s="5" t="str">
        <f ca="1">IFERROR(__xludf.DUMMYFUNCTION("""COMPUTED_VALUE"""),"Outside on School Property")</f>
        <v>Outside on School Property</v>
      </c>
      <c r="R508" s="5" t="str">
        <f ca="1">IFERROR(__xludf.DUMMYFUNCTION("""COMPUTED_VALUE"""),"No")</f>
        <v>No</v>
      </c>
      <c r="S508" s="5" t="str">
        <f ca="1">IFERROR(__xludf.DUMMYFUNCTION("""COMPUTED_VALUE"""),"Not a School Day")</f>
        <v>Not a School Day</v>
      </c>
      <c r="T508" s="5"/>
      <c r="U508" s="5">
        <f ca="1">IFERROR(__xludf.DUMMYFUNCTION("""COMPUTED_VALUE"""),1)</f>
        <v>1</v>
      </c>
      <c r="V508" s="5" t="str">
        <f ca="1">IFERROR(__xludf.DUMMYFUNCTION("""COMPUTED_VALUE"""),"Shots fired into the air during fight between two men")</f>
        <v>Shots fired into the air during fight between two men</v>
      </c>
      <c r="W508"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X508" s="5" t="str">
        <f ca="1">IFERROR(__xludf.DUMMYFUNCTION("""COMPUTED_VALUE"""),"Escalation of Dispute")</f>
        <v>Escalation of Dispute</v>
      </c>
      <c r="Y508" s="5" t="str">
        <f ca="1">IFERROR(__xludf.DUMMYFUNCTION("""COMPUTED_VALUE"""),"Neither")</f>
        <v>Neither</v>
      </c>
      <c r="Z508" s="5" t="str">
        <f ca="1">IFERROR(__xludf.DUMMYFUNCTION("""COMPUTED_VALUE"""),"No")</f>
        <v>No</v>
      </c>
      <c r="AA508" s="5"/>
      <c r="AB508" s="5" t="str">
        <f ca="1">IFERROR(__xludf.DUMMYFUNCTION("""COMPUTED_VALUE"""),"No")</f>
        <v>No</v>
      </c>
      <c r="AC508" s="5" t="str">
        <f ca="1">IFERROR(__xludf.DUMMYFUNCTION("""COMPUTED_VALUE"""),"No")</f>
        <v>No</v>
      </c>
      <c r="AD508" s="5" t="str">
        <f ca="1">IFERROR(__xludf.DUMMYFUNCTION("""COMPUTED_VALUE"""),"No")</f>
        <v>No</v>
      </c>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row>
    <row r="509" spans="1:34" ht="12.75">
      <c r="A509" s="5" t="str">
        <f ca="1">IFERROR(__xludf.DUMMYFUNCTION("""COMPUTED_VALUE"""),"20200704INLAM")</f>
        <v>20200704INLAM</v>
      </c>
      <c r="B509" s="8">
        <f ca="1">IFERROR(__xludf.DUMMYFUNCTION("""COMPUTED_VALUE"""),44016)</f>
        <v>44016</v>
      </c>
      <c r="C509" s="5" t="str">
        <f ca="1">IFERROR(__xludf.DUMMYFUNCTION("""COMPUTED_VALUE"""),"Lake Hills Elementary School")</f>
        <v>Lake Hills Elementary School</v>
      </c>
      <c r="D509" s="5">
        <f ca="1">IFERROR(__xludf.DUMMYFUNCTION("""COMPUTED_VALUE"""),1)</f>
        <v>1</v>
      </c>
      <c r="E509" s="5">
        <f ca="1">IFERROR(__xludf.DUMMYFUNCTION("""COMPUTED_VALUE"""),0)</f>
        <v>0</v>
      </c>
      <c r="F509" s="5">
        <f ca="1">IFERROR(__xludf.DUMMYFUNCTION("""COMPUTED_VALUE"""),1)</f>
        <v>1</v>
      </c>
      <c r="G509" s="5">
        <f ca="1">IFERROR(__xludf.DUMMYFUNCTION("""COMPUTED_VALUE"""),0)</f>
        <v>0</v>
      </c>
      <c r="H509"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I509" s="5">
        <f ca="1">IFERROR(__xludf.DUMMYFUNCTION("""COMPUTED_VALUE"""),2)</f>
        <v>2</v>
      </c>
      <c r="J509" s="5" t="str">
        <f ca="1">IFERROR(__xludf.DUMMYFUNCTION("""COMPUTED_VALUE"""),"Local")</f>
        <v>Local</v>
      </c>
      <c r="K509" s="5">
        <f ca="1">IFERROR(__xludf.DUMMYFUNCTION("""COMPUTED_VALUE"""),4)</f>
        <v>4</v>
      </c>
      <c r="L509" s="5" t="str">
        <f ca="1">IFERROR(__xludf.DUMMYFUNCTION("""COMPUTED_VALUE"""),"Summer")</f>
        <v>Summer</v>
      </c>
      <c r="M509" s="5" t="str">
        <f ca="1">IFERROR(__xludf.DUMMYFUNCTION("""COMPUTED_VALUE"""),"Michigan City")</f>
        <v>Michigan City</v>
      </c>
      <c r="N509" s="5" t="str">
        <f ca="1">IFERROR(__xludf.DUMMYFUNCTION("""COMPUTED_VALUE"""),"IN")</f>
        <v>IN</v>
      </c>
      <c r="O509" s="5" t="str">
        <f ca="1">IFERROR(__xludf.DUMMYFUNCTION("""COMPUTED_VALUE"""),"Elementary")</f>
        <v>Elementary</v>
      </c>
      <c r="P509" s="5" t="str">
        <f ca="1">IFERROR(__xludf.DUMMYFUNCTION("""COMPUTED_VALUE"""),"Parking Lot")</f>
        <v>Parking Lot</v>
      </c>
      <c r="Q509" s="5" t="str">
        <f ca="1">IFERROR(__xludf.DUMMYFUNCTION("""COMPUTED_VALUE"""),"Outside on School Property")</f>
        <v>Outside on School Property</v>
      </c>
      <c r="R509" s="5" t="str">
        <f ca="1">IFERROR(__xludf.DUMMYFUNCTION("""COMPUTED_VALUE"""),"No")</f>
        <v>No</v>
      </c>
      <c r="S509" s="5" t="str">
        <f ca="1">IFERROR(__xludf.DUMMYFUNCTION("""COMPUTED_VALUE"""),"Night")</f>
        <v>Night</v>
      </c>
      <c r="T509" s="5"/>
      <c r="U509" s="5">
        <f ca="1">IFERROR(__xludf.DUMMYFUNCTION("""COMPUTED_VALUE"""),1)</f>
        <v>1</v>
      </c>
      <c r="V509" s="5" t="str">
        <f ca="1">IFERROR(__xludf.DUMMYFUNCTION("""COMPUTED_VALUE"""),"Adult male fired shot during exchange of stolen cellphone")</f>
        <v>Adult male fired shot during exchange of stolen cellphone</v>
      </c>
      <c r="W509"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X509" s="5" t="str">
        <f ca="1">IFERROR(__xludf.DUMMYFUNCTION("""COMPUTED_VALUE"""),"Illegal Activity")</f>
        <v>Illegal Activity</v>
      </c>
      <c r="Y509" s="5" t="str">
        <f ca="1">IFERROR(__xludf.DUMMYFUNCTION("""COMPUTED_VALUE"""),"Victims Targeted")</f>
        <v>Victims Targeted</v>
      </c>
      <c r="Z509" s="5" t="str">
        <f ca="1">IFERROR(__xludf.DUMMYFUNCTION("""COMPUTED_VALUE"""),"No")</f>
        <v>No</v>
      </c>
      <c r="AA509" s="5"/>
      <c r="AB509" s="5" t="str">
        <f ca="1">IFERROR(__xludf.DUMMYFUNCTION("""COMPUTED_VALUE"""),"No")</f>
        <v>No</v>
      </c>
      <c r="AC509" s="5" t="str">
        <f ca="1">IFERROR(__xludf.DUMMYFUNCTION("""COMPUTED_VALUE"""),"No")</f>
        <v>No</v>
      </c>
      <c r="AD509" s="5" t="str">
        <f ca="1">IFERROR(__xludf.DUMMYFUNCTION("""COMPUTED_VALUE"""),"No")</f>
        <v>No</v>
      </c>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row>
    <row r="510" spans="1:34" ht="12.75">
      <c r="A510" s="5" t="str">
        <f ca="1">IFERROR(__xludf.DUMMYFUNCTION("""COMPUTED_VALUE"""),"20200701ILFRP")</f>
        <v>20200701ILFRP</v>
      </c>
      <c r="B510" s="8">
        <f ca="1">IFERROR(__xludf.DUMMYFUNCTION("""COMPUTED_VALUE"""),44013)</f>
        <v>44013</v>
      </c>
      <c r="C510" s="5" t="str">
        <f ca="1">IFERROR(__xludf.DUMMYFUNCTION("""COMPUTED_VALUE"""),"Frost Elementary School")</f>
        <v>Frost Elementary School</v>
      </c>
      <c r="D510" s="5">
        <f ca="1">IFERROR(__xludf.DUMMYFUNCTION("""COMPUTED_VALUE"""),0)</f>
        <v>0</v>
      </c>
      <c r="E510" s="5">
        <f ca="1">IFERROR(__xludf.DUMMYFUNCTION("""COMPUTED_VALUE"""),0)</f>
        <v>0</v>
      </c>
      <c r="F510" s="5">
        <f ca="1">IFERROR(__xludf.DUMMYFUNCTION("""COMPUTED_VALUE"""),0)</f>
        <v>0</v>
      </c>
      <c r="G510" s="5">
        <f ca="1">IFERROR(__xludf.DUMMYFUNCTION("""COMPUTED_VALUE"""),0)</f>
        <v>0</v>
      </c>
      <c r="H510" s="9" t="str">
        <f ca="1">IFERROR(__xludf.DUMMYFUNCTION("""COMPUTED_VALUE"""),"https://www.dailyherald.com/news/20200714/prospect-heights-man-charged-after-shooting-near-frost-elementary-school")</f>
        <v>https://www.dailyherald.com/news/20200714/prospect-heights-man-charged-after-shooting-near-frost-elementary-school</v>
      </c>
      <c r="I510" s="5">
        <f ca="1">IFERROR(__xludf.DUMMYFUNCTION("""COMPUTED_VALUE"""),1)</f>
        <v>1</v>
      </c>
      <c r="J510" s="5" t="str">
        <f ca="1">IFERROR(__xludf.DUMMYFUNCTION("""COMPUTED_VALUE"""),"Local")</f>
        <v>Local</v>
      </c>
      <c r="K510" s="5">
        <f ca="1">IFERROR(__xludf.DUMMYFUNCTION("""COMPUTED_VALUE"""),3)</f>
        <v>3</v>
      </c>
      <c r="L510" s="5" t="str">
        <f ca="1">IFERROR(__xludf.DUMMYFUNCTION("""COMPUTED_VALUE"""),"Summer")</f>
        <v>Summer</v>
      </c>
      <c r="M510" s="5" t="str">
        <f ca="1">IFERROR(__xludf.DUMMYFUNCTION("""COMPUTED_VALUE"""),"Prospect Heights")</f>
        <v>Prospect Heights</v>
      </c>
      <c r="N510" s="5" t="str">
        <f ca="1">IFERROR(__xludf.DUMMYFUNCTION("""COMPUTED_VALUE"""),"IL")</f>
        <v>IL</v>
      </c>
      <c r="O510" s="5" t="str">
        <f ca="1">IFERROR(__xludf.DUMMYFUNCTION("""COMPUTED_VALUE"""),"Elementary")</f>
        <v>Elementary</v>
      </c>
      <c r="P510" s="5" t="str">
        <f ca="1">IFERROR(__xludf.DUMMYFUNCTION("""COMPUTED_VALUE"""),"Parking Lot")</f>
        <v>Parking Lot</v>
      </c>
      <c r="Q510" s="5" t="str">
        <f ca="1">IFERROR(__xludf.DUMMYFUNCTION("""COMPUTED_VALUE"""),"Outside on School Property")</f>
        <v>Outside on School Property</v>
      </c>
      <c r="R510" s="5" t="str">
        <f ca="1">IFERROR(__xludf.DUMMYFUNCTION("""COMPUTED_VALUE"""),"No")</f>
        <v>No</v>
      </c>
      <c r="S510" s="5" t="str">
        <f ca="1">IFERROR(__xludf.DUMMYFUNCTION("""COMPUTED_VALUE"""),"Not a School Day")</f>
        <v>Not a School Day</v>
      </c>
      <c r="T510" s="10">
        <f ca="1">IFERROR(__xludf.DUMMYFUNCTION("""COMPUTED_VALUE"""),0.690972222222222)</f>
        <v>0.69097222222222199</v>
      </c>
      <c r="U510" s="5">
        <f ca="1">IFERROR(__xludf.DUMMYFUNCTION("""COMPUTED_VALUE"""),1)</f>
        <v>1</v>
      </c>
      <c r="V510" s="5" t="str">
        <f ca="1">IFERROR(__xludf.DUMMYFUNCTION("""COMPUTED_VALUE"""),"Adult male fired shot from vehicle at 4 people")</f>
        <v>Adult male fired shot from vehicle at 4 people</v>
      </c>
      <c r="W510"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X510" s="5" t="str">
        <f ca="1">IFERROR(__xludf.DUMMYFUNCTION("""COMPUTED_VALUE"""),"Drive-by Shooting")</f>
        <v>Drive-by Shooting</v>
      </c>
      <c r="Y510" s="5"/>
      <c r="Z510" s="5" t="str">
        <f ca="1">IFERROR(__xludf.DUMMYFUNCTION("""COMPUTED_VALUE"""),"Yes")</f>
        <v>Yes</v>
      </c>
      <c r="AA510" s="5" t="str">
        <f ca="1">IFERROR(__xludf.DUMMYFUNCTION("""COMPUTED_VALUE"""),"Unnamed driver charged")</f>
        <v>Unnamed driver charged</v>
      </c>
      <c r="AB510" s="5" t="str">
        <f ca="1">IFERROR(__xludf.DUMMYFUNCTION("""COMPUTED_VALUE"""),"No")</f>
        <v>No</v>
      </c>
      <c r="AC510" s="5" t="str">
        <f ca="1">IFERROR(__xludf.DUMMYFUNCTION("""COMPUTED_VALUE"""),"No")</f>
        <v>No</v>
      </c>
      <c r="AD510" s="5" t="str">
        <f ca="1">IFERROR(__xludf.DUMMYFUNCTION("""COMPUTED_VALUE"""),"No")</f>
        <v>No</v>
      </c>
      <c r="AE510" s="5" t="str">
        <f ca="1">IFERROR(__xludf.DUMMYFUNCTION("""COMPUTED_VALUE"""),"No")</f>
        <v>No</v>
      </c>
      <c r="AF510" s="5" t="str">
        <f ca="1">IFERROR(__xludf.DUMMYFUNCTION("""COMPUTED_VALUE"""),"No")</f>
        <v>No</v>
      </c>
      <c r="AG510" s="5" t="str">
        <f ca="1">IFERROR(__xludf.DUMMYFUNCTION("""COMPUTED_VALUE"""),"Yes")</f>
        <v>Yes</v>
      </c>
      <c r="AH510" s="5" t="str">
        <f ca="1">IFERROR(__xludf.DUMMYFUNCTION("""COMPUTED_VALUE"""),"No")</f>
        <v>No</v>
      </c>
    </row>
    <row r="511" spans="1:34" ht="12.75">
      <c r="A511" s="5" t="str">
        <f ca="1">IFERROR(__xludf.DUMMYFUNCTION("""COMPUTED_VALUE"""),"20200630OHLAW")</f>
        <v>20200630OHLAW</v>
      </c>
      <c r="B511" s="8">
        <f ca="1">IFERROR(__xludf.DUMMYFUNCTION("""COMPUTED_VALUE"""),44012)</f>
        <v>44012</v>
      </c>
      <c r="C511" s="5" t="str">
        <f ca="1">IFERROR(__xludf.DUMMYFUNCTION("""COMPUTED_VALUE"""),"Lakota Career Readiness Academy")</f>
        <v>Lakota Career Readiness Academy</v>
      </c>
      <c r="D511" s="5">
        <f ca="1">IFERROR(__xludf.DUMMYFUNCTION("""COMPUTED_VALUE"""),0)</f>
        <v>0</v>
      </c>
      <c r="E511" s="5">
        <f ca="1">IFERROR(__xludf.DUMMYFUNCTION("""COMPUTED_VALUE"""),0)</f>
        <v>0</v>
      </c>
      <c r="F511" s="5">
        <f ca="1">IFERROR(__xludf.DUMMYFUNCTION("""COMPUTED_VALUE"""),0)</f>
        <v>0</v>
      </c>
      <c r="G511" s="5">
        <f ca="1">IFERROR(__xludf.DUMMYFUNCTION("""COMPUTED_VALUE"""),0)</f>
        <v>0</v>
      </c>
      <c r="H511"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I511" s="5">
        <f ca="1">IFERROR(__xludf.DUMMYFUNCTION("""COMPUTED_VALUE"""),3)</f>
        <v>3</v>
      </c>
      <c r="J511" s="5" t="str">
        <f ca="1">IFERROR(__xludf.DUMMYFUNCTION("""COMPUTED_VALUE"""),"Local")</f>
        <v>Local</v>
      </c>
      <c r="K511" s="5">
        <f ca="1">IFERROR(__xludf.DUMMYFUNCTION("""COMPUTED_VALUE"""),4)</f>
        <v>4</v>
      </c>
      <c r="L511" s="5" t="str">
        <f ca="1">IFERROR(__xludf.DUMMYFUNCTION("""COMPUTED_VALUE"""),"Summer")</f>
        <v>Summer</v>
      </c>
      <c r="M511" s="5" t="str">
        <f ca="1">IFERROR(__xludf.DUMMYFUNCTION("""COMPUTED_VALUE"""),"West Chester Township")</f>
        <v>West Chester Township</v>
      </c>
      <c r="N511" s="5" t="str">
        <f ca="1">IFERROR(__xludf.DUMMYFUNCTION("""COMPUTED_VALUE"""),"OH")</f>
        <v>OH</v>
      </c>
      <c r="O511" s="5" t="str">
        <f ca="1">IFERROR(__xludf.DUMMYFUNCTION("""COMPUTED_VALUE"""),"K-12")</f>
        <v>K-12</v>
      </c>
      <c r="P511" s="5" t="str">
        <f ca="1">IFERROR(__xludf.DUMMYFUNCTION("""COMPUTED_VALUE"""),"Front of School")</f>
        <v>Front of School</v>
      </c>
      <c r="Q511" s="5" t="str">
        <f ca="1">IFERROR(__xludf.DUMMYFUNCTION("""COMPUTED_VALUE"""),"Outside on School Property")</f>
        <v>Outside on School Property</v>
      </c>
      <c r="R511" s="5" t="str">
        <f ca="1">IFERROR(__xludf.DUMMYFUNCTION("""COMPUTED_VALUE"""),"No")</f>
        <v>No</v>
      </c>
      <c r="S511" s="5" t="str">
        <f ca="1">IFERROR(__xludf.DUMMYFUNCTION("""COMPUTED_VALUE"""),"Before School")</f>
        <v>Before School</v>
      </c>
      <c r="T511" s="5"/>
      <c r="U511" s="5"/>
      <c r="V511" s="5" t="str">
        <f ca="1">IFERROR(__xludf.DUMMYFUNCTION("""COMPUTED_VALUE"""),"Adult male with AK-47 shot the front glass doors of the school")</f>
        <v>Adult male with AK-47 shot the front glass doors of the school</v>
      </c>
      <c r="W511"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X511" s="5" t="str">
        <f ca="1">IFERROR(__xludf.DUMMYFUNCTION("""COMPUTED_VALUE"""),"Intentional Property Damage")</f>
        <v>Intentional Property Damage</v>
      </c>
      <c r="Y511" s="5" t="str">
        <f ca="1">IFERROR(__xludf.DUMMYFUNCTION("""COMPUTED_VALUE"""),"Neither")</f>
        <v>Neither</v>
      </c>
      <c r="Z511" s="5" t="str">
        <f ca="1">IFERROR(__xludf.DUMMYFUNCTION("""COMPUTED_VALUE"""),"No")</f>
        <v>No</v>
      </c>
      <c r="AA511" s="5"/>
      <c r="AB511" s="5" t="str">
        <f ca="1">IFERROR(__xludf.DUMMYFUNCTION("""COMPUTED_VALUE"""),"No")</f>
        <v>No</v>
      </c>
      <c r="AC511" s="5" t="str">
        <f ca="1">IFERROR(__xludf.DUMMYFUNCTION("""COMPUTED_VALUE"""),"No")</f>
        <v>No</v>
      </c>
      <c r="AD511" s="5" t="str">
        <f ca="1">IFERROR(__xludf.DUMMYFUNCTION("""COMPUTED_VALUE"""),"No")</f>
        <v>No</v>
      </c>
      <c r="AE511" s="5" t="str">
        <f ca="1">IFERROR(__xludf.DUMMYFUNCTION("""COMPUTED_VALUE"""),"No")</f>
        <v>No</v>
      </c>
      <c r="AF511" s="5" t="str">
        <f ca="1">IFERROR(__xludf.DUMMYFUNCTION("""COMPUTED_VALUE"""),"No")</f>
        <v>No</v>
      </c>
      <c r="AG511" s="5" t="str">
        <f ca="1">IFERROR(__xludf.DUMMYFUNCTION("""COMPUTED_VALUE"""),"No")</f>
        <v>No</v>
      </c>
      <c r="AH511" s="5" t="str">
        <f ca="1">IFERROR(__xludf.DUMMYFUNCTION("""COMPUTED_VALUE"""),"No")</f>
        <v>No</v>
      </c>
    </row>
    <row r="512" spans="1:34" ht="12.75">
      <c r="A512" s="5" t="str">
        <f ca="1">IFERROR(__xludf.DUMMYFUNCTION("""COMPUTED_VALUE"""),"20200627VAHAS")</f>
        <v>20200627VAHAS</v>
      </c>
      <c r="B512" s="8">
        <f ca="1">IFERROR(__xludf.DUMMYFUNCTION("""COMPUTED_VALUE"""),44009)</f>
        <v>44009</v>
      </c>
      <c r="C512" s="5" t="str">
        <f ca="1">IFERROR(__xludf.DUMMYFUNCTION("""COMPUTED_VALUE"""),"Halifax County Middle School")</f>
        <v>Halifax County Middle School</v>
      </c>
      <c r="D512" s="5">
        <f ca="1">IFERROR(__xludf.DUMMYFUNCTION("""COMPUTED_VALUE"""),0)</f>
        <v>0</v>
      </c>
      <c r="E512" s="5">
        <f ca="1">IFERROR(__xludf.DUMMYFUNCTION("""COMPUTED_VALUE"""),0)</f>
        <v>0</v>
      </c>
      <c r="F512" s="5">
        <f ca="1">IFERROR(__xludf.DUMMYFUNCTION("""COMPUTED_VALUE"""),0)</f>
        <v>0</v>
      </c>
      <c r="G512" s="5">
        <f ca="1">IFERROR(__xludf.DUMMYFUNCTION("""COMPUTED_VALUE"""),0)</f>
        <v>0</v>
      </c>
      <c r="H512"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I512" s="5">
        <f ca="1">IFERROR(__xludf.DUMMYFUNCTION("""COMPUTED_VALUE"""),2)</f>
        <v>2</v>
      </c>
      <c r="J512" s="5" t="str">
        <f ca="1">IFERROR(__xludf.DUMMYFUNCTION("""COMPUTED_VALUE"""),"Local")</f>
        <v>Local</v>
      </c>
      <c r="K512" s="5">
        <f ca="1">IFERROR(__xludf.DUMMYFUNCTION("""COMPUTED_VALUE"""),4)</f>
        <v>4</v>
      </c>
      <c r="L512" s="5" t="str">
        <f ca="1">IFERROR(__xludf.DUMMYFUNCTION("""COMPUTED_VALUE"""),"Summer")</f>
        <v>Summer</v>
      </c>
      <c r="M512" s="5" t="str">
        <f ca="1">IFERROR(__xludf.DUMMYFUNCTION("""COMPUTED_VALUE"""),"South Boston")</f>
        <v>South Boston</v>
      </c>
      <c r="N512" s="5" t="str">
        <f ca="1">IFERROR(__xludf.DUMMYFUNCTION("""COMPUTED_VALUE"""),"VA")</f>
        <v>VA</v>
      </c>
      <c r="O512" s="5" t="str">
        <f ca="1">IFERROR(__xludf.DUMMYFUNCTION("""COMPUTED_VALUE"""),"Middle")</f>
        <v>Middle</v>
      </c>
      <c r="P512" s="5" t="str">
        <f ca="1">IFERROR(__xludf.DUMMYFUNCTION("""COMPUTED_VALUE"""),"Football Field/Track")</f>
        <v>Football Field/Track</v>
      </c>
      <c r="Q512" s="5" t="str">
        <f ca="1">IFERROR(__xludf.DUMMYFUNCTION("""COMPUTED_VALUE"""),"Outside on School Property")</f>
        <v>Outside on School Property</v>
      </c>
      <c r="R512" s="5" t="str">
        <f ca="1">IFERROR(__xludf.DUMMYFUNCTION("""COMPUTED_VALUE"""),"No")</f>
        <v>No</v>
      </c>
      <c r="S512" s="5" t="str">
        <f ca="1">IFERROR(__xludf.DUMMYFUNCTION("""COMPUTED_VALUE"""),"Night")</f>
        <v>Night</v>
      </c>
      <c r="T512" s="10">
        <f ca="1">IFERROR(__xludf.DUMMYFUNCTION("""COMPUTED_VALUE"""),0.916666666666666)</f>
        <v>0.91666666666666596</v>
      </c>
      <c r="U512" s="5">
        <f ca="1">IFERROR(__xludf.DUMMYFUNCTION("""COMPUTED_VALUE"""),1)</f>
        <v>1</v>
      </c>
      <c r="V512" s="5" t="str">
        <f ca="1">IFERROR(__xludf.DUMMYFUNCTION("""COMPUTED_VALUE"""),"Teen fired shot during large fight between multiple teens and adults on school football field")</f>
        <v>Teen fired shot during large fight between multiple teens and adults on school football field</v>
      </c>
      <c r="W512"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X512" s="5" t="str">
        <f ca="1">IFERROR(__xludf.DUMMYFUNCTION("""COMPUTED_VALUE"""),"Escalation of Dispute")</f>
        <v>Escalation of Dispute</v>
      </c>
      <c r="Y512" s="5"/>
      <c r="Z512" s="5" t="str">
        <f ca="1">IFERROR(__xludf.DUMMYFUNCTION("""COMPUTED_VALUE"""),"No")</f>
        <v>No</v>
      </c>
      <c r="AA512" s="5"/>
      <c r="AB512" s="5" t="str">
        <f ca="1">IFERROR(__xludf.DUMMYFUNCTION("""COMPUTED_VALUE"""),"No")</f>
        <v>No</v>
      </c>
      <c r="AC512" s="5" t="str">
        <f ca="1">IFERROR(__xludf.DUMMYFUNCTION("""COMPUTED_VALUE"""),"No")</f>
        <v>No</v>
      </c>
      <c r="AD512" s="5" t="str">
        <f ca="1">IFERROR(__xludf.DUMMYFUNCTION("""COMPUTED_VALUE"""),"No")</f>
        <v>No</v>
      </c>
      <c r="AE512" s="5" t="str">
        <f ca="1">IFERROR(__xludf.DUMMYFUNCTION("""COMPUTED_VALUE"""),"No")</f>
        <v>No</v>
      </c>
      <c r="AF512" s="5" t="str">
        <f ca="1">IFERROR(__xludf.DUMMYFUNCTION("""COMPUTED_VALUE"""),"No")</f>
        <v>No</v>
      </c>
      <c r="AG512" s="5"/>
      <c r="AH512" s="5" t="str">
        <f ca="1">IFERROR(__xludf.DUMMYFUNCTION("""COMPUTED_VALUE"""),"No")</f>
        <v>No</v>
      </c>
    </row>
    <row r="513" spans="1:34" ht="12.75">
      <c r="A513" s="5" t="str">
        <f ca="1">IFERROR(__xludf.DUMMYFUNCTION("""COMPUTED_VALUE"""),"20200621INCOC")</f>
        <v>20200621INCOC</v>
      </c>
      <c r="B513" s="8">
        <f ca="1">IFERROR(__xludf.DUMMYFUNCTION("""COMPUTED_VALUE"""),44003)</f>
        <v>44003</v>
      </c>
      <c r="C513" s="5" t="str">
        <f ca="1">IFERROR(__xludf.DUMMYFUNCTION("""COMPUTED_VALUE"""),"Columbus East High School")</f>
        <v>Columbus East High School</v>
      </c>
      <c r="D513" s="5">
        <f ca="1">IFERROR(__xludf.DUMMYFUNCTION("""COMPUTED_VALUE"""),0)</f>
        <v>0</v>
      </c>
      <c r="E513" s="5">
        <f ca="1">IFERROR(__xludf.DUMMYFUNCTION("""COMPUTED_VALUE"""),0)</f>
        <v>0</v>
      </c>
      <c r="F513" s="5">
        <f ca="1">IFERROR(__xludf.DUMMYFUNCTION("""COMPUTED_VALUE"""),0)</f>
        <v>0</v>
      </c>
      <c r="G513" s="5">
        <f ca="1">IFERROR(__xludf.DUMMYFUNCTION("""COMPUTED_VALUE"""),0)</f>
        <v>0</v>
      </c>
      <c r="H513"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I513" s="5">
        <f ca="1">IFERROR(__xludf.DUMMYFUNCTION("""COMPUTED_VALUE"""),3)</f>
        <v>3</v>
      </c>
      <c r="J513" s="5" t="str">
        <f ca="1">IFERROR(__xludf.DUMMYFUNCTION("""COMPUTED_VALUE"""),"Local")</f>
        <v>Local</v>
      </c>
      <c r="K513" s="5">
        <f ca="1">IFERROR(__xludf.DUMMYFUNCTION("""COMPUTED_VALUE"""),4)</f>
        <v>4</v>
      </c>
      <c r="L513" s="5" t="str">
        <f ca="1">IFERROR(__xludf.DUMMYFUNCTION("""COMPUTED_VALUE"""),"Summer")</f>
        <v>Summer</v>
      </c>
      <c r="M513" s="5" t="str">
        <f ca="1">IFERROR(__xludf.DUMMYFUNCTION("""COMPUTED_VALUE"""),"Columbus")</f>
        <v>Columbus</v>
      </c>
      <c r="N513" s="5" t="str">
        <f ca="1">IFERROR(__xludf.DUMMYFUNCTION("""COMPUTED_VALUE"""),"IN")</f>
        <v>IN</v>
      </c>
      <c r="O513" s="5" t="str">
        <f ca="1">IFERROR(__xludf.DUMMYFUNCTION("""COMPUTED_VALUE"""),"High")</f>
        <v>High</v>
      </c>
      <c r="P513" s="5" t="str">
        <f ca="1">IFERROR(__xludf.DUMMYFUNCTION("""COMPUTED_VALUE"""),"Beside Building")</f>
        <v>Beside Building</v>
      </c>
      <c r="Q513" s="5" t="str">
        <f ca="1">IFERROR(__xludf.DUMMYFUNCTION("""COMPUTED_VALUE"""),"Outside on School Property")</f>
        <v>Outside on School Property</v>
      </c>
      <c r="R513" s="5" t="str">
        <f ca="1">IFERROR(__xludf.DUMMYFUNCTION("""COMPUTED_VALUE"""),"No")</f>
        <v>No</v>
      </c>
      <c r="S513" s="5" t="str">
        <f ca="1">IFERROR(__xludf.DUMMYFUNCTION("""COMPUTED_VALUE"""),"Night")</f>
        <v>Night</v>
      </c>
      <c r="T513" s="10">
        <f ca="1">IFERROR(__xludf.DUMMYFUNCTION("""COMPUTED_VALUE"""),0.229166666666666)</f>
        <v>0.22916666666666599</v>
      </c>
      <c r="U513" s="5">
        <f ca="1">IFERROR(__xludf.DUMMYFUNCTION("""COMPUTED_VALUE"""),1)</f>
        <v>1</v>
      </c>
      <c r="V513" s="5" t="str">
        <f ca="1">IFERROR(__xludf.DUMMYFUNCTION("""COMPUTED_VALUE"""),"Three teen males fired a stolen handgun at the school building damaging windows.")</f>
        <v>Three teen males fired a stolen handgun at the school building damaging windows.</v>
      </c>
      <c r="W513"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X513" s="5" t="str">
        <f ca="1">IFERROR(__xludf.DUMMYFUNCTION("""COMPUTED_VALUE"""),"Intentional Property Damage")</f>
        <v>Intentional Property Damage</v>
      </c>
      <c r="Y513" s="5" t="str">
        <f ca="1">IFERROR(__xludf.DUMMYFUNCTION("""COMPUTED_VALUE"""),"Neither")</f>
        <v>Neither</v>
      </c>
      <c r="Z513" s="5" t="str">
        <f ca="1">IFERROR(__xludf.DUMMYFUNCTION("""COMPUTED_VALUE"""),"Yes")</f>
        <v>Yes</v>
      </c>
      <c r="AA513" s="5" t="str">
        <f ca="1">IFERROR(__xludf.DUMMYFUNCTION("""COMPUTED_VALUE"""),"3 teens")</f>
        <v>3 teens</v>
      </c>
      <c r="AB513" s="5" t="str">
        <f ca="1">IFERROR(__xludf.DUMMYFUNCTION("""COMPUTED_VALUE"""),"No")</f>
        <v>No</v>
      </c>
      <c r="AC513" s="5" t="str">
        <f ca="1">IFERROR(__xludf.DUMMYFUNCTION("""COMPUTED_VALUE"""),"No")</f>
        <v>No</v>
      </c>
      <c r="AD513" s="5" t="str">
        <f ca="1">IFERROR(__xludf.DUMMYFUNCTION("""COMPUTED_VALUE"""),"No")</f>
        <v>No</v>
      </c>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row>
    <row r="514" spans="1:34" ht="12.75">
      <c r="A514" s="5" t="str">
        <f ca="1">IFERROR(__xludf.DUMMYFUNCTION("""COMPUTED_VALUE"""),"20200618INJOI")</f>
        <v>20200618INJOI</v>
      </c>
      <c r="B514" s="8">
        <f ca="1">IFERROR(__xludf.DUMMYFUNCTION("""COMPUTED_VALUE"""),44000)</f>
        <v>44000</v>
      </c>
      <c r="C514" s="5" t="str">
        <f ca="1">IFERROR(__xludf.DUMMYFUNCTION("""COMPUTED_VALUE"""),"Joyce Kilmer School 69")</f>
        <v>Joyce Kilmer School 69</v>
      </c>
      <c r="D514" s="5">
        <f ca="1">IFERROR(__xludf.DUMMYFUNCTION("""COMPUTED_VALUE"""),0)</f>
        <v>0</v>
      </c>
      <c r="E514" s="5">
        <f ca="1">IFERROR(__xludf.DUMMYFUNCTION("""COMPUTED_VALUE"""),0)</f>
        <v>0</v>
      </c>
      <c r="F514" s="5">
        <f ca="1">IFERROR(__xludf.DUMMYFUNCTION("""COMPUTED_VALUE"""),0)</f>
        <v>0</v>
      </c>
      <c r="G514" s="5">
        <f ca="1">IFERROR(__xludf.DUMMYFUNCTION("""COMPUTED_VALUE"""),0)</f>
        <v>0</v>
      </c>
      <c r="H514"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I514" s="5">
        <f ca="1">IFERROR(__xludf.DUMMYFUNCTION("""COMPUTED_VALUE"""),2)</f>
        <v>2</v>
      </c>
      <c r="J514" s="5" t="str">
        <f ca="1">IFERROR(__xludf.DUMMYFUNCTION("""COMPUTED_VALUE"""),"Local")</f>
        <v>Local</v>
      </c>
      <c r="K514" s="5">
        <f ca="1">IFERROR(__xludf.DUMMYFUNCTION("""COMPUTED_VALUE"""),4)</f>
        <v>4</v>
      </c>
      <c r="L514" s="5" t="str">
        <f ca="1">IFERROR(__xludf.DUMMYFUNCTION("""COMPUTED_VALUE"""),"Summer")</f>
        <v>Summer</v>
      </c>
      <c r="M514" s="5" t="str">
        <f ca="1">IFERROR(__xludf.DUMMYFUNCTION("""COMPUTED_VALUE"""),"Indianapolis")</f>
        <v>Indianapolis</v>
      </c>
      <c r="N514" s="5" t="str">
        <f ca="1">IFERROR(__xludf.DUMMYFUNCTION("""COMPUTED_VALUE"""),"IN")</f>
        <v>IN</v>
      </c>
      <c r="O514" s="5" t="str">
        <f ca="1">IFERROR(__xludf.DUMMYFUNCTION("""COMPUTED_VALUE"""),"Elementary")</f>
        <v>Elementary</v>
      </c>
      <c r="P514" s="5" t="str">
        <f ca="1">IFERROR(__xludf.DUMMYFUNCTION("""COMPUTED_VALUE"""),"Beside Building")</f>
        <v>Beside Building</v>
      </c>
      <c r="Q514" s="5" t="str">
        <f ca="1">IFERROR(__xludf.DUMMYFUNCTION("""COMPUTED_VALUE"""),"Outside on School Property")</f>
        <v>Outside on School Property</v>
      </c>
      <c r="R514" s="5" t="str">
        <f ca="1">IFERROR(__xludf.DUMMYFUNCTION("""COMPUTED_VALUE"""),"No")</f>
        <v>No</v>
      </c>
      <c r="S514" s="5" t="str">
        <f ca="1">IFERROR(__xludf.DUMMYFUNCTION("""COMPUTED_VALUE"""),"Night")</f>
        <v>Night</v>
      </c>
      <c r="T514" s="10">
        <f ca="1">IFERROR(__xludf.DUMMYFUNCTION("""COMPUTED_VALUE"""),0.0625)</f>
        <v>6.25E-2</v>
      </c>
      <c r="U514" s="5">
        <f ca="1">IFERROR(__xludf.DUMMYFUNCTION("""COMPUTED_VALUE"""),1)</f>
        <v>1</v>
      </c>
      <c r="V514" s="5" t="str">
        <f ca="1">IFERROR(__xludf.DUMMYFUNCTION("""COMPUTED_VALUE"""),"Adult male found dead next to school")</f>
        <v>Adult male found dead next to school</v>
      </c>
      <c r="W514"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X514" s="5" t="str">
        <f ca="1">IFERROR(__xludf.DUMMYFUNCTION("""COMPUTED_VALUE"""),"Illegal Activity")</f>
        <v>Illegal Activity</v>
      </c>
      <c r="Y514" s="5"/>
      <c r="Z514" s="5"/>
      <c r="AA514" s="5"/>
      <c r="AB514" s="5" t="str">
        <f ca="1">IFERROR(__xludf.DUMMYFUNCTION("""COMPUTED_VALUE"""),"No")</f>
        <v>No</v>
      </c>
      <c r="AC514" s="5" t="str">
        <f ca="1">IFERROR(__xludf.DUMMYFUNCTION("""COMPUTED_VALUE"""),"No")</f>
        <v>No</v>
      </c>
      <c r="AD514" s="5" t="str">
        <f ca="1">IFERROR(__xludf.DUMMYFUNCTION("""COMPUTED_VALUE"""),"No")</f>
        <v>No</v>
      </c>
      <c r="AE514" s="5" t="str">
        <f ca="1">IFERROR(__xludf.DUMMYFUNCTION("""COMPUTED_VALUE"""),"No")</f>
        <v>No</v>
      </c>
      <c r="AF514" s="5" t="str">
        <f ca="1">IFERROR(__xludf.DUMMYFUNCTION("""COMPUTED_VALUE"""),"No")</f>
        <v>No</v>
      </c>
      <c r="AG514" s="5"/>
      <c r="AH514" s="5" t="str">
        <f ca="1">IFERROR(__xludf.DUMMYFUNCTION("""COMPUTED_VALUE"""),"No")</f>
        <v>No</v>
      </c>
    </row>
    <row r="515" spans="1:34" ht="12.75">
      <c r="A515" s="5" t="str">
        <f ca="1">IFERROR(__xludf.DUMMYFUNCTION("""COMPUTED_VALUE"""),"20200616FLTOM")</f>
        <v>20200616FLTOM</v>
      </c>
      <c r="B515" s="8">
        <f ca="1">IFERROR(__xludf.DUMMYFUNCTION("""COMPUTED_VALUE"""),43998)</f>
        <v>43998</v>
      </c>
      <c r="C515" s="5" t="str">
        <f ca="1">IFERROR(__xludf.DUMMYFUNCTION("""COMPUTED_VALUE"""),"Touissant Louverture Elementary School")</f>
        <v>Touissant Louverture Elementary School</v>
      </c>
      <c r="D515" s="5">
        <f ca="1">IFERROR(__xludf.DUMMYFUNCTION("""COMPUTED_VALUE"""),0)</f>
        <v>0</v>
      </c>
      <c r="E515" s="5">
        <f ca="1">IFERROR(__xludf.DUMMYFUNCTION("""COMPUTED_VALUE"""),1)</f>
        <v>1</v>
      </c>
      <c r="F515" s="5">
        <f ca="1">IFERROR(__xludf.DUMMYFUNCTION("""COMPUTED_VALUE"""),1)</f>
        <v>1</v>
      </c>
      <c r="G515" s="5">
        <f ca="1">IFERROR(__xludf.DUMMYFUNCTION("""COMPUTED_VALUE"""),0)</f>
        <v>0</v>
      </c>
      <c r="H515"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I515" s="5">
        <f ca="1">IFERROR(__xludf.DUMMYFUNCTION("""COMPUTED_VALUE"""),2)</f>
        <v>2</v>
      </c>
      <c r="J515" s="5" t="str">
        <f ca="1">IFERROR(__xludf.DUMMYFUNCTION("""COMPUTED_VALUE"""),"Local")</f>
        <v>Local</v>
      </c>
      <c r="K515" s="5">
        <f ca="1">IFERROR(__xludf.DUMMYFUNCTION("""COMPUTED_VALUE"""),4)</f>
        <v>4</v>
      </c>
      <c r="L515" s="5" t="str">
        <f ca="1">IFERROR(__xludf.DUMMYFUNCTION("""COMPUTED_VALUE"""),"Summer")</f>
        <v>Summer</v>
      </c>
      <c r="M515" s="5" t="str">
        <f ca="1">IFERROR(__xludf.DUMMYFUNCTION("""COMPUTED_VALUE"""),"Miami")</f>
        <v>Miami</v>
      </c>
      <c r="N515" s="5" t="str">
        <f ca="1">IFERROR(__xludf.DUMMYFUNCTION("""COMPUTED_VALUE"""),"FL")</f>
        <v>FL</v>
      </c>
      <c r="O515" s="5" t="str">
        <f ca="1">IFERROR(__xludf.DUMMYFUNCTION("""COMPUTED_VALUE"""),"Elementary")</f>
        <v>Elementary</v>
      </c>
      <c r="P515" s="5" t="str">
        <f ca="1">IFERROR(__xludf.DUMMYFUNCTION("""COMPUTED_VALUE"""),"Front of School")</f>
        <v>Front of School</v>
      </c>
      <c r="Q515" s="5" t="str">
        <f ca="1">IFERROR(__xludf.DUMMYFUNCTION("""COMPUTED_VALUE"""),"Off School Property")</f>
        <v>Off School Property</v>
      </c>
      <c r="R515" s="5" t="str">
        <f ca="1">IFERROR(__xludf.DUMMYFUNCTION("""COMPUTED_VALUE"""),"No")</f>
        <v>No</v>
      </c>
      <c r="S515" s="5" t="str">
        <f ca="1">IFERROR(__xludf.DUMMYFUNCTION("""COMPUTED_VALUE"""),"Night")</f>
        <v>Night</v>
      </c>
      <c r="T515" s="10">
        <f ca="1">IFERROR(__xludf.DUMMYFUNCTION("""COMPUTED_VALUE"""),0.96875)</f>
        <v>0.96875</v>
      </c>
      <c r="U515" s="5">
        <f ca="1">IFERROR(__xludf.DUMMYFUNCTION("""COMPUTED_VALUE"""),1)</f>
        <v>1</v>
      </c>
      <c r="V515" s="5" t="str">
        <f ca="1">IFERROR(__xludf.DUMMYFUNCTION("""COMPUTED_VALUE"""),"Shots fired during a drive-by struck the school building")</f>
        <v>Shots fired during a drive-by struck the school building</v>
      </c>
      <c r="W515"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X515" s="5" t="str">
        <f ca="1">IFERROR(__xludf.DUMMYFUNCTION("""COMPUTED_VALUE"""),"Drive-by Shooting")</f>
        <v>Drive-by Shooting</v>
      </c>
      <c r="Y515" s="5"/>
      <c r="Z515" s="5"/>
      <c r="AA515" s="5"/>
      <c r="AB515" s="5" t="str">
        <f ca="1">IFERROR(__xludf.DUMMYFUNCTION("""COMPUTED_VALUE"""),"No")</f>
        <v>No</v>
      </c>
      <c r="AC515" s="5" t="str">
        <f ca="1">IFERROR(__xludf.DUMMYFUNCTION("""COMPUTED_VALUE"""),"No")</f>
        <v>No</v>
      </c>
      <c r="AD515" s="5" t="str">
        <f ca="1">IFERROR(__xludf.DUMMYFUNCTION("""COMPUTED_VALUE"""),"No")</f>
        <v>No</v>
      </c>
      <c r="AE515" s="5" t="str">
        <f ca="1">IFERROR(__xludf.DUMMYFUNCTION("""COMPUTED_VALUE"""),"No")</f>
        <v>No</v>
      </c>
      <c r="AF515" s="5" t="str">
        <f ca="1">IFERROR(__xludf.DUMMYFUNCTION("""COMPUTED_VALUE"""),"No")</f>
        <v>No</v>
      </c>
      <c r="AG515" s="5" t="str">
        <f ca="1">IFERROR(__xludf.DUMMYFUNCTION("""COMPUTED_VALUE"""),"Yes")</f>
        <v>Yes</v>
      </c>
      <c r="AH515" s="5" t="str">
        <f ca="1">IFERROR(__xludf.DUMMYFUNCTION("""COMPUTED_VALUE"""),"No")</f>
        <v>No</v>
      </c>
    </row>
    <row r="516" spans="1:34" ht="12.75">
      <c r="A516" s="5" t="str">
        <f ca="1">IFERROR(__xludf.DUMMYFUNCTION("""COMPUTED_VALUE"""),"20200603IAGAD")</f>
        <v>20200603IAGAD</v>
      </c>
      <c r="B516" s="8">
        <f ca="1">IFERROR(__xludf.DUMMYFUNCTION("""COMPUTED_VALUE"""),43985)</f>
        <v>43985</v>
      </c>
      <c r="C516" s="5" t="str">
        <f ca="1">IFERROR(__xludf.DUMMYFUNCTION("""COMPUTED_VALUE"""),"Garfield Elementary School")</f>
        <v>Garfield Elementary School</v>
      </c>
      <c r="D516" s="5">
        <f ca="1">IFERROR(__xludf.DUMMYFUNCTION("""COMPUTED_VALUE"""),0)</f>
        <v>0</v>
      </c>
      <c r="E516" s="5">
        <f ca="1">IFERROR(__xludf.DUMMYFUNCTION("""COMPUTED_VALUE"""),1)</f>
        <v>1</v>
      </c>
      <c r="F516" s="5">
        <f ca="1">IFERROR(__xludf.DUMMYFUNCTION("""COMPUTED_VALUE"""),1)</f>
        <v>1</v>
      </c>
      <c r="G516" s="5">
        <f ca="1">IFERROR(__xludf.DUMMYFUNCTION("""COMPUTED_VALUE"""),0)</f>
        <v>0</v>
      </c>
      <c r="H516"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I516" s="5"/>
      <c r="J516" s="5"/>
      <c r="K516" s="5">
        <f ca="1">IFERROR(__xludf.DUMMYFUNCTION("""COMPUTED_VALUE"""),4)</f>
        <v>4</v>
      </c>
      <c r="L516" s="5" t="str">
        <f ca="1">IFERROR(__xludf.DUMMYFUNCTION("""COMPUTED_VALUE"""),"Summer")</f>
        <v>Summer</v>
      </c>
      <c r="M516" s="5" t="str">
        <f ca="1">IFERROR(__xludf.DUMMYFUNCTION("""COMPUTED_VALUE"""),"Davenport")</f>
        <v>Davenport</v>
      </c>
      <c r="N516" s="5" t="str">
        <f ca="1">IFERROR(__xludf.DUMMYFUNCTION("""COMPUTED_VALUE"""),"IA")</f>
        <v>IA</v>
      </c>
      <c r="O516" s="5" t="str">
        <f ca="1">IFERROR(__xludf.DUMMYFUNCTION("""COMPUTED_VALUE"""),"Elementary")</f>
        <v>Elementary</v>
      </c>
      <c r="P516" s="5" t="str">
        <f ca="1">IFERROR(__xludf.DUMMYFUNCTION("""COMPUTED_VALUE"""),"Front of School")</f>
        <v>Front of School</v>
      </c>
      <c r="Q516" s="5" t="str">
        <f ca="1">IFERROR(__xludf.DUMMYFUNCTION("""COMPUTED_VALUE"""),"Outside on School Property")</f>
        <v>Outside on School Property</v>
      </c>
      <c r="R516" s="5" t="str">
        <f ca="1">IFERROR(__xludf.DUMMYFUNCTION("""COMPUTED_VALUE"""),"No")</f>
        <v>No</v>
      </c>
      <c r="S516" s="5" t="str">
        <f ca="1">IFERROR(__xludf.DUMMYFUNCTION("""COMPUTED_VALUE"""),"Not a School Day")</f>
        <v>Not a School Day</v>
      </c>
      <c r="T516" s="10">
        <f ca="1">IFERROR(__xludf.DUMMYFUNCTION("""COMPUTED_VALUE"""),0.538194444444444)</f>
        <v>0.53819444444444398</v>
      </c>
      <c r="U516" s="5">
        <f ca="1">IFERROR(__xludf.DUMMYFUNCTION("""COMPUTED_VALUE"""),1)</f>
        <v>1</v>
      </c>
      <c r="V516" s="5" t="str">
        <f ca="1">IFERROR(__xludf.DUMMYFUNCTION("""COMPUTED_VALUE"""),"Adult male shot in front of school")</f>
        <v>Adult male shot in front of school</v>
      </c>
      <c r="W516"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X516" s="5" t="str">
        <f ca="1">IFERROR(__xludf.DUMMYFUNCTION("""COMPUTED_VALUE"""),"Drive-by Shooting")</f>
        <v>Drive-by Shooting</v>
      </c>
      <c r="Y516" s="5" t="str">
        <f ca="1">IFERROR(__xludf.DUMMYFUNCTION("""COMPUTED_VALUE"""),"Victims Targeted")</f>
        <v>Victims Targeted</v>
      </c>
      <c r="Z516" s="5"/>
      <c r="AA516" s="5"/>
      <c r="AB516" s="5" t="str">
        <f ca="1">IFERROR(__xludf.DUMMYFUNCTION("""COMPUTED_VALUE"""),"No")</f>
        <v>No</v>
      </c>
      <c r="AC516" s="5" t="str">
        <f ca="1">IFERROR(__xludf.DUMMYFUNCTION("""COMPUTED_VALUE"""),"No")</f>
        <v>No</v>
      </c>
      <c r="AD516" s="5" t="str">
        <f ca="1">IFERROR(__xludf.DUMMYFUNCTION("""COMPUTED_VALUE"""),"No")</f>
        <v>No</v>
      </c>
      <c r="AE516" s="5" t="str">
        <f ca="1">IFERROR(__xludf.DUMMYFUNCTION("""COMPUTED_VALUE"""),"No")</f>
        <v>No</v>
      </c>
      <c r="AF516" s="5" t="str">
        <f ca="1">IFERROR(__xludf.DUMMYFUNCTION("""COMPUTED_VALUE"""),"No")</f>
        <v>No</v>
      </c>
      <c r="AG516" s="5"/>
      <c r="AH516" s="5" t="str">
        <f ca="1">IFERROR(__xludf.DUMMYFUNCTION("""COMPUTED_VALUE"""),"No")</f>
        <v>No</v>
      </c>
    </row>
    <row r="517" spans="1:34" ht="12.75">
      <c r="A517" s="5" t="str">
        <f ca="1">IFERROR(__xludf.DUMMYFUNCTION("""COMPUTED_VALUE"""),"20200527OHLUC")</f>
        <v>20200527OHLUC</v>
      </c>
      <c r="B517" s="8">
        <f ca="1">IFERROR(__xludf.DUMMYFUNCTION("""COMPUTED_VALUE"""),43978)</f>
        <v>43978</v>
      </c>
      <c r="C517" s="5" t="str">
        <f ca="1">IFERROR(__xludf.DUMMYFUNCTION("""COMPUTED_VALUE"""),"Luis Munoz Marin Middle School")</f>
        <v>Luis Munoz Marin Middle School</v>
      </c>
      <c r="D517" s="5">
        <f ca="1">IFERROR(__xludf.DUMMYFUNCTION("""COMPUTED_VALUE"""),0)</f>
        <v>0</v>
      </c>
      <c r="E517" s="5">
        <f ca="1">IFERROR(__xludf.DUMMYFUNCTION("""COMPUTED_VALUE"""),0)</f>
        <v>0</v>
      </c>
      <c r="F517" s="5">
        <f ca="1">IFERROR(__xludf.DUMMYFUNCTION("""COMPUTED_VALUE"""),0)</f>
        <v>0</v>
      </c>
      <c r="G517" s="5">
        <f ca="1">IFERROR(__xludf.DUMMYFUNCTION("""COMPUTED_VALUE"""),1)</f>
        <v>1</v>
      </c>
      <c r="H517" s="9" t="str">
        <f ca="1">IFERROR(__xludf.DUMMYFUNCTION("""COMPUTED_VALUE"""),"https://www.cleveland.com/metro/2020/05/man-shot-to-death-in-school-parking-lot-in-clevelands-tremont-neighborhood.html")</f>
        <v>https://www.cleveland.com/metro/2020/05/man-shot-to-death-in-school-parking-lot-in-clevelands-tremont-neighborhood.html</v>
      </c>
      <c r="I517" s="5"/>
      <c r="J517" s="5"/>
      <c r="K517" s="5">
        <f ca="1">IFERROR(__xludf.DUMMYFUNCTION("""COMPUTED_VALUE"""),3)</f>
        <v>3</v>
      </c>
      <c r="L517" s="5" t="str">
        <f ca="1">IFERROR(__xludf.DUMMYFUNCTION("""COMPUTED_VALUE"""),"Spring")</f>
        <v>Spring</v>
      </c>
      <c r="M517" s="5" t="str">
        <f ca="1">IFERROR(__xludf.DUMMYFUNCTION("""COMPUTED_VALUE"""),"Cleveland")</f>
        <v>Cleveland</v>
      </c>
      <c r="N517" s="5" t="str">
        <f ca="1">IFERROR(__xludf.DUMMYFUNCTION("""COMPUTED_VALUE"""),"OH")</f>
        <v>OH</v>
      </c>
      <c r="O517" s="5" t="str">
        <f ca="1">IFERROR(__xludf.DUMMYFUNCTION("""COMPUTED_VALUE"""),"Middle")</f>
        <v>Middle</v>
      </c>
      <c r="P517" s="5" t="str">
        <f ca="1">IFERROR(__xludf.DUMMYFUNCTION("""COMPUTED_VALUE"""),"Parking Lot")</f>
        <v>Parking Lot</v>
      </c>
      <c r="Q517" s="5" t="str">
        <f ca="1">IFERROR(__xludf.DUMMYFUNCTION("""COMPUTED_VALUE"""),"Outside on School Property")</f>
        <v>Outside on School Property</v>
      </c>
      <c r="R517" s="5" t="str">
        <f ca="1">IFERROR(__xludf.DUMMYFUNCTION("""COMPUTED_VALUE"""),"No")</f>
        <v>No</v>
      </c>
      <c r="S517" s="5" t="str">
        <f ca="1">IFERROR(__xludf.DUMMYFUNCTION("""COMPUTED_VALUE"""),"Night")</f>
        <v>Night</v>
      </c>
      <c r="T517" s="10">
        <f ca="1">IFERROR(__xludf.DUMMYFUNCTION("""COMPUTED_VALUE"""),0.979166666666666)</f>
        <v>0.97916666666666596</v>
      </c>
      <c r="U517" s="5">
        <f ca="1">IFERROR(__xludf.DUMMYFUNCTION("""COMPUTED_VALUE"""),1)</f>
        <v>1</v>
      </c>
      <c r="V517" s="5" t="str">
        <f ca="1">IFERROR(__xludf.DUMMYFUNCTION("""COMPUTED_VALUE"""),"Two men shot each other during sale of handgun at school parking lot")</f>
        <v>Two men shot each other during sale of handgun at school parking lot</v>
      </c>
      <c r="W517"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X517" s="5" t="str">
        <f ca="1">IFERROR(__xludf.DUMMYFUNCTION("""COMPUTED_VALUE"""),"Illegal Activity")</f>
        <v>Illegal Activity</v>
      </c>
      <c r="Y517" s="5" t="str">
        <f ca="1">IFERROR(__xludf.DUMMYFUNCTION("""COMPUTED_VALUE"""),"Victims Targeted")</f>
        <v>Victims Targeted</v>
      </c>
      <c r="Z517" s="5" t="str">
        <f ca="1">IFERROR(__xludf.DUMMYFUNCTION("""COMPUTED_VALUE"""),"No")</f>
        <v>No</v>
      </c>
      <c r="AA517" s="5"/>
      <c r="AB517" s="5" t="str">
        <f ca="1">IFERROR(__xludf.DUMMYFUNCTION("""COMPUTED_VALUE"""),"No")</f>
        <v>No</v>
      </c>
      <c r="AC517" s="5" t="str">
        <f ca="1">IFERROR(__xludf.DUMMYFUNCTION("""COMPUTED_VALUE"""),"No")</f>
        <v>No</v>
      </c>
      <c r="AD517" s="5" t="str">
        <f ca="1">IFERROR(__xludf.DUMMYFUNCTION("""COMPUTED_VALUE"""),"No")</f>
        <v>No</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row>
    <row r="518" spans="1:34" ht="12.75">
      <c r="A518" s="5" t="str">
        <f ca="1">IFERROR(__xludf.DUMMYFUNCTION("""COMPUTED_VALUE"""),"20200525ALORM")</f>
        <v>20200525ALORM</v>
      </c>
      <c r="B518" s="8">
        <f ca="1">IFERROR(__xludf.DUMMYFUNCTION("""COMPUTED_VALUE"""),43976)</f>
        <v>43976</v>
      </c>
      <c r="C518" s="5" t="str">
        <f ca="1">IFERROR(__xludf.DUMMYFUNCTION("""COMPUTED_VALUE"""),"O Rourke Elementary School")</f>
        <v>O Rourke Elementary School</v>
      </c>
      <c r="D518" s="5">
        <f ca="1">IFERROR(__xludf.DUMMYFUNCTION("""COMPUTED_VALUE"""),0)</f>
        <v>0</v>
      </c>
      <c r="E518" s="5">
        <f ca="1">IFERROR(__xludf.DUMMYFUNCTION("""COMPUTED_VALUE"""),3)</f>
        <v>3</v>
      </c>
      <c r="F518" s="5">
        <f ca="1">IFERROR(__xludf.DUMMYFUNCTION("""COMPUTED_VALUE"""),3)</f>
        <v>3</v>
      </c>
      <c r="G518" s="5">
        <f ca="1">IFERROR(__xludf.DUMMYFUNCTION("""COMPUTED_VALUE"""),0)</f>
        <v>0</v>
      </c>
      <c r="H518"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I518" s="5"/>
      <c r="J518" s="5"/>
      <c r="K518" s="5">
        <f ca="1">IFERROR(__xludf.DUMMYFUNCTION("""COMPUTED_VALUE"""),3)</f>
        <v>3</v>
      </c>
      <c r="L518" s="5" t="str">
        <f ca="1">IFERROR(__xludf.DUMMYFUNCTION("""COMPUTED_VALUE"""),"Spring")</f>
        <v>Spring</v>
      </c>
      <c r="M518" s="5" t="str">
        <f ca="1">IFERROR(__xludf.DUMMYFUNCTION("""COMPUTED_VALUE"""),"Mobile")</f>
        <v>Mobile</v>
      </c>
      <c r="N518" s="5" t="str">
        <f ca="1">IFERROR(__xludf.DUMMYFUNCTION("""COMPUTED_VALUE"""),"AL")</f>
        <v>AL</v>
      </c>
      <c r="O518" s="5" t="str">
        <f ca="1">IFERROR(__xludf.DUMMYFUNCTION("""COMPUTED_VALUE"""),"Elementary")</f>
        <v>Elementary</v>
      </c>
      <c r="P518" s="5" t="str">
        <f ca="1">IFERROR(__xludf.DUMMYFUNCTION("""COMPUTED_VALUE"""),"Parking Lot")</f>
        <v>Parking Lot</v>
      </c>
      <c r="Q518" s="5" t="str">
        <f ca="1">IFERROR(__xludf.DUMMYFUNCTION("""COMPUTED_VALUE"""),"Outside on School Property")</f>
        <v>Outside on School Property</v>
      </c>
      <c r="R518" s="5" t="str">
        <f ca="1">IFERROR(__xludf.DUMMYFUNCTION("""COMPUTED_VALUE"""),"No")</f>
        <v>No</v>
      </c>
      <c r="S518" s="5" t="str">
        <f ca="1">IFERROR(__xludf.DUMMYFUNCTION("""COMPUTED_VALUE"""),"Night")</f>
        <v>Night</v>
      </c>
      <c r="T518" s="10">
        <f ca="1">IFERROR(__xludf.DUMMYFUNCTION("""COMPUTED_VALUE"""),0.0625)</f>
        <v>6.25E-2</v>
      </c>
      <c r="U518" s="5">
        <f ca="1">IFERROR(__xludf.DUMMYFUNCTION("""COMPUTED_VALUE"""),1)</f>
        <v>1</v>
      </c>
      <c r="V518" s="5" t="str">
        <f ca="1">IFERROR(__xludf.DUMMYFUNCTION("""COMPUTED_VALUE"""),"Three adult males shot during robbery in school parking lot")</f>
        <v>Three adult males shot during robbery in school parking lot</v>
      </c>
      <c r="W518"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X518" s="5" t="str">
        <f ca="1">IFERROR(__xludf.DUMMYFUNCTION("""COMPUTED_VALUE"""),"Illegal Activity")</f>
        <v>Illegal Activity</v>
      </c>
      <c r="Y518" s="5" t="str">
        <f ca="1">IFERROR(__xludf.DUMMYFUNCTION("""COMPUTED_VALUE"""),"Victims Targeted")</f>
        <v>Victims Targeted</v>
      </c>
      <c r="Z518" s="5" t="str">
        <f ca="1">IFERROR(__xludf.DUMMYFUNCTION("""COMPUTED_VALUE"""),"Yes")</f>
        <v>Yes</v>
      </c>
      <c r="AA518" s="5" t="str">
        <f ca="1">IFERROR(__xludf.DUMMYFUNCTION("""COMPUTED_VALUE"""),"Two men")</f>
        <v>Two men</v>
      </c>
      <c r="AB518" s="5" t="str">
        <f ca="1">IFERROR(__xludf.DUMMYFUNCTION("""COMPUTED_VALUE"""),"No")</f>
        <v>No</v>
      </c>
      <c r="AC518" s="5" t="str">
        <f ca="1">IFERROR(__xludf.DUMMYFUNCTION("""COMPUTED_VALUE"""),"No")</f>
        <v>No</v>
      </c>
      <c r="AD518" s="5" t="str">
        <f ca="1">IFERROR(__xludf.DUMMYFUNCTION("""COMPUTED_VALUE"""),"No")</f>
        <v>No</v>
      </c>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row>
    <row r="519" spans="1:34" ht="12.75">
      <c r="A519" s="5" t="str">
        <f ca="1">IFERROR(__xludf.DUMMYFUNCTION("""COMPUTED_VALUE"""),"20200522OHMIC")</f>
        <v>20200522OHMIC</v>
      </c>
      <c r="B519" s="8">
        <f ca="1">IFERROR(__xludf.DUMMYFUNCTION("""COMPUTED_VALUE"""),43973)</f>
        <v>43973</v>
      </c>
      <c r="C519" s="5" t="str">
        <f ca="1">IFERROR(__xludf.DUMMYFUNCTION("""COMPUTED_VALUE"""),"Miles Elementary School")</f>
        <v>Miles Elementary School</v>
      </c>
      <c r="D519" s="5">
        <f ca="1">IFERROR(__xludf.DUMMYFUNCTION("""COMPUTED_VALUE"""),1)</f>
        <v>1</v>
      </c>
      <c r="E519" s="5">
        <f ca="1">IFERROR(__xludf.DUMMYFUNCTION("""COMPUTED_VALUE"""),0)</f>
        <v>0</v>
      </c>
      <c r="F519" s="5">
        <f ca="1">IFERROR(__xludf.DUMMYFUNCTION("""COMPUTED_VALUE"""),1)</f>
        <v>1</v>
      </c>
      <c r="G519" s="5">
        <f ca="1">IFERROR(__xludf.DUMMYFUNCTION("""COMPUTED_VALUE"""),0)</f>
        <v>0</v>
      </c>
      <c r="H519" s="9" t="str">
        <f ca="1">IFERROR(__xludf.DUMMYFUNCTION("""COMPUTED_VALUE"""),"https://fox8.com/news/man-killed-in-shooting-near-miles-elementary-school-in-cleveland/")</f>
        <v>https://fox8.com/news/man-killed-in-shooting-near-miles-elementary-school-in-cleveland/</v>
      </c>
      <c r="I519" s="5"/>
      <c r="J519" s="5"/>
      <c r="K519" s="5">
        <f ca="1">IFERROR(__xludf.DUMMYFUNCTION("""COMPUTED_VALUE"""),2)</f>
        <v>2</v>
      </c>
      <c r="L519" s="5" t="str">
        <f ca="1">IFERROR(__xludf.DUMMYFUNCTION("""COMPUTED_VALUE"""),"Spring")</f>
        <v>Spring</v>
      </c>
      <c r="M519" s="5" t="str">
        <f ca="1">IFERROR(__xludf.DUMMYFUNCTION("""COMPUTED_VALUE"""),"Cleveland")</f>
        <v>Cleveland</v>
      </c>
      <c r="N519" s="5" t="str">
        <f ca="1">IFERROR(__xludf.DUMMYFUNCTION("""COMPUTED_VALUE"""),"OH")</f>
        <v>OH</v>
      </c>
      <c r="O519" s="5" t="str">
        <f ca="1">IFERROR(__xludf.DUMMYFUNCTION("""COMPUTED_VALUE"""),"Elementary")</f>
        <v>Elementary</v>
      </c>
      <c r="P519" s="5" t="str">
        <f ca="1">IFERROR(__xludf.DUMMYFUNCTION("""COMPUTED_VALUE"""),"Beside Building")</f>
        <v>Beside Building</v>
      </c>
      <c r="Q519" s="5" t="str">
        <f ca="1">IFERROR(__xludf.DUMMYFUNCTION("""COMPUTED_VALUE"""),"Outside on School Property")</f>
        <v>Outside on School Property</v>
      </c>
      <c r="R519" s="5" t="str">
        <f ca="1">IFERROR(__xludf.DUMMYFUNCTION("""COMPUTED_VALUE"""),"No")</f>
        <v>No</v>
      </c>
      <c r="S519" s="5" t="str">
        <f ca="1">IFERROR(__xludf.DUMMYFUNCTION("""COMPUTED_VALUE"""),"Night")</f>
        <v>Night</v>
      </c>
      <c r="T519" s="10">
        <f ca="1">IFERROR(__xludf.DUMMYFUNCTION("""COMPUTED_VALUE"""),0.0625)</f>
        <v>6.25E-2</v>
      </c>
      <c r="U519" s="5">
        <f ca="1">IFERROR(__xludf.DUMMYFUNCTION("""COMPUTED_VALUE"""),1)</f>
        <v>1</v>
      </c>
      <c r="V519" s="5" t="str">
        <f ca="1">IFERROR(__xludf.DUMMYFUNCTION("""COMPUTED_VALUE"""),"Adult man found dead outside of school from gunshot to chest")</f>
        <v>Adult man found dead outside of school from gunshot to chest</v>
      </c>
      <c r="W519"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X519" s="5" t="str">
        <f ca="1">IFERROR(__xludf.DUMMYFUNCTION("""COMPUTED_VALUE"""),"Unknown")</f>
        <v>Unknown</v>
      </c>
      <c r="Y519" s="5" t="str">
        <f ca="1">IFERROR(__xludf.DUMMYFUNCTION("""COMPUTED_VALUE"""),"Victims Targeted")</f>
        <v>Victims Targeted</v>
      </c>
      <c r="Z519" s="5"/>
      <c r="AA519" s="5"/>
      <c r="AB519" s="5" t="str">
        <f ca="1">IFERROR(__xludf.DUMMYFUNCTION("""COMPUTED_VALUE"""),"No")</f>
        <v>No</v>
      </c>
      <c r="AC519" s="5" t="str">
        <f ca="1">IFERROR(__xludf.DUMMYFUNCTION("""COMPUTED_VALUE"""),"No")</f>
        <v>No</v>
      </c>
      <c r="AD519" s="5" t="str">
        <f ca="1">IFERROR(__xludf.DUMMYFUNCTION("""COMPUTED_VALUE"""),"No")</f>
        <v>No</v>
      </c>
      <c r="AE519" s="5" t="str">
        <f ca="1">IFERROR(__xludf.DUMMYFUNCTION("""COMPUTED_VALUE"""),"No")</f>
        <v>No</v>
      </c>
      <c r="AF519" s="5" t="str">
        <f ca="1">IFERROR(__xludf.DUMMYFUNCTION("""COMPUTED_VALUE"""),"No")</f>
        <v>No</v>
      </c>
      <c r="AG519" s="5"/>
      <c r="AH519" s="5" t="str">
        <f ca="1">IFERROR(__xludf.DUMMYFUNCTION("""COMPUTED_VALUE"""),"No")</f>
        <v>No</v>
      </c>
    </row>
    <row r="520" spans="1:34" ht="12.75">
      <c r="A520" s="5" t="str">
        <f ca="1">IFERROR(__xludf.DUMMYFUNCTION("""COMPUTED_VALUE"""),"20200519VAWEM")</f>
        <v>20200519VAWEM</v>
      </c>
      <c r="B520" s="8">
        <f ca="1">IFERROR(__xludf.DUMMYFUNCTION("""COMPUTED_VALUE"""),43970)</f>
        <v>43970</v>
      </c>
      <c r="C520" s="5" t="str">
        <f ca="1">IFERROR(__xludf.DUMMYFUNCTION("""COMPUTED_VALUE"""),"West Gate Elementary School")</f>
        <v>West Gate Elementary School</v>
      </c>
      <c r="D520" s="5">
        <f ca="1">IFERROR(__xludf.DUMMYFUNCTION("""COMPUTED_VALUE"""),0)</f>
        <v>0</v>
      </c>
      <c r="E520" s="5">
        <f ca="1">IFERROR(__xludf.DUMMYFUNCTION("""COMPUTED_VALUE"""),0)</f>
        <v>0</v>
      </c>
      <c r="F520" s="5">
        <f ca="1">IFERROR(__xludf.DUMMYFUNCTION("""COMPUTED_VALUE"""),0)</f>
        <v>0</v>
      </c>
      <c r="G520" s="5">
        <f ca="1">IFERROR(__xludf.DUMMYFUNCTION("""COMPUTED_VALUE"""),0)</f>
        <v>0</v>
      </c>
      <c r="H520"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I520" s="5"/>
      <c r="J520" s="5"/>
      <c r="K520" s="5">
        <f ca="1">IFERROR(__xludf.DUMMYFUNCTION("""COMPUTED_VALUE"""),3)</f>
        <v>3</v>
      </c>
      <c r="L520" s="5" t="str">
        <f ca="1">IFERROR(__xludf.DUMMYFUNCTION("""COMPUTED_VALUE"""),"Spring")</f>
        <v>Spring</v>
      </c>
      <c r="M520" s="5" t="str">
        <f ca="1">IFERROR(__xludf.DUMMYFUNCTION("""COMPUTED_VALUE"""),"Manassas")</f>
        <v>Manassas</v>
      </c>
      <c r="N520" s="5" t="str">
        <f ca="1">IFERROR(__xludf.DUMMYFUNCTION("""COMPUTED_VALUE"""),"VA")</f>
        <v>VA</v>
      </c>
      <c r="O520" s="5" t="str">
        <f ca="1">IFERROR(__xludf.DUMMYFUNCTION("""COMPUTED_VALUE"""),"Elementary")</f>
        <v>Elementary</v>
      </c>
      <c r="P520" s="5" t="str">
        <f ca="1">IFERROR(__xludf.DUMMYFUNCTION("""COMPUTED_VALUE"""),"Beside Building")</f>
        <v>Beside Building</v>
      </c>
      <c r="Q520" s="5" t="str">
        <f ca="1">IFERROR(__xludf.DUMMYFUNCTION("""COMPUTED_VALUE"""),"Outside on School Property")</f>
        <v>Outside on School Property</v>
      </c>
      <c r="R520" s="5" t="str">
        <f ca="1">IFERROR(__xludf.DUMMYFUNCTION("""COMPUTED_VALUE"""),"No")</f>
        <v>No</v>
      </c>
      <c r="S520" s="5" t="str">
        <f ca="1">IFERROR(__xludf.DUMMYFUNCTION("""COMPUTED_VALUE"""),"Not a School Day")</f>
        <v>Not a School Day</v>
      </c>
      <c r="T520" s="10">
        <f ca="1">IFERROR(__xludf.DUMMYFUNCTION("""COMPUTED_VALUE"""),0.611111111111111)</f>
        <v>0.61111111111111105</v>
      </c>
      <c r="U520" s="5">
        <f ca="1">IFERROR(__xludf.DUMMYFUNCTION("""COMPUTED_VALUE"""),1)</f>
        <v>1</v>
      </c>
      <c r="V520" s="5" t="str">
        <f ca="1">IFERROR(__xludf.DUMMYFUNCTION("""COMPUTED_VALUE"""),"Teen fired shot at another group of teens during a dispute")</f>
        <v>Teen fired shot at another group of teens during a dispute</v>
      </c>
      <c r="W520"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X520" s="5" t="str">
        <f ca="1">IFERROR(__xludf.DUMMYFUNCTION("""COMPUTED_VALUE"""),"Escalation of Dispute")</f>
        <v>Escalation of Dispute</v>
      </c>
      <c r="Y520" s="5" t="str">
        <f ca="1">IFERROR(__xludf.DUMMYFUNCTION("""COMPUTED_VALUE"""),"Victims Targeted")</f>
        <v>Victims Targeted</v>
      </c>
      <c r="Z520" s="5" t="str">
        <f ca="1">IFERROR(__xludf.DUMMYFUNCTION("""COMPUTED_VALUE"""),"Yes")</f>
        <v>Yes</v>
      </c>
      <c r="AA520" s="5" t="str">
        <f ca="1">IFERROR(__xludf.DUMMYFUNCTION("""COMPUTED_VALUE"""),"Handed gun by another person")</f>
        <v>Handed gun by another person</v>
      </c>
      <c r="AB520" s="5" t="str">
        <f ca="1">IFERROR(__xludf.DUMMYFUNCTION("""COMPUTED_VALUE"""),"No")</f>
        <v>No</v>
      </c>
      <c r="AC520" s="5" t="str">
        <f ca="1">IFERROR(__xludf.DUMMYFUNCTION("""COMPUTED_VALUE"""),"No")</f>
        <v>No</v>
      </c>
      <c r="AD520" s="5" t="str">
        <f ca="1">IFERROR(__xludf.DUMMYFUNCTION("""COMPUTED_VALUE"""),"No")</f>
        <v>No</v>
      </c>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row>
    <row r="521" spans="1:34" ht="12.75">
      <c r="A521" s="5" t="str">
        <f ca="1">IFERROR(__xludf.DUMMYFUNCTION("""COMPUTED_VALUE"""),"20200515NCSTC")</f>
        <v>20200515NCSTC</v>
      </c>
      <c r="B521" s="8">
        <f ca="1">IFERROR(__xludf.DUMMYFUNCTION("""COMPUTED_VALUE"""),43966)</f>
        <v>43966</v>
      </c>
      <c r="C521" s="5" t="str">
        <f ca="1">IFERROR(__xludf.DUMMYFUNCTION("""COMPUTED_VALUE"""),"Stuart W Cramer High School")</f>
        <v>Stuart W Cramer High School</v>
      </c>
      <c r="D521" s="5">
        <f ca="1">IFERROR(__xludf.DUMMYFUNCTION("""COMPUTED_VALUE"""),0)</f>
        <v>0</v>
      </c>
      <c r="E521" s="5">
        <f ca="1">IFERROR(__xludf.DUMMYFUNCTION("""COMPUTED_VALUE"""),0)</f>
        <v>0</v>
      </c>
      <c r="F521" s="5">
        <f ca="1">IFERROR(__xludf.DUMMYFUNCTION("""COMPUTED_VALUE"""),0)</f>
        <v>0</v>
      </c>
      <c r="G521" s="5">
        <f ca="1">IFERROR(__xludf.DUMMYFUNCTION("""COMPUTED_VALUE"""),0)</f>
        <v>0</v>
      </c>
      <c r="H521" s="9" t="str">
        <f ca="1">IFERROR(__xludf.DUMMYFUNCTION("""COMPUTED_VALUE"""),"https://abc11.com/nc-man-shoots-at-couple-after-mistaking-them-for-russian-mafia-/6196277/")</f>
        <v>https://abc11.com/nc-man-shoots-at-couple-after-mistaking-them-for-russian-mafia-/6196277/</v>
      </c>
      <c r="I521" s="5"/>
      <c r="J521" s="5"/>
      <c r="K521" s="5">
        <f ca="1">IFERROR(__xludf.DUMMYFUNCTION("""COMPUTED_VALUE"""),2)</f>
        <v>2</v>
      </c>
      <c r="L521" s="5" t="str">
        <f ca="1">IFERROR(__xludf.DUMMYFUNCTION("""COMPUTED_VALUE"""),"Spring")</f>
        <v>Spring</v>
      </c>
      <c r="M521" s="5" t="str">
        <f ca="1">IFERROR(__xludf.DUMMYFUNCTION("""COMPUTED_VALUE"""),"Cramerton")</f>
        <v>Cramerton</v>
      </c>
      <c r="N521" s="5" t="str">
        <f ca="1">IFERROR(__xludf.DUMMYFUNCTION("""COMPUTED_VALUE"""),"NC")</f>
        <v>NC</v>
      </c>
      <c r="O521" s="5" t="str">
        <f ca="1">IFERROR(__xludf.DUMMYFUNCTION("""COMPUTED_VALUE"""),"High")</f>
        <v>High</v>
      </c>
      <c r="P521" s="5" t="str">
        <f ca="1">IFERROR(__xludf.DUMMYFUNCTION("""COMPUTED_VALUE"""),"Parking Lot")</f>
        <v>Parking Lot</v>
      </c>
      <c r="Q521" s="5" t="str">
        <f ca="1">IFERROR(__xludf.DUMMYFUNCTION("""COMPUTED_VALUE"""),"Outside on School Property")</f>
        <v>Outside on School Property</v>
      </c>
      <c r="R521" s="5" t="str">
        <f ca="1">IFERROR(__xludf.DUMMYFUNCTION("""COMPUTED_VALUE"""),"No")</f>
        <v>No</v>
      </c>
      <c r="S521" s="5" t="str">
        <f ca="1">IFERROR(__xludf.DUMMYFUNCTION("""COMPUTED_VALUE"""),"Night")</f>
        <v>Night</v>
      </c>
      <c r="T521" s="5"/>
      <c r="U521" s="5">
        <f ca="1">IFERROR(__xludf.DUMMYFUNCTION("""COMPUTED_VALUE"""),1)</f>
        <v>1</v>
      </c>
      <c r="V521" s="5" t="str">
        <f ca="1">IFERROR(__xludf.DUMMYFUNCTION("""COMPUTED_VALUE"""),"Couple confused with mafia members during drug deal")</f>
        <v>Couple confused with mafia members during drug deal</v>
      </c>
      <c r="W521"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X521" s="5" t="str">
        <f ca="1">IFERROR(__xludf.DUMMYFUNCTION("""COMPUTED_VALUE"""),"Illegal Activity")</f>
        <v>Illegal Activity</v>
      </c>
      <c r="Y521" s="5" t="str">
        <f ca="1">IFERROR(__xludf.DUMMYFUNCTION("""COMPUTED_VALUE"""),"Random Shooting")</f>
        <v>Random Shooting</v>
      </c>
      <c r="Z521" s="5"/>
      <c r="AA521" s="5"/>
      <c r="AB521" s="5" t="str">
        <f ca="1">IFERROR(__xludf.DUMMYFUNCTION("""COMPUTED_VALUE"""),"No")</f>
        <v>No</v>
      </c>
      <c r="AC521" s="5" t="str">
        <f ca="1">IFERROR(__xludf.DUMMYFUNCTION("""COMPUTED_VALUE"""),"No")</f>
        <v>No</v>
      </c>
      <c r="AD521" s="5" t="str">
        <f ca="1">IFERROR(__xludf.DUMMYFUNCTION("""COMPUTED_VALUE"""),"No")</f>
        <v>No</v>
      </c>
      <c r="AE521" s="5" t="str">
        <f ca="1">IFERROR(__xludf.DUMMYFUNCTION("""COMPUTED_VALUE"""),"No")</f>
        <v>No</v>
      </c>
      <c r="AF521" s="5" t="str">
        <f ca="1">IFERROR(__xludf.DUMMYFUNCTION("""COMPUTED_VALUE"""),"No")</f>
        <v>No</v>
      </c>
      <c r="AG521" s="5" t="str">
        <f ca="1">IFERROR(__xludf.DUMMYFUNCTION("""COMPUTED_VALUE"""),"Yes")</f>
        <v>Yes</v>
      </c>
      <c r="AH521" s="5" t="str">
        <f ca="1">IFERROR(__xludf.DUMMYFUNCTION("""COMPUTED_VALUE"""),"No")</f>
        <v>No</v>
      </c>
    </row>
    <row r="522" spans="1:34" ht="12.75">
      <c r="A522" s="5" t="str">
        <f ca="1">IFERROR(__xludf.DUMMYFUNCTION("""COMPUTED_VALUE"""),"20200505CAGOV")</f>
        <v>20200505CAGOV</v>
      </c>
      <c r="B522" s="8">
        <f ca="1">IFERROR(__xludf.DUMMYFUNCTION("""COMPUTED_VALUE"""),43956)</f>
        <v>43956</v>
      </c>
      <c r="C522" s="5" t="str">
        <f ca="1">IFERROR(__xludf.DUMMYFUNCTION("""COMPUTED_VALUE"""),"Golden West High School")</f>
        <v>Golden West High School</v>
      </c>
      <c r="D522" s="5">
        <f ca="1">IFERROR(__xludf.DUMMYFUNCTION("""COMPUTED_VALUE"""),3)</f>
        <v>3</v>
      </c>
      <c r="E522" s="5">
        <f ca="1">IFERROR(__xludf.DUMMYFUNCTION("""COMPUTED_VALUE"""),0)</f>
        <v>0</v>
      </c>
      <c r="F522" s="5">
        <f ca="1">IFERROR(__xludf.DUMMYFUNCTION("""COMPUTED_VALUE"""),3)</f>
        <v>3</v>
      </c>
      <c r="G522" s="5">
        <f ca="1">IFERROR(__xludf.DUMMYFUNCTION("""COMPUTED_VALUE"""),0)</f>
        <v>0</v>
      </c>
      <c r="H522"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I522" s="5"/>
      <c r="J522" s="5" t="str">
        <f ca="1">IFERROR(__xludf.DUMMYFUNCTION("""COMPUTED_VALUE"""),"Regional")</f>
        <v>Regional</v>
      </c>
      <c r="K522" s="5">
        <f ca="1">IFERROR(__xludf.DUMMYFUNCTION("""COMPUTED_VALUE"""),4)</f>
        <v>4</v>
      </c>
      <c r="L522" s="5" t="str">
        <f ca="1">IFERROR(__xludf.DUMMYFUNCTION("""COMPUTED_VALUE"""),"Spring")</f>
        <v>Spring</v>
      </c>
      <c r="M522" s="5" t="str">
        <f ca="1">IFERROR(__xludf.DUMMYFUNCTION("""COMPUTED_VALUE"""),"Visalia")</f>
        <v>Visalia</v>
      </c>
      <c r="N522" s="5" t="str">
        <f ca="1">IFERROR(__xludf.DUMMYFUNCTION("""COMPUTED_VALUE"""),"CA")</f>
        <v>CA</v>
      </c>
      <c r="O522" s="5" t="str">
        <f ca="1">IFERROR(__xludf.DUMMYFUNCTION("""COMPUTED_VALUE"""),"High")</f>
        <v>High</v>
      </c>
      <c r="P522" s="5" t="str">
        <f ca="1">IFERROR(__xludf.DUMMYFUNCTION("""COMPUTED_VALUE"""),"Parking Lot")</f>
        <v>Parking Lot</v>
      </c>
      <c r="Q522" s="5" t="str">
        <f ca="1">IFERROR(__xludf.DUMMYFUNCTION("""COMPUTED_VALUE"""),"Outside on School Property")</f>
        <v>Outside on School Property</v>
      </c>
      <c r="R522" s="5" t="str">
        <f ca="1">IFERROR(__xludf.DUMMYFUNCTION("""COMPUTED_VALUE"""),"No")</f>
        <v>No</v>
      </c>
      <c r="S522" s="5" t="str">
        <f ca="1">IFERROR(__xludf.DUMMYFUNCTION("""COMPUTED_VALUE"""),"Night")</f>
        <v>Night</v>
      </c>
      <c r="T522" s="10">
        <f ca="1">IFERROR(__xludf.DUMMYFUNCTION("""COMPUTED_VALUE"""),0.96875)</f>
        <v>0.96875</v>
      </c>
      <c r="U522" s="5">
        <f ca="1">IFERROR(__xludf.DUMMYFUNCTION("""COMPUTED_VALUE"""),1)</f>
        <v>1</v>
      </c>
      <c r="V522" s="5" t="str">
        <f ca="1">IFERROR(__xludf.DUMMYFUNCTION("""COMPUTED_VALUE"""),"Three victims found dead in school parking lot")</f>
        <v>Three victims found dead in school parking lot</v>
      </c>
      <c r="W522" s="5" t="str">
        <f ca="1">IFERROR(__xludf.DUMMYFUNCTION("""COMPUTED_VALUE"""),"Three victims found dead in school parking lot")</f>
        <v>Three victims found dead in school parking lot</v>
      </c>
      <c r="X522" s="5" t="str">
        <f ca="1">IFERROR(__xludf.DUMMYFUNCTION("""COMPUTED_VALUE"""),"Escalation of Dispute")</f>
        <v>Escalation of Dispute</v>
      </c>
      <c r="Y522" s="5"/>
      <c r="Z522" s="5"/>
      <c r="AA522" s="5"/>
      <c r="AB522" s="5" t="str">
        <f ca="1">IFERROR(__xludf.DUMMYFUNCTION("""COMPUTED_VALUE"""),"No")</f>
        <v>No</v>
      </c>
      <c r="AC522" s="5" t="str">
        <f ca="1">IFERROR(__xludf.DUMMYFUNCTION("""COMPUTED_VALUE"""),"No")</f>
        <v>No</v>
      </c>
      <c r="AD522" s="5" t="str">
        <f ca="1">IFERROR(__xludf.DUMMYFUNCTION("""COMPUTED_VALUE"""),"No")</f>
        <v>No</v>
      </c>
      <c r="AE522" s="5" t="str">
        <f ca="1">IFERROR(__xludf.DUMMYFUNCTION("""COMPUTED_VALUE"""),"No")</f>
        <v>No</v>
      </c>
      <c r="AF522" s="5" t="str">
        <f ca="1">IFERROR(__xludf.DUMMYFUNCTION("""COMPUTED_VALUE"""),"No")</f>
        <v>No</v>
      </c>
      <c r="AG522" s="5"/>
      <c r="AH522" s="5" t="str">
        <f ca="1">IFERROR(__xludf.DUMMYFUNCTION("""COMPUTED_VALUE"""),"No")</f>
        <v>No</v>
      </c>
    </row>
    <row r="523" spans="1:34" ht="12.75">
      <c r="A523" s="5" t="str">
        <f ca="1">IFERROR(__xludf.DUMMYFUNCTION("""COMPUTED_VALUE"""),"20200419NCABR")</f>
        <v>20200419NCABR</v>
      </c>
      <c r="B523" s="8">
        <f ca="1">IFERROR(__xludf.DUMMYFUNCTION("""COMPUTED_VALUE"""),43940)</f>
        <v>43940</v>
      </c>
      <c r="C523" s="5" t="str">
        <f ca="1">IFERROR(__xludf.DUMMYFUNCTION("""COMPUTED_VALUE"""),"Abbotts Creek Elementary School")</f>
        <v>Abbotts Creek Elementary School</v>
      </c>
      <c r="D523" s="5">
        <f ca="1">IFERROR(__xludf.DUMMYFUNCTION("""COMPUTED_VALUE"""),0)</f>
        <v>0</v>
      </c>
      <c r="E523" s="5">
        <f ca="1">IFERROR(__xludf.DUMMYFUNCTION("""COMPUTED_VALUE"""),0)</f>
        <v>0</v>
      </c>
      <c r="F523" s="5">
        <f ca="1">IFERROR(__xludf.DUMMYFUNCTION("""COMPUTED_VALUE"""),0)</f>
        <v>0</v>
      </c>
      <c r="G523" s="5">
        <f ca="1">IFERROR(__xludf.DUMMYFUNCTION("""COMPUTED_VALUE"""),0)</f>
        <v>0</v>
      </c>
      <c r="H523" s="9" t="str">
        <f ca="1">IFERROR(__xludf.DUMMYFUNCTION("""COMPUTED_VALUE"""),"https://www.newsobserver.com/news/local/crime/article256631386.html")</f>
        <v>https://www.newsobserver.com/news/local/crime/article256631386.html</v>
      </c>
      <c r="I523" s="5">
        <f ca="1">IFERROR(__xludf.DUMMYFUNCTION("""COMPUTED_VALUE"""),1)</f>
        <v>1</v>
      </c>
      <c r="J523" s="5" t="str">
        <f ca="1">IFERROR(__xludf.DUMMYFUNCTION("""COMPUTED_VALUE"""),"Local")</f>
        <v>Local</v>
      </c>
      <c r="K523" s="5">
        <f ca="1">IFERROR(__xludf.DUMMYFUNCTION("""COMPUTED_VALUE"""),4)</f>
        <v>4</v>
      </c>
      <c r="L523" s="5" t="str">
        <f ca="1">IFERROR(__xludf.DUMMYFUNCTION("""COMPUTED_VALUE"""),"Spring")</f>
        <v>Spring</v>
      </c>
      <c r="M523" s="5" t="str">
        <f ca="1">IFERROR(__xludf.DUMMYFUNCTION("""COMPUTED_VALUE"""),"Raleigh")</f>
        <v>Raleigh</v>
      </c>
      <c r="N523" s="5" t="str">
        <f ca="1">IFERROR(__xludf.DUMMYFUNCTION("""COMPUTED_VALUE"""),"NC")</f>
        <v>NC</v>
      </c>
      <c r="O523" s="5" t="str">
        <f ca="1">IFERROR(__xludf.DUMMYFUNCTION("""COMPUTED_VALUE"""),"Elementary")</f>
        <v>Elementary</v>
      </c>
      <c r="P523" s="5" t="str">
        <f ca="1">IFERROR(__xludf.DUMMYFUNCTION("""COMPUTED_VALUE"""),"Parking Lot")</f>
        <v>Parking Lot</v>
      </c>
      <c r="Q523" s="5" t="str">
        <f ca="1">IFERROR(__xludf.DUMMYFUNCTION("""COMPUTED_VALUE"""),"Outside on School Property")</f>
        <v>Outside on School Property</v>
      </c>
      <c r="R523" s="5" t="str">
        <f ca="1">IFERROR(__xludf.DUMMYFUNCTION("""COMPUTED_VALUE"""),"No")</f>
        <v>No</v>
      </c>
      <c r="S523" s="5" t="str">
        <f ca="1">IFERROR(__xludf.DUMMYFUNCTION("""COMPUTED_VALUE"""),"Night")</f>
        <v>Night</v>
      </c>
      <c r="T523" s="10">
        <f ca="1">IFERROR(__xludf.DUMMYFUNCTION("""COMPUTED_VALUE"""),0.0833333333333333)</f>
        <v>8.3333333333333301E-2</v>
      </c>
      <c r="U523" s="5">
        <f ca="1">IFERROR(__xludf.DUMMYFUNCTION("""COMPUTED_VALUE"""),1)</f>
        <v>1</v>
      </c>
      <c r="V523" s="5" t="str">
        <f ca="1">IFERROR(__xludf.DUMMYFUNCTION("""COMPUTED_VALUE"""),"Man fired multiple gunshots in school parking lot")</f>
        <v>Man fired multiple gunshots in school parking lot</v>
      </c>
      <c r="W523"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X523" s="5" t="str">
        <f ca="1">IFERROR(__xludf.DUMMYFUNCTION("""COMPUTED_VALUE"""),"Illegal Activity")</f>
        <v>Illegal Activity</v>
      </c>
      <c r="Y523" s="5" t="str">
        <f ca="1">IFERROR(__xludf.DUMMYFUNCTION("""COMPUTED_VALUE"""),"Victims Targeted")</f>
        <v>Victims Targeted</v>
      </c>
      <c r="Z523" s="5" t="str">
        <f ca="1">IFERROR(__xludf.DUMMYFUNCTION("""COMPUTED_VALUE"""),"No")</f>
        <v>No</v>
      </c>
      <c r="AA523" s="5"/>
      <c r="AB523" s="5" t="str">
        <f ca="1">IFERROR(__xludf.DUMMYFUNCTION("""COMPUTED_VALUE"""),"No")</f>
        <v>No</v>
      </c>
      <c r="AC523" s="5" t="str">
        <f ca="1">IFERROR(__xludf.DUMMYFUNCTION("""COMPUTED_VALUE"""),"No")</f>
        <v>No</v>
      </c>
      <c r="AD523" s="5" t="str">
        <f ca="1">IFERROR(__xludf.DUMMYFUNCTION("""COMPUTED_VALUE"""),"No")</f>
        <v>No</v>
      </c>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row>
    <row r="524" spans="1:34" ht="12.75">
      <c r="A524" s="5" t="str">
        <f ca="1">IFERROR(__xludf.DUMMYFUNCTION("""COMPUTED_VALUE"""),"20200413NEMOO")</f>
        <v>20200413NEMOO</v>
      </c>
      <c r="B524" s="8">
        <f ca="1">IFERROR(__xludf.DUMMYFUNCTION("""COMPUTED_VALUE"""),43934)</f>
        <v>43934</v>
      </c>
      <c r="C524" s="5" t="str">
        <f ca="1">IFERROR(__xludf.DUMMYFUNCTION("""COMPUTED_VALUE"""),"Morton Middle School")</f>
        <v>Morton Middle School</v>
      </c>
      <c r="D524" s="5">
        <f ca="1">IFERROR(__xludf.DUMMYFUNCTION("""COMPUTED_VALUE"""),0)</f>
        <v>0</v>
      </c>
      <c r="E524" s="5">
        <f ca="1">IFERROR(__xludf.DUMMYFUNCTION("""COMPUTED_VALUE"""),1)</f>
        <v>1</v>
      </c>
      <c r="F524" s="5">
        <f ca="1">IFERROR(__xludf.DUMMYFUNCTION("""COMPUTED_VALUE"""),1)</f>
        <v>1</v>
      </c>
      <c r="G524" s="5">
        <f ca="1">IFERROR(__xludf.DUMMYFUNCTION("""COMPUTED_VALUE"""),0)</f>
        <v>0</v>
      </c>
      <c r="H524"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I524" s="5"/>
      <c r="J524" s="5"/>
      <c r="K524" s="5">
        <f ca="1">IFERROR(__xludf.DUMMYFUNCTION("""COMPUTED_VALUE"""),3)</f>
        <v>3</v>
      </c>
      <c r="L524" s="5" t="str">
        <f ca="1">IFERROR(__xludf.DUMMYFUNCTION("""COMPUTED_VALUE"""),"Spring")</f>
        <v>Spring</v>
      </c>
      <c r="M524" s="5" t="str">
        <f ca="1">IFERROR(__xludf.DUMMYFUNCTION("""COMPUTED_VALUE"""),"Omaha")</f>
        <v>Omaha</v>
      </c>
      <c r="N524" s="5" t="str">
        <f ca="1">IFERROR(__xludf.DUMMYFUNCTION("""COMPUTED_VALUE"""),"NE")</f>
        <v>NE</v>
      </c>
      <c r="O524" s="5" t="str">
        <f ca="1">IFERROR(__xludf.DUMMYFUNCTION("""COMPUTED_VALUE"""),"Middle")</f>
        <v>Middle</v>
      </c>
      <c r="P524" s="5" t="str">
        <f ca="1">IFERROR(__xludf.DUMMYFUNCTION("""COMPUTED_VALUE"""),"Parking Lot")</f>
        <v>Parking Lot</v>
      </c>
      <c r="Q524" s="5" t="str">
        <f ca="1">IFERROR(__xludf.DUMMYFUNCTION("""COMPUTED_VALUE"""),"Outside on School Property")</f>
        <v>Outside on School Property</v>
      </c>
      <c r="R524" s="5" t="str">
        <f ca="1">IFERROR(__xludf.DUMMYFUNCTION("""COMPUTED_VALUE"""),"No")</f>
        <v>No</v>
      </c>
      <c r="S524" s="5" t="str">
        <f ca="1">IFERROR(__xludf.DUMMYFUNCTION("""COMPUTED_VALUE"""),"Not a School Day")</f>
        <v>Not a School Day</v>
      </c>
      <c r="T524" s="10">
        <f ca="1">IFERROR(__xludf.DUMMYFUNCTION("""COMPUTED_VALUE"""),0.427083333333333)</f>
        <v>0.42708333333333298</v>
      </c>
      <c r="U524" s="5">
        <f ca="1">IFERROR(__xludf.DUMMYFUNCTION("""COMPUTED_VALUE"""),1)</f>
        <v>1</v>
      </c>
      <c r="V524" s="5" t="str">
        <f ca="1">IFERROR(__xludf.DUMMYFUNCTION("""COMPUTED_VALUE"""),"18YOM shot during fight in school parking lot")</f>
        <v>18YOM shot during fight in school parking lot</v>
      </c>
      <c r="W524"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X524" s="5" t="str">
        <f ca="1">IFERROR(__xludf.DUMMYFUNCTION("""COMPUTED_VALUE"""),"Escalation of Dispute")</f>
        <v>Escalation of Dispute</v>
      </c>
      <c r="Y524" s="5"/>
      <c r="Z524" s="5"/>
      <c r="AA524" s="5" t="str">
        <f ca="1">IFERROR(__xludf.DUMMYFUNCTION("""COMPUTED_VALUE"""),"Group")</f>
        <v>Group</v>
      </c>
      <c r="AB524" s="5" t="str">
        <f ca="1">IFERROR(__xludf.DUMMYFUNCTION("""COMPUTED_VALUE"""),"No")</f>
        <v>No</v>
      </c>
      <c r="AC524" s="5" t="str">
        <f ca="1">IFERROR(__xludf.DUMMYFUNCTION("""COMPUTED_VALUE"""),"No")</f>
        <v>No</v>
      </c>
      <c r="AD524" s="5" t="str">
        <f ca="1">IFERROR(__xludf.DUMMYFUNCTION("""COMPUTED_VALUE"""),"No")</f>
        <v>No</v>
      </c>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row>
    <row r="525" spans="1:34" ht="12.75">
      <c r="A525" s="5" t="str">
        <f ca="1">IFERROR(__xludf.DUMMYFUNCTION("""COMPUTED_VALUE"""),"20200330GANAS")</f>
        <v>20200330GANAS</v>
      </c>
      <c r="B525" s="8">
        <f ca="1">IFERROR(__xludf.DUMMYFUNCTION("""COMPUTED_VALUE"""),43920)</f>
        <v>43920</v>
      </c>
      <c r="C525" s="5" t="str">
        <f ca="1">IFERROR(__xludf.DUMMYFUNCTION("""COMPUTED_VALUE"""),"Narvie J. Harris Elementary School")</f>
        <v>Narvie J. Harris Elementary School</v>
      </c>
      <c r="D525" s="5">
        <f ca="1">IFERROR(__xludf.DUMMYFUNCTION("""COMPUTED_VALUE"""),0)</f>
        <v>0</v>
      </c>
      <c r="E525" s="5">
        <f ca="1">IFERROR(__xludf.DUMMYFUNCTION("""COMPUTED_VALUE"""),3)</f>
        <v>3</v>
      </c>
      <c r="F525" s="5">
        <f ca="1">IFERROR(__xludf.DUMMYFUNCTION("""COMPUTED_VALUE"""),3)</f>
        <v>3</v>
      </c>
      <c r="G525" s="5">
        <f ca="1">IFERROR(__xludf.DUMMYFUNCTION("""COMPUTED_VALUE"""),0)</f>
        <v>0</v>
      </c>
      <c r="H525"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I525" s="5"/>
      <c r="J525" s="5"/>
      <c r="K525" s="5">
        <f ca="1">IFERROR(__xludf.DUMMYFUNCTION("""COMPUTED_VALUE"""),4)</f>
        <v>4</v>
      </c>
      <c r="L525" s="5" t="str">
        <f ca="1">IFERROR(__xludf.DUMMYFUNCTION("""COMPUTED_VALUE"""),"Spring")</f>
        <v>Spring</v>
      </c>
      <c r="M525" s="5" t="str">
        <f ca="1">IFERROR(__xludf.DUMMYFUNCTION("""COMPUTED_VALUE"""),"Stonecrest")</f>
        <v>Stonecrest</v>
      </c>
      <c r="N525" s="5" t="str">
        <f ca="1">IFERROR(__xludf.DUMMYFUNCTION("""COMPUTED_VALUE"""),"GA")</f>
        <v>GA</v>
      </c>
      <c r="O525" s="5" t="str">
        <f ca="1">IFERROR(__xludf.DUMMYFUNCTION("""COMPUTED_VALUE"""),"Elementary")</f>
        <v>Elementary</v>
      </c>
      <c r="P525" s="5" t="str">
        <f ca="1">IFERROR(__xludf.DUMMYFUNCTION("""COMPUTED_VALUE"""),"Parking Lot")</f>
        <v>Parking Lot</v>
      </c>
      <c r="Q525" s="5" t="str">
        <f ca="1">IFERROR(__xludf.DUMMYFUNCTION("""COMPUTED_VALUE"""),"Outside on School Property")</f>
        <v>Outside on School Property</v>
      </c>
      <c r="R525" s="5" t="str">
        <f ca="1">IFERROR(__xludf.DUMMYFUNCTION("""COMPUTED_VALUE"""),"No")</f>
        <v>No</v>
      </c>
      <c r="S525" s="5" t="str">
        <f ca="1">IFERROR(__xludf.DUMMYFUNCTION("""COMPUTED_VALUE"""),"Night")</f>
        <v>Night</v>
      </c>
      <c r="T525" s="10">
        <f ca="1">IFERROR(__xludf.DUMMYFUNCTION("""COMPUTED_VALUE"""),0.902777777777777)</f>
        <v>0.90277777777777701</v>
      </c>
      <c r="U525" s="5">
        <f ca="1">IFERROR(__xludf.DUMMYFUNCTION("""COMPUTED_VALUE"""),1)</f>
        <v>1</v>
      </c>
      <c r="V525" s="5" t="str">
        <f ca="1">IFERROR(__xludf.DUMMYFUNCTION("""COMPUTED_VALUE"""),"Three people shot during fight in the school parking lot")</f>
        <v>Three people shot during fight in the school parking lot</v>
      </c>
      <c r="W525"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X525" s="5" t="str">
        <f ca="1">IFERROR(__xludf.DUMMYFUNCTION("""COMPUTED_VALUE"""),"Escalation of Dispute")</f>
        <v>Escalation of Dispute</v>
      </c>
      <c r="Y525" s="5" t="str">
        <f ca="1">IFERROR(__xludf.DUMMYFUNCTION("""COMPUTED_VALUE"""),"Victims Targeted")</f>
        <v>Victims Targeted</v>
      </c>
      <c r="Z525" s="5" t="str">
        <f ca="1">IFERROR(__xludf.DUMMYFUNCTION("""COMPUTED_VALUE"""),"Yes")</f>
        <v>Yes</v>
      </c>
      <c r="AA525" s="5" t="str">
        <f ca="1">IFERROR(__xludf.DUMMYFUNCTION("""COMPUTED_VALUE"""),"2 arrrested")</f>
        <v>2 arrrested</v>
      </c>
      <c r="AB525" s="5" t="str">
        <f ca="1">IFERROR(__xludf.DUMMYFUNCTION("""COMPUTED_VALUE"""),"No")</f>
        <v>No</v>
      </c>
      <c r="AC525" s="5" t="str">
        <f ca="1">IFERROR(__xludf.DUMMYFUNCTION("""COMPUTED_VALUE"""),"No")</f>
        <v>No</v>
      </c>
      <c r="AD525" s="5" t="str">
        <f ca="1">IFERROR(__xludf.DUMMYFUNCTION("""COMPUTED_VALUE"""),"No")</f>
        <v>No</v>
      </c>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row>
    <row r="526" spans="1:34" ht="12.75">
      <c r="A526" s="5" t="str">
        <f ca="1">IFERROR(__xludf.DUMMYFUNCTION("""COMPUTED_VALUE"""),"20200324LAROM")</f>
        <v>20200324LAROM</v>
      </c>
      <c r="B526" s="8">
        <f ca="1">IFERROR(__xludf.DUMMYFUNCTION("""COMPUTED_VALUE"""),43914)</f>
        <v>43914</v>
      </c>
      <c r="C526" s="5" t="str">
        <f ca="1">IFERROR(__xludf.DUMMYFUNCTION("""COMPUTED_VALUE"""),"Roy Shelling Elementary School")</f>
        <v>Roy Shelling Elementary School</v>
      </c>
      <c r="D526" s="5">
        <f ca="1">IFERROR(__xludf.DUMMYFUNCTION("""COMPUTED_VALUE"""),0)</f>
        <v>0</v>
      </c>
      <c r="E526" s="5">
        <f ca="1">IFERROR(__xludf.DUMMYFUNCTION("""COMPUTED_VALUE"""),1)</f>
        <v>1</v>
      </c>
      <c r="F526" s="5">
        <f ca="1">IFERROR(__xludf.DUMMYFUNCTION("""COMPUTED_VALUE"""),1)</f>
        <v>1</v>
      </c>
      <c r="G526" s="5">
        <f ca="1">IFERROR(__xludf.DUMMYFUNCTION("""COMPUTED_VALUE"""),0)</f>
        <v>0</v>
      </c>
      <c r="H526"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I526" s="5"/>
      <c r="J526" s="5"/>
      <c r="K526" s="5">
        <f ca="1">IFERROR(__xludf.DUMMYFUNCTION("""COMPUTED_VALUE"""),4)</f>
        <v>4</v>
      </c>
      <c r="L526" s="5" t="str">
        <f ca="1">IFERROR(__xludf.DUMMYFUNCTION("""COMPUTED_VALUE"""),"Spring")</f>
        <v>Spring</v>
      </c>
      <c r="M526" s="5" t="str">
        <f ca="1">IFERROR(__xludf.DUMMYFUNCTION("""COMPUTED_VALUE"""),"Monroe")</f>
        <v>Monroe</v>
      </c>
      <c r="N526" s="5" t="str">
        <f ca="1">IFERROR(__xludf.DUMMYFUNCTION("""COMPUTED_VALUE"""),"LA")</f>
        <v>LA</v>
      </c>
      <c r="O526" s="5" t="str">
        <f ca="1">IFERROR(__xludf.DUMMYFUNCTION("""COMPUTED_VALUE"""),"Elementary")</f>
        <v>Elementary</v>
      </c>
      <c r="P526" s="5" t="str">
        <f ca="1">IFERROR(__xludf.DUMMYFUNCTION("""COMPUTED_VALUE"""),"Parking Lot")</f>
        <v>Parking Lot</v>
      </c>
      <c r="Q526" s="5" t="str">
        <f ca="1">IFERROR(__xludf.DUMMYFUNCTION("""COMPUTED_VALUE"""),"Outside on School Property")</f>
        <v>Outside on School Property</v>
      </c>
      <c r="R526" s="5" t="str">
        <f ca="1">IFERROR(__xludf.DUMMYFUNCTION("""COMPUTED_VALUE"""),"No")</f>
        <v>No</v>
      </c>
      <c r="S526" s="5" t="str">
        <f ca="1">IFERROR(__xludf.DUMMYFUNCTION("""COMPUTED_VALUE"""),"Not a School Day")</f>
        <v>Not a School Day</v>
      </c>
      <c r="T526" s="10">
        <f ca="1">IFERROR(__xludf.DUMMYFUNCTION("""COMPUTED_VALUE"""),0.675)</f>
        <v>0.67500000000000004</v>
      </c>
      <c r="U526" s="5">
        <f ca="1">IFERROR(__xludf.DUMMYFUNCTION("""COMPUTED_VALUE"""),1)</f>
        <v>1</v>
      </c>
      <c r="V526" s="5" t="str">
        <f ca="1">IFERROR(__xludf.DUMMYFUNCTION("""COMPUTED_VALUE"""),"Male shot during fight between 20 people in school parking lot")</f>
        <v>Male shot during fight between 20 people in school parking lot</v>
      </c>
      <c r="W526"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X526" s="5" t="str">
        <f ca="1">IFERROR(__xludf.DUMMYFUNCTION("""COMPUTED_VALUE"""),"Escalation of Dispute")</f>
        <v>Escalation of Dispute</v>
      </c>
      <c r="Y526" s="5" t="str">
        <f ca="1">IFERROR(__xludf.DUMMYFUNCTION("""COMPUTED_VALUE"""),"Victims Targeted")</f>
        <v>Victims Targeted</v>
      </c>
      <c r="Z526" s="5" t="str">
        <f ca="1">IFERROR(__xludf.DUMMYFUNCTION("""COMPUTED_VALUE"""),"No")</f>
        <v>No</v>
      </c>
      <c r="AA526" s="5"/>
      <c r="AB526" s="5" t="str">
        <f ca="1">IFERROR(__xludf.DUMMYFUNCTION("""COMPUTED_VALUE"""),"No")</f>
        <v>No</v>
      </c>
      <c r="AC526" s="5" t="str">
        <f ca="1">IFERROR(__xludf.DUMMYFUNCTION("""COMPUTED_VALUE"""),"No")</f>
        <v>No</v>
      </c>
      <c r="AD526" s="5" t="str">
        <f ca="1">IFERROR(__xludf.DUMMYFUNCTION("""COMPUTED_VALUE"""),"No")</f>
        <v>No</v>
      </c>
      <c r="AE526" s="5" t="str">
        <f ca="1">IFERROR(__xludf.DUMMYFUNCTION("""COMPUTED_VALUE"""),"No")</f>
        <v>No</v>
      </c>
      <c r="AF526" s="5" t="str">
        <f ca="1">IFERROR(__xludf.DUMMYFUNCTION("""COMPUTED_VALUE"""),"No")</f>
        <v>No</v>
      </c>
      <c r="AG526" s="5" t="str">
        <f ca="1">IFERROR(__xludf.DUMMYFUNCTION("""COMPUTED_VALUE"""),"Yes")</f>
        <v>Yes</v>
      </c>
      <c r="AH526" s="5" t="str">
        <f ca="1">IFERROR(__xludf.DUMMYFUNCTION("""COMPUTED_VALUE"""),"No")</f>
        <v>No</v>
      </c>
    </row>
    <row r="527" spans="1:34" ht="12.75">
      <c r="A527" s="5" t="str">
        <f ca="1">IFERROR(__xludf.DUMMYFUNCTION("""COMPUTED_VALUE"""),"20200318LABOS")</f>
        <v>20200318LABOS</v>
      </c>
      <c r="B527" s="8">
        <f ca="1">IFERROR(__xludf.DUMMYFUNCTION("""COMPUTED_VALUE"""),43908)</f>
        <v>43908</v>
      </c>
      <c r="C527" s="5" t="str">
        <f ca="1">IFERROR(__xludf.DUMMYFUNCTION("""COMPUTED_VALUE"""),"Booker T. Washington High School")</f>
        <v>Booker T. Washington High School</v>
      </c>
      <c r="D527" s="5">
        <f ca="1">IFERROR(__xludf.DUMMYFUNCTION("""COMPUTED_VALUE"""),0)</f>
        <v>0</v>
      </c>
      <c r="E527" s="5">
        <f ca="1">IFERROR(__xludf.DUMMYFUNCTION("""COMPUTED_VALUE"""),1)</f>
        <v>1</v>
      </c>
      <c r="F527" s="5">
        <f ca="1">IFERROR(__xludf.DUMMYFUNCTION("""COMPUTED_VALUE"""),1)</f>
        <v>1</v>
      </c>
      <c r="G527" s="5">
        <f ca="1">IFERROR(__xludf.DUMMYFUNCTION("""COMPUTED_VALUE"""),0)</f>
        <v>0</v>
      </c>
      <c r="H527"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I527" s="5"/>
      <c r="J527" s="5"/>
      <c r="K527" s="5">
        <f ca="1">IFERROR(__xludf.DUMMYFUNCTION("""COMPUTED_VALUE"""),4)</f>
        <v>4</v>
      </c>
      <c r="L527" s="5" t="str">
        <f ca="1">IFERROR(__xludf.DUMMYFUNCTION("""COMPUTED_VALUE"""),"Spring")</f>
        <v>Spring</v>
      </c>
      <c r="M527" s="5" t="str">
        <f ca="1">IFERROR(__xludf.DUMMYFUNCTION("""COMPUTED_VALUE"""),"Shreveport")</f>
        <v>Shreveport</v>
      </c>
      <c r="N527" s="5" t="str">
        <f ca="1">IFERROR(__xludf.DUMMYFUNCTION("""COMPUTED_VALUE"""),"LA")</f>
        <v>LA</v>
      </c>
      <c r="O527" s="5" t="str">
        <f ca="1">IFERROR(__xludf.DUMMYFUNCTION("""COMPUTED_VALUE"""),"High")</f>
        <v>High</v>
      </c>
      <c r="P527" s="5" t="str">
        <f ca="1">IFERROR(__xludf.DUMMYFUNCTION("""COMPUTED_VALUE"""),"Parking Lot")</f>
        <v>Parking Lot</v>
      </c>
      <c r="Q527" s="5" t="str">
        <f ca="1">IFERROR(__xludf.DUMMYFUNCTION("""COMPUTED_VALUE"""),"Outside on School Property")</f>
        <v>Outside on School Property</v>
      </c>
      <c r="R527" s="5" t="str">
        <f ca="1">IFERROR(__xludf.DUMMYFUNCTION("""COMPUTED_VALUE"""),"No")</f>
        <v>No</v>
      </c>
      <c r="S527" s="5" t="str">
        <f ca="1">IFERROR(__xludf.DUMMYFUNCTION("""COMPUTED_VALUE"""),"Night")</f>
        <v>Night</v>
      </c>
      <c r="T527" s="10">
        <f ca="1">IFERROR(__xludf.DUMMYFUNCTION("""COMPUTED_VALUE"""),0.958333333333333)</f>
        <v>0.95833333333333304</v>
      </c>
      <c r="U527" s="5">
        <f ca="1">IFERROR(__xludf.DUMMYFUNCTION("""COMPUTED_VALUE"""),1)</f>
        <v>1</v>
      </c>
      <c r="V527" s="5" t="str">
        <f ca="1">IFERROR(__xludf.DUMMYFUNCTION("""COMPUTED_VALUE"""),"Teen shot outside of school during fight")</f>
        <v>Teen shot outside of school during fight</v>
      </c>
      <c r="W527"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X527" s="5" t="str">
        <f ca="1">IFERROR(__xludf.DUMMYFUNCTION("""COMPUTED_VALUE"""),"Escalation of Dispute")</f>
        <v>Escalation of Dispute</v>
      </c>
      <c r="Y527" s="5" t="str">
        <f ca="1">IFERROR(__xludf.DUMMYFUNCTION("""COMPUTED_VALUE"""),"Victims Targeted")</f>
        <v>Victims Targeted</v>
      </c>
      <c r="Z527" s="5" t="str">
        <f ca="1">IFERROR(__xludf.DUMMYFUNCTION("""COMPUTED_VALUE"""),"No")</f>
        <v>No</v>
      </c>
      <c r="AA527" s="5"/>
      <c r="AB527" s="5" t="str">
        <f ca="1">IFERROR(__xludf.DUMMYFUNCTION("""COMPUTED_VALUE"""),"No")</f>
        <v>No</v>
      </c>
      <c r="AC527" s="5" t="str">
        <f ca="1">IFERROR(__xludf.DUMMYFUNCTION("""COMPUTED_VALUE"""),"No")</f>
        <v>No</v>
      </c>
      <c r="AD527" s="5" t="str">
        <f ca="1">IFERROR(__xludf.DUMMYFUNCTION("""COMPUTED_VALUE"""),"No")</f>
        <v>No</v>
      </c>
      <c r="AE527" s="5" t="str">
        <f ca="1">IFERROR(__xludf.DUMMYFUNCTION("""COMPUTED_VALUE"""),"No")</f>
        <v>No</v>
      </c>
      <c r="AF527" s="5" t="str">
        <f ca="1">IFERROR(__xludf.DUMMYFUNCTION("""COMPUTED_VALUE"""),"No")</f>
        <v>No</v>
      </c>
      <c r="AG527" s="5" t="str">
        <f ca="1">IFERROR(__xludf.DUMMYFUNCTION("""COMPUTED_VALUE"""),"No")</f>
        <v>No</v>
      </c>
      <c r="AH527" s="5" t="str">
        <f ca="1">IFERROR(__xludf.DUMMYFUNCTION("""COMPUTED_VALUE"""),"No")</f>
        <v>No</v>
      </c>
    </row>
    <row r="528" spans="1:34" ht="12.75">
      <c r="A528" s="5" t="str">
        <f ca="1">IFERROR(__xludf.DUMMYFUNCTION("""COMPUTED_VALUE"""),"20200315TXATH")</f>
        <v>20200315TXATH</v>
      </c>
      <c r="B528" s="8">
        <f ca="1">IFERROR(__xludf.DUMMYFUNCTION("""COMPUTED_VALUE"""),43905)</f>
        <v>43905</v>
      </c>
      <c r="C528" s="5" t="str">
        <f ca="1">IFERROR(__xludf.DUMMYFUNCTION("""COMPUTED_VALUE"""),"Atascocita High School")</f>
        <v>Atascocita High School</v>
      </c>
      <c r="D528" s="5">
        <f ca="1">IFERROR(__xludf.DUMMYFUNCTION("""COMPUTED_VALUE"""),1)</f>
        <v>1</v>
      </c>
      <c r="E528" s="5">
        <f ca="1">IFERROR(__xludf.DUMMYFUNCTION("""COMPUTED_VALUE"""),0)</f>
        <v>0</v>
      </c>
      <c r="F528" s="5">
        <f ca="1">IFERROR(__xludf.DUMMYFUNCTION("""COMPUTED_VALUE"""),1)</f>
        <v>1</v>
      </c>
      <c r="G528" s="5">
        <f ca="1">IFERROR(__xludf.DUMMYFUNCTION("""COMPUTED_VALUE"""),0)</f>
        <v>0</v>
      </c>
      <c r="H528"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I528" s="5"/>
      <c r="J528" s="5"/>
      <c r="K528" s="5">
        <f ca="1">IFERROR(__xludf.DUMMYFUNCTION("""COMPUTED_VALUE"""),4)</f>
        <v>4</v>
      </c>
      <c r="L528" s="5" t="str">
        <f ca="1">IFERROR(__xludf.DUMMYFUNCTION("""COMPUTED_VALUE"""),"Spring")</f>
        <v>Spring</v>
      </c>
      <c r="M528" s="5" t="str">
        <f ca="1">IFERROR(__xludf.DUMMYFUNCTION("""COMPUTED_VALUE"""),"Humble")</f>
        <v>Humble</v>
      </c>
      <c r="N528" s="5" t="str">
        <f ca="1">IFERROR(__xludf.DUMMYFUNCTION("""COMPUTED_VALUE"""),"TX")</f>
        <v>TX</v>
      </c>
      <c r="O528" s="5" t="str">
        <f ca="1">IFERROR(__xludf.DUMMYFUNCTION("""COMPUTED_VALUE"""),"High")</f>
        <v>High</v>
      </c>
      <c r="P528" s="5" t="str">
        <f ca="1">IFERROR(__xludf.DUMMYFUNCTION("""COMPUTED_VALUE"""),"Football Field/Track")</f>
        <v>Football Field/Track</v>
      </c>
      <c r="Q528" s="5" t="str">
        <f ca="1">IFERROR(__xludf.DUMMYFUNCTION("""COMPUTED_VALUE"""),"Outside on School Property")</f>
        <v>Outside on School Property</v>
      </c>
      <c r="R528" s="5" t="str">
        <f ca="1">IFERROR(__xludf.DUMMYFUNCTION("""COMPUTED_VALUE"""),"No")</f>
        <v>No</v>
      </c>
      <c r="S528" s="5" t="str">
        <f ca="1">IFERROR(__xludf.DUMMYFUNCTION("""COMPUTED_VALUE"""),"Not a School Day")</f>
        <v>Not a School Day</v>
      </c>
      <c r="T528" s="10">
        <f ca="1">IFERROR(__xludf.DUMMYFUNCTION("""COMPUTED_VALUE"""),0.447916666666666)</f>
        <v>0.44791666666666602</v>
      </c>
      <c r="U528" s="5">
        <f ca="1">IFERROR(__xludf.DUMMYFUNCTION("""COMPUTED_VALUE"""),1)</f>
        <v>1</v>
      </c>
      <c r="V528" s="5" t="str">
        <f ca="1">IFERROR(__xludf.DUMMYFUNCTION("""COMPUTED_VALUE"""),"19YOM former student shot during fight on school football field")</f>
        <v>19YOM former student shot during fight on school football field</v>
      </c>
      <c r="W528"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X528" s="5" t="str">
        <f ca="1">IFERROR(__xludf.DUMMYFUNCTION("""COMPUTED_VALUE"""),"Escalation of Dispute")</f>
        <v>Escalation of Dispute</v>
      </c>
      <c r="Y528" s="5" t="str">
        <f ca="1">IFERROR(__xludf.DUMMYFUNCTION("""COMPUTED_VALUE"""),"Victims Targeted")</f>
        <v>Victims Targeted</v>
      </c>
      <c r="Z528" s="5"/>
      <c r="AA528" s="5" t="str">
        <f ca="1">IFERROR(__xludf.DUMMYFUNCTION("""COMPUTED_VALUE"""),"20-30 men on the field during the shooting")</f>
        <v>20-30 men on the field during the shooting</v>
      </c>
      <c r="AB528" s="5" t="str">
        <f ca="1">IFERROR(__xludf.DUMMYFUNCTION("""COMPUTED_VALUE"""),"No")</f>
        <v>No</v>
      </c>
      <c r="AC528" s="5" t="str">
        <f ca="1">IFERROR(__xludf.DUMMYFUNCTION("""COMPUTED_VALUE"""),"No")</f>
        <v>No</v>
      </c>
      <c r="AD528" s="5" t="str">
        <f ca="1">IFERROR(__xludf.DUMMYFUNCTION("""COMPUTED_VALUE"""),"No")</f>
        <v>No</v>
      </c>
      <c r="AE528" s="5" t="str">
        <f ca="1">IFERROR(__xludf.DUMMYFUNCTION("""COMPUTED_VALUE"""),"No")</f>
        <v>No</v>
      </c>
      <c r="AF528" s="5" t="str">
        <f ca="1">IFERROR(__xludf.DUMMYFUNCTION("""COMPUTED_VALUE"""),"No")</f>
        <v>No</v>
      </c>
      <c r="AG528" s="5" t="str">
        <f ca="1">IFERROR(__xludf.DUMMYFUNCTION("""COMPUTED_VALUE"""),"No")</f>
        <v>No</v>
      </c>
      <c r="AH528" s="5" t="str">
        <f ca="1">IFERROR(__xludf.DUMMYFUNCTION("""COMPUTED_VALUE"""),"No")</f>
        <v>No</v>
      </c>
    </row>
    <row r="529" spans="1:34" ht="12.75">
      <c r="A529" s="5" t="str">
        <f ca="1">IFERROR(__xludf.DUMMYFUNCTION("""COMPUTED_VALUE"""),"20200313TNPIR")</f>
        <v>20200313TNPIR</v>
      </c>
      <c r="B529" s="8">
        <f ca="1">IFERROR(__xludf.DUMMYFUNCTION("""COMPUTED_VALUE"""),43903)</f>
        <v>43903</v>
      </c>
      <c r="C529" s="5" t="str">
        <f ca="1">IFERROR(__xludf.DUMMYFUNCTION("""COMPUTED_VALUE"""),"Pine View Elementary")</f>
        <v>Pine View Elementary</v>
      </c>
      <c r="D529" s="5">
        <f ca="1">IFERROR(__xludf.DUMMYFUNCTION("""COMPUTED_VALUE"""),0)</f>
        <v>0</v>
      </c>
      <c r="E529" s="5">
        <f ca="1">IFERROR(__xludf.DUMMYFUNCTION("""COMPUTED_VALUE"""),0)</f>
        <v>0</v>
      </c>
      <c r="F529" s="5">
        <f ca="1">IFERROR(__xludf.DUMMYFUNCTION("""COMPUTED_VALUE"""),0)</f>
        <v>0</v>
      </c>
      <c r="G529" s="5">
        <f ca="1">IFERROR(__xludf.DUMMYFUNCTION("""COMPUTED_VALUE"""),0)</f>
        <v>0</v>
      </c>
      <c r="H529"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I529" s="5"/>
      <c r="J529" s="5"/>
      <c r="K529" s="5">
        <f ca="1">IFERROR(__xludf.DUMMYFUNCTION("""COMPUTED_VALUE"""),4)</f>
        <v>4</v>
      </c>
      <c r="L529" s="5" t="str">
        <f ca="1">IFERROR(__xludf.DUMMYFUNCTION("""COMPUTED_VALUE"""),"Spring")</f>
        <v>Spring</v>
      </c>
      <c r="M529" s="5" t="str">
        <f ca="1">IFERROR(__xludf.DUMMYFUNCTION("""COMPUTED_VALUE"""),"Rockwood")</f>
        <v>Rockwood</v>
      </c>
      <c r="N529" s="5" t="str">
        <f ca="1">IFERROR(__xludf.DUMMYFUNCTION("""COMPUTED_VALUE"""),"TN")</f>
        <v>TN</v>
      </c>
      <c r="O529" s="5" t="str">
        <f ca="1">IFERROR(__xludf.DUMMYFUNCTION("""COMPUTED_VALUE"""),"Elementary")</f>
        <v>Elementary</v>
      </c>
      <c r="P529" s="5" t="str">
        <f ca="1">IFERROR(__xludf.DUMMYFUNCTION("""COMPUTED_VALUE"""),"Office")</f>
        <v>Office</v>
      </c>
      <c r="Q529" s="5" t="str">
        <f ca="1">IFERROR(__xludf.DUMMYFUNCTION("""COMPUTED_VALUE"""),"Inside School Building")</f>
        <v>Inside School Building</v>
      </c>
      <c r="R529" s="5" t="str">
        <f ca="1">IFERROR(__xludf.DUMMYFUNCTION("""COMPUTED_VALUE"""),"Yes")</f>
        <v>Yes</v>
      </c>
      <c r="S529" s="5" t="str">
        <f ca="1">IFERROR(__xludf.DUMMYFUNCTION("""COMPUTED_VALUE"""),"Morning Classes")</f>
        <v>Morning Classes</v>
      </c>
      <c r="T529" s="5"/>
      <c r="U529" s="5">
        <f ca="1">IFERROR(__xludf.DUMMYFUNCTION("""COMPUTED_VALUE"""),1)</f>
        <v>1</v>
      </c>
      <c r="V529" s="5" t="str">
        <f ca="1">IFERROR(__xludf.DUMMYFUNCTION("""COMPUTED_VALUE"""),"SRO discharged firearm inside his office in the school")</f>
        <v>SRO discharged firearm inside his office in the school</v>
      </c>
      <c r="W529"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X529" s="5" t="str">
        <f ca="1">IFERROR(__xludf.DUMMYFUNCTION("""COMPUTED_VALUE"""),"Accidental")</f>
        <v>Accidental</v>
      </c>
      <c r="Y529" s="5" t="str">
        <f ca="1">IFERROR(__xludf.DUMMYFUNCTION("""COMPUTED_VALUE"""),"Neither")</f>
        <v>Neither</v>
      </c>
      <c r="Z529" s="5" t="str">
        <f ca="1">IFERROR(__xludf.DUMMYFUNCTION("""COMPUTED_VALUE"""),"No")</f>
        <v>No</v>
      </c>
      <c r="AA529" s="5"/>
      <c r="AB529" s="5" t="str">
        <f ca="1">IFERROR(__xludf.DUMMYFUNCTION("""COMPUTED_VALUE"""),"No")</f>
        <v>No</v>
      </c>
      <c r="AC529" s="5" t="str">
        <f ca="1">IFERROR(__xludf.DUMMYFUNCTION("""COMPUTED_VALUE"""),"No")</f>
        <v>No</v>
      </c>
      <c r="AD529" s="5" t="str">
        <f ca="1">IFERROR(__xludf.DUMMYFUNCTION("""COMPUTED_VALUE"""),"Yes")</f>
        <v>Yes</v>
      </c>
      <c r="AE529" s="5" t="str">
        <f ca="1">IFERROR(__xludf.DUMMYFUNCTION("""COMPUTED_VALUE"""),"N/A")</f>
        <v>N/A</v>
      </c>
      <c r="AF529" s="5" t="str">
        <f ca="1">IFERROR(__xludf.DUMMYFUNCTION("""COMPUTED_VALUE"""),"N/A")</f>
        <v>N/A</v>
      </c>
      <c r="AG529" s="5" t="str">
        <f ca="1">IFERROR(__xludf.DUMMYFUNCTION("""COMPUTED_VALUE"""),"N/A")</f>
        <v>N/A</v>
      </c>
      <c r="AH529" s="5" t="str">
        <f ca="1">IFERROR(__xludf.DUMMYFUNCTION("""COMPUTED_VALUE"""),"N/A")</f>
        <v>N/A</v>
      </c>
    </row>
    <row r="530" spans="1:34" ht="12.75">
      <c r="A530" s="5" t="str">
        <f ca="1">IFERROR(__xludf.DUMMYFUNCTION("""COMPUTED_VALUE"""),"20200310PASHN")</f>
        <v>20200310PASHN</v>
      </c>
      <c r="B530" s="8">
        <f ca="1">IFERROR(__xludf.DUMMYFUNCTION("""COMPUTED_VALUE"""),43900)</f>
        <v>43900</v>
      </c>
      <c r="C530" s="5" t="str">
        <f ca="1">IFERROR(__xludf.DUMMYFUNCTION("""COMPUTED_VALUE"""),"Shenango Area Schools (bus)")</f>
        <v>Shenango Area Schools (bus)</v>
      </c>
      <c r="D530" s="5">
        <f ca="1">IFERROR(__xludf.DUMMYFUNCTION("""COMPUTED_VALUE"""),0)</f>
        <v>0</v>
      </c>
      <c r="E530" s="5">
        <f ca="1">IFERROR(__xludf.DUMMYFUNCTION("""COMPUTED_VALUE"""),0)</f>
        <v>0</v>
      </c>
      <c r="F530" s="5">
        <f ca="1">IFERROR(__xludf.DUMMYFUNCTION("""COMPUTED_VALUE"""),0)</f>
        <v>0</v>
      </c>
      <c r="G530" s="5">
        <f ca="1">IFERROR(__xludf.DUMMYFUNCTION("""COMPUTED_VALUE"""),0)</f>
        <v>0</v>
      </c>
      <c r="H530"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I530" s="5">
        <f ca="1">IFERROR(__xludf.DUMMYFUNCTION("""COMPUTED_VALUE"""),5)</f>
        <v>5</v>
      </c>
      <c r="J530" s="5" t="str">
        <f ca="1">IFERROR(__xludf.DUMMYFUNCTION("""COMPUTED_VALUE"""),"Local")</f>
        <v>Local</v>
      </c>
      <c r="K530" s="5">
        <f ca="1">IFERROR(__xludf.DUMMYFUNCTION("""COMPUTED_VALUE"""),5)</f>
        <v>5</v>
      </c>
      <c r="L530" s="5" t="str">
        <f ca="1">IFERROR(__xludf.DUMMYFUNCTION("""COMPUTED_VALUE"""),"Spring")</f>
        <v>Spring</v>
      </c>
      <c r="M530" s="5" t="str">
        <f ca="1">IFERROR(__xludf.DUMMYFUNCTION("""COMPUTED_VALUE"""),"New Castle")</f>
        <v>New Castle</v>
      </c>
      <c r="N530" s="5" t="str">
        <f ca="1">IFERROR(__xludf.DUMMYFUNCTION("""COMPUTED_VALUE"""),"PA")</f>
        <v>PA</v>
      </c>
      <c r="O530" s="5" t="str">
        <f ca="1">IFERROR(__xludf.DUMMYFUNCTION("""COMPUTED_VALUE"""),"Elementary")</f>
        <v>Elementary</v>
      </c>
      <c r="P530" s="5" t="str">
        <f ca="1">IFERROR(__xludf.DUMMYFUNCTION("""COMPUTED_VALUE"""),"School Bus")</f>
        <v>School Bus</v>
      </c>
      <c r="Q530" s="5" t="str">
        <f ca="1">IFERROR(__xludf.DUMMYFUNCTION("""COMPUTED_VALUE"""),"School Bus")</f>
        <v>School Bus</v>
      </c>
      <c r="R530" s="5" t="str">
        <f ca="1">IFERROR(__xludf.DUMMYFUNCTION("""COMPUTED_VALUE"""),"Yes")</f>
        <v>Yes</v>
      </c>
      <c r="S530" s="5" t="str">
        <f ca="1">IFERROR(__xludf.DUMMYFUNCTION("""COMPUTED_VALUE"""),"School Start")</f>
        <v>School Start</v>
      </c>
      <c r="T530" s="10">
        <f ca="1">IFERROR(__xludf.DUMMYFUNCTION("""COMPUTED_VALUE"""),0.363194444444444)</f>
        <v>0.36319444444444399</v>
      </c>
      <c r="U530" s="5">
        <f ca="1">IFERROR(__xludf.DUMMYFUNCTION("""COMPUTED_VALUE"""),1)</f>
        <v>1</v>
      </c>
      <c r="V530" s="5" t="str">
        <f ca="1">IFERROR(__xludf.DUMMYFUNCTION("""COMPUTED_VALUE"""),"Adult male fired shot breaking two windows of school van with elementary school students abroad")</f>
        <v>Adult male fired shot breaking two windows of school van with elementary school students abroad</v>
      </c>
      <c r="W530"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X530" s="5" t="str">
        <f ca="1">IFERROR(__xludf.DUMMYFUNCTION("""COMPUTED_VALUE"""),"Indiscriminate Shooting")</f>
        <v>Indiscriminate Shooting</v>
      </c>
      <c r="Y530" s="5"/>
      <c r="Z530" s="5" t="str">
        <f ca="1">IFERROR(__xludf.DUMMYFUNCTION("""COMPUTED_VALUE"""),"No")</f>
        <v>No</v>
      </c>
      <c r="AA530" s="5"/>
      <c r="AB530" s="5" t="str">
        <f ca="1">IFERROR(__xludf.DUMMYFUNCTION("""COMPUTED_VALUE"""),"No")</f>
        <v>No</v>
      </c>
      <c r="AC530" s="5" t="str">
        <f ca="1">IFERROR(__xludf.DUMMYFUNCTION("""COMPUTED_VALUE"""),"No")</f>
        <v>No</v>
      </c>
      <c r="AD530" s="5" t="str">
        <f ca="1">IFERROR(__xludf.DUMMYFUNCTION("""COMPUTED_VALUE"""),"No")</f>
        <v>No</v>
      </c>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row>
    <row r="531" spans="1:34" ht="12.75">
      <c r="A531" s="5" t="str">
        <f ca="1">IFERROR(__xludf.DUMMYFUNCTION("""COMPUTED_VALUE"""),"20200305FLSAW")</f>
        <v>20200305FLSAW</v>
      </c>
      <c r="B531" s="8">
        <f ca="1">IFERROR(__xludf.DUMMYFUNCTION("""COMPUTED_VALUE"""),43895)</f>
        <v>43895</v>
      </c>
      <c r="C531" s="5" t="str">
        <f ca="1">IFERROR(__xludf.DUMMYFUNCTION("""COMPUTED_VALUE"""),"Sagemont School")</f>
        <v>Sagemont School</v>
      </c>
      <c r="D531" s="5">
        <f ca="1">IFERROR(__xludf.DUMMYFUNCTION("""COMPUTED_VALUE"""),0)</f>
        <v>0</v>
      </c>
      <c r="E531" s="5">
        <f ca="1">IFERROR(__xludf.DUMMYFUNCTION("""COMPUTED_VALUE"""),1)</f>
        <v>1</v>
      </c>
      <c r="F531" s="5">
        <f ca="1">IFERROR(__xludf.DUMMYFUNCTION("""COMPUTED_VALUE"""),1)</f>
        <v>1</v>
      </c>
      <c r="G531" s="5">
        <f ca="1">IFERROR(__xludf.DUMMYFUNCTION("""COMPUTED_VALUE"""),0)</f>
        <v>0</v>
      </c>
      <c r="H531"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I531" s="5"/>
      <c r="J531" s="5"/>
      <c r="K531" s="5">
        <f ca="1">IFERROR(__xludf.DUMMYFUNCTION("""COMPUTED_VALUE"""),4)</f>
        <v>4</v>
      </c>
      <c r="L531" s="5" t="str">
        <f ca="1">IFERROR(__xludf.DUMMYFUNCTION("""COMPUTED_VALUE"""),"Spring")</f>
        <v>Spring</v>
      </c>
      <c r="M531" s="5" t="str">
        <f ca="1">IFERROR(__xludf.DUMMYFUNCTION("""COMPUTED_VALUE"""),"Weston")</f>
        <v>Weston</v>
      </c>
      <c r="N531" s="5" t="str">
        <f ca="1">IFERROR(__xludf.DUMMYFUNCTION("""COMPUTED_VALUE"""),"FL")</f>
        <v>FL</v>
      </c>
      <c r="O531" s="5" t="str">
        <f ca="1">IFERROR(__xludf.DUMMYFUNCTION("""COMPUTED_VALUE"""),"K-12")</f>
        <v>K-12</v>
      </c>
      <c r="P531" s="5" t="str">
        <f ca="1">IFERROR(__xludf.DUMMYFUNCTION("""COMPUTED_VALUE"""),"Parking Lot")</f>
        <v>Parking Lot</v>
      </c>
      <c r="Q531" s="5" t="str">
        <f ca="1">IFERROR(__xludf.DUMMYFUNCTION("""COMPUTED_VALUE"""),"Outside on School Property")</f>
        <v>Outside on School Property</v>
      </c>
      <c r="R531" s="5" t="str">
        <f ca="1">IFERROR(__xludf.DUMMYFUNCTION("""COMPUTED_VALUE"""),"Yes")</f>
        <v>Yes</v>
      </c>
      <c r="S531" s="5" t="str">
        <f ca="1">IFERROR(__xludf.DUMMYFUNCTION("""COMPUTED_VALUE"""),"Lunch")</f>
        <v>Lunch</v>
      </c>
      <c r="T531" s="10">
        <f ca="1">IFERROR(__xludf.DUMMYFUNCTION("""COMPUTED_VALUE"""),0.513888888888888)</f>
        <v>0.51388888888888795</v>
      </c>
      <c r="U531" s="5">
        <f ca="1">IFERROR(__xludf.DUMMYFUNCTION("""COMPUTED_VALUE"""),1)</f>
        <v>1</v>
      </c>
      <c r="V531" s="5" t="str">
        <f ca="1">IFERROR(__xludf.DUMMYFUNCTION("""COMPUTED_VALUE"""),"School security officer was showing off gun and accidentally shot another school employee")</f>
        <v>School security officer was showing off gun and accidentally shot another school employee</v>
      </c>
      <c r="W531"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X531" s="5" t="str">
        <f ca="1">IFERROR(__xludf.DUMMYFUNCTION("""COMPUTED_VALUE"""),"Accidental")</f>
        <v>Accidental</v>
      </c>
      <c r="Y531" s="5" t="str">
        <f ca="1">IFERROR(__xludf.DUMMYFUNCTION("""COMPUTED_VALUE"""),"Random Shooting")</f>
        <v>Random Shooting</v>
      </c>
      <c r="Z531" s="5" t="str">
        <f ca="1">IFERROR(__xludf.DUMMYFUNCTION("""COMPUTED_VALUE"""),"No")</f>
        <v>No</v>
      </c>
      <c r="AA531" s="5"/>
      <c r="AB531" s="5" t="str">
        <f ca="1">IFERROR(__xludf.DUMMYFUNCTION("""COMPUTED_VALUE"""),"No")</f>
        <v>No</v>
      </c>
      <c r="AC531" s="5" t="str">
        <f ca="1">IFERROR(__xludf.DUMMYFUNCTION("""COMPUTED_VALUE"""),"No")</f>
        <v>No</v>
      </c>
      <c r="AD531" s="5" t="str">
        <f ca="1">IFERROR(__xludf.DUMMYFUNCTION("""COMPUTED_VALUE"""),"No")</f>
        <v>No</v>
      </c>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row>
    <row r="532" spans="1:34" ht="12.75">
      <c r="A532" s="5" t="str">
        <f ca="1">IFERROR(__xludf.DUMMYFUNCTION("""COMPUTED_VALUE"""),"20200302TXNOF")</f>
        <v>20200302TXNOF</v>
      </c>
      <c r="B532" s="8">
        <f ca="1">IFERROR(__xludf.DUMMYFUNCTION("""COMPUTED_VALUE"""),43892)</f>
        <v>43892</v>
      </c>
      <c r="C532" s="5" t="str">
        <f ca="1">IFERROR(__xludf.DUMMYFUNCTION("""COMPUTED_VALUE"""),"North Forney High School")</f>
        <v>North Forney High School</v>
      </c>
      <c r="D532" s="5">
        <f ca="1">IFERROR(__xludf.DUMMYFUNCTION("""COMPUTED_VALUE"""),0)</f>
        <v>0</v>
      </c>
      <c r="E532" s="5">
        <f ca="1">IFERROR(__xludf.DUMMYFUNCTION("""COMPUTED_VALUE"""),0)</f>
        <v>0</v>
      </c>
      <c r="F532" s="5">
        <f ca="1">IFERROR(__xludf.DUMMYFUNCTION("""COMPUTED_VALUE"""),0)</f>
        <v>0</v>
      </c>
      <c r="G532" s="5">
        <f ca="1">IFERROR(__xludf.DUMMYFUNCTION("""COMPUTED_VALUE"""),0)</f>
        <v>0</v>
      </c>
      <c r="H532"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I532" s="5"/>
      <c r="J532" s="5"/>
      <c r="K532" s="5">
        <f ca="1">IFERROR(__xludf.DUMMYFUNCTION("""COMPUTED_VALUE"""),4)</f>
        <v>4</v>
      </c>
      <c r="L532" s="5" t="str">
        <f ca="1">IFERROR(__xludf.DUMMYFUNCTION("""COMPUTED_VALUE"""),"Spring")</f>
        <v>Spring</v>
      </c>
      <c r="M532" s="5" t="str">
        <f ca="1">IFERROR(__xludf.DUMMYFUNCTION("""COMPUTED_VALUE"""),"Forney")</f>
        <v>Forney</v>
      </c>
      <c r="N532" s="5" t="str">
        <f ca="1">IFERROR(__xludf.DUMMYFUNCTION("""COMPUTED_VALUE"""),"TX")</f>
        <v>TX</v>
      </c>
      <c r="O532" s="5" t="str">
        <f ca="1">IFERROR(__xludf.DUMMYFUNCTION("""COMPUTED_VALUE"""),"High")</f>
        <v>High</v>
      </c>
      <c r="P532" s="5" t="str">
        <f ca="1">IFERROR(__xludf.DUMMYFUNCTION("""COMPUTED_VALUE"""),"Inside School Building")</f>
        <v>Inside School Building</v>
      </c>
      <c r="Q532" s="5" t="str">
        <f ca="1">IFERROR(__xludf.DUMMYFUNCTION("""COMPUTED_VALUE"""),"Inside School Building")</f>
        <v>Inside School Building</v>
      </c>
      <c r="R532" s="5" t="str">
        <f ca="1">IFERROR(__xludf.DUMMYFUNCTION("""COMPUTED_VALUE"""),"Yes")</f>
        <v>Yes</v>
      </c>
      <c r="S532" s="5" t="str">
        <f ca="1">IFERROR(__xludf.DUMMYFUNCTION("""COMPUTED_VALUE"""),"Morning Classes")</f>
        <v>Morning Classes</v>
      </c>
      <c r="T532" s="10">
        <f ca="1">IFERROR(__xludf.DUMMYFUNCTION("""COMPUTED_VALUE"""),0.458333333333333)</f>
        <v>0.45833333333333298</v>
      </c>
      <c r="U532" s="5">
        <f ca="1">IFERROR(__xludf.DUMMYFUNCTION("""COMPUTED_VALUE"""),1)</f>
        <v>1</v>
      </c>
      <c r="V532" s="5" t="str">
        <f ca="1">IFERROR(__xludf.DUMMYFUNCTION("""COMPUTED_VALUE"""),"Accidental discharge showing off gun")</f>
        <v>Accidental discharge showing off gun</v>
      </c>
      <c r="W532"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X532" s="5" t="str">
        <f ca="1">IFERROR(__xludf.DUMMYFUNCTION("""COMPUTED_VALUE"""),"Accidental")</f>
        <v>Accidental</v>
      </c>
      <c r="Y532" s="5" t="str">
        <f ca="1">IFERROR(__xludf.DUMMYFUNCTION("""COMPUTED_VALUE"""),"Neither")</f>
        <v>Neither</v>
      </c>
      <c r="Z532" s="5" t="str">
        <f ca="1">IFERROR(__xludf.DUMMYFUNCTION("""COMPUTED_VALUE"""),"No")</f>
        <v>No</v>
      </c>
      <c r="AA532" s="5"/>
      <c r="AB532" s="5" t="str">
        <f ca="1">IFERROR(__xludf.DUMMYFUNCTION("""COMPUTED_VALUE"""),"No")</f>
        <v>No</v>
      </c>
      <c r="AC532" s="5" t="str">
        <f ca="1">IFERROR(__xludf.DUMMYFUNCTION("""COMPUTED_VALUE"""),"No")</f>
        <v>No</v>
      </c>
      <c r="AD532" s="5" t="str">
        <f ca="1">IFERROR(__xludf.DUMMYFUNCTION("""COMPUTED_VALUE"""),"No")</f>
        <v>No</v>
      </c>
      <c r="AE532" s="5" t="str">
        <f ca="1">IFERROR(__xludf.DUMMYFUNCTION("""COMPUTED_VALUE"""),"No")</f>
        <v>No</v>
      </c>
      <c r="AF532" s="5" t="str">
        <f ca="1">IFERROR(__xludf.DUMMYFUNCTION("""COMPUTED_VALUE"""),"No")</f>
        <v>No</v>
      </c>
      <c r="AG532" s="5" t="str">
        <f ca="1">IFERROR(__xludf.DUMMYFUNCTION("""COMPUTED_VALUE"""),"No")</f>
        <v>No</v>
      </c>
      <c r="AH532" s="5" t="str">
        <f ca="1">IFERROR(__xludf.DUMMYFUNCTION("""COMPUTED_VALUE"""),"No")</f>
        <v>No</v>
      </c>
    </row>
    <row r="533" spans="1:34" ht="12.75">
      <c r="A533" s="5" t="str">
        <f ca="1">IFERROR(__xludf.DUMMYFUNCTION("""COMPUTED_VALUE"""),"20200221NMCEA")</f>
        <v>20200221NMCEA</v>
      </c>
      <c r="B533" s="8">
        <f ca="1">IFERROR(__xludf.DUMMYFUNCTION("""COMPUTED_VALUE"""),43882)</f>
        <v>43882</v>
      </c>
      <c r="C533" s="5" t="str">
        <f ca="1">IFERROR(__xludf.DUMMYFUNCTION("""COMPUTED_VALUE"""),"Cesar Chavez Community School")</f>
        <v>Cesar Chavez Community School</v>
      </c>
      <c r="D533" s="5">
        <f ca="1">IFERROR(__xludf.DUMMYFUNCTION("""COMPUTED_VALUE"""),0)</f>
        <v>0</v>
      </c>
      <c r="E533" s="5">
        <f ca="1">IFERROR(__xludf.DUMMYFUNCTION("""COMPUTED_VALUE"""),0)</f>
        <v>0</v>
      </c>
      <c r="F533" s="5">
        <f ca="1">IFERROR(__xludf.DUMMYFUNCTION("""COMPUTED_VALUE"""),0)</f>
        <v>0</v>
      </c>
      <c r="G533" s="5">
        <f ca="1">IFERROR(__xludf.DUMMYFUNCTION("""COMPUTED_VALUE"""),0)</f>
        <v>0</v>
      </c>
      <c r="H533" s="9" t="str">
        <f ca="1">IFERROR(__xludf.DUMMYFUNCTION("""COMPUTED_VALUE"""),"https://www.abqjournal.com/1424911/apd-drive-by-sent-bullets-flying-into-abq-school.html")</f>
        <v>https://www.abqjournal.com/1424911/apd-drive-by-sent-bullets-flying-into-abq-school.html</v>
      </c>
      <c r="I533" s="5"/>
      <c r="J533" s="5"/>
      <c r="K533" s="5">
        <f ca="1">IFERROR(__xludf.DUMMYFUNCTION("""COMPUTED_VALUE"""),4)</f>
        <v>4</v>
      </c>
      <c r="L533" s="5" t="str">
        <f ca="1">IFERROR(__xludf.DUMMYFUNCTION("""COMPUTED_VALUE"""),"Winter")</f>
        <v>Winter</v>
      </c>
      <c r="M533" s="5" t="str">
        <f ca="1">IFERROR(__xludf.DUMMYFUNCTION("""COMPUTED_VALUE"""),"Albuquerque")</f>
        <v>Albuquerque</v>
      </c>
      <c r="N533" s="5" t="str">
        <f ca="1">IFERROR(__xludf.DUMMYFUNCTION("""COMPUTED_VALUE"""),"NM")</f>
        <v>NM</v>
      </c>
      <c r="O533" s="5" t="str">
        <f ca="1">IFERROR(__xludf.DUMMYFUNCTION("""COMPUTED_VALUE"""),"Other")</f>
        <v>Other</v>
      </c>
      <c r="P533" s="5" t="str">
        <f ca="1">IFERROR(__xludf.DUMMYFUNCTION("""COMPUTED_VALUE"""),"Front of School")</f>
        <v>Front of School</v>
      </c>
      <c r="Q533" s="5" t="str">
        <f ca="1">IFERROR(__xludf.DUMMYFUNCTION("""COMPUTED_VALUE"""),"Outside on School Property")</f>
        <v>Outside on School Property</v>
      </c>
      <c r="R533" s="5" t="str">
        <f ca="1">IFERROR(__xludf.DUMMYFUNCTION("""COMPUTED_VALUE"""),"Yes")</f>
        <v>Yes</v>
      </c>
      <c r="S533" s="5" t="str">
        <f ca="1">IFERROR(__xludf.DUMMYFUNCTION("""COMPUTED_VALUE"""),"Morning Classes")</f>
        <v>Morning Classes</v>
      </c>
      <c r="T533" s="10">
        <f ca="1">IFERROR(__xludf.DUMMYFUNCTION("""COMPUTED_VALUE"""),0.472222222222222)</f>
        <v>0.47222222222222199</v>
      </c>
      <c r="U533" s="5">
        <f ca="1">IFERROR(__xludf.DUMMYFUNCTION("""COMPUTED_VALUE"""),1)</f>
        <v>1</v>
      </c>
      <c r="V533" s="5" t="str">
        <f ca="1">IFERROR(__xludf.DUMMYFUNCTION("""COMPUTED_VALUE"""),"Shots fired from vehicle struck school damaging screen inside classroom")</f>
        <v>Shots fired from vehicle struck school damaging screen inside classroom</v>
      </c>
      <c r="W533"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X533" s="5" t="str">
        <f ca="1">IFERROR(__xludf.DUMMYFUNCTION("""COMPUTED_VALUE"""),"Drive-by Shooting")</f>
        <v>Drive-by Shooting</v>
      </c>
      <c r="Y533" s="5" t="str">
        <f ca="1">IFERROR(__xludf.DUMMYFUNCTION("""COMPUTED_VALUE"""),"Victims Targeted")</f>
        <v>Victims Targeted</v>
      </c>
      <c r="Z533" s="5"/>
      <c r="AA533" s="5" t="str">
        <f ca="1">IFERROR(__xludf.DUMMYFUNCTION("""COMPUTED_VALUE"""),"Fired from vehicle")</f>
        <v>Fired from vehicle</v>
      </c>
      <c r="AB533" s="5" t="str">
        <f ca="1">IFERROR(__xludf.DUMMYFUNCTION("""COMPUTED_VALUE"""),"No")</f>
        <v>No</v>
      </c>
      <c r="AC533" s="5" t="str">
        <f ca="1">IFERROR(__xludf.DUMMYFUNCTION("""COMPUTED_VALUE"""),"No")</f>
        <v>No</v>
      </c>
      <c r="AD533" s="5" t="str">
        <f ca="1">IFERROR(__xludf.DUMMYFUNCTION("""COMPUTED_VALUE"""),"No")</f>
        <v>No</v>
      </c>
      <c r="AE533" s="5" t="str">
        <f ca="1">IFERROR(__xludf.DUMMYFUNCTION("""COMPUTED_VALUE"""),"No")</f>
        <v>No</v>
      </c>
      <c r="AF533" s="5" t="str">
        <f ca="1">IFERROR(__xludf.DUMMYFUNCTION("""COMPUTED_VALUE"""),"No")</f>
        <v>No</v>
      </c>
      <c r="AG533" s="5"/>
      <c r="AH533" s="5" t="str">
        <f ca="1">IFERROR(__xludf.DUMMYFUNCTION("""COMPUTED_VALUE"""),"No")</f>
        <v>No</v>
      </c>
    </row>
    <row r="534" spans="1:34" ht="12.75">
      <c r="A534" s="5" t="str">
        <f ca="1">IFERROR(__xludf.DUMMYFUNCTION("""COMPUTED_VALUE"""),"20200215DCDUW")</f>
        <v>20200215DCDUW</v>
      </c>
      <c r="B534" s="8">
        <f ca="1">IFERROR(__xludf.DUMMYFUNCTION("""COMPUTED_VALUE"""),43876)</f>
        <v>43876</v>
      </c>
      <c r="C534" s="5" t="str">
        <f ca="1">IFERROR(__xludf.DUMMYFUNCTION("""COMPUTED_VALUE"""),"Dunbar High School")</f>
        <v>Dunbar High School</v>
      </c>
      <c r="D534" s="5">
        <f ca="1">IFERROR(__xludf.DUMMYFUNCTION("""COMPUTED_VALUE"""),1)</f>
        <v>1</v>
      </c>
      <c r="E534" s="5">
        <f ca="1">IFERROR(__xludf.DUMMYFUNCTION("""COMPUTED_VALUE"""),0)</f>
        <v>0</v>
      </c>
      <c r="F534" s="5">
        <f ca="1">IFERROR(__xludf.DUMMYFUNCTION("""COMPUTED_VALUE"""),1)</f>
        <v>1</v>
      </c>
      <c r="G534" s="5">
        <f ca="1">IFERROR(__xludf.DUMMYFUNCTION("""COMPUTED_VALUE"""),0)</f>
        <v>0</v>
      </c>
      <c r="H534"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I534" s="5"/>
      <c r="J534" s="5"/>
      <c r="K534" s="5">
        <f ca="1">IFERROR(__xludf.DUMMYFUNCTION("""COMPUTED_VALUE"""),4)</f>
        <v>4</v>
      </c>
      <c r="L534" s="5" t="str">
        <f ca="1">IFERROR(__xludf.DUMMYFUNCTION("""COMPUTED_VALUE"""),"Winter")</f>
        <v>Winter</v>
      </c>
      <c r="M534" s="5" t="str">
        <f ca="1">IFERROR(__xludf.DUMMYFUNCTION("""COMPUTED_VALUE"""),"Washington")</f>
        <v>Washington</v>
      </c>
      <c r="N534" s="5" t="str">
        <f ca="1">IFERROR(__xludf.DUMMYFUNCTION("""COMPUTED_VALUE"""),"DC")</f>
        <v>DC</v>
      </c>
      <c r="O534" s="5" t="str">
        <f ca="1">IFERROR(__xludf.DUMMYFUNCTION("""COMPUTED_VALUE"""),"High")</f>
        <v>High</v>
      </c>
      <c r="P534" s="5" t="str">
        <f ca="1">IFERROR(__xludf.DUMMYFUNCTION("""COMPUTED_VALUE"""),"Front of School")</f>
        <v>Front of School</v>
      </c>
      <c r="Q534" s="5" t="str">
        <f ca="1">IFERROR(__xludf.DUMMYFUNCTION("""COMPUTED_VALUE"""),"Outside on School Property")</f>
        <v>Outside on School Property</v>
      </c>
      <c r="R534" s="5" t="str">
        <f ca="1">IFERROR(__xludf.DUMMYFUNCTION("""COMPUTED_VALUE"""),"No")</f>
        <v>No</v>
      </c>
      <c r="S534" s="5" t="str">
        <f ca="1">IFERROR(__xludf.DUMMYFUNCTION("""COMPUTED_VALUE"""),"Sport Event")</f>
        <v>Sport Event</v>
      </c>
      <c r="T534" s="10">
        <f ca="1">IFERROR(__xludf.DUMMYFUNCTION("""COMPUTED_VALUE"""),0.75)</f>
        <v>0.75</v>
      </c>
      <c r="U534" s="5">
        <f ca="1">IFERROR(__xludf.DUMMYFUNCTION("""COMPUTED_VALUE"""),1)</f>
        <v>1</v>
      </c>
      <c r="V534" s="5" t="str">
        <f ca="1">IFERROR(__xludf.DUMMYFUNCTION("""COMPUTED_VALUE"""),"Adult male shot and killed in front of school during basketball game")</f>
        <v>Adult male shot and killed in front of school during basketball game</v>
      </c>
      <c r="W534"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X534" s="5" t="str">
        <f ca="1">IFERROR(__xludf.DUMMYFUNCTION("""COMPUTED_VALUE"""),"Drive-by Shooting")</f>
        <v>Drive-by Shooting</v>
      </c>
      <c r="Y534" s="5"/>
      <c r="Z534" s="5"/>
      <c r="AA534" s="5" t="str">
        <f ca="1">IFERROR(__xludf.DUMMYFUNCTION("""COMPUTED_VALUE"""),"Shots fired from vehicle")</f>
        <v>Shots fired from vehicle</v>
      </c>
      <c r="AB534" s="5" t="str">
        <f ca="1">IFERROR(__xludf.DUMMYFUNCTION("""COMPUTED_VALUE"""),"No")</f>
        <v>No</v>
      </c>
      <c r="AC534" s="5" t="str">
        <f ca="1">IFERROR(__xludf.DUMMYFUNCTION("""COMPUTED_VALUE"""),"No")</f>
        <v>No</v>
      </c>
      <c r="AD534" s="5" t="str">
        <f ca="1">IFERROR(__xludf.DUMMYFUNCTION("""COMPUTED_VALUE"""),"No")</f>
        <v>No</v>
      </c>
      <c r="AE534" s="5" t="str">
        <f ca="1">IFERROR(__xludf.DUMMYFUNCTION("""COMPUTED_VALUE"""),"No")</f>
        <v>No</v>
      </c>
      <c r="AF534" s="5" t="str">
        <f ca="1">IFERROR(__xludf.DUMMYFUNCTION("""COMPUTED_VALUE"""),"No")</f>
        <v>No</v>
      </c>
      <c r="AG534" s="5"/>
      <c r="AH534" s="5" t="str">
        <f ca="1">IFERROR(__xludf.DUMMYFUNCTION("""COMPUTED_VALUE"""),"No")</f>
        <v>No</v>
      </c>
    </row>
    <row r="535" spans="1:34" ht="12.75">
      <c r="A535" s="5" t="str">
        <f ca="1">IFERROR(__xludf.DUMMYFUNCTION("""COMPUTED_VALUE"""),"20200212MOJOF")</f>
        <v>20200212MOJOF</v>
      </c>
      <c r="B535" s="8">
        <f ca="1">IFERROR(__xludf.DUMMYFUNCTION("""COMPUTED_VALUE"""),43873)</f>
        <v>43873</v>
      </c>
      <c r="C535" s="5" t="str">
        <f ca="1">IFERROR(__xludf.DUMMYFUNCTION("""COMPUTED_VALUE"""),"Johnson-Wabash Elementary School")</f>
        <v>Johnson-Wabash Elementary School</v>
      </c>
      <c r="D535" s="5">
        <f ca="1">IFERROR(__xludf.DUMMYFUNCTION("""COMPUTED_VALUE"""),0)</f>
        <v>0</v>
      </c>
      <c r="E535" s="5">
        <f ca="1">IFERROR(__xludf.DUMMYFUNCTION("""COMPUTED_VALUE"""),0)</f>
        <v>0</v>
      </c>
      <c r="F535" s="5">
        <f ca="1">IFERROR(__xludf.DUMMYFUNCTION("""COMPUTED_VALUE"""),0)</f>
        <v>0</v>
      </c>
      <c r="G535" s="5">
        <f ca="1">IFERROR(__xludf.DUMMYFUNCTION("""COMPUTED_VALUE"""),0)</f>
        <v>0</v>
      </c>
      <c r="H535"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I535" s="5"/>
      <c r="J535" s="5" t="str">
        <f ca="1">IFERROR(__xludf.DUMMYFUNCTION("""COMPUTED_VALUE"""),"Local")</f>
        <v>Local</v>
      </c>
      <c r="K535" s="5">
        <f ca="1">IFERROR(__xludf.DUMMYFUNCTION("""COMPUTED_VALUE"""),4)</f>
        <v>4</v>
      </c>
      <c r="L535" s="5" t="str">
        <f ca="1">IFERROR(__xludf.DUMMYFUNCTION("""COMPUTED_VALUE"""),"Winter")</f>
        <v>Winter</v>
      </c>
      <c r="M535" s="5" t="str">
        <f ca="1">IFERROR(__xludf.DUMMYFUNCTION("""COMPUTED_VALUE"""),"Ferguson")</f>
        <v>Ferguson</v>
      </c>
      <c r="N535" s="5" t="str">
        <f ca="1">IFERROR(__xludf.DUMMYFUNCTION("""COMPUTED_VALUE"""),"MO")</f>
        <v>MO</v>
      </c>
      <c r="O535" s="5" t="str">
        <f ca="1">IFERROR(__xludf.DUMMYFUNCTION("""COMPUTED_VALUE"""),"Elementary")</f>
        <v>Elementary</v>
      </c>
      <c r="P535" s="5" t="str">
        <f ca="1">IFERROR(__xludf.DUMMYFUNCTION("""COMPUTED_VALUE"""),"School Bus")</f>
        <v>School Bus</v>
      </c>
      <c r="Q535" s="5" t="str">
        <f ca="1">IFERROR(__xludf.DUMMYFUNCTION("""COMPUTED_VALUE"""),"School Bus")</f>
        <v>School Bus</v>
      </c>
      <c r="R535" s="5" t="str">
        <f ca="1">IFERROR(__xludf.DUMMYFUNCTION("""COMPUTED_VALUE"""),"Yes")</f>
        <v>Yes</v>
      </c>
      <c r="S535" s="5" t="str">
        <f ca="1">IFERROR(__xludf.DUMMYFUNCTION("""COMPUTED_VALUE"""),"School Start")</f>
        <v>School Start</v>
      </c>
      <c r="T535" s="10">
        <f ca="1">IFERROR(__xludf.DUMMYFUNCTION("""COMPUTED_VALUE"""),0.333333333333333)</f>
        <v>0.33333333333333298</v>
      </c>
      <c r="U535" s="5">
        <f ca="1">IFERROR(__xludf.DUMMYFUNCTION("""COMPUTED_VALUE"""),1)</f>
        <v>1</v>
      </c>
      <c r="V535" s="5" t="str">
        <f ca="1">IFERROR(__xludf.DUMMYFUNCTION("""COMPUTED_VALUE"""),"Father pointed gun at students on school bus following fight between students")</f>
        <v>Father pointed gun at students on school bus following fight between students</v>
      </c>
      <c r="W535" s="5"/>
      <c r="X535" s="5" t="str">
        <f ca="1">IFERROR(__xludf.DUMMYFUNCTION("""COMPUTED_VALUE"""),"Escalation of Dispute")</f>
        <v>Escalation of Dispute</v>
      </c>
      <c r="Y535" s="5" t="str">
        <f ca="1">IFERROR(__xludf.DUMMYFUNCTION("""COMPUTED_VALUE"""),"Victims Targeted")</f>
        <v>Victims Targeted</v>
      </c>
      <c r="Z535" s="5" t="str">
        <f ca="1">IFERROR(__xludf.DUMMYFUNCTION("""COMPUTED_VALUE"""),"No")</f>
        <v>No</v>
      </c>
      <c r="AA535" s="5"/>
      <c r="AB535" s="5" t="str">
        <f ca="1">IFERROR(__xludf.DUMMYFUNCTION("""COMPUTED_VALUE"""),"No")</f>
        <v>No</v>
      </c>
      <c r="AC535" s="5" t="str">
        <f ca="1">IFERROR(__xludf.DUMMYFUNCTION("""COMPUTED_VALUE"""),"No")</f>
        <v>No</v>
      </c>
      <c r="AD535" s="5" t="str">
        <f ca="1">IFERROR(__xludf.DUMMYFUNCTION("""COMPUTED_VALUE"""),"No")</f>
        <v>No</v>
      </c>
      <c r="AE535" s="5"/>
      <c r="AF535" s="5" t="str">
        <f ca="1">IFERROR(__xludf.DUMMYFUNCTION("""COMPUTED_VALUE"""),"No")</f>
        <v>No</v>
      </c>
      <c r="AG535" s="5" t="str">
        <f ca="1">IFERROR(__xludf.DUMMYFUNCTION("""COMPUTED_VALUE"""),"No")</f>
        <v>No</v>
      </c>
      <c r="AH535" s="5" t="str">
        <f ca="1">IFERROR(__xludf.DUMMYFUNCTION("""COMPUTED_VALUE"""),"No")</f>
        <v>No</v>
      </c>
    </row>
    <row r="536" spans="1:34" ht="12.75">
      <c r="A536" s="5" t="str">
        <f ca="1">IFERROR(__xludf.DUMMYFUNCTION("""COMPUTED_VALUE"""),"20200205NHSEC")</f>
        <v>20200205NHSEC</v>
      </c>
      <c r="B536" s="8">
        <f ca="1">IFERROR(__xludf.DUMMYFUNCTION("""COMPUTED_VALUE"""),43866)</f>
        <v>43866</v>
      </c>
      <c r="C536" s="5" t="str">
        <f ca="1">IFERROR(__xludf.DUMMYFUNCTION("""COMPUTED_VALUE"""),"Second Start Alternative High School")</f>
        <v>Second Start Alternative High School</v>
      </c>
      <c r="D536" s="5">
        <f ca="1">IFERROR(__xludf.DUMMYFUNCTION("""COMPUTED_VALUE"""),0)</f>
        <v>0</v>
      </c>
      <c r="E536" s="5">
        <f ca="1">IFERROR(__xludf.DUMMYFUNCTION("""COMPUTED_VALUE"""),0)</f>
        <v>0</v>
      </c>
      <c r="F536" s="5">
        <f ca="1">IFERROR(__xludf.DUMMYFUNCTION("""COMPUTED_VALUE"""),0)</f>
        <v>0</v>
      </c>
      <c r="G536" s="5">
        <f ca="1">IFERROR(__xludf.DUMMYFUNCTION("""COMPUTED_VALUE"""),1)</f>
        <v>1</v>
      </c>
      <c r="H536"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I536" s="5">
        <f ca="1">IFERROR(__xludf.DUMMYFUNCTION("""COMPUTED_VALUE"""),2)</f>
        <v>2</v>
      </c>
      <c r="J536" s="5" t="str">
        <f ca="1">IFERROR(__xludf.DUMMYFUNCTION("""COMPUTED_VALUE"""),"Regional")</f>
        <v>Regional</v>
      </c>
      <c r="K536" s="5">
        <f ca="1">IFERROR(__xludf.DUMMYFUNCTION("""COMPUTED_VALUE"""),4)</f>
        <v>4</v>
      </c>
      <c r="L536" s="5" t="str">
        <f ca="1">IFERROR(__xludf.DUMMYFUNCTION("""COMPUTED_VALUE"""),"Winter")</f>
        <v>Winter</v>
      </c>
      <c r="M536" s="5" t="str">
        <f ca="1">IFERROR(__xludf.DUMMYFUNCTION("""COMPUTED_VALUE"""),"Concord")</f>
        <v>Concord</v>
      </c>
      <c r="N536" s="5" t="str">
        <f ca="1">IFERROR(__xludf.DUMMYFUNCTION("""COMPUTED_VALUE"""),"NH")</f>
        <v>NH</v>
      </c>
      <c r="O536" s="5" t="str">
        <f ca="1">IFERROR(__xludf.DUMMYFUNCTION("""COMPUTED_VALUE"""),"High")</f>
        <v>High</v>
      </c>
      <c r="P536" s="5" t="str">
        <f ca="1">IFERROR(__xludf.DUMMYFUNCTION("""COMPUTED_VALUE"""),"Classroom")</f>
        <v>Classroom</v>
      </c>
      <c r="Q536" s="5" t="str">
        <f ca="1">IFERROR(__xludf.DUMMYFUNCTION("""COMPUTED_VALUE"""),"Inside School Building")</f>
        <v>Inside School Building</v>
      </c>
      <c r="R536" s="5" t="str">
        <f ca="1">IFERROR(__xludf.DUMMYFUNCTION("""COMPUTED_VALUE"""),"Yes")</f>
        <v>Yes</v>
      </c>
      <c r="S536" s="5" t="str">
        <f ca="1">IFERROR(__xludf.DUMMYFUNCTION("""COMPUTED_VALUE"""),"Morning Classes")</f>
        <v>Morning Classes</v>
      </c>
      <c r="T536" s="10">
        <f ca="1">IFERROR(__xludf.DUMMYFUNCTION("""COMPUTED_VALUE"""),0.416666666666666)</f>
        <v>0.41666666666666602</v>
      </c>
      <c r="U536" s="5">
        <f ca="1">IFERROR(__xludf.DUMMYFUNCTION("""COMPUTED_VALUE"""),1)</f>
        <v>1</v>
      </c>
      <c r="V536" s="5" t="str">
        <f ca="1">IFERROR(__xludf.DUMMYFUNCTION("""COMPUTED_VALUE"""),"Student fired shot at school employee then killed self")</f>
        <v>Student fired shot at school employee then killed self</v>
      </c>
      <c r="W536"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X536" s="5" t="str">
        <f ca="1">IFERROR(__xludf.DUMMYFUNCTION("""COMPUTED_VALUE"""),"Suicide/Attempted")</f>
        <v>Suicide/Attempted</v>
      </c>
      <c r="Y536" s="5" t="str">
        <f ca="1">IFERROR(__xludf.DUMMYFUNCTION("""COMPUTED_VALUE"""),"Victims Targeted")</f>
        <v>Victims Targeted</v>
      </c>
      <c r="Z536" s="5" t="str">
        <f ca="1">IFERROR(__xludf.DUMMYFUNCTION("""COMPUTED_VALUE"""),"No")</f>
        <v>No</v>
      </c>
      <c r="AA536" s="5"/>
      <c r="AB536" s="5" t="str">
        <f ca="1">IFERROR(__xludf.DUMMYFUNCTION("""COMPUTED_VALUE"""),"No")</f>
        <v>No</v>
      </c>
      <c r="AC536" s="5" t="str">
        <f ca="1">IFERROR(__xludf.DUMMYFUNCTION("""COMPUTED_VALUE"""),"No")</f>
        <v>No</v>
      </c>
      <c r="AD536" s="5" t="str">
        <f ca="1">IFERROR(__xludf.DUMMYFUNCTION("""COMPUTED_VALUE"""),"No")</f>
        <v>No</v>
      </c>
      <c r="AE536" s="5"/>
      <c r="AF536" s="5" t="str">
        <f ca="1">IFERROR(__xludf.DUMMYFUNCTION("""COMPUTED_VALUE"""),"No")</f>
        <v>No</v>
      </c>
      <c r="AG536" s="5" t="str">
        <f ca="1">IFERROR(__xludf.DUMMYFUNCTION("""COMPUTED_VALUE"""),"No")</f>
        <v>No</v>
      </c>
      <c r="AH536" s="5" t="str">
        <f ca="1">IFERROR(__xludf.DUMMYFUNCTION("""COMPUTED_VALUE"""),"No")</f>
        <v>No</v>
      </c>
    </row>
    <row r="537" spans="1:34" ht="12.75">
      <c r="A537" s="5" t="str">
        <f ca="1">IFERROR(__xludf.DUMMYFUNCTION("""COMPUTED_VALUE"""),"20200204LABEA")</f>
        <v>20200204LABEA</v>
      </c>
      <c r="B537" s="8">
        <f ca="1">IFERROR(__xludf.DUMMYFUNCTION("""COMPUTED_VALUE"""),43865)</f>
        <v>43865</v>
      </c>
      <c r="C537" s="5" t="str">
        <f ca="1">IFERROR(__xludf.DUMMYFUNCTION("""COMPUTED_VALUE"""),"Beau Chene High School")</f>
        <v>Beau Chene High School</v>
      </c>
      <c r="D537" s="5">
        <f ca="1">IFERROR(__xludf.DUMMYFUNCTION("""COMPUTED_VALUE"""),0)</f>
        <v>0</v>
      </c>
      <c r="E537" s="5">
        <f ca="1">IFERROR(__xludf.DUMMYFUNCTION("""COMPUTED_VALUE"""),0)</f>
        <v>0</v>
      </c>
      <c r="F537" s="5">
        <f ca="1">IFERROR(__xludf.DUMMYFUNCTION("""COMPUTED_VALUE"""),0)</f>
        <v>0</v>
      </c>
      <c r="G537" s="5">
        <f ca="1">IFERROR(__xludf.DUMMYFUNCTION("""COMPUTED_VALUE"""),0)</f>
        <v>0</v>
      </c>
      <c r="H537"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I537" s="5"/>
      <c r="J537" s="5"/>
      <c r="K537" s="5">
        <f ca="1">IFERROR(__xludf.DUMMYFUNCTION("""COMPUTED_VALUE"""),4)</f>
        <v>4</v>
      </c>
      <c r="L537" s="5" t="str">
        <f ca="1">IFERROR(__xludf.DUMMYFUNCTION("""COMPUTED_VALUE"""),"Winter")</f>
        <v>Winter</v>
      </c>
      <c r="M537" s="5" t="str">
        <f ca="1">IFERROR(__xludf.DUMMYFUNCTION("""COMPUTED_VALUE"""),"Arnaudville")</f>
        <v>Arnaudville</v>
      </c>
      <c r="N537" s="5" t="str">
        <f ca="1">IFERROR(__xludf.DUMMYFUNCTION("""COMPUTED_VALUE"""),"LA")</f>
        <v>LA</v>
      </c>
      <c r="O537" s="5" t="str">
        <f ca="1">IFERROR(__xludf.DUMMYFUNCTION("""COMPUTED_VALUE"""),"High")</f>
        <v>High</v>
      </c>
      <c r="P537" s="5" t="str">
        <f ca="1">IFERROR(__xludf.DUMMYFUNCTION("""COMPUTED_VALUE"""),"Parking Lot")</f>
        <v>Parking Lot</v>
      </c>
      <c r="Q537" s="5" t="str">
        <f ca="1">IFERROR(__xludf.DUMMYFUNCTION("""COMPUTED_VALUE"""),"Outside on School Property")</f>
        <v>Outside on School Property</v>
      </c>
      <c r="R537" s="5" t="str">
        <f ca="1">IFERROR(__xludf.DUMMYFUNCTION("""COMPUTED_VALUE"""),"No")</f>
        <v>No</v>
      </c>
      <c r="S537" s="5" t="str">
        <f ca="1">IFERROR(__xludf.DUMMYFUNCTION("""COMPUTED_VALUE"""),"Sport Event")</f>
        <v>Sport Event</v>
      </c>
      <c r="T537" s="10">
        <f ca="1">IFERROR(__xludf.DUMMYFUNCTION("""COMPUTED_VALUE"""),0.75)</f>
        <v>0.75</v>
      </c>
      <c r="U537" s="5">
        <f ca="1">IFERROR(__xludf.DUMMYFUNCTION("""COMPUTED_VALUE"""),1)</f>
        <v>1</v>
      </c>
      <c r="V537" s="5" t="str">
        <f ca="1">IFERROR(__xludf.DUMMYFUNCTION("""COMPUTED_VALUE"""),"17YOM pointed rifle at people in school parking lot during soccer game, arrested by SRO")</f>
        <v>17YOM pointed rifle at people in school parking lot during soccer game, arrested by SRO</v>
      </c>
      <c r="W537"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X537" s="5" t="str">
        <f ca="1">IFERROR(__xludf.DUMMYFUNCTION("""COMPUTED_VALUE"""),"Escalation of Dispute")</f>
        <v>Escalation of Dispute</v>
      </c>
      <c r="Y537" s="5" t="str">
        <f ca="1">IFERROR(__xludf.DUMMYFUNCTION("""COMPUTED_VALUE"""),"Neither")</f>
        <v>Neither</v>
      </c>
      <c r="Z537" s="5" t="str">
        <f ca="1">IFERROR(__xludf.DUMMYFUNCTION("""COMPUTED_VALUE"""),"Yes")</f>
        <v>Yes</v>
      </c>
      <c r="AA537" s="5" t="str">
        <f ca="1">IFERROR(__xludf.DUMMYFUNCTION("""COMPUTED_VALUE"""),"18YOM brother arrested")</f>
        <v>18YOM brother arrested</v>
      </c>
      <c r="AB537" s="5" t="str">
        <f ca="1">IFERROR(__xludf.DUMMYFUNCTION("""COMPUTED_VALUE"""),"No")</f>
        <v>No</v>
      </c>
      <c r="AC537" s="5" t="str">
        <f ca="1">IFERROR(__xludf.DUMMYFUNCTION("""COMPUTED_VALUE"""),"No")</f>
        <v>No</v>
      </c>
      <c r="AD537" s="5" t="str">
        <f ca="1">IFERROR(__xludf.DUMMYFUNCTION("""COMPUTED_VALUE"""),"No")</f>
        <v>No</v>
      </c>
      <c r="AE537" s="5" t="str">
        <f ca="1">IFERROR(__xludf.DUMMYFUNCTION("""COMPUTED_VALUE"""),"No")</f>
        <v>No</v>
      </c>
      <c r="AF537" s="5" t="str">
        <f ca="1">IFERROR(__xludf.DUMMYFUNCTION("""COMPUTED_VALUE"""),"No")</f>
        <v>No</v>
      </c>
      <c r="AG537" s="5" t="str">
        <f ca="1">IFERROR(__xludf.DUMMYFUNCTION("""COMPUTED_VALUE"""),"Yes")</f>
        <v>Yes</v>
      </c>
      <c r="AH537" s="5" t="str">
        <f ca="1">IFERROR(__xludf.DUMMYFUNCTION("""COMPUTED_VALUE"""),"No")</f>
        <v>No</v>
      </c>
    </row>
    <row r="538" spans="1:34" ht="12.75">
      <c r="A538" s="5" t="str">
        <f ca="1">IFERROR(__xludf.DUMMYFUNCTION("""COMPUTED_VALUE"""),"20200203FLGEJ")</f>
        <v>20200203FLGEJ</v>
      </c>
      <c r="B538" s="8">
        <f ca="1">IFERROR(__xludf.DUMMYFUNCTION("""COMPUTED_VALUE"""),43864)</f>
        <v>43864</v>
      </c>
      <c r="C538" s="5" t="str">
        <f ca="1">IFERROR(__xludf.DUMMYFUNCTION("""COMPUTED_VALUE"""),"George Washington Carver Elementary School")</f>
        <v>George Washington Carver Elementary School</v>
      </c>
      <c r="D538" s="5">
        <f ca="1">IFERROR(__xludf.DUMMYFUNCTION("""COMPUTED_VALUE"""),0)</f>
        <v>0</v>
      </c>
      <c r="E538" s="5">
        <f ca="1">IFERROR(__xludf.DUMMYFUNCTION("""COMPUTED_VALUE"""),1)</f>
        <v>1</v>
      </c>
      <c r="F538" s="5">
        <f ca="1">IFERROR(__xludf.DUMMYFUNCTION("""COMPUTED_VALUE"""),1)</f>
        <v>1</v>
      </c>
      <c r="G538" s="5">
        <f ca="1">IFERROR(__xludf.DUMMYFUNCTION("""COMPUTED_VALUE"""),0)</f>
        <v>0</v>
      </c>
      <c r="H538"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I538" s="5"/>
      <c r="J538" s="5"/>
      <c r="K538" s="5">
        <f ca="1">IFERROR(__xludf.DUMMYFUNCTION("""COMPUTED_VALUE"""),4)</f>
        <v>4</v>
      </c>
      <c r="L538" s="5" t="str">
        <f ca="1">IFERROR(__xludf.DUMMYFUNCTION("""COMPUTED_VALUE"""),"Winter")</f>
        <v>Winter</v>
      </c>
      <c r="M538" s="5" t="str">
        <f ca="1">IFERROR(__xludf.DUMMYFUNCTION("""COMPUTED_VALUE"""),"Jacksonville")</f>
        <v>Jacksonville</v>
      </c>
      <c r="N538" s="5" t="str">
        <f ca="1">IFERROR(__xludf.DUMMYFUNCTION("""COMPUTED_VALUE"""),"FL")</f>
        <v>FL</v>
      </c>
      <c r="O538" s="5" t="str">
        <f ca="1">IFERROR(__xludf.DUMMYFUNCTION("""COMPUTED_VALUE"""),"Elementary")</f>
        <v>Elementary</v>
      </c>
      <c r="P538" s="5" t="str">
        <f ca="1">IFERROR(__xludf.DUMMYFUNCTION("""COMPUTED_VALUE"""),"Parking Lot")</f>
        <v>Parking Lot</v>
      </c>
      <c r="Q538" s="5" t="str">
        <f ca="1">IFERROR(__xludf.DUMMYFUNCTION("""COMPUTED_VALUE"""),"Outside on School Property")</f>
        <v>Outside on School Property</v>
      </c>
      <c r="R538" s="5" t="str">
        <f ca="1">IFERROR(__xludf.DUMMYFUNCTION("""COMPUTED_VALUE"""),"No")</f>
        <v>No</v>
      </c>
      <c r="S538" s="5" t="str">
        <f ca="1">IFERROR(__xludf.DUMMYFUNCTION("""COMPUTED_VALUE"""),"Evening")</f>
        <v>Evening</v>
      </c>
      <c r="T538" s="10">
        <f ca="1">IFERROR(__xludf.DUMMYFUNCTION("""COMPUTED_VALUE"""),0.729166666666666)</f>
        <v>0.72916666666666596</v>
      </c>
      <c r="U538" s="5">
        <f ca="1">IFERROR(__xludf.DUMMYFUNCTION("""COMPUTED_VALUE"""),1)</f>
        <v>1</v>
      </c>
      <c r="V538" s="5" t="str">
        <f ca="1">IFERROR(__xludf.DUMMYFUNCTION("""COMPUTED_VALUE"""),"Drive-by shooting in school parking lot")</f>
        <v>Drive-by shooting in school parking lot</v>
      </c>
      <c r="W538"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X538" s="5" t="str">
        <f ca="1">IFERROR(__xludf.DUMMYFUNCTION("""COMPUTED_VALUE"""),"Drive-by Shooting")</f>
        <v>Drive-by Shooting</v>
      </c>
      <c r="Y538" s="5"/>
      <c r="Z538" s="5" t="str">
        <f ca="1">IFERROR(__xludf.DUMMYFUNCTION("""COMPUTED_VALUE"""),"Yes")</f>
        <v>Yes</v>
      </c>
      <c r="AA538" s="5" t="str">
        <f ca="1">IFERROR(__xludf.DUMMYFUNCTION("""COMPUTED_VALUE"""),"Drive-by, multiple in car")</f>
        <v>Drive-by, multiple in car</v>
      </c>
      <c r="AB538" s="5" t="str">
        <f ca="1">IFERROR(__xludf.DUMMYFUNCTION("""COMPUTED_VALUE"""),"No")</f>
        <v>No</v>
      </c>
      <c r="AC538" s="5" t="str">
        <f ca="1">IFERROR(__xludf.DUMMYFUNCTION("""COMPUTED_VALUE"""),"No")</f>
        <v>No</v>
      </c>
      <c r="AD538" s="5" t="str">
        <f ca="1">IFERROR(__xludf.DUMMYFUNCTION("""COMPUTED_VALUE"""),"No")</f>
        <v>No</v>
      </c>
      <c r="AE538" s="5" t="str">
        <f ca="1">IFERROR(__xludf.DUMMYFUNCTION("""COMPUTED_VALUE"""),"No")</f>
        <v>No</v>
      </c>
      <c r="AF538" s="5" t="str">
        <f ca="1">IFERROR(__xludf.DUMMYFUNCTION("""COMPUTED_VALUE"""),"No")</f>
        <v>No</v>
      </c>
      <c r="AG538" s="5"/>
      <c r="AH538" s="5" t="str">
        <f ca="1">IFERROR(__xludf.DUMMYFUNCTION("""COMPUTED_VALUE"""),"No")</f>
        <v>No</v>
      </c>
    </row>
    <row r="539" spans="1:34" ht="12.75">
      <c r="A539" s="5" t="str">
        <f ca="1">IFERROR(__xludf.DUMMYFUNCTION("""COMPUTED_VALUE"""),"20200201TXHIH")</f>
        <v>20200201TXHIH</v>
      </c>
      <c r="B539" s="8">
        <f ca="1">IFERROR(__xludf.DUMMYFUNCTION("""COMPUTED_VALUE"""),43862)</f>
        <v>43862</v>
      </c>
      <c r="C539" s="5" t="str">
        <f ca="1">IFERROR(__xludf.DUMMYFUNCTION("""COMPUTED_VALUE"""),"Hicks Elementary School")</f>
        <v>Hicks Elementary School</v>
      </c>
      <c r="D539" s="5">
        <f ca="1">IFERROR(__xludf.DUMMYFUNCTION("""COMPUTED_VALUE"""),0)</f>
        <v>0</v>
      </c>
      <c r="E539" s="5">
        <f ca="1">IFERROR(__xludf.DUMMYFUNCTION("""COMPUTED_VALUE"""),1)</f>
        <v>1</v>
      </c>
      <c r="F539" s="5">
        <f ca="1">IFERROR(__xludf.DUMMYFUNCTION("""COMPUTED_VALUE"""),1)</f>
        <v>1</v>
      </c>
      <c r="G539" s="5">
        <f ca="1">IFERROR(__xludf.DUMMYFUNCTION("""COMPUTED_VALUE"""),0)</f>
        <v>0</v>
      </c>
      <c r="H539" s="9" t="str">
        <f ca="1">IFERROR(__xludf.DUMMYFUNCTION("""COMPUTED_VALUE"""),"https://abc13.com/shooting-at-hicks-elementary-leaves-man-injured/5897932/")</f>
        <v>https://abc13.com/shooting-at-hicks-elementary-leaves-man-injured/5897932/</v>
      </c>
      <c r="I539" s="5"/>
      <c r="J539" s="5"/>
      <c r="K539" s="5">
        <f ca="1">IFERROR(__xludf.DUMMYFUNCTION("""COMPUTED_VALUE"""),3)</f>
        <v>3</v>
      </c>
      <c r="L539" s="5" t="str">
        <f ca="1">IFERROR(__xludf.DUMMYFUNCTION("""COMPUTED_VALUE"""),"Winter")</f>
        <v>Winter</v>
      </c>
      <c r="M539" s="5" t="str">
        <f ca="1">IFERROR(__xludf.DUMMYFUNCTION("""COMPUTED_VALUE"""),"Houston")</f>
        <v>Houston</v>
      </c>
      <c r="N539" s="5" t="str">
        <f ca="1">IFERROR(__xludf.DUMMYFUNCTION("""COMPUTED_VALUE"""),"TX")</f>
        <v>TX</v>
      </c>
      <c r="O539" s="5" t="str">
        <f ca="1">IFERROR(__xludf.DUMMYFUNCTION("""COMPUTED_VALUE"""),"Elementary")</f>
        <v>Elementary</v>
      </c>
      <c r="P539" s="5" t="str">
        <f ca="1">IFERROR(__xludf.DUMMYFUNCTION("""COMPUTED_VALUE"""),"Outside on School Property")</f>
        <v>Outside on School Property</v>
      </c>
      <c r="Q539" s="5" t="str">
        <f ca="1">IFERROR(__xludf.DUMMYFUNCTION("""COMPUTED_VALUE"""),"Outside on School Property")</f>
        <v>Outside on School Property</v>
      </c>
      <c r="R539" s="5" t="str">
        <f ca="1">IFERROR(__xludf.DUMMYFUNCTION("""COMPUTED_VALUE"""),"No")</f>
        <v>No</v>
      </c>
      <c r="S539" s="5" t="str">
        <f ca="1">IFERROR(__xludf.DUMMYFUNCTION("""COMPUTED_VALUE"""),"Not a School Day")</f>
        <v>Not a School Day</v>
      </c>
      <c r="T539" s="5"/>
      <c r="U539" s="5">
        <f ca="1">IFERROR(__xludf.DUMMYFUNCTION("""COMPUTED_VALUE"""),1)</f>
        <v>1</v>
      </c>
      <c r="V539" s="5" t="str">
        <f ca="1">IFERROR(__xludf.DUMMYFUNCTION("""COMPUTED_VALUE"""),"Adult male shot during robbery at the school")</f>
        <v>Adult male shot during robbery at the school</v>
      </c>
      <c r="W539"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X539" s="5" t="str">
        <f ca="1">IFERROR(__xludf.DUMMYFUNCTION("""COMPUTED_VALUE"""),"Illegal Activity")</f>
        <v>Illegal Activity</v>
      </c>
      <c r="Y539" s="5" t="str">
        <f ca="1">IFERROR(__xludf.DUMMYFUNCTION("""COMPUTED_VALUE"""),"Victims Targeted")</f>
        <v>Victims Targeted</v>
      </c>
      <c r="Z539" s="5"/>
      <c r="AA539" s="5"/>
      <c r="AB539" s="5" t="str">
        <f ca="1">IFERROR(__xludf.DUMMYFUNCTION("""COMPUTED_VALUE"""),"No")</f>
        <v>No</v>
      </c>
      <c r="AC539" s="5" t="str">
        <f ca="1">IFERROR(__xludf.DUMMYFUNCTION("""COMPUTED_VALUE"""),"No")</f>
        <v>No</v>
      </c>
      <c r="AD539" s="5" t="str">
        <f ca="1">IFERROR(__xludf.DUMMYFUNCTION("""COMPUTED_VALUE"""),"No")</f>
        <v>No</v>
      </c>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row>
    <row r="540" spans="1:34" ht="12.75">
      <c r="A540" s="5" t="str">
        <f ca="1">IFERROR(__xludf.DUMMYFUNCTION("""COMPUTED_VALUE"""),"20200131CADEA")</f>
        <v>20200131CADEA</v>
      </c>
      <c r="B540" s="8">
        <f ca="1">IFERROR(__xludf.DUMMYFUNCTION("""COMPUTED_VALUE"""),43861)</f>
        <v>43861</v>
      </c>
      <c r="C540" s="5" t="str">
        <f ca="1">IFERROR(__xludf.DUMMYFUNCTION("""COMPUTED_VALUE"""),"Deer Valley High School")</f>
        <v>Deer Valley High School</v>
      </c>
      <c r="D540" s="5">
        <f ca="1">IFERROR(__xludf.DUMMYFUNCTION("""COMPUTED_VALUE"""),1)</f>
        <v>1</v>
      </c>
      <c r="E540" s="5">
        <f ca="1">IFERROR(__xludf.DUMMYFUNCTION("""COMPUTED_VALUE"""),0)</f>
        <v>0</v>
      </c>
      <c r="F540" s="5">
        <f ca="1">IFERROR(__xludf.DUMMYFUNCTION("""COMPUTED_VALUE"""),1)</f>
        <v>1</v>
      </c>
      <c r="G540" s="5">
        <f ca="1">IFERROR(__xludf.DUMMYFUNCTION("""COMPUTED_VALUE"""),0)</f>
        <v>0</v>
      </c>
      <c r="H540"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I540" s="5"/>
      <c r="J540" s="5"/>
      <c r="K540" s="5">
        <f ca="1">IFERROR(__xludf.DUMMYFUNCTION("""COMPUTED_VALUE"""),4)</f>
        <v>4</v>
      </c>
      <c r="L540" s="5" t="str">
        <f ca="1">IFERROR(__xludf.DUMMYFUNCTION("""COMPUTED_VALUE"""),"Winter")</f>
        <v>Winter</v>
      </c>
      <c r="M540" s="5" t="str">
        <f ca="1">IFERROR(__xludf.DUMMYFUNCTION("""COMPUTED_VALUE"""),"Antioch")</f>
        <v>Antioch</v>
      </c>
      <c r="N540" s="5" t="str">
        <f ca="1">IFERROR(__xludf.DUMMYFUNCTION("""COMPUTED_VALUE"""),"CA")</f>
        <v>CA</v>
      </c>
      <c r="O540" s="5" t="str">
        <f ca="1">IFERROR(__xludf.DUMMYFUNCTION("""COMPUTED_VALUE"""),"High")</f>
        <v>High</v>
      </c>
      <c r="P540" s="5" t="str">
        <f ca="1">IFERROR(__xludf.DUMMYFUNCTION("""COMPUTED_VALUE"""),"Parking Lot")</f>
        <v>Parking Lot</v>
      </c>
      <c r="Q540" s="5" t="str">
        <f ca="1">IFERROR(__xludf.DUMMYFUNCTION("""COMPUTED_VALUE"""),"Outside on School Property")</f>
        <v>Outside on School Property</v>
      </c>
      <c r="R540" s="5" t="str">
        <f ca="1">IFERROR(__xludf.DUMMYFUNCTION("""COMPUTED_VALUE"""),"No")</f>
        <v>No</v>
      </c>
      <c r="S540" s="5" t="str">
        <f ca="1">IFERROR(__xludf.DUMMYFUNCTION("""COMPUTED_VALUE"""),"Sport Event")</f>
        <v>Sport Event</v>
      </c>
      <c r="T540" s="10">
        <f ca="1">IFERROR(__xludf.DUMMYFUNCTION("""COMPUTED_VALUE"""),0.864583333333333)</f>
        <v>0.86458333333333304</v>
      </c>
      <c r="U540" s="5">
        <f ca="1">IFERROR(__xludf.DUMMYFUNCTION("""COMPUTED_VALUE"""),1)</f>
        <v>1</v>
      </c>
      <c r="V540" s="5" t="str">
        <f ca="1">IFERROR(__xludf.DUMMYFUNCTION("""COMPUTED_VALUE"""),"16YOM student shot during fight outside of school during basketball game")</f>
        <v>16YOM student shot during fight outside of school during basketball game</v>
      </c>
      <c r="W540"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X540" s="5" t="str">
        <f ca="1">IFERROR(__xludf.DUMMYFUNCTION("""COMPUTED_VALUE"""),"Escalation of Dispute")</f>
        <v>Escalation of Dispute</v>
      </c>
      <c r="Y540" s="5"/>
      <c r="Z540" s="5"/>
      <c r="AA540" s="5"/>
      <c r="AB540" s="5" t="str">
        <f ca="1">IFERROR(__xludf.DUMMYFUNCTION("""COMPUTED_VALUE"""),"No")</f>
        <v>No</v>
      </c>
      <c r="AC540" s="5" t="str">
        <f ca="1">IFERROR(__xludf.DUMMYFUNCTION("""COMPUTED_VALUE"""),"No")</f>
        <v>No</v>
      </c>
      <c r="AD540" s="5" t="str">
        <f ca="1">IFERROR(__xludf.DUMMYFUNCTION("""COMPUTED_VALUE"""),"No")</f>
        <v>No</v>
      </c>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row>
    <row r="541" spans="1:34" ht="12.75">
      <c r="A541" s="5" t="str">
        <f ca="1">IFERROR(__xludf.DUMMYFUNCTION("""COMPUTED_VALUE"""),"20200128TXLUL")</f>
        <v>20200128TXLUL</v>
      </c>
      <c r="B541" s="8">
        <f ca="1">IFERROR(__xludf.DUMMYFUNCTION("""COMPUTED_VALUE"""),43858)</f>
        <v>43858</v>
      </c>
      <c r="C541" s="5" t="str">
        <f ca="1">IFERROR(__xludf.DUMMYFUNCTION("""COMPUTED_VALUE"""),"Lufkin Middle School")</f>
        <v>Lufkin Middle School</v>
      </c>
      <c r="D541" s="5">
        <f ca="1">IFERROR(__xludf.DUMMYFUNCTION("""COMPUTED_VALUE"""),0)</f>
        <v>0</v>
      </c>
      <c r="E541" s="5">
        <f ca="1">IFERROR(__xludf.DUMMYFUNCTION("""COMPUTED_VALUE"""),1)</f>
        <v>1</v>
      </c>
      <c r="F541" s="5">
        <f ca="1">IFERROR(__xludf.DUMMYFUNCTION("""COMPUTED_VALUE"""),1)</f>
        <v>1</v>
      </c>
      <c r="G541" s="5">
        <f ca="1">IFERROR(__xludf.DUMMYFUNCTION("""COMPUTED_VALUE"""),0)</f>
        <v>0</v>
      </c>
      <c r="H541"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I541" s="5"/>
      <c r="J541" s="5"/>
      <c r="K541" s="5">
        <f ca="1">IFERROR(__xludf.DUMMYFUNCTION("""COMPUTED_VALUE"""),4)</f>
        <v>4</v>
      </c>
      <c r="L541" s="5" t="str">
        <f ca="1">IFERROR(__xludf.DUMMYFUNCTION("""COMPUTED_VALUE"""),"Winter")</f>
        <v>Winter</v>
      </c>
      <c r="M541" s="5" t="str">
        <f ca="1">IFERROR(__xludf.DUMMYFUNCTION("""COMPUTED_VALUE"""),"Lufkin")</f>
        <v>Lufkin</v>
      </c>
      <c r="N541" s="5" t="str">
        <f ca="1">IFERROR(__xludf.DUMMYFUNCTION("""COMPUTED_VALUE"""),"TX")</f>
        <v>TX</v>
      </c>
      <c r="O541" s="5" t="str">
        <f ca="1">IFERROR(__xludf.DUMMYFUNCTION("""COMPUTED_VALUE"""),"High")</f>
        <v>High</v>
      </c>
      <c r="P541" s="5" t="str">
        <f ca="1">IFERROR(__xludf.DUMMYFUNCTION("""COMPUTED_VALUE"""),"Front of School")</f>
        <v>Front of School</v>
      </c>
      <c r="Q541" s="5" t="str">
        <f ca="1">IFERROR(__xludf.DUMMYFUNCTION("""COMPUTED_VALUE"""),"Outside on School Property")</f>
        <v>Outside on School Property</v>
      </c>
      <c r="R541" s="5" t="str">
        <f ca="1">IFERROR(__xludf.DUMMYFUNCTION("""COMPUTED_VALUE"""),"No")</f>
        <v>No</v>
      </c>
      <c r="S541" s="5" t="str">
        <f ca="1">IFERROR(__xludf.DUMMYFUNCTION("""COMPUTED_VALUE"""),"Sport Event")</f>
        <v>Sport Event</v>
      </c>
      <c r="T541" s="10">
        <f ca="1">IFERROR(__xludf.DUMMYFUNCTION("""COMPUTED_VALUE"""),0.854166666666666)</f>
        <v>0.85416666666666596</v>
      </c>
      <c r="U541" s="5">
        <f ca="1">IFERROR(__xludf.DUMMYFUNCTION("""COMPUTED_VALUE"""),1)</f>
        <v>1</v>
      </c>
      <c r="V541" s="5" t="str">
        <f ca="1">IFERROR(__xludf.DUMMYFUNCTION("""COMPUTED_VALUE"""),"17YOM student shot by two suspects in front of school during basketball game")</f>
        <v>17YOM student shot by two suspects in front of school during basketball game</v>
      </c>
      <c r="W541"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X541" s="5" t="str">
        <f ca="1">IFERROR(__xludf.DUMMYFUNCTION("""COMPUTED_VALUE"""),"Escalation of Dispute")</f>
        <v>Escalation of Dispute</v>
      </c>
      <c r="Y541" s="5" t="str">
        <f ca="1">IFERROR(__xludf.DUMMYFUNCTION("""COMPUTED_VALUE"""),"Victims Targeted")</f>
        <v>Victims Targeted</v>
      </c>
      <c r="Z541" s="5" t="str">
        <f ca="1">IFERROR(__xludf.DUMMYFUNCTION("""COMPUTED_VALUE"""),"Yes")</f>
        <v>Yes</v>
      </c>
      <c r="AA541" s="5" t="str">
        <f ca="1">IFERROR(__xludf.DUMMYFUNCTION("""COMPUTED_VALUE"""),"2 men fled area")</f>
        <v>2 men fled area</v>
      </c>
      <c r="AB541" s="5" t="str">
        <f ca="1">IFERROR(__xludf.DUMMYFUNCTION("""COMPUTED_VALUE"""),"No")</f>
        <v>No</v>
      </c>
      <c r="AC541" s="5" t="str">
        <f ca="1">IFERROR(__xludf.DUMMYFUNCTION("""COMPUTED_VALUE"""),"No")</f>
        <v>No</v>
      </c>
      <c r="AD541" s="5" t="str">
        <f ca="1">IFERROR(__xludf.DUMMYFUNCTION("""COMPUTED_VALUE"""),"No")</f>
        <v>No</v>
      </c>
      <c r="AE541" s="5" t="str">
        <f ca="1">IFERROR(__xludf.DUMMYFUNCTION("""COMPUTED_VALUE"""),"No")</f>
        <v>No</v>
      </c>
      <c r="AF541" s="5" t="str">
        <f ca="1">IFERROR(__xludf.DUMMYFUNCTION("""COMPUTED_VALUE"""),"No")</f>
        <v>No</v>
      </c>
      <c r="AG541" s="5" t="str">
        <f ca="1">IFERROR(__xludf.DUMMYFUNCTION("""COMPUTED_VALUE"""),"Yes")</f>
        <v>Yes</v>
      </c>
      <c r="AH541" s="5" t="str">
        <f ca="1">IFERROR(__xludf.DUMMYFUNCTION("""COMPUTED_VALUE"""),"No")</f>
        <v>No</v>
      </c>
    </row>
    <row r="542" spans="1:34" ht="12.75">
      <c r="A542" s="5" t="str">
        <f ca="1">IFERROR(__xludf.DUMMYFUNCTION("""COMPUTED_VALUE"""),"20200128TNWHM")</f>
        <v>20200128TNWHM</v>
      </c>
      <c r="B542" s="8">
        <f ca="1">IFERROR(__xludf.DUMMYFUNCTION("""COMPUTED_VALUE"""),43858)</f>
        <v>43858</v>
      </c>
      <c r="C542" s="5" t="str">
        <f ca="1">IFERROR(__xludf.DUMMYFUNCTION("""COMPUTED_VALUE"""),"White Station High School")</f>
        <v>White Station High School</v>
      </c>
      <c r="D542" s="5">
        <f ca="1">IFERROR(__xludf.DUMMYFUNCTION("""COMPUTED_VALUE"""),0)</f>
        <v>0</v>
      </c>
      <c r="E542" s="5">
        <f ca="1">IFERROR(__xludf.DUMMYFUNCTION("""COMPUTED_VALUE"""),1)</f>
        <v>1</v>
      </c>
      <c r="F542" s="5">
        <f ca="1">IFERROR(__xludf.DUMMYFUNCTION("""COMPUTED_VALUE"""),1)</f>
        <v>1</v>
      </c>
      <c r="G542" s="5">
        <f ca="1">IFERROR(__xludf.DUMMYFUNCTION("""COMPUTED_VALUE"""),0)</f>
        <v>0</v>
      </c>
      <c r="H542"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I542" s="5"/>
      <c r="J542" s="5"/>
      <c r="K542" s="5">
        <f ca="1">IFERROR(__xludf.DUMMYFUNCTION("""COMPUTED_VALUE"""),4)</f>
        <v>4</v>
      </c>
      <c r="L542" s="5" t="str">
        <f ca="1">IFERROR(__xludf.DUMMYFUNCTION("""COMPUTED_VALUE"""),"Winter")</f>
        <v>Winter</v>
      </c>
      <c r="M542" s="5" t="str">
        <f ca="1">IFERROR(__xludf.DUMMYFUNCTION("""COMPUTED_VALUE"""),"Memphis")</f>
        <v>Memphis</v>
      </c>
      <c r="N542" s="5" t="str">
        <f ca="1">IFERROR(__xludf.DUMMYFUNCTION("""COMPUTED_VALUE"""),"TN")</f>
        <v>TN</v>
      </c>
      <c r="O542" s="5" t="str">
        <f ca="1">IFERROR(__xludf.DUMMYFUNCTION("""COMPUTED_VALUE"""),"High")</f>
        <v>High</v>
      </c>
      <c r="P542" s="5" t="str">
        <f ca="1">IFERROR(__xludf.DUMMYFUNCTION("""COMPUTED_VALUE"""),"Parking Lot")</f>
        <v>Parking Lot</v>
      </c>
      <c r="Q542" s="5" t="str">
        <f ca="1">IFERROR(__xludf.DUMMYFUNCTION("""COMPUTED_VALUE"""),"Outside on School Property")</f>
        <v>Outside on School Property</v>
      </c>
      <c r="R542" s="5" t="str">
        <f ca="1">IFERROR(__xludf.DUMMYFUNCTION("""COMPUTED_VALUE"""),"No")</f>
        <v>No</v>
      </c>
      <c r="S542" s="5" t="str">
        <f ca="1">IFERROR(__xludf.DUMMYFUNCTION("""COMPUTED_VALUE"""),"Evening")</f>
        <v>Evening</v>
      </c>
      <c r="T542" s="5"/>
      <c r="U542" s="5">
        <f ca="1">IFERROR(__xludf.DUMMYFUNCTION("""COMPUTED_VALUE"""),1)</f>
        <v>1</v>
      </c>
      <c r="V542" s="5" t="str">
        <f ca="1">IFERROR(__xludf.DUMMYFUNCTION("""COMPUTED_VALUE"""),"18YPM fired shots from vehicle following argument in school parking lot")</f>
        <v>18YPM fired shots from vehicle following argument in school parking lot</v>
      </c>
      <c r="W542"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X542" s="5" t="str">
        <f ca="1">IFERROR(__xludf.DUMMYFUNCTION("""COMPUTED_VALUE"""),"Drive-by Shooting")</f>
        <v>Drive-by Shooting</v>
      </c>
      <c r="Y542" s="5" t="str">
        <f ca="1">IFERROR(__xludf.DUMMYFUNCTION("""COMPUTED_VALUE"""),"Both")</f>
        <v>Both</v>
      </c>
      <c r="Z542" s="5"/>
      <c r="AA542" s="5" t="str">
        <f ca="1">IFERROR(__xludf.DUMMYFUNCTION("""COMPUTED_VALUE"""),"1 female in vehicle with shooter")</f>
        <v>1 female in vehicle with shooter</v>
      </c>
      <c r="AB542" s="5" t="str">
        <f ca="1">IFERROR(__xludf.DUMMYFUNCTION("""COMPUTED_VALUE"""),"No")</f>
        <v>No</v>
      </c>
      <c r="AC542" s="5" t="str">
        <f ca="1">IFERROR(__xludf.DUMMYFUNCTION("""COMPUTED_VALUE"""),"No")</f>
        <v>No</v>
      </c>
      <c r="AD542" s="5" t="str">
        <f ca="1">IFERROR(__xludf.DUMMYFUNCTION("""COMPUTED_VALUE"""),"No")</f>
        <v>No</v>
      </c>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row>
    <row r="543" spans="1:34" ht="12.75">
      <c r="A543" s="5" t="str">
        <f ca="1">IFERROR(__xludf.DUMMYFUNCTION("""COMPUTED_VALUE"""),"20200128NYMAQ")</f>
        <v>20200128NYMAQ</v>
      </c>
      <c r="B543" s="8">
        <f ca="1">IFERROR(__xludf.DUMMYFUNCTION("""COMPUTED_VALUE"""),43858)</f>
        <v>43858</v>
      </c>
      <c r="C543" s="5" t="str">
        <f ca="1">IFERROR(__xludf.DUMMYFUNCTION("""COMPUTED_VALUE"""),"Martin Van Buren High School")</f>
        <v>Martin Van Buren High School</v>
      </c>
      <c r="D543" s="5">
        <f ca="1">IFERROR(__xludf.DUMMYFUNCTION("""COMPUTED_VALUE"""),0)</f>
        <v>0</v>
      </c>
      <c r="E543" s="5">
        <f ca="1">IFERROR(__xludf.DUMMYFUNCTION("""COMPUTED_VALUE"""),0)</f>
        <v>0</v>
      </c>
      <c r="F543" s="5">
        <f ca="1">IFERROR(__xludf.DUMMYFUNCTION("""COMPUTED_VALUE"""),0)</f>
        <v>0</v>
      </c>
      <c r="G543" s="5">
        <f ca="1">IFERROR(__xludf.DUMMYFUNCTION("""COMPUTED_VALUE"""),0)</f>
        <v>0</v>
      </c>
      <c r="H543"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I543" s="5"/>
      <c r="J543" s="5"/>
      <c r="K543" s="5">
        <f ca="1">IFERROR(__xludf.DUMMYFUNCTION("""COMPUTED_VALUE"""),4)</f>
        <v>4</v>
      </c>
      <c r="L543" s="5" t="str">
        <f ca="1">IFERROR(__xludf.DUMMYFUNCTION("""COMPUTED_VALUE"""),"Winter")</f>
        <v>Winter</v>
      </c>
      <c r="M543" s="5" t="str">
        <f ca="1">IFERROR(__xludf.DUMMYFUNCTION("""COMPUTED_VALUE"""),"Queens")</f>
        <v>Queens</v>
      </c>
      <c r="N543" s="5" t="str">
        <f ca="1">IFERROR(__xludf.DUMMYFUNCTION("""COMPUTED_VALUE"""),"NY")</f>
        <v>NY</v>
      </c>
      <c r="O543" s="5" t="str">
        <f ca="1">IFERROR(__xludf.DUMMYFUNCTION("""COMPUTED_VALUE"""),"High")</f>
        <v>High</v>
      </c>
      <c r="P543" s="5" t="str">
        <f ca="1">IFERROR(__xludf.DUMMYFUNCTION("""COMPUTED_VALUE"""),"Beside Building")</f>
        <v>Beside Building</v>
      </c>
      <c r="Q543" s="5" t="str">
        <f ca="1">IFERROR(__xludf.DUMMYFUNCTION("""COMPUTED_VALUE"""),"Outside on School Property")</f>
        <v>Outside on School Property</v>
      </c>
      <c r="R543" s="5" t="str">
        <f ca="1">IFERROR(__xludf.DUMMYFUNCTION("""COMPUTED_VALUE"""),"Yes")</f>
        <v>Yes</v>
      </c>
      <c r="S543" s="5" t="str">
        <f ca="1">IFERROR(__xludf.DUMMYFUNCTION("""COMPUTED_VALUE"""),"Dismissal")</f>
        <v>Dismissal</v>
      </c>
      <c r="T543" s="10">
        <f ca="1">IFERROR(__xludf.DUMMYFUNCTION("""COMPUTED_VALUE"""),0.614583333333333)</f>
        <v>0.61458333333333304</v>
      </c>
      <c r="U543" s="5">
        <f ca="1">IFERROR(__xludf.DUMMYFUNCTION("""COMPUTED_VALUE"""),1)</f>
        <v>1</v>
      </c>
      <c r="V543" s="5" t="str">
        <f ca="1">IFERROR(__xludf.DUMMYFUNCTION("""COMPUTED_VALUE"""),"Student accidentally shot self during fight outside of school")</f>
        <v>Student accidentally shot self during fight outside of school</v>
      </c>
      <c r="W543"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X543" s="5" t="str">
        <f ca="1">IFERROR(__xludf.DUMMYFUNCTION("""COMPUTED_VALUE"""),"Escalation of Dispute")</f>
        <v>Escalation of Dispute</v>
      </c>
      <c r="Y543" s="5"/>
      <c r="Z543" s="5" t="str">
        <f ca="1">IFERROR(__xludf.DUMMYFUNCTION("""COMPUTED_VALUE"""),"No")</f>
        <v>No</v>
      </c>
      <c r="AA543" s="5"/>
      <c r="AB543" s="5" t="str">
        <f ca="1">IFERROR(__xludf.DUMMYFUNCTION("""COMPUTED_VALUE"""),"No")</f>
        <v>No</v>
      </c>
      <c r="AC543" s="5" t="str">
        <f ca="1">IFERROR(__xludf.DUMMYFUNCTION("""COMPUTED_VALUE"""),"No")</f>
        <v>No</v>
      </c>
      <c r="AD543" s="5" t="str">
        <f ca="1">IFERROR(__xludf.DUMMYFUNCTION("""COMPUTED_VALUE"""),"No")</f>
        <v>No</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row>
    <row r="544" spans="1:34" ht="12.75">
      <c r="A544" s="5" t="str">
        <f ca="1">IFERROR(__xludf.DUMMYFUNCTION("""COMPUTED_VALUE"""),"20200127WAROY")</f>
        <v>20200127WAROY</v>
      </c>
      <c r="B544" s="8">
        <f ca="1">IFERROR(__xludf.DUMMYFUNCTION("""COMPUTED_VALUE"""),43857)</f>
        <v>43857</v>
      </c>
      <c r="C544" s="5" t="str">
        <f ca="1">IFERROR(__xludf.DUMMYFUNCTION("""COMPUTED_VALUE"""),"Robertson Elementary School")</f>
        <v>Robertson Elementary School</v>
      </c>
      <c r="D544" s="5">
        <f ca="1">IFERROR(__xludf.DUMMYFUNCTION("""COMPUTED_VALUE"""),0)</f>
        <v>0</v>
      </c>
      <c r="E544" s="5">
        <f ca="1">IFERROR(__xludf.DUMMYFUNCTION("""COMPUTED_VALUE"""),0)</f>
        <v>0</v>
      </c>
      <c r="F544" s="5">
        <f ca="1">IFERROR(__xludf.DUMMYFUNCTION("""COMPUTED_VALUE"""),0)</f>
        <v>0</v>
      </c>
      <c r="G544" s="5">
        <f ca="1">IFERROR(__xludf.DUMMYFUNCTION("""COMPUTED_VALUE"""),0)</f>
        <v>0</v>
      </c>
      <c r="H544" s="9" t="str">
        <f ca="1">IFERROR(__xludf.DUMMYFUNCTION("""COMPUTED_VALUE"""),"https://kimatv.com/news/local/police-yakima-teen-arrested-for-threatening-woman-girl-at-and-elementary-school")</f>
        <v>https://kimatv.com/news/local/police-yakima-teen-arrested-for-threatening-woman-girl-at-and-elementary-school</v>
      </c>
      <c r="I544" s="5"/>
      <c r="J544" s="5"/>
      <c r="K544" s="5">
        <f ca="1">IFERROR(__xludf.DUMMYFUNCTION("""COMPUTED_VALUE"""),4)</f>
        <v>4</v>
      </c>
      <c r="L544" s="5" t="str">
        <f ca="1">IFERROR(__xludf.DUMMYFUNCTION("""COMPUTED_VALUE"""),"Winter")</f>
        <v>Winter</v>
      </c>
      <c r="M544" s="5" t="str">
        <f ca="1">IFERROR(__xludf.DUMMYFUNCTION("""COMPUTED_VALUE"""),"Yakima")</f>
        <v>Yakima</v>
      </c>
      <c r="N544" s="5" t="str">
        <f ca="1">IFERROR(__xludf.DUMMYFUNCTION("""COMPUTED_VALUE"""),"WA")</f>
        <v>WA</v>
      </c>
      <c r="O544" s="5" t="str">
        <f ca="1">IFERROR(__xludf.DUMMYFUNCTION("""COMPUTED_VALUE"""),"Elementary")</f>
        <v>Elementary</v>
      </c>
      <c r="P544" s="5" t="str">
        <f ca="1">IFERROR(__xludf.DUMMYFUNCTION("""COMPUTED_VALUE"""),"Playground")</f>
        <v>Playground</v>
      </c>
      <c r="Q544" s="5" t="str">
        <f ca="1">IFERROR(__xludf.DUMMYFUNCTION("""COMPUTED_VALUE"""),"Outside on School Property")</f>
        <v>Outside on School Property</v>
      </c>
      <c r="R544" s="5" t="str">
        <f ca="1">IFERROR(__xludf.DUMMYFUNCTION("""COMPUTED_VALUE"""),"No")</f>
        <v>No</v>
      </c>
      <c r="S544" s="5" t="str">
        <f ca="1">IFERROR(__xludf.DUMMYFUNCTION("""COMPUTED_VALUE"""),"After School")</f>
        <v>After School</v>
      </c>
      <c r="T544" s="10">
        <f ca="1">IFERROR(__xludf.DUMMYFUNCTION("""COMPUTED_VALUE"""),0.645833333333333)</f>
        <v>0.64583333333333304</v>
      </c>
      <c r="U544" s="5">
        <f ca="1">IFERROR(__xludf.DUMMYFUNCTION("""COMPUTED_VALUE"""),1)</f>
        <v>1</v>
      </c>
      <c r="V544" s="5" t="str">
        <f ca="1">IFERROR(__xludf.DUMMYFUNCTION("""COMPUTED_VALUE"""),"18YOM pointed gun at multiple students and parents on school playground then fled the area in a vehicle")</f>
        <v>18YOM pointed gun at multiple students and parents on school playground then fled the area in a vehicle</v>
      </c>
      <c r="W544"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X544" s="5" t="str">
        <f ca="1">IFERROR(__xludf.DUMMYFUNCTION("""COMPUTED_VALUE"""),"Illegal Activity")</f>
        <v>Illegal Activity</v>
      </c>
      <c r="Y544" s="5" t="str">
        <f ca="1">IFERROR(__xludf.DUMMYFUNCTION("""COMPUTED_VALUE"""),"Victims Targeted")</f>
        <v>Victims Targeted</v>
      </c>
      <c r="Z544" s="5" t="str">
        <f ca="1">IFERROR(__xludf.DUMMYFUNCTION("""COMPUTED_VALUE"""),"Yes")</f>
        <v>Yes</v>
      </c>
      <c r="AA544" s="5" t="str">
        <f ca="1">IFERROR(__xludf.DUMMYFUNCTION("""COMPUTED_VALUE"""),"4 men in vehicle")</f>
        <v>4 men in vehicle</v>
      </c>
      <c r="AB544" s="5" t="str">
        <f ca="1">IFERROR(__xludf.DUMMYFUNCTION("""COMPUTED_VALUE"""),"No")</f>
        <v>No</v>
      </c>
      <c r="AC544" s="5" t="str">
        <f ca="1">IFERROR(__xludf.DUMMYFUNCTION("""COMPUTED_VALUE"""),"No")</f>
        <v>No</v>
      </c>
      <c r="AD544" s="5" t="str">
        <f ca="1">IFERROR(__xludf.DUMMYFUNCTION("""COMPUTED_VALUE"""),"No")</f>
        <v>No</v>
      </c>
      <c r="AE544" s="5" t="str">
        <f ca="1">IFERROR(__xludf.DUMMYFUNCTION("""COMPUTED_VALUE"""),"No")</f>
        <v>No</v>
      </c>
      <c r="AF544" s="5" t="str">
        <f ca="1">IFERROR(__xludf.DUMMYFUNCTION("""COMPUTED_VALUE"""),"No")</f>
        <v>No</v>
      </c>
      <c r="AG544" s="5" t="str">
        <f ca="1">IFERROR(__xludf.DUMMYFUNCTION("""COMPUTED_VALUE"""),"Yes")</f>
        <v>Yes</v>
      </c>
      <c r="AH544" s="5" t="str">
        <f ca="1">IFERROR(__xludf.DUMMYFUNCTION("""COMPUTED_VALUE"""),"No")</f>
        <v>No</v>
      </c>
    </row>
    <row r="545" spans="1:34" ht="12.75">
      <c r="A545" s="5" t="str">
        <f ca="1">IFERROR(__xludf.DUMMYFUNCTION("""COMPUTED_VALUE"""),"20200123CAOXO")</f>
        <v>20200123CAOXO</v>
      </c>
      <c r="B545" s="8">
        <f ca="1">IFERROR(__xludf.DUMMYFUNCTION("""COMPUTED_VALUE"""),43853)</f>
        <v>43853</v>
      </c>
      <c r="C545" s="5" t="str">
        <f ca="1">IFERROR(__xludf.DUMMYFUNCTION("""COMPUTED_VALUE"""),"Oxnard's Christa McAuliffe Elementary School")</f>
        <v>Oxnard's Christa McAuliffe Elementary School</v>
      </c>
      <c r="D545" s="5">
        <f ca="1">IFERROR(__xludf.DUMMYFUNCTION("""COMPUTED_VALUE"""),0)</f>
        <v>0</v>
      </c>
      <c r="E545" s="5">
        <f ca="1">IFERROR(__xludf.DUMMYFUNCTION("""COMPUTED_VALUE"""),1)</f>
        <v>1</v>
      </c>
      <c r="F545" s="5">
        <f ca="1">IFERROR(__xludf.DUMMYFUNCTION("""COMPUTED_VALUE"""),1)</f>
        <v>1</v>
      </c>
      <c r="G545" s="5">
        <f ca="1">IFERROR(__xludf.DUMMYFUNCTION("""COMPUTED_VALUE"""),0)</f>
        <v>0</v>
      </c>
      <c r="H545"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I545" s="5">
        <f ca="1">IFERROR(__xludf.DUMMYFUNCTION("""COMPUTED_VALUE"""),11)</f>
        <v>11</v>
      </c>
      <c r="J545" s="5" t="str">
        <f ca="1">IFERROR(__xludf.DUMMYFUNCTION("""COMPUTED_VALUE"""),"Regional")</f>
        <v>Regional</v>
      </c>
      <c r="K545" s="5">
        <f ca="1">IFERROR(__xludf.DUMMYFUNCTION("""COMPUTED_VALUE"""),4)</f>
        <v>4</v>
      </c>
      <c r="L545" s="5" t="str">
        <f ca="1">IFERROR(__xludf.DUMMYFUNCTION("""COMPUTED_VALUE"""),"Winter")</f>
        <v>Winter</v>
      </c>
      <c r="M545" s="5" t="str">
        <f ca="1">IFERROR(__xludf.DUMMYFUNCTION("""COMPUTED_VALUE"""),"Oxnard")</f>
        <v>Oxnard</v>
      </c>
      <c r="N545" s="5" t="str">
        <f ca="1">IFERROR(__xludf.DUMMYFUNCTION("""COMPUTED_VALUE"""),"CA")</f>
        <v>CA</v>
      </c>
      <c r="O545" s="5" t="str">
        <f ca="1">IFERROR(__xludf.DUMMYFUNCTION("""COMPUTED_VALUE"""),"Elementary")</f>
        <v>Elementary</v>
      </c>
      <c r="P545" s="5" t="str">
        <f ca="1">IFERROR(__xludf.DUMMYFUNCTION("""COMPUTED_VALUE"""),"Playground")</f>
        <v>Playground</v>
      </c>
      <c r="Q545" s="5" t="str">
        <f ca="1">IFERROR(__xludf.DUMMYFUNCTION("""COMPUTED_VALUE"""),"Outside on School Property")</f>
        <v>Outside on School Property</v>
      </c>
      <c r="R545" s="5" t="str">
        <f ca="1">IFERROR(__xludf.DUMMYFUNCTION("""COMPUTED_VALUE"""),"Yes")</f>
        <v>Yes</v>
      </c>
      <c r="S545" s="5" t="str">
        <f ca="1">IFERROR(__xludf.DUMMYFUNCTION("""COMPUTED_VALUE"""),"Lunch")</f>
        <v>Lunch</v>
      </c>
      <c r="T545" s="10">
        <f ca="1">IFERROR(__xludf.DUMMYFUNCTION("""COMPUTED_VALUE"""),0.479166666666666)</f>
        <v>0.47916666666666602</v>
      </c>
      <c r="U545" s="5">
        <f ca="1">IFERROR(__xludf.DUMMYFUNCTION("""COMPUTED_VALUE"""),1)</f>
        <v>1</v>
      </c>
      <c r="V545" s="5" t="str">
        <f ca="1">IFERROR(__xludf.DUMMYFUNCTION("""COMPUTED_VALUE"""),"Car-to-car shooting, a student was struck on the playground")</f>
        <v>Car-to-car shooting, a student was struck on the playground</v>
      </c>
      <c r="W545"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X545" s="5" t="str">
        <f ca="1">IFERROR(__xludf.DUMMYFUNCTION("""COMPUTED_VALUE"""),"Drive-by Shooting")</f>
        <v>Drive-by Shooting</v>
      </c>
      <c r="Y545" s="5" t="str">
        <f ca="1">IFERROR(__xludf.DUMMYFUNCTION("""COMPUTED_VALUE"""),"Random Shooting")</f>
        <v>Random Shooting</v>
      </c>
      <c r="Z545" s="5"/>
      <c r="AA545" s="5"/>
      <c r="AB545" s="5" t="str">
        <f ca="1">IFERROR(__xludf.DUMMYFUNCTION("""COMPUTED_VALUE"""),"No")</f>
        <v>No</v>
      </c>
      <c r="AC545" s="5" t="str">
        <f ca="1">IFERROR(__xludf.DUMMYFUNCTION("""COMPUTED_VALUE"""),"No")</f>
        <v>No</v>
      </c>
      <c r="AD545" s="5" t="str">
        <f ca="1">IFERROR(__xludf.DUMMYFUNCTION("""COMPUTED_VALUE"""),"No")</f>
        <v>No</v>
      </c>
      <c r="AE545" s="5" t="str">
        <f ca="1">IFERROR(__xludf.DUMMYFUNCTION("""COMPUTED_VALUE"""),"N/A")</f>
        <v>N/A</v>
      </c>
      <c r="AF545" s="5"/>
      <c r="AG545" s="5" t="str">
        <f ca="1">IFERROR(__xludf.DUMMYFUNCTION("""COMPUTED_VALUE"""),"Yes")</f>
        <v>Yes</v>
      </c>
      <c r="AH545" s="5" t="str">
        <f ca="1">IFERROR(__xludf.DUMMYFUNCTION("""COMPUTED_VALUE"""),"No")</f>
        <v>No</v>
      </c>
    </row>
    <row r="546" spans="1:34" ht="12.75">
      <c r="A546" s="5" t="str">
        <f ca="1">IFERROR(__xludf.DUMMYFUNCTION("""COMPUTED_VALUE"""),"20200121NEPAL")</f>
        <v>20200121NEPAL</v>
      </c>
      <c r="B546" s="8">
        <f ca="1">IFERROR(__xludf.DUMMYFUNCTION("""COMPUTED_VALUE"""),43851)</f>
        <v>43851</v>
      </c>
      <c r="C546" s="5" t="str">
        <f ca="1">IFERROR(__xludf.DUMMYFUNCTION("""COMPUTED_VALUE"""),"Park Middle School")</f>
        <v>Park Middle School</v>
      </c>
      <c r="D546" s="5">
        <f ca="1">IFERROR(__xludf.DUMMYFUNCTION("""COMPUTED_VALUE"""),0)</f>
        <v>0</v>
      </c>
      <c r="E546" s="5">
        <f ca="1">IFERROR(__xludf.DUMMYFUNCTION("""COMPUTED_VALUE"""),0)</f>
        <v>0</v>
      </c>
      <c r="F546" s="5">
        <f ca="1">IFERROR(__xludf.DUMMYFUNCTION("""COMPUTED_VALUE"""),0)</f>
        <v>0</v>
      </c>
      <c r="G546" s="5">
        <f ca="1">IFERROR(__xludf.DUMMYFUNCTION("""COMPUTED_VALUE"""),0)</f>
        <v>0</v>
      </c>
      <c r="H546" s="9" t="str">
        <f ca="1">IFERROR(__xludf.DUMMYFUNCTION("""COMPUTED_VALUE"""),"https://www.klkntv.com/story/41605181/car-breakins-occur-at-a-lincoln-middle-school")</f>
        <v>https://www.klkntv.com/story/41605181/car-breakins-occur-at-a-lincoln-middle-school</v>
      </c>
      <c r="I546" s="5"/>
      <c r="J546" s="5"/>
      <c r="K546" s="5">
        <f ca="1">IFERROR(__xludf.DUMMYFUNCTION("""COMPUTED_VALUE"""),4)</f>
        <v>4</v>
      </c>
      <c r="L546" s="5" t="str">
        <f ca="1">IFERROR(__xludf.DUMMYFUNCTION("""COMPUTED_VALUE"""),"Winter")</f>
        <v>Winter</v>
      </c>
      <c r="M546" s="5" t="str">
        <f ca="1">IFERROR(__xludf.DUMMYFUNCTION("""COMPUTED_VALUE"""),"Lincoln")</f>
        <v>Lincoln</v>
      </c>
      <c r="N546" s="5" t="str">
        <f ca="1">IFERROR(__xludf.DUMMYFUNCTION("""COMPUTED_VALUE"""),"NE")</f>
        <v>NE</v>
      </c>
      <c r="O546" s="5" t="str">
        <f ca="1">IFERROR(__xludf.DUMMYFUNCTION("""COMPUTED_VALUE"""),"Middle")</f>
        <v>Middle</v>
      </c>
      <c r="P546" s="5" t="str">
        <f ca="1">IFERROR(__xludf.DUMMYFUNCTION("""COMPUTED_VALUE"""),"Parking Lot")</f>
        <v>Parking Lot</v>
      </c>
      <c r="Q546" s="5" t="str">
        <f ca="1">IFERROR(__xludf.DUMMYFUNCTION("""COMPUTED_VALUE"""),"Outside on School Property")</f>
        <v>Outside on School Property</v>
      </c>
      <c r="R546" s="5" t="str">
        <f ca="1">IFERROR(__xludf.DUMMYFUNCTION("""COMPUTED_VALUE"""),"No")</f>
        <v>No</v>
      </c>
      <c r="S546" s="5" t="str">
        <f ca="1">IFERROR(__xludf.DUMMYFUNCTION("""COMPUTED_VALUE"""),"Evening")</f>
        <v>Evening</v>
      </c>
      <c r="T546" s="10">
        <f ca="1">IFERROR(__xludf.DUMMYFUNCTION("""COMPUTED_VALUE"""),0.739583333333333)</f>
        <v>0.73958333333333304</v>
      </c>
      <c r="U546" s="5"/>
      <c r="V546" s="5" t="str">
        <f ca="1">IFERROR(__xludf.DUMMYFUNCTION("""COMPUTED_VALUE"""),"Shot vehicle windows in school parking lot during break-in")</f>
        <v>Shot vehicle windows in school parking lot during break-in</v>
      </c>
      <c r="W546" s="5" t="str">
        <f ca="1">IFERROR(__xludf.DUMMYFUNCTION("""COMPUTED_VALUE"""),"Multiple vehicle windows shot with BB gun during vehicle break-ins in school parking lot")</f>
        <v>Multiple vehicle windows shot with BB gun during vehicle break-ins in school parking lot</v>
      </c>
      <c r="X546" s="5" t="str">
        <f ca="1">IFERROR(__xludf.DUMMYFUNCTION("""COMPUTED_VALUE"""),"Intentional Property Damage")</f>
        <v>Intentional Property Damage</v>
      </c>
      <c r="Y546" s="5" t="str">
        <f ca="1">IFERROR(__xludf.DUMMYFUNCTION("""COMPUTED_VALUE"""),"Neither")</f>
        <v>Neither</v>
      </c>
      <c r="Z546" s="5"/>
      <c r="AA546" s="5"/>
      <c r="AB546" s="5" t="str">
        <f ca="1">IFERROR(__xludf.DUMMYFUNCTION("""COMPUTED_VALUE"""),"No")</f>
        <v>No</v>
      </c>
      <c r="AC546" s="5" t="str">
        <f ca="1">IFERROR(__xludf.DUMMYFUNCTION("""COMPUTED_VALUE"""),"No")</f>
        <v>No</v>
      </c>
      <c r="AD546" s="5" t="str">
        <f ca="1">IFERROR(__xludf.DUMMYFUNCTION("""COMPUTED_VALUE"""),"No")</f>
        <v>No</v>
      </c>
      <c r="AE546" s="5" t="str">
        <f ca="1">IFERROR(__xludf.DUMMYFUNCTION("""COMPUTED_VALUE"""),"No")</f>
        <v>No</v>
      </c>
      <c r="AF546" s="5" t="str">
        <f ca="1">IFERROR(__xludf.DUMMYFUNCTION("""COMPUTED_VALUE"""),"No")</f>
        <v>No</v>
      </c>
      <c r="AG546" s="5" t="str">
        <f ca="1">IFERROR(__xludf.DUMMYFUNCTION("""COMPUTED_VALUE"""),"No")</f>
        <v>No</v>
      </c>
      <c r="AH546" s="5" t="str">
        <f ca="1">IFERROR(__xludf.DUMMYFUNCTION("""COMPUTED_VALUE"""),"No")</f>
        <v>No</v>
      </c>
    </row>
    <row r="547" spans="1:34" ht="12.75">
      <c r="A547" s="5" t="str">
        <f ca="1">IFERROR(__xludf.DUMMYFUNCTION("""COMPUTED_VALUE"""),"20200121ILLIC")</f>
        <v>20200121ILLIC</v>
      </c>
      <c r="B547" s="8">
        <f ca="1">IFERROR(__xludf.DUMMYFUNCTION("""COMPUTED_VALUE"""),43851)</f>
        <v>43851</v>
      </c>
      <c r="C547" s="5" t="str">
        <f ca="1">IFERROR(__xludf.DUMMYFUNCTION("""COMPUTED_VALUE"""),"Lindblom Math &amp; Science Academy High School")</f>
        <v>Lindblom Math &amp; Science Academy High School</v>
      </c>
      <c r="D547" s="5">
        <f ca="1">IFERROR(__xludf.DUMMYFUNCTION("""COMPUTED_VALUE"""),0)</f>
        <v>0</v>
      </c>
      <c r="E547" s="5">
        <f ca="1">IFERROR(__xludf.DUMMYFUNCTION("""COMPUTED_VALUE"""),1)</f>
        <v>1</v>
      </c>
      <c r="F547" s="5">
        <f ca="1">IFERROR(__xludf.DUMMYFUNCTION("""COMPUTED_VALUE"""),1)</f>
        <v>1</v>
      </c>
      <c r="G547" s="5">
        <f ca="1">IFERROR(__xludf.DUMMYFUNCTION("""COMPUTED_VALUE"""),0)</f>
        <v>0</v>
      </c>
      <c r="H547" s="9" t="str">
        <f ca="1">IFERROR(__xludf.DUMMYFUNCTION("""COMPUTED_VALUE"""),"https://chicago.cbslocal.com/2020/01/22/lindblom-high-school-shooting-robbery-swim-team-members/")</f>
        <v>https://chicago.cbslocal.com/2020/01/22/lindblom-high-school-shooting-robbery-swim-team-members/</v>
      </c>
      <c r="I547" s="5"/>
      <c r="J547" s="5"/>
      <c r="K547" s="5">
        <f ca="1">IFERROR(__xludf.DUMMYFUNCTION("""COMPUTED_VALUE"""),3)</f>
        <v>3</v>
      </c>
      <c r="L547" s="5" t="str">
        <f ca="1">IFERROR(__xludf.DUMMYFUNCTION("""COMPUTED_VALUE"""),"Winter")</f>
        <v>Winter</v>
      </c>
      <c r="M547" s="5" t="str">
        <f ca="1">IFERROR(__xludf.DUMMYFUNCTION("""COMPUTED_VALUE"""),"Chicago")</f>
        <v>Chicago</v>
      </c>
      <c r="N547" s="5" t="str">
        <f ca="1">IFERROR(__xludf.DUMMYFUNCTION("""COMPUTED_VALUE"""),"IL")</f>
        <v>IL</v>
      </c>
      <c r="O547" s="5" t="str">
        <f ca="1">IFERROR(__xludf.DUMMYFUNCTION("""COMPUTED_VALUE"""),"High")</f>
        <v>High</v>
      </c>
      <c r="P547" s="5" t="str">
        <f ca="1">IFERROR(__xludf.DUMMYFUNCTION("""COMPUTED_VALUE"""),"Front of School")</f>
        <v>Front of School</v>
      </c>
      <c r="Q547" s="5" t="str">
        <f ca="1">IFERROR(__xludf.DUMMYFUNCTION("""COMPUTED_VALUE"""),"Outside on School Property")</f>
        <v>Outside on School Property</v>
      </c>
      <c r="R547" s="5" t="str">
        <f ca="1">IFERROR(__xludf.DUMMYFUNCTION("""COMPUTED_VALUE"""),"No")</f>
        <v>No</v>
      </c>
      <c r="S547" s="5" t="str">
        <f ca="1">IFERROR(__xludf.DUMMYFUNCTION("""COMPUTED_VALUE"""),"Sport Event")</f>
        <v>Sport Event</v>
      </c>
      <c r="T547" s="10">
        <f ca="1">IFERROR(__xludf.DUMMYFUNCTION("""COMPUTED_VALUE"""),0.770833333333333)</f>
        <v>0.77083333333333304</v>
      </c>
      <c r="U547" s="5">
        <f ca="1">IFERROR(__xludf.DUMMYFUNCTION("""COMPUTED_VALUE"""),1)</f>
        <v>1</v>
      </c>
      <c r="V547" s="5" t="str">
        <f ca="1">IFERROR(__xludf.DUMMYFUNCTION("""COMPUTED_VALUE"""),"Student shot during robbery after leaving swim meet at school")</f>
        <v>Student shot during robbery after leaving swim meet at school</v>
      </c>
      <c r="W547"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X547" s="5" t="str">
        <f ca="1">IFERROR(__xludf.DUMMYFUNCTION("""COMPUTED_VALUE"""),"Illegal Activity")</f>
        <v>Illegal Activity</v>
      </c>
      <c r="Y547" s="5" t="str">
        <f ca="1">IFERROR(__xludf.DUMMYFUNCTION("""COMPUTED_VALUE"""),"Victims Targeted")</f>
        <v>Victims Targeted</v>
      </c>
      <c r="Z547" s="5" t="str">
        <f ca="1">IFERROR(__xludf.DUMMYFUNCTION("""COMPUTED_VALUE"""),"Yes")</f>
        <v>Yes</v>
      </c>
      <c r="AA547" s="5" t="str">
        <f ca="1">IFERROR(__xludf.DUMMYFUNCTION("""COMPUTED_VALUE"""),"2 in vehicle")</f>
        <v>2 in vehicle</v>
      </c>
      <c r="AB547" s="5" t="str">
        <f ca="1">IFERROR(__xludf.DUMMYFUNCTION("""COMPUTED_VALUE"""),"No")</f>
        <v>No</v>
      </c>
      <c r="AC547" s="5" t="str">
        <f ca="1">IFERROR(__xludf.DUMMYFUNCTION("""COMPUTED_VALUE"""),"No")</f>
        <v>No</v>
      </c>
      <c r="AD547" s="5" t="str">
        <f ca="1">IFERROR(__xludf.DUMMYFUNCTION("""COMPUTED_VALUE"""),"No")</f>
        <v>No</v>
      </c>
      <c r="AE547" s="5" t="str">
        <f ca="1">IFERROR(__xludf.DUMMYFUNCTION("""COMPUTED_VALUE"""),"No")</f>
        <v>No</v>
      </c>
      <c r="AF547" s="5" t="str">
        <f ca="1">IFERROR(__xludf.DUMMYFUNCTION("""COMPUTED_VALUE"""),"No")</f>
        <v>No</v>
      </c>
      <c r="AG547" s="5" t="str">
        <f ca="1">IFERROR(__xludf.DUMMYFUNCTION("""COMPUTED_VALUE"""),"No")</f>
        <v>No</v>
      </c>
      <c r="AH547" s="5" t="str">
        <f ca="1">IFERROR(__xludf.DUMMYFUNCTION("""COMPUTED_VALUE"""),"No")</f>
        <v>No</v>
      </c>
    </row>
    <row r="548" spans="1:34" ht="12.75">
      <c r="A548" s="5" t="str">
        <f ca="1">IFERROR(__xludf.DUMMYFUNCTION("""COMPUTED_VALUE"""),"20200119TXNOF")</f>
        <v>20200119TXNOF</v>
      </c>
      <c r="B548" s="8">
        <f ca="1">IFERROR(__xludf.DUMMYFUNCTION("""COMPUTED_VALUE"""),43849)</f>
        <v>43849</v>
      </c>
      <c r="C548" s="5" t="str">
        <f ca="1">IFERROR(__xludf.DUMMYFUNCTION("""COMPUTED_VALUE"""),"North Crowley Ninth Grade Campus")</f>
        <v>North Crowley Ninth Grade Campus</v>
      </c>
      <c r="D548" s="5">
        <f ca="1">IFERROR(__xludf.DUMMYFUNCTION("""COMPUTED_VALUE"""),0)</f>
        <v>0</v>
      </c>
      <c r="E548" s="5">
        <f ca="1">IFERROR(__xludf.DUMMYFUNCTION("""COMPUTED_VALUE"""),2)</f>
        <v>2</v>
      </c>
      <c r="F548" s="5">
        <f ca="1">IFERROR(__xludf.DUMMYFUNCTION("""COMPUTED_VALUE"""),2)</f>
        <v>2</v>
      </c>
      <c r="G548" s="5">
        <f ca="1">IFERROR(__xludf.DUMMYFUNCTION("""COMPUTED_VALUE"""),0)</f>
        <v>0</v>
      </c>
      <c r="H548"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I548" s="5"/>
      <c r="J548" s="5"/>
      <c r="K548" s="5">
        <f ca="1">IFERROR(__xludf.DUMMYFUNCTION("""COMPUTED_VALUE"""),4)</f>
        <v>4</v>
      </c>
      <c r="L548" s="5" t="str">
        <f ca="1">IFERROR(__xludf.DUMMYFUNCTION("""COMPUTED_VALUE"""),"Winter")</f>
        <v>Winter</v>
      </c>
      <c r="M548" s="5" t="str">
        <f ca="1">IFERROR(__xludf.DUMMYFUNCTION("""COMPUTED_VALUE"""),"Fort Worth")</f>
        <v>Fort Worth</v>
      </c>
      <c r="N548" s="5" t="str">
        <f ca="1">IFERROR(__xludf.DUMMYFUNCTION("""COMPUTED_VALUE"""),"TX")</f>
        <v>TX</v>
      </c>
      <c r="O548" s="5" t="str">
        <f ca="1">IFERROR(__xludf.DUMMYFUNCTION("""COMPUTED_VALUE"""),"High")</f>
        <v>High</v>
      </c>
      <c r="P548" s="5" t="str">
        <f ca="1">IFERROR(__xludf.DUMMYFUNCTION("""COMPUTED_VALUE"""),"Parking Lot")</f>
        <v>Parking Lot</v>
      </c>
      <c r="Q548" s="5" t="str">
        <f ca="1">IFERROR(__xludf.DUMMYFUNCTION("""COMPUTED_VALUE"""),"Outside on School Property")</f>
        <v>Outside on School Property</v>
      </c>
      <c r="R548" s="5" t="str">
        <f ca="1">IFERROR(__xludf.DUMMYFUNCTION("""COMPUTED_VALUE"""),"No")</f>
        <v>No</v>
      </c>
      <c r="S548" s="5" t="str">
        <f ca="1">IFERROR(__xludf.DUMMYFUNCTION("""COMPUTED_VALUE"""),"Sport Event")</f>
        <v>Sport Event</v>
      </c>
      <c r="T548" s="10">
        <f ca="1">IFERROR(__xludf.DUMMYFUNCTION("""COMPUTED_VALUE"""),0.791666666666666)</f>
        <v>0.79166666666666596</v>
      </c>
      <c r="U548" s="5">
        <f ca="1">IFERROR(__xludf.DUMMYFUNCTION("""COMPUTED_VALUE"""),1)</f>
        <v>1</v>
      </c>
      <c r="V548" s="5" t="str">
        <f ca="1">IFERROR(__xludf.DUMMYFUNCTION("""COMPUTED_VALUE"""),"Targeted shooting of adult male in school parking lot, child was also struck")</f>
        <v>Targeted shooting of adult male in school parking lot, child was also struck</v>
      </c>
      <c r="W548"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X548" s="5" t="str">
        <f ca="1">IFERROR(__xludf.DUMMYFUNCTION("""COMPUTED_VALUE"""),"Escalation of Dispute")</f>
        <v>Escalation of Dispute</v>
      </c>
      <c r="Y548" s="5" t="str">
        <f ca="1">IFERROR(__xludf.DUMMYFUNCTION("""COMPUTED_VALUE"""),"Both")</f>
        <v>Both</v>
      </c>
      <c r="Z548" s="5" t="str">
        <f ca="1">IFERROR(__xludf.DUMMYFUNCTION("""COMPUTED_VALUE"""),"Yes")</f>
        <v>Yes</v>
      </c>
      <c r="AA548" s="5" t="str">
        <f ca="1">IFERROR(__xludf.DUMMYFUNCTION("""COMPUTED_VALUE"""),"2 calibers of shells found")</f>
        <v>2 calibers of shells found</v>
      </c>
      <c r="AB548" s="5" t="str">
        <f ca="1">IFERROR(__xludf.DUMMYFUNCTION("""COMPUTED_VALUE"""),"No")</f>
        <v>No</v>
      </c>
      <c r="AC548" s="5" t="str">
        <f ca="1">IFERROR(__xludf.DUMMYFUNCTION("""COMPUTED_VALUE"""),"No")</f>
        <v>No</v>
      </c>
      <c r="AD548" s="5" t="str">
        <f ca="1">IFERROR(__xludf.DUMMYFUNCTION("""COMPUTED_VALUE"""),"No")</f>
        <v>No</v>
      </c>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row>
    <row r="549" spans="1:34" ht="12.75">
      <c r="A549" s="5" t="str">
        <f ca="1">IFERROR(__xludf.DUMMYFUNCTION("""COMPUTED_VALUE"""),"20200117SCCAS")</f>
        <v>20200117SCCAS</v>
      </c>
      <c r="B549" s="8">
        <f ca="1">IFERROR(__xludf.DUMMYFUNCTION("""COMPUTED_VALUE"""),43847)</f>
        <v>43847</v>
      </c>
      <c r="C549" s="5" t="str">
        <f ca="1">IFERROR(__xludf.DUMMYFUNCTION("""COMPUTED_VALUE"""),"Cane Bay High School")</f>
        <v>Cane Bay High School</v>
      </c>
      <c r="D549" s="5">
        <f ca="1">IFERROR(__xludf.DUMMYFUNCTION("""COMPUTED_VALUE"""),0)</f>
        <v>0</v>
      </c>
      <c r="E549" s="5">
        <f ca="1">IFERROR(__xludf.DUMMYFUNCTION("""COMPUTED_VALUE"""),0)</f>
        <v>0</v>
      </c>
      <c r="F549" s="5">
        <f ca="1">IFERROR(__xludf.DUMMYFUNCTION("""COMPUTED_VALUE"""),0)</f>
        <v>0</v>
      </c>
      <c r="G549" s="5">
        <f ca="1">IFERROR(__xludf.DUMMYFUNCTION("""COMPUTED_VALUE"""),1)</f>
        <v>1</v>
      </c>
      <c r="H549"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I549" s="5"/>
      <c r="J549" s="5"/>
      <c r="K549" s="5">
        <f ca="1">IFERROR(__xludf.DUMMYFUNCTION("""COMPUTED_VALUE"""),3)</f>
        <v>3</v>
      </c>
      <c r="L549" s="5" t="str">
        <f ca="1">IFERROR(__xludf.DUMMYFUNCTION("""COMPUTED_VALUE"""),"Winter")</f>
        <v>Winter</v>
      </c>
      <c r="M549" s="5" t="str">
        <f ca="1">IFERROR(__xludf.DUMMYFUNCTION("""COMPUTED_VALUE"""),"Summerville")</f>
        <v>Summerville</v>
      </c>
      <c r="N549" s="5" t="str">
        <f ca="1">IFERROR(__xludf.DUMMYFUNCTION("""COMPUTED_VALUE"""),"SC")</f>
        <v>SC</v>
      </c>
      <c r="O549" s="5" t="str">
        <f ca="1">IFERROR(__xludf.DUMMYFUNCTION("""COMPUTED_VALUE"""),"High")</f>
        <v>High</v>
      </c>
      <c r="P549" s="5" t="str">
        <f ca="1">IFERROR(__xludf.DUMMYFUNCTION("""COMPUTED_VALUE"""),"Parking Lot")</f>
        <v>Parking Lot</v>
      </c>
      <c r="Q549" s="5" t="str">
        <f ca="1">IFERROR(__xludf.DUMMYFUNCTION("""COMPUTED_VALUE"""),"Outside on School Property")</f>
        <v>Outside on School Property</v>
      </c>
      <c r="R549" s="5" t="str">
        <f ca="1">IFERROR(__xludf.DUMMYFUNCTION("""COMPUTED_VALUE"""),"Yes")</f>
        <v>Yes</v>
      </c>
      <c r="S549" s="5" t="str">
        <f ca="1">IFERROR(__xludf.DUMMYFUNCTION("""COMPUTED_VALUE"""),"Morning Classes")</f>
        <v>Morning Classes</v>
      </c>
      <c r="T549" s="10">
        <f ca="1">IFERROR(__xludf.DUMMYFUNCTION("""COMPUTED_VALUE"""),0.458333333333333)</f>
        <v>0.45833333333333298</v>
      </c>
      <c r="U549" s="5">
        <f ca="1">IFERROR(__xludf.DUMMYFUNCTION("""COMPUTED_VALUE"""),1)</f>
        <v>1</v>
      </c>
      <c r="V549" s="5" t="str">
        <f ca="1">IFERROR(__xludf.DUMMYFUNCTION("""COMPUTED_VALUE"""),"16YOM found dead in vehicle in school parking lot, school locked down")</f>
        <v>16YOM found dead in vehicle in school parking lot, school locked down</v>
      </c>
      <c r="W549"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X549" s="5" t="str">
        <f ca="1">IFERROR(__xludf.DUMMYFUNCTION("""COMPUTED_VALUE"""),"Suicide/Attempted")</f>
        <v>Suicide/Attempted</v>
      </c>
      <c r="Y549" s="5" t="str">
        <f ca="1">IFERROR(__xludf.DUMMYFUNCTION("""COMPUTED_VALUE"""),"Victims Targeted")</f>
        <v>Victims Targeted</v>
      </c>
      <c r="Z549" s="5" t="str">
        <f ca="1">IFERROR(__xludf.DUMMYFUNCTION("""COMPUTED_VALUE"""),"No")</f>
        <v>No</v>
      </c>
      <c r="AA549" s="5"/>
      <c r="AB549" s="5" t="str">
        <f ca="1">IFERROR(__xludf.DUMMYFUNCTION("""COMPUTED_VALUE"""),"No")</f>
        <v>No</v>
      </c>
      <c r="AC549" s="5" t="str">
        <f ca="1">IFERROR(__xludf.DUMMYFUNCTION("""COMPUTED_VALUE"""),"No")</f>
        <v>No</v>
      </c>
      <c r="AD549" s="5" t="str">
        <f ca="1">IFERROR(__xludf.DUMMYFUNCTION("""COMPUTED_VALUE"""),"No")</f>
        <v>No</v>
      </c>
      <c r="AE549" s="5"/>
      <c r="AF549" s="5" t="str">
        <f ca="1">IFERROR(__xludf.DUMMYFUNCTION("""COMPUTED_VALUE"""),"No")</f>
        <v>No</v>
      </c>
      <c r="AG549" s="5" t="str">
        <f ca="1">IFERROR(__xludf.DUMMYFUNCTION("""COMPUTED_VALUE"""),"No")</f>
        <v>No</v>
      </c>
      <c r="AH549" s="5" t="str">
        <f ca="1">IFERROR(__xludf.DUMMYFUNCTION("""COMPUTED_VALUE"""),"No")</f>
        <v>No</v>
      </c>
    </row>
    <row r="550" spans="1:34" ht="12.75">
      <c r="A550" s="5" t="str">
        <f ca="1">IFERROR(__xludf.DUMMYFUNCTION("""COMPUTED_VALUE"""),"20200117MITHH")</f>
        <v>20200117MITHH</v>
      </c>
      <c r="B550" s="8">
        <f ca="1">IFERROR(__xludf.DUMMYFUNCTION("""COMPUTED_VALUE"""),43847)</f>
        <v>43847</v>
      </c>
      <c r="C550" s="5" t="str">
        <f ca="1">IFERROR(__xludf.DUMMYFUNCTION("""COMPUTED_VALUE"""),"Three Fires Elementary School")</f>
        <v>Three Fires Elementary School</v>
      </c>
      <c r="D550" s="5">
        <f ca="1">IFERROR(__xludf.DUMMYFUNCTION("""COMPUTED_VALUE"""),0)</f>
        <v>0</v>
      </c>
      <c r="E550" s="5">
        <f ca="1">IFERROR(__xludf.DUMMYFUNCTION("""COMPUTED_VALUE"""),1)</f>
        <v>1</v>
      </c>
      <c r="F550" s="5">
        <f ca="1">IFERROR(__xludf.DUMMYFUNCTION("""COMPUTED_VALUE"""),1)</f>
        <v>1</v>
      </c>
      <c r="G550" s="5">
        <f ca="1">IFERROR(__xludf.DUMMYFUNCTION("""COMPUTED_VALUE"""),0)</f>
        <v>0</v>
      </c>
      <c r="H550"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I550" s="5"/>
      <c r="J550" s="5"/>
      <c r="K550" s="5">
        <f ca="1">IFERROR(__xludf.DUMMYFUNCTION("""COMPUTED_VALUE"""),5)</f>
        <v>5</v>
      </c>
      <c r="L550" s="5" t="str">
        <f ca="1">IFERROR(__xludf.DUMMYFUNCTION("""COMPUTED_VALUE"""),"Winter")</f>
        <v>Winter</v>
      </c>
      <c r="M550" s="5" t="str">
        <f ca="1">IFERROR(__xludf.DUMMYFUNCTION("""COMPUTED_VALUE"""),"Howell")</f>
        <v>Howell</v>
      </c>
      <c r="N550" s="5" t="str">
        <f ca="1">IFERROR(__xludf.DUMMYFUNCTION("""COMPUTED_VALUE"""),"MI")</f>
        <v>MI</v>
      </c>
      <c r="O550" s="5" t="str">
        <f ca="1">IFERROR(__xludf.DUMMYFUNCTION("""COMPUTED_VALUE"""),"Elementary")</f>
        <v>Elementary</v>
      </c>
      <c r="P550" s="5" t="str">
        <f ca="1">IFERROR(__xludf.DUMMYFUNCTION("""COMPUTED_VALUE"""),"Parking Lot")</f>
        <v>Parking Lot</v>
      </c>
      <c r="Q550" s="5" t="str">
        <f ca="1">IFERROR(__xludf.DUMMYFUNCTION("""COMPUTED_VALUE"""),"Outside on School Property")</f>
        <v>Outside on School Property</v>
      </c>
      <c r="R550" s="5" t="str">
        <f ca="1">IFERROR(__xludf.DUMMYFUNCTION("""COMPUTED_VALUE"""),"Yes")</f>
        <v>Yes</v>
      </c>
      <c r="S550" s="5" t="str">
        <f ca="1">IFERROR(__xludf.DUMMYFUNCTION("""COMPUTED_VALUE"""),"Dismissal")</f>
        <v>Dismissal</v>
      </c>
      <c r="T550" s="10">
        <f ca="1">IFERROR(__xludf.DUMMYFUNCTION("""COMPUTED_VALUE"""),0.635416666666666)</f>
        <v>0.63541666666666596</v>
      </c>
      <c r="U550" s="5">
        <f ca="1">IFERROR(__xludf.DUMMYFUNCTION("""COMPUTED_VALUE"""),1)</f>
        <v>1</v>
      </c>
      <c r="V550" s="5" t="str">
        <f ca="1">IFERROR(__xludf.DUMMYFUNCTION("""COMPUTED_VALUE"""),"Parent shot self while adjusting gun in vehicle while waiting to pick up child")</f>
        <v>Parent shot self while adjusting gun in vehicle while waiting to pick up child</v>
      </c>
      <c r="W550"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X550" s="5" t="str">
        <f ca="1">IFERROR(__xludf.DUMMYFUNCTION("""COMPUTED_VALUE"""),"Accidental")</f>
        <v>Accidental</v>
      </c>
      <c r="Y550" s="5" t="str">
        <f ca="1">IFERROR(__xludf.DUMMYFUNCTION("""COMPUTED_VALUE"""),"Neither")</f>
        <v>Neither</v>
      </c>
      <c r="Z550" s="5" t="str">
        <f ca="1">IFERROR(__xludf.DUMMYFUNCTION("""COMPUTED_VALUE"""),"No")</f>
        <v>No</v>
      </c>
      <c r="AA550" s="5"/>
      <c r="AB550" s="5" t="str">
        <f ca="1">IFERROR(__xludf.DUMMYFUNCTION("""COMPUTED_VALUE"""),"No")</f>
        <v>No</v>
      </c>
      <c r="AC550" s="5" t="str">
        <f ca="1">IFERROR(__xludf.DUMMYFUNCTION("""COMPUTED_VALUE"""),"No")</f>
        <v>No</v>
      </c>
      <c r="AD550" s="5" t="str">
        <f ca="1">IFERROR(__xludf.DUMMYFUNCTION("""COMPUTED_VALUE"""),"No")</f>
        <v>No</v>
      </c>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row>
    <row r="551" spans="1:34" ht="12.75">
      <c r="A551" s="5" t="str">
        <f ca="1">IFERROR(__xludf.DUMMYFUNCTION("""COMPUTED_VALUE"""),"20200114TXPOM")</f>
        <v>20200114TXPOM</v>
      </c>
      <c r="B551" s="8">
        <f ca="1">IFERROR(__xludf.DUMMYFUNCTION("""COMPUTED_VALUE"""),43844)</f>
        <v>43844</v>
      </c>
      <c r="C551" s="5" t="str">
        <f ca="1">IFERROR(__xludf.DUMMYFUNCTION("""COMPUTED_VALUE"""),"Poteet High School")</f>
        <v>Poteet High School</v>
      </c>
      <c r="D551" s="5">
        <f ca="1">IFERROR(__xludf.DUMMYFUNCTION("""COMPUTED_VALUE"""),0)</f>
        <v>0</v>
      </c>
      <c r="E551" s="5">
        <f ca="1">IFERROR(__xludf.DUMMYFUNCTION("""COMPUTED_VALUE"""),0)</f>
        <v>0</v>
      </c>
      <c r="F551" s="5">
        <f ca="1">IFERROR(__xludf.DUMMYFUNCTION("""COMPUTED_VALUE"""),0)</f>
        <v>0</v>
      </c>
      <c r="G551" s="5">
        <f ca="1">IFERROR(__xludf.DUMMYFUNCTION("""COMPUTED_VALUE"""),0)</f>
        <v>0</v>
      </c>
      <c r="H551"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I551" s="5"/>
      <c r="J551" s="5"/>
      <c r="K551" s="5">
        <f ca="1">IFERROR(__xludf.DUMMYFUNCTION("""COMPUTED_VALUE"""),4)</f>
        <v>4</v>
      </c>
      <c r="L551" s="5" t="str">
        <f ca="1">IFERROR(__xludf.DUMMYFUNCTION("""COMPUTED_VALUE"""),"Winter")</f>
        <v>Winter</v>
      </c>
      <c r="M551" s="5" t="str">
        <f ca="1">IFERROR(__xludf.DUMMYFUNCTION("""COMPUTED_VALUE"""),"Mesquite")</f>
        <v>Mesquite</v>
      </c>
      <c r="N551" s="5" t="str">
        <f ca="1">IFERROR(__xludf.DUMMYFUNCTION("""COMPUTED_VALUE"""),"TX")</f>
        <v>TX</v>
      </c>
      <c r="O551" s="5" t="str">
        <f ca="1">IFERROR(__xludf.DUMMYFUNCTION("""COMPUTED_VALUE"""),"High")</f>
        <v>High</v>
      </c>
      <c r="P551" s="5" t="str">
        <f ca="1">IFERROR(__xludf.DUMMYFUNCTION("""COMPUTED_VALUE"""),"Parking Lot")</f>
        <v>Parking Lot</v>
      </c>
      <c r="Q551" s="5" t="str">
        <f ca="1">IFERROR(__xludf.DUMMYFUNCTION("""COMPUTED_VALUE"""),"Outside on School Property")</f>
        <v>Outside on School Property</v>
      </c>
      <c r="R551" s="5" t="str">
        <f ca="1">IFERROR(__xludf.DUMMYFUNCTION("""COMPUTED_VALUE"""),"No")</f>
        <v>No</v>
      </c>
      <c r="S551" s="5" t="str">
        <f ca="1">IFERROR(__xludf.DUMMYFUNCTION("""COMPUTED_VALUE"""),"Sport Event")</f>
        <v>Sport Event</v>
      </c>
      <c r="T551" s="10">
        <f ca="1">IFERROR(__xludf.DUMMYFUNCTION("""COMPUTED_VALUE"""),0.847222222222222)</f>
        <v>0.84722222222222199</v>
      </c>
      <c r="U551" s="5">
        <f ca="1">IFERROR(__xludf.DUMMYFUNCTION("""COMPUTED_VALUE"""),1)</f>
        <v>1</v>
      </c>
      <c r="V551" s="5" t="str">
        <f ca="1">IFERROR(__xludf.DUMMYFUNCTION("""COMPUTED_VALUE"""),"Two non-student teens fired shots in the school parking lot following an altercation at a basketball game")</f>
        <v>Two non-student teens fired shots in the school parking lot following an altercation at a basketball game</v>
      </c>
      <c r="W551"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X551" s="5" t="str">
        <f ca="1">IFERROR(__xludf.DUMMYFUNCTION("""COMPUTED_VALUE"""),"Escalation of Dispute")</f>
        <v>Escalation of Dispute</v>
      </c>
      <c r="Y551" s="5" t="str">
        <f ca="1">IFERROR(__xludf.DUMMYFUNCTION("""COMPUTED_VALUE"""),"Victims Targeted")</f>
        <v>Victims Targeted</v>
      </c>
      <c r="Z551" s="5" t="str">
        <f ca="1">IFERROR(__xludf.DUMMYFUNCTION("""COMPUTED_VALUE"""),"Yes")</f>
        <v>Yes</v>
      </c>
      <c r="AA551" s="5" t="str">
        <f ca="1">IFERROR(__xludf.DUMMYFUNCTION("""COMPUTED_VALUE"""),"Two arrested")</f>
        <v>Two arrested</v>
      </c>
      <c r="AB551" s="5" t="str">
        <f ca="1">IFERROR(__xludf.DUMMYFUNCTION("""COMPUTED_VALUE"""),"No")</f>
        <v>No</v>
      </c>
      <c r="AC551" s="5" t="str">
        <f ca="1">IFERROR(__xludf.DUMMYFUNCTION("""COMPUTED_VALUE"""),"No")</f>
        <v>No</v>
      </c>
      <c r="AD551" s="5" t="str">
        <f ca="1">IFERROR(__xludf.DUMMYFUNCTION("""COMPUTED_VALUE"""),"No")</f>
        <v>No</v>
      </c>
      <c r="AE551" s="5" t="str">
        <f ca="1">IFERROR(__xludf.DUMMYFUNCTION("""COMPUTED_VALUE"""),"No")</f>
        <v>No</v>
      </c>
      <c r="AF551" s="5" t="str">
        <f ca="1">IFERROR(__xludf.DUMMYFUNCTION("""COMPUTED_VALUE"""),"No")</f>
        <v>No</v>
      </c>
      <c r="AG551" s="5" t="str">
        <f ca="1">IFERROR(__xludf.DUMMYFUNCTION("""COMPUTED_VALUE"""),"No")</f>
        <v>No</v>
      </c>
      <c r="AH551" s="5" t="str">
        <f ca="1">IFERROR(__xludf.DUMMYFUNCTION("""COMPUTED_VALUE"""),"No")</f>
        <v>No</v>
      </c>
    </row>
    <row r="552" spans="1:34" ht="12.75">
      <c r="A552" s="5" t="str">
        <f ca="1">IFERROR(__xludf.DUMMYFUNCTION("""COMPUTED_VALUE"""),"20200114TXBEH")</f>
        <v>20200114TXBEH</v>
      </c>
      <c r="B552" s="8">
        <f ca="1">IFERROR(__xludf.DUMMYFUNCTION("""COMPUTED_VALUE"""),43844)</f>
        <v>43844</v>
      </c>
      <c r="C552" s="5" t="str">
        <f ca="1">IFERROR(__xludf.DUMMYFUNCTION("""COMPUTED_VALUE"""),"Bellaire High School")</f>
        <v>Bellaire High School</v>
      </c>
      <c r="D552" s="5">
        <f ca="1">IFERROR(__xludf.DUMMYFUNCTION("""COMPUTED_VALUE"""),1)</f>
        <v>1</v>
      </c>
      <c r="E552" s="5">
        <f ca="1">IFERROR(__xludf.DUMMYFUNCTION("""COMPUTED_VALUE"""),0)</f>
        <v>0</v>
      </c>
      <c r="F552" s="5">
        <f ca="1">IFERROR(__xludf.DUMMYFUNCTION("""COMPUTED_VALUE"""),1)</f>
        <v>1</v>
      </c>
      <c r="G552" s="5">
        <f ca="1">IFERROR(__xludf.DUMMYFUNCTION("""COMPUTED_VALUE"""),0)</f>
        <v>0</v>
      </c>
      <c r="H552"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I552" s="5"/>
      <c r="J552" s="5"/>
      <c r="K552" s="5">
        <f ca="1">IFERROR(__xludf.DUMMYFUNCTION("""COMPUTED_VALUE"""),4)</f>
        <v>4</v>
      </c>
      <c r="L552" s="5" t="str">
        <f ca="1">IFERROR(__xludf.DUMMYFUNCTION("""COMPUTED_VALUE"""),"Winter")</f>
        <v>Winter</v>
      </c>
      <c r="M552" s="5" t="str">
        <f ca="1">IFERROR(__xludf.DUMMYFUNCTION("""COMPUTED_VALUE"""),"Houston")</f>
        <v>Houston</v>
      </c>
      <c r="N552" s="5" t="str">
        <f ca="1">IFERROR(__xludf.DUMMYFUNCTION("""COMPUTED_VALUE"""),"TX")</f>
        <v>TX</v>
      </c>
      <c r="O552" s="5" t="str">
        <f ca="1">IFERROR(__xludf.DUMMYFUNCTION("""COMPUTED_VALUE"""),"High")</f>
        <v>High</v>
      </c>
      <c r="P552" s="5" t="str">
        <f ca="1">IFERROR(__xludf.DUMMYFUNCTION("""COMPUTED_VALUE"""),"Classroom")</f>
        <v>Classroom</v>
      </c>
      <c r="Q552" s="5" t="str">
        <f ca="1">IFERROR(__xludf.DUMMYFUNCTION("""COMPUTED_VALUE"""),"Inside School Building")</f>
        <v>Inside School Building</v>
      </c>
      <c r="R552" s="5" t="str">
        <f ca="1">IFERROR(__xludf.DUMMYFUNCTION("""COMPUTED_VALUE"""),"Yes")</f>
        <v>Yes</v>
      </c>
      <c r="S552" s="5" t="str">
        <f ca="1">IFERROR(__xludf.DUMMYFUNCTION("""COMPUTED_VALUE"""),"Dismissal")</f>
        <v>Dismissal</v>
      </c>
      <c r="T552" s="10">
        <f ca="1">IFERROR(__xludf.DUMMYFUNCTION("""COMPUTED_VALUE"""),0.666666666666666)</f>
        <v>0.66666666666666596</v>
      </c>
      <c r="U552" s="5">
        <f ca="1">IFERROR(__xludf.DUMMYFUNCTION("""COMPUTED_VALUE"""),1)</f>
        <v>1</v>
      </c>
      <c r="V552" s="5" t="str">
        <f ca="1">IFERROR(__xludf.DUMMYFUNCTION("""COMPUTED_VALUE"""),"16YOM student shot 19YON student inside the school and then fled")</f>
        <v>16YOM student shot 19YON student inside the school and then fled</v>
      </c>
      <c r="W552"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X552" s="5" t="str">
        <f ca="1">IFERROR(__xludf.DUMMYFUNCTION("""COMPUTED_VALUE"""),"Accidental")</f>
        <v>Accidental</v>
      </c>
      <c r="Y552" s="5" t="str">
        <f ca="1">IFERROR(__xludf.DUMMYFUNCTION("""COMPUTED_VALUE"""),"Neither")</f>
        <v>Neither</v>
      </c>
      <c r="Z552" s="5" t="str">
        <f ca="1">IFERROR(__xludf.DUMMYFUNCTION("""COMPUTED_VALUE"""),"Yes")</f>
        <v>Yes</v>
      </c>
      <c r="AA552" s="5" t="str">
        <f ca="1">IFERROR(__xludf.DUMMYFUNCTION("""COMPUTED_VALUE"""),"2 arrested")</f>
        <v>2 arrested</v>
      </c>
      <c r="AB552" s="5" t="str">
        <f ca="1">IFERROR(__xludf.DUMMYFUNCTION("""COMPUTED_VALUE"""),"No")</f>
        <v>No</v>
      </c>
      <c r="AC552" s="5" t="str">
        <f ca="1">IFERROR(__xludf.DUMMYFUNCTION("""COMPUTED_VALUE"""),"No")</f>
        <v>No</v>
      </c>
      <c r="AD552" s="5" t="str">
        <f ca="1">IFERROR(__xludf.DUMMYFUNCTION("""COMPUTED_VALUE"""),"No")</f>
        <v>No</v>
      </c>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IFERROR(__xludf.DUMMYFUNCTION("""COMPUTED_VALUE"""),"No")</f>
        <v>No</v>
      </c>
    </row>
    <row r="553" spans="1:34" ht="12.75">
      <c r="A553" s="5" t="str">
        <f ca="1">IFERROR(__xludf.DUMMYFUNCTION("""COMPUTED_VALUE"""),"20200111TXELD")</f>
        <v>20200111TXELD</v>
      </c>
      <c r="B553" s="8">
        <f ca="1">IFERROR(__xludf.DUMMYFUNCTION("""COMPUTED_VALUE"""),43841)</f>
        <v>43841</v>
      </c>
      <c r="C553" s="5" t="str">
        <f ca="1">IFERROR(__xludf.DUMMYFUNCTION("""COMPUTED_VALUE"""),"Ellis Davis Field House")</f>
        <v>Ellis Davis Field House</v>
      </c>
      <c r="D553" s="5">
        <f ca="1">IFERROR(__xludf.DUMMYFUNCTION("""COMPUTED_VALUE"""),1)</f>
        <v>1</v>
      </c>
      <c r="E553" s="5">
        <f ca="1">IFERROR(__xludf.DUMMYFUNCTION("""COMPUTED_VALUE"""),1)</f>
        <v>1</v>
      </c>
      <c r="F553" s="5">
        <f ca="1">IFERROR(__xludf.DUMMYFUNCTION("""COMPUTED_VALUE"""),2)</f>
        <v>2</v>
      </c>
      <c r="G553" s="5">
        <f ca="1">IFERROR(__xludf.DUMMYFUNCTION("""COMPUTED_VALUE"""),0)</f>
        <v>0</v>
      </c>
      <c r="H553"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I553" s="5"/>
      <c r="J553" s="5"/>
      <c r="K553" s="5">
        <f ca="1">IFERROR(__xludf.DUMMYFUNCTION("""COMPUTED_VALUE"""),4)</f>
        <v>4</v>
      </c>
      <c r="L553" s="5" t="str">
        <f ca="1">IFERROR(__xludf.DUMMYFUNCTION("""COMPUTED_VALUE"""),"Winter")</f>
        <v>Winter</v>
      </c>
      <c r="M553" s="5" t="str">
        <f ca="1">IFERROR(__xludf.DUMMYFUNCTION("""COMPUTED_VALUE"""),"Dallas")</f>
        <v>Dallas</v>
      </c>
      <c r="N553" s="5" t="str">
        <f ca="1">IFERROR(__xludf.DUMMYFUNCTION("""COMPUTED_VALUE"""),"TX")</f>
        <v>TX</v>
      </c>
      <c r="O553" s="5" t="str">
        <f ca="1">IFERROR(__xludf.DUMMYFUNCTION("""COMPUTED_VALUE"""),"High")</f>
        <v>High</v>
      </c>
      <c r="P553" s="5" t="str">
        <f ca="1">IFERROR(__xludf.DUMMYFUNCTION("""COMPUTED_VALUE"""),"Gym")</f>
        <v>Gym</v>
      </c>
      <c r="Q553" s="5" t="str">
        <f ca="1">IFERROR(__xludf.DUMMYFUNCTION("""COMPUTED_VALUE"""),"Inside School Building")</f>
        <v>Inside School Building</v>
      </c>
      <c r="R553" s="5" t="str">
        <f ca="1">IFERROR(__xludf.DUMMYFUNCTION("""COMPUTED_VALUE"""),"No")</f>
        <v>No</v>
      </c>
      <c r="S553" s="5" t="str">
        <f ca="1">IFERROR(__xludf.DUMMYFUNCTION("""COMPUTED_VALUE"""),"Sport Event")</f>
        <v>Sport Event</v>
      </c>
      <c r="T553" s="10">
        <f ca="1">IFERROR(__xludf.DUMMYFUNCTION("""COMPUTED_VALUE"""),0.881944444444444)</f>
        <v>0.88194444444444398</v>
      </c>
      <c r="U553" s="5">
        <f ca="1">IFERROR(__xludf.DUMMYFUNCTION("""COMPUTED_VALUE"""),1)</f>
        <v>1</v>
      </c>
      <c r="V553" s="5" t="str">
        <f ca="1">IFERROR(__xludf.DUMMYFUNCTION("""COMPUTED_VALUE"""),"18YOM and officer shot during fight at basketball game")</f>
        <v>18YOM and officer shot during fight at basketball game</v>
      </c>
      <c r="W553"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X553" s="5" t="str">
        <f ca="1">IFERROR(__xludf.DUMMYFUNCTION("""COMPUTED_VALUE"""),"Escalation of Dispute")</f>
        <v>Escalation of Dispute</v>
      </c>
      <c r="Y553" s="5" t="str">
        <f ca="1">IFERROR(__xludf.DUMMYFUNCTION("""COMPUTED_VALUE"""),"Both")</f>
        <v>Both</v>
      </c>
      <c r="Z553" s="5" t="str">
        <f ca="1">IFERROR(__xludf.DUMMYFUNCTION("""COMPUTED_VALUE"""),"Yes")</f>
        <v>Yes</v>
      </c>
      <c r="AA553" s="5" t="str">
        <f ca="1">IFERROR(__xludf.DUMMYFUNCTION("""COMPUTED_VALUE"""),"3 persons of interest on CCTV")</f>
        <v>3 persons of interest on CCTV</v>
      </c>
      <c r="AB553" s="5" t="str">
        <f ca="1">IFERROR(__xludf.DUMMYFUNCTION("""COMPUTED_VALUE"""),"No")</f>
        <v>No</v>
      </c>
      <c r="AC553" s="5" t="str">
        <f ca="1">IFERROR(__xludf.DUMMYFUNCTION("""COMPUTED_VALUE"""),"No")</f>
        <v>No</v>
      </c>
      <c r="AD553" s="5" t="str">
        <f ca="1">IFERROR(__xludf.DUMMYFUNCTION("""COMPUTED_VALUE"""),"No")</f>
        <v>No</v>
      </c>
      <c r="AE553" s="5" t="str">
        <f ca="1">IFERROR(__xludf.DUMMYFUNCTION("""COMPUTED_VALUE"""),"No")</f>
        <v>No</v>
      </c>
      <c r="AF553" s="5" t="str">
        <f ca="1">IFERROR(__xludf.DUMMYFUNCTION("""COMPUTED_VALUE"""),"No")</f>
        <v>No</v>
      </c>
      <c r="AG553" s="5" t="str">
        <f ca="1">IFERROR(__xludf.DUMMYFUNCTION("""COMPUTED_VALUE"""),"No")</f>
        <v>No</v>
      </c>
      <c r="AH553" s="5" t="str">
        <f ca="1">IFERROR(__xludf.DUMMYFUNCTION("""COMPUTED_VALUE"""),"No")</f>
        <v>No</v>
      </c>
    </row>
    <row r="554" spans="1:34" ht="12.75">
      <c r="A554" s="5" t="str">
        <f ca="1">IFERROR(__xludf.DUMMYFUNCTION("""COMPUTED_VALUE"""),"20200110MSMCJ")</f>
        <v>20200110MSMCJ</v>
      </c>
      <c r="B554" s="8">
        <f ca="1">IFERROR(__xludf.DUMMYFUNCTION("""COMPUTED_VALUE"""),43840)</f>
        <v>43840</v>
      </c>
      <c r="C554" s="5" t="str">
        <f ca="1">IFERROR(__xludf.DUMMYFUNCTION("""COMPUTED_VALUE"""),"McWillie Elementary School")</f>
        <v>McWillie Elementary School</v>
      </c>
      <c r="D554" s="5">
        <f ca="1">IFERROR(__xludf.DUMMYFUNCTION("""COMPUTED_VALUE"""),0)</f>
        <v>0</v>
      </c>
      <c r="E554" s="5">
        <f ca="1">IFERROR(__xludf.DUMMYFUNCTION("""COMPUTED_VALUE"""),1)</f>
        <v>1</v>
      </c>
      <c r="F554" s="5">
        <f ca="1">IFERROR(__xludf.DUMMYFUNCTION("""COMPUTED_VALUE"""),1)</f>
        <v>1</v>
      </c>
      <c r="G554" s="5">
        <f ca="1">IFERROR(__xludf.DUMMYFUNCTION("""COMPUTED_VALUE"""),0)</f>
        <v>0</v>
      </c>
      <c r="H554" s="9" t="str">
        <f ca="1">IFERROR(__xludf.DUMMYFUNCTION("""COMPUTED_VALUE"""),"https://www.wapt.com/article/australia-turns-from-defense-to-offense-in-wildfire-battle/30485441")</f>
        <v>https://www.wapt.com/article/australia-turns-from-defense-to-offense-in-wildfire-battle/30485441</v>
      </c>
      <c r="I554" s="5"/>
      <c r="J554" s="5"/>
      <c r="K554" s="5">
        <f ca="1">IFERROR(__xludf.DUMMYFUNCTION("""COMPUTED_VALUE"""),4)</f>
        <v>4</v>
      </c>
      <c r="L554" s="5" t="str">
        <f ca="1">IFERROR(__xludf.DUMMYFUNCTION("""COMPUTED_VALUE"""),"Winter")</f>
        <v>Winter</v>
      </c>
      <c r="M554" s="5" t="str">
        <f ca="1">IFERROR(__xludf.DUMMYFUNCTION("""COMPUTED_VALUE"""),"Jackson")</f>
        <v>Jackson</v>
      </c>
      <c r="N554" s="5" t="str">
        <f ca="1">IFERROR(__xludf.DUMMYFUNCTION("""COMPUTED_VALUE"""),"MS")</f>
        <v>MS</v>
      </c>
      <c r="O554" s="5" t="str">
        <f ca="1">IFERROR(__xludf.DUMMYFUNCTION("""COMPUTED_VALUE"""),"Middle")</f>
        <v>Middle</v>
      </c>
      <c r="P554" s="5" t="str">
        <f ca="1">IFERROR(__xludf.DUMMYFUNCTION("""COMPUTED_VALUE"""),"School Bus")</f>
        <v>School Bus</v>
      </c>
      <c r="Q554" s="5" t="str">
        <f ca="1">IFERROR(__xludf.DUMMYFUNCTION("""COMPUTED_VALUE"""),"School Bus")</f>
        <v>School Bus</v>
      </c>
      <c r="R554" s="5" t="str">
        <f ca="1">IFERROR(__xludf.DUMMYFUNCTION("""COMPUTED_VALUE"""),"Yes")</f>
        <v>Yes</v>
      </c>
      <c r="S554" s="5" t="str">
        <f ca="1">IFERROR(__xludf.DUMMYFUNCTION("""COMPUTED_VALUE"""),"School Start")</f>
        <v>School Start</v>
      </c>
      <c r="T554" s="10">
        <f ca="1">IFERROR(__xludf.DUMMYFUNCTION("""COMPUTED_VALUE"""),0.291666666666666)</f>
        <v>0.29166666666666602</v>
      </c>
      <c r="U554" s="5">
        <f ca="1">IFERROR(__xludf.DUMMYFUNCTION("""COMPUTED_VALUE"""),1)</f>
        <v>1</v>
      </c>
      <c r="V554" s="5" t="str">
        <f ca="1">IFERROR(__xludf.DUMMYFUNCTION("""COMPUTED_VALUE"""),"Student struck by BB and bus window shattered")</f>
        <v>Student struck by BB and bus window shattered</v>
      </c>
      <c r="W554"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X554" s="5" t="str">
        <f ca="1">IFERROR(__xludf.DUMMYFUNCTION("""COMPUTED_VALUE"""),"Unknown")</f>
        <v>Unknown</v>
      </c>
      <c r="Y554" s="5"/>
      <c r="Z554" s="5" t="str">
        <f ca="1">IFERROR(__xludf.DUMMYFUNCTION("""COMPUTED_VALUE"""),"No")</f>
        <v>No</v>
      </c>
      <c r="AA554" s="5"/>
      <c r="AB554" s="5" t="str">
        <f ca="1">IFERROR(__xludf.DUMMYFUNCTION("""COMPUTED_VALUE"""),"No")</f>
        <v>No</v>
      </c>
      <c r="AC554" s="5" t="str">
        <f ca="1">IFERROR(__xludf.DUMMYFUNCTION("""COMPUTED_VALUE"""),"No")</f>
        <v>No</v>
      </c>
      <c r="AD554" s="5" t="str">
        <f ca="1">IFERROR(__xludf.DUMMYFUNCTION("""COMPUTED_VALUE"""),"No")</f>
        <v>No</v>
      </c>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row>
    <row r="555" spans="1:34" ht="12.75">
      <c r="A555" s="5" t="str">
        <f ca="1">IFERROR(__xludf.DUMMYFUNCTION("""COMPUTED_VALUE"""),"20200108FLGLB")</f>
        <v>20200108FLGLB</v>
      </c>
      <c r="B555" s="8">
        <f ca="1">IFERROR(__xludf.DUMMYFUNCTION("""COMPUTED_VALUE"""),43838)</f>
        <v>43838</v>
      </c>
      <c r="C555" s="5" t="str">
        <f ca="1">IFERROR(__xludf.DUMMYFUNCTION("""COMPUTED_VALUE"""),"Glades Central Community High School")</f>
        <v>Glades Central Community High School</v>
      </c>
      <c r="D555" s="5">
        <f ca="1">IFERROR(__xludf.DUMMYFUNCTION("""COMPUTED_VALUE"""),0)</f>
        <v>0</v>
      </c>
      <c r="E555" s="5">
        <f ca="1">IFERROR(__xludf.DUMMYFUNCTION("""COMPUTED_VALUE"""),0)</f>
        <v>0</v>
      </c>
      <c r="F555" s="5">
        <f ca="1">IFERROR(__xludf.DUMMYFUNCTION("""COMPUTED_VALUE"""),0)</f>
        <v>0</v>
      </c>
      <c r="G555" s="5">
        <f ca="1">IFERROR(__xludf.DUMMYFUNCTION("""COMPUTED_VALUE"""),0)</f>
        <v>0</v>
      </c>
      <c r="H555" s="9" t="str">
        <f ca="1">IFERROR(__xludf.DUMMYFUNCTION("""COMPUTED_VALUE"""),"https://www.wptv.com/news/region-the-glades/belle-glade/lockdown-lifted-at-glades-central-high-school-following-shooting")</f>
        <v>https://www.wptv.com/news/region-the-glades/belle-glade/lockdown-lifted-at-glades-central-high-school-following-shooting</v>
      </c>
      <c r="I555" s="5"/>
      <c r="J555" s="5"/>
      <c r="K555" s="5">
        <f ca="1">IFERROR(__xludf.DUMMYFUNCTION("""COMPUTED_VALUE"""),3)</f>
        <v>3</v>
      </c>
      <c r="L555" s="5" t="str">
        <f ca="1">IFERROR(__xludf.DUMMYFUNCTION("""COMPUTED_VALUE"""),"Winter")</f>
        <v>Winter</v>
      </c>
      <c r="M555" s="5" t="str">
        <f ca="1">IFERROR(__xludf.DUMMYFUNCTION("""COMPUTED_VALUE"""),"Belle Glade")</f>
        <v>Belle Glade</v>
      </c>
      <c r="N555" s="5" t="str">
        <f ca="1">IFERROR(__xludf.DUMMYFUNCTION("""COMPUTED_VALUE"""),"FL")</f>
        <v>FL</v>
      </c>
      <c r="O555" s="5" t="str">
        <f ca="1">IFERROR(__xludf.DUMMYFUNCTION("""COMPUTED_VALUE"""),"High")</f>
        <v>High</v>
      </c>
      <c r="P555" s="5" t="str">
        <f ca="1">IFERROR(__xludf.DUMMYFUNCTION("""COMPUTED_VALUE"""),"Parking Lot")</f>
        <v>Parking Lot</v>
      </c>
      <c r="Q555" s="5" t="str">
        <f ca="1">IFERROR(__xludf.DUMMYFUNCTION("""COMPUTED_VALUE"""),"Outside on School Property")</f>
        <v>Outside on School Property</v>
      </c>
      <c r="R555" s="5" t="str">
        <f ca="1">IFERROR(__xludf.DUMMYFUNCTION("""COMPUTED_VALUE"""),"Yes")</f>
        <v>Yes</v>
      </c>
      <c r="S555" s="5" t="str">
        <f ca="1">IFERROR(__xludf.DUMMYFUNCTION("""COMPUTED_VALUE"""),"Afternoon Classes")</f>
        <v>Afternoon Classes</v>
      </c>
      <c r="T555" s="10">
        <f ca="1">IFERROR(__xludf.DUMMYFUNCTION("""COMPUTED_VALUE"""),0.541666666666666)</f>
        <v>0.54166666666666596</v>
      </c>
      <c r="U555" s="5">
        <f ca="1">IFERROR(__xludf.DUMMYFUNCTION("""COMPUTED_VALUE"""),1)</f>
        <v>1</v>
      </c>
      <c r="V555" s="5" t="str">
        <f ca="1">IFERROR(__xludf.DUMMYFUNCTION("""COMPUTED_VALUE"""),"Unidentified person shot themselves in the leg in the school parking lot")</f>
        <v>Unidentified person shot themselves in the leg in the school parking lot</v>
      </c>
      <c r="W555"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X555" s="5" t="str">
        <f ca="1">IFERROR(__xludf.DUMMYFUNCTION("""COMPUTED_VALUE"""),"Accidental")</f>
        <v>Accidental</v>
      </c>
      <c r="Y555" s="5" t="str">
        <f ca="1">IFERROR(__xludf.DUMMYFUNCTION("""COMPUTED_VALUE"""),"Neither")</f>
        <v>Neither</v>
      </c>
      <c r="Z555" s="5" t="str">
        <f ca="1">IFERROR(__xludf.DUMMYFUNCTION("""COMPUTED_VALUE"""),"No")</f>
        <v>No</v>
      </c>
      <c r="AA555" s="5"/>
      <c r="AB555" s="5" t="str">
        <f ca="1">IFERROR(__xludf.DUMMYFUNCTION("""COMPUTED_VALUE"""),"No")</f>
        <v>No</v>
      </c>
      <c r="AC555" s="5" t="str">
        <f ca="1">IFERROR(__xludf.DUMMYFUNCTION("""COMPUTED_VALUE"""),"No")</f>
        <v>No</v>
      </c>
      <c r="AD555" s="5" t="str">
        <f ca="1">IFERROR(__xludf.DUMMYFUNCTION("""COMPUTED_VALUE"""),"No")</f>
        <v>No</v>
      </c>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row>
    <row r="556" spans="1:34" ht="12.75">
      <c r="A556" s="5" t="str">
        <f ca="1">IFERROR(__xludf.DUMMYFUNCTION("""COMPUTED_VALUE"""),"20200107WASOK")</f>
        <v>20200107WASOK</v>
      </c>
      <c r="B556" s="8">
        <f ca="1">IFERROR(__xludf.DUMMYFUNCTION("""COMPUTED_VALUE"""),43837)</f>
        <v>43837</v>
      </c>
      <c r="C556" s="5" t="str">
        <f ca="1">IFERROR(__xludf.DUMMYFUNCTION("""COMPUTED_VALUE"""),"Southridge High School")</f>
        <v>Southridge High School</v>
      </c>
      <c r="D556" s="5">
        <f ca="1">IFERROR(__xludf.DUMMYFUNCTION("""COMPUTED_VALUE"""),0)</f>
        <v>0</v>
      </c>
      <c r="E556" s="5">
        <f ca="1">IFERROR(__xludf.DUMMYFUNCTION("""COMPUTED_VALUE"""),0)</f>
        <v>0</v>
      </c>
      <c r="F556" s="5">
        <f ca="1">IFERROR(__xludf.DUMMYFUNCTION("""COMPUTED_VALUE"""),0)</f>
        <v>0</v>
      </c>
      <c r="G556" s="5">
        <f ca="1">IFERROR(__xludf.DUMMYFUNCTION("""COMPUTED_VALUE"""),0)</f>
        <v>0</v>
      </c>
      <c r="H556"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I556" s="5"/>
      <c r="J556" s="5"/>
      <c r="K556" s="5">
        <f ca="1">IFERROR(__xludf.DUMMYFUNCTION("""COMPUTED_VALUE"""),4)</f>
        <v>4</v>
      </c>
      <c r="L556" s="5" t="str">
        <f ca="1">IFERROR(__xludf.DUMMYFUNCTION("""COMPUTED_VALUE"""),"Winter")</f>
        <v>Winter</v>
      </c>
      <c r="M556" s="5" t="str">
        <f ca="1">IFERROR(__xludf.DUMMYFUNCTION("""COMPUTED_VALUE"""),"Kennewick")</f>
        <v>Kennewick</v>
      </c>
      <c r="N556" s="5" t="str">
        <f ca="1">IFERROR(__xludf.DUMMYFUNCTION("""COMPUTED_VALUE"""),"WA")</f>
        <v>WA</v>
      </c>
      <c r="O556" s="5" t="str">
        <f ca="1">IFERROR(__xludf.DUMMYFUNCTION("""COMPUTED_VALUE"""),"High")</f>
        <v>High</v>
      </c>
      <c r="P556" s="5" t="str">
        <f ca="1">IFERROR(__xludf.DUMMYFUNCTION("""COMPUTED_VALUE"""),"Beside Building")</f>
        <v>Beside Building</v>
      </c>
      <c r="Q556" s="5" t="str">
        <f ca="1">IFERROR(__xludf.DUMMYFUNCTION("""COMPUTED_VALUE"""),"Outside on School Property")</f>
        <v>Outside on School Property</v>
      </c>
      <c r="R556" s="5" t="str">
        <f ca="1">IFERROR(__xludf.DUMMYFUNCTION("""COMPUTED_VALUE"""),"No")</f>
        <v>No</v>
      </c>
      <c r="S556" s="5" t="str">
        <f ca="1">IFERROR(__xludf.DUMMYFUNCTION("""COMPUTED_VALUE"""),"Night")</f>
        <v>Night</v>
      </c>
      <c r="T556" s="5"/>
      <c r="U556" s="5"/>
      <c r="V556" s="5" t="str">
        <f ca="1">IFERROR(__xludf.DUMMYFUNCTION("""COMPUTED_VALUE"""),"Two 16YOM shot more than 60 windows at homes and the high school")</f>
        <v>Two 16YOM shot more than 60 windows at homes and the high school</v>
      </c>
      <c r="W556"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X556" s="5" t="str">
        <f ca="1">IFERROR(__xludf.DUMMYFUNCTION("""COMPUTED_VALUE"""),"Intentional Property Damage")</f>
        <v>Intentional Property Damage</v>
      </c>
      <c r="Y556" s="5" t="str">
        <f ca="1">IFERROR(__xludf.DUMMYFUNCTION("""COMPUTED_VALUE"""),"Neither")</f>
        <v>Neither</v>
      </c>
      <c r="Z556" s="5" t="str">
        <f ca="1">IFERROR(__xludf.DUMMYFUNCTION("""COMPUTED_VALUE"""),"Yes")</f>
        <v>Yes</v>
      </c>
      <c r="AA556" s="5" t="str">
        <f ca="1">IFERROR(__xludf.DUMMYFUNCTION("""COMPUTED_VALUE"""),"2 arrested")</f>
        <v>2 arrested</v>
      </c>
      <c r="AB556" s="5" t="str">
        <f ca="1">IFERROR(__xludf.DUMMYFUNCTION("""COMPUTED_VALUE"""),"No")</f>
        <v>No</v>
      </c>
      <c r="AC556" s="5" t="str">
        <f ca="1">IFERROR(__xludf.DUMMYFUNCTION("""COMPUTED_VALUE"""),"No")</f>
        <v>No</v>
      </c>
      <c r="AD556" s="5" t="str">
        <f ca="1">IFERROR(__xludf.DUMMYFUNCTION("""COMPUTED_VALUE"""),"No")</f>
        <v>No</v>
      </c>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row>
    <row r="557" spans="1:34" ht="12.75">
      <c r="A557" s="5" t="str">
        <f ca="1">IFERROR(__xludf.DUMMYFUNCTION("""COMPUTED_VALUE"""),"20191228MOMAS")</f>
        <v>20191228MOMAS</v>
      </c>
      <c r="B557" s="8">
        <f ca="1">IFERROR(__xludf.DUMMYFUNCTION("""COMPUTED_VALUE"""),43827)</f>
        <v>43827</v>
      </c>
      <c r="C557" s="5" t="str">
        <f ca="1">IFERROR(__xludf.DUMMYFUNCTION("""COMPUTED_VALUE"""),"Mason-Clark Middle School")</f>
        <v>Mason-Clark Middle School</v>
      </c>
      <c r="D557" s="5">
        <f ca="1">IFERROR(__xludf.DUMMYFUNCTION("""COMPUTED_VALUE"""),1)</f>
        <v>1</v>
      </c>
      <c r="E557" s="5">
        <f ca="1">IFERROR(__xludf.DUMMYFUNCTION("""COMPUTED_VALUE"""),0)</f>
        <v>0</v>
      </c>
      <c r="F557" s="5">
        <f ca="1">IFERROR(__xludf.DUMMYFUNCTION("""COMPUTED_VALUE"""),1)</f>
        <v>1</v>
      </c>
      <c r="G557" s="5">
        <f ca="1">IFERROR(__xludf.DUMMYFUNCTION("""COMPUTED_VALUE"""),0)</f>
        <v>0</v>
      </c>
      <c r="H557"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I557" s="5"/>
      <c r="J557" s="5"/>
      <c r="K557" s="5">
        <f ca="1">IFERROR(__xludf.DUMMYFUNCTION("""COMPUTED_VALUE"""),4)</f>
        <v>4</v>
      </c>
      <c r="L557" s="5" t="str">
        <f ca="1">IFERROR(__xludf.DUMMYFUNCTION("""COMPUTED_VALUE"""),"Winter")</f>
        <v>Winter</v>
      </c>
      <c r="M557" s="5" t="str">
        <f ca="1">IFERROR(__xludf.DUMMYFUNCTION("""COMPUTED_VALUE"""),"St. Louis")</f>
        <v>St. Louis</v>
      </c>
      <c r="N557" s="5" t="str">
        <f ca="1">IFERROR(__xludf.DUMMYFUNCTION("""COMPUTED_VALUE"""),"MO")</f>
        <v>MO</v>
      </c>
      <c r="O557" s="5" t="str">
        <f ca="1">IFERROR(__xludf.DUMMYFUNCTION("""COMPUTED_VALUE"""),"Middle")</f>
        <v>Middle</v>
      </c>
      <c r="P557" s="5" t="str">
        <f ca="1">IFERROR(__xludf.DUMMYFUNCTION("""COMPUTED_VALUE"""),"Parking Lot")</f>
        <v>Parking Lot</v>
      </c>
      <c r="Q557" s="5" t="str">
        <f ca="1">IFERROR(__xludf.DUMMYFUNCTION("""COMPUTED_VALUE"""),"Outside on School Property")</f>
        <v>Outside on School Property</v>
      </c>
      <c r="R557" s="5" t="str">
        <f ca="1">IFERROR(__xludf.DUMMYFUNCTION("""COMPUTED_VALUE"""),"No")</f>
        <v>No</v>
      </c>
      <c r="S557" s="5" t="str">
        <f ca="1">IFERROR(__xludf.DUMMYFUNCTION("""COMPUTED_VALUE"""),"Evening")</f>
        <v>Evening</v>
      </c>
      <c r="T557" s="10">
        <f ca="1">IFERROR(__xludf.DUMMYFUNCTION("""COMPUTED_VALUE"""),0.833333333333333)</f>
        <v>0.83333333333333304</v>
      </c>
      <c r="U557" s="5">
        <f ca="1">IFERROR(__xludf.DUMMYFUNCTION("""COMPUTED_VALUE"""),1)</f>
        <v>1</v>
      </c>
      <c r="V557" s="5" t="str">
        <f ca="1">IFERROR(__xludf.DUMMYFUNCTION("""COMPUTED_VALUE"""),"13YOM shot in the street and found dead in school parking lot the next morning")</f>
        <v>13YOM shot in the street and found dead in school parking lot the next morning</v>
      </c>
      <c r="W557"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X557" s="5" t="str">
        <f ca="1">IFERROR(__xludf.DUMMYFUNCTION("""COMPUTED_VALUE"""),"Unknown")</f>
        <v>Unknown</v>
      </c>
      <c r="Y557" s="5" t="str">
        <f ca="1">IFERROR(__xludf.DUMMYFUNCTION("""COMPUTED_VALUE"""),"Victims Targeted")</f>
        <v>Victims Targeted</v>
      </c>
      <c r="Z557" s="5"/>
      <c r="AA557" s="5"/>
      <c r="AB557" s="5" t="str">
        <f ca="1">IFERROR(__xludf.DUMMYFUNCTION("""COMPUTED_VALUE"""),"No")</f>
        <v>No</v>
      </c>
      <c r="AC557" s="5" t="str">
        <f ca="1">IFERROR(__xludf.DUMMYFUNCTION("""COMPUTED_VALUE"""),"No")</f>
        <v>No</v>
      </c>
      <c r="AD557" s="5" t="str">
        <f ca="1">IFERROR(__xludf.DUMMYFUNCTION("""COMPUTED_VALUE"""),"No")</f>
        <v>No</v>
      </c>
      <c r="AE557" s="5" t="str">
        <f ca="1">IFERROR(__xludf.DUMMYFUNCTION("""COMPUTED_VALUE"""),"No")</f>
        <v>No</v>
      </c>
      <c r="AF557" s="5" t="str">
        <f ca="1">IFERROR(__xludf.DUMMYFUNCTION("""COMPUTED_VALUE"""),"No")</f>
        <v>No</v>
      </c>
      <c r="AG557" s="5"/>
      <c r="AH557" s="5" t="str">
        <f ca="1">IFERROR(__xludf.DUMMYFUNCTION("""COMPUTED_VALUE"""),"No")</f>
        <v>No</v>
      </c>
    </row>
    <row r="558" spans="1:34" ht="12.75">
      <c r="A558" s="5" t="str">
        <f ca="1">IFERROR(__xludf.DUMMYFUNCTION("""COMPUTED_VALUE"""),"20191221LAWES")</f>
        <v>20191221LAWES</v>
      </c>
      <c r="B558" s="8">
        <f ca="1">IFERROR(__xludf.DUMMYFUNCTION("""COMPUTED_VALUE"""),43820)</f>
        <v>43820</v>
      </c>
      <c r="C558" s="5" t="str">
        <f ca="1">IFERROR(__xludf.DUMMYFUNCTION("""COMPUTED_VALUE"""),"West St. John Elementary School")</f>
        <v>West St. John Elementary School</v>
      </c>
      <c r="D558" s="5">
        <f ca="1">IFERROR(__xludf.DUMMYFUNCTION("""COMPUTED_VALUE"""),0)</f>
        <v>0</v>
      </c>
      <c r="E558" s="5">
        <f ca="1">IFERROR(__xludf.DUMMYFUNCTION("""COMPUTED_VALUE"""),4)</f>
        <v>4</v>
      </c>
      <c r="F558" s="5">
        <f ca="1">IFERROR(__xludf.DUMMYFUNCTION("""COMPUTED_VALUE"""),4)</f>
        <v>4</v>
      </c>
      <c r="G558" s="5">
        <f ca="1">IFERROR(__xludf.DUMMYFUNCTION("""COMPUTED_VALUE"""),0)</f>
        <v>0</v>
      </c>
      <c r="H558"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I558" s="5"/>
      <c r="J558" s="5"/>
      <c r="K558" s="5">
        <f ca="1">IFERROR(__xludf.DUMMYFUNCTION("""COMPUTED_VALUE"""),4)</f>
        <v>4</v>
      </c>
      <c r="L558" s="5" t="str">
        <f ca="1">IFERROR(__xludf.DUMMYFUNCTION("""COMPUTED_VALUE"""),"Winter")</f>
        <v>Winter</v>
      </c>
      <c r="M558" s="5" t="str">
        <f ca="1">IFERROR(__xludf.DUMMYFUNCTION("""COMPUTED_VALUE"""),"St. John the Baptist Parish")</f>
        <v>St. John the Baptist Parish</v>
      </c>
      <c r="N558" s="5" t="str">
        <f ca="1">IFERROR(__xludf.DUMMYFUNCTION("""COMPUTED_VALUE"""),"LA")</f>
        <v>LA</v>
      </c>
      <c r="O558" s="5" t="str">
        <f ca="1">IFERROR(__xludf.DUMMYFUNCTION("""COMPUTED_VALUE"""),"Elementary")</f>
        <v>Elementary</v>
      </c>
      <c r="P558" s="5" t="str">
        <f ca="1">IFERROR(__xludf.DUMMYFUNCTION("""COMPUTED_VALUE"""),"Parking Lot")</f>
        <v>Parking Lot</v>
      </c>
      <c r="Q558" s="5" t="str">
        <f ca="1">IFERROR(__xludf.DUMMYFUNCTION("""COMPUTED_VALUE"""),"Outside on School Property")</f>
        <v>Outside on School Property</v>
      </c>
      <c r="R558" s="5" t="str">
        <f ca="1">IFERROR(__xludf.DUMMYFUNCTION("""COMPUTED_VALUE"""),"No")</f>
        <v>No</v>
      </c>
      <c r="S558" s="5" t="str">
        <f ca="1">IFERROR(__xludf.DUMMYFUNCTION("""COMPUTED_VALUE"""),"Night")</f>
        <v>Night</v>
      </c>
      <c r="T558" s="10">
        <f ca="1">IFERROR(__xludf.DUMMYFUNCTION("""COMPUTED_VALUE"""),0.979166666666666)</f>
        <v>0.97916666666666596</v>
      </c>
      <c r="U558" s="5">
        <f ca="1">IFERROR(__xludf.DUMMYFUNCTION("""COMPUTED_VALUE"""),1)</f>
        <v>1</v>
      </c>
      <c r="V558" s="5" t="str">
        <f ca="1">IFERROR(__xludf.DUMMYFUNCTION("""COMPUTED_VALUE"""),"4 people shot outside of school after party (rented school for event)")</f>
        <v>4 people shot outside of school after party (rented school for event)</v>
      </c>
      <c r="W558"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X558" s="5" t="str">
        <f ca="1">IFERROR(__xludf.DUMMYFUNCTION("""COMPUTED_VALUE"""),"Escalation of Dispute")</f>
        <v>Escalation of Dispute</v>
      </c>
      <c r="Y558" s="5"/>
      <c r="Z558" s="5" t="str">
        <f ca="1">IFERROR(__xludf.DUMMYFUNCTION("""COMPUTED_VALUE"""),"Yes")</f>
        <v>Yes</v>
      </c>
      <c r="AA558" s="5" t="str">
        <f ca="1">IFERROR(__xludf.DUMMYFUNCTION("""COMPUTED_VALUE"""),"2 suspects fled")</f>
        <v>2 suspects fled</v>
      </c>
      <c r="AB558" s="5" t="str">
        <f ca="1">IFERROR(__xludf.DUMMYFUNCTION("""COMPUTED_VALUE"""),"No")</f>
        <v>No</v>
      </c>
      <c r="AC558" s="5" t="str">
        <f ca="1">IFERROR(__xludf.DUMMYFUNCTION("""COMPUTED_VALUE"""),"No")</f>
        <v>No</v>
      </c>
      <c r="AD558" s="5" t="str">
        <f ca="1">IFERROR(__xludf.DUMMYFUNCTION("""COMPUTED_VALUE"""),"No")</f>
        <v>No</v>
      </c>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row>
    <row r="559" spans="1:34" ht="12.75">
      <c r="A559" s="5" t="str">
        <f ca="1">IFERROR(__xludf.DUMMYFUNCTION("""COMPUTED_VALUE"""),"20191219FLLEN")</f>
        <v>20191219FLLEN</v>
      </c>
      <c r="B559" s="8">
        <f ca="1">IFERROR(__xludf.DUMMYFUNCTION("""COMPUTED_VALUE"""),43818)</f>
        <v>43818</v>
      </c>
      <c r="C559" s="5" t="str">
        <f ca="1">IFERROR(__xludf.DUMMYFUNCTION("""COMPUTED_VALUE"""),"Lely High School")</f>
        <v>Lely High School</v>
      </c>
      <c r="D559" s="5">
        <f ca="1">IFERROR(__xludf.DUMMYFUNCTION("""COMPUTED_VALUE"""),1)</f>
        <v>1</v>
      </c>
      <c r="E559" s="5">
        <f ca="1">IFERROR(__xludf.DUMMYFUNCTION("""COMPUTED_VALUE"""),0)</f>
        <v>0</v>
      </c>
      <c r="F559" s="5">
        <f ca="1">IFERROR(__xludf.DUMMYFUNCTION("""COMPUTED_VALUE"""),1)</f>
        <v>1</v>
      </c>
      <c r="G559" s="5">
        <f ca="1">IFERROR(__xludf.DUMMYFUNCTION("""COMPUTED_VALUE"""),0)</f>
        <v>0</v>
      </c>
      <c r="H559"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I559" s="5"/>
      <c r="J559" s="5"/>
      <c r="K559" s="5">
        <f ca="1">IFERROR(__xludf.DUMMYFUNCTION("""COMPUTED_VALUE"""),5)</f>
        <v>5</v>
      </c>
      <c r="L559" s="5" t="str">
        <f ca="1">IFERROR(__xludf.DUMMYFUNCTION("""COMPUTED_VALUE"""),"Winter")</f>
        <v>Winter</v>
      </c>
      <c r="M559" s="5" t="str">
        <f ca="1">IFERROR(__xludf.DUMMYFUNCTION("""COMPUTED_VALUE"""),"Naples")</f>
        <v>Naples</v>
      </c>
      <c r="N559" s="5" t="str">
        <f ca="1">IFERROR(__xludf.DUMMYFUNCTION("""COMPUTED_VALUE"""),"FL")</f>
        <v>FL</v>
      </c>
      <c r="O559" s="5" t="str">
        <f ca="1">IFERROR(__xludf.DUMMYFUNCTION("""COMPUTED_VALUE"""),"High")</f>
        <v>High</v>
      </c>
      <c r="P559" s="5" t="str">
        <f ca="1">IFERROR(__xludf.DUMMYFUNCTION("""COMPUTED_VALUE"""),"Parking Lot")</f>
        <v>Parking Lot</v>
      </c>
      <c r="Q559" s="5" t="str">
        <f ca="1">IFERROR(__xludf.DUMMYFUNCTION("""COMPUTED_VALUE"""),"Outside on School Property")</f>
        <v>Outside on School Property</v>
      </c>
      <c r="R559" s="5" t="str">
        <f ca="1">IFERROR(__xludf.DUMMYFUNCTION("""COMPUTED_VALUE"""),"No")</f>
        <v>No</v>
      </c>
      <c r="S559" s="5" t="str">
        <f ca="1">IFERROR(__xludf.DUMMYFUNCTION("""COMPUTED_VALUE"""),"Evening")</f>
        <v>Evening</v>
      </c>
      <c r="T559" s="10">
        <f ca="1">IFERROR(__xludf.DUMMYFUNCTION("""COMPUTED_VALUE"""),0.853472222222222)</f>
        <v>0.85347222222222197</v>
      </c>
      <c r="U559" s="5">
        <f ca="1">IFERROR(__xludf.DUMMYFUNCTION("""COMPUTED_VALUE"""),1)</f>
        <v>1</v>
      </c>
      <c r="V559" s="5" t="str">
        <f ca="1">IFERROR(__xludf.DUMMYFUNCTION("""COMPUTED_VALUE"""),"Adult male shot adult female night school students in parking lot")</f>
        <v>Adult male shot adult female night school students in parking lot</v>
      </c>
      <c r="W559"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X559" s="5" t="str">
        <f ca="1">IFERROR(__xludf.DUMMYFUNCTION("""COMPUTED_VALUE"""),"Domestic w/ Targeted Victim")</f>
        <v>Domestic w/ Targeted Victim</v>
      </c>
      <c r="Y559" s="5" t="str">
        <f ca="1">IFERROR(__xludf.DUMMYFUNCTION("""COMPUTED_VALUE"""),"Victims Targeted")</f>
        <v>Victims Targeted</v>
      </c>
      <c r="Z559" s="5" t="str">
        <f ca="1">IFERROR(__xludf.DUMMYFUNCTION("""COMPUTED_VALUE"""),"No")</f>
        <v>No</v>
      </c>
      <c r="AA559" s="5"/>
      <c r="AB559" s="5" t="str">
        <f ca="1">IFERROR(__xludf.DUMMYFUNCTION("""COMPUTED_VALUE"""),"No")</f>
        <v>No</v>
      </c>
      <c r="AC559" s="5" t="str">
        <f ca="1">IFERROR(__xludf.DUMMYFUNCTION("""COMPUTED_VALUE"""),"No")</f>
        <v>No</v>
      </c>
      <c r="AD559" s="5" t="str">
        <f ca="1">IFERROR(__xludf.DUMMYFUNCTION("""COMPUTED_VALUE"""),"No")</f>
        <v>No</v>
      </c>
      <c r="AE559" s="5" t="str">
        <f ca="1">IFERROR(__xludf.DUMMYFUNCTION("""COMPUTED_VALUE"""),"No")</f>
        <v>No</v>
      </c>
      <c r="AF559" s="5" t="str">
        <f ca="1">IFERROR(__xludf.DUMMYFUNCTION("""COMPUTED_VALUE"""),"Yes")</f>
        <v>Yes</v>
      </c>
      <c r="AG559" s="5" t="str">
        <f ca="1">IFERROR(__xludf.DUMMYFUNCTION("""COMPUTED_VALUE"""),"No")</f>
        <v>No</v>
      </c>
      <c r="AH559" s="5" t="str">
        <f ca="1">IFERROR(__xludf.DUMMYFUNCTION("""COMPUTED_VALUE"""),"No")</f>
        <v>No</v>
      </c>
    </row>
    <row r="560" spans="1:34" ht="12.75">
      <c r="A560" s="5" t="str">
        <f ca="1">IFERROR(__xludf.DUMMYFUNCTION("""COMPUTED_VALUE"""),"20191216CTCAN")</f>
        <v>20191216CTCAN</v>
      </c>
      <c r="B560" s="8">
        <f ca="1">IFERROR(__xludf.DUMMYFUNCTION("""COMPUTED_VALUE"""),43815)</f>
        <v>43815</v>
      </c>
      <c r="C560" s="5" t="str">
        <f ca="1">IFERROR(__xludf.DUMMYFUNCTION("""COMPUTED_VALUE"""),"Catholic Academy of New Haven")</f>
        <v>Catholic Academy of New Haven</v>
      </c>
      <c r="D560" s="5">
        <f ca="1">IFERROR(__xludf.DUMMYFUNCTION("""COMPUTED_VALUE"""),0)</f>
        <v>0</v>
      </c>
      <c r="E560" s="5">
        <f ca="1">IFERROR(__xludf.DUMMYFUNCTION("""COMPUTED_VALUE"""),1)</f>
        <v>1</v>
      </c>
      <c r="F560" s="5">
        <f ca="1">IFERROR(__xludf.DUMMYFUNCTION("""COMPUTED_VALUE"""),1)</f>
        <v>1</v>
      </c>
      <c r="G560" s="5">
        <f ca="1">IFERROR(__xludf.DUMMYFUNCTION("""COMPUTED_VALUE"""),0)</f>
        <v>0</v>
      </c>
      <c r="H560"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I560" s="5"/>
      <c r="J560" s="5"/>
      <c r="K560" s="5">
        <f ca="1">IFERROR(__xludf.DUMMYFUNCTION("""COMPUTED_VALUE"""),4)</f>
        <v>4</v>
      </c>
      <c r="L560" s="5" t="str">
        <f ca="1">IFERROR(__xludf.DUMMYFUNCTION("""COMPUTED_VALUE"""),"Winter")</f>
        <v>Winter</v>
      </c>
      <c r="M560" s="5" t="str">
        <f ca="1">IFERROR(__xludf.DUMMYFUNCTION("""COMPUTED_VALUE"""),"New Haven")</f>
        <v>New Haven</v>
      </c>
      <c r="N560" s="5" t="str">
        <f ca="1">IFERROR(__xludf.DUMMYFUNCTION("""COMPUTED_VALUE"""),"CT")</f>
        <v>CT</v>
      </c>
      <c r="O560" s="5" t="str">
        <f ca="1">IFERROR(__xludf.DUMMYFUNCTION("""COMPUTED_VALUE"""),"K-8")</f>
        <v>K-8</v>
      </c>
      <c r="P560" s="5" t="str">
        <f ca="1">IFERROR(__xludf.DUMMYFUNCTION("""COMPUTED_VALUE"""),"Beside Building")</f>
        <v>Beside Building</v>
      </c>
      <c r="Q560" s="5" t="str">
        <f ca="1">IFERROR(__xludf.DUMMYFUNCTION("""COMPUTED_VALUE"""),"Outside on School Property")</f>
        <v>Outside on School Property</v>
      </c>
      <c r="R560" s="5" t="str">
        <f ca="1">IFERROR(__xludf.DUMMYFUNCTION("""COMPUTED_VALUE"""),"Yes")</f>
        <v>Yes</v>
      </c>
      <c r="S560" s="5" t="str">
        <f ca="1">IFERROR(__xludf.DUMMYFUNCTION("""COMPUTED_VALUE"""),"School Start")</f>
        <v>School Start</v>
      </c>
      <c r="T560" s="10">
        <f ca="1">IFERROR(__xludf.DUMMYFUNCTION("""COMPUTED_VALUE"""),0.375)</f>
        <v>0.375</v>
      </c>
      <c r="U560" s="5">
        <f ca="1">IFERROR(__xludf.DUMMYFUNCTION("""COMPUTED_VALUE"""),1)</f>
        <v>1</v>
      </c>
      <c r="V560" s="5" t="str">
        <f ca="1">IFERROR(__xludf.DUMMYFUNCTION("""COMPUTED_VALUE"""),"Adult dropping child off shot in targeted shooting, 7 bullets hit school building")</f>
        <v>Adult dropping child off shot in targeted shooting, 7 bullets hit school building</v>
      </c>
      <c r="W560"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X560" s="5" t="str">
        <f ca="1">IFERROR(__xludf.DUMMYFUNCTION("""COMPUTED_VALUE"""),"Drive-by Shooting")</f>
        <v>Drive-by Shooting</v>
      </c>
      <c r="Y560" s="5" t="str">
        <f ca="1">IFERROR(__xludf.DUMMYFUNCTION("""COMPUTED_VALUE"""),"Victims Targeted")</f>
        <v>Victims Targeted</v>
      </c>
      <c r="Z560" s="5" t="str">
        <f ca="1">IFERROR(__xludf.DUMMYFUNCTION("""COMPUTED_VALUE"""),"No")</f>
        <v>No</v>
      </c>
      <c r="AA560" s="5"/>
      <c r="AB560" s="5" t="str">
        <f ca="1">IFERROR(__xludf.DUMMYFUNCTION("""COMPUTED_VALUE"""),"No")</f>
        <v>No</v>
      </c>
      <c r="AC560" s="5" t="str">
        <f ca="1">IFERROR(__xludf.DUMMYFUNCTION("""COMPUTED_VALUE"""),"No")</f>
        <v>No</v>
      </c>
      <c r="AD560" s="5" t="str">
        <f ca="1">IFERROR(__xludf.DUMMYFUNCTION("""COMPUTED_VALUE"""),"No")</f>
        <v>No</v>
      </c>
      <c r="AE560" s="5" t="str">
        <f ca="1">IFERROR(__xludf.DUMMYFUNCTION("""COMPUTED_VALUE"""),"No")</f>
        <v>No</v>
      </c>
      <c r="AF560" s="5" t="str">
        <f ca="1">IFERROR(__xludf.DUMMYFUNCTION("""COMPUTED_VALUE"""),"No")</f>
        <v>No</v>
      </c>
      <c r="AG560" s="5" t="str">
        <f ca="1">IFERROR(__xludf.DUMMYFUNCTION("""COMPUTED_VALUE"""),"Yes")</f>
        <v>Yes</v>
      </c>
      <c r="AH560" s="5" t="str">
        <f ca="1">IFERROR(__xludf.DUMMYFUNCTION("""COMPUTED_VALUE"""),"No")</f>
        <v>No</v>
      </c>
    </row>
    <row r="561" spans="1:34" ht="12.75">
      <c r="A561" s="5" t="str">
        <f ca="1">IFERROR(__xludf.DUMMYFUNCTION("""COMPUTED_VALUE"""),"20191213VAMAN")</f>
        <v>20191213VAMAN</v>
      </c>
      <c r="B561" s="8">
        <f ca="1">IFERROR(__xludf.DUMMYFUNCTION("""COMPUTED_VALUE"""),43812)</f>
        <v>43812</v>
      </c>
      <c r="C561" s="5" t="str">
        <f ca="1">IFERROR(__xludf.DUMMYFUNCTION("""COMPUTED_VALUE"""),"Maury High School")</f>
        <v>Maury High School</v>
      </c>
      <c r="D561" s="5">
        <f ca="1">IFERROR(__xludf.DUMMYFUNCTION("""COMPUTED_VALUE"""),0)</f>
        <v>0</v>
      </c>
      <c r="E561" s="5">
        <f ca="1">IFERROR(__xludf.DUMMYFUNCTION("""COMPUTED_VALUE"""),0)</f>
        <v>0</v>
      </c>
      <c r="F561" s="5">
        <f ca="1">IFERROR(__xludf.DUMMYFUNCTION("""COMPUTED_VALUE"""),0)</f>
        <v>0</v>
      </c>
      <c r="G561" s="5">
        <f ca="1">IFERROR(__xludf.DUMMYFUNCTION("""COMPUTED_VALUE"""),0)</f>
        <v>0</v>
      </c>
      <c r="H561"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I561" s="5"/>
      <c r="J561" s="5"/>
      <c r="K561" s="5">
        <f ca="1">IFERROR(__xludf.DUMMYFUNCTION("""COMPUTED_VALUE"""),4)</f>
        <v>4</v>
      </c>
      <c r="L561" s="5" t="str">
        <f ca="1">IFERROR(__xludf.DUMMYFUNCTION("""COMPUTED_VALUE"""),"Winter")</f>
        <v>Winter</v>
      </c>
      <c r="M561" s="5" t="str">
        <f ca="1">IFERROR(__xludf.DUMMYFUNCTION("""COMPUTED_VALUE"""),"Norfolk")</f>
        <v>Norfolk</v>
      </c>
      <c r="N561" s="5" t="str">
        <f ca="1">IFERROR(__xludf.DUMMYFUNCTION("""COMPUTED_VALUE"""),"VA")</f>
        <v>VA</v>
      </c>
      <c r="O561" s="5" t="str">
        <f ca="1">IFERROR(__xludf.DUMMYFUNCTION("""COMPUTED_VALUE"""),"High")</f>
        <v>High</v>
      </c>
      <c r="P561" s="5" t="str">
        <f ca="1">IFERROR(__xludf.DUMMYFUNCTION("""COMPUTED_VALUE"""),"Classroom")</f>
        <v>Classroom</v>
      </c>
      <c r="Q561" s="5" t="str">
        <f ca="1">IFERROR(__xludf.DUMMYFUNCTION("""COMPUTED_VALUE"""),"Inside School Building")</f>
        <v>Inside School Building</v>
      </c>
      <c r="R561" s="5" t="str">
        <f ca="1">IFERROR(__xludf.DUMMYFUNCTION("""COMPUTED_VALUE"""),"Yes")</f>
        <v>Yes</v>
      </c>
      <c r="S561" s="5" t="str">
        <f ca="1">IFERROR(__xludf.DUMMYFUNCTION("""COMPUTED_VALUE"""),"Afternoon Classes")</f>
        <v>Afternoon Classes</v>
      </c>
      <c r="T561" s="10">
        <f ca="1">IFERROR(__xludf.DUMMYFUNCTION("""COMPUTED_VALUE"""),0.510416666666666)</f>
        <v>0.51041666666666596</v>
      </c>
      <c r="U561" s="5">
        <f ca="1">IFERROR(__xludf.DUMMYFUNCTION("""COMPUTED_VALUE"""),1)</f>
        <v>1</v>
      </c>
      <c r="V561" s="5" t="str">
        <f ca="1">IFERROR(__xludf.DUMMYFUNCTION("""COMPUTED_VALUE"""),"Student shot self in hand in classroom")</f>
        <v>Student shot self in hand in classroom</v>
      </c>
      <c r="W561"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X561" s="5" t="str">
        <f ca="1">IFERROR(__xludf.DUMMYFUNCTION("""COMPUTED_VALUE"""),"Accidental")</f>
        <v>Accidental</v>
      </c>
      <c r="Y561" s="5" t="str">
        <f ca="1">IFERROR(__xludf.DUMMYFUNCTION("""COMPUTED_VALUE"""),"Neither")</f>
        <v>Neither</v>
      </c>
      <c r="Z561" s="5" t="str">
        <f ca="1">IFERROR(__xludf.DUMMYFUNCTION("""COMPUTED_VALUE"""),"Yes")</f>
        <v>Yes</v>
      </c>
      <c r="AA561" s="5" t="str">
        <f ca="1">IFERROR(__xludf.DUMMYFUNCTION("""COMPUTED_VALUE"""),"Second student took handgun following shooting")</f>
        <v>Second student took handgun following shooting</v>
      </c>
      <c r="AB561" s="5" t="str">
        <f ca="1">IFERROR(__xludf.DUMMYFUNCTION("""COMPUTED_VALUE"""),"No")</f>
        <v>No</v>
      </c>
      <c r="AC561" s="5" t="str">
        <f ca="1">IFERROR(__xludf.DUMMYFUNCTION("""COMPUTED_VALUE"""),"No")</f>
        <v>No</v>
      </c>
      <c r="AD561" s="5" t="str">
        <f ca="1">IFERROR(__xludf.DUMMYFUNCTION("""COMPUTED_VALUE"""),"No")</f>
        <v>No</v>
      </c>
      <c r="AE561" s="5" t="str">
        <f ca="1">IFERROR(__xludf.DUMMYFUNCTION("""COMPUTED_VALUE"""),"No")</f>
        <v>No</v>
      </c>
      <c r="AF561" s="5" t="str">
        <f ca="1">IFERROR(__xludf.DUMMYFUNCTION("""COMPUTED_VALUE"""),"No")</f>
        <v>No</v>
      </c>
      <c r="AG561" s="5" t="str">
        <f ca="1">IFERROR(__xludf.DUMMYFUNCTION("""COMPUTED_VALUE"""),"No")</f>
        <v>No</v>
      </c>
      <c r="AH561" s="5" t="str">
        <f ca="1">IFERROR(__xludf.DUMMYFUNCTION("""COMPUTED_VALUE"""),"No")</f>
        <v>No</v>
      </c>
    </row>
    <row r="562" spans="1:34" ht="12.75">
      <c r="A562" s="5" t="str">
        <f ca="1">IFERROR(__xludf.DUMMYFUNCTION("""COMPUTED_VALUE"""),"20191211KSCHT")</f>
        <v>20191211KSCHT</v>
      </c>
      <c r="B562" s="8">
        <f ca="1">IFERROR(__xludf.DUMMYFUNCTION("""COMPUTED_VALUE"""),43810)</f>
        <v>43810</v>
      </c>
      <c r="C562" s="5" t="str">
        <f ca="1">IFERROR(__xludf.DUMMYFUNCTION("""COMPUTED_VALUE"""),"Chase Middle School")</f>
        <v>Chase Middle School</v>
      </c>
      <c r="D562" s="5">
        <f ca="1">IFERROR(__xludf.DUMMYFUNCTION("""COMPUTED_VALUE"""),0)</f>
        <v>0</v>
      </c>
      <c r="E562" s="5">
        <f ca="1">IFERROR(__xludf.DUMMYFUNCTION("""COMPUTED_VALUE"""),0)</f>
        <v>0</v>
      </c>
      <c r="F562" s="5">
        <f ca="1">IFERROR(__xludf.DUMMYFUNCTION("""COMPUTED_VALUE"""),0)</f>
        <v>0</v>
      </c>
      <c r="G562" s="5">
        <f ca="1">IFERROR(__xludf.DUMMYFUNCTION("""COMPUTED_VALUE"""),0)</f>
        <v>0</v>
      </c>
      <c r="H562"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I562" s="5"/>
      <c r="J562" s="5"/>
      <c r="K562" s="5">
        <f ca="1">IFERROR(__xludf.DUMMYFUNCTION("""COMPUTED_VALUE"""),3)</f>
        <v>3</v>
      </c>
      <c r="L562" s="5" t="str">
        <f ca="1">IFERROR(__xludf.DUMMYFUNCTION("""COMPUTED_VALUE"""),"Winter")</f>
        <v>Winter</v>
      </c>
      <c r="M562" s="5" t="str">
        <f ca="1">IFERROR(__xludf.DUMMYFUNCTION("""COMPUTED_VALUE"""),"Topeka")</f>
        <v>Topeka</v>
      </c>
      <c r="N562" s="5" t="str">
        <f ca="1">IFERROR(__xludf.DUMMYFUNCTION("""COMPUTED_VALUE"""),"KS")</f>
        <v>KS</v>
      </c>
      <c r="O562" s="5" t="str">
        <f ca="1">IFERROR(__xludf.DUMMYFUNCTION("""COMPUTED_VALUE"""),"Middle")</f>
        <v>Middle</v>
      </c>
      <c r="P562" s="5" t="str">
        <f ca="1">IFERROR(__xludf.DUMMYFUNCTION("""COMPUTED_VALUE"""),"School Bus")</f>
        <v>School Bus</v>
      </c>
      <c r="Q562" s="5" t="str">
        <f ca="1">IFERROR(__xludf.DUMMYFUNCTION("""COMPUTED_VALUE"""),"School Bus")</f>
        <v>School Bus</v>
      </c>
      <c r="R562" s="5" t="str">
        <f ca="1">IFERROR(__xludf.DUMMYFUNCTION("""COMPUTED_VALUE"""),"Yes")</f>
        <v>Yes</v>
      </c>
      <c r="S562" s="5" t="str">
        <f ca="1">IFERROR(__xludf.DUMMYFUNCTION("""COMPUTED_VALUE"""),"Dismissal")</f>
        <v>Dismissal</v>
      </c>
      <c r="T562" s="10">
        <f ca="1">IFERROR(__xludf.DUMMYFUNCTION("""COMPUTED_VALUE"""),0.635416666666666)</f>
        <v>0.63541666666666596</v>
      </c>
      <c r="U562" s="5">
        <f ca="1">IFERROR(__xludf.DUMMYFUNCTION("""COMPUTED_VALUE"""),1)</f>
        <v>1</v>
      </c>
      <c r="V562" s="5" t="str">
        <f ca="1">IFERROR(__xludf.DUMMYFUNCTION("""COMPUTED_VALUE"""),"Bus shot with multiple BBs with students onboard")</f>
        <v>Bus shot with multiple BBs with students onboard</v>
      </c>
      <c r="W562"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X562" s="5" t="str">
        <f ca="1">IFERROR(__xludf.DUMMYFUNCTION("""COMPUTED_VALUE"""),"Unknown")</f>
        <v>Unknown</v>
      </c>
      <c r="Y562" s="5"/>
      <c r="Z562" s="5" t="str">
        <f ca="1">IFERROR(__xludf.DUMMYFUNCTION("""COMPUTED_VALUE"""),"No")</f>
        <v>No</v>
      </c>
      <c r="AA562" s="5"/>
      <c r="AB562" s="5" t="str">
        <f ca="1">IFERROR(__xludf.DUMMYFUNCTION("""COMPUTED_VALUE"""),"No")</f>
        <v>No</v>
      </c>
      <c r="AC562" s="5" t="str">
        <f ca="1">IFERROR(__xludf.DUMMYFUNCTION("""COMPUTED_VALUE"""),"No")</f>
        <v>No</v>
      </c>
      <c r="AD562" s="5" t="str">
        <f ca="1">IFERROR(__xludf.DUMMYFUNCTION("""COMPUTED_VALUE"""),"No")</f>
        <v>No</v>
      </c>
      <c r="AE562" s="5" t="str">
        <f ca="1">IFERROR(__xludf.DUMMYFUNCTION("""COMPUTED_VALUE"""),"No")</f>
        <v>No</v>
      </c>
      <c r="AF562" s="5" t="str">
        <f ca="1">IFERROR(__xludf.DUMMYFUNCTION("""COMPUTED_VALUE"""),"No")</f>
        <v>No</v>
      </c>
      <c r="AG562" s="5" t="str">
        <f ca="1">IFERROR(__xludf.DUMMYFUNCTION("""COMPUTED_VALUE"""),"No")</f>
        <v>No</v>
      </c>
      <c r="AH562" s="5" t="str">
        <f ca="1">IFERROR(__xludf.DUMMYFUNCTION("""COMPUTED_VALUE"""),"No")</f>
        <v>No</v>
      </c>
    </row>
    <row r="563" spans="1:34" ht="12.75">
      <c r="A563" s="5" t="str">
        <f ca="1">IFERROR(__xludf.DUMMYFUNCTION("""COMPUTED_VALUE"""),"20191211INEVE")</f>
        <v>20191211INEVE</v>
      </c>
      <c r="B563" s="8">
        <f ca="1">IFERROR(__xludf.DUMMYFUNCTION("""COMPUTED_VALUE"""),43810)</f>
        <v>43810</v>
      </c>
      <c r="C563" s="5" t="str">
        <f ca="1">IFERROR(__xludf.DUMMYFUNCTION("""COMPUTED_VALUE"""),"Evans Elementary School")</f>
        <v>Evans Elementary School</v>
      </c>
      <c r="D563" s="5">
        <f ca="1">IFERROR(__xludf.DUMMYFUNCTION("""COMPUTED_VALUE"""),0)</f>
        <v>0</v>
      </c>
      <c r="E563" s="5">
        <f ca="1">IFERROR(__xludf.DUMMYFUNCTION("""COMPUTED_VALUE"""),0)</f>
        <v>0</v>
      </c>
      <c r="F563" s="5">
        <f ca="1">IFERROR(__xludf.DUMMYFUNCTION("""COMPUTED_VALUE"""),0)</f>
        <v>0</v>
      </c>
      <c r="G563" s="5">
        <f ca="1">IFERROR(__xludf.DUMMYFUNCTION("""COMPUTED_VALUE"""),0)</f>
        <v>0</v>
      </c>
      <c r="H563" s="9" t="str">
        <f ca="1">IFERROR(__xludf.DUMMYFUNCTION("""COMPUTED_VALUE"""),"https://www.14news.com/2019/12/11/dispatch-police-called-evans-elem-after-gunshots-reported/")</f>
        <v>https://www.14news.com/2019/12/11/dispatch-police-called-evans-elem-after-gunshots-reported/</v>
      </c>
      <c r="I563" s="5"/>
      <c r="J563" s="5"/>
      <c r="K563" s="5">
        <f ca="1">IFERROR(__xludf.DUMMYFUNCTION("""COMPUTED_VALUE"""),3)</f>
        <v>3</v>
      </c>
      <c r="L563" s="5" t="str">
        <f ca="1">IFERROR(__xludf.DUMMYFUNCTION("""COMPUTED_VALUE"""),"Winter")</f>
        <v>Winter</v>
      </c>
      <c r="M563" s="5" t="str">
        <f ca="1">IFERROR(__xludf.DUMMYFUNCTION("""COMPUTED_VALUE"""),"Evansville")</f>
        <v>Evansville</v>
      </c>
      <c r="N563" s="5" t="str">
        <f ca="1">IFERROR(__xludf.DUMMYFUNCTION("""COMPUTED_VALUE"""),"IN")</f>
        <v>IN</v>
      </c>
      <c r="O563" s="5" t="str">
        <f ca="1">IFERROR(__xludf.DUMMYFUNCTION("""COMPUTED_VALUE"""),"Elementary")</f>
        <v>Elementary</v>
      </c>
      <c r="P563" s="5" t="str">
        <f ca="1">IFERROR(__xludf.DUMMYFUNCTION("""COMPUTED_VALUE"""),"School Bus")</f>
        <v>School Bus</v>
      </c>
      <c r="Q563" s="5" t="str">
        <f ca="1">IFERROR(__xludf.DUMMYFUNCTION("""COMPUTED_VALUE"""),"School Bus")</f>
        <v>School Bus</v>
      </c>
      <c r="R563" s="5" t="str">
        <f ca="1">IFERROR(__xludf.DUMMYFUNCTION("""COMPUTED_VALUE"""),"No")</f>
        <v>No</v>
      </c>
      <c r="S563" s="5" t="str">
        <f ca="1">IFERROR(__xludf.DUMMYFUNCTION("""COMPUTED_VALUE"""),"After School")</f>
        <v>After School</v>
      </c>
      <c r="T563" s="10">
        <f ca="1">IFERROR(__xludf.DUMMYFUNCTION("""COMPUTED_VALUE"""),0.625)</f>
        <v>0.625</v>
      </c>
      <c r="U563" s="5">
        <f ca="1">IFERROR(__xludf.DUMMYFUNCTION("""COMPUTED_VALUE"""),1)</f>
        <v>1</v>
      </c>
      <c r="V563" s="5" t="str">
        <f ca="1">IFERROR(__xludf.DUMMYFUNCTION("""COMPUTED_VALUE"""),"BB shattered school bus window while driving")</f>
        <v>BB shattered school bus window while driving</v>
      </c>
      <c r="W563"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X563" s="5" t="str">
        <f ca="1">IFERROR(__xludf.DUMMYFUNCTION("""COMPUTED_VALUE"""),"Unknown")</f>
        <v>Unknown</v>
      </c>
      <c r="Y563" s="5"/>
      <c r="Z563" s="5" t="str">
        <f ca="1">IFERROR(__xludf.DUMMYFUNCTION("""COMPUTED_VALUE"""),"No")</f>
        <v>No</v>
      </c>
      <c r="AA563" s="5"/>
      <c r="AB563" s="5" t="str">
        <f ca="1">IFERROR(__xludf.DUMMYFUNCTION("""COMPUTED_VALUE"""),"No")</f>
        <v>No</v>
      </c>
      <c r="AC563" s="5" t="str">
        <f ca="1">IFERROR(__xludf.DUMMYFUNCTION("""COMPUTED_VALUE"""),"No")</f>
        <v>No</v>
      </c>
      <c r="AD563" s="5" t="str">
        <f ca="1">IFERROR(__xludf.DUMMYFUNCTION("""COMPUTED_VALUE"""),"No")</f>
        <v>No</v>
      </c>
      <c r="AE563" s="5" t="str">
        <f ca="1">IFERROR(__xludf.DUMMYFUNCTION("""COMPUTED_VALUE"""),"No")</f>
        <v>No</v>
      </c>
      <c r="AF563" s="5" t="str">
        <f ca="1">IFERROR(__xludf.DUMMYFUNCTION("""COMPUTED_VALUE"""),"No")</f>
        <v>No</v>
      </c>
      <c r="AG563" s="5" t="str">
        <f ca="1">IFERROR(__xludf.DUMMYFUNCTION("""COMPUTED_VALUE"""),"No")</f>
        <v>No</v>
      </c>
      <c r="AH563" s="5" t="str">
        <f ca="1">IFERROR(__xludf.DUMMYFUNCTION("""COMPUTED_VALUE"""),"No")</f>
        <v>No</v>
      </c>
    </row>
    <row r="564" spans="1:34" ht="12.75">
      <c r="A564" s="5" t="str">
        <f ca="1">IFERROR(__xludf.DUMMYFUNCTION("""COMPUTED_VALUE"""),"20191210NJSAJ")</f>
        <v>20191210NJSAJ</v>
      </c>
      <c r="B564" s="8">
        <f ca="1">IFERROR(__xludf.DUMMYFUNCTION("""COMPUTED_VALUE"""),43809)</f>
        <v>43809</v>
      </c>
      <c r="C564" s="5" t="str">
        <f ca="1">IFERROR(__xludf.DUMMYFUNCTION("""COMPUTED_VALUE"""),"Sacred Heart School")</f>
        <v>Sacred Heart School</v>
      </c>
      <c r="D564" s="5">
        <f ca="1">IFERROR(__xludf.DUMMYFUNCTION("""COMPUTED_VALUE"""),0)</f>
        <v>0</v>
      </c>
      <c r="E564" s="5">
        <f ca="1">IFERROR(__xludf.DUMMYFUNCTION("""COMPUTED_VALUE"""),0)</f>
        <v>0</v>
      </c>
      <c r="F564" s="5">
        <f ca="1">IFERROR(__xludf.DUMMYFUNCTION("""COMPUTED_VALUE"""),0)</f>
        <v>0</v>
      </c>
      <c r="G564" s="5">
        <f ca="1">IFERROR(__xludf.DUMMYFUNCTION("""COMPUTED_VALUE"""),0)</f>
        <v>0</v>
      </c>
      <c r="H564"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I564" s="5"/>
      <c r="J564" s="5"/>
      <c r="K564" s="5">
        <f ca="1">IFERROR(__xludf.DUMMYFUNCTION("""COMPUTED_VALUE"""),4)</f>
        <v>4</v>
      </c>
      <c r="L564" s="5" t="str">
        <f ca="1">IFERROR(__xludf.DUMMYFUNCTION("""COMPUTED_VALUE"""),"Winter")</f>
        <v>Winter</v>
      </c>
      <c r="M564" s="5" t="str">
        <f ca="1">IFERROR(__xludf.DUMMYFUNCTION("""COMPUTED_VALUE"""),"Jersey City")</f>
        <v>Jersey City</v>
      </c>
      <c r="N564" s="5" t="str">
        <f ca="1">IFERROR(__xludf.DUMMYFUNCTION("""COMPUTED_VALUE"""),"NJ")</f>
        <v>NJ</v>
      </c>
      <c r="O564" s="5" t="str">
        <f ca="1">IFERROR(__xludf.DUMMYFUNCTION("""COMPUTED_VALUE"""),"K-8")</f>
        <v>K-8</v>
      </c>
      <c r="P564" s="5" t="str">
        <f ca="1">IFERROR(__xludf.DUMMYFUNCTION("""COMPUTED_VALUE"""),"Off School Property")</f>
        <v>Off School Property</v>
      </c>
      <c r="Q564" s="5" t="str">
        <f ca="1">IFERROR(__xludf.DUMMYFUNCTION("""COMPUTED_VALUE"""),"Off School Property")</f>
        <v>Off School Property</v>
      </c>
      <c r="R564" s="5" t="str">
        <f ca="1">IFERROR(__xludf.DUMMYFUNCTION("""COMPUTED_VALUE"""),"Yes")</f>
        <v>Yes</v>
      </c>
      <c r="S564" s="5" t="str">
        <f ca="1">IFERROR(__xludf.DUMMYFUNCTION("""COMPUTED_VALUE"""),"Afternoon Classes")</f>
        <v>Afternoon Classes</v>
      </c>
      <c r="T564" s="10">
        <f ca="1">IFERROR(__xludf.DUMMYFUNCTION("""COMPUTED_VALUE"""),0.520833333333333)</f>
        <v>0.52083333333333304</v>
      </c>
      <c r="U564" s="5">
        <f ca="1">IFERROR(__xludf.DUMMYFUNCTION("""COMPUTED_VALUE"""),60)</f>
        <v>60</v>
      </c>
      <c r="V564" s="5" t="str">
        <f ca="1">IFERROR(__xludf.DUMMYFUNCTION("""COMPUTED_VALUE"""),"Attack on Jewish Grocery Store across the street from school, multiple shots struck school building")</f>
        <v>Attack on Jewish Grocery Store across the street from school, multiple shots struck school building</v>
      </c>
      <c r="W564"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X564" s="5" t="str">
        <f ca="1">IFERROR(__xludf.DUMMYFUNCTION("""COMPUTED_VALUE"""),"Indiscriminate Shooting")</f>
        <v>Indiscriminate Shooting</v>
      </c>
      <c r="Y564" s="5" t="str">
        <f ca="1">IFERROR(__xludf.DUMMYFUNCTION("""COMPUTED_VALUE"""),"Neither")</f>
        <v>Neither</v>
      </c>
      <c r="Z564" s="5" t="str">
        <f ca="1">IFERROR(__xludf.DUMMYFUNCTION("""COMPUTED_VALUE"""),"Yes")</f>
        <v>Yes</v>
      </c>
      <c r="AA564" s="5" t="str">
        <f ca="1">IFERROR(__xludf.DUMMYFUNCTION("""COMPUTED_VALUE"""),"Husband and wife")</f>
        <v>Husband and wife</v>
      </c>
      <c r="AB564" s="5" t="str">
        <f ca="1">IFERROR(__xludf.DUMMYFUNCTION("""COMPUTED_VALUE"""),"No")</f>
        <v>No</v>
      </c>
      <c r="AC564" s="5" t="str">
        <f ca="1">IFERROR(__xludf.DUMMYFUNCTION("""COMPUTED_VALUE"""),"Yes")</f>
        <v>Yes</v>
      </c>
      <c r="AD564" s="5" t="str">
        <f ca="1">IFERROR(__xludf.DUMMYFUNCTION("""COMPUTED_VALUE"""),"No")</f>
        <v>No</v>
      </c>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IFERROR(__xludf.DUMMYFUNCTION("""COMPUTED_VALUE"""),"Yes")</f>
        <v>Yes</v>
      </c>
    </row>
    <row r="565" spans="1:34" ht="12.75">
      <c r="A565" s="5" t="str">
        <f ca="1">IFERROR(__xludf.DUMMYFUNCTION("""COMPUTED_VALUE"""),"20191210KSJCK")</f>
        <v>20191210KSJCK</v>
      </c>
      <c r="B565" s="8">
        <f ca="1">IFERROR(__xludf.DUMMYFUNCTION("""COMPUTED_VALUE"""),43809)</f>
        <v>43809</v>
      </c>
      <c r="C565" s="5" t="str">
        <f ca="1">IFERROR(__xludf.DUMMYFUNCTION("""COMPUTED_VALUE"""),"J C Harmon High School")</f>
        <v>J C Harmon High School</v>
      </c>
      <c r="D565" s="5">
        <f ca="1">IFERROR(__xludf.DUMMYFUNCTION("""COMPUTED_VALUE"""),0)</f>
        <v>0</v>
      </c>
      <c r="E565" s="5">
        <f ca="1">IFERROR(__xludf.DUMMYFUNCTION("""COMPUTED_VALUE"""),0)</f>
        <v>0</v>
      </c>
      <c r="F565" s="5">
        <f ca="1">IFERROR(__xludf.DUMMYFUNCTION("""COMPUTED_VALUE"""),0)</f>
        <v>0</v>
      </c>
      <c r="G565" s="5">
        <f ca="1">IFERROR(__xludf.DUMMYFUNCTION("""COMPUTED_VALUE"""),0)</f>
        <v>0</v>
      </c>
      <c r="H565" s="9" t="str">
        <f ca="1">IFERROR(__xludf.DUMMYFUNCTION("""COMPUTED_VALUE"""),"https://www.kshb.com/news/local-news/no-injuries-reported-after-school-bus-struck-by-gunfire-near-j-c-harmon-high-school")</f>
        <v>https://www.kshb.com/news/local-news/no-injuries-reported-after-school-bus-struck-by-gunfire-near-j-c-harmon-high-school</v>
      </c>
      <c r="I565" s="5"/>
      <c r="J565" s="5"/>
      <c r="K565" s="5">
        <f ca="1">IFERROR(__xludf.DUMMYFUNCTION("""COMPUTED_VALUE"""),4)</f>
        <v>4</v>
      </c>
      <c r="L565" s="5" t="str">
        <f ca="1">IFERROR(__xludf.DUMMYFUNCTION("""COMPUTED_VALUE"""),"Winter")</f>
        <v>Winter</v>
      </c>
      <c r="M565" s="5" t="str">
        <f ca="1">IFERROR(__xludf.DUMMYFUNCTION("""COMPUTED_VALUE"""),"Kansas City")</f>
        <v>Kansas City</v>
      </c>
      <c r="N565" s="5" t="str">
        <f ca="1">IFERROR(__xludf.DUMMYFUNCTION("""COMPUTED_VALUE"""),"KS")</f>
        <v>KS</v>
      </c>
      <c r="O565" s="5" t="str">
        <f ca="1">IFERROR(__xludf.DUMMYFUNCTION("""COMPUTED_VALUE"""),"High")</f>
        <v>High</v>
      </c>
      <c r="P565" s="5" t="str">
        <f ca="1">IFERROR(__xludf.DUMMYFUNCTION("""COMPUTED_VALUE"""),"Parking Lot (Bus)")</f>
        <v>Parking Lot (Bus)</v>
      </c>
      <c r="Q565" s="5" t="str">
        <f ca="1">IFERROR(__xludf.DUMMYFUNCTION("""COMPUTED_VALUE"""),"Off School Property")</f>
        <v>Off School Property</v>
      </c>
      <c r="R565" s="5" t="str">
        <f ca="1">IFERROR(__xludf.DUMMYFUNCTION("""COMPUTED_VALUE"""),"Yes")</f>
        <v>Yes</v>
      </c>
      <c r="S565" s="5" t="str">
        <f ca="1">IFERROR(__xludf.DUMMYFUNCTION("""COMPUTED_VALUE"""),"Dismissal")</f>
        <v>Dismissal</v>
      </c>
      <c r="T565" s="10">
        <f ca="1">IFERROR(__xludf.DUMMYFUNCTION("""COMPUTED_VALUE"""),0.583333333333333)</f>
        <v>0.58333333333333304</v>
      </c>
      <c r="U565" s="5">
        <f ca="1">IFERROR(__xludf.DUMMYFUNCTION("""COMPUTED_VALUE"""),1)</f>
        <v>1</v>
      </c>
      <c r="V565" s="5" t="str">
        <f ca="1">IFERROR(__xludf.DUMMYFUNCTION("""COMPUTED_VALUE"""),"School bus hit in school parking lot during drive by shooting")</f>
        <v>School bus hit in school parking lot during drive by shooting</v>
      </c>
      <c r="W565"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X565" s="5" t="str">
        <f ca="1">IFERROR(__xludf.DUMMYFUNCTION("""COMPUTED_VALUE"""),"Drive-by Shooting")</f>
        <v>Drive-by Shooting</v>
      </c>
      <c r="Y565" s="5"/>
      <c r="Z565" s="5"/>
      <c r="AA565" s="5"/>
      <c r="AB565" s="5" t="str">
        <f ca="1">IFERROR(__xludf.DUMMYFUNCTION("""COMPUTED_VALUE"""),"No")</f>
        <v>No</v>
      </c>
      <c r="AC565" s="5" t="str">
        <f ca="1">IFERROR(__xludf.DUMMYFUNCTION("""COMPUTED_VALUE"""),"No")</f>
        <v>No</v>
      </c>
      <c r="AD565" s="5" t="str">
        <f ca="1">IFERROR(__xludf.DUMMYFUNCTION("""COMPUTED_VALUE"""),"No")</f>
        <v>No</v>
      </c>
      <c r="AE565" s="5" t="str">
        <f ca="1">IFERROR(__xludf.DUMMYFUNCTION("""COMPUTED_VALUE"""),"No")</f>
        <v>No</v>
      </c>
      <c r="AF565" s="5" t="str">
        <f ca="1">IFERROR(__xludf.DUMMYFUNCTION("""COMPUTED_VALUE"""),"No")</f>
        <v>No</v>
      </c>
      <c r="AG565" s="5"/>
      <c r="AH565" s="5" t="str">
        <f ca="1">IFERROR(__xludf.DUMMYFUNCTION("""COMPUTED_VALUE"""),"No")</f>
        <v>No</v>
      </c>
    </row>
    <row r="566" spans="1:34" ht="12.75">
      <c r="A566" s="5" t="str">
        <f ca="1">IFERROR(__xludf.DUMMYFUNCTION("""COMPUTED_VALUE"""),"20191210ALDED")</f>
        <v>20191210ALDED</v>
      </c>
      <c r="B566" s="8">
        <f ca="1">IFERROR(__xludf.DUMMYFUNCTION("""COMPUTED_VALUE"""),43809)</f>
        <v>43809</v>
      </c>
      <c r="C566" s="5" t="str">
        <f ca="1">IFERROR(__xludf.DUMMYFUNCTION("""COMPUTED_VALUE"""),"Decatur High School")</f>
        <v>Decatur High School</v>
      </c>
      <c r="D566" s="5">
        <f ca="1">IFERROR(__xludf.DUMMYFUNCTION("""COMPUTED_VALUE"""),0)</f>
        <v>0</v>
      </c>
      <c r="E566" s="5">
        <f ca="1">IFERROR(__xludf.DUMMYFUNCTION("""COMPUTED_VALUE"""),0)</f>
        <v>0</v>
      </c>
      <c r="F566" s="5">
        <f ca="1">IFERROR(__xludf.DUMMYFUNCTION("""COMPUTED_VALUE"""),0)</f>
        <v>0</v>
      </c>
      <c r="G566" s="5">
        <f ca="1">IFERROR(__xludf.DUMMYFUNCTION("""COMPUTED_VALUE"""),0)</f>
        <v>0</v>
      </c>
      <c r="H566"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I566" s="5"/>
      <c r="J566" s="5"/>
      <c r="K566" s="5">
        <f ca="1">IFERROR(__xludf.DUMMYFUNCTION("""COMPUTED_VALUE"""),4)</f>
        <v>4</v>
      </c>
      <c r="L566" s="5" t="str">
        <f ca="1">IFERROR(__xludf.DUMMYFUNCTION("""COMPUTED_VALUE"""),"Winter")</f>
        <v>Winter</v>
      </c>
      <c r="M566" s="5" t="str">
        <f ca="1">IFERROR(__xludf.DUMMYFUNCTION("""COMPUTED_VALUE"""),"Decatur")</f>
        <v>Decatur</v>
      </c>
      <c r="N566" s="5" t="str">
        <f ca="1">IFERROR(__xludf.DUMMYFUNCTION("""COMPUTED_VALUE"""),"AL")</f>
        <v>AL</v>
      </c>
      <c r="O566" s="5" t="str">
        <f ca="1">IFERROR(__xludf.DUMMYFUNCTION("""COMPUTED_VALUE"""),"High")</f>
        <v>High</v>
      </c>
      <c r="P566" s="5" t="str">
        <f ca="1">IFERROR(__xludf.DUMMYFUNCTION("""COMPUTED_VALUE"""),"Parking Lot")</f>
        <v>Parking Lot</v>
      </c>
      <c r="Q566" s="5" t="str">
        <f ca="1">IFERROR(__xludf.DUMMYFUNCTION("""COMPUTED_VALUE"""),"Outside on School Property")</f>
        <v>Outside on School Property</v>
      </c>
      <c r="R566" s="5" t="str">
        <f ca="1">IFERROR(__xludf.DUMMYFUNCTION("""COMPUTED_VALUE"""),"Yes")</f>
        <v>Yes</v>
      </c>
      <c r="S566" s="5" t="str">
        <f ca="1">IFERROR(__xludf.DUMMYFUNCTION("""COMPUTED_VALUE"""),"School Start")</f>
        <v>School Start</v>
      </c>
      <c r="T566" s="10">
        <f ca="1">IFERROR(__xludf.DUMMYFUNCTION("""COMPUTED_VALUE"""),0.347222222222222)</f>
        <v>0.34722222222222199</v>
      </c>
      <c r="U566" s="5">
        <f ca="1">IFERROR(__xludf.DUMMYFUNCTION("""COMPUTED_VALUE"""),1)</f>
        <v>1</v>
      </c>
      <c r="V566" s="5" t="str">
        <f ca="1">IFERROR(__xludf.DUMMYFUNCTION("""COMPUTED_VALUE"""),"Man fired shots into the air in the school parking lot following dispute with girlfriend")</f>
        <v>Man fired shots into the air in the school parking lot following dispute with girlfriend</v>
      </c>
      <c r="W566"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X566" s="5" t="str">
        <f ca="1">IFERROR(__xludf.DUMMYFUNCTION("""COMPUTED_VALUE"""),"Domestic w/ Targeted Victim")</f>
        <v>Domestic w/ Targeted Victim</v>
      </c>
      <c r="Y566" s="5" t="str">
        <f ca="1">IFERROR(__xludf.DUMMYFUNCTION("""COMPUTED_VALUE"""),"Victims Targeted")</f>
        <v>Victims Targeted</v>
      </c>
      <c r="Z566" s="5" t="str">
        <f ca="1">IFERROR(__xludf.DUMMYFUNCTION("""COMPUTED_VALUE"""),"No")</f>
        <v>No</v>
      </c>
      <c r="AA566" s="5"/>
      <c r="AB566" s="5" t="str">
        <f ca="1">IFERROR(__xludf.DUMMYFUNCTION("""COMPUTED_VALUE"""),"No")</f>
        <v>No</v>
      </c>
      <c r="AC566" s="5" t="str">
        <f ca="1">IFERROR(__xludf.DUMMYFUNCTION("""COMPUTED_VALUE"""),"No")</f>
        <v>No</v>
      </c>
      <c r="AD566" s="5" t="str">
        <f ca="1">IFERROR(__xludf.DUMMYFUNCTION("""COMPUTED_VALUE"""),"No")</f>
        <v>No</v>
      </c>
      <c r="AE566" s="5" t="str">
        <f ca="1">IFERROR(__xludf.DUMMYFUNCTION("""COMPUTED_VALUE"""),"No")</f>
        <v>No</v>
      </c>
      <c r="AF566" s="5" t="str">
        <f ca="1">IFERROR(__xludf.DUMMYFUNCTION("""COMPUTED_VALUE"""),"Yes")</f>
        <v>Yes</v>
      </c>
      <c r="AG566" s="5" t="str">
        <f ca="1">IFERROR(__xludf.DUMMYFUNCTION("""COMPUTED_VALUE"""),"No")</f>
        <v>No</v>
      </c>
      <c r="AH566" s="5" t="str">
        <f ca="1">IFERROR(__xludf.DUMMYFUNCTION("""COMPUTED_VALUE"""),"No")</f>
        <v>No</v>
      </c>
    </row>
    <row r="567" spans="1:34" ht="12.75">
      <c r="A567" s="5" t="str">
        <f ca="1">IFERROR(__xludf.DUMMYFUNCTION("""COMPUTED_VALUE"""),"20191204NMPIL")</f>
        <v>20191204NMPIL</v>
      </c>
      <c r="B567" s="8">
        <f ca="1">IFERROR(__xludf.DUMMYFUNCTION("""COMPUTED_VALUE"""),43803)</f>
        <v>43803</v>
      </c>
      <c r="C567" s="5" t="str">
        <f ca="1">IFERROR(__xludf.DUMMYFUNCTION("""COMPUTED_VALUE"""),"Picacho Middle School")</f>
        <v>Picacho Middle School</v>
      </c>
      <c r="D567" s="5">
        <f ca="1">IFERROR(__xludf.DUMMYFUNCTION("""COMPUTED_VALUE"""),0)</f>
        <v>0</v>
      </c>
      <c r="E567" s="5">
        <f ca="1">IFERROR(__xludf.DUMMYFUNCTION("""COMPUTED_VALUE"""),0)</f>
        <v>0</v>
      </c>
      <c r="F567" s="5">
        <f ca="1">IFERROR(__xludf.DUMMYFUNCTION("""COMPUTED_VALUE"""),0)</f>
        <v>0</v>
      </c>
      <c r="G567" s="5">
        <f ca="1">IFERROR(__xludf.DUMMYFUNCTION("""COMPUTED_VALUE"""),0)</f>
        <v>0</v>
      </c>
      <c r="H567"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I567" s="5"/>
      <c r="J567" s="5"/>
      <c r="K567" s="5">
        <f ca="1">IFERROR(__xludf.DUMMYFUNCTION("""COMPUTED_VALUE"""),4)</f>
        <v>4</v>
      </c>
      <c r="L567" s="5" t="str">
        <f ca="1">IFERROR(__xludf.DUMMYFUNCTION("""COMPUTED_VALUE"""),"Winter")</f>
        <v>Winter</v>
      </c>
      <c r="M567" s="5" t="str">
        <f ca="1">IFERROR(__xludf.DUMMYFUNCTION("""COMPUTED_VALUE"""),"Las Cruces")</f>
        <v>Las Cruces</v>
      </c>
      <c r="N567" s="5" t="str">
        <f ca="1">IFERROR(__xludf.DUMMYFUNCTION("""COMPUTED_VALUE"""),"NM")</f>
        <v>NM</v>
      </c>
      <c r="O567" s="5" t="str">
        <f ca="1">IFERROR(__xludf.DUMMYFUNCTION("""COMPUTED_VALUE"""),"High")</f>
        <v>High</v>
      </c>
      <c r="P567" s="5" t="str">
        <f ca="1">IFERROR(__xludf.DUMMYFUNCTION("""COMPUTED_VALUE"""),"Office")</f>
        <v>Office</v>
      </c>
      <c r="Q567" s="5" t="str">
        <f ca="1">IFERROR(__xludf.DUMMYFUNCTION("""COMPUTED_VALUE"""),"Inside School Building")</f>
        <v>Inside School Building</v>
      </c>
      <c r="R567" s="5" t="str">
        <f ca="1">IFERROR(__xludf.DUMMYFUNCTION("""COMPUTED_VALUE"""),"Yes")</f>
        <v>Yes</v>
      </c>
      <c r="S567" s="5" t="str">
        <f ca="1">IFERROR(__xludf.DUMMYFUNCTION("""COMPUTED_VALUE"""),"Afternoon Classes")</f>
        <v>Afternoon Classes</v>
      </c>
      <c r="T567" s="10">
        <f ca="1">IFERROR(__xludf.DUMMYFUNCTION("""COMPUTED_VALUE"""),0.567361111111111)</f>
        <v>0.56736111111111098</v>
      </c>
      <c r="U567" s="5">
        <f ca="1">IFERROR(__xludf.DUMMYFUNCTION("""COMPUTED_VALUE"""),1)</f>
        <v>1</v>
      </c>
      <c r="V567" s="5" t="str">
        <f ca="1">IFERROR(__xludf.DUMMYFUNCTION("""COMPUTED_VALUE"""),"SRO fired weapon inside office with student present")</f>
        <v>SRO fired weapon inside office with student present</v>
      </c>
      <c r="W567"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X567" s="5" t="str">
        <f ca="1">IFERROR(__xludf.DUMMYFUNCTION("""COMPUTED_VALUE"""),"Accidental")</f>
        <v>Accidental</v>
      </c>
      <c r="Y567" s="5" t="str">
        <f ca="1">IFERROR(__xludf.DUMMYFUNCTION("""COMPUTED_VALUE"""),"Neither")</f>
        <v>Neither</v>
      </c>
      <c r="Z567" s="5" t="str">
        <f ca="1">IFERROR(__xludf.DUMMYFUNCTION("""COMPUTED_VALUE"""),"No")</f>
        <v>No</v>
      </c>
      <c r="AA567" s="5"/>
      <c r="AB567" s="5" t="str">
        <f ca="1">IFERROR(__xludf.DUMMYFUNCTION("""COMPUTED_VALUE"""),"No")</f>
        <v>No</v>
      </c>
      <c r="AC567" s="5" t="str">
        <f ca="1">IFERROR(__xludf.DUMMYFUNCTION("""COMPUTED_VALUE"""),"No")</f>
        <v>No</v>
      </c>
      <c r="AD567" s="5" t="str">
        <f ca="1">IFERROR(__xludf.DUMMYFUNCTION("""COMPUTED_VALUE"""),"No")</f>
        <v>No</v>
      </c>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row>
    <row r="568" spans="1:34" ht="12.75">
      <c r="A568" s="5" t="str">
        <f ca="1">IFERROR(__xludf.DUMMYFUNCTION("""COMPUTED_VALUE"""),"20191203WITHM")</f>
        <v>20191203WITHM</v>
      </c>
      <c r="B568" s="8">
        <f ca="1">IFERROR(__xludf.DUMMYFUNCTION("""COMPUTED_VALUE"""),43802)</f>
        <v>43802</v>
      </c>
      <c r="C568" s="5" t="str">
        <f ca="1">IFERROR(__xludf.DUMMYFUNCTION("""COMPUTED_VALUE"""),"Thomas Jefferson Middle School")</f>
        <v>Thomas Jefferson Middle School</v>
      </c>
      <c r="D568" s="5">
        <f ca="1">IFERROR(__xludf.DUMMYFUNCTION("""COMPUTED_VALUE"""),0)</f>
        <v>0</v>
      </c>
      <c r="E568" s="5">
        <f ca="1">IFERROR(__xludf.DUMMYFUNCTION("""COMPUTED_VALUE"""),2)</f>
        <v>2</v>
      </c>
      <c r="F568" s="5">
        <f ca="1">IFERROR(__xludf.DUMMYFUNCTION("""COMPUTED_VALUE"""),2)</f>
        <v>2</v>
      </c>
      <c r="G568" s="5">
        <f ca="1">IFERROR(__xludf.DUMMYFUNCTION("""COMPUTED_VALUE"""),0)</f>
        <v>0</v>
      </c>
      <c r="H568"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I568" s="5"/>
      <c r="J568" s="5"/>
      <c r="K568" s="5">
        <f ca="1">IFERROR(__xludf.DUMMYFUNCTION("""COMPUTED_VALUE"""),4)</f>
        <v>4</v>
      </c>
      <c r="L568" s="5" t="str">
        <f ca="1">IFERROR(__xludf.DUMMYFUNCTION("""COMPUTED_VALUE"""),"Winter")</f>
        <v>Winter</v>
      </c>
      <c r="M568" s="5" t="str">
        <f ca="1">IFERROR(__xludf.DUMMYFUNCTION("""COMPUTED_VALUE"""),"Madison")</f>
        <v>Madison</v>
      </c>
      <c r="N568" s="5" t="str">
        <f ca="1">IFERROR(__xludf.DUMMYFUNCTION("""COMPUTED_VALUE"""),"WI")</f>
        <v>WI</v>
      </c>
      <c r="O568" s="5" t="str">
        <f ca="1">IFERROR(__xludf.DUMMYFUNCTION("""COMPUTED_VALUE"""),"Middle")</f>
        <v>Middle</v>
      </c>
      <c r="P568" s="5" t="str">
        <f ca="1">IFERROR(__xludf.DUMMYFUNCTION("""COMPUTED_VALUE"""),"School Bus")</f>
        <v>School Bus</v>
      </c>
      <c r="Q568" s="5" t="str">
        <f ca="1">IFERROR(__xludf.DUMMYFUNCTION("""COMPUTED_VALUE"""),"School Bus")</f>
        <v>School Bus</v>
      </c>
      <c r="R568" s="5" t="str">
        <f ca="1">IFERROR(__xludf.DUMMYFUNCTION("""COMPUTED_VALUE"""),"Yes")</f>
        <v>Yes</v>
      </c>
      <c r="S568" s="5" t="str">
        <f ca="1">IFERROR(__xludf.DUMMYFUNCTION("""COMPUTED_VALUE"""),"Dismissal")</f>
        <v>Dismissal</v>
      </c>
      <c r="T568" s="10">
        <f ca="1">IFERROR(__xludf.DUMMYFUNCTION("""COMPUTED_VALUE"""),0.645833333333333)</f>
        <v>0.64583333333333304</v>
      </c>
      <c r="U568" s="5">
        <f ca="1">IFERROR(__xludf.DUMMYFUNCTION("""COMPUTED_VALUE"""),1)</f>
        <v>1</v>
      </c>
      <c r="V568" s="5" t="str">
        <f ca="1">IFERROR(__xludf.DUMMYFUNCTION("""COMPUTED_VALUE"""),"Student fired pellet gun from school bus at female student getting off the bus")</f>
        <v>Student fired pellet gun from school bus at female student getting off the bus</v>
      </c>
      <c r="W568"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X568" s="5" t="str">
        <f ca="1">IFERROR(__xludf.DUMMYFUNCTION("""COMPUTED_VALUE"""),"Unknown")</f>
        <v>Unknown</v>
      </c>
      <c r="Y568" s="5" t="str">
        <f ca="1">IFERROR(__xludf.DUMMYFUNCTION("""COMPUTED_VALUE"""),"Victims Targeted")</f>
        <v>Victims Targeted</v>
      </c>
      <c r="Z568" s="5" t="str">
        <f ca="1">IFERROR(__xludf.DUMMYFUNCTION("""COMPUTED_VALUE"""),"Yes")</f>
        <v>Yes</v>
      </c>
      <c r="AA568" s="5" t="str">
        <f ca="1">IFERROR(__xludf.DUMMYFUNCTION("""COMPUTED_VALUE"""),"2 13YOM students arrested")</f>
        <v>2 13YOM students arrested</v>
      </c>
      <c r="AB568" s="5" t="str">
        <f ca="1">IFERROR(__xludf.DUMMYFUNCTION("""COMPUTED_VALUE"""),"No")</f>
        <v>No</v>
      </c>
      <c r="AC568" s="5" t="str">
        <f ca="1">IFERROR(__xludf.DUMMYFUNCTION("""COMPUTED_VALUE"""),"No")</f>
        <v>No</v>
      </c>
      <c r="AD568" s="5" t="str">
        <f ca="1">IFERROR(__xludf.DUMMYFUNCTION("""COMPUTED_VALUE"""),"No")</f>
        <v>No</v>
      </c>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row>
    <row r="569" spans="1:34" ht="12.75">
      <c r="A569" s="5" t="str">
        <f ca="1">IFERROR(__xludf.DUMMYFUNCTION("""COMPUTED_VALUE"""),"20191203WIOSO")</f>
        <v>20191203WIOSO</v>
      </c>
      <c r="B569" s="8">
        <f ca="1">IFERROR(__xludf.DUMMYFUNCTION("""COMPUTED_VALUE"""),43802)</f>
        <v>43802</v>
      </c>
      <c r="C569" s="5" t="str">
        <f ca="1">IFERROR(__xludf.DUMMYFUNCTION("""COMPUTED_VALUE"""),"Oshkosh West High School")</f>
        <v>Oshkosh West High School</v>
      </c>
      <c r="D569" s="5">
        <f ca="1">IFERROR(__xludf.DUMMYFUNCTION("""COMPUTED_VALUE"""),0)</f>
        <v>0</v>
      </c>
      <c r="E569" s="5">
        <f ca="1">IFERROR(__xludf.DUMMYFUNCTION("""COMPUTED_VALUE"""),1)</f>
        <v>1</v>
      </c>
      <c r="F569" s="5">
        <f ca="1">IFERROR(__xludf.DUMMYFUNCTION("""COMPUTED_VALUE"""),1)</f>
        <v>1</v>
      </c>
      <c r="G569" s="5">
        <f ca="1">IFERROR(__xludf.DUMMYFUNCTION("""COMPUTED_VALUE"""),0)</f>
        <v>0</v>
      </c>
      <c r="H569"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I569" s="5"/>
      <c r="J569" s="5"/>
      <c r="K569" s="5">
        <f ca="1">IFERROR(__xludf.DUMMYFUNCTION("""COMPUTED_VALUE"""),4)</f>
        <v>4</v>
      </c>
      <c r="L569" s="5" t="str">
        <f ca="1">IFERROR(__xludf.DUMMYFUNCTION("""COMPUTED_VALUE"""),"Winter")</f>
        <v>Winter</v>
      </c>
      <c r="M569" s="5" t="str">
        <f ca="1">IFERROR(__xludf.DUMMYFUNCTION("""COMPUTED_VALUE"""),"Oshkosh")</f>
        <v>Oshkosh</v>
      </c>
      <c r="N569" s="5" t="str">
        <f ca="1">IFERROR(__xludf.DUMMYFUNCTION("""COMPUTED_VALUE"""),"WI")</f>
        <v>WI</v>
      </c>
      <c r="O569" s="5" t="str">
        <f ca="1">IFERROR(__xludf.DUMMYFUNCTION("""COMPUTED_VALUE"""),"High")</f>
        <v>High</v>
      </c>
      <c r="P569" s="5" t="str">
        <f ca="1">IFERROR(__xludf.DUMMYFUNCTION("""COMPUTED_VALUE"""),"Hallway")</f>
        <v>Hallway</v>
      </c>
      <c r="Q569" s="5" t="str">
        <f ca="1">IFERROR(__xludf.DUMMYFUNCTION("""COMPUTED_VALUE"""),"Inside School Building")</f>
        <v>Inside School Building</v>
      </c>
      <c r="R569" s="5" t="str">
        <f ca="1">IFERROR(__xludf.DUMMYFUNCTION("""COMPUTED_VALUE"""),"Yes")</f>
        <v>Yes</v>
      </c>
      <c r="S569" s="5" t="str">
        <f ca="1">IFERROR(__xludf.DUMMYFUNCTION("""COMPUTED_VALUE"""),"Morning Classes")</f>
        <v>Morning Classes</v>
      </c>
      <c r="T569" s="10">
        <f ca="1">IFERROR(__xludf.DUMMYFUNCTION("""COMPUTED_VALUE"""),0.383333333333333)</f>
        <v>0.38333333333333303</v>
      </c>
      <c r="U569" s="5">
        <f ca="1">IFERROR(__xludf.DUMMYFUNCTION("""COMPUTED_VALUE"""),1)</f>
        <v>1</v>
      </c>
      <c r="V569" s="5" t="str">
        <f ca="1">IFERROR(__xludf.DUMMYFUNCTION("""COMPUTED_VALUE"""),"SRO fired at student who stabbed him with edged weapon")</f>
        <v>SRO fired at student who stabbed him with edged weapon</v>
      </c>
      <c r="W569"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X569" s="5" t="str">
        <f ca="1">IFERROR(__xludf.DUMMYFUNCTION("""COMPUTED_VALUE"""),"Self-defense")</f>
        <v>Self-defense</v>
      </c>
      <c r="Y569" s="5" t="str">
        <f ca="1">IFERROR(__xludf.DUMMYFUNCTION("""COMPUTED_VALUE"""),"NA")</f>
        <v>NA</v>
      </c>
      <c r="Z569" s="5" t="str">
        <f ca="1">IFERROR(__xludf.DUMMYFUNCTION("""COMPUTED_VALUE"""),"No")</f>
        <v>No</v>
      </c>
      <c r="AA569" s="5"/>
      <c r="AB569" s="5" t="str">
        <f ca="1">IFERROR(__xludf.DUMMYFUNCTION("""COMPUTED_VALUE"""),"No")</f>
        <v>No</v>
      </c>
      <c r="AC569" s="5" t="str">
        <f ca="1">IFERROR(__xludf.DUMMYFUNCTION("""COMPUTED_VALUE"""),"No")</f>
        <v>No</v>
      </c>
      <c r="AD569" s="5" t="str">
        <f ca="1">IFERROR(__xludf.DUMMYFUNCTION("""COMPUTED_VALUE"""),"Yes")</f>
        <v>Yes</v>
      </c>
      <c r="AE569" s="5"/>
      <c r="AF569" s="5"/>
      <c r="AG569" s="5"/>
      <c r="AH569" s="5"/>
    </row>
    <row r="570" spans="1:34" ht="12.75">
      <c r="A570" s="5" t="str">
        <f ca="1">IFERROR(__xludf.DUMMYFUNCTION("""COMPUTED_VALUE"""),"20191202WIWAW")</f>
        <v>20191202WIWAW</v>
      </c>
      <c r="B570" s="8">
        <f ca="1">IFERROR(__xludf.DUMMYFUNCTION("""COMPUTED_VALUE"""),43801)</f>
        <v>43801</v>
      </c>
      <c r="C570" s="5" t="str">
        <f ca="1">IFERROR(__xludf.DUMMYFUNCTION("""COMPUTED_VALUE"""),"Waukesha South High School")</f>
        <v>Waukesha South High School</v>
      </c>
      <c r="D570" s="5">
        <f ca="1">IFERROR(__xludf.DUMMYFUNCTION("""COMPUTED_VALUE"""),0)</f>
        <v>0</v>
      </c>
      <c r="E570" s="5">
        <f ca="1">IFERROR(__xludf.DUMMYFUNCTION("""COMPUTED_VALUE"""),0)</f>
        <v>0</v>
      </c>
      <c r="F570" s="5">
        <f ca="1">IFERROR(__xludf.DUMMYFUNCTION("""COMPUTED_VALUE"""),0)</f>
        <v>0</v>
      </c>
      <c r="G570" s="5">
        <f ca="1">IFERROR(__xludf.DUMMYFUNCTION("""COMPUTED_VALUE"""),0)</f>
        <v>0</v>
      </c>
      <c r="H570"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I570" s="5"/>
      <c r="J570" s="5" t="str">
        <f ca="1">IFERROR(__xludf.DUMMYFUNCTION("""COMPUTED_VALUE"""),"Local")</f>
        <v>Local</v>
      </c>
      <c r="K570" s="5">
        <f ca="1">IFERROR(__xludf.DUMMYFUNCTION("""COMPUTED_VALUE"""),5)</f>
        <v>5</v>
      </c>
      <c r="L570" s="5" t="str">
        <f ca="1">IFERROR(__xludf.DUMMYFUNCTION("""COMPUTED_VALUE"""),"Winter")</f>
        <v>Winter</v>
      </c>
      <c r="M570" s="5" t="str">
        <f ca="1">IFERROR(__xludf.DUMMYFUNCTION("""COMPUTED_VALUE"""),"Waukesha")</f>
        <v>Waukesha</v>
      </c>
      <c r="N570" s="5" t="str">
        <f ca="1">IFERROR(__xludf.DUMMYFUNCTION("""COMPUTED_VALUE"""),"WI")</f>
        <v>WI</v>
      </c>
      <c r="O570" s="5" t="str">
        <f ca="1">IFERROR(__xludf.DUMMYFUNCTION("""COMPUTED_VALUE"""),"High")</f>
        <v>High</v>
      </c>
      <c r="P570" s="5" t="str">
        <f ca="1">IFERROR(__xludf.DUMMYFUNCTION("""COMPUTED_VALUE"""),"Classroom")</f>
        <v>Classroom</v>
      </c>
      <c r="Q570" s="5" t="str">
        <f ca="1">IFERROR(__xludf.DUMMYFUNCTION("""COMPUTED_VALUE"""),"Inside School Building")</f>
        <v>Inside School Building</v>
      </c>
      <c r="R570" s="5" t="str">
        <f ca="1">IFERROR(__xludf.DUMMYFUNCTION("""COMPUTED_VALUE"""),"Yes")</f>
        <v>Yes</v>
      </c>
      <c r="S570" s="5" t="str">
        <f ca="1">IFERROR(__xludf.DUMMYFUNCTION("""COMPUTED_VALUE"""),"Morning Classes")</f>
        <v>Morning Classes</v>
      </c>
      <c r="T570" s="10">
        <f ca="1">IFERROR(__xludf.DUMMYFUNCTION("""COMPUTED_VALUE"""),0.421527777777777)</f>
        <v>0.421527777777777</v>
      </c>
      <c r="U570" s="5"/>
      <c r="V570" s="5" t="str">
        <f ca="1">IFERROR(__xludf.DUMMYFUNCTION("""COMPUTED_VALUE"""),"Armed student shot by police officer in classroom during attempted negotiation")</f>
        <v>Armed student shot by police officer in classroom during attempted negotiation</v>
      </c>
      <c r="W570"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X570" s="5" t="str">
        <f ca="1">IFERROR(__xludf.DUMMYFUNCTION("""COMPUTED_VALUE"""),"Bullying")</f>
        <v>Bullying</v>
      </c>
      <c r="Y570" s="5"/>
      <c r="Z570" s="5" t="str">
        <f ca="1">IFERROR(__xludf.DUMMYFUNCTION("""COMPUTED_VALUE"""),"No")</f>
        <v>No</v>
      </c>
      <c r="AA570" s="5"/>
      <c r="AB570" s="5" t="str">
        <f ca="1">IFERROR(__xludf.DUMMYFUNCTION("""COMPUTED_VALUE"""),"No")</f>
        <v>No</v>
      </c>
      <c r="AC570" s="5" t="str">
        <f ca="1">IFERROR(__xludf.DUMMYFUNCTION("""COMPUTED_VALUE"""),"No")</f>
        <v>No</v>
      </c>
      <c r="AD570" s="5" t="str">
        <f ca="1">IFERROR(__xludf.DUMMYFUNCTION("""COMPUTED_VALUE"""),"No")</f>
        <v>No</v>
      </c>
      <c r="AE570" s="5"/>
      <c r="AF570" s="5" t="str">
        <f ca="1">IFERROR(__xludf.DUMMYFUNCTION("""COMPUTED_VALUE"""),"No")</f>
        <v>No</v>
      </c>
      <c r="AG570" s="5" t="str">
        <f ca="1">IFERROR(__xludf.DUMMYFUNCTION("""COMPUTED_VALUE"""),"No")</f>
        <v>No</v>
      </c>
      <c r="AH570" s="5" t="str">
        <f ca="1">IFERROR(__xludf.DUMMYFUNCTION("""COMPUTED_VALUE"""),"No")</f>
        <v>No</v>
      </c>
    </row>
    <row r="571" spans="1:34" ht="12.75">
      <c r="A571" s="5" t="str">
        <f ca="1">IFERROR(__xludf.DUMMYFUNCTION("""COMPUTED_VALUE"""),"20191201ALMOM")</f>
        <v>20191201ALMOM</v>
      </c>
      <c r="B571" s="8">
        <f ca="1">IFERROR(__xludf.DUMMYFUNCTION("""COMPUTED_VALUE"""),43800)</f>
        <v>43800</v>
      </c>
      <c r="C571" s="5" t="str">
        <f ca="1">IFERROR(__xludf.DUMMYFUNCTION("""COMPUTED_VALUE"""),"Mountain Brook High School")</f>
        <v>Mountain Brook High School</v>
      </c>
      <c r="D571" s="5">
        <f ca="1">IFERROR(__xludf.DUMMYFUNCTION("""COMPUTED_VALUE"""),1)</f>
        <v>1</v>
      </c>
      <c r="E571" s="5">
        <f ca="1">IFERROR(__xludf.DUMMYFUNCTION("""COMPUTED_VALUE"""),0)</f>
        <v>0</v>
      </c>
      <c r="F571" s="5">
        <f ca="1">IFERROR(__xludf.DUMMYFUNCTION("""COMPUTED_VALUE"""),1)</f>
        <v>1</v>
      </c>
      <c r="G571" s="5">
        <f ca="1">IFERROR(__xludf.DUMMYFUNCTION("""COMPUTED_VALUE"""),0)</f>
        <v>0</v>
      </c>
      <c r="H571" s="9" t="str">
        <f ca="1">IFERROR(__xludf.DUMMYFUNCTION("""COMPUTED_VALUE"""),"https://www.wvtm13.com/article/mountain-brook-homicide-woman-found-dead-parking-lot-megan-montgomery/30065595")</f>
        <v>https://www.wvtm13.com/article/mountain-brook-homicide-woman-found-dead-parking-lot-megan-montgomery/30065595</v>
      </c>
      <c r="I571" s="5"/>
      <c r="J571" s="5"/>
      <c r="K571" s="5">
        <f ca="1">IFERROR(__xludf.DUMMYFUNCTION("""COMPUTED_VALUE"""),4)</f>
        <v>4</v>
      </c>
      <c r="L571" s="5" t="str">
        <f ca="1">IFERROR(__xludf.DUMMYFUNCTION("""COMPUTED_VALUE"""),"Winter")</f>
        <v>Winter</v>
      </c>
      <c r="M571" s="5" t="str">
        <f ca="1">IFERROR(__xludf.DUMMYFUNCTION("""COMPUTED_VALUE"""),"Mountain Brook")</f>
        <v>Mountain Brook</v>
      </c>
      <c r="N571" s="5" t="str">
        <f ca="1">IFERROR(__xludf.DUMMYFUNCTION("""COMPUTED_VALUE"""),"AL")</f>
        <v>AL</v>
      </c>
      <c r="O571" s="5" t="str">
        <f ca="1">IFERROR(__xludf.DUMMYFUNCTION("""COMPUTED_VALUE"""),"High")</f>
        <v>High</v>
      </c>
      <c r="P571" s="5" t="str">
        <f ca="1">IFERROR(__xludf.DUMMYFUNCTION("""COMPUTED_VALUE"""),"Parking Lot")</f>
        <v>Parking Lot</v>
      </c>
      <c r="Q571" s="5" t="str">
        <f ca="1">IFERROR(__xludf.DUMMYFUNCTION("""COMPUTED_VALUE"""),"Outside on School Property")</f>
        <v>Outside on School Property</v>
      </c>
      <c r="R571" s="5" t="str">
        <f ca="1">IFERROR(__xludf.DUMMYFUNCTION("""COMPUTED_VALUE"""),"No")</f>
        <v>No</v>
      </c>
      <c r="S571" s="5" t="str">
        <f ca="1">IFERROR(__xludf.DUMMYFUNCTION("""COMPUTED_VALUE"""),"Night")</f>
        <v>Night</v>
      </c>
      <c r="T571" s="10">
        <f ca="1">IFERROR(__xludf.DUMMYFUNCTION("""COMPUTED_VALUE"""),0.166666666666666)</f>
        <v>0.16666666666666599</v>
      </c>
      <c r="U571" s="5">
        <f ca="1">IFERROR(__xludf.DUMMYFUNCTION("""COMPUTED_VALUE"""),1)</f>
        <v>1</v>
      </c>
      <c r="V571" s="5" t="str">
        <f ca="1">IFERROR(__xludf.DUMMYFUNCTION("""COMPUTED_VALUE"""),"Woman killed during domestic dispute in parking lot")</f>
        <v>Woman killed during domestic dispute in parking lot</v>
      </c>
      <c r="W571"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X571" s="5" t="str">
        <f ca="1">IFERROR(__xludf.DUMMYFUNCTION("""COMPUTED_VALUE"""),"Domestic w/ Targeted Victim")</f>
        <v>Domestic w/ Targeted Victim</v>
      </c>
      <c r="Y571" s="5" t="str">
        <f ca="1">IFERROR(__xludf.DUMMYFUNCTION("""COMPUTED_VALUE"""),"Victims Targeted")</f>
        <v>Victims Targeted</v>
      </c>
      <c r="Z571" s="5" t="str">
        <f ca="1">IFERROR(__xludf.DUMMYFUNCTION("""COMPUTED_VALUE"""),"No")</f>
        <v>No</v>
      </c>
      <c r="AA571" s="5"/>
      <c r="AB571" s="5" t="str">
        <f ca="1">IFERROR(__xludf.DUMMYFUNCTION("""COMPUTED_VALUE"""),"No")</f>
        <v>No</v>
      </c>
      <c r="AC571" s="5" t="str">
        <f ca="1">IFERROR(__xludf.DUMMYFUNCTION("""COMPUTED_VALUE"""),"No")</f>
        <v>No</v>
      </c>
      <c r="AD571" s="5" t="str">
        <f ca="1">IFERROR(__xludf.DUMMYFUNCTION("""COMPUTED_VALUE"""),"No")</f>
        <v>No</v>
      </c>
      <c r="AE571" s="5" t="str">
        <f ca="1">IFERROR(__xludf.DUMMYFUNCTION("""COMPUTED_VALUE"""),"No")</f>
        <v>No</v>
      </c>
      <c r="AF571" s="5" t="str">
        <f ca="1">IFERROR(__xludf.DUMMYFUNCTION("""COMPUTED_VALUE"""),"Yes")</f>
        <v>Yes</v>
      </c>
      <c r="AG571" s="5" t="str">
        <f ca="1">IFERROR(__xludf.DUMMYFUNCTION("""COMPUTED_VALUE"""),"No")</f>
        <v>No</v>
      </c>
      <c r="AH571" s="5" t="str">
        <f ca="1">IFERROR(__xludf.DUMMYFUNCTION("""COMPUTED_VALUE"""),"No")</f>
        <v>No</v>
      </c>
    </row>
    <row r="572" spans="1:34" ht="12.75">
      <c r="A572" s="5" t="str">
        <f ca="1">IFERROR(__xludf.DUMMYFUNCTION("""COMPUTED_VALUE"""),"20191126WASAV")</f>
        <v>20191126WASAV</v>
      </c>
      <c r="B572" s="8">
        <f ca="1">IFERROR(__xludf.DUMMYFUNCTION("""COMPUTED_VALUE"""),43795)</f>
        <v>43795</v>
      </c>
      <c r="C572" s="5" t="str">
        <f ca="1">IFERROR(__xludf.DUMMYFUNCTION("""COMPUTED_VALUE"""),"Sarah J. Anderson Elementary School")</f>
        <v>Sarah J. Anderson Elementary School</v>
      </c>
      <c r="D572" s="5">
        <f ca="1">IFERROR(__xludf.DUMMYFUNCTION("""COMPUTED_VALUE"""),0)</f>
        <v>0</v>
      </c>
      <c r="E572" s="5">
        <f ca="1">IFERROR(__xludf.DUMMYFUNCTION("""COMPUTED_VALUE"""),2)</f>
        <v>2</v>
      </c>
      <c r="F572" s="5">
        <f ca="1">IFERROR(__xludf.DUMMYFUNCTION("""COMPUTED_VALUE"""),2)</f>
        <v>2</v>
      </c>
      <c r="G572" s="5">
        <f ca="1">IFERROR(__xludf.DUMMYFUNCTION("""COMPUTED_VALUE"""),1)</f>
        <v>1</v>
      </c>
      <c r="H572"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I572" s="5"/>
      <c r="J572" s="5"/>
      <c r="K572" s="5">
        <f ca="1">IFERROR(__xludf.DUMMYFUNCTION("""COMPUTED_VALUE"""),4)</f>
        <v>4</v>
      </c>
      <c r="L572" s="5" t="str">
        <f ca="1">IFERROR(__xludf.DUMMYFUNCTION("""COMPUTED_VALUE"""),"Fall")</f>
        <v>Fall</v>
      </c>
      <c r="M572" s="5" t="str">
        <f ca="1">IFERROR(__xludf.DUMMYFUNCTION("""COMPUTED_VALUE"""),"Vancouver")</f>
        <v>Vancouver</v>
      </c>
      <c r="N572" s="5" t="str">
        <f ca="1">IFERROR(__xludf.DUMMYFUNCTION("""COMPUTED_VALUE"""),"WA")</f>
        <v>WA</v>
      </c>
      <c r="O572" s="5" t="str">
        <f ca="1">IFERROR(__xludf.DUMMYFUNCTION("""COMPUTED_VALUE"""),"Elementary")</f>
        <v>Elementary</v>
      </c>
      <c r="P572" s="5" t="str">
        <f ca="1">IFERROR(__xludf.DUMMYFUNCTION("""COMPUTED_VALUE"""),"Parking Lot")</f>
        <v>Parking Lot</v>
      </c>
      <c r="Q572" s="5" t="str">
        <f ca="1">IFERROR(__xludf.DUMMYFUNCTION("""COMPUTED_VALUE"""),"Outside on School Property")</f>
        <v>Outside on School Property</v>
      </c>
      <c r="R572" s="5" t="str">
        <f ca="1">IFERROR(__xludf.DUMMYFUNCTION("""COMPUTED_VALUE"""),"Yes")</f>
        <v>Yes</v>
      </c>
      <c r="S572" s="5" t="str">
        <f ca="1">IFERROR(__xludf.DUMMYFUNCTION("""COMPUTED_VALUE"""),"Dismissal")</f>
        <v>Dismissal</v>
      </c>
      <c r="T572" s="10">
        <f ca="1">IFERROR(__xludf.DUMMYFUNCTION("""COMPUTED_VALUE"""),0.638888888888888)</f>
        <v>0.63888888888888795</v>
      </c>
      <c r="U572" s="5">
        <f ca="1">IFERROR(__xludf.DUMMYFUNCTION("""COMPUTED_VALUE"""),1)</f>
        <v>1</v>
      </c>
      <c r="V572" s="5" t="str">
        <f ca="1">IFERROR(__xludf.DUMMYFUNCTION("""COMPUTED_VALUE"""),"Father shot ex-wife and her mother in vehicle in the school parking lot (3 kids inside the car)")</f>
        <v>Father shot ex-wife and her mother in vehicle in the school parking lot (3 kids inside the car)</v>
      </c>
      <c r="W572"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X572" s="5" t="str">
        <f ca="1">IFERROR(__xludf.DUMMYFUNCTION("""COMPUTED_VALUE"""),"Domestic w/ Targeted Victim")</f>
        <v>Domestic w/ Targeted Victim</v>
      </c>
      <c r="Y572" s="5" t="str">
        <f ca="1">IFERROR(__xludf.DUMMYFUNCTION("""COMPUTED_VALUE"""),"Victims Targeted")</f>
        <v>Victims Targeted</v>
      </c>
      <c r="Z572" s="5" t="str">
        <f ca="1">IFERROR(__xludf.DUMMYFUNCTION("""COMPUTED_VALUE"""),"No")</f>
        <v>No</v>
      </c>
      <c r="AA572" s="5"/>
      <c r="AB572" s="5" t="str">
        <f ca="1">IFERROR(__xludf.DUMMYFUNCTION("""COMPUTED_VALUE"""),"No")</f>
        <v>No</v>
      </c>
      <c r="AC572" s="5" t="str">
        <f ca="1">IFERROR(__xludf.DUMMYFUNCTION("""COMPUTED_VALUE"""),"No")</f>
        <v>No</v>
      </c>
      <c r="AD572" s="5" t="str">
        <f ca="1">IFERROR(__xludf.DUMMYFUNCTION("""COMPUTED_VALUE"""),"No")</f>
        <v>No</v>
      </c>
      <c r="AE572" s="5" t="str">
        <f ca="1">IFERROR(__xludf.DUMMYFUNCTION("""COMPUTED_VALUE"""),"No")</f>
        <v>No</v>
      </c>
      <c r="AF572" s="5" t="str">
        <f ca="1">IFERROR(__xludf.DUMMYFUNCTION("""COMPUTED_VALUE"""),"Yes")</f>
        <v>Yes</v>
      </c>
      <c r="AG572" s="5" t="str">
        <f ca="1">IFERROR(__xludf.DUMMYFUNCTION("""COMPUTED_VALUE"""),"No")</f>
        <v>No</v>
      </c>
      <c r="AH572" s="5" t="str">
        <f ca="1">IFERROR(__xludf.DUMMYFUNCTION("""COMPUTED_VALUE"""),"No")</f>
        <v>No</v>
      </c>
    </row>
    <row r="573" spans="1:34" ht="12.75">
      <c r="A573" s="5" t="str">
        <f ca="1">IFERROR(__xludf.DUMMYFUNCTION("""COMPUTED_VALUE"""),"20191125ILCAC")</f>
        <v>20191125ILCAC</v>
      </c>
      <c r="B573" s="8">
        <f ca="1">IFERROR(__xludf.DUMMYFUNCTION("""COMPUTED_VALUE"""),43794)</f>
        <v>43794</v>
      </c>
      <c r="C573" s="5" t="str">
        <f ca="1">IFERROR(__xludf.DUMMYFUNCTION("""COMPUTED_VALUE"""),"Catalyst Circle Rock Charter School")</f>
        <v>Catalyst Circle Rock Charter School</v>
      </c>
      <c r="D573" s="5">
        <f ca="1">IFERROR(__xludf.DUMMYFUNCTION("""COMPUTED_VALUE"""),0)</f>
        <v>0</v>
      </c>
      <c r="E573" s="5">
        <f ca="1">IFERROR(__xludf.DUMMYFUNCTION("""COMPUTED_VALUE"""),1)</f>
        <v>1</v>
      </c>
      <c r="F573" s="5">
        <f ca="1">IFERROR(__xludf.DUMMYFUNCTION("""COMPUTED_VALUE"""),1)</f>
        <v>1</v>
      </c>
      <c r="G573" s="5">
        <f ca="1">IFERROR(__xludf.DUMMYFUNCTION("""COMPUTED_VALUE"""),0)</f>
        <v>0</v>
      </c>
      <c r="H573" s="9" t="str">
        <f ca="1">IFERROR(__xludf.DUMMYFUNCTION("""COMPUTED_VALUE"""),"https://abc7chicago.com/1-shot-outside-school-in-austin/5717900/")</f>
        <v>https://abc7chicago.com/1-shot-outside-school-in-austin/5717900/</v>
      </c>
      <c r="I573" s="5"/>
      <c r="J573" s="5"/>
      <c r="K573" s="5">
        <f ca="1">IFERROR(__xludf.DUMMYFUNCTION("""COMPUTED_VALUE"""),3)</f>
        <v>3</v>
      </c>
      <c r="L573" s="5" t="str">
        <f ca="1">IFERROR(__xludf.DUMMYFUNCTION("""COMPUTED_VALUE"""),"Fall")</f>
        <v>Fall</v>
      </c>
      <c r="M573" s="5" t="str">
        <f ca="1">IFERROR(__xludf.DUMMYFUNCTION("""COMPUTED_VALUE"""),"Chicago")</f>
        <v>Chicago</v>
      </c>
      <c r="N573" s="5" t="str">
        <f ca="1">IFERROR(__xludf.DUMMYFUNCTION("""COMPUTED_VALUE"""),"IL")</f>
        <v>IL</v>
      </c>
      <c r="O573" s="5" t="str">
        <f ca="1">IFERROR(__xludf.DUMMYFUNCTION("""COMPUTED_VALUE"""),"Elementary")</f>
        <v>Elementary</v>
      </c>
      <c r="P573" s="5" t="str">
        <f ca="1">IFERROR(__xludf.DUMMYFUNCTION("""COMPUTED_VALUE"""),"Front of School")</f>
        <v>Front of School</v>
      </c>
      <c r="Q573" s="5" t="str">
        <f ca="1">IFERROR(__xludf.DUMMYFUNCTION("""COMPUTED_VALUE"""),"Both Inside/Outside")</f>
        <v>Both Inside/Outside</v>
      </c>
      <c r="R573" s="5" t="str">
        <f ca="1">IFERROR(__xludf.DUMMYFUNCTION("""COMPUTED_VALUE"""),"Yes")</f>
        <v>Yes</v>
      </c>
      <c r="S573" s="5" t="str">
        <f ca="1">IFERROR(__xludf.DUMMYFUNCTION("""COMPUTED_VALUE"""),"School Start")</f>
        <v>School Start</v>
      </c>
      <c r="T573" s="10">
        <f ca="1">IFERROR(__xludf.DUMMYFUNCTION("""COMPUTED_VALUE"""),0.333333333333333)</f>
        <v>0.33333333333333298</v>
      </c>
      <c r="U573" s="5">
        <f ca="1">IFERROR(__xludf.DUMMYFUNCTION("""COMPUTED_VALUE"""),1)</f>
        <v>1</v>
      </c>
      <c r="V573" s="5" t="str">
        <f ca="1">IFERROR(__xludf.DUMMYFUNCTION("""COMPUTED_VALUE"""),"37 YOM shot outside of school while students were outside, went into school for assistance")</f>
        <v>37 YOM shot outside of school while students were outside, went into school for assistance</v>
      </c>
      <c r="W573"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X573" s="5" t="str">
        <f ca="1">IFERROR(__xludf.DUMMYFUNCTION("""COMPUTED_VALUE"""),"Unknown")</f>
        <v>Unknown</v>
      </c>
      <c r="Y573" s="5" t="str">
        <f ca="1">IFERROR(__xludf.DUMMYFUNCTION("""COMPUTED_VALUE"""),"Victims Targeted")</f>
        <v>Victims Targeted</v>
      </c>
      <c r="Z573" s="5"/>
      <c r="AA573" s="5"/>
      <c r="AB573" s="5" t="str">
        <f ca="1">IFERROR(__xludf.DUMMYFUNCTION("""COMPUTED_VALUE"""),"No")</f>
        <v>No</v>
      </c>
      <c r="AC573" s="5" t="str">
        <f ca="1">IFERROR(__xludf.DUMMYFUNCTION("""COMPUTED_VALUE"""),"No")</f>
        <v>No</v>
      </c>
      <c r="AD573" s="5" t="str">
        <f ca="1">IFERROR(__xludf.DUMMYFUNCTION("""COMPUTED_VALUE"""),"No")</f>
        <v>No</v>
      </c>
      <c r="AE573" s="5" t="str">
        <f ca="1">IFERROR(__xludf.DUMMYFUNCTION("""COMPUTED_VALUE"""),"No")</f>
        <v>No</v>
      </c>
      <c r="AF573" s="5" t="str">
        <f ca="1">IFERROR(__xludf.DUMMYFUNCTION("""COMPUTED_VALUE"""),"No")</f>
        <v>No</v>
      </c>
      <c r="AG573" s="5"/>
      <c r="AH573" s="5" t="str">
        <f ca="1">IFERROR(__xludf.DUMMYFUNCTION("""COMPUTED_VALUE"""),"No")</f>
        <v>No</v>
      </c>
    </row>
    <row r="574" spans="1:34" ht="12.75">
      <c r="A574" s="5" t="str">
        <f ca="1">IFERROR(__xludf.DUMMYFUNCTION("""COMPUTED_VALUE"""),"20191124CASEU")</f>
        <v>20191124CASEU</v>
      </c>
      <c r="B574" s="8">
        <f ca="1">IFERROR(__xludf.DUMMYFUNCTION("""COMPUTED_VALUE"""),43793)</f>
        <v>43793</v>
      </c>
      <c r="C574" s="5" t="str">
        <f ca="1">IFERROR(__xludf.DUMMYFUNCTION("""COMPUTED_VALUE"""),"Searles Elementary School")</f>
        <v>Searles Elementary School</v>
      </c>
      <c r="D574" s="5">
        <f ca="1">IFERROR(__xludf.DUMMYFUNCTION("""COMPUTED_VALUE"""),2)</f>
        <v>2</v>
      </c>
      <c r="E574" s="5">
        <f ca="1">IFERROR(__xludf.DUMMYFUNCTION("""COMPUTED_VALUE"""),0)</f>
        <v>0</v>
      </c>
      <c r="F574" s="5">
        <f ca="1">IFERROR(__xludf.DUMMYFUNCTION("""COMPUTED_VALUE"""),2)</f>
        <v>2</v>
      </c>
      <c r="G574" s="5">
        <f ca="1">IFERROR(__xludf.DUMMYFUNCTION("""COMPUTED_VALUE"""),0)</f>
        <v>0</v>
      </c>
      <c r="H574"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I574" s="5"/>
      <c r="J574" s="5" t="str">
        <f ca="1">IFERROR(__xludf.DUMMYFUNCTION("""COMPUTED_VALUE"""),"National")</f>
        <v>National</v>
      </c>
      <c r="K574" s="5">
        <f ca="1">IFERROR(__xludf.DUMMYFUNCTION("""COMPUTED_VALUE"""),4)</f>
        <v>4</v>
      </c>
      <c r="L574" s="5" t="str">
        <f ca="1">IFERROR(__xludf.DUMMYFUNCTION("""COMPUTED_VALUE"""),"Fall")</f>
        <v>Fall</v>
      </c>
      <c r="M574" s="5" t="str">
        <f ca="1">IFERROR(__xludf.DUMMYFUNCTION("""COMPUTED_VALUE"""),"Union City")</f>
        <v>Union City</v>
      </c>
      <c r="N574" s="5" t="str">
        <f ca="1">IFERROR(__xludf.DUMMYFUNCTION("""COMPUTED_VALUE"""),"CA")</f>
        <v>CA</v>
      </c>
      <c r="O574" s="5" t="str">
        <f ca="1">IFERROR(__xludf.DUMMYFUNCTION("""COMPUTED_VALUE"""),"Elementary")</f>
        <v>Elementary</v>
      </c>
      <c r="P574" s="5" t="str">
        <f ca="1">IFERROR(__xludf.DUMMYFUNCTION("""COMPUTED_VALUE"""),"Parking Lot")</f>
        <v>Parking Lot</v>
      </c>
      <c r="Q574" s="5" t="str">
        <f ca="1">IFERROR(__xludf.DUMMYFUNCTION("""COMPUTED_VALUE"""),"Outside on School Property")</f>
        <v>Outside on School Property</v>
      </c>
      <c r="R574" s="5" t="str">
        <f ca="1">IFERROR(__xludf.DUMMYFUNCTION("""COMPUTED_VALUE"""),"No")</f>
        <v>No</v>
      </c>
      <c r="S574" s="5" t="str">
        <f ca="1">IFERROR(__xludf.DUMMYFUNCTION("""COMPUTED_VALUE"""),"Night")</f>
        <v>Night</v>
      </c>
      <c r="T574" s="10">
        <f ca="1">IFERROR(__xludf.DUMMYFUNCTION("""COMPUTED_VALUE"""),0.0597222222222222)</f>
        <v>5.9722222222222197E-2</v>
      </c>
      <c r="U574" s="5">
        <f ca="1">IFERROR(__xludf.DUMMYFUNCTION("""COMPUTED_VALUE"""),1)</f>
        <v>1</v>
      </c>
      <c r="V574" s="5" t="str">
        <f ca="1">IFERROR(__xludf.DUMMYFUNCTION("""COMPUTED_VALUE"""),"2 boys sitting inside van were shot and killed in school parking lot")</f>
        <v>2 boys sitting inside van were shot and killed in school parking lot</v>
      </c>
      <c r="W574"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X574" s="5" t="str">
        <f ca="1">IFERROR(__xludf.DUMMYFUNCTION("""COMPUTED_VALUE"""),"Illegal Activity")</f>
        <v>Illegal Activity</v>
      </c>
      <c r="Y574" s="5" t="str">
        <f ca="1">IFERROR(__xludf.DUMMYFUNCTION("""COMPUTED_VALUE"""),"Random Shooting")</f>
        <v>Random Shooting</v>
      </c>
      <c r="Z574" s="5" t="str">
        <f ca="1">IFERROR(__xludf.DUMMYFUNCTION("""COMPUTED_VALUE"""),"Yes")</f>
        <v>Yes</v>
      </c>
      <c r="AA574" s="5" t="str">
        <f ca="1">IFERROR(__xludf.DUMMYFUNCTION("""COMPUTED_VALUE"""),"3 arrested and charged with murder")</f>
        <v>3 arrested and charged with murder</v>
      </c>
      <c r="AB574" s="5" t="str">
        <f ca="1">IFERROR(__xludf.DUMMYFUNCTION("""COMPUTED_VALUE"""),"No")</f>
        <v>No</v>
      </c>
      <c r="AC574" s="5" t="str">
        <f ca="1">IFERROR(__xludf.DUMMYFUNCTION("""COMPUTED_VALUE"""),"No")</f>
        <v>No</v>
      </c>
      <c r="AD574" s="5" t="str">
        <f ca="1">IFERROR(__xludf.DUMMYFUNCTION("""COMPUTED_VALUE"""),"No")</f>
        <v>No</v>
      </c>
      <c r="AE574" s="5" t="str">
        <f ca="1">IFERROR(__xludf.DUMMYFUNCTION("""COMPUTED_VALUE"""),"No")</f>
        <v>No</v>
      </c>
      <c r="AF574" s="5" t="str">
        <f ca="1">IFERROR(__xludf.DUMMYFUNCTION("""COMPUTED_VALUE"""),"No")</f>
        <v>No</v>
      </c>
      <c r="AG574" s="5" t="str">
        <f ca="1">IFERROR(__xludf.DUMMYFUNCTION("""COMPUTED_VALUE"""),"Yes")</f>
        <v>Yes</v>
      </c>
      <c r="AH574" s="5" t="str">
        <f ca="1">IFERROR(__xludf.DUMMYFUNCTION("""COMPUTED_VALUE"""),"No")</f>
        <v>No</v>
      </c>
    </row>
    <row r="575" spans="1:34" ht="12.75">
      <c r="A575" s="5" t="str">
        <f ca="1">IFERROR(__xludf.DUMMYFUNCTION("""COMPUTED_VALUE"""),"20191121ILRIO")</f>
        <v>20191121ILRIO</v>
      </c>
      <c r="B575" s="8">
        <f ca="1">IFERROR(__xludf.DUMMYFUNCTION("""COMPUTED_VALUE"""),43790)</f>
        <v>43790</v>
      </c>
      <c r="C575" s="5" t="str">
        <f ca="1">IFERROR(__xludf.DUMMYFUNCTION("""COMPUTED_VALUE"""),"Rich Central High School")</f>
        <v>Rich Central High School</v>
      </c>
      <c r="D575" s="5">
        <f ca="1">IFERROR(__xludf.DUMMYFUNCTION("""COMPUTED_VALUE"""),0)</f>
        <v>0</v>
      </c>
      <c r="E575" s="5">
        <f ca="1">IFERROR(__xludf.DUMMYFUNCTION("""COMPUTED_VALUE"""),1)</f>
        <v>1</v>
      </c>
      <c r="F575" s="5">
        <f ca="1">IFERROR(__xludf.DUMMYFUNCTION("""COMPUTED_VALUE"""),1)</f>
        <v>1</v>
      </c>
      <c r="G575" s="5">
        <f ca="1">IFERROR(__xludf.DUMMYFUNCTION("""COMPUTED_VALUE"""),0)</f>
        <v>0</v>
      </c>
      <c r="H575" s="9" t="str">
        <f ca="1">IFERROR(__xludf.DUMMYFUNCTION("""COMPUTED_VALUE"""),"https://abc7chicago.com/rich-central-student-charged-after-pellet-hits-school-bus-injuring-another-student/5713973/")</f>
        <v>https://abc7chicago.com/rich-central-student-charged-after-pellet-hits-school-bus-injuring-another-student/5713973/</v>
      </c>
      <c r="I575" s="5"/>
      <c r="J575" s="5"/>
      <c r="K575" s="5">
        <f ca="1">IFERROR(__xludf.DUMMYFUNCTION("""COMPUTED_VALUE"""),4)</f>
        <v>4</v>
      </c>
      <c r="L575" s="5" t="str">
        <f ca="1">IFERROR(__xludf.DUMMYFUNCTION("""COMPUTED_VALUE"""),"Fall")</f>
        <v>Fall</v>
      </c>
      <c r="M575" s="5" t="str">
        <f ca="1">IFERROR(__xludf.DUMMYFUNCTION("""COMPUTED_VALUE"""),"Olympia Fields")</f>
        <v>Olympia Fields</v>
      </c>
      <c r="N575" s="5" t="str">
        <f ca="1">IFERROR(__xludf.DUMMYFUNCTION("""COMPUTED_VALUE"""),"IL")</f>
        <v>IL</v>
      </c>
      <c r="O575" s="5" t="str">
        <f ca="1">IFERROR(__xludf.DUMMYFUNCTION("""COMPUTED_VALUE"""),"High")</f>
        <v>High</v>
      </c>
      <c r="P575" s="5" t="str">
        <f ca="1">IFERROR(__xludf.DUMMYFUNCTION("""COMPUTED_VALUE"""),"Parking Lot (Bus)")</f>
        <v>Parking Lot (Bus)</v>
      </c>
      <c r="Q575" s="5" t="str">
        <f ca="1">IFERROR(__xludf.DUMMYFUNCTION("""COMPUTED_VALUE"""),"Outside on School Property")</f>
        <v>Outside on School Property</v>
      </c>
      <c r="R575" s="5" t="str">
        <f ca="1">IFERROR(__xludf.DUMMYFUNCTION("""COMPUTED_VALUE"""),"Yes")</f>
        <v>Yes</v>
      </c>
      <c r="S575" s="5" t="str">
        <f ca="1">IFERROR(__xludf.DUMMYFUNCTION("""COMPUTED_VALUE"""),"Dismissal")</f>
        <v>Dismissal</v>
      </c>
      <c r="T575" s="10">
        <f ca="1">IFERROR(__xludf.DUMMYFUNCTION("""COMPUTED_VALUE"""),0.625)</f>
        <v>0.625</v>
      </c>
      <c r="U575" s="5">
        <f ca="1">IFERROR(__xludf.DUMMYFUNCTION("""COMPUTED_VALUE"""),1)</f>
        <v>1</v>
      </c>
      <c r="V575" s="5" t="str">
        <f ca="1">IFERROR(__xludf.DUMMYFUNCTION("""COMPUTED_VALUE"""),"Student fired pellet gun at bus window injuring student inside")</f>
        <v>Student fired pellet gun at bus window injuring student inside</v>
      </c>
      <c r="W575"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X575" s="5" t="str">
        <f ca="1">IFERROR(__xludf.DUMMYFUNCTION("""COMPUTED_VALUE"""),"Intentional Property Damage")</f>
        <v>Intentional Property Damage</v>
      </c>
      <c r="Y575" s="5" t="str">
        <f ca="1">IFERROR(__xludf.DUMMYFUNCTION("""COMPUTED_VALUE"""),"Random Shooting")</f>
        <v>Random Shooting</v>
      </c>
      <c r="Z575" s="5" t="str">
        <f ca="1">IFERROR(__xludf.DUMMYFUNCTION("""COMPUTED_VALUE"""),"No")</f>
        <v>No</v>
      </c>
      <c r="AA575" s="5"/>
      <c r="AB575" s="5" t="str">
        <f ca="1">IFERROR(__xludf.DUMMYFUNCTION("""COMPUTED_VALUE"""),"No")</f>
        <v>No</v>
      </c>
      <c r="AC575" s="5" t="str">
        <f ca="1">IFERROR(__xludf.DUMMYFUNCTION("""COMPUTED_VALUE"""),"No")</f>
        <v>No</v>
      </c>
      <c r="AD575" s="5" t="str">
        <f ca="1">IFERROR(__xludf.DUMMYFUNCTION("""COMPUTED_VALUE"""),"No")</f>
        <v>No</v>
      </c>
      <c r="AE575" s="5" t="str">
        <f ca="1">IFERROR(__xludf.DUMMYFUNCTION("""COMPUTED_VALUE"""),"No")</f>
        <v>No</v>
      </c>
      <c r="AF575" s="5" t="str">
        <f ca="1">IFERROR(__xludf.DUMMYFUNCTION("""COMPUTED_VALUE"""),"No")</f>
        <v>No</v>
      </c>
      <c r="AG575" s="5" t="str">
        <f ca="1">IFERROR(__xludf.DUMMYFUNCTION("""COMPUTED_VALUE"""),"No")</f>
        <v>No</v>
      </c>
      <c r="AH575" s="5" t="str">
        <f ca="1">IFERROR(__xludf.DUMMYFUNCTION("""COMPUTED_VALUE"""),"No")</f>
        <v>No</v>
      </c>
    </row>
    <row r="576" spans="1:34" ht="12.75">
      <c r="A576" s="5" t="str">
        <f ca="1">IFERROR(__xludf.DUMMYFUNCTION("""COMPUTED_VALUE"""),"20191115NJPLP")</f>
        <v>20191115NJPLP</v>
      </c>
      <c r="B576" s="8">
        <f ca="1">IFERROR(__xludf.DUMMYFUNCTION("""COMPUTED_VALUE"""),43784)</f>
        <v>43784</v>
      </c>
      <c r="C576" s="5" t="str">
        <f ca="1">IFERROR(__xludf.DUMMYFUNCTION("""COMPUTED_VALUE"""),"Pleasantville High School")</f>
        <v>Pleasantville High School</v>
      </c>
      <c r="D576" s="5">
        <f ca="1">IFERROR(__xludf.DUMMYFUNCTION("""COMPUTED_VALUE"""),1)</f>
        <v>1</v>
      </c>
      <c r="E576" s="5">
        <f ca="1">IFERROR(__xludf.DUMMYFUNCTION("""COMPUTED_VALUE"""),2)</f>
        <v>2</v>
      </c>
      <c r="F576" s="5">
        <f ca="1">IFERROR(__xludf.DUMMYFUNCTION("""COMPUTED_VALUE"""),3)</f>
        <v>3</v>
      </c>
      <c r="G576" s="5">
        <f ca="1">IFERROR(__xludf.DUMMYFUNCTION("""COMPUTED_VALUE"""),0)</f>
        <v>0</v>
      </c>
      <c r="H576" s="5" t="str">
        <f ca="1">IFERROR(__xludf.DUMMYFUNCTION("""COMPUTED_VALUE"""),"https://www.nbcphiladelphia.com/news/local/Gunfire-Breaks-Out-at-High-School-Football-Game-Between-Camden-Pleasantville-565018992.html https://metro.co.uk/2019/11/16/arrests-after-mass-shooting-leaves-10-year-old-boy-in-critical-condition-11168500/ https:"&amp;"//abcnews.go.com/US/injured-shooting-jersey-high-school-football-game/story?id=67062410 https://www.cnn.com/2019/11/16/us/new-jersey-football-game-shooting/index.html https://www.nytimes.com/2019/11/20/us/pleasantville-nj-high-school-shooting.html https:/"&amp;"/philadelphia.cbslocal.com/2020/07/14/officials-atlantic-city-man-pleads-guilty-in-connection-to-shooting-at-high-school-football-game-that-led-to-death-of-10-year-old-michah-tennant/")</f>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I576" s="5"/>
      <c r="J576" s="5"/>
      <c r="K576" s="5">
        <f ca="1">IFERROR(__xludf.DUMMYFUNCTION("""COMPUTED_VALUE"""),4)</f>
        <v>4</v>
      </c>
      <c r="L576" s="5" t="str">
        <f ca="1">IFERROR(__xludf.DUMMYFUNCTION("""COMPUTED_VALUE"""),"Fall")</f>
        <v>Fall</v>
      </c>
      <c r="M576" s="5" t="str">
        <f ca="1">IFERROR(__xludf.DUMMYFUNCTION("""COMPUTED_VALUE"""),"Pleasantville")</f>
        <v>Pleasantville</v>
      </c>
      <c r="N576" s="5" t="str">
        <f ca="1">IFERROR(__xludf.DUMMYFUNCTION("""COMPUTED_VALUE"""),"NJ")</f>
        <v>NJ</v>
      </c>
      <c r="O576" s="5" t="str">
        <f ca="1">IFERROR(__xludf.DUMMYFUNCTION("""COMPUTED_VALUE"""),"High")</f>
        <v>High</v>
      </c>
      <c r="P576" s="5" t="str">
        <f ca="1">IFERROR(__xludf.DUMMYFUNCTION("""COMPUTED_VALUE"""),"Football Field/Track")</f>
        <v>Football Field/Track</v>
      </c>
      <c r="Q576" s="5" t="str">
        <f ca="1">IFERROR(__xludf.DUMMYFUNCTION("""COMPUTED_VALUE"""),"Outside on School Property")</f>
        <v>Outside on School Property</v>
      </c>
      <c r="R576" s="5" t="str">
        <f ca="1">IFERROR(__xludf.DUMMYFUNCTION("""COMPUTED_VALUE"""),"No")</f>
        <v>No</v>
      </c>
      <c r="S576" s="5" t="str">
        <f ca="1">IFERROR(__xludf.DUMMYFUNCTION("""COMPUTED_VALUE"""),"Sport Event")</f>
        <v>Sport Event</v>
      </c>
      <c r="T576" s="10">
        <f ca="1">IFERROR(__xludf.DUMMYFUNCTION("""COMPUTED_VALUE"""),0.895833333333333)</f>
        <v>0.89583333333333304</v>
      </c>
      <c r="U576" s="5">
        <f ca="1">IFERROR(__xludf.DUMMYFUNCTION("""COMPUTED_VALUE"""),1)</f>
        <v>1</v>
      </c>
      <c r="V576" s="5" t="str">
        <f ca="1">IFERROR(__xludf.DUMMYFUNCTION("""COMPUTED_VALUE"""),"Targeted shooting at football game, missed target and stuck 3 bystanders in the stands")</f>
        <v>Targeted shooting at football game, missed target and stuck 3 bystanders in the stands</v>
      </c>
      <c r="W576"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X576" s="5" t="str">
        <f ca="1">IFERROR(__xludf.DUMMYFUNCTION("""COMPUTED_VALUE"""),"Unknown")</f>
        <v>Unknown</v>
      </c>
      <c r="Y576" s="5" t="str">
        <f ca="1">IFERROR(__xludf.DUMMYFUNCTION("""COMPUTED_VALUE"""),"Both")</f>
        <v>Both</v>
      </c>
      <c r="Z576" s="5" t="str">
        <f ca="1">IFERROR(__xludf.DUMMYFUNCTION("""COMPUTED_VALUE"""),"Yes")</f>
        <v>Yes</v>
      </c>
      <c r="AA576"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B576" s="5" t="str">
        <f ca="1">IFERROR(__xludf.DUMMYFUNCTION("""COMPUTED_VALUE"""),"No")</f>
        <v>No</v>
      </c>
      <c r="AC576" s="5" t="str">
        <f ca="1">IFERROR(__xludf.DUMMYFUNCTION("""COMPUTED_VALUE"""),"No")</f>
        <v>No</v>
      </c>
      <c r="AD576" s="5" t="str">
        <f ca="1">IFERROR(__xludf.DUMMYFUNCTION("""COMPUTED_VALUE"""),"No")</f>
        <v>No</v>
      </c>
      <c r="AE576" s="5" t="str">
        <f ca="1">IFERROR(__xludf.DUMMYFUNCTION("""COMPUTED_VALUE"""),"No")</f>
        <v>No</v>
      </c>
      <c r="AF576" s="5" t="str">
        <f ca="1">IFERROR(__xludf.DUMMYFUNCTION("""COMPUTED_VALUE"""),"No")</f>
        <v>No</v>
      </c>
      <c r="AG576" s="5"/>
      <c r="AH576" s="5" t="str">
        <f ca="1">IFERROR(__xludf.DUMMYFUNCTION("""COMPUTED_VALUE"""),"No")</f>
        <v>No</v>
      </c>
    </row>
    <row r="577" spans="1:34" ht="12.75">
      <c r="A577" s="5" t="str">
        <f ca="1">IFERROR(__xludf.DUMMYFUNCTION("""COMPUTED_VALUE"""),"20191114CASAS")</f>
        <v>20191114CASAS</v>
      </c>
      <c r="B577" s="8">
        <f ca="1">IFERROR(__xludf.DUMMYFUNCTION("""COMPUTED_VALUE"""),43783)</f>
        <v>43783</v>
      </c>
      <c r="C577" s="5" t="str">
        <f ca="1">IFERROR(__xludf.DUMMYFUNCTION("""COMPUTED_VALUE"""),"Saugus High School")</f>
        <v>Saugus High School</v>
      </c>
      <c r="D577" s="5">
        <f ca="1">IFERROR(__xludf.DUMMYFUNCTION("""COMPUTED_VALUE"""),2)</f>
        <v>2</v>
      </c>
      <c r="E577" s="5">
        <f ca="1">IFERROR(__xludf.DUMMYFUNCTION("""COMPUTED_VALUE"""),3)</f>
        <v>3</v>
      </c>
      <c r="F577" s="5">
        <f ca="1">IFERROR(__xludf.DUMMYFUNCTION("""COMPUTED_VALUE"""),5)</f>
        <v>5</v>
      </c>
      <c r="G577" s="5">
        <f ca="1">IFERROR(__xludf.DUMMYFUNCTION("""COMPUTED_VALUE"""),1)</f>
        <v>1</v>
      </c>
      <c r="H577"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I577" s="5"/>
      <c r="J577" s="5" t="str">
        <f ca="1">IFERROR(__xludf.DUMMYFUNCTION("""COMPUTED_VALUE"""),"National")</f>
        <v>National</v>
      </c>
      <c r="K577" s="5">
        <f ca="1">IFERROR(__xludf.DUMMYFUNCTION("""COMPUTED_VALUE"""),4)</f>
        <v>4</v>
      </c>
      <c r="L577" s="5" t="str">
        <f ca="1">IFERROR(__xludf.DUMMYFUNCTION("""COMPUTED_VALUE"""),"Fall")</f>
        <v>Fall</v>
      </c>
      <c r="M577" s="5" t="str">
        <f ca="1">IFERROR(__xludf.DUMMYFUNCTION("""COMPUTED_VALUE"""),"Santa Clarita")</f>
        <v>Santa Clarita</v>
      </c>
      <c r="N577" s="5" t="str">
        <f ca="1">IFERROR(__xludf.DUMMYFUNCTION("""COMPUTED_VALUE"""),"CA")</f>
        <v>CA</v>
      </c>
      <c r="O577" s="5" t="str">
        <f ca="1">IFERROR(__xludf.DUMMYFUNCTION("""COMPUTED_VALUE"""),"High")</f>
        <v>High</v>
      </c>
      <c r="P577" s="5" t="str">
        <f ca="1">IFERROR(__xludf.DUMMYFUNCTION("""COMPUTED_VALUE"""),"Courtyard")</f>
        <v>Courtyard</v>
      </c>
      <c r="Q577" s="5" t="str">
        <f ca="1">IFERROR(__xludf.DUMMYFUNCTION("""COMPUTED_VALUE"""),"Outside on School Property")</f>
        <v>Outside on School Property</v>
      </c>
      <c r="R577" s="5" t="str">
        <f ca="1">IFERROR(__xludf.DUMMYFUNCTION("""COMPUTED_VALUE"""),"Yes")</f>
        <v>Yes</v>
      </c>
      <c r="S577" s="5" t="str">
        <f ca="1">IFERROR(__xludf.DUMMYFUNCTION("""COMPUTED_VALUE"""),"School Start")</f>
        <v>School Start</v>
      </c>
      <c r="T577" s="10">
        <f ca="1">IFERROR(__xludf.DUMMYFUNCTION("""COMPUTED_VALUE"""),0.318055555555555)</f>
        <v>0.31805555555555498</v>
      </c>
      <c r="U577" s="5">
        <f ca="1">IFERROR(__xludf.DUMMYFUNCTION("""COMPUTED_VALUE"""),1)</f>
        <v>1</v>
      </c>
      <c r="V577" s="5" t="str">
        <f ca="1">IFERROR(__xludf.DUMMYFUNCTION("""COMPUTED_VALUE"""),"Student fired at multiple students in school courtyard then commit suicide")</f>
        <v>Student fired at multiple students in school courtyard then commit suicide</v>
      </c>
      <c r="W577" s="5" t="str">
        <f ca="1">IFERROR(__xludf.DUMMYFUNCTION("""COMPUTED_VALUE"""),"Student fired at multiple students in school courtyard then commit suicide. 6 shots were fired in 16 seconds.")</f>
        <v>Student fired at multiple students in school courtyard then commit suicide. 6 shots were fired in 16 seconds.</v>
      </c>
      <c r="X577" s="5" t="str">
        <f ca="1">IFERROR(__xludf.DUMMYFUNCTION("""COMPUTED_VALUE"""),"Indiscriminate Shooting")</f>
        <v>Indiscriminate Shooting</v>
      </c>
      <c r="Y577" s="5" t="str">
        <f ca="1">IFERROR(__xludf.DUMMYFUNCTION("""COMPUTED_VALUE"""),"Random Shooting")</f>
        <v>Random Shooting</v>
      </c>
      <c r="Z577" s="5" t="str">
        <f ca="1">IFERROR(__xludf.DUMMYFUNCTION("""COMPUTED_VALUE"""),"No")</f>
        <v>No</v>
      </c>
      <c r="AA577" s="5"/>
      <c r="AB577" s="5" t="str">
        <f ca="1">IFERROR(__xludf.DUMMYFUNCTION("""COMPUTED_VALUE"""),"No")</f>
        <v>No</v>
      </c>
      <c r="AC577" s="5" t="str">
        <f ca="1">IFERROR(__xludf.DUMMYFUNCTION("""COMPUTED_VALUE"""),"No")</f>
        <v>No</v>
      </c>
      <c r="AD577" s="5" t="str">
        <f ca="1">IFERROR(__xludf.DUMMYFUNCTION("""COMPUTED_VALUE"""),"No")</f>
        <v>No</v>
      </c>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IFERROR(__xludf.DUMMYFUNCTION("""COMPUTED_VALUE"""),"Yes")</f>
        <v>Yes</v>
      </c>
    </row>
    <row r="578" spans="1:34" ht="12.75">
      <c r="A578" s="5" t="str">
        <f ca="1">IFERROR(__xludf.DUMMYFUNCTION("""COMPUTED_VALUE"""),"20191113CAESL")</f>
        <v>20191113CAESL</v>
      </c>
      <c r="B578" s="8">
        <f ca="1">IFERROR(__xludf.DUMMYFUNCTION("""COMPUTED_VALUE"""),43782)</f>
        <v>43782</v>
      </c>
      <c r="C578" s="5" t="str">
        <f ca="1">IFERROR(__xludf.DUMMYFUNCTION("""COMPUTED_VALUE"""),"Esteban Torres High School")</f>
        <v>Esteban Torres High School</v>
      </c>
      <c r="D578" s="5">
        <f ca="1">IFERROR(__xludf.DUMMYFUNCTION("""COMPUTED_VALUE"""),1)</f>
        <v>1</v>
      </c>
      <c r="E578" s="5">
        <f ca="1">IFERROR(__xludf.DUMMYFUNCTION("""COMPUTED_VALUE"""),0)</f>
        <v>0</v>
      </c>
      <c r="F578" s="5">
        <f ca="1">IFERROR(__xludf.DUMMYFUNCTION("""COMPUTED_VALUE"""),1)</f>
        <v>1</v>
      </c>
      <c r="G578" s="5">
        <f ca="1">IFERROR(__xludf.DUMMYFUNCTION("""COMPUTED_VALUE"""),0)</f>
        <v>0</v>
      </c>
      <c r="H578"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I578" s="5"/>
      <c r="J578" s="5"/>
      <c r="K578" s="5">
        <f ca="1">IFERROR(__xludf.DUMMYFUNCTION("""COMPUTED_VALUE"""),4)</f>
        <v>4</v>
      </c>
      <c r="L578" s="5" t="str">
        <f ca="1">IFERROR(__xludf.DUMMYFUNCTION("""COMPUTED_VALUE"""),"Fall")</f>
        <v>Fall</v>
      </c>
      <c r="M578" s="5" t="str">
        <f ca="1">IFERROR(__xludf.DUMMYFUNCTION("""COMPUTED_VALUE"""),"Los Angeles")</f>
        <v>Los Angeles</v>
      </c>
      <c r="N578" s="5" t="str">
        <f ca="1">IFERROR(__xludf.DUMMYFUNCTION("""COMPUTED_VALUE"""),"CA")</f>
        <v>CA</v>
      </c>
      <c r="O578" s="5" t="str">
        <f ca="1">IFERROR(__xludf.DUMMYFUNCTION("""COMPUTED_VALUE"""),"High")</f>
        <v>High</v>
      </c>
      <c r="P578" s="5" t="str">
        <f ca="1">IFERROR(__xludf.DUMMYFUNCTION("""COMPUTED_VALUE"""),"Courtyard")</f>
        <v>Courtyard</v>
      </c>
      <c r="Q578" s="5" t="str">
        <f ca="1">IFERROR(__xludf.DUMMYFUNCTION("""COMPUTED_VALUE"""),"Outside on School Property")</f>
        <v>Outside on School Property</v>
      </c>
      <c r="R578" s="5" t="str">
        <f ca="1">IFERROR(__xludf.DUMMYFUNCTION("""COMPUTED_VALUE"""),"Yes")</f>
        <v>Yes</v>
      </c>
      <c r="S578" s="5" t="str">
        <f ca="1">IFERROR(__xludf.DUMMYFUNCTION("""COMPUTED_VALUE"""),"Morning Classes")</f>
        <v>Morning Classes</v>
      </c>
      <c r="T578" s="10">
        <f ca="1">IFERROR(__xludf.DUMMYFUNCTION("""COMPUTED_VALUE"""),0.375)</f>
        <v>0.375</v>
      </c>
      <c r="U578" s="5">
        <f ca="1">IFERROR(__xludf.DUMMYFUNCTION("""COMPUTED_VALUE"""),1)</f>
        <v>1</v>
      </c>
      <c r="V578" s="5" t="str">
        <f ca="1">IFERROR(__xludf.DUMMYFUNCTION("""COMPUTED_VALUE"""),"Officer shot and killed suspect with sword in outdoor lunch area of school campus")</f>
        <v>Officer shot and killed suspect with sword in outdoor lunch area of school campus</v>
      </c>
      <c r="W578"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X578" s="5" t="str">
        <f ca="1">IFERROR(__xludf.DUMMYFUNCTION("""COMPUTED_VALUE"""),"Self-defense")</f>
        <v>Self-defense</v>
      </c>
      <c r="Y578" s="5" t="str">
        <f ca="1">IFERROR(__xludf.DUMMYFUNCTION("""COMPUTED_VALUE"""),"NA")</f>
        <v>NA</v>
      </c>
      <c r="Z578" s="5" t="str">
        <f ca="1">IFERROR(__xludf.DUMMYFUNCTION("""COMPUTED_VALUE"""),"No")</f>
        <v>No</v>
      </c>
      <c r="AA578" s="5"/>
      <c r="AB578" s="5" t="str">
        <f ca="1">IFERROR(__xludf.DUMMYFUNCTION("""COMPUTED_VALUE"""),"No")</f>
        <v>No</v>
      </c>
      <c r="AC578" s="5" t="str">
        <f ca="1">IFERROR(__xludf.DUMMYFUNCTION("""COMPUTED_VALUE"""),"N/A")</f>
        <v>N/A</v>
      </c>
      <c r="AD578" s="5" t="str">
        <f ca="1">IFERROR(__xludf.DUMMYFUNCTION("""COMPUTED_VALUE"""),"Yes")</f>
        <v>Yes</v>
      </c>
      <c r="AE578" s="5" t="str">
        <f ca="1">IFERROR(__xludf.DUMMYFUNCTION("""COMPUTED_VALUE"""),"N/A")</f>
        <v>N/A</v>
      </c>
      <c r="AF578" s="5" t="str">
        <f ca="1">IFERROR(__xludf.DUMMYFUNCTION("""COMPUTED_VALUE"""),"N/A")</f>
        <v>N/A</v>
      </c>
      <c r="AG578" s="5" t="str">
        <f ca="1">IFERROR(__xludf.DUMMYFUNCTION("""COMPUTED_VALUE"""),"N/A")</f>
        <v>N/A</v>
      </c>
      <c r="AH578" s="5" t="str">
        <f ca="1">IFERROR(__xludf.DUMMYFUNCTION("""COMPUTED_VALUE"""),"N/A")</f>
        <v>N/A</v>
      </c>
    </row>
    <row r="579" spans="1:34" ht="12.75">
      <c r="A579" s="5" t="str">
        <f ca="1">IFERROR(__xludf.DUMMYFUNCTION("""COMPUTED_VALUE"""),"20191111MDACB")</f>
        <v>20191111MDACB</v>
      </c>
      <c r="B579" s="8">
        <f ca="1">IFERROR(__xludf.DUMMYFUNCTION("""COMPUTED_VALUE"""),43780)</f>
        <v>43780</v>
      </c>
      <c r="C579" s="5" t="str">
        <f ca="1">IFERROR(__xludf.DUMMYFUNCTION("""COMPUTED_VALUE"""),"Achievement Academy")</f>
        <v>Achievement Academy</v>
      </c>
      <c r="D579" s="5">
        <f ca="1">IFERROR(__xludf.DUMMYFUNCTION("""COMPUTED_VALUE"""),0)</f>
        <v>0</v>
      </c>
      <c r="E579" s="5">
        <f ca="1">IFERROR(__xludf.DUMMYFUNCTION("""COMPUTED_VALUE"""),1)</f>
        <v>1</v>
      </c>
      <c r="F579" s="5">
        <f ca="1">IFERROR(__xludf.DUMMYFUNCTION("""COMPUTED_VALUE"""),1)</f>
        <v>1</v>
      </c>
      <c r="G579" s="5">
        <f ca="1">IFERROR(__xludf.DUMMYFUNCTION("""COMPUTED_VALUE"""),0)</f>
        <v>0</v>
      </c>
      <c r="H579"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I579" s="5"/>
      <c r="J579" s="5"/>
      <c r="K579" s="5">
        <f ca="1">IFERROR(__xludf.DUMMYFUNCTION("""COMPUTED_VALUE"""),4)</f>
        <v>4</v>
      </c>
      <c r="L579" s="5" t="str">
        <f ca="1">IFERROR(__xludf.DUMMYFUNCTION("""COMPUTED_VALUE"""),"Fall")</f>
        <v>Fall</v>
      </c>
      <c r="M579" s="5" t="str">
        <f ca="1">IFERROR(__xludf.DUMMYFUNCTION("""COMPUTED_VALUE"""),"Baltimore")</f>
        <v>Baltimore</v>
      </c>
      <c r="N579" s="5" t="str">
        <f ca="1">IFERROR(__xludf.DUMMYFUNCTION("""COMPUTED_VALUE"""),"MD")</f>
        <v>MD</v>
      </c>
      <c r="O579" s="5" t="str">
        <f ca="1">IFERROR(__xludf.DUMMYFUNCTION("""COMPUTED_VALUE"""),"High")</f>
        <v>High</v>
      </c>
      <c r="P579" s="5" t="str">
        <f ca="1">IFERROR(__xludf.DUMMYFUNCTION("""COMPUTED_VALUE"""),"Parking Lot")</f>
        <v>Parking Lot</v>
      </c>
      <c r="Q579" s="5" t="str">
        <f ca="1">IFERROR(__xludf.DUMMYFUNCTION("""COMPUTED_VALUE"""),"Outside on School Property")</f>
        <v>Outside on School Property</v>
      </c>
      <c r="R579" s="5" t="str">
        <f ca="1">IFERROR(__xludf.DUMMYFUNCTION("""COMPUTED_VALUE"""),"Yes")</f>
        <v>Yes</v>
      </c>
      <c r="S579" s="5" t="str">
        <f ca="1">IFERROR(__xludf.DUMMYFUNCTION("""COMPUTED_VALUE"""),"Afternoon Classes")</f>
        <v>Afternoon Classes</v>
      </c>
      <c r="T579" s="10">
        <f ca="1">IFERROR(__xludf.DUMMYFUNCTION("""COMPUTED_VALUE"""),0.583333333333333)</f>
        <v>0.58333333333333304</v>
      </c>
      <c r="U579" s="5">
        <f ca="1">IFERROR(__xludf.DUMMYFUNCTION("""COMPUTED_VALUE"""),1)</f>
        <v>1</v>
      </c>
      <c r="V579" s="5" t="str">
        <f ca="1">IFERROR(__xludf.DUMMYFUNCTION("""COMPUTED_VALUE"""),"19YOM student shot outside of school then ran into school for assistance")</f>
        <v>19YOM student shot outside of school then ran into school for assistance</v>
      </c>
      <c r="W579"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X579" s="5" t="str">
        <f ca="1">IFERROR(__xludf.DUMMYFUNCTION("""COMPUTED_VALUE"""),"Escalation of Dispute")</f>
        <v>Escalation of Dispute</v>
      </c>
      <c r="Y579" s="5" t="str">
        <f ca="1">IFERROR(__xludf.DUMMYFUNCTION("""COMPUTED_VALUE"""),"Victims Targeted")</f>
        <v>Victims Targeted</v>
      </c>
      <c r="Z579" s="5"/>
      <c r="AA579" s="5"/>
      <c r="AB579" s="5" t="str">
        <f ca="1">IFERROR(__xludf.DUMMYFUNCTION("""COMPUTED_VALUE"""),"No")</f>
        <v>No</v>
      </c>
      <c r="AC579" s="5" t="str">
        <f ca="1">IFERROR(__xludf.DUMMYFUNCTION("""COMPUTED_VALUE"""),"No")</f>
        <v>No</v>
      </c>
      <c r="AD579" s="5" t="str">
        <f ca="1">IFERROR(__xludf.DUMMYFUNCTION("""COMPUTED_VALUE"""),"No")</f>
        <v>No</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row>
    <row r="580" spans="1:34" ht="12.75">
      <c r="A580" s="5" t="str">
        <f ca="1">IFERROR(__xludf.DUMMYFUNCTION("""COMPUTED_VALUE"""),"20191108TXROD")</f>
        <v>20191108TXROD</v>
      </c>
      <c r="B580" s="8">
        <f ca="1">IFERROR(__xludf.DUMMYFUNCTION("""COMPUTED_VALUE"""),43777)</f>
        <v>43777</v>
      </c>
      <c r="C580" s="5" t="str">
        <f ca="1">IFERROR(__xludf.DUMMYFUNCTION("""COMPUTED_VALUE"""),"Robert L. Thornton Elementary School")</f>
        <v>Robert L. Thornton Elementary School</v>
      </c>
      <c r="D580" s="5">
        <f ca="1">IFERROR(__xludf.DUMMYFUNCTION("""COMPUTED_VALUE"""),1)</f>
        <v>1</v>
      </c>
      <c r="E580" s="5">
        <f ca="1">IFERROR(__xludf.DUMMYFUNCTION("""COMPUTED_VALUE"""),0)</f>
        <v>0</v>
      </c>
      <c r="F580" s="5">
        <f ca="1">IFERROR(__xludf.DUMMYFUNCTION("""COMPUTED_VALUE"""),1)</f>
        <v>1</v>
      </c>
      <c r="G580" s="5">
        <f ca="1">IFERROR(__xludf.DUMMYFUNCTION("""COMPUTED_VALUE"""),0)</f>
        <v>0</v>
      </c>
      <c r="H580"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I580" s="5"/>
      <c r="J580" s="5"/>
      <c r="K580" s="5">
        <f ca="1">IFERROR(__xludf.DUMMYFUNCTION("""COMPUTED_VALUE"""),4)</f>
        <v>4</v>
      </c>
      <c r="L580" s="5" t="str">
        <f ca="1">IFERROR(__xludf.DUMMYFUNCTION("""COMPUTED_VALUE"""),"Fall")</f>
        <v>Fall</v>
      </c>
      <c r="M580" s="5" t="str">
        <f ca="1">IFERROR(__xludf.DUMMYFUNCTION("""COMPUTED_VALUE"""),"Dallas")</f>
        <v>Dallas</v>
      </c>
      <c r="N580" s="5" t="str">
        <f ca="1">IFERROR(__xludf.DUMMYFUNCTION("""COMPUTED_VALUE"""),"TX")</f>
        <v>TX</v>
      </c>
      <c r="O580" s="5" t="str">
        <f ca="1">IFERROR(__xludf.DUMMYFUNCTION("""COMPUTED_VALUE"""),"Elementary")</f>
        <v>Elementary</v>
      </c>
      <c r="P580" s="5" t="str">
        <f ca="1">IFERROR(__xludf.DUMMYFUNCTION("""COMPUTED_VALUE"""),"Basketball Court")</f>
        <v>Basketball Court</v>
      </c>
      <c r="Q580" s="5" t="str">
        <f ca="1">IFERROR(__xludf.DUMMYFUNCTION("""COMPUTED_VALUE"""),"Outside on School Property")</f>
        <v>Outside on School Property</v>
      </c>
      <c r="R580" s="5" t="str">
        <f ca="1">IFERROR(__xludf.DUMMYFUNCTION("""COMPUTED_VALUE"""),"No")</f>
        <v>No</v>
      </c>
      <c r="S580" s="5" t="str">
        <f ca="1">IFERROR(__xludf.DUMMYFUNCTION("""COMPUTED_VALUE"""),"Evening")</f>
        <v>Evening</v>
      </c>
      <c r="T580" s="10">
        <f ca="1">IFERROR(__xludf.DUMMYFUNCTION("""COMPUTED_VALUE"""),0.833333333333333)</f>
        <v>0.83333333333333304</v>
      </c>
      <c r="U580" s="5">
        <f ca="1">IFERROR(__xludf.DUMMYFUNCTION("""COMPUTED_VALUE"""),1)</f>
        <v>1</v>
      </c>
      <c r="V580" s="5" t="str">
        <f ca="1">IFERROR(__xludf.DUMMYFUNCTION("""COMPUTED_VALUE"""),"15YOM shot on school basketball court. Specific target and received prior threats.")</f>
        <v>15YOM shot on school basketball court. Specific target and received prior threats.</v>
      </c>
      <c r="W580"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X580" s="5" t="str">
        <f ca="1">IFERROR(__xludf.DUMMYFUNCTION("""COMPUTED_VALUE"""),"Escalation of Dispute")</f>
        <v>Escalation of Dispute</v>
      </c>
      <c r="Y580" s="5" t="str">
        <f ca="1">IFERROR(__xludf.DUMMYFUNCTION("""COMPUTED_VALUE"""),"Victims Targeted")</f>
        <v>Victims Targeted</v>
      </c>
      <c r="Z580" s="5" t="str">
        <f ca="1">IFERROR(__xludf.DUMMYFUNCTION("""COMPUTED_VALUE"""),"Yes")</f>
        <v>Yes</v>
      </c>
      <c r="AA580" s="5" t="str">
        <f ca="1">IFERROR(__xludf.DUMMYFUNCTION("""COMPUTED_VALUE"""),"Group of suspects")</f>
        <v>Group of suspects</v>
      </c>
      <c r="AB580" s="5" t="str">
        <f ca="1">IFERROR(__xludf.DUMMYFUNCTION("""COMPUTED_VALUE"""),"No")</f>
        <v>No</v>
      </c>
      <c r="AC580" s="5" t="str">
        <f ca="1">IFERROR(__xludf.DUMMYFUNCTION("""COMPUTED_VALUE"""),"No")</f>
        <v>No</v>
      </c>
      <c r="AD580" s="5" t="str">
        <f ca="1">IFERROR(__xludf.DUMMYFUNCTION("""COMPUTED_VALUE"""),"No")</f>
        <v>No</v>
      </c>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row>
    <row r="581" spans="1:34" ht="12.75">
      <c r="A581" s="5" t="str">
        <f ca="1">IFERROR(__xludf.DUMMYFUNCTION("""COMPUTED_VALUE"""),"20191108CAEDS")</f>
        <v>20191108CAEDS</v>
      </c>
      <c r="B581" s="8">
        <f ca="1">IFERROR(__xludf.DUMMYFUNCTION("""COMPUTED_VALUE"""),43777)</f>
        <v>43777</v>
      </c>
      <c r="C581" s="5" t="str">
        <f ca="1">IFERROR(__xludf.DUMMYFUNCTION("""COMPUTED_VALUE"""),"Edison High School")</f>
        <v>Edison High School</v>
      </c>
      <c r="D581" s="5">
        <f ca="1">IFERROR(__xludf.DUMMYFUNCTION("""COMPUTED_VALUE"""),0)</f>
        <v>0</v>
      </c>
      <c r="E581" s="5">
        <f ca="1">IFERROR(__xludf.DUMMYFUNCTION("""COMPUTED_VALUE"""),0)</f>
        <v>0</v>
      </c>
      <c r="F581" s="5">
        <f ca="1">IFERROR(__xludf.DUMMYFUNCTION("""COMPUTED_VALUE"""),0)</f>
        <v>0</v>
      </c>
      <c r="G581" s="5">
        <f ca="1">IFERROR(__xludf.DUMMYFUNCTION("""COMPUTED_VALUE"""),0)</f>
        <v>0</v>
      </c>
      <c r="H581" s="9" t="str">
        <f ca="1">IFERROR(__xludf.DUMMYFUNCTION("""COMPUTED_VALUE"""),"https://www.kcra.com/article/shooting-scare-prompts-panic-at-stockton-football-game/29745486")</f>
        <v>https://www.kcra.com/article/shooting-scare-prompts-panic-at-stockton-football-game/29745486</v>
      </c>
      <c r="I581" s="5"/>
      <c r="J581" s="5"/>
      <c r="K581" s="5">
        <f ca="1">IFERROR(__xludf.DUMMYFUNCTION("""COMPUTED_VALUE"""),3)</f>
        <v>3</v>
      </c>
      <c r="L581" s="5" t="str">
        <f ca="1">IFERROR(__xludf.DUMMYFUNCTION("""COMPUTED_VALUE"""),"Fall")</f>
        <v>Fall</v>
      </c>
      <c r="M581" s="5" t="str">
        <f ca="1">IFERROR(__xludf.DUMMYFUNCTION("""COMPUTED_VALUE"""),"Stockton")</f>
        <v>Stockton</v>
      </c>
      <c r="N581" s="5" t="str">
        <f ca="1">IFERROR(__xludf.DUMMYFUNCTION("""COMPUTED_VALUE"""),"CA")</f>
        <v>CA</v>
      </c>
      <c r="O581" s="5" t="str">
        <f ca="1">IFERROR(__xludf.DUMMYFUNCTION("""COMPUTED_VALUE"""),"High")</f>
        <v>High</v>
      </c>
      <c r="P581" s="5" t="str">
        <f ca="1">IFERROR(__xludf.DUMMYFUNCTION("""COMPUTED_VALUE"""),"Football Field/Track")</f>
        <v>Football Field/Track</v>
      </c>
      <c r="Q581" s="5" t="str">
        <f ca="1">IFERROR(__xludf.DUMMYFUNCTION("""COMPUTED_VALUE"""),"Outside on School Property")</f>
        <v>Outside on School Property</v>
      </c>
      <c r="R581" s="5" t="str">
        <f ca="1">IFERROR(__xludf.DUMMYFUNCTION("""COMPUTED_VALUE"""),"No")</f>
        <v>No</v>
      </c>
      <c r="S581" s="5" t="str">
        <f ca="1">IFERROR(__xludf.DUMMYFUNCTION("""COMPUTED_VALUE"""),"Sport Event")</f>
        <v>Sport Event</v>
      </c>
      <c r="T581" s="10">
        <f ca="1">IFERROR(__xludf.DUMMYFUNCTION("""COMPUTED_VALUE"""),0.90625)</f>
        <v>0.90625</v>
      </c>
      <c r="U581" s="5">
        <f ca="1">IFERROR(__xludf.DUMMYFUNCTION("""COMPUTED_VALUE"""),1)</f>
        <v>1</v>
      </c>
      <c r="V581" s="5" t="str">
        <f ca="1">IFERROR(__xludf.DUMMYFUNCTION("""COMPUTED_VALUE"""),"Shots fired in parking lot during football game, stadium locked down")</f>
        <v>Shots fired in parking lot during football game, stadium locked down</v>
      </c>
      <c r="W581"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X581" s="5" t="str">
        <f ca="1">IFERROR(__xludf.DUMMYFUNCTION("""COMPUTED_VALUE"""),"Escalation of Dispute")</f>
        <v>Escalation of Dispute</v>
      </c>
      <c r="Y581" s="5"/>
      <c r="Z581" s="5"/>
      <c r="AA581" s="5"/>
      <c r="AB581" s="5" t="str">
        <f ca="1">IFERROR(__xludf.DUMMYFUNCTION("""COMPUTED_VALUE"""),"No")</f>
        <v>No</v>
      </c>
      <c r="AC581" s="5" t="str">
        <f ca="1">IFERROR(__xludf.DUMMYFUNCTION("""COMPUTED_VALUE"""),"No")</f>
        <v>No</v>
      </c>
      <c r="AD581" s="5" t="str">
        <f ca="1">IFERROR(__xludf.DUMMYFUNCTION("""COMPUTED_VALUE"""),"No")</f>
        <v>No</v>
      </c>
      <c r="AE581" s="5" t="str">
        <f ca="1">IFERROR(__xludf.DUMMYFUNCTION("""COMPUTED_VALUE"""),"No")</f>
        <v>No</v>
      </c>
      <c r="AF581" s="5" t="str">
        <f ca="1">IFERROR(__xludf.DUMMYFUNCTION("""COMPUTED_VALUE"""),"No")</f>
        <v>No</v>
      </c>
      <c r="AG581" s="5"/>
      <c r="AH581" s="5" t="str">
        <f ca="1">IFERROR(__xludf.DUMMYFUNCTION("""COMPUTED_VALUE"""),"No")</f>
        <v>No</v>
      </c>
    </row>
    <row r="582" spans="1:34" ht="12.75">
      <c r="A582" s="5" t="str">
        <f ca="1">IFERROR(__xludf.DUMMYFUNCTION("""COMPUTED_VALUE"""),"20191029NYNEN")</f>
        <v>20191029NYNEN</v>
      </c>
      <c r="B582" s="8">
        <f ca="1">IFERROR(__xludf.DUMMYFUNCTION("""COMPUTED_VALUE"""),43767)</f>
        <v>43767</v>
      </c>
      <c r="C582" s="5" t="str">
        <f ca="1">IFERROR(__xludf.DUMMYFUNCTION("""COMPUTED_VALUE"""),"New Dawn Charter High School")</f>
        <v>New Dawn Charter High School</v>
      </c>
      <c r="D582" s="5">
        <f ca="1">IFERROR(__xludf.DUMMYFUNCTION("""COMPUTED_VALUE"""),0)</f>
        <v>0</v>
      </c>
      <c r="E582" s="5">
        <f ca="1">IFERROR(__xludf.DUMMYFUNCTION("""COMPUTED_VALUE"""),1)</f>
        <v>1</v>
      </c>
      <c r="F582" s="5">
        <f ca="1">IFERROR(__xludf.DUMMYFUNCTION("""COMPUTED_VALUE"""),1)</f>
        <v>1</v>
      </c>
      <c r="G582" s="5">
        <f ca="1">IFERROR(__xludf.DUMMYFUNCTION("""COMPUTED_VALUE"""),0)</f>
        <v>0</v>
      </c>
      <c r="H582"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I582" s="5"/>
      <c r="J582" s="5"/>
      <c r="K582" s="5">
        <f ca="1">IFERROR(__xludf.DUMMYFUNCTION("""COMPUTED_VALUE"""),4)</f>
        <v>4</v>
      </c>
      <c r="L582" s="5" t="str">
        <f ca="1">IFERROR(__xludf.DUMMYFUNCTION("""COMPUTED_VALUE"""),"Fall")</f>
        <v>Fall</v>
      </c>
      <c r="M582" s="5" t="str">
        <f ca="1">IFERROR(__xludf.DUMMYFUNCTION("""COMPUTED_VALUE"""),"New York")</f>
        <v>New York</v>
      </c>
      <c r="N582" s="5" t="str">
        <f ca="1">IFERROR(__xludf.DUMMYFUNCTION("""COMPUTED_VALUE"""),"NY")</f>
        <v>NY</v>
      </c>
      <c r="O582" s="5" t="str">
        <f ca="1">IFERROR(__xludf.DUMMYFUNCTION("""COMPUTED_VALUE"""),"High")</f>
        <v>High</v>
      </c>
      <c r="P582" s="5" t="str">
        <f ca="1">IFERROR(__xludf.DUMMYFUNCTION("""COMPUTED_VALUE"""),"Front of School")</f>
        <v>Front of School</v>
      </c>
      <c r="Q582" s="5" t="str">
        <f ca="1">IFERROR(__xludf.DUMMYFUNCTION("""COMPUTED_VALUE"""),"Outside on School Property")</f>
        <v>Outside on School Property</v>
      </c>
      <c r="R582" s="5" t="str">
        <f ca="1">IFERROR(__xludf.DUMMYFUNCTION("""COMPUTED_VALUE"""),"Yes")</f>
        <v>Yes</v>
      </c>
      <c r="S582" s="5" t="str">
        <f ca="1">IFERROR(__xludf.DUMMYFUNCTION("""COMPUTED_VALUE"""),"Dismissal")</f>
        <v>Dismissal</v>
      </c>
      <c r="T582" s="10">
        <f ca="1">IFERROR(__xludf.DUMMYFUNCTION("""COMPUTED_VALUE"""),0.666666666666666)</f>
        <v>0.66666666666666596</v>
      </c>
      <c r="U582" s="5">
        <f ca="1">IFERROR(__xludf.DUMMYFUNCTION("""COMPUTED_VALUE"""),1)</f>
        <v>1</v>
      </c>
      <c r="V582" s="5" t="str">
        <f ca="1">IFERROR(__xludf.DUMMYFUNCTION("""COMPUTED_VALUE"""),"Female student bystander shot during fight after school")</f>
        <v>Female student bystander shot during fight after school</v>
      </c>
      <c r="W582"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X582" s="5" t="str">
        <f ca="1">IFERROR(__xludf.DUMMYFUNCTION("""COMPUTED_VALUE"""),"Escalation of Dispute")</f>
        <v>Escalation of Dispute</v>
      </c>
      <c r="Y582" s="5" t="str">
        <f ca="1">IFERROR(__xludf.DUMMYFUNCTION("""COMPUTED_VALUE"""),"Both")</f>
        <v>Both</v>
      </c>
      <c r="Z582" s="5" t="str">
        <f ca="1">IFERROR(__xludf.DUMMYFUNCTION("""COMPUTED_VALUE"""),"Yes")</f>
        <v>Yes</v>
      </c>
      <c r="AA582" s="5" t="str">
        <f ca="1">IFERROR(__xludf.DUMMYFUNCTION("""COMPUTED_VALUE"""),"Police looking for 3 suspects")</f>
        <v>Police looking for 3 suspects</v>
      </c>
      <c r="AB582" s="5" t="str">
        <f ca="1">IFERROR(__xludf.DUMMYFUNCTION("""COMPUTED_VALUE"""),"No")</f>
        <v>No</v>
      </c>
      <c r="AC582" s="5" t="str">
        <f ca="1">IFERROR(__xludf.DUMMYFUNCTION("""COMPUTED_VALUE"""),"No")</f>
        <v>No</v>
      </c>
      <c r="AD582" s="5" t="str">
        <f ca="1">IFERROR(__xludf.DUMMYFUNCTION("""COMPUTED_VALUE"""),"No")</f>
        <v>No</v>
      </c>
      <c r="AE582" s="5"/>
      <c r="AF582" s="5" t="str">
        <f ca="1">IFERROR(__xludf.DUMMYFUNCTION("""COMPUTED_VALUE"""),"No")</f>
        <v>No</v>
      </c>
      <c r="AG582" s="5" t="str">
        <f ca="1">IFERROR(__xludf.DUMMYFUNCTION("""COMPUTED_VALUE"""),"No")</f>
        <v>No</v>
      </c>
      <c r="AH582" s="5" t="str">
        <f ca="1">IFERROR(__xludf.DUMMYFUNCTION("""COMPUTED_VALUE"""),"No")</f>
        <v>No</v>
      </c>
    </row>
    <row r="583" spans="1:34" ht="12.75">
      <c r="A583" s="5" t="str">
        <f ca="1">IFERROR(__xludf.DUMMYFUNCTION("""COMPUTED_VALUE"""),"20191027MDLAL")</f>
        <v>20191027MDLAL</v>
      </c>
      <c r="B583" s="8">
        <f ca="1">IFERROR(__xludf.DUMMYFUNCTION("""COMPUTED_VALUE"""),43765)</f>
        <v>43765</v>
      </c>
      <c r="C583" s="5" t="str">
        <f ca="1">IFERROR(__xludf.DUMMYFUNCTION("""COMPUTED_VALUE"""),"Laurel Woods Elementary School")</f>
        <v>Laurel Woods Elementary School</v>
      </c>
      <c r="D583" s="5">
        <f ca="1">IFERROR(__xludf.DUMMYFUNCTION("""COMPUTED_VALUE"""),0)</f>
        <v>0</v>
      </c>
      <c r="E583" s="5">
        <f ca="1">IFERROR(__xludf.DUMMYFUNCTION("""COMPUTED_VALUE"""),1)</f>
        <v>1</v>
      </c>
      <c r="F583" s="5">
        <f ca="1">IFERROR(__xludf.DUMMYFUNCTION("""COMPUTED_VALUE"""),1)</f>
        <v>1</v>
      </c>
      <c r="G583" s="5">
        <f ca="1">IFERROR(__xludf.DUMMYFUNCTION("""COMPUTED_VALUE"""),0)</f>
        <v>0</v>
      </c>
      <c r="H583"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I583" s="5"/>
      <c r="J583" s="5"/>
      <c r="K583" s="5">
        <f ca="1">IFERROR(__xludf.DUMMYFUNCTION("""COMPUTED_VALUE"""),4)</f>
        <v>4</v>
      </c>
      <c r="L583" s="5" t="str">
        <f ca="1">IFERROR(__xludf.DUMMYFUNCTION("""COMPUTED_VALUE"""),"Fall")</f>
        <v>Fall</v>
      </c>
      <c r="M583" s="5" t="str">
        <f ca="1">IFERROR(__xludf.DUMMYFUNCTION("""COMPUTED_VALUE"""),"Laurel")</f>
        <v>Laurel</v>
      </c>
      <c r="N583" s="5" t="str">
        <f ca="1">IFERROR(__xludf.DUMMYFUNCTION("""COMPUTED_VALUE"""),"MD")</f>
        <v>MD</v>
      </c>
      <c r="O583" s="5" t="str">
        <f ca="1">IFERROR(__xludf.DUMMYFUNCTION("""COMPUTED_VALUE"""),"Elementary")</f>
        <v>Elementary</v>
      </c>
      <c r="P583" s="5" t="str">
        <f ca="1">IFERROR(__xludf.DUMMYFUNCTION("""COMPUTED_VALUE"""),"Parking Lot")</f>
        <v>Parking Lot</v>
      </c>
      <c r="Q583" s="5" t="str">
        <f ca="1">IFERROR(__xludf.DUMMYFUNCTION("""COMPUTED_VALUE"""),"Outside on School Property")</f>
        <v>Outside on School Property</v>
      </c>
      <c r="R583" s="5" t="str">
        <f ca="1">IFERROR(__xludf.DUMMYFUNCTION("""COMPUTED_VALUE"""),"No")</f>
        <v>No</v>
      </c>
      <c r="S583" s="5" t="str">
        <f ca="1">IFERROR(__xludf.DUMMYFUNCTION("""COMPUTED_VALUE"""),"Not a School Day")</f>
        <v>Not a School Day</v>
      </c>
      <c r="T583" s="10">
        <f ca="1">IFERROR(__xludf.DUMMYFUNCTION("""COMPUTED_VALUE"""),0.820833333333333)</f>
        <v>0.82083333333333297</v>
      </c>
      <c r="U583" s="5">
        <f ca="1">IFERROR(__xludf.DUMMYFUNCTION("""COMPUTED_VALUE"""),1)</f>
        <v>1</v>
      </c>
      <c r="V583" s="5" t="str">
        <f ca="1">IFERROR(__xludf.DUMMYFUNCTION("""COMPUTED_VALUE"""),"Adult female shot in parking lot of school following memorial service unrelated to the school")</f>
        <v>Adult female shot in parking lot of school following memorial service unrelated to the school</v>
      </c>
      <c r="W583"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X583" s="5" t="str">
        <f ca="1">IFERROR(__xludf.DUMMYFUNCTION("""COMPUTED_VALUE"""),"Escalation of Dispute")</f>
        <v>Escalation of Dispute</v>
      </c>
      <c r="Y583" s="5" t="str">
        <f ca="1">IFERROR(__xludf.DUMMYFUNCTION("""COMPUTED_VALUE"""),"Both")</f>
        <v>Both</v>
      </c>
      <c r="Z583" s="5"/>
      <c r="AA583" s="5"/>
      <c r="AB583" s="5" t="str">
        <f ca="1">IFERROR(__xludf.DUMMYFUNCTION("""COMPUTED_VALUE"""),"No")</f>
        <v>No</v>
      </c>
      <c r="AC583" s="5" t="str">
        <f ca="1">IFERROR(__xludf.DUMMYFUNCTION("""COMPUTED_VALUE"""),"No")</f>
        <v>No</v>
      </c>
      <c r="AD583" s="5" t="str">
        <f ca="1">IFERROR(__xludf.DUMMYFUNCTION("""COMPUTED_VALUE"""),"No")</f>
        <v>No</v>
      </c>
      <c r="AE583" s="5" t="str">
        <f ca="1">IFERROR(__xludf.DUMMYFUNCTION("""COMPUTED_VALUE"""),"No")</f>
        <v>No</v>
      </c>
      <c r="AF583" s="5" t="str">
        <f ca="1">IFERROR(__xludf.DUMMYFUNCTION("""COMPUTED_VALUE"""),"No")</f>
        <v>No</v>
      </c>
      <c r="AG583" s="5"/>
      <c r="AH583" s="5" t="str">
        <f ca="1">IFERROR(__xludf.DUMMYFUNCTION("""COMPUTED_VALUE"""),"No")</f>
        <v>No</v>
      </c>
    </row>
    <row r="584" spans="1:34" ht="12.75">
      <c r="A584" s="5" t="str">
        <f ca="1">IFERROR(__xludf.DUMMYFUNCTION("""COMPUTED_VALUE"""),"20191022NJBRB")</f>
        <v>20191022NJBRB</v>
      </c>
      <c r="B584" s="8">
        <f ca="1">IFERROR(__xludf.DUMMYFUNCTION("""COMPUTED_VALUE"""),43760)</f>
        <v>43760</v>
      </c>
      <c r="C584" s="5" t="str">
        <f ca="1">IFERROR(__xludf.DUMMYFUNCTION("""COMPUTED_VALUE"""),"Brick Memorial High School")</f>
        <v>Brick Memorial High School</v>
      </c>
      <c r="D584" s="5">
        <f ca="1">IFERROR(__xludf.DUMMYFUNCTION("""COMPUTED_VALUE"""),0)</f>
        <v>0</v>
      </c>
      <c r="E584" s="5">
        <f ca="1">IFERROR(__xludf.DUMMYFUNCTION("""COMPUTED_VALUE"""),1)</f>
        <v>1</v>
      </c>
      <c r="F584" s="5">
        <f ca="1">IFERROR(__xludf.DUMMYFUNCTION("""COMPUTED_VALUE"""),1)</f>
        <v>1</v>
      </c>
      <c r="G584" s="5">
        <f ca="1">IFERROR(__xludf.DUMMYFUNCTION("""COMPUTED_VALUE"""),0)</f>
        <v>0</v>
      </c>
      <c r="H584" s="9" t="str">
        <f ca="1">IFERROR(__xludf.DUMMYFUNCTION("""COMPUTED_VALUE"""),"https://dailyvoice.com/new-jersey/ocean/police-fire/asbury-park-teen-idd-charged-with-shooting-near-brick-high-school/794032/")</f>
        <v>https://dailyvoice.com/new-jersey/ocean/police-fire/asbury-park-teen-idd-charged-with-shooting-near-brick-high-school/794032/</v>
      </c>
      <c r="I584" s="5">
        <f ca="1">IFERROR(__xludf.DUMMYFUNCTION("""COMPUTED_VALUE"""),2)</f>
        <v>2</v>
      </c>
      <c r="J584" s="5" t="str">
        <f ca="1">IFERROR(__xludf.DUMMYFUNCTION("""COMPUTED_VALUE"""),"Local")</f>
        <v>Local</v>
      </c>
      <c r="K584" s="5">
        <f ca="1">IFERROR(__xludf.DUMMYFUNCTION("""COMPUTED_VALUE"""),4)</f>
        <v>4</v>
      </c>
      <c r="L584" s="5" t="str">
        <f ca="1">IFERROR(__xludf.DUMMYFUNCTION("""COMPUTED_VALUE"""),"Fall")</f>
        <v>Fall</v>
      </c>
      <c r="M584" s="5" t="str">
        <f ca="1">IFERROR(__xludf.DUMMYFUNCTION("""COMPUTED_VALUE"""),"Brick Township")</f>
        <v>Brick Township</v>
      </c>
      <c r="N584" s="5" t="str">
        <f ca="1">IFERROR(__xludf.DUMMYFUNCTION("""COMPUTED_VALUE"""),"NJ")</f>
        <v>NJ</v>
      </c>
      <c r="O584" s="5" t="str">
        <f ca="1">IFERROR(__xludf.DUMMYFUNCTION("""COMPUTED_VALUE"""),"High")</f>
        <v>High</v>
      </c>
      <c r="P584" s="5" t="str">
        <f ca="1">IFERROR(__xludf.DUMMYFUNCTION("""COMPUTED_VALUE"""),"Off School Property")</f>
        <v>Off School Property</v>
      </c>
      <c r="Q584" s="5" t="str">
        <f ca="1">IFERROR(__xludf.DUMMYFUNCTION("""COMPUTED_VALUE"""),"Off School Property")</f>
        <v>Off School Property</v>
      </c>
      <c r="R584" s="5" t="str">
        <f ca="1">IFERROR(__xludf.DUMMYFUNCTION("""COMPUTED_VALUE"""),"Yes")</f>
        <v>Yes</v>
      </c>
      <c r="S584" s="5" t="str">
        <f ca="1">IFERROR(__xludf.DUMMYFUNCTION("""COMPUTED_VALUE"""),"Afternoon Classes")</f>
        <v>Afternoon Classes</v>
      </c>
      <c r="T584" s="10">
        <f ca="1">IFERROR(__xludf.DUMMYFUNCTION("""COMPUTED_VALUE"""),0.572916666666666)</f>
        <v>0.57291666666666596</v>
      </c>
      <c r="U584" s="5">
        <f ca="1">IFERROR(__xludf.DUMMYFUNCTION("""COMPUTED_VALUE"""),1)</f>
        <v>1</v>
      </c>
      <c r="V584" s="5" t="str">
        <f ca="1">IFERROR(__xludf.DUMMYFUNCTION("""COMPUTED_VALUE"""),"Teen shot near school by another teen, ran back to school for help")</f>
        <v>Teen shot near school by another teen, ran back to school for help</v>
      </c>
      <c r="W584"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X584" s="5"/>
      <c r="Y584" s="5" t="str">
        <f ca="1">IFERROR(__xludf.DUMMYFUNCTION("""COMPUTED_VALUE"""),"Victims Targeted")</f>
        <v>Victims Targeted</v>
      </c>
      <c r="Z584" s="5" t="str">
        <f ca="1">IFERROR(__xludf.DUMMYFUNCTION("""COMPUTED_VALUE"""),"Yes")</f>
        <v>Yes</v>
      </c>
      <c r="AA584" s="5" t="str">
        <f ca="1">IFERROR(__xludf.DUMMYFUNCTION("""COMPUTED_VALUE"""),"Second teen charged with conspiracy to commit aggravated assault")</f>
        <v>Second teen charged with conspiracy to commit aggravated assault</v>
      </c>
      <c r="AB584" s="5" t="str">
        <f ca="1">IFERROR(__xludf.DUMMYFUNCTION("""COMPUTED_VALUE"""),"No")</f>
        <v>No</v>
      </c>
      <c r="AC584" s="5" t="str">
        <f ca="1">IFERROR(__xludf.DUMMYFUNCTION("""COMPUTED_VALUE"""),"No")</f>
        <v>No</v>
      </c>
      <c r="AD584" s="5" t="str">
        <f ca="1">IFERROR(__xludf.DUMMYFUNCTION("""COMPUTED_VALUE"""),"No")</f>
        <v>No</v>
      </c>
      <c r="AE584" s="5"/>
      <c r="AF584" s="5" t="str">
        <f ca="1">IFERROR(__xludf.DUMMYFUNCTION("""COMPUTED_VALUE"""),"No")</f>
        <v>No</v>
      </c>
      <c r="AG584" s="5"/>
      <c r="AH584" s="5" t="str">
        <f ca="1">IFERROR(__xludf.DUMMYFUNCTION("""COMPUTED_VALUE"""),"No")</f>
        <v>No</v>
      </c>
    </row>
    <row r="585" spans="1:34" ht="12.75">
      <c r="A585" s="5" t="str">
        <f ca="1">IFERROR(__xludf.DUMMYFUNCTION("""COMPUTED_VALUE"""),"20191022CARIS")</f>
        <v>20191022CARIS</v>
      </c>
      <c r="B585" s="8">
        <f ca="1">IFERROR(__xludf.DUMMYFUNCTION("""COMPUTED_VALUE"""),43760)</f>
        <v>43760</v>
      </c>
      <c r="C585" s="5" t="str">
        <f ca="1">IFERROR(__xludf.DUMMYFUNCTION("""COMPUTED_VALUE"""),"Ridgway High School")</f>
        <v>Ridgway High School</v>
      </c>
      <c r="D585" s="5">
        <f ca="1">IFERROR(__xludf.DUMMYFUNCTION("""COMPUTED_VALUE"""),0)</f>
        <v>0</v>
      </c>
      <c r="E585" s="5">
        <f ca="1">IFERROR(__xludf.DUMMYFUNCTION("""COMPUTED_VALUE"""),1)</f>
        <v>1</v>
      </c>
      <c r="F585" s="5">
        <f ca="1">IFERROR(__xludf.DUMMYFUNCTION("""COMPUTED_VALUE"""),1)</f>
        <v>1</v>
      </c>
      <c r="G585" s="5">
        <f ca="1">IFERROR(__xludf.DUMMYFUNCTION("""COMPUTED_VALUE"""),0)</f>
        <v>0</v>
      </c>
      <c r="H585"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I585" s="5">
        <f ca="1">IFERROR(__xludf.DUMMYFUNCTION("""COMPUTED_VALUE"""),10)</f>
        <v>10</v>
      </c>
      <c r="J585" s="5" t="str">
        <f ca="1">IFERROR(__xludf.DUMMYFUNCTION("""COMPUTED_VALUE"""),"Local")</f>
        <v>Local</v>
      </c>
      <c r="K585" s="5">
        <f ca="1">IFERROR(__xludf.DUMMYFUNCTION("""COMPUTED_VALUE"""),4)</f>
        <v>4</v>
      </c>
      <c r="L585" s="5" t="str">
        <f ca="1">IFERROR(__xludf.DUMMYFUNCTION("""COMPUTED_VALUE"""),"Fall")</f>
        <v>Fall</v>
      </c>
      <c r="M585" s="5" t="str">
        <f ca="1">IFERROR(__xludf.DUMMYFUNCTION("""COMPUTED_VALUE"""),"Santa Rosa")</f>
        <v>Santa Rosa</v>
      </c>
      <c r="N585" s="5" t="str">
        <f ca="1">IFERROR(__xludf.DUMMYFUNCTION("""COMPUTED_VALUE"""),"CA")</f>
        <v>CA</v>
      </c>
      <c r="O585" s="5" t="str">
        <f ca="1">IFERROR(__xludf.DUMMYFUNCTION("""COMPUTED_VALUE"""),"High")</f>
        <v>High</v>
      </c>
      <c r="P585" s="5" t="str">
        <f ca="1">IFERROR(__xludf.DUMMYFUNCTION("""COMPUTED_VALUE"""),"Beside Building")</f>
        <v>Beside Building</v>
      </c>
      <c r="Q585" s="5" t="str">
        <f ca="1">IFERROR(__xludf.DUMMYFUNCTION("""COMPUTED_VALUE"""),"Outside on School Property")</f>
        <v>Outside on School Property</v>
      </c>
      <c r="R585" s="5" t="str">
        <f ca="1">IFERROR(__xludf.DUMMYFUNCTION("""COMPUTED_VALUE"""),"Yes")</f>
        <v>Yes</v>
      </c>
      <c r="S585" s="5" t="str">
        <f ca="1">IFERROR(__xludf.DUMMYFUNCTION("""COMPUTED_VALUE"""),"Morning Classes")</f>
        <v>Morning Classes</v>
      </c>
      <c r="T585" s="10">
        <f ca="1">IFERROR(__xludf.DUMMYFUNCTION("""COMPUTED_VALUE"""),0.372222222222222)</f>
        <v>0.37222222222222201</v>
      </c>
      <c r="U585" s="5">
        <f ca="1">IFERROR(__xludf.DUMMYFUNCTION("""COMPUTED_VALUE"""),1)</f>
        <v>1</v>
      </c>
      <c r="V585"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W585"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X585" s="5" t="str">
        <f ca="1">IFERROR(__xludf.DUMMYFUNCTION("""COMPUTED_VALUE"""),"Escalation of Dispute")</f>
        <v>Escalation of Dispute</v>
      </c>
      <c r="Y585" s="5" t="str">
        <f ca="1">IFERROR(__xludf.DUMMYFUNCTION("""COMPUTED_VALUE"""),"Victims Targeted")</f>
        <v>Victims Targeted</v>
      </c>
      <c r="Z585" s="5" t="str">
        <f ca="1">IFERROR(__xludf.DUMMYFUNCTION("""COMPUTED_VALUE"""),"Yes")</f>
        <v>Yes</v>
      </c>
      <c r="AA585" s="5" t="str">
        <f ca="1">IFERROR(__xludf.DUMMYFUNCTION("""COMPUTED_VALUE"""),"Handed gun off to unknown person in parking lot who drove away from the scene")</f>
        <v>Handed gun off to unknown person in parking lot who drove away from the scene</v>
      </c>
      <c r="AB585" s="5" t="str">
        <f ca="1">IFERROR(__xludf.DUMMYFUNCTION("""COMPUTED_VALUE"""),"No")</f>
        <v>No</v>
      </c>
      <c r="AC585" s="5" t="str">
        <f ca="1">IFERROR(__xludf.DUMMYFUNCTION("""COMPUTED_VALUE"""),"No")</f>
        <v>No</v>
      </c>
      <c r="AD585" s="5" t="str">
        <f ca="1">IFERROR(__xludf.DUMMYFUNCTION("""COMPUTED_VALUE"""),"No")</f>
        <v>No</v>
      </c>
      <c r="AE585" s="5" t="str">
        <f ca="1">IFERROR(__xludf.DUMMYFUNCTION("""COMPUTED_VALUE"""),"No")</f>
        <v>No</v>
      </c>
      <c r="AF585" s="5" t="str">
        <f ca="1">IFERROR(__xludf.DUMMYFUNCTION("""COMPUTED_VALUE"""),"No")</f>
        <v>No</v>
      </c>
      <c r="AG585" s="5" t="str">
        <f ca="1">IFERROR(__xludf.DUMMYFUNCTION("""COMPUTED_VALUE"""),"Yes")</f>
        <v>Yes</v>
      </c>
      <c r="AH585" s="5" t="str">
        <f ca="1">IFERROR(__xludf.DUMMYFUNCTION("""COMPUTED_VALUE"""),"No")</f>
        <v>No</v>
      </c>
    </row>
    <row r="586" spans="1:34" ht="12.75">
      <c r="A586" s="5" t="str">
        <f ca="1">IFERROR(__xludf.DUMMYFUNCTION("""COMPUTED_VALUE"""),"20191018OHWOT")</f>
        <v>20191018OHWOT</v>
      </c>
      <c r="B586" s="8">
        <f ca="1">IFERROR(__xludf.DUMMYFUNCTION("""COMPUTED_VALUE"""),43756)</f>
        <v>43756</v>
      </c>
      <c r="C586" s="5" t="str">
        <f ca="1">IFERROR(__xludf.DUMMYFUNCTION("""COMPUTED_VALUE"""),"Woodward High School")</f>
        <v>Woodward High School</v>
      </c>
      <c r="D586" s="5">
        <f ca="1">IFERROR(__xludf.DUMMYFUNCTION("""COMPUTED_VALUE"""),0)</f>
        <v>0</v>
      </c>
      <c r="E586" s="5">
        <f ca="1">IFERROR(__xludf.DUMMYFUNCTION("""COMPUTED_VALUE"""),0)</f>
        <v>0</v>
      </c>
      <c r="F586" s="5">
        <f ca="1">IFERROR(__xludf.DUMMYFUNCTION("""COMPUTED_VALUE"""),0)</f>
        <v>0</v>
      </c>
      <c r="G586" s="5">
        <f ca="1">IFERROR(__xludf.DUMMYFUNCTION("""COMPUTED_VALUE"""),0)</f>
        <v>0</v>
      </c>
      <c r="H586" s="9" t="str">
        <f ca="1">IFERROR(__xludf.DUMMYFUNCTION("""COMPUTED_VALUE"""),"https://www.13abc.com/content/news/Shots-fired-at-Woodward-High-School-football-game-against-Rogers-563419051.html")</f>
        <v>https://www.13abc.com/content/news/Shots-fired-at-Woodward-High-School-football-game-against-Rogers-563419051.html</v>
      </c>
      <c r="I586" s="5"/>
      <c r="J586" s="5"/>
      <c r="K586" s="5">
        <f ca="1">IFERROR(__xludf.DUMMYFUNCTION("""COMPUTED_VALUE"""),4)</f>
        <v>4</v>
      </c>
      <c r="L586" s="5" t="str">
        <f ca="1">IFERROR(__xludf.DUMMYFUNCTION("""COMPUTED_VALUE"""),"Fall")</f>
        <v>Fall</v>
      </c>
      <c r="M586" s="5" t="str">
        <f ca="1">IFERROR(__xludf.DUMMYFUNCTION("""COMPUTED_VALUE"""),"Toledo")</f>
        <v>Toledo</v>
      </c>
      <c r="N586" s="5" t="str">
        <f ca="1">IFERROR(__xludf.DUMMYFUNCTION("""COMPUTED_VALUE"""),"OH")</f>
        <v>OH</v>
      </c>
      <c r="O586" s="5" t="str">
        <f ca="1">IFERROR(__xludf.DUMMYFUNCTION("""COMPUTED_VALUE"""),"High")</f>
        <v>High</v>
      </c>
      <c r="P586" s="5" t="str">
        <f ca="1">IFERROR(__xludf.DUMMYFUNCTION("""COMPUTED_VALUE"""),"Football Field/Track")</f>
        <v>Football Field/Track</v>
      </c>
      <c r="Q586" s="5" t="str">
        <f ca="1">IFERROR(__xludf.DUMMYFUNCTION("""COMPUTED_VALUE"""),"Outside on School Property")</f>
        <v>Outside on School Property</v>
      </c>
      <c r="R586" s="5" t="str">
        <f ca="1">IFERROR(__xludf.DUMMYFUNCTION("""COMPUTED_VALUE"""),"No")</f>
        <v>No</v>
      </c>
      <c r="S586" s="5" t="str">
        <f ca="1">IFERROR(__xludf.DUMMYFUNCTION("""COMPUTED_VALUE"""),"Sport Event")</f>
        <v>Sport Event</v>
      </c>
      <c r="T586" s="10">
        <f ca="1">IFERROR(__xludf.DUMMYFUNCTION("""COMPUTED_VALUE"""),0.877777777777777)</f>
        <v>0.87777777777777699</v>
      </c>
      <c r="U586" s="5">
        <f ca="1">IFERROR(__xludf.DUMMYFUNCTION("""COMPUTED_VALUE"""),1)</f>
        <v>1</v>
      </c>
      <c r="V586" s="5" t="str">
        <f ca="1">IFERROR(__xludf.DUMMYFUNCTION("""COMPUTED_VALUE"""),"Shots fired during football game, stadium evacuated")</f>
        <v>Shots fired during football game, stadium evacuated</v>
      </c>
      <c r="W586"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X586" s="5" t="str">
        <f ca="1">IFERROR(__xludf.DUMMYFUNCTION("""COMPUTED_VALUE"""),"Escalation of Dispute")</f>
        <v>Escalation of Dispute</v>
      </c>
      <c r="Y586" s="5"/>
      <c r="Z586" s="5"/>
      <c r="AA586" s="5"/>
      <c r="AB586" s="5" t="str">
        <f ca="1">IFERROR(__xludf.DUMMYFUNCTION("""COMPUTED_VALUE"""),"No")</f>
        <v>No</v>
      </c>
      <c r="AC586" s="5" t="str">
        <f ca="1">IFERROR(__xludf.DUMMYFUNCTION("""COMPUTED_VALUE"""),"No")</f>
        <v>No</v>
      </c>
      <c r="AD586" s="5" t="str">
        <f ca="1">IFERROR(__xludf.DUMMYFUNCTION("""COMPUTED_VALUE"""),"No")</f>
        <v>No</v>
      </c>
      <c r="AE586" s="5" t="str">
        <f ca="1">IFERROR(__xludf.DUMMYFUNCTION("""COMPUTED_VALUE"""),"No")</f>
        <v>No</v>
      </c>
      <c r="AF586" s="5" t="str">
        <f ca="1">IFERROR(__xludf.DUMMYFUNCTION("""COMPUTED_VALUE"""),"No")</f>
        <v>No</v>
      </c>
      <c r="AG586" s="5"/>
      <c r="AH586" s="5" t="str">
        <f ca="1">IFERROR(__xludf.DUMMYFUNCTION("""COMPUTED_VALUE"""),"No")</f>
        <v>No</v>
      </c>
    </row>
    <row r="587" spans="1:34" ht="12.75">
      <c r="A587" s="5" t="str">
        <f ca="1">IFERROR(__xludf.DUMMYFUNCTION("""COMPUTED_VALUE"""),"20191018GACRS")</f>
        <v>20191018GACRS</v>
      </c>
      <c r="B587" s="8">
        <f ca="1">IFERROR(__xludf.DUMMYFUNCTION("""COMPUTED_VALUE"""),43756)</f>
        <v>43756</v>
      </c>
      <c r="C587" s="5" t="str">
        <f ca="1">IFERROR(__xludf.DUMMYFUNCTION("""COMPUTED_VALUE"""),"Creekside High School")</f>
        <v>Creekside High School</v>
      </c>
      <c r="D587" s="5">
        <f ca="1">IFERROR(__xludf.DUMMYFUNCTION("""COMPUTED_VALUE"""),0)</f>
        <v>0</v>
      </c>
      <c r="E587" s="5">
        <f ca="1">IFERROR(__xludf.DUMMYFUNCTION("""COMPUTED_VALUE"""),1)</f>
        <v>1</v>
      </c>
      <c r="F587" s="5">
        <f ca="1">IFERROR(__xludf.DUMMYFUNCTION("""COMPUTED_VALUE"""),1)</f>
        <v>1</v>
      </c>
      <c r="G587" s="5">
        <f ca="1">IFERROR(__xludf.DUMMYFUNCTION("""COMPUTED_VALUE"""),0)</f>
        <v>0</v>
      </c>
      <c r="H587"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I587" s="5"/>
      <c r="J587" s="5"/>
      <c r="K587" s="5">
        <f ca="1">IFERROR(__xludf.DUMMYFUNCTION("""COMPUTED_VALUE"""),4)</f>
        <v>4</v>
      </c>
      <c r="L587" s="5" t="str">
        <f ca="1">IFERROR(__xludf.DUMMYFUNCTION("""COMPUTED_VALUE"""),"Fall")</f>
        <v>Fall</v>
      </c>
      <c r="M587" s="5" t="str">
        <f ca="1">IFERROR(__xludf.DUMMYFUNCTION("""COMPUTED_VALUE"""),"South Fulton")</f>
        <v>South Fulton</v>
      </c>
      <c r="N587" s="5" t="str">
        <f ca="1">IFERROR(__xludf.DUMMYFUNCTION("""COMPUTED_VALUE"""),"GA")</f>
        <v>GA</v>
      </c>
      <c r="O587" s="5" t="str">
        <f ca="1">IFERROR(__xludf.DUMMYFUNCTION("""COMPUTED_VALUE"""),"High")</f>
        <v>High</v>
      </c>
      <c r="P587" s="5" t="str">
        <f ca="1">IFERROR(__xludf.DUMMYFUNCTION("""COMPUTED_VALUE"""),"Beside Building")</f>
        <v>Beside Building</v>
      </c>
      <c r="Q587" s="5" t="str">
        <f ca="1">IFERROR(__xludf.DUMMYFUNCTION("""COMPUTED_VALUE"""),"Outside on School Property")</f>
        <v>Outside on School Property</v>
      </c>
      <c r="R587" s="5" t="str">
        <f ca="1">IFERROR(__xludf.DUMMYFUNCTION("""COMPUTED_VALUE"""),"No")</f>
        <v>No</v>
      </c>
      <c r="S587" s="5" t="str">
        <f ca="1">IFERROR(__xludf.DUMMYFUNCTION("""COMPUTED_VALUE"""),"Sport Event")</f>
        <v>Sport Event</v>
      </c>
      <c r="T587" s="10">
        <f ca="1">IFERROR(__xludf.DUMMYFUNCTION("""COMPUTED_VALUE"""),0.916666666666666)</f>
        <v>0.91666666666666596</v>
      </c>
      <c r="U587" s="5">
        <f ca="1">IFERROR(__xludf.DUMMYFUNCTION("""COMPUTED_VALUE"""),1)</f>
        <v>1</v>
      </c>
      <c r="V587" s="5" t="str">
        <f ca="1">IFERROR(__xludf.DUMMYFUNCTION("""COMPUTED_VALUE"""),"Unidentified male shot behind school during football game")</f>
        <v>Unidentified male shot behind school during football game</v>
      </c>
      <c r="W587"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X587" s="5" t="str">
        <f ca="1">IFERROR(__xludf.DUMMYFUNCTION("""COMPUTED_VALUE"""),"Unknown")</f>
        <v>Unknown</v>
      </c>
      <c r="Y587" s="5"/>
      <c r="Z587" s="5"/>
      <c r="AA587" s="5"/>
      <c r="AB587" s="5" t="str">
        <f ca="1">IFERROR(__xludf.DUMMYFUNCTION("""COMPUTED_VALUE"""),"No")</f>
        <v>No</v>
      </c>
      <c r="AC587" s="5" t="str">
        <f ca="1">IFERROR(__xludf.DUMMYFUNCTION("""COMPUTED_VALUE"""),"No")</f>
        <v>No</v>
      </c>
      <c r="AD587" s="5" t="str">
        <f ca="1">IFERROR(__xludf.DUMMYFUNCTION("""COMPUTED_VALUE"""),"No")</f>
        <v>No</v>
      </c>
      <c r="AE587" s="5"/>
      <c r="AF587" s="5"/>
      <c r="AG587" s="5"/>
      <c r="AH587" s="5" t="str">
        <f ca="1">IFERROR(__xludf.DUMMYFUNCTION("""COMPUTED_VALUE"""),"No")</f>
        <v>No</v>
      </c>
    </row>
    <row r="588" spans="1:34" ht="12.75">
      <c r="A588" s="5" t="str">
        <f ca="1">IFERROR(__xludf.DUMMYFUNCTION("""COMPUTED_VALUE"""),"20190918MNFOC")</f>
        <v>20190918MNFOC</v>
      </c>
      <c r="B588" s="8">
        <f ca="1">IFERROR(__xludf.DUMMYFUNCTION("""COMPUTED_VALUE"""),43756)</f>
        <v>43756</v>
      </c>
      <c r="C588" s="5" t="str">
        <f ca="1">IFERROR(__xludf.DUMMYFUNCTION("""COMPUTED_VALUE"""),"Fond Du Lac Ojibwe High School")</f>
        <v>Fond Du Lac Ojibwe High School</v>
      </c>
      <c r="D588" s="5">
        <f ca="1">IFERROR(__xludf.DUMMYFUNCTION("""COMPUTED_VALUE"""),0)</f>
        <v>0</v>
      </c>
      <c r="E588" s="5">
        <f ca="1">IFERROR(__xludf.DUMMYFUNCTION("""COMPUTED_VALUE"""),1)</f>
        <v>1</v>
      </c>
      <c r="F588" s="5">
        <f ca="1">IFERROR(__xludf.DUMMYFUNCTION("""COMPUTED_VALUE"""),1)</f>
        <v>1</v>
      </c>
      <c r="G588" s="5">
        <f ca="1">IFERROR(__xludf.DUMMYFUNCTION("""COMPUTED_VALUE"""),0)</f>
        <v>0</v>
      </c>
      <c r="H588"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I588" s="5">
        <f ca="1">IFERROR(__xludf.DUMMYFUNCTION("""COMPUTED_VALUE"""),3)</f>
        <v>3</v>
      </c>
      <c r="J588" s="5" t="str">
        <f ca="1">IFERROR(__xludf.DUMMYFUNCTION("""COMPUTED_VALUE"""),"Regional")</f>
        <v>Regional</v>
      </c>
      <c r="K588" s="5">
        <f ca="1">IFERROR(__xludf.DUMMYFUNCTION("""COMPUTED_VALUE"""),5)</f>
        <v>5</v>
      </c>
      <c r="L588" s="5" t="str">
        <f ca="1">IFERROR(__xludf.DUMMYFUNCTION("""COMPUTED_VALUE"""),"Fall")</f>
        <v>Fall</v>
      </c>
      <c r="M588" s="5" t="str">
        <f ca="1">IFERROR(__xludf.DUMMYFUNCTION("""COMPUTED_VALUE"""),"Cloquet")</f>
        <v>Cloquet</v>
      </c>
      <c r="N588" s="5" t="str">
        <f ca="1">IFERROR(__xludf.DUMMYFUNCTION("""COMPUTED_VALUE"""),"MN")</f>
        <v>MN</v>
      </c>
      <c r="O588" s="5" t="str">
        <f ca="1">IFERROR(__xludf.DUMMYFUNCTION("""COMPUTED_VALUE"""),"High")</f>
        <v>High</v>
      </c>
      <c r="P588" s="5" t="str">
        <f ca="1">IFERROR(__xludf.DUMMYFUNCTION("""COMPUTED_VALUE"""),"Outside on School Property")</f>
        <v>Outside on School Property</v>
      </c>
      <c r="Q588" s="5" t="str">
        <f ca="1">IFERROR(__xludf.DUMMYFUNCTION("""COMPUTED_VALUE"""),"Outside on School Property")</f>
        <v>Outside on School Property</v>
      </c>
      <c r="R588" s="5" t="str">
        <f ca="1">IFERROR(__xludf.DUMMYFUNCTION("""COMPUTED_VALUE"""),"Yes")</f>
        <v>Yes</v>
      </c>
      <c r="S588" s="5"/>
      <c r="T588" s="10">
        <f ca="1">IFERROR(__xludf.DUMMYFUNCTION("""COMPUTED_VALUE"""),0.416666666666666)</f>
        <v>0.41666666666666602</v>
      </c>
      <c r="U588" s="5">
        <f ca="1">IFERROR(__xludf.DUMMYFUNCTION("""COMPUTED_VALUE"""),1)</f>
        <v>1</v>
      </c>
      <c r="V588" s="5" t="str">
        <f ca="1">IFERROR(__xludf.DUMMYFUNCTION("""COMPUTED_VALUE"""),"Man shot his sister's boyfriend in the head")</f>
        <v>Man shot his sister's boyfriend in the head</v>
      </c>
      <c r="W588"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X588" s="5" t="str">
        <f ca="1">IFERROR(__xludf.DUMMYFUNCTION("""COMPUTED_VALUE"""),"Domestic w/ Targeted Victim")</f>
        <v>Domestic w/ Targeted Victim</v>
      </c>
      <c r="Y588" s="5" t="str">
        <f ca="1">IFERROR(__xludf.DUMMYFUNCTION("""COMPUTED_VALUE"""),"Victims Targeted")</f>
        <v>Victims Targeted</v>
      </c>
      <c r="Z588" s="5" t="str">
        <f ca="1">IFERROR(__xludf.DUMMYFUNCTION("""COMPUTED_VALUE"""),"No")</f>
        <v>No</v>
      </c>
      <c r="AA588" s="5"/>
      <c r="AB588" s="5" t="str">
        <f ca="1">IFERROR(__xludf.DUMMYFUNCTION("""COMPUTED_VALUE"""),"No")</f>
        <v>No</v>
      </c>
      <c r="AC588" s="5" t="str">
        <f ca="1">IFERROR(__xludf.DUMMYFUNCTION("""COMPUTED_VALUE"""),"No")</f>
        <v>No</v>
      </c>
      <c r="AD588" s="5" t="str">
        <f ca="1">IFERROR(__xludf.DUMMYFUNCTION("""COMPUTED_VALUE"""),"No")</f>
        <v>No</v>
      </c>
      <c r="AE588" s="5" t="str">
        <f ca="1">IFERROR(__xludf.DUMMYFUNCTION("""COMPUTED_VALUE"""),"No")</f>
        <v>No</v>
      </c>
      <c r="AF588" s="5" t="str">
        <f ca="1">IFERROR(__xludf.DUMMYFUNCTION("""COMPUTED_VALUE"""),"Yes")</f>
        <v>Yes</v>
      </c>
      <c r="AG588" s="5" t="str">
        <f ca="1">IFERROR(__xludf.DUMMYFUNCTION("""COMPUTED_VALUE"""),"No")</f>
        <v>No</v>
      </c>
      <c r="AH588" s="5" t="str">
        <f ca="1">IFERROR(__xludf.DUMMYFUNCTION("""COMPUTED_VALUE"""),"No")</f>
        <v>No</v>
      </c>
    </row>
    <row r="589" spans="1:34" ht="12.75">
      <c r="A589" s="5" t="str">
        <f ca="1">IFERROR(__xludf.DUMMYFUNCTION("""COMPUTED_VALUE"""),"20191015LAGEN")</f>
        <v>20191015LAGEN</v>
      </c>
      <c r="B589" s="8">
        <f ca="1">IFERROR(__xludf.DUMMYFUNCTION("""COMPUTED_VALUE"""),43753)</f>
        <v>43753</v>
      </c>
      <c r="C589" s="5" t="str">
        <f ca="1">IFERROR(__xludf.DUMMYFUNCTION("""COMPUTED_VALUE"""),"George Washington Carver High School")</f>
        <v>George Washington Carver High School</v>
      </c>
      <c r="D589" s="5">
        <f ca="1">IFERROR(__xludf.DUMMYFUNCTION("""COMPUTED_VALUE"""),0)</f>
        <v>0</v>
      </c>
      <c r="E589" s="5">
        <f ca="1">IFERROR(__xludf.DUMMYFUNCTION("""COMPUTED_VALUE"""),1)</f>
        <v>1</v>
      </c>
      <c r="F589" s="5">
        <f ca="1">IFERROR(__xludf.DUMMYFUNCTION("""COMPUTED_VALUE"""),1)</f>
        <v>1</v>
      </c>
      <c r="G589" s="5">
        <f ca="1">IFERROR(__xludf.DUMMYFUNCTION("""COMPUTED_VALUE"""),0)</f>
        <v>0</v>
      </c>
      <c r="H589"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I589" s="5"/>
      <c r="J589" s="5"/>
      <c r="K589" s="5">
        <f ca="1">IFERROR(__xludf.DUMMYFUNCTION("""COMPUTED_VALUE"""),4)</f>
        <v>4</v>
      </c>
      <c r="L589" s="5" t="str">
        <f ca="1">IFERROR(__xludf.DUMMYFUNCTION("""COMPUTED_VALUE"""),"Fall")</f>
        <v>Fall</v>
      </c>
      <c r="M589" s="5" t="str">
        <f ca="1">IFERROR(__xludf.DUMMYFUNCTION("""COMPUTED_VALUE"""),"New Orleans")</f>
        <v>New Orleans</v>
      </c>
      <c r="N589" s="5" t="str">
        <f ca="1">IFERROR(__xludf.DUMMYFUNCTION("""COMPUTED_VALUE"""),"LA")</f>
        <v>LA</v>
      </c>
      <c r="O589" s="5" t="str">
        <f ca="1">IFERROR(__xludf.DUMMYFUNCTION("""COMPUTED_VALUE"""),"High")</f>
        <v>High</v>
      </c>
      <c r="P589" s="5" t="str">
        <f ca="1">IFERROR(__xludf.DUMMYFUNCTION("""COMPUTED_VALUE"""),"Off School Property")</f>
        <v>Off School Property</v>
      </c>
      <c r="Q589" s="5" t="str">
        <f ca="1">IFERROR(__xludf.DUMMYFUNCTION("""COMPUTED_VALUE"""),"Off School Property")</f>
        <v>Off School Property</v>
      </c>
      <c r="R589" s="5" t="str">
        <f ca="1">IFERROR(__xludf.DUMMYFUNCTION("""COMPUTED_VALUE"""),"Yes")</f>
        <v>Yes</v>
      </c>
      <c r="S589" s="5" t="str">
        <f ca="1">IFERROR(__xludf.DUMMYFUNCTION("""COMPUTED_VALUE"""),"Morning Classes")</f>
        <v>Morning Classes</v>
      </c>
      <c r="T589" s="10">
        <f ca="1">IFERROR(__xludf.DUMMYFUNCTION("""COMPUTED_VALUE"""),0.402777777777777)</f>
        <v>0.40277777777777701</v>
      </c>
      <c r="U589" s="5">
        <f ca="1">IFERROR(__xludf.DUMMYFUNCTION("""COMPUTED_VALUE"""),1)</f>
        <v>1</v>
      </c>
      <c r="V589" s="5" t="str">
        <f ca="1">IFERROR(__xludf.DUMMYFUNCTION("""COMPUTED_VALUE"""),"Student shot near school, ran inside school for assistance, school locked down then dismissed")</f>
        <v>Student shot near school, ran inside school for assistance, school locked down then dismissed</v>
      </c>
      <c r="W589"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X589" s="5" t="str">
        <f ca="1">IFERROR(__xludf.DUMMYFUNCTION("""COMPUTED_VALUE"""),"Escalation of Dispute")</f>
        <v>Escalation of Dispute</v>
      </c>
      <c r="Y589" s="5"/>
      <c r="Z589" s="5"/>
      <c r="AA589" s="5"/>
      <c r="AB589" s="5" t="str">
        <f ca="1">IFERROR(__xludf.DUMMYFUNCTION("""COMPUTED_VALUE"""),"No")</f>
        <v>No</v>
      </c>
      <c r="AC589" s="5" t="str">
        <f ca="1">IFERROR(__xludf.DUMMYFUNCTION("""COMPUTED_VALUE"""),"No")</f>
        <v>No</v>
      </c>
      <c r="AD589" s="5" t="str">
        <f ca="1">IFERROR(__xludf.DUMMYFUNCTION("""COMPUTED_VALUE"""),"No")</f>
        <v>No</v>
      </c>
      <c r="AE589" s="5" t="str">
        <f ca="1">IFERROR(__xludf.DUMMYFUNCTION("""COMPUTED_VALUE"""),"No")</f>
        <v>No</v>
      </c>
      <c r="AF589" s="5" t="str">
        <f ca="1">IFERROR(__xludf.DUMMYFUNCTION("""COMPUTED_VALUE"""),"No")</f>
        <v>No</v>
      </c>
      <c r="AG589" s="5"/>
      <c r="AH589" s="5" t="str">
        <f ca="1">IFERROR(__xludf.DUMMYFUNCTION("""COMPUTED_VALUE"""),"No")</f>
        <v>No</v>
      </c>
    </row>
    <row r="590" spans="1:34" ht="12.75">
      <c r="A590" s="5" t="str">
        <f ca="1">IFERROR(__xludf.DUMMYFUNCTION("""COMPUTED_VALUE"""),"20191011LARAR")</f>
        <v>20191011LARAR</v>
      </c>
      <c r="B590" s="8">
        <f ca="1">IFERROR(__xludf.DUMMYFUNCTION("""COMPUTED_VALUE"""),43749)</f>
        <v>43749</v>
      </c>
      <c r="C590" s="5" t="str">
        <f ca="1">IFERROR(__xludf.DUMMYFUNCTION("""COMPUTED_VALUE"""),"Rayne High School")</f>
        <v>Rayne High School</v>
      </c>
      <c r="D590" s="5">
        <f ca="1">IFERROR(__xludf.DUMMYFUNCTION("""COMPUTED_VALUE"""),0)</f>
        <v>0</v>
      </c>
      <c r="E590" s="5">
        <f ca="1">IFERROR(__xludf.DUMMYFUNCTION("""COMPUTED_VALUE"""),0)</f>
        <v>0</v>
      </c>
      <c r="F590" s="5">
        <f ca="1">IFERROR(__xludf.DUMMYFUNCTION("""COMPUTED_VALUE"""),0)</f>
        <v>0</v>
      </c>
      <c r="G590" s="5">
        <f ca="1">IFERROR(__xludf.DUMMYFUNCTION("""COMPUTED_VALUE"""),0)</f>
        <v>0</v>
      </c>
      <c r="H590" s="9" t="str">
        <f ca="1">IFERROR(__xludf.DUMMYFUNCTION("""COMPUTED_VALUE"""),"https://www.katc.com/news/acadia-parish/police-confirm-arrest-of-second-suspect-in-shooting-near-rayne-hs-stadium")</f>
        <v>https://www.katc.com/news/acadia-parish/police-confirm-arrest-of-second-suspect-in-shooting-near-rayne-hs-stadium</v>
      </c>
      <c r="I590" s="5"/>
      <c r="J590" s="5"/>
      <c r="K590" s="5">
        <f ca="1">IFERROR(__xludf.DUMMYFUNCTION("""COMPUTED_VALUE"""),4)</f>
        <v>4</v>
      </c>
      <c r="L590" s="5" t="str">
        <f ca="1">IFERROR(__xludf.DUMMYFUNCTION("""COMPUTED_VALUE"""),"Fall")</f>
        <v>Fall</v>
      </c>
      <c r="M590" s="5" t="str">
        <f ca="1">IFERROR(__xludf.DUMMYFUNCTION("""COMPUTED_VALUE"""),"Rayne")</f>
        <v>Rayne</v>
      </c>
      <c r="N590" s="5" t="str">
        <f ca="1">IFERROR(__xludf.DUMMYFUNCTION("""COMPUTED_VALUE"""),"LA")</f>
        <v>LA</v>
      </c>
      <c r="O590" s="5" t="str">
        <f ca="1">IFERROR(__xludf.DUMMYFUNCTION("""COMPUTED_VALUE"""),"High")</f>
        <v>High</v>
      </c>
      <c r="P590" s="5" t="str">
        <f ca="1">IFERROR(__xludf.DUMMYFUNCTION("""COMPUTED_VALUE"""),"Parking Lot")</f>
        <v>Parking Lot</v>
      </c>
      <c r="Q590" s="5" t="str">
        <f ca="1">IFERROR(__xludf.DUMMYFUNCTION("""COMPUTED_VALUE"""),"Outside on School Property")</f>
        <v>Outside on School Property</v>
      </c>
      <c r="R590" s="5" t="str">
        <f ca="1">IFERROR(__xludf.DUMMYFUNCTION("""COMPUTED_VALUE"""),"No")</f>
        <v>No</v>
      </c>
      <c r="S590" s="5" t="str">
        <f ca="1">IFERROR(__xludf.DUMMYFUNCTION("""COMPUTED_VALUE"""),"Sport Event")</f>
        <v>Sport Event</v>
      </c>
      <c r="T590" s="10">
        <f ca="1">IFERROR(__xludf.DUMMYFUNCTION("""COMPUTED_VALUE"""),0.875)</f>
        <v>0.875</v>
      </c>
      <c r="U590" s="5">
        <f ca="1">IFERROR(__xludf.DUMMYFUNCTION("""COMPUTED_VALUE"""),1)</f>
        <v>1</v>
      </c>
      <c r="V590" s="5" t="str">
        <f ca="1">IFERROR(__xludf.DUMMYFUNCTION("""COMPUTED_VALUE"""),"20 shots fired in parking lot after football game")</f>
        <v>20 shots fired in parking lot after football game</v>
      </c>
      <c r="W590"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X590" s="5" t="str">
        <f ca="1">IFERROR(__xludf.DUMMYFUNCTION("""COMPUTED_VALUE"""),"Indiscriminate Shooting")</f>
        <v>Indiscriminate Shooting</v>
      </c>
      <c r="Y590" s="5" t="str">
        <f ca="1">IFERROR(__xludf.DUMMYFUNCTION("""COMPUTED_VALUE"""),"Victims Targeted")</f>
        <v>Victims Targeted</v>
      </c>
      <c r="Z590" s="5" t="str">
        <f ca="1">IFERROR(__xludf.DUMMYFUNCTION("""COMPUTED_VALUE"""),"Yes")</f>
        <v>Yes</v>
      </c>
      <c r="AA590" s="5" t="str">
        <f ca="1">IFERROR(__xludf.DUMMYFUNCTION("""COMPUTED_VALUE"""),"3 arrested and charged")</f>
        <v>3 arrested and charged</v>
      </c>
      <c r="AB590" s="5" t="str">
        <f ca="1">IFERROR(__xludf.DUMMYFUNCTION("""COMPUTED_VALUE"""),"No")</f>
        <v>No</v>
      </c>
      <c r="AC590" s="5" t="str">
        <f ca="1">IFERROR(__xludf.DUMMYFUNCTION("""COMPUTED_VALUE"""),"No")</f>
        <v>No</v>
      </c>
      <c r="AD590" s="5" t="str">
        <f ca="1">IFERROR(__xludf.DUMMYFUNCTION("""COMPUTED_VALUE"""),"No")</f>
        <v>No</v>
      </c>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row>
    <row r="591" spans="1:34" ht="12.75">
      <c r="A591" s="5" t="str">
        <f ca="1">IFERROR(__xludf.DUMMYFUNCTION("""COMPUTED_VALUE"""),"20191009MAGRL")</f>
        <v>20191009MAGRL</v>
      </c>
      <c r="B591" s="8">
        <f ca="1">IFERROR(__xludf.DUMMYFUNCTION("""COMPUTED_VALUE"""),43747)</f>
        <v>43747</v>
      </c>
      <c r="C591" s="5" t="str">
        <f ca="1">IFERROR(__xludf.DUMMYFUNCTION("""COMPUTED_VALUE"""),"Greenhalge Elementary School")</f>
        <v>Greenhalge Elementary School</v>
      </c>
      <c r="D591" s="5">
        <f ca="1">IFERROR(__xludf.DUMMYFUNCTION("""COMPUTED_VALUE"""),0)</f>
        <v>0</v>
      </c>
      <c r="E591" s="5">
        <f ca="1">IFERROR(__xludf.DUMMYFUNCTION("""COMPUTED_VALUE"""),5)</f>
        <v>5</v>
      </c>
      <c r="F591" s="5">
        <f ca="1">IFERROR(__xludf.DUMMYFUNCTION("""COMPUTED_VALUE"""),5)</f>
        <v>5</v>
      </c>
      <c r="G591" s="5">
        <f ca="1">IFERROR(__xludf.DUMMYFUNCTION("""COMPUTED_VALUE"""),0)</f>
        <v>0</v>
      </c>
      <c r="H591"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I591" s="5"/>
      <c r="J591" s="5"/>
      <c r="K591" s="5">
        <f ca="1">IFERROR(__xludf.DUMMYFUNCTION("""COMPUTED_VALUE"""),4)</f>
        <v>4</v>
      </c>
      <c r="L591" s="5" t="str">
        <f ca="1">IFERROR(__xludf.DUMMYFUNCTION("""COMPUTED_VALUE"""),"Fall")</f>
        <v>Fall</v>
      </c>
      <c r="M591" s="5" t="str">
        <f ca="1">IFERROR(__xludf.DUMMYFUNCTION("""COMPUTED_VALUE"""),"Lowell")</f>
        <v>Lowell</v>
      </c>
      <c r="N591" s="5" t="str">
        <f ca="1">IFERROR(__xludf.DUMMYFUNCTION("""COMPUTED_VALUE"""),"MA")</f>
        <v>MA</v>
      </c>
      <c r="O591" s="5" t="str">
        <f ca="1">IFERROR(__xludf.DUMMYFUNCTION("""COMPUTED_VALUE"""),"Elementary")</f>
        <v>Elementary</v>
      </c>
      <c r="P591" s="5" t="str">
        <f ca="1">IFERROR(__xludf.DUMMYFUNCTION("""COMPUTED_VALUE"""),"Playground")</f>
        <v>Playground</v>
      </c>
      <c r="Q591" s="5" t="str">
        <f ca="1">IFERROR(__xludf.DUMMYFUNCTION("""COMPUTED_VALUE"""),"Outside on School Property")</f>
        <v>Outside on School Property</v>
      </c>
      <c r="R591" s="5" t="str">
        <f ca="1">IFERROR(__xludf.DUMMYFUNCTION("""COMPUTED_VALUE"""),"No")</f>
        <v>No</v>
      </c>
      <c r="S591" s="5" t="str">
        <f ca="1">IFERROR(__xludf.DUMMYFUNCTION("""COMPUTED_VALUE"""),"After School")</f>
        <v>After School</v>
      </c>
      <c r="T591" s="10">
        <f ca="1">IFERROR(__xludf.DUMMYFUNCTION("""COMPUTED_VALUE"""),0.565277777777777)</f>
        <v>0.56527777777777699</v>
      </c>
      <c r="U591" s="5"/>
      <c r="V591" s="5" t="str">
        <f ca="1">IFERROR(__xludf.DUMMYFUNCTION("""COMPUTED_VALUE"""),"Three teens on bicycles fired bb guns at the students on the playground.")</f>
        <v>Three teens on bicycles fired bb guns at the students on the playground.</v>
      </c>
      <c r="W591"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X591" s="5" t="str">
        <f ca="1">IFERROR(__xludf.DUMMYFUNCTION("""COMPUTED_VALUE"""),"Indiscriminate Shooting")</f>
        <v>Indiscriminate Shooting</v>
      </c>
      <c r="Y591" s="5" t="str">
        <f ca="1">IFERROR(__xludf.DUMMYFUNCTION("""COMPUTED_VALUE"""),"Random Shooting")</f>
        <v>Random Shooting</v>
      </c>
      <c r="Z591" s="5" t="str">
        <f ca="1">IFERROR(__xludf.DUMMYFUNCTION("""COMPUTED_VALUE"""),"Yes")</f>
        <v>Yes</v>
      </c>
      <c r="AA591" s="5" t="str">
        <f ca="1">IFERROR(__xludf.DUMMYFUNCTION("""COMPUTED_VALUE"""),"3 teens involved, 2 had bb guns")</f>
        <v>3 teens involved, 2 had bb guns</v>
      </c>
      <c r="AB591" s="5" t="str">
        <f ca="1">IFERROR(__xludf.DUMMYFUNCTION("""COMPUTED_VALUE"""),"No")</f>
        <v>No</v>
      </c>
      <c r="AC591" s="5" t="str">
        <f ca="1">IFERROR(__xludf.DUMMYFUNCTION("""COMPUTED_VALUE"""),"No")</f>
        <v>No</v>
      </c>
      <c r="AD591" s="5" t="str">
        <f ca="1">IFERROR(__xludf.DUMMYFUNCTION("""COMPUTED_VALUE"""),"No")</f>
        <v>No</v>
      </c>
      <c r="AE591" s="5"/>
      <c r="AF591" s="5" t="str">
        <f ca="1">IFERROR(__xludf.DUMMYFUNCTION("""COMPUTED_VALUE"""),"No")</f>
        <v>No</v>
      </c>
      <c r="AG591" s="5" t="str">
        <f ca="1">IFERROR(__xludf.DUMMYFUNCTION("""COMPUTED_VALUE"""),"No")</f>
        <v>No</v>
      </c>
      <c r="AH591" s="5" t="str">
        <f ca="1">IFERROR(__xludf.DUMMYFUNCTION("""COMPUTED_VALUE"""),"No")</f>
        <v>No</v>
      </c>
    </row>
    <row r="592" spans="1:34" ht="12.75">
      <c r="A592" s="5" t="str">
        <f ca="1">IFERROR(__xludf.DUMMYFUNCTION("""COMPUTED_VALUE"""),"20191008TXWEH")</f>
        <v>20191008TXWEH</v>
      </c>
      <c r="B592" s="8">
        <f ca="1">IFERROR(__xludf.DUMMYFUNCTION("""COMPUTED_VALUE"""),43746)</f>
        <v>43746</v>
      </c>
      <c r="C592" s="5" t="str">
        <f ca="1">IFERROR(__xludf.DUMMYFUNCTION("""COMPUTED_VALUE"""),"Westbury High School")</f>
        <v>Westbury High School</v>
      </c>
      <c r="D592" s="5">
        <f ca="1">IFERROR(__xludf.DUMMYFUNCTION("""COMPUTED_VALUE"""),0)</f>
        <v>0</v>
      </c>
      <c r="E592" s="5">
        <f ca="1">IFERROR(__xludf.DUMMYFUNCTION("""COMPUTED_VALUE"""),1)</f>
        <v>1</v>
      </c>
      <c r="F592" s="5">
        <f ca="1">IFERROR(__xludf.DUMMYFUNCTION("""COMPUTED_VALUE"""),1)</f>
        <v>1</v>
      </c>
      <c r="G592" s="5">
        <f ca="1">IFERROR(__xludf.DUMMYFUNCTION("""COMPUTED_VALUE"""),0)</f>
        <v>0</v>
      </c>
      <c r="H592"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I592" s="5"/>
      <c r="J592" s="5"/>
      <c r="K592" s="5">
        <f ca="1">IFERROR(__xludf.DUMMYFUNCTION("""COMPUTED_VALUE"""),4)</f>
        <v>4</v>
      </c>
      <c r="L592" s="5" t="str">
        <f ca="1">IFERROR(__xludf.DUMMYFUNCTION("""COMPUTED_VALUE"""),"Fall")</f>
        <v>Fall</v>
      </c>
      <c r="M592" s="5" t="str">
        <f ca="1">IFERROR(__xludf.DUMMYFUNCTION("""COMPUTED_VALUE"""),"Houston")</f>
        <v>Houston</v>
      </c>
      <c r="N592" s="5" t="str">
        <f ca="1">IFERROR(__xludf.DUMMYFUNCTION("""COMPUTED_VALUE"""),"TX")</f>
        <v>TX</v>
      </c>
      <c r="O592" s="5" t="str">
        <f ca="1">IFERROR(__xludf.DUMMYFUNCTION("""COMPUTED_VALUE"""),"High")</f>
        <v>High</v>
      </c>
      <c r="P592" s="5" t="str">
        <f ca="1">IFERROR(__xludf.DUMMYFUNCTION("""COMPUTED_VALUE"""),"Beside Building")</f>
        <v>Beside Building</v>
      </c>
      <c r="Q592" s="5"/>
      <c r="R592" s="5" t="str">
        <f ca="1">IFERROR(__xludf.DUMMYFUNCTION("""COMPUTED_VALUE"""),"No")</f>
        <v>No</v>
      </c>
      <c r="S592" s="5" t="str">
        <f ca="1">IFERROR(__xludf.DUMMYFUNCTION("""COMPUTED_VALUE"""),"After School")</f>
        <v>After School</v>
      </c>
      <c r="T592" s="5"/>
      <c r="U592" s="5"/>
      <c r="V592" s="5" t="str">
        <f ca="1">IFERROR(__xludf.DUMMYFUNCTION("""COMPUTED_VALUE"""),"Student shot in school, no details released")</f>
        <v>Student shot in school, no details released</v>
      </c>
      <c r="W592" s="5" t="str">
        <f ca="1">IFERROR(__xludf.DUMMYFUNCTION("""COMPUTED_VALUE"""),"Unidentified student shot after school dismissed. No other details released.")</f>
        <v>Unidentified student shot after school dismissed. No other details released.</v>
      </c>
      <c r="X592" s="5" t="str">
        <f ca="1">IFERROR(__xludf.DUMMYFUNCTION("""COMPUTED_VALUE"""),"Unknown")</f>
        <v>Unknown</v>
      </c>
      <c r="Y592" s="5"/>
      <c r="Z592" s="5" t="str">
        <f ca="1">IFERROR(__xludf.DUMMYFUNCTION("""COMPUTED_VALUE"""),"No")</f>
        <v>No</v>
      </c>
      <c r="AA592" s="5"/>
      <c r="AB592" s="5" t="str">
        <f ca="1">IFERROR(__xludf.DUMMYFUNCTION("""COMPUTED_VALUE"""),"No")</f>
        <v>No</v>
      </c>
      <c r="AC592" s="5" t="str">
        <f ca="1">IFERROR(__xludf.DUMMYFUNCTION("""COMPUTED_VALUE"""),"No")</f>
        <v>No</v>
      </c>
      <c r="AD592" s="5" t="str">
        <f ca="1">IFERROR(__xludf.DUMMYFUNCTION("""COMPUTED_VALUE"""),"No")</f>
        <v>No</v>
      </c>
      <c r="AE592" s="5"/>
      <c r="AF592" s="5"/>
      <c r="AG592" s="5"/>
      <c r="AH592" s="5" t="str">
        <f ca="1">IFERROR(__xludf.DUMMYFUNCTION("""COMPUTED_VALUE"""),"No")</f>
        <v>No</v>
      </c>
    </row>
    <row r="593" spans="1:34" ht="12.75">
      <c r="A593" s="5" t="str">
        <f ca="1">IFERROR(__xludf.DUMMYFUNCTION("""COMPUTED_VALUE"""),"20191008COSHS")</f>
        <v>20191008COSHS</v>
      </c>
      <c r="B593" s="8">
        <f ca="1">IFERROR(__xludf.DUMMYFUNCTION("""COMPUTED_VALUE"""),43746)</f>
        <v>43746</v>
      </c>
      <c r="C593" s="5" t="str">
        <f ca="1">IFERROR(__xludf.DUMMYFUNCTION("""COMPUTED_VALUE"""),"Sheridan High School")</f>
        <v>Sheridan High School</v>
      </c>
      <c r="D593" s="5">
        <f ca="1">IFERROR(__xludf.DUMMYFUNCTION("""COMPUTED_VALUE"""),0)</f>
        <v>0</v>
      </c>
      <c r="E593" s="5">
        <f ca="1">IFERROR(__xludf.DUMMYFUNCTION("""COMPUTED_VALUE"""),1)</f>
        <v>1</v>
      </c>
      <c r="F593" s="5">
        <f ca="1">IFERROR(__xludf.DUMMYFUNCTION("""COMPUTED_VALUE"""),1)</f>
        <v>1</v>
      </c>
      <c r="G593" s="5">
        <f ca="1">IFERROR(__xludf.DUMMYFUNCTION("""COMPUTED_VALUE"""),0)</f>
        <v>0</v>
      </c>
      <c r="H593"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I593" s="5"/>
      <c r="J593" s="5"/>
      <c r="K593" s="5">
        <f ca="1">IFERROR(__xludf.DUMMYFUNCTION("""COMPUTED_VALUE"""),4)</f>
        <v>4</v>
      </c>
      <c r="L593" s="5" t="str">
        <f ca="1">IFERROR(__xludf.DUMMYFUNCTION("""COMPUTED_VALUE"""),"Fall")</f>
        <v>Fall</v>
      </c>
      <c r="M593" s="5" t="str">
        <f ca="1">IFERROR(__xludf.DUMMYFUNCTION("""COMPUTED_VALUE"""),"Sheridan")</f>
        <v>Sheridan</v>
      </c>
      <c r="N593" s="5" t="str">
        <f ca="1">IFERROR(__xludf.DUMMYFUNCTION("""COMPUTED_VALUE"""),"CO")</f>
        <v>CO</v>
      </c>
      <c r="O593" s="5" t="str">
        <f ca="1">IFERROR(__xludf.DUMMYFUNCTION("""COMPUTED_VALUE"""),"High")</f>
        <v>High</v>
      </c>
      <c r="P593" s="5" t="str">
        <f ca="1">IFERROR(__xludf.DUMMYFUNCTION("""COMPUTED_VALUE"""),"Beside Building")</f>
        <v>Beside Building</v>
      </c>
      <c r="Q593" s="5" t="str">
        <f ca="1">IFERROR(__xludf.DUMMYFUNCTION("""COMPUTED_VALUE"""),"Outside on School Property")</f>
        <v>Outside on School Property</v>
      </c>
      <c r="R593" s="5" t="str">
        <f ca="1">IFERROR(__xludf.DUMMYFUNCTION("""COMPUTED_VALUE"""),"No")</f>
        <v>No</v>
      </c>
      <c r="S593" s="5" t="str">
        <f ca="1">IFERROR(__xludf.DUMMYFUNCTION("""COMPUTED_VALUE"""),"Sport Event")</f>
        <v>Sport Event</v>
      </c>
      <c r="T593" s="10">
        <f ca="1">IFERROR(__xludf.DUMMYFUNCTION("""COMPUTED_VALUE"""),0.822916666666666)</f>
        <v>0.82291666666666596</v>
      </c>
      <c r="U593" s="5">
        <f ca="1">IFERROR(__xludf.DUMMYFUNCTION("""COMPUTED_VALUE"""),1)</f>
        <v>1</v>
      </c>
      <c r="V593" s="5" t="str">
        <f ca="1">IFERROR(__xludf.DUMMYFUNCTION("""COMPUTED_VALUE"""),"Teen shot during fight outside of school during volleyball game")</f>
        <v>Teen shot during fight outside of school during volleyball game</v>
      </c>
      <c r="W593"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X593" s="5" t="str">
        <f ca="1">IFERROR(__xludf.DUMMYFUNCTION("""COMPUTED_VALUE"""),"Escalation of Dispute")</f>
        <v>Escalation of Dispute</v>
      </c>
      <c r="Y593" s="5" t="str">
        <f ca="1">IFERROR(__xludf.DUMMYFUNCTION("""COMPUTED_VALUE"""),"Victims Targeted")</f>
        <v>Victims Targeted</v>
      </c>
      <c r="Z593" s="5" t="str">
        <f ca="1">IFERROR(__xludf.DUMMYFUNCTION("""COMPUTED_VALUE"""),"No")</f>
        <v>No</v>
      </c>
      <c r="AA593" s="5"/>
      <c r="AB593" s="5" t="str">
        <f ca="1">IFERROR(__xludf.DUMMYFUNCTION("""COMPUTED_VALUE"""),"No")</f>
        <v>No</v>
      </c>
      <c r="AC593" s="5" t="str">
        <f ca="1">IFERROR(__xludf.DUMMYFUNCTION("""COMPUTED_VALUE"""),"No")</f>
        <v>No</v>
      </c>
      <c r="AD593" s="5" t="str">
        <f ca="1">IFERROR(__xludf.DUMMYFUNCTION("""COMPUTED_VALUE"""),"No")</f>
        <v>No</v>
      </c>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row>
    <row r="594" spans="1:34" ht="12.75">
      <c r="A594" s="5" t="str">
        <f ca="1">IFERROR(__xludf.DUMMYFUNCTION("""COMPUTED_VALUE"""),"20191002GASOA")</f>
        <v>20191002GASOA</v>
      </c>
      <c r="B594" s="8">
        <f ca="1">IFERROR(__xludf.DUMMYFUNCTION("""COMPUTED_VALUE"""),43740)</f>
        <v>43740</v>
      </c>
      <c r="C594" s="5" t="str">
        <f ca="1">IFERROR(__xludf.DUMMYFUNCTION("""COMPUTED_VALUE"""),"South Atlanta High School")</f>
        <v>South Atlanta High School</v>
      </c>
      <c r="D594" s="5">
        <f ca="1">IFERROR(__xludf.DUMMYFUNCTION("""COMPUTED_VALUE"""),0)</f>
        <v>0</v>
      </c>
      <c r="E594" s="5">
        <f ca="1">IFERROR(__xludf.DUMMYFUNCTION("""COMPUTED_VALUE"""),0)</f>
        <v>0</v>
      </c>
      <c r="F594" s="5">
        <f ca="1">IFERROR(__xludf.DUMMYFUNCTION("""COMPUTED_VALUE"""),0)</f>
        <v>0</v>
      </c>
      <c r="G594" s="5">
        <f ca="1">IFERROR(__xludf.DUMMYFUNCTION("""COMPUTED_VALUE"""),0)</f>
        <v>0</v>
      </c>
      <c r="H594"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I594" s="5"/>
      <c r="J594" s="5"/>
      <c r="K594" s="5">
        <f ca="1">IFERROR(__xludf.DUMMYFUNCTION("""COMPUTED_VALUE"""),4)</f>
        <v>4</v>
      </c>
      <c r="L594" s="5" t="str">
        <f ca="1">IFERROR(__xludf.DUMMYFUNCTION("""COMPUTED_VALUE"""),"Fall")</f>
        <v>Fall</v>
      </c>
      <c r="M594" s="5" t="str">
        <f ca="1">IFERROR(__xludf.DUMMYFUNCTION("""COMPUTED_VALUE"""),"Atlanta")</f>
        <v>Atlanta</v>
      </c>
      <c r="N594" s="5" t="str">
        <f ca="1">IFERROR(__xludf.DUMMYFUNCTION("""COMPUTED_VALUE"""),"GA")</f>
        <v>GA</v>
      </c>
      <c r="O594" s="5" t="str">
        <f ca="1">IFERROR(__xludf.DUMMYFUNCTION("""COMPUTED_VALUE"""),"High")</f>
        <v>High</v>
      </c>
      <c r="P594" s="5" t="str">
        <f ca="1">IFERROR(__xludf.DUMMYFUNCTION("""COMPUTED_VALUE"""),"Field (General)")</f>
        <v>Field (General)</v>
      </c>
      <c r="Q594" s="5" t="str">
        <f ca="1">IFERROR(__xludf.DUMMYFUNCTION("""COMPUTED_VALUE"""),"Outside on School Property")</f>
        <v>Outside on School Property</v>
      </c>
      <c r="R594" s="5" t="str">
        <f ca="1">IFERROR(__xludf.DUMMYFUNCTION("""COMPUTED_VALUE"""),"No")</f>
        <v>No</v>
      </c>
      <c r="S594" s="5" t="str">
        <f ca="1">IFERROR(__xludf.DUMMYFUNCTION("""COMPUTED_VALUE"""),"Sport Event")</f>
        <v>Sport Event</v>
      </c>
      <c r="T594" s="10">
        <f ca="1">IFERROR(__xludf.DUMMYFUNCTION("""COMPUTED_VALUE"""),0.854166666666666)</f>
        <v>0.85416666666666596</v>
      </c>
      <c r="U594" s="5">
        <f ca="1">IFERROR(__xludf.DUMMYFUNCTION("""COMPUTED_VALUE"""),1)</f>
        <v>1</v>
      </c>
      <c r="V594" s="5" t="str">
        <f ca="1">IFERROR(__xludf.DUMMYFUNCTION("""COMPUTED_VALUE"""),"Adult fired shot into air during fight at high school softball game")</f>
        <v>Adult fired shot into air during fight at high school softball game</v>
      </c>
      <c r="W594"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X594" s="5" t="str">
        <f ca="1">IFERROR(__xludf.DUMMYFUNCTION("""COMPUTED_VALUE"""),"Escalation of Dispute")</f>
        <v>Escalation of Dispute</v>
      </c>
      <c r="Y594" s="5" t="str">
        <f ca="1">IFERROR(__xludf.DUMMYFUNCTION("""COMPUTED_VALUE"""),"Neither")</f>
        <v>Neither</v>
      </c>
      <c r="Z594" s="5" t="str">
        <f ca="1">IFERROR(__xludf.DUMMYFUNCTION("""COMPUTED_VALUE"""),"No")</f>
        <v>No</v>
      </c>
      <c r="AA594" s="5"/>
      <c r="AB594" s="5" t="str">
        <f ca="1">IFERROR(__xludf.DUMMYFUNCTION("""COMPUTED_VALUE"""),"No")</f>
        <v>No</v>
      </c>
      <c r="AC594" s="5" t="str">
        <f ca="1">IFERROR(__xludf.DUMMYFUNCTION("""COMPUTED_VALUE"""),"No")</f>
        <v>No</v>
      </c>
      <c r="AD594" s="5" t="str">
        <f ca="1">IFERROR(__xludf.DUMMYFUNCTION("""COMPUTED_VALUE"""),"No")</f>
        <v>No</v>
      </c>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row>
    <row r="595" spans="1:34" ht="12.75">
      <c r="A595" s="5" t="str">
        <f ca="1">IFERROR(__xludf.DUMMYFUNCTION("""COMPUTED_VALUE"""),"20190927NCZEC")</f>
        <v>20190927NCZEC</v>
      </c>
      <c r="B595" s="8">
        <f ca="1">IFERROR(__xludf.DUMMYFUNCTION("""COMPUTED_VALUE"""),43735)</f>
        <v>43735</v>
      </c>
      <c r="C595" s="5" t="str">
        <f ca="1">IFERROR(__xludf.DUMMYFUNCTION("""COMPUTED_VALUE"""),"Zebulon B. Vance High School")</f>
        <v>Zebulon B. Vance High School</v>
      </c>
      <c r="D595" s="5">
        <f ca="1">IFERROR(__xludf.DUMMYFUNCTION("""COMPUTED_VALUE"""),0)</f>
        <v>0</v>
      </c>
      <c r="E595" s="5">
        <f ca="1">IFERROR(__xludf.DUMMYFUNCTION("""COMPUTED_VALUE"""),0)</f>
        <v>0</v>
      </c>
      <c r="F595" s="5">
        <f ca="1">IFERROR(__xludf.DUMMYFUNCTION("""COMPUTED_VALUE"""),0)</f>
        <v>0</v>
      </c>
      <c r="G595" s="5">
        <f ca="1">IFERROR(__xludf.DUMMYFUNCTION("""COMPUTED_VALUE"""),0)</f>
        <v>0</v>
      </c>
      <c r="H595" s="9" t="str">
        <f ca="1">IFERROR(__xludf.DUMMYFUNCTION("""COMPUTED_VALUE"""),"https://www.wbtv.com/2019/09/28/arrested-after-multiple-fights-high-school-football-game-charlotte/")</f>
        <v>https://www.wbtv.com/2019/09/28/arrested-after-multiple-fights-high-school-football-game-charlotte/</v>
      </c>
      <c r="I595" s="5"/>
      <c r="J595" s="5"/>
      <c r="K595" s="5">
        <f ca="1">IFERROR(__xludf.DUMMYFUNCTION("""COMPUTED_VALUE"""),3)</f>
        <v>3</v>
      </c>
      <c r="L595" s="5" t="str">
        <f ca="1">IFERROR(__xludf.DUMMYFUNCTION("""COMPUTED_VALUE"""),"Fall")</f>
        <v>Fall</v>
      </c>
      <c r="M595" s="5" t="str">
        <f ca="1">IFERROR(__xludf.DUMMYFUNCTION("""COMPUTED_VALUE"""),"Charlotte")</f>
        <v>Charlotte</v>
      </c>
      <c r="N595" s="5" t="str">
        <f ca="1">IFERROR(__xludf.DUMMYFUNCTION("""COMPUTED_VALUE"""),"NC")</f>
        <v>NC</v>
      </c>
      <c r="O595" s="5" t="str">
        <f ca="1">IFERROR(__xludf.DUMMYFUNCTION("""COMPUTED_VALUE"""),"High")</f>
        <v>High</v>
      </c>
      <c r="P595" s="5" t="str">
        <f ca="1">IFERROR(__xludf.DUMMYFUNCTION("""COMPUTED_VALUE"""),"Parking Lot")</f>
        <v>Parking Lot</v>
      </c>
      <c r="Q595" s="5" t="str">
        <f ca="1">IFERROR(__xludf.DUMMYFUNCTION("""COMPUTED_VALUE"""),"Outside on School Property")</f>
        <v>Outside on School Property</v>
      </c>
      <c r="R595" s="5" t="str">
        <f ca="1">IFERROR(__xludf.DUMMYFUNCTION("""COMPUTED_VALUE"""),"No")</f>
        <v>No</v>
      </c>
      <c r="S595" s="5" t="str">
        <f ca="1">IFERROR(__xludf.DUMMYFUNCTION("""COMPUTED_VALUE"""),"Sport Event")</f>
        <v>Sport Event</v>
      </c>
      <c r="T595" s="10">
        <f ca="1">IFERROR(__xludf.DUMMYFUNCTION("""COMPUTED_VALUE"""),0.854166666666666)</f>
        <v>0.85416666666666596</v>
      </c>
      <c r="U595" s="5">
        <f ca="1">IFERROR(__xludf.DUMMYFUNCTION("""COMPUTED_VALUE"""),1)</f>
        <v>1</v>
      </c>
      <c r="V595" s="5" t="str">
        <f ca="1">IFERROR(__xludf.DUMMYFUNCTION("""COMPUTED_VALUE"""),"Shots fired during fight in the parking lot during football game")</f>
        <v>Shots fired during fight in the parking lot during football game</v>
      </c>
      <c r="W595"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X595" s="5" t="str">
        <f ca="1">IFERROR(__xludf.DUMMYFUNCTION("""COMPUTED_VALUE"""),"Escalation of Dispute")</f>
        <v>Escalation of Dispute</v>
      </c>
      <c r="Y595" s="5"/>
      <c r="Z595" s="5"/>
      <c r="AA595" s="5"/>
      <c r="AB595" s="5" t="str">
        <f ca="1">IFERROR(__xludf.DUMMYFUNCTION("""COMPUTED_VALUE"""),"No")</f>
        <v>No</v>
      </c>
      <c r="AC595" s="5" t="str">
        <f ca="1">IFERROR(__xludf.DUMMYFUNCTION("""COMPUTED_VALUE"""),"No")</f>
        <v>No</v>
      </c>
      <c r="AD595" s="5" t="str">
        <f ca="1">IFERROR(__xludf.DUMMYFUNCTION("""COMPUTED_VALUE"""),"No")</f>
        <v>No</v>
      </c>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row>
    <row r="596" spans="1:34" ht="12.75">
      <c r="A596" s="5" t="str">
        <f ca="1">IFERROR(__xludf.DUMMYFUNCTION("""COMPUTED_VALUE"""),"20190927CADER")</f>
        <v>20190927CADER</v>
      </c>
      <c r="B596" s="8">
        <f ca="1">IFERROR(__xludf.DUMMYFUNCTION("""COMPUTED_VALUE"""),43735)</f>
        <v>43735</v>
      </c>
      <c r="C596" s="5" t="str">
        <f ca="1">IFERROR(__xludf.DUMMYFUNCTION("""COMPUTED_VALUE"""),"De Anza High School")</f>
        <v>De Anza High School</v>
      </c>
      <c r="D596" s="5">
        <f ca="1">IFERROR(__xludf.DUMMYFUNCTION("""COMPUTED_VALUE"""),0)</f>
        <v>0</v>
      </c>
      <c r="E596" s="5">
        <f ca="1">IFERROR(__xludf.DUMMYFUNCTION("""COMPUTED_VALUE"""),3)</f>
        <v>3</v>
      </c>
      <c r="F596" s="5">
        <f ca="1">IFERROR(__xludf.DUMMYFUNCTION("""COMPUTED_VALUE"""),3)</f>
        <v>3</v>
      </c>
      <c r="G596" s="5">
        <f ca="1">IFERROR(__xludf.DUMMYFUNCTION("""COMPUTED_VALUE"""),0)</f>
        <v>0</v>
      </c>
      <c r="H596"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I596" s="5">
        <f ca="1">IFERROR(__xludf.DUMMYFUNCTION("""COMPUTED_VALUE"""),3)</f>
        <v>3</v>
      </c>
      <c r="J596" s="5" t="str">
        <f ca="1">IFERROR(__xludf.DUMMYFUNCTION("""COMPUTED_VALUE"""),"Local")</f>
        <v>Local</v>
      </c>
      <c r="K596" s="5">
        <f ca="1">IFERROR(__xludf.DUMMYFUNCTION("""COMPUTED_VALUE"""),4)</f>
        <v>4</v>
      </c>
      <c r="L596" s="5" t="str">
        <f ca="1">IFERROR(__xludf.DUMMYFUNCTION("""COMPUTED_VALUE"""),"Fall")</f>
        <v>Fall</v>
      </c>
      <c r="M596" s="5" t="str">
        <f ca="1">IFERROR(__xludf.DUMMYFUNCTION("""COMPUTED_VALUE"""),"Richmond")</f>
        <v>Richmond</v>
      </c>
      <c r="N596" s="5" t="str">
        <f ca="1">IFERROR(__xludf.DUMMYFUNCTION("""COMPUTED_VALUE"""),"CA")</f>
        <v>CA</v>
      </c>
      <c r="O596" s="5" t="str">
        <f ca="1">IFERROR(__xludf.DUMMYFUNCTION("""COMPUTED_VALUE"""),"High")</f>
        <v>High</v>
      </c>
      <c r="P596" s="5" t="str">
        <f ca="1">IFERROR(__xludf.DUMMYFUNCTION("""COMPUTED_VALUE"""),"Off School Property")</f>
        <v>Off School Property</v>
      </c>
      <c r="Q596" s="5" t="str">
        <f ca="1">IFERROR(__xludf.DUMMYFUNCTION("""COMPUTED_VALUE"""),"Off School Property")</f>
        <v>Off School Property</v>
      </c>
      <c r="R596" s="5" t="str">
        <f ca="1">IFERROR(__xludf.DUMMYFUNCTION("""COMPUTED_VALUE"""),"No")</f>
        <v>No</v>
      </c>
      <c r="S596" s="5" t="str">
        <f ca="1">IFERROR(__xludf.DUMMYFUNCTION("""COMPUTED_VALUE"""),"Sport Event")</f>
        <v>Sport Event</v>
      </c>
      <c r="T596" s="10">
        <f ca="1">IFERROR(__xludf.DUMMYFUNCTION("""COMPUTED_VALUE"""),0.875)</f>
        <v>0.875</v>
      </c>
      <c r="U596" s="5">
        <f ca="1">IFERROR(__xludf.DUMMYFUNCTION("""COMPUTED_VALUE"""),1)</f>
        <v>1</v>
      </c>
      <c r="V596" s="5" t="str">
        <f ca="1">IFERROR(__xludf.DUMMYFUNCTION("""COMPUTED_VALUE"""),"Three teen students shot leaving football game")</f>
        <v>Three teen students shot leaving football game</v>
      </c>
      <c r="W596"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X596" s="5" t="str">
        <f ca="1">IFERROR(__xludf.DUMMYFUNCTION("""COMPUTED_VALUE"""),"Escalation of Dispute")</f>
        <v>Escalation of Dispute</v>
      </c>
      <c r="Y596" s="5" t="str">
        <f ca="1">IFERROR(__xludf.DUMMYFUNCTION("""COMPUTED_VALUE"""),"Both")</f>
        <v>Both</v>
      </c>
      <c r="Z596" s="5" t="str">
        <f ca="1">IFERROR(__xludf.DUMMYFUNCTION("""COMPUTED_VALUE"""),"Yes")</f>
        <v>Yes</v>
      </c>
      <c r="AA596" s="5" t="str">
        <f ca="1">IFERROR(__xludf.DUMMYFUNCTION("""COMPUTED_VALUE"""),"Three teens arrested")</f>
        <v>Three teens arrested</v>
      </c>
      <c r="AB596" s="5" t="str">
        <f ca="1">IFERROR(__xludf.DUMMYFUNCTION("""COMPUTED_VALUE"""),"No")</f>
        <v>No</v>
      </c>
      <c r="AC596" s="5" t="str">
        <f ca="1">IFERROR(__xludf.DUMMYFUNCTION("""COMPUTED_VALUE"""),"No")</f>
        <v>No</v>
      </c>
      <c r="AD596" s="5" t="str">
        <f ca="1">IFERROR(__xludf.DUMMYFUNCTION("""COMPUTED_VALUE"""),"No")</f>
        <v>No</v>
      </c>
      <c r="AE596" s="5" t="str">
        <f ca="1">IFERROR(__xludf.DUMMYFUNCTION("""COMPUTED_VALUE"""),"No")</f>
        <v>No</v>
      </c>
      <c r="AF596" s="5" t="str">
        <f ca="1">IFERROR(__xludf.DUMMYFUNCTION("""COMPUTED_VALUE"""),"No")</f>
        <v>No</v>
      </c>
      <c r="AG596" s="5" t="str">
        <f ca="1">IFERROR(__xludf.DUMMYFUNCTION("""COMPUTED_VALUE"""),"Yes")</f>
        <v>Yes</v>
      </c>
      <c r="AH596" s="5" t="str">
        <f ca="1">IFERROR(__xludf.DUMMYFUNCTION("""COMPUTED_VALUE"""),"No")</f>
        <v>No</v>
      </c>
    </row>
    <row r="597" spans="1:34" ht="12.75">
      <c r="A597" s="5" t="str">
        <f ca="1">IFERROR(__xludf.DUMMYFUNCTION("""COMPUTED_VALUE"""),"20190920PASIP")</f>
        <v>20190920PASIP</v>
      </c>
      <c r="B597" s="8">
        <f ca="1">IFERROR(__xludf.DUMMYFUNCTION("""COMPUTED_VALUE"""),43728)</f>
        <v>43728</v>
      </c>
      <c r="C597" s="5" t="str">
        <f ca="1">IFERROR(__xludf.DUMMYFUNCTION("""COMPUTED_VALUE"""),"Simon Gratz High School Mastery Charter")</f>
        <v>Simon Gratz High School Mastery Charter</v>
      </c>
      <c r="D597" s="5">
        <f ca="1">IFERROR(__xludf.DUMMYFUNCTION("""COMPUTED_VALUE"""),0)</f>
        <v>0</v>
      </c>
      <c r="E597" s="5">
        <f ca="1">IFERROR(__xludf.DUMMYFUNCTION("""COMPUTED_VALUE"""),2)</f>
        <v>2</v>
      </c>
      <c r="F597" s="5">
        <f ca="1">IFERROR(__xludf.DUMMYFUNCTION("""COMPUTED_VALUE"""),2)</f>
        <v>2</v>
      </c>
      <c r="G597" s="5">
        <f ca="1">IFERROR(__xludf.DUMMYFUNCTION("""COMPUTED_VALUE"""),0)</f>
        <v>0</v>
      </c>
      <c r="H597"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I597" s="5"/>
      <c r="J597" s="5"/>
      <c r="K597" s="5">
        <f ca="1">IFERROR(__xludf.DUMMYFUNCTION("""COMPUTED_VALUE"""),4)</f>
        <v>4</v>
      </c>
      <c r="L597" s="5" t="str">
        <f ca="1">IFERROR(__xludf.DUMMYFUNCTION("""COMPUTED_VALUE"""),"Fall")</f>
        <v>Fall</v>
      </c>
      <c r="M597" s="5" t="str">
        <f ca="1">IFERROR(__xludf.DUMMYFUNCTION("""COMPUTED_VALUE"""),"Philadelphia")</f>
        <v>Philadelphia</v>
      </c>
      <c r="N597" s="5" t="str">
        <f ca="1">IFERROR(__xludf.DUMMYFUNCTION("""COMPUTED_VALUE"""),"PA")</f>
        <v>PA</v>
      </c>
      <c r="O597" s="5" t="str">
        <f ca="1">IFERROR(__xludf.DUMMYFUNCTION("""COMPUTED_VALUE"""),"High")</f>
        <v>High</v>
      </c>
      <c r="P597" s="5" t="str">
        <f ca="1">IFERROR(__xludf.DUMMYFUNCTION("""COMPUTED_VALUE"""),"Football Field/Track")</f>
        <v>Football Field/Track</v>
      </c>
      <c r="Q597" s="5" t="str">
        <f ca="1">IFERROR(__xludf.DUMMYFUNCTION("""COMPUTED_VALUE"""),"Outside on School Property")</f>
        <v>Outside on School Property</v>
      </c>
      <c r="R597" s="5" t="str">
        <f ca="1">IFERROR(__xludf.DUMMYFUNCTION("""COMPUTED_VALUE"""),"No")</f>
        <v>No</v>
      </c>
      <c r="S597" s="5" t="str">
        <f ca="1">IFERROR(__xludf.DUMMYFUNCTION("""COMPUTED_VALUE"""),"Sport Event")</f>
        <v>Sport Event</v>
      </c>
      <c r="T597" s="10">
        <f ca="1">IFERROR(__xludf.DUMMYFUNCTION("""COMPUTED_VALUE"""),0.8125)</f>
        <v>0.8125</v>
      </c>
      <c r="U597" s="5">
        <f ca="1">IFERROR(__xludf.DUMMYFUNCTION("""COMPUTED_VALUE"""),1)</f>
        <v>1</v>
      </c>
      <c r="V597" s="5" t="str">
        <f ca="1">IFERROR(__xludf.DUMMYFUNCTION("""COMPUTED_VALUE"""),"Two teens shot at football game, stadium evacuated")</f>
        <v>Two teens shot at football game, stadium evacuated</v>
      </c>
      <c r="W597"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X597" s="5" t="str">
        <f ca="1">IFERROR(__xludf.DUMMYFUNCTION("""COMPUTED_VALUE"""),"Escalation of Dispute")</f>
        <v>Escalation of Dispute</v>
      </c>
      <c r="Y597" s="5"/>
      <c r="Z597" s="5"/>
      <c r="AA597" s="5"/>
      <c r="AB597" s="5" t="str">
        <f ca="1">IFERROR(__xludf.DUMMYFUNCTION("""COMPUTED_VALUE"""),"No")</f>
        <v>No</v>
      </c>
      <c r="AC597" s="5" t="str">
        <f ca="1">IFERROR(__xludf.DUMMYFUNCTION("""COMPUTED_VALUE"""),"No")</f>
        <v>No</v>
      </c>
      <c r="AD597" s="5" t="str">
        <f ca="1">IFERROR(__xludf.DUMMYFUNCTION("""COMPUTED_VALUE"""),"No")</f>
        <v>No</v>
      </c>
      <c r="AE597" s="5"/>
      <c r="AF597" s="5" t="str">
        <f ca="1">IFERROR(__xludf.DUMMYFUNCTION("""COMPUTED_VALUE"""),"No")</f>
        <v>No</v>
      </c>
      <c r="AG597" s="5"/>
      <c r="AH597" s="5" t="str">
        <f ca="1">IFERROR(__xludf.DUMMYFUNCTION("""COMPUTED_VALUE"""),"No")</f>
        <v>No</v>
      </c>
    </row>
    <row r="598" spans="1:34" ht="12.75">
      <c r="A598" s="5" t="str">
        <f ca="1">IFERROR(__xludf.DUMMYFUNCTION("""COMPUTED_VALUE"""),"20190916VAPHH")</f>
        <v>20190916VAPHH</v>
      </c>
      <c r="B598" s="8">
        <f ca="1">IFERROR(__xludf.DUMMYFUNCTION("""COMPUTED_VALUE"""),43724)</f>
        <v>43724</v>
      </c>
      <c r="C598" s="5" t="str">
        <f ca="1">IFERROR(__xludf.DUMMYFUNCTION("""COMPUTED_VALUE"""),"Phoebus High School")</f>
        <v>Phoebus High School</v>
      </c>
      <c r="D598" s="5">
        <f ca="1">IFERROR(__xludf.DUMMYFUNCTION("""COMPUTED_VALUE"""),1)</f>
        <v>1</v>
      </c>
      <c r="E598" s="5">
        <f ca="1">IFERROR(__xludf.DUMMYFUNCTION("""COMPUTED_VALUE"""),0)</f>
        <v>0</v>
      </c>
      <c r="F598" s="5">
        <f ca="1">IFERROR(__xludf.DUMMYFUNCTION("""COMPUTED_VALUE"""),1)</f>
        <v>1</v>
      </c>
      <c r="G598" s="5">
        <f ca="1">IFERROR(__xludf.DUMMYFUNCTION("""COMPUTED_VALUE"""),0)</f>
        <v>0</v>
      </c>
      <c r="H598"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I598" s="5"/>
      <c r="J598" s="5"/>
      <c r="K598" s="5">
        <f ca="1">IFERROR(__xludf.DUMMYFUNCTION("""COMPUTED_VALUE"""),4)</f>
        <v>4</v>
      </c>
      <c r="L598" s="5" t="str">
        <f ca="1">IFERROR(__xludf.DUMMYFUNCTION("""COMPUTED_VALUE"""),"Fall")</f>
        <v>Fall</v>
      </c>
      <c r="M598" s="5" t="str">
        <f ca="1">IFERROR(__xludf.DUMMYFUNCTION("""COMPUTED_VALUE"""),"Hampton")</f>
        <v>Hampton</v>
      </c>
      <c r="N598" s="5" t="str">
        <f ca="1">IFERROR(__xludf.DUMMYFUNCTION("""COMPUTED_VALUE"""),"VA")</f>
        <v>VA</v>
      </c>
      <c r="O598" s="5" t="str">
        <f ca="1">IFERROR(__xludf.DUMMYFUNCTION("""COMPUTED_VALUE"""),"High")</f>
        <v>High</v>
      </c>
      <c r="P598" s="5" t="str">
        <f ca="1">IFERROR(__xludf.DUMMYFUNCTION("""COMPUTED_VALUE"""),"Parking Lot")</f>
        <v>Parking Lot</v>
      </c>
      <c r="Q598" s="5" t="str">
        <f ca="1">IFERROR(__xludf.DUMMYFUNCTION("""COMPUTED_VALUE"""),"Off School Property")</f>
        <v>Off School Property</v>
      </c>
      <c r="R598" s="5" t="str">
        <f ca="1">IFERROR(__xludf.DUMMYFUNCTION("""COMPUTED_VALUE"""),"Yes")</f>
        <v>Yes</v>
      </c>
      <c r="S598" s="5" t="str">
        <f ca="1">IFERROR(__xludf.DUMMYFUNCTION("""COMPUTED_VALUE"""),"Morning Classes")</f>
        <v>Morning Classes</v>
      </c>
      <c r="T598" s="10">
        <f ca="1">IFERROR(__xludf.DUMMYFUNCTION("""COMPUTED_VALUE"""),0.496527777777777)</f>
        <v>0.49652777777777701</v>
      </c>
      <c r="U598" s="5">
        <f ca="1">IFERROR(__xludf.DUMMYFUNCTION("""COMPUTED_VALUE"""),1)</f>
        <v>1</v>
      </c>
      <c r="V598" s="5" t="str">
        <f ca="1">IFERROR(__xludf.DUMMYFUNCTION("""COMPUTED_VALUE"""),"Man shot across the street from the school and died in school parking lot during classes")</f>
        <v>Man shot across the street from the school and died in school parking lot during classes</v>
      </c>
      <c r="W598"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X598" s="5" t="str">
        <f ca="1">IFERROR(__xludf.DUMMYFUNCTION("""COMPUTED_VALUE"""),"Unknown")</f>
        <v>Unknown</v>
      </c>
      <c r="Y598" s="5" t="str">
        <f ca="1">IFERROR(__xludf.DUMMYFUNCTION("""COMPUTED_VALUE"""),"Victims Targeted")</f>
        <v>Victims Targeted</v>
      </c>
      <c r="Z598" s="5" t="str">
        <f ca="1">IFERROR(__xludf.DUMMYFUNCTION("""COMPUTED_VALUE"""),"No")</f>
        <v>No</v>
      </c>
      <c r="AA598" s="5"/>
      <c r="AB598" s="5" t="str">
        <f ca="1">IFERROR(__xludf.DUMMYFUNCTION("""COMPUTED_VALUE"""),"No")</f>
        <v>No</v>
      </c>
      <c r="AC598" s="5" t="str">
        <f ca="1">IFERROR(__xludf.DUMMYFUNCTION("""COMPUTED_VALUE"""),"No")</f>
        <v>No</v>
      </c>
      <c r="AD598" s="5" t="str">
        <f ca="1">IFERROR(__xludf.DUMMYFUNCTION("""COMPUTED_VALUE"""),"No")</f>
        <v>No</v>
      </c>
      <c r="AE598" s="5" t="str">
        <f ca="1">IFERROR(__xludf.DUMMYFUNCTION("""COMPUTED_VALUE"""),"No")</f>
        <v>No</v>
      </c>
      <c r="AF598" s="5" t="str">
        <f ca="1">IFERROR(__xludf.DUMMYFUNCTION("""COMPUTED_VALUE"""),"No")</f>
        <v>No</v>
      </c>
      <c r="AG598" s="5"/>
      <c r="AH598" s="5" t="str">
        <f ca="1">IFERROR(__xludf.DUMMYFUNCTION("""COMPUTED_VALUE"""),"No")</f>
        <v>No</v>
      </c>
    </row>
    <row r="599" spans="1:34" ht="12.75">
      <c r="A599" s="5" t="str">
        <f ca="1">IFERROR(__xludf.DUMMYFUNCTION("""COMPUTED_VALUE"""),"20190916ILILK")</f>
        <v>20190916ILILK</v>
      </c>
      <c r="B599" s="8">
        <f ca="1">IFERROR(__xludf.DUMMYFUNCTION("""COMPUTED_VALUE"""),43724)</f>
        <v>43724</v>
      </c>
      <c r="C599" s="5" t="str">
        <f ca="1">IFERROR(__xludf.DUMMYFUNCTION("""COMPUTED_VALUE"""),"Illinois Central School Bus")</f>
        <v>Illinois Central School Bus</v>
      </c>
      <c r="D599" s="5">
        <f ca="1">IFERROR(__xludf.DUMMYFUNCTION("""COMPUTED_VALUE"""),0)</f>
        <v>0</v>
      </c>
      <c r="E599" s="5">
        <f ca="1">IFERROR(__xludf.DUMMYFUNCTION("""COMPUTED_VALUE"""),0)</f>
        <v>0</v>
      </c>
      <c r="F599" s="5">
        <f ca="1">IFERROR(__xludf.DUMMYFUNCTION("""COMPUTED_VALUE"""),0)</f>
        <v>0</v>
      </c>
      <c r="G599" s="5">
        <f ca="1">IFERROR(__xludf.DUMMYFUNCTION("""COMPUTED_VALUE"""),0)</f>
        <v>0</v>
      </c>
      <c r="H599"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I599" s="5"/>
      <c r="J599" s="5"/>
      <c r="K599" s="5">
        <f ca="1">IFERROR(__xludf.DUMMYFUNCTION("""COMPUTED_VALUE"""),3)</f>
        <v>3</v>
      </c>
      <c r="L599" s="5" t="str">
        <f ca="1">IFERROR(__xludf.DUMMYFUNCTION("""COMPUTED_VALUE"""),"Fall")</f>
        <v>Fall</v>
      </c>
      <c r="M599" s="5" t="str">
        <f ca="1">IFERROR(__xludf.DUMMYFUNCTION("""COMPUTED_VALUE"""),"Kankakee")</f>
        <v>Kankakee</v>
      </c>
      <c r="N599" s="5" t="str">
        <f ca="1">IFERROR(__xludf.DUMMYFUNCTION("""COMPUTED_VALUE"""),"IL")</f>
        <v>IL</v>
      </c>
      <c r="O599" s="5"/>
      <c r="P599" s="5" t="str">
        <f ca="1">IFERROR(__xludf.DUMMYFUNCTION("""COMPUTED_VALUE"""),"School Bus")</f>
        <v>School Bus</v>
      </c>
      <c r="Q599" s="5" t="str">
        <f ca="1">IFERROR(__xludf.DUMMYFUNCTION("""COMPUTED_VALUE"""),"School Bus")</f>
        <v>School Bus</v>
      </c>
      <c r="R599" s="5" t="str">
        <f ca="1">IFERROR(__xludf.DUMMYFUNCTION("""COMPUTED_VALUE"""),"Yes")</f>
        <v>Yes</v>
      </c>
      <c r="S599" s="5" t="str">
        <f ca="1">IFERROR(__xludf.DUMMYFUNCTION("""COMPUTED_VALUE"""),"Dismissal")</f>
        <v>Dismissal</v>
      </c>
      <c r="T599" s="10">
        <f ca="1">IFERROR(__xludf.DUMMYFUNCTION("""COMPUTED_VALUE"""),0.638888888888888)</f>
        <v>0.63888888888888795</v>
      </c>
      <c r="U599" s="5">
        <f ca="1">IFERROR(__xludf.DUMMYFUNCTION("""COMPUTED_VALUE"""),1)</f>
        <v>1</v>
      </c>
      <c r="V599" s="5" t="str">
        <f ca="1">IFERROR(__xludf.DUMMYFUNCTION("""COMPUTED_VALUE"""),"Occupied school bus struck by gunfire during gang fight")</f>
        <v>Occupied school bus struck by gunfire during gang fight</v>
      </c>
      <c r="W599"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X599" s="5" t="str">
        <f ca="1">IFERROR(__xludf.DUMMYFUNCTION("""COMPUTED_VALUE"""),"Unknown")</f>
        <v>Unknown</v>
      </c>
      <c r="Y599" s="5" t="str">
        <f ca="1">IFERROR(__xludf.DUMMYFUNCTION("""COMPUTED_VALUE"""),"Victims Targeted")</f>
        <v>Victims Targeted</v>
      </c>
      <c r="Z599" s="5"/>
      <c r="AA599" s="5"/>
      <c r="AB599" s="5" t="str">
        <f ca="1">IFERROR(__xludf.DUMMYFUNCTION("""COMPUTED_VALUE"""),"No")</f>
        <v>No</v>
      </c>
      <c r="AC599" s="5" t="str">
        <f ca="1">IFERROR(__xludf.DUMMYFUNCTION("""COMPUTED_VALUE"""),"No")</f>
        <v>No</v>
      </c>
      <c r="AD599" s="5" t="str">
        <f ca="1">IFERROR(__xludf.DUMMYFUNCTION("""COMPUTED_VALUE"""),"No")</f>
        <v>No</v>
      </c>
      <c r="AE599" s="5" t="str">
        <f ca="1">IFERROR(__xludf.DUMMYFUNCTION("""COMPUTED_VALUE"""),"No")</f>
        <v>No</v>
      </c>
      <c r="AF599" s="5" t="str">
        <f ca="1">IFERROR(__xludf.DUMMYFUNCTION("""COMPUTED_VALUE"""),"No")</f>
        <v>No</v>
      </c>
      <c r="AG599" s="5" t="str">
        <f ca="1">IFERROR(__xludf.DUMMYFUNCTION("""COMPUTED_VALUE"""),"Yes")</f>
        <v>Yes</v>
      </c>
      <c r="AH599" s="5" t="str">
        <f ca="1">IFERROR(__xludf.DUMMYFUNCTION("""COMPUTED_VALUE"""),"No")</f>
        <v>No</v>
      </c>
    </row>
    <row r="600" spans="1:34" ht="12.75">
      <c r="A600" s="5" t="str">
        <f ca="1">IFERROR(__xludf.DUMMYFUNCTION("""COMPUTED_VALUE"""),"20190914TXEAF")</f>
        <v>20190914TXEAF</v>
      </c>
      <c r="B600" s="8">
        <f ca="1">IFERROR(__xludf.DUMMYFUNCTION("""COMPUTED_VALUE"""),43722)</f>
        <v>43722</v>
      </c>
      <c r="C600" s="5" t="str">
        <f ca="1">IFERROR(__xludf.DUMMYFUNCTION("""COMPUTED_VALUE"""),"Eastern Hills High School")</f>
        <v>Eastern Hills High School</v>
      </c>
      <c r="D600" s="5">
        <f ca="1">IFERROR(__xludf.DUMMYFUNCTION("""COMPUTED_VALUE"""),0)</f>
        <v>0</v>
      </c>
      <c r="E600" s="5">
        <f ca="1">IFERROR(__xludf.DUMMYFUNCTION("""COMPUTED_VALUE"""),2)</f>
        <v>2</v>
      </c>
      <c r="F600" s="5">
        <f ca="1">IFERROR(__xludf.DUMMYFUNCTION("""COMPUTED_VALUE"""),2)</f>
        <v>2</v>
      </c>
      <c r="G600" s="5">
        <f ca="1">IFERROR(__xludf.DUMMYFUNCTION("""COMPUTED_VALUE"""),0)</f>
        <v>0</v>
      </c>
      <c r="H600" s="9" t="str">
        <f ca="1">IFERROR(__xludf.DUMMYFUNCTION("""COMPUTED_VALUE"""),"https://dfw.cbslocal.com/2019/09/14/dispute-pee-wee-football-game-shooting-2-injured-fort-worth/")</f>
        <v>https://dfw.cbslocal.com/2019/09/14/dispute-pee-wee-football-game-shooting-2-injured-fort-worth/</v>
      </c>
      <c r="I600" s="5"/>
      <c r="J600" s="5"/>
      <c r="K600" s="5">
        <f ca="1">IFERROR(__xludf.DUMMYFUNCTION("""COMPUTED_VALUE"""),4)</f>
        <v>4</v>
      </c>
      <c r="L600" s="5" t="str">
        <f ca="1">IFERROR(__xludf.DUMMYFUNCTION("""COMPUTED_VALUE"""),"Fall")</f>
        <v>Fall</v>
      </c>
      <c r="M600" s="5" t="str">
        <f ca="1">IFERROR(__xludf.DUMMYFUNCTION("""COMPUTED_VALUE"""),"Fort Worth")</f>
        <v>Fort Worth</v>
      </c>
      <c r="N600" s="5" t="str">
        <f ca="1">IFERROR(__xludf.DUMMYFUNCTION("""COMPUTED_VALUE"""),"TX")</f>
        <v>TX</v>
      </c>
      <c r="O600" s="5" t="str">
        <f ca="1">IFERROR(__xludf.DUMMYFUNCTION("""COMPUTED_VALUE"""),"High")</f>
        <v>High</v>
      </c>
      <c r="P600" s="5" t="str">
        <f ca="1">IFERROR(__xludf.DUMMYFUNCTION("""COMPUTED_VALUE"""),"Football Field/Track")</f>
        <v>Football Field/Track</v>
      </c>
      <c r="Q600" s="5" t="str">
        <f ca="1">IFERROR(__xludf.DUMMYFUNCTION("""COMPUTED_VALUE"""),"Outside on School Property")</f>
        <v>Outside on School Property</v>
      </c>
      <c r="R600" s="5" t="str">
        <f ca="1">IFERROR(__xludf.DUMMYFUNCTION("""COMPUTED_VALUE"""),"No")</f>
        <v>No</v>
      </c>
      <c r="S600" s="5" t="str">
        <f ca="1">IFERROR(__xludf.DUMMYFUNCTION("""COMPUTED_VALUE"""),"Sport Event")</f>
        <v>Sport Event</v>
      </c>
      <c r="T600" s="10">
        <f ca="1">IFERROR(__xludf.DUMMYFUNCTION("""COMPUTED_VALUE"""),0.65625)</f>
        <v>0.65625</v>
      </c>
      <c r="U600" s="5">
        <f ca="1">IFERROR(__xludf.DUMMYFUNCTION("""COMPUTED_VALUE"""),1)</f>
        <v>1</v>
      </c>
      <c r="V600" s="5" t="str">
        <f ca="1">IFERROR(__xludf.DUMMYFUNCTION("""COMPUTED_VALUE"""),"Shots fired during fight between parents at youth football game")</f>
        <v>Shots fired during fight between parents at youth football game</v>
      </c>
      <c r="W600"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X600" s="5" t="str">
        <f ca="1">IFERROR(__xludf.DUMMYFUNCTION("""COMPUTED_VALUE"""),"Escalation of Dispute")</f>
        <v>Escalation of Dispute</v>
      </c>
      <c r="Y600" s="5" t="str">
        <f ca="1">IFERROR(__xludf.DUMMYFUNCTION("""COMPUTED_VALUE"""),"Both")</f>
        <v>Both</v>
      </c>
      <c r="Z600" s="5" t="str">
        <f ca="1">IFERROR(__xludf.DUMMYFUNCTION("""COMPUTED_VALUE"""),"Yes")</f>
        <v>Yes</v>
      </c>
      <c r="AA600" s="5" t="str">
        <f ca="1">IFERROR(__xludf.DUMMYFUNCTION("""COMPUTED_VALUE"""),"Mother called son following fight")</f>
        <v>Mother called son following fight</v>
      </c>
      <c r="AB600" s="5" t="str">
        <f ca="1">IFERROR(__xludf.DUMMYFUNCTION("""COMPUTED_VALUE"""),"No")</f>
        <v>No</v>
      </c>
      <c r="AC600" s="5" t="str">
        <f ca="1">IFERROR(__xludf.DUMMYFUNCTION("""COMPUTED_VALUE"""),"No")</f>
        <v>No</v>
      </c>
      <c r="AD600" s="5" t="str">
        <f ca="1">IFERROR(__xludf.DUMMYFUNCTION("""COMPUTED_VALUE"""),"No")</f>
        <v>No</v>
      </c>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row>
    <row r="601" spans="1:34" ht="12.75">
      <c r="A601" s="5" t="str">
        <f ca="1">IFERROR(__xludf.DUMMYFUNCTION("""COMPUTED_VALUE"""),"20190913VAETN")</f>
        <v>20190913VAETN</v>
      </c>
      <c r="B601" s="8">
        <f ca="1">IFERROR(__xludf.DUMMYFUNCTION("""COMPUTED_VALUE"""),43721)</f>
        <v>43721</v>
      </c>
      <c r="C601" s="5" t="str">
        <f ca="1">IFERROR(__xludf.DUMMYFUNCTION("""COMPUTED_VALUE"""),"Ethel M. Gildersleeve Middle School")</f>
        <v>Ethel M. Gildersleeve Middle School</v>
      </c>
      <c r="D601" s="5">
        <f ca="1">IFERROR(__xludf.DUMMYFUNCTION("""COMPUTED_VALUE"""),0)</f>
        <v>0</v>
      </c>
      <c r="E601" s="5">
        <f ca="1">IFERROR(__xludf.DUMMYFUNCTION("""COMPUTED_VALUE"""),3)</f>
        <v>3</v>
      </c>
      <c r="F601" s="5">
        <f ca="1">IFERROR(__xludf.DUMMYFUNCTION("""COMPUTED_VALUE"""),3)</f>
        <v>3</v>
      </c>
      <c r="G601" s="5">
        <f ca="1">IFERROR(__xludf.DUMMYFUNCTION("""COMPUTED_VALUE"""),0)</f>
        <v>0</v>
      </c>
      <c r="H601"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I601" s="5"/>
      <c r="J601" s="5"/>
      <c r="K601" s="5">
        <f ca="1">IFERROR(__xludf.DUMMYFUNCTION("""COMPUTED_VALUE"""),4)</f>
        <v>4</v>
      </c>
      <c r="L601" s="5" t="str">
        <f ca="1">IFERROR(__xludf.DUMMYFUNCTION("""COMPUTED_VALUE"""),"Fall")</f>
        <v>Fall</v>
      </c>
      <c r="M601" s="5" t="str">
        <f ca="1">IFERROR(__xludf.DUMMYFUNCTION("""COMPUTED_VALUE"""),"Newport News")</f>
        <v>Newport News</v>
      </c>
      <c r="N601" s="5" t="str">
        <f ca="1">IFERROR(__xludf.DUMMYFUNCTION("""COMPUTED_VALUE"""),"VA")</f>
        <v>VA</v>
      </c>
      <c r="O601" s="5" t="str">
        <f ca="1">IFERROR(__xludf.DUMMYFUNCTION("""COMPUTED_VALUE"""),"Middle")</f>
        <v>Middle</v>
      </c>
      <c r="P601" s="5" t="str">
        <f ca="1">IFERROR(__xludf.DUMMYFUNCTION("""COMPUTED_VALUE"""),"Football Field/Track")</f>
        <v>Football Field/Track</v>
      </c>
      <c r="Q601" s="5" t="str">
        <f ca="1">IFERROR(__xludf.DUMMYFUNCTION("""COMPUTED_VALUE"""),"Outside on School Property")</f>
        <v>Outside on School Property</v>
      </c>
      <c r="R601" s="5" t="str">
        <f ca="1">IFERROR(__xludf.DUMMYFUNCTION("""COMPUTED_VALUE"""),"No")</f>
        <v>No</v>
      </c>
      <c r="S601" s="5" t="str">
        <f ca="1">IFERROR(__xludf.DUMMYFUNCTION("""COMPUTED_VALUE"""),"Sport Event")</f>
        <v>Sport Event</v>
      </c>
      <c r="T601" s="10">
        <f ca="1">IFERROR(__xludf.DUMMYFUNCTION("""COMPUTED_VALUE"""),0.898611111111111)</f>
        <v>0.89861111111111103</v>
      </c>
      <c r="U601" s="5">
        <f ca="1">IFERROR(__xludf.DUMMYFUNCTION("""COMPUTED_VALUE"""),1)</f>
        <v>1</v>
      </c>
      <c r="V601" s="5" t="str">
        <f ca="1">IFERROR(__xludf.DUMMYFUNCTION("""COMPUTED_VALUE"""),"Shots fired in parking lot after football game")</f>
        <v>Shots fired in parking lot after football game</v>
      </c>
      <c r="W601" s="5" t="str">
        <f ca="1">IFERROR(__xludf.DUMMYFUNCTION("""COMPUTED_VALUE"""),"3 injured after shots were fired in the crowded parking lot at the end of a high school football game.")</f>
        <v>3 injured after shots were fired in the crowded parking lot at the end of a high school football game.</v>
      </c>
      <c r="X601" s="5" t="str">
        <f ca="1">IFERROR(__xludf.DUMMYFUNCTION("""COMPUTED_VALUE"""),"Escalation of Dispute")</f>
        <v>Escalation of Dispute</v>
      </c>
      <c r="Y601" s="5"/>
      <c r="Z601" s="5"/>
      <c r="AA601" s="5"/>
      <c r="AB601" s="5" t="str">
        <f ca="1">IFERROR(__xludf.DUMMYFUNCTION("""COMPUTED_VALUE"""),"No")</f>
        <v>No</v>
      </c>
      <c r="AC601" s="5" t="str">
        <f ca="1">IFERROR(__xludf.DUMMYFUNCTION("""COMPUTED_VALUE"""),"No")</f>
        <v>No</v>
      </c>
      <c r="AD601" s="5" t="str">
        <f ca="1">IFERROR(__xludf.DUMMYFUNCTION("""COMPUTED_VALUE"""),"No")</f>
        <v>No</v>
      </c>
      <c r="AE601" s="5" t="str">
        <f ca="1">IFERROR(__xludf.DUMMYFUNCTION("""COMPUTED_VALUE"""),"No")</f>
        <v>No</v>
      </c>
      <c r="AF601" s="5" t="str">
        <f ca="1">IFERROR(__xludf.DUMMYFUNCTION("""COMPUTED_VALUE"""),"No")</f>
        <v>No</v>
      </c>
      <c r="AG601" s="5"/>
      <c r="AH601" s="5" t="str">
        <f ca="1">IFERROR(__xludf.DUMMYFUNCTION("""COMPUTED_VALUE"""),"No")</f>
        <v>No</v>
      </c>
    </row>
    <row r="602" spans="1:34" ht="12.75">
      <c r="A602" s="5" t="str">
        <f ca="1">IFERROR(__xludf.DUMMYFUNCTION("""COMPUTED_VALUE"""),"20190913UTGRW")</f>
        <v>20190913UTGRW</v>
      </c>
      <c r="B602" s="8">
        <f ca="1">IFERROR(__xludf.DUMMYFUNCTION("""COMPUTED_VALUE"""),43721)</f>
        <v>43721</v>
      </c>
      <c r="C602" s="5" t="str">
        <f ca="1">IFERROR(__xludf.DUMMYFUNCTION("""COMPUTED_VALUE"""),"Granger High School")</f>
        <v>Granger High School</v>
      </c>
      <c r="D602" s="5">
        <f ca="1">IFERROR(__xludf.DUMMYFUNCTION("""COMPUTED_VALUE"""),0)</f>
        <v>0</v>
      </c>
      <c r="E602" s="5">
        <f ca="1">IFERROR(__xludf.DUMMYFUNCTION("""COMPUTED_VALUE"""),0)</f>
        <v>0</v>
      </c>
      <c r="F602" s="5">
        <f ca="1">IFERROR(__xludf.DUMMYFUNCTION("""COMPUTED_VALUE"""),0)</f>
        <v>0</v>
      </c>
      <c r="G602" s="5">
        <f ca="1">IFERROR(__xludf.DUMMYFUNCTION("""COMPUTED_VALUE"""),0)</f>
        <v>0</v>
      </c>
      <c r="H602"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I602" s="5"/>
      <c r="J602" s="5"/>
      <c r="K602" s="5">
        <f ca="1">IFERROR(__xludf.DUMMYFUNCTION("""COMPUTED_VALUE"""),4)</f>
        <v>4</v>
      </c>
      <c r="L602" s="5" t="str">
        <f ca="1">IFERROR(__xludf.DUMMYFUNCTION("""COMPUTED_VALUE"""),"Fall")</f>
        <v>Fall</v>
      </c>
      <c r="M602" s="5" t="str">
        <f ca="1">IFERROR(__xludf.DUMMYFUNCTION("""COMPUTED_VALUE"""),"West Valley City")</f>
        <v>West Valley City</v>
      </c>
      <c r="N602" s="5" t="str">
        <f ca="1">IFERROR(__xludf.DUMMYFUNCTION("""COMPUTED_VALUE"""),"UT")</f>
        <v>UT</v>
      </c>
      <c r="O602" s="5" t="str">
        <f ca="1">IFERROR(__xludf.DUMMYFUNCTION("""COMPUTED_VALUE"""),"High")</f>
        <v>High</v>
      </c>
      <c r="P602" s="5" t="str">
        <f ca="1">IFERROR(__xludf.DUMMYFUNCTION("""COMPUTED_VALUE"""),"Football Field/Track")</f>
        <v>Football Field/Track</v>
      </c>
      <c r="Q602" s="5" t="str">
        <f ca="1">IFERROR(__xludf.DUMMYFUNCTION("""COMPUTED_VALUE"""),"Outside on School Property")</f>
        <v>Outside on School Property</v>
      </c>
      <c r="R602" s="5" t="str">
        <f ca="1">IFERROR(__xludf.DUMMYFUNCTION("""COMPUTED_VALUE"""),"No")</f>
        <v>No</v>
      </c>
      <c r="S602" s="5" t="str">
        <f ca="1">IFERROR(__xludf.DUMMYFUNCTION("""COMPUTED_VALUE"""),"Sport Event")</f>
        <v>Sport Event</v>
      </c>
      <c r="T602" s="10">
        <f ca="1">IFERROR(__xludf.DUMMYFUNCTION("""COMPUTED_VALUE"""),0.854166666666666)</f>
        <v>0.85416666666666596</v>
      </c>
      <c r="U602" s="5">
        <f ca="1">IFERROR(__xludf.DUMMYFUNCTION("""COMPUTED_VALUE"""),1)</f>
        <v>1</v>
      </c>
      <c r="V602" s="5" t="str">
        <f ca="1">IFERROR(__xludf.DUMMYFUNCTION("""COMPUTED_VALUE"""),"Shots fired into air during gang related altercation at football game")</f>
        <v>Shots fired into air during gang related altercation at football game</v>
      </c>
      <c r="W602"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X602" s="5" t="str">
        <f ca="1">IFERROR(__xludf.DUMMYFUNCTION("""COMPUTED_VALUE"""),"Escalation of Dispute")</f>
        <v>Escalation of Dispute</v>
      </c>
      <c r="Y602" s="5" t="str">
        <f ca="1">IFERROR(__xludf.DUMMYFUNCTION("""COMPUTED_VALUE"""),"Neither")</f>
        <v>Neither</v>
      </c>
      <c r="Z602" s="5" t="str">
        <f ca="1">IFERROR(__xludf.DUMMYFUNCTION("""COMPUTED_VALUE"""),"Yes")</f>
        <v>Yes</v>
      </c>
      <c r="AA602" s="5" t="str">
        <f ca="1">IFERROR(__xludf.DUMMYFUNCTION("""COMPUTED_VALUE"""),"8 arrested")</f>
        <v>8 arrested</v>
      </c>
      <c r="AB602" s="5" t="str">
        <f ca="1">IFERROR(__xludf.DUMMYFUNCTION("""COMPUTED_VALUE"""),"No")</f>
        <v>No</v>
      </c>
      <c r="AC602" s="5" t="str">
        <f ca="1">IFERROR(__xludf.DUMMYFUNCTION("""COMPUTED_VALUE"""),"No")</f>
        <v>No</v>
      </c>
      <c r="AD602" s="5" t="str">
        <f ca="1">IFERROR(__xludf.DUMMYFUNCTION("""COMPUTED_VALUE"""),"No")</f>
        <v>No</v>
      </c>
      <c r="AE602" s="5" t="str">
        <f ca="1">IFERROR(__xludf.DUMMYFUNCTION("""COMPUTED_VALUE"""),"No")</f>
        <v>No</v>
      </c>
      <c r="AF602" s="5" t="str">
        <f ca="1">IFERROR(__xludf.DUMMYFUNCTION("""COMPUTED_VALUE"""),"No")</f>
        <v>No</v>
      </c>
      <c r="AG602" s="5" t="str">
        <f ca="1">IFERROR(__xludf.DUMMYFUNCTION("""COMPUTED_VALUE"""),"Yes")</f>
        <v>Yes</v>
      </c>
      <c r="AH602" s="5" t="str">
        <f ca="1">IFERROR(__xludf.DUMMYFUNCTION("""COMPUTED_VALUE"""),"No")</f>
        <v>No</v>
      </c>
    </row>
    <row r="603" spans="1:34" ht="12.75">
      <c r="A603" s="5" t="str">
        <f ca="1">IFERROR(__xludf.DUMMYFUNCTION("""COMPUTED_VALUE"""),"20190912KSMAM")</f>
        <v>20190912KSMAM</v>
      </c>
      <c r="B603" s="8">
        <f ca="1">IFERROR(__xludf.DUMMYFUNCTION("""COMPUTED_VALUE"""),43720)</f>
        <v>43720</v>
      </c>
      <c r="C603" s="5" t="str">
        <f ca="1">IFERROR(__xludf.DUMMYFUNCTION("""COMPUTED_VALUE"""),"Manhattan High School")</f>
        <v>Manhattan High School</v>
      </c>
      <c r="D603" s="5">
        <f ca="1">IFERROR(__xludf.DUMMYFUNCTION("""COMPUTED_VALUE"""),0)</f>
        <v>0</v>
      </c>
      <c r="E603" s="5">
        <f ca="1">IFERROR(__xludf.DUMMYFUNCTION("""COMPUTED_VALUE"""),0)</f>
        <v>0</v>
      </c>
      <c r="F603" s="5">
        <f ca="1">IFERROR(__xludf.DUMMYFUNCTION("""COMPUTED_VALUE"""),0)</f>
        <v>0</v>
      </c>
      <c r="G603" s="5">
        <f ca="1">IFERROR(__xludf.DUMMYFUNCTION("""COMPUTED_VALUE"""),0)</f>
        <v>0</v>
      </c>
      <c r="H603"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I603" s="5"/>
      <c r="J603" s="5"/>
      <c r="K603" s="5">
        <f ca="1">IFERROR(__xludf.DUMMYFUNCTION("""COMPUTED_VALUE"""),4)</f>
        <v>4</v>
      </c>
      <c r="L603" s="5" t="str">
        <f ca="1">IFERROR(__xludf.DUMMYFUNCTION("""COMPUTED_VALUE"""),"Fall")</f>
        <v>Fall</v>
      </c>
      <c r="M603" s="5" t="str">
        <f ca="1">IFERROR(__xludf.DUMMYFUNCTION("""COMPUTED_VALUE"""),"Manhattan")</f>
        <v>Manhattan</v>
      </c>
      <c r="N603" s="5" t="str">
        <f ca="1">IFERROR(__xludf.DUMMYFUNCTION("""COMPUTED_VALUE"""),"KS")</f>
        <v>KS</v>
      </c>
      <c r="O603" s="5" t="str">
        <f ca="1">IFERROR(__xludf.DUMMYFUNCTION("""COMPUTED_VALUE"""),"High")</f>
        <v>High</v>
      </c>
      <c r="P603" s="5" t="str">
        <f ca="1">IFERROR(__xludf.DUMMYFUNCTION("""COMPUTED_VALUE"""),"Parking Lot")</f>
        <v>Parking Lot</v>
      </c>
      <c r="Q603" s="5" t="str">
        <f ca="1">IFERROR(__xludf.DUMMYFUNCTION("""COMPUTED_VALUE"""),"Outside on School Property")</f>
        <v>Outside on School Property</v>
      </c>
      <c r="R603" s="5" t="str">
        <f ca="1">IFERROR(__xludf.DUMMYFUNCTION("""COMPUTED_VALUE"""),"No")</f>
        <v>No</v>
      </c>
      <c r="S603" s="5" t="str">
        <f ca="1">IFERROR(__xludf.DUMMYFUNCTION("""COMPUTED_VALUE"""),"Evening")</f>
        <v>Evening</v>
      </c>
      <c r="T603" s="10">
        <f ca="1">IFERROR(__xludf.DUMMYFUNCTION("""COMPUTED_VALUE"""),0.78125)</f>
        <v>0.78125</v>
      </c>
      <c r="U603" s="5">
        <f ca="1">IFERROR(__xludf.DUMMYFUNCTION("""COMPUTED_VALUE"""),1)</f>
        <v>1</v>
      </c>
      <c r="V603" s="5" t="str">
        <f ca="1">IFERROR(__xludf.DUMMYFUNCTION("""COMPUTED_VALUE"""),"Shots fired in school parking lot.")</f>
        <v>Shots fired in school parking lot.</v>
      </c>
      <c r="W603"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X603" s="5" t="str">
        <f ca="1">IFERROR(__xludf.DUMMYFUNCTION("""COMPUTED_VALUE"""),"Illegal Activity")</f>
        <v>Illegal Activity</v>
      </c>
      <c r="Y603" s="5"/>
      <c r="Z603" s="5" t="str">
        <f ca="1">IFERROR(__xludf.DUMMYFUNCTION("""COMPUTED_VALUE"""),"No")</f>
        <v>No</v>
      </c>
      <c r="AA603" s="5"/>
      <c r="AB603" s="5" t="str">
        <f ca="1">IFERROR(__xludf.DUMMYFUNCTION("""COMPUTED_VALUE"""),"No")</f>
        <v>No</v>
      </c>
      <c r="AC603" s="5" t="str">
        <f ca="1">IFERROR(__xludf.DUMMYFUNCTION("""COMPUTED_VALUE"""),"No")</f>
        <v>No</v>
      </c>
      <c r="AD603" s="5" t="str">
        <f ca="1">IFERROR(__xludf.DUMMYFUNCTION("""COMPUTED_VALUE"""),"No")</f>
        <v>No</v>
      </c>
      <c r="AE603" s="5" t="str">
        <f ca="1">IFERROR(__xludf.DUMMYFUNCTION("""COMPUTED_VALUE"""),"No")</f>
        <v>No</v>
      </c>
      <c r="AF603" s="5" t="str">
        <f ca="1">IFERROR(__xludf.DUMMYFUNCTION("""COMPUTED_VALUE"""),"No")</f>
        <v>No</v>
      </c>
      <c r="AG603" s="5"/>
      <c r="AH603" s="5" t="str">
        <f ca="1">IFERROR(__xludf.DUMMYFUNCTION("""COMPUTED_VALUE"""),"No")</f>
        <v>No</v>
      </c>
    </row>
    <row r="604" spans="1:34" ht="12.75">
      <c r="A604" s="5" t="str">
        <f ca="1">IFERROR(__xludf.DUMMYFUNCTION("""COMPUTED_VALUE"""),"20190910SCSOA")</f>
        <v>20190910SCSOA</v>
      </c>
      <c r="B604" s="8">
        <f ca="1">IFERROR(__xludf.DUMMYFUNCTION("""COMPUTED_VALUE"""),43718)</f>
        <v>43718</v>
      </c>
      <c r="C604" s="5" t="str">
        <f ca="1">IFERROR(__xludf.DUMMYFUNCTION("""COMPUTED_VALUE"""),"South Aiken High School")</f>
        <v>South Aiken High School</v>
      </c>
      <c r="D604" s="5">
        <f ca="1">IFERROR(__xludf.DUMMYFUNCTION("""COMPUTED_VALUE"""),0)</f>
        <v>0</v>
      </c>
      <c r="E604" s="5">
        <f ca="1">IFERROR(__xludf.DUMMYFUNCTION("""COMPUTED_VALUE"""),0)</f>
        <v>0</v>
      </c>
      <c r="F604" s="5">
        <f ca="1">IFERROR(__xludf.DUMMYFUNCTION("""COMPUTED_VALUE"""),0)</f>
        <v>0</v>
      </c>
      <c r="G604" s="5">
        <f ca="1">IFERROR(__xludf.DUMMYFUNCTION("""COMPUTED_VALUE"""),0)</f>
        <v>0</v>
      </c>
      <c r="H604"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I604" s="5"/>
      <c r="J604" s="5"/>
      <c r="K604" s="5">
        <f ca="1">IFERROR(__xludf.DUMMYFUNCTION("""COMPUTED_VALUE"""),4)</f>
        <v>4</v>
      </c>
      <c r="L604" s="5" t="str">
        <f ca="1">IFERROR(__xludf.DUMMYFUNCTION("""COMPUTED_VALUE"""),"Fall")</f>
        <v>Fall</v>
      </c>
      <c r="M604" s="5" t="str">
        <f ca="1">IFERROR(__xludf.DUMMYFUNCTION("""COMPUTED_VALUE"""),"Aiken")</f>
        <v>Aiken</v>
      </c>
      <c r="N604" s="5" t="str">
        <f ca="1">IFERROR(__xludf.DUMMYFUNCTION("""COMPUTED_VALUE"""),"SC")</f>
        <v>SC</v>
      </c>
      <c r="O604" s="5" t="str">
        <f ca="1">IFERROR(__xludf.DUMMYFUNCTION("""COMPUTED_VALUE"""),"High")</f>
        <v>High</v>
      </c>
      <c r="P604" s="5" t="str">
        <f ca="1">IFERROR(__xludf.DUMMYFUNCTION("""COMPUTED_VALUE"""),"Parking Lot")</f>
        <v>Parking Lot</v>
      </c>
      <c r="Q604" s="5" t="str">
        <f ca="1">IFERROR(__xludf.DUMMYFUNCTION("""COMPUTED_VALUE"""),"Outside on School Property")</f>
        <v>Outside on School Property</v>
      </c>
      <c r="R604" s="5" t="str">
        <f ca="1">IFERROR(__xludf.DUMMYFUNCTION("""COMPUTED_VALUE"""),"No")</f>
        <v>No</v>
      </c>
      <c r="S604" s="5" t="str">
        <f ca="1">IFERROR(__xludf.DUMMYFUNCTION("""COMPUTED_VALUE"""),"Dismissal")</f>
        <v>Dismissal</v>
      </c>
      <c r="T604" s="10">
        <f ca="1">IFERROR(__xludf.DUMMYFUNCTION("""COMPUTED_VALUE"""),0.645833333333333)</f>
        <v>0.64583333333333304</v>
      </c>
      <c r="U604" s="5">
        <f ca="1">IFERROR(__xludf.DUMMYFUNCTION("""COMPUTED_VALUE"""),1)</f>
        <v>1</v>
      </c>
      <c r="V604" s="5" t="str">
        <f ca="1">IFERROR(__xludf.DUMMYFUNCTION("""COMPUTED_VALUE"""),"Shot fired during altercation in school parking lot")</f>
        <v>Shot fired during altercation in school parking lot</v>
      </c>
      <c r="W604"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X604" s="5" t="str">
        <f ca="1">IFERROR(__xludf.DUMMYFUNCTION("""COMPUTED_VALUE"""),"Escalation of Dispute")</f>
        <v>Escalation of Dispute</v>
      </c>
      <c r="Y604" s="5" t="str">
        <f ca="1">IFERROR(__xludf.DUMMYFUNCTION("""COMPUTED_VALUE"""),"Victims Targeted")</f>
        <v>Victims Targeted</v>
      </c>
      <c r="Z604" s="5" t="str">
        <f ca="1">IFERROR(__xludf.DUMMYFUNCTION("""COMPUTED_VALUE"""),"Yes")</f>
        <v>Yes</v>
      </c>
      <c r="AA604" s="5" t="str">
        <f ca="1">IFERROR(__xludf.DUMMYFUNCTION("""COMPUTED_VALUE"""),"Shooter plus 17YOm, 18YOM, and 20YOM")</f>
        <v>Shooter plus 17YOm, 18YOM, and 20YOM</v>
      </c>
      <c r="AB604" s="5" t="str">
        <f ca="1">IFERROR(__xludf.DUMMYFUNCTION("""COMPUTED_VALUE"""),"No")</f>
        <v>No</v>
      </c>
      <c r="AC604" s="5" t="str">
        <f ca="1">IFERROR(__xludf.DUMMYFUNCTION("""COMPUTED_VALUE"""),"No")</f>
        <v>No</v>
      </c>
      <c r="AD604" s="5" t="str">
        <f ca="1">IFERROR(__xludf.DUMMYFUNCTION("""COMPUTED_VALUE"""),"No")</f>
        <v>No</v>
      </c>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row>
    <row r="605" spans="1:34" ht="12.75">
      <c r="A605" s="5" t="str">
        <f ca="1">IFERROR(__xludf.DUMMYFUNCTION("""COMPUTED_VALUE"""),"20190906PAWEM")</f>
        <v>20190906PAWEM</v>
      </c>
      <c r="B605" s="8">
        <f ca="1">IFERROR(__xludf.DUMMYFUNCTION("""COMPUTED_VALUE"""),43714)</f>
        <v>43714</v>
      </c>
      <c r="C605" s="5" t="str">
        <f ca="1">IFERROR(__xludf.DUMMYFUNCTION("""COMPUTED_VALUE"""),"West Palmer High School")</f>
        <v>West Palmer High School</v>
      </c>
      <c r="D605" s="5">
        <f ca="1">IFERROR(__xludf.DUMMYFUNCTION("""COMPUTED_VALUE"""),0)</f>
        <v>0</v>
      </c>
      <c r="E605" s="5">
        <f ca="1">IFERROR(__xludf.DUMMYFUNCTION("""COMPUTED_VALUE"""),1)</f>
        <v>1</v>
      </c>
      <c r="F605" s="5">
        <f ca="1">IFERROR(__xludf.DUMMYFUNCTION("""COMPUTED_VALUE"""),1)</f>
        <v>1</v>
      </c>
      <c r="G605" s="5">
        <f ca="1">IFERROR(__xludf.DUMMYFUNCTION("""COMPUTED_VALUE"""),0)</f>
        <v>0</v>
      </c>
      <c r="H605"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I605" s="5"/>
      <c r="J605" s="5"/>
      <c r="K605" s="5">
        <f ca="1">IFERROR(__xludf.DUMMYFUNCTION("""COMPUTED_VALUE"""),4)</f>
        <v>4</v>
      </c>
      <c r="L605" s="5" t="str">
        <f ca="1">IFERROR(__xludf.DUMMYFUNCTION("""COMPUTED_VALUE"""),"Fall")</f>
        <v>Fall</v>
      </c>
      <c r="M605" s="5" t="str">
        <f ca="1">IFERROR(__xludf.DUMMYFUNCTION("""COMPUTED_VALUE"""),"Morrisville")</f>
        <v>Morrisville</v>
      </c>
      <c r="N605" s="5" t="str">
        <f ca="1">IFERROR(__xludf.DUMMYFUNCTION("""COMPUTED_VALUE"""),"PA")</f>
        <v>PA</v>
      </c>
      <c r="O605" s="5" t="str">
        <f ca="1">IFERROR(__xludf.DUMMYFUNCTION("""COMPUTED_VALUE"""),"High")</f>
        <v>High</v>
      </c>
      <c r="P605" s="5" t="str">
        <f ca="1">IFERROR(__xludf.DUMMYFUNCTION("""COMPUTED_VALUE"""),"Parking Lot")</f>
        <v>Parking Lot</v>
      </c>
      <c r="Q605" s="5" t="str">
        <f ca="1">IFERROR(__xludf.DUMMYFUNCTION("""COMPUTED_VALUE"""),"Outside on School Property")</f>
        <v>Outside on School Property</v>
      </c>
      <c r="R605" s="5" t="str">
        <f ca="1">IFERROR(__xludf.DUMMYFUNCTION("""COMPUTED_VALUE"""),"No")</f>
        <v>No</v>
      </c>
      <c r="S605" s="5" t="str">
        <f ca="1">IFERROR(__xludf.DUMMYFUNCTION("""COMPUTED_VALUE"""),"Sport Event")</f>
        <v>Sport Event</v>
      </c>
      <c r="T605" s="10">
        <f ca="1">IFERROR(__xludf.DUMMYFUNCTION("""COMPUTED_VALUE"""),0.916666666666666)</f>
        <v>0.91666666666666596</v>
      </c>
      <c r="U605" s="5">
        <f ca="1">IFERROR(__xludf.DUMMYFUNCTION("""COMPUTED_VALUE"""),1)</f>
        <v>1</v>
      </c>
      <c r="V605" s="5" t="str">
        <f ca="1">IFERROR(__xludf.DUMMYFUNCTION("""COMPUTED_VALUE"""),"Female student shot in school parking lot following football game")</f>
        <v>Female student shot in school parking lot following football game</v>
      </c>
      <c r="W605"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X605" s="5" t="str">
        <f ca="1">IFERROR(__xludf.DUMMYFUNCTION("""COMPUTED_VALUE"""),"Escalation of Dispute")</f>
        <v>Escalation of Dispute</v>
      </c>
      <c r="Y605" s="5"/>
      <c r="Z605" s="5"/>
      <c r="AA605" s="5"/>
      <c r="AB605" s="5" t="str">
        <f ca="1">IFERROR(__xludf.DUMMYFUNCTION("""COMPUTED_VALUE"""),"No")</f>
        <v>No</v>
      </c>
      <c r="AC605" s="5" t="str">
        <f ca="1">IFERROR(__xludf.DUMMYFUNCTION("""COMPUTED_VALUE"""),"No")</f>
        <v>No</v>
      </c>
      <c r="AD605" s="5" t="str">
        <f ca="1">IFERROR(__xludf.DUMMYFUNCTION("""COMPUTED_VALUE"""),"No")</f>
        <v>No</v>
      </c>
      <c r="AE605" s="5" t="str">
        <f ca="1">IFERROR(__xludf.DUMMYFUNCTION("""COMPUTED_VALUE"""),"No")</f>
        <v>No</v>
      </c>
      <c r="AF605" s="5" t="str">
        <f ca="1">IFERROR(__xludf.DUMMYFUNCTION("""COMPUTED_VALUE"""),"No")</f>
        <v>No</v>
      </c>
      <c r="AG605" s="5"/>
      <c r="AH605" s="5" t="str">
        <f ca="1">IFERROR(__xludf.DUMMYFUNCTION("""COMPUTED_VALUE"""),"No")</f>
        <v>No</v>
      </c>
    </row>
    <row r="606" spans="1:34" ht="12.75">
      <c r="A606" s="5" t="str">
        <f ca="1">IFERROR(__xludf.DUMMYFUNCTION("""COMPUTED_VALUE"""),"20190906PAMCJ")</f>
        <v>20190906PAMCJ</v>
      </c>
      <c r="B606" s="8">
        <f ca="1">IFERROR(__xludf.DUMMYFUNCTION("""COMPUTED_VALUE"""),43714)</f>
        <v>43714</v>
      </c>
      <c r="C606" s="5" t="str">
        <f ca="1">IFERROR(__xludf.DUMMYFUNCTION("""COMPUTED_VALUE"""),"McKee Middle School")</f>
        <v>McKee Middle School</v>
      </c>
      <c r="D606" s="5">
        <f ca="1">IFERROR(__xludf.DUMMYFUNCTION("""COMPUTED_VALUE"""),1)</f>
        <v>1</v>
      </c>
      <c r="E606" s="5">
        <f ca="1">IFERROR(__xludf.DUMMYFUNCTION("""COMPUTED_VALUE"""),0)</f>
        <v>0</v>
      </c>
      <c r="F606" s="5">
        <f ca="1">IFERROR(__xludf.DUMMYFUNCTION("""COMPUTED_VALUE"""),1)</f>
        <v>1</v>
      </c>
      <c r="G606" s="5">
        <f ca="1">IFERROR(__xludf.DUMMYFUNCTION("""COMPUTED_VALUE"""),0)</f>
        <v>0</v>
      </c>
      <c r="H606" s="5"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I606" s="5"/>
      <c r="J606" s="5" t="str">
        <f ca="1">IFERROR(__xludf.DUMMYFUNCTION("""COMPUTED_VALUE"""),"Regional")</f>
        <v>Regional</v>
      </c>
      <c r="K606" s="5">
        <f ca="1">IFERROR(__xludf.DUMMYFUNCTION("""COMPUTED_VALUE"""),4)</f>
        <v>4</v>
      </c>
      <c r="L606" s="5" t="str">
        <f ca="1">IFERROR(__xludf.DUMMYFUNCTION("""COMPUTED_VALUE"""),"Fall")</f>
        <v>Fall</v>
      </c>
      <c r="M606" s="5" t="str">
        <f ca="1">IFERROR(__xludf.DUMMYFUNCTION("""COMPUTED_VALUE"""),"Jeannette")</f>
        <v>Jeannette</v>
      </c>
      <c r="N606" s="5" t="str">
        <f ca="1">IFERROR(__xludf.DUMMYFUNCTION("""COMPUTED_VALUE"""),"PA")</f>
        <v>PA</v>
      </c>
      <c r="O606" s="5" t="str">
        <f ca="1">IFERROR(__xludf.DUMMYFUNCTION("""COMPUTED_VALUE"""),"Middle")</f>
        <v>Middle</v>
      </c>
      <c r="P606" s="5" t="str">
        <f ca="1">IFERROR(__xludf.DUMMYFUNCTION("""COMPUTED_VALUE"""),"Football Field/Track")</f>
        <v>Football Field/Track</v>
      </c>
      <c r="Q606" s="5" t="str">
        <f ca="1">IFERROR(__xludf.DUMMYFUNCTION("""COMPUTED_VALUE"""),"Outside on School Property")</f>
        <v>Outside on School Property</v>
      </c>
      <c r="R606" s="5" t="str">
        <f ca="1">IFERROR(__xludf.DUMMYFUNCTION("""COMPUTED_VALUE"""),"No")</f>
        <v>No</v>
      </c>
      <c r="S606" s="5" t="str">
        <f ca="1">IFERROR(__xludf.DUMMYFUNCTION("""COMPUTED_VALUE"""),"Sport Event")</f>
        <v>Sport Event</v>
      </c>
      <c r="T606" s="10">
        <f ca="1">IFERROR(__xludf.DUMMYFUNCTION("""COMPUTED_VALUE"""),0.888888888888888)</f>
        <v>0.88888888888888795</v>
      </c>
      <c r="U606" s="5">
        <f ca="1">IFERROR(__xludf.DUMMYFUNCTION("""COMPUTED_VALUE"""),1)</f>
        <v>1</v>
      </c>
      <c r="V606" s="5" t="str">
        <f ca="1">IFERROR(__xludf.DUMMYFUNCTION("""COMPUTED_VALUE"""),"Adult male shot/killed adult male at gate of football stadium during high school game")</f>
        <v>Adult male shot/killed adult male at gate of football stadium during high school game</v>
      </c>
      <c r="W606"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X606" s="5" t="str">
        <f ca="1">IFERROR(__xludf.DUMMYFUNCTION("""COMPUTED_VALUE"""),"Escalation of Dispute")</f>
        <v>Escalation of Dispute</v>
      </c>
      <c r="Y606" s="5" t="str">
        <f ca="1">IFERROR(__xludf.DUMMYFUNCTION("""COMPUTED_VALUE"""),"Victims Targeted")</f>
        <v>Victims Targeted</v>
      </c>
      <c r="Z606" s="5" t="str">
        <f ca="1">IFERROR(__xludf.DUMMYFUNCTION("""COMPUTED_VALUE"""),"No")</f>
        <v>No</v>
      </c>
      <c r="AA606" s="5"/>
      <c r="AB606" s="5" t="str">
        <f ca="1">IFERROR(__xludf.DUMMYFUNCTION("""COMPUTED_VALUE"""),"No")</f>
        <v>No</v>
      </c>
      <c r="AC606" s="5" t="str">
        <f ca="1">IFERROR(__xludf.DUMMYFUNCTION("""COMPUTED_VALUE"""),"No")</f>
        <v>No</v>
      </c>
      <c r="AD606" s="5" t="str">
        <f ca="1">IFERROR(__xludf.DUMMYFUNCTION("""COMPUTED_VALUE"""),"No")</f>
        <v>No</v>
      </c>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row>
    <row r="607" spans="1:34" ht="12.75">
      <c r="A607" s="5" t="str">
        <f ca="1">IFERROR(__xludf.DUMMYFUNCTION("""COMPUTED_VALUE"""),"20190906ALCEC")</f>
        <v>20190906ALCEC</v>
      </c>
      <c r="B607" s="8">
        <f ca="1">IFERROR(__xludf.DUMMYFUNCTION("""COMPUTED_VALUE"""),43714)</f>
        <v>43714</v>
      </c>
      <c r="C607" s="5" t="str">
        <f ca="1">IFERROR(__xludf.DUMMYFUNCTION("""COMPUTED_VALUE"""),"Center Point High School")</f>
        <v>Center Point High School</v>
      </c>
      <c r="D607" s="5">
        <f ca="1">IFERROR(__xludf.DUMMYFUNCTION("""COMPUTED_VALUE"""),0)</f>
        <v>0</v>
      </c>
      <c r="E607" s="5">
        <f ca="1">IFERROR(__xludf.DUMMYFUNCTION("""COMPUTED_VALUE"""),0)</f>
        <v>0</v>
      </c>
      <c r="F607" s="5">
        <f ca="1">IFERROR(__xludf.DUMMYFUNCTION("""COMPUTED_VALUE"""),0)</f>
        <v>0</v>
      </c>
      <c r="G607" s="5">
        <f ca="1">IFERROR(__xludf.DUMMYFUNCTION("""COMPUTED_VALUE"""),0)</f>
        <v>0</v>
      </c>
      <c r="H607"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I607" s="5"/>
      <c r="J607" s="5"/>
      <c r="K607" s="5">
        <f ca="1">IFERROR(__xludf.DUMMYFUNCTION("""COMPUTED_VALUE"""),3)</f>
        <v>3</v>
      </c>
      <c r="L607" s="5" t="str">
        <f ca="1">IFERROR(__xludf.DUMMYFUNCTION("""COMPUTED_VALUE"""),"Fall")</f>
        <v>Fall</v>
      </c>
      <c r="M607" s="5" t="str">
        <f ca="1">IFERROR(__xludf.DUMMYFUNCTION("""COMPUTED_VALUE"""),"Center Point")</f>
        <v>Center Point</v>
      </c>
      <c r="N607" s="5" t="str">
        <f ca="1">IFERROR(__xludf.DUMMYFUNCTION("""COMPUTED_VALUE"""),"AL")</f>
        <v>AL</v>
      </c>
      <c r="O607" s="5" t="str">
        <f ca="1">IFERROR(__xludf.DUMMYFUNCTION("""COMPUTED_VALUE"""),"High")</f>
        <v>High</v>
      </c>
      <c r="P607" s="5" t="str">
        <f ca="1">IFERROR(__xludf.DUMMYFUNCTION("""COMPUTED_VALUE"""),"Football Field/Track")</f>
        <v>Football Field/Track</v>
      </c>
      <c r="Q607" s="5" t="str">
        <f ca="1">IFERROR(__xludf.DUMMYFUNCTION("""COMPUTED_VALUE"""),"Outside on School Property")</f>
        <v>Outside on School Property</v>
      </c>
      <c r="R607" s="5" t="str">
        <f ca="1">IFERROR(__xludf.DUMMYFUNCTION("""COMPUTED_VALUE"""),"No")</f>
        <v>No</v>
      </c>
      <c r="S607" s="5" t="str">
        <f ca="1">IFERROR(__xludf.DUMMYFUNCTION("""COMPUTED_VALUE"""),"Sport Event")</f>
        <v>Sport Event</v>
      </c>
      <c r="T607" s="10">
        <f ca="1">IFERROR(__xludf.DUMMYFUNCTION("""COMPUTED_VALUE"""),0.875)</f>
        <v>0.875</v>
      </c>
      <c r="U607" s="5">
        <f ca="1">IFERROR(__xludf.DUMMYFUNCTION("""COMPUTED_VALUE"""),1)</f>
        <v>1</v>
      </c>
      <c r="V607" s="5" t="str">
        <f ca="1">IFERROR(__xludf.DUMMYFUNCTION("""COMPUTED_VALUE"""),"8-9 shots fired from woods by football stadium during game")</f>
        <v>8-9 shots fired from woods by football stadium during game</v>
      </c>
      <c r="W607"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X607" s="5" t="str">
        <f ca="1">IFERROR(__xludf.DUMMYFUNCTION("""COMPUTED_VALUE"""),"Indiscriminate Shooting")</f>
        <v>Indiscriminate Shooting</v>
      </c>
      <c r="Y607" s="5"/>
      <c r="Z607" s="5"/>
      <c r="AA607" s="5"/>
      <c r="AB607" s="5" t="str">
        <f ca="1">IFERROR(__xludf.DUMMYFUNCTION("""COMPUTED_VALUE"""),"No")</f>
        <v>No</v>
      </c>
      <c r="AC607" s="5" t="str">
        <f ca="1">IFERROR(__xludf.DUMMYFUNCTION("""COMPUTED_VALUE"""),"No")</f>
        <v>No</v>
      </c>
      <c r="AD607" s="5" t="str">
        <f ca="1">IFERROR(__xludf.DUMMYFUNCTION("""COMPUTED_VALUE"""),"No")</f>
        <v>No</v>
      </c>
      <c r="AE607" s="5" t="str">
        <f ca="1">IFERROR(__xludf.DUMMYFUNCTION("""COMPUTED_VALUE"""),"No")</f>
        <v>No</v>
      </c>
      <c r="AF607" s="5" t="str">
        <f ca="1">IFERROR(__xludf.DUMMYFUNCTION("""COMPUTED_VALUE"""),"No")</f>
        <v>No</v>
      </c>
      <c r="AG607" s="5"/>
      <c r="AH607" s="5" t="str">
        <f ca="1">IFERROR(__xludf.DUMMYFUNCTION("""COMPUTED_VALUE"""),"No")</f>
        <v>No</v>
      </c>
    </row>
    <row r="608" spans="1:34" ht="12.75">
      <c r="A608" s="5" t="str">
        <f ca="1">IFERROR(__xludf.DUMMYFUNCTION("""COMPUTED_VALUE"""),"20190902MDNOB")</f>
        <v>20190902MDNOB</v>
      </c>
      <c r="B608" s="8">
        <f ca="1">IFERROR(__xludf.DUMMYFUNCTION("""COMPUTED_VALUE"""),43710)</f>
        <v>43710</v>
      </c>
      <c r="C608" s="5" t="str">
        <f ca="1">IFERROR(__xludf.DUMMYFUNCTION("""COMPUTED_VALUE"""),"Northwood Elementary School")</f>
        <v>Northwood Elementary School</v>
      </c>
      <c r="D608" s="5">
        <f ca="1">IFERROR(__xludf.DUMMYFUNCTION("""COMPUTED_VALUE"""),1)</f>
        <v>1</v>
      </c>
      <c r="E608" s="5">
        <f ca="1">IFERROR(__xludf.DUMMYFUNCTION("""COMPUTED_VALUE"""),2)</f>
        <v>2</v>
      </c>
      <c r="F608" s="5">
        <f ca="1">IFERROR(__xludf.DUMMYFUNCTION("""COMPUTED_VALUE"""),3)</f>
        <v>3</v>
      </c>
      <c r="G608" s="5">
        <f ca="1">IFERROR(__xludf.DUMMYFUNCTION("""COMPUTED_VALUE"""),0)</f>
        <v>0</v>
      </c>
      <c r="H608"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I608" s="5"/>
      <c r="J608" s="5"/>
      <c r="K608" s="5">
        <f ca="1">IFERROR(__xludf.DUMMYFUNCTION("""COMPUTED_VALUE"""),3)</f>
        <v>3</v>
      </c>
      <c r="L608" s="5" t="str">
        <f ca="1">IFERROR(__xludf.DUMMYFUNCTION("""COMPUTED_VALUE"""),"Fall")</f>
        <v>Fall</v>
      </c>
      <c r="M608" s="5" t="str">
        <f ca="1">IFERROR(__xludf.DUMMYFUNCTION("""COMPUTED_VALUE"""),"Baltimore")</f>
        <v>Baltimore</v>
      </c>
      <c r="N608" s="5" t="str">
        <f ca="1">IFERROR(__xludf.DUMMYFUNCTION("""COMPUTED_VALUE"""),"MD")</f>
        <v>MD</v>
      </c>
      <c r="O608" s="5" t="str">
        <f ca="1">IFERROR(__xludf.DUMMYFUNCTION("""COMPUTED_VALUE"""),"Elementary")</f>
        <v>Elementary</v>
      </c>
      <c r="P608" s="5" t="str">
        <f ca="1">IFERROR(__xludf.DUMMYFUNCTION("""COMPUTED_VALUE"""),"Courtyard")</f>
        <v>Courtyard</v>
      </c>
      <c r="Q608" s="5" t="str">
        <f ca="1">IFERROR(__xludf.DUMMYFUNCTION("""COMPUTED_VALUE"""),"Outside on School Property")</f>
        <v>Outside on School Property</v>
      </c>
      <c r="R608" s="5" t="str">
        <f ca="1">IFERROR(__xludf.DUMMYFUNCTION("""COMPUTED_VALUE"""),"No")</f>
        <v>No</v>
      </c>
      <c r="S608" s="5" t="str">
        <f ca="1">IFERROR(__xludf.DUMMYFUNCTION("""COMPUTED_VALUE"""),"Evening")</f>
        <v>Evening</v>
      </c>
      <c r="T608" s="10">
        <f ca="1">IFERROR(__xludf.DUMMYFUNCTION("""COMPUTED_VALUE"""),0.833333333333333)</f>
        <v>0.83333333333333304</v>
      </c>
      <c r="U608" s="5">
        <f ca="1">IFERROR(__xludf.DUMMYFUNCTION("""COMPUTED_VALUE"""),1)</f>
        <v>1</v>
      </c>
      <c r="V608" s="5" t="str">
        <f ca="1">IFERROR(__xludf.DUMMYFUNCTION("""COMPUTED_VALUE"""),"Adult male killed and two other adult men injured by unknown shooter in school courtyard")</f>
        <v>Adult male killed and two other adult men injured by unknown shooter in school courtyard</v>
      </c>
      <c r="W608"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X608" s="5" t="str">
        <f ca="1">IFERROR(__xludf.DUMMYFUNCTION("""COMPUTED_VALUE"""),"Escalation of Dispute")</f>
        <v>Escalation of Dispute</v>
      </c>
      <c r="Y608" s="5"/>
      <c r="Z608" s="5"/>
      <c r="AA608" s="5"/>
      <c r="AB608" s="5" t="str">
        <f ca="1">IFERROR(__xludf.DUMMYFUNCTION("""COMPUTED_VALUE"""),"No")</f>
        <v>No</v>
      </c>
      <c r="AC608" s="5" t="str">
        <f ca="1">IFERROR(__xludf.DUMMYFUNCTION("""COMPUTED_VALUE"""),"No")</f>
        <v>No</v>
      </c>
      <c r="AD608" s="5" t="str">
        <f ca="1">IFERROR(__xludf.DUMMYFUNCTION("""COMPUTED_VALUE"""),"No")</f>
        <v>No</v>
      </c>
      <c r="AE608" s="5" t="str">
        <f ca="1">IFERROR(__xludf.DUMMYFUNCTION("""COMPUTED_VALUE"""),"No")</f>
        <v>No</v>
      </c>
      <c r="AF608" s="5" t="str">
        <f ca="1">IFERROR(__xludf.DUMMYFUNCTION("""COMPUTED_VALUE"""),"No")</f>
        <v>No</v>
      </c>
      <c r="AG608" s="5"/>
      <c r="AH608" s="5" t="str">
        <f ca="1">IFERROR(__xludf.DUMMYFUNCTION("""COMPUTED_VALUE"""),"No")</f>
        <v>No</v>
      </c>
    </row>
    <row r="609" spans="1:34" ht="12.75">
      <c r="A609" s="5" t="str">
        <f ca="1">IFERROR(__xludf.DUMMYFUNCTION("""COMPUTED_VALUE"""),"20190830OHCET")</f>
        <v>20190830OHCET</v>
      </c>
      <c r="B609" s="8">
        <f ca="1">IFERROR(__xludf.DUMMYFUNCTION("""COMPUTED_VALUE"""),43707)</f>
        <v>43707</v>
      </c>
      <c r="C609" s="5" t="str">
        <f ca="1">IFERROR(__xludf.DUMMYFUNCTION("""COMPUTED_VALUE"""),"Central Catholic High School")</f>
        <v>Central Catholic High School</v>
      </c>
      <c r="D609" s="5">
        <f ca="1">IFERROR(__xludf.DUMMYFUNCTION("""COMPUTED_VALUE"""),0)</f>
        <v>0</v>
      </c>
      <c r="E609" s="5">
        <f ca="1">IFERROR(__xludf.DUMMYFUNCTION("""COMPUTED_VALUE"""),1)</f>
        <v>1</v>
      </c>
      <c r="F609" s="5">
        <f ca="1">IFERROR(__xludf.DUMMYFUNCTION("""COMPUTED_VALUE"""),1)</f>
        <v>1</v>
      </c>
      <c r="G609" s="5">
        <f ca="1">IFERROR(__xludf.DUMMYFUNCTION("""COMPUTED_VALUE"""),0)</f>
        <v>0</v>
      </c>
      <c r="H609"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I609" s="5"/>
      <c r="J609" s="5"/>
      <c r="K609" s="5">
        <f ca="1">IFERROR(__xludf.DUMMYFUNCTION("""COMPUTED_VALUE"""),4)</f>
        <v>4</v>
      </c>
      <c r="L609" s="5" t="str">
        <f ca="1">IFERROR(__xludf.DUMMYFUNCTION("""COMPUTED_VALUE"""),"Summer")</f>
        <v>Summer</v>
      </c>
      <c r="M609" s="5" t="str">
        <f ca="1">IFERROR(__xludf.DUMMYFUNCTION("""COMPUTED_VALUE"""),"Toledo")</f>
        <v>Toledo</v>
      </c>
      <c r="N609" s="5" t="str">
        <f ca="1">IFERROR(__xludf.DUMMYFUNCTION("""COMPUTED_VALUE"""),"OH")</f>
        <v>OH</v>
      </c>
      <c r="O609" s="5" t="str">
        <f ca="1">IFERROR(__xludf.DUMMYFUNCTION("""COMPUTED_VALUE"""),"High")</f>
        <v>High</v>
      </c>
      <c r="P609" s="5" t="str">
        <f ca="1">IFERROR(__xludf.DUMMYFUNCTION("""COMPUTED_VALUE"""),"Football Field/Track")</f>
        <v>Football Field/Track</v>
      </c>
      <c r="Q609" s="5" t="str">
        <f ca="1">IFERROR(__xludf.DUMMYFUNCTION("""COMPUTED_VALUE"""),"Outside on School Property")</f>
        <v>Outside on School Property</v>
      </c>
      <c r="R609" s="5" t="str">
        <f ca="1">IFERROR(__xludf.DUMMYFUNCTION("""COMPUTED_VALUE"""),"No")</f>
        <v>No</v>
      </c>
      <c r="S609" s="5" t="str">
        <f ca="1">IFERROR(__xludf.DUMMYFUNCTION("""COMPUTED_VALUE"""),"Sport Event")</f>
        <v>Sport Event</v>
      </c>
      <c r="T609" s="10">
        <f ca="1">IFERROR(__xludf.DUMMYFUNCTION("""COMPUTED_VALUE"""),0.895833333333333)</f>
        <v>0.89583333333333304</v>
      </c>
      <c r="U609" s="5">
        <f ca="1">IFERROR(__xludf.DUMMYFUNCTION("""COMPUTED_VALUE"""),1)</f>
        <v>1</v>
      </c>
      <c r="V609" s="5" t="str">
        <f ca="1">IFERROR(__xludf.DUMMYFUNCTION("""COMPUTED_VALUE"""),"16YOM non-student shot when crowd was exiting football game")</f>
        <v>16YOM non-student shot when crowd was exiting football game</v>
      </c>
      <c r="W609"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X609" s="5" t="str">
        <f ca="1">IFERROR(__xludf.DUMMYFUNCTION("""COMPUTED_VALUE"""),"Escalation of Dispute")</f>
        <v>Escalation of Dispute</v>
      </c>
      <c r="Y609" s="5" t="str">
        <f ca="1">IFERROR(__xludf.DUMMYFUNCTION("""COMPUTED_VALUE"""),"Random Shooting")</f>
        <v>Random Shooting</v>
      </c>
      <c r="Z609" s="5" t="str">
        <f ca="1">IFERROR(__xludf.DUMMYFUNCTION("""COMPUTED_VALUE"""),"No")</f>
        <v>No</v>
      </c>
      <c r="AA609" s="5"/>
      <c r="AB609" s="5" t="str">
        <f ca="1">IFERROR(__xludf.DUMMYFUNCTION("""COMPUTED_VALUE"""),"No")</f>
        <v>No</v>
      </c>
      <c r="AC609" s="5" t="str">
        <f ca="1">IFERROR(__xludf.DUMMYFUNCTION("""COMPUTED_VALUE"""),"No")</f>
        <v>No</v>
      </c>
      <c r="AD609" s="5" t="str">
        <f ca="1">IFERROR(__xludf.DUMMYFUNCTION("""COMPUTED_VALUE"""),"No")</f>
        <v>No</v>
      </c>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row>
    <row r="610" spans="1:34" ht="12.75">
      <c r="A610" s="5" t="str">
        <f ca="1">IFERROR(__xludf.DUMMYFUNCTION("""COMPUTED_VALUE"""),"20190830NCKIK")</f>
        <v>20190830NCKIK</v>
      </c>
      <c r="B610" s="8">
        <f ca="1">IFERROR(__xludf.DUMMYFUNCTION("""COMPUTED_VALUE"""),43707)</f>
        <v>43707</v>
      </c>
      <c r="C610" s="5" t="str">
        <f ca="1">IFERROR(__xludf.DUMMYFUNCTION("""COMPUTED_VALUE"""),"Kinston High School")</f>
        <v>Kinston High School</v>
      </c>
      <c r="D610" s="5">
        <f ca="1">IFERROR(__xludf.DUMMYFUNCTION("""COMPUTED_VALUE"""),0)</f>
        <v>0</v>
      </c>
      <c r="E610" s="5">
        <f ca="1">IFERROR(__xludf.DUMMYFUNCTION("""COMPUTED_VALUE"""),0)</f>
        <v>0</v>
      </c>
      <c r="F610" s="5">
        <f ca="1">IFERROR(__xludf.DUMMYFUNCTION("""COMPUTED_VALUE"""),0)</f>
        <v>0</v>
      </c>
      <c r="G610" s="5">
        <f ca="1">IFERROR(__xludf.DUMMYFUNCTION("""COMPUTED_VALUE"""),0)</f>
        <v>0</v>
      </c>
      <c r="H610" s="9" t="str">
        <f ca="1">IFERROR(__xludf.DUMMYFUNCTION("""COMPUTED_VALUE"""),"https://www.wnct.com/news/2-arrested-in-connection-to-a-shooting-at-a-kinston-football-game/")</f>
        <v>https://www.wnct.com/news/2-arrested-in-connection-to-a-shooting-at-a-kinston-football-game/</v>
      </c>
      <c r="I610" s="5"/>
      <c r="J610" s="5"/>
      <c r="K610" s="5">
        <f ca="1">IFERROR(__xludf.DUMMYFUNCTION("""COMPUTED_VALUE"""),4)</f>
        <v>4</v>
      </c>
      <c r="L610" s="5" t="str">
        <f ca="1">IFERROR(__xludf.DUMMYFUNCTION("""COMPUTED_VALUE"""),"Summer")</f>
        <v>Summer</v>
      </c>
      <c r="M610" s="5" t="str">
        <f ca="1">IFERROR(__xludf.DUMMYFUNCTION("""COMPUTED_VALUE"""),"Kingston")</f>
        <v>Kingston</v>
      </c>
      <c r="N610" s="5" t="str">
        <f ca="1">IFERROR(__xludf.DUMMYFUNCTION("""COMPUTED_VALUE"""),"NC")</f>
        <v>NC</v>
      </c>
      <c r="O610" s="5" t="str">
        <f ca="1">IFERROR(__xludf.DUMMYFUNCTION("""COMPUTED_VALUE"""),"High")</f>
        <v>High</v>
      </c>
      <c r="P610" s="5" t="str">
        <f ca="1">IFERROR(__xludf.DUMMYFUNCTION("""COMPUTED_VALUE"""),"Parking Lot")</f>
        <v>Parking Lot</v>
      </c>
      <c r="Q610" s="5" t="str">
        <f ca="1">IFERROR(__xludf.DUMMYFUNCTION("""COMPUTED_VALUE"""),"Outside on School Property")</f>
        <v>Outside on School Property</v>
      </c>
      <c r="R610" s="5" t="str">
        <f ca="1">IFERROR(__xludf.DUMMYFUNCTION("""COMPUTED_VALUE"""),"No")</f>
        <v>No</v>
      </c>
      <c r="S610" s="5" t="str">
        <f ca="1">IFERROR(__xludf.DUMMYFUNCTION("""COMPUTED_VALUE"""),"Sport Event")</f>
        <v>Sport Event</v>
      </c>
      <c r="T610" s="10">
        <f ca="1">IFERROR(__xludf.DUMMYFUNCTION("""COMPUTED_VALUE"""),0.916666666666666)</f>
        <v>0.91666666666666596</v>
      </c>
      <c r="U610" s="5">
        <f ca="1">IFERROR(__xludf.DUMMYFUNCTION("""COMPUTED_VALUE"""),1)</f>
        <v>1</v>
      </c>
      <c r="V610" s="5" t="str">
        <f ca="1">IFERROR(__xludf.DUMMYFUNCTION("""COMPUTED_VALUE"""),"Shots fired into air the parking lot after football game")</f>
        <v>Shots fired into air the parking lot after football game</v>
      </c>
      <c r="W610"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X610" s="5" t="str">
        <f ca="1">IFERROR(__xludf.DUMMYFUNCTION("""COMPUTED_VALUE"""),"Escalation of Dispute")</f>
        <v>Escalation of Dispute</v>
      </c>
      <c r="Y610" s="5" t="str">
        <f ca="1">IFERROR(__xludf.DUMMYFUNCTION("""COMPUTED_VALUE"""),"Neither")</f>
        <v>Neither</v>
      </c>
      <c r="Z610" s="5" t="str">
        <f ca="1">IFERROR(__xludf.DUMMYFUNCTION("""COMPUTED_VALUE"""),"Yes")</f>
        <v>Yes</v>
      </c>
      <c r="AA610" s="5" t="str">
        <f ca="1">IFERROR(__xludf.DUMMYFUNCTION("""COMPUTED_VALUE"""),"19YOM in vehicle also arrested")</f>
        <v>19YOM in vehicle also arrested</v>
      </c>
      <c r="AB610" s="5" t="str">
        <f ca="1">IFERROR(__xludf.DUMMYFUNCTION("""COMPUTED_VALUE"""),"No")</f>
        <v>No</v>
      </c>
      <c r="AC610" s="5" t="str">
        <f ca="1">IFERROR(__xludf.DUMMYFUNCTION("""COMPUTED_VALUE"""),"No")</f>
        <v>No</v>
      </c>
      <c r="AD610" s="5" t="str">
        <f ca="1">IFERROR(__xludf.DUMMYFUNCTION("""COMPUTED_VALUE"""),"No")</f>
        <v>No</v>
      </c>
      <c r="AE610" s="5" t="str">
        <f ca="1">IFERROR(__xludf.DUMMYFUNCTION("""COMPUTED_VALUE"""),"No")</f>
        <v>No</v>
      </c>
      <c r="AF610" s="5" t="str">
        <f ca="1">IFERROR(__xludf.DUMMYFUNCTION("""COMPUTED_VALUE"""),"No")</f>
        <v>No</v>
      </c>
      <c r="AG610" s="5"/>
      <c r="AH610" s="5" t="str">
        <f ca="1">IFERROR(__xludf.DUMMYFUNCTION("""COMPUTED_VALUE"""),"No")</f>
        <v>No</v>
      </c>
    </row>
    <row r="611" spans="1:34" ht="12.75">
      <c r="A611" s="5" t="str">
        <f ca="1">IFERROR(__xludf.DUMMYFUNCTION("""COMPUTED_VALUE"""),"20190830ALLAM")</f>
        <v>20190830ALLAM</v>
      </c>
      <c r="B611" s="8">
        <f ca="1">IFERROR(__xludf.DUMMYFUNCTION("""COMPUTED_VALUE"""),43707)</f>
        <v>43707</v>
      </c>
      <c r="C611" s="5" t="str">
        <f ca="1">IFERROR(__xludf.DUMMYFUNCTION("""COMPUTED_VALUE"""),"Ladd-Peebles Stadium")</f>
        <v>Ladd-Peebles Stadium</v>
      </c>
      <c r="D611" s="5">
        <f ca="1">IFERROR(__xludf.DUMMYFUNCTION("""COMPUTED_VALUE"""),0)</f>
        <v>0</v>
      </c>
      <c r="E611" s="5">
        <f ca="1">IFERROR(__xludf.DUMMYFUNCTION("""COMPUTED_VALUE"""),10)</f>
        <v>10</v>
      </c>
      <c r="F611" s="5">
        <f ca="1">IFERROR(__xludf.DUMMYFUNCTION("""COMPUTED_VALUE"""),10)</f>
        <v>10</v>
      </c>
      <c r="G611" s="5">
        <f ca="1">IFERROR(__xludf.DUMMYFUNCTION("""COMPUTED_VALUE"""),0)</f>
        <v>0</v>
      </c>
      <c r="H611"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I611" s="5"/>
      <c r="J611" s="5"/>
      <c r="K611" s="5">
        <f ca="1">IFERROR(__xludf.DUMMYFUNCTION("""COMPUTED_VALUE"""),4)</f>
        <v>4</v>
      </c>
      <c r="L611" s="5" t="str">
        <f ca="1">IFERROR(__xludf.DUMMYFUNCTION("""COMPUTED_VALUE"""),"Summer")</f>
        <v>Summer</v>
      </c>
      <c r="M611" s="5" t="str">
        <f ca="1">IFERROR(__xludf.DUMMYFUNCTION("""COMPUTED_VALUE"""),"Mobile")</f>
        <v>Mobile</v>
      </c>
      <c r="N611" s="5" t="str">
        <f ca="1">IFERROR(__xludf.DUMMYFUNCTION("""COMPUTED_VALUE"""),"AL")</f>
        <v>AL</v>
      </c>
      <c r="O611" s="5" t="str">
        <f ca="1">IFERROR(__xludf.DUMMYFUNCTION("""COMPUTED_VALUE"""),"High")</f>
        <v>High</v>
      </c>
      <c r="P611" s="5" t="str">
        <f ca="1">IFERROR(__xludf.DUMMYFUNCTION("""COMPUTED_VALUE"""),"Off School Property")</f>
        <v>Off School Property</v>
      </c>
      <c r="Q611" s="5" t="str">
        <f ca="1">IFERROR(__xludf.DUMMYFUNCTION("""COMPUTED_VALUE"""),"Off School Property")</f>
        <v>Off School Property</v>
      </c>
      <c r="R611" s="5" t="str">
        <f ca="1">IFERROR(__xludf.DUMMYFUNCTION("""COMPUTED_VALUE"""),"No")</f>
        <v>No</v>
      </c>
      <c r="S611" s="5" t="str">
        <f ca="1">IFERROR(__xludf.DUMMYFUNCTION("""COMPUTED_VALUE"""),"Sport Event")</f>
        <v>Sport Event</v>
      </c>
      <c r="T611" s="10">
        <f ca="1">IFERROR(__xludf.DUMMYFUNCTION("""COMPUTED_VALUE"""),0.916666666666666)</f>
        <v>0.91666666666666596</v>
      </c>
      <c r="U611" s="5">
        <f ca="1">IFERROR(__xludf.DUMMYFUNCTION("""COMPUTED_VALUE"""),1)</f>
        <v>1</v>
      </c>
      <c r="V611" s="5" t="str">
        <f ca="1">IFERROR(__xludf.DUMMYFUNCTION("""COMPUTED_VALUE"""),"10 teens shot after 17YO fired shots into crowd following dispute")</f>
        <v>10 teens shot after 17YO fired shots into crowd following dispute</v>
      </c>
      <c r="W611" s="5" t="str">
        <f ca="1">IFERROR(__xludf.DUMMYFUNCTION("""COMPUTED_VALUE"""),"10 teens shot after 17YO fired shots into crowd following dispute")</f>
        <v>10 teens shot after 17YO fired shots into crowd following dispute</v>
      </c>
      <c r="X611" s="5" t="str">
        <f ca="1">IFERROR(__xludf.DUMMYFUNCTION("""COMPUTED_VALUE"""),"Escalation of Dispute")</f>
        <v>Escalation of Dispute</v>
      </c>
      <c r="Y611" s="5" t="str">
        <f ca="1">IFERROR(__xludf.DUMMYFUNCTION("""COMPUTED_VALUE"""),"Both")</f>
        <v>Both</v>
      </c>
      <c r="Z611" s="5"/>
      <c r="AA611" s="5" t="str">
        <f ca="1">IFERROR(__xludf.DUMMYFUNCTION("""COMPUTED_VALUE"""),"2 initially arrested")</f>
        <v>2 initially arrested</v>
      </c>
      <c r="AB611" s="5" t="str">
        <f ca="1">IFERROR(__xludf.DUMMYFUNCTION("""COMPUTED_VALUE"""),"No")</f>
        <v>No</v>
      </c>
      <c r="AC611" s="5" t="str">
        <f ca="1">IFERROR(__xludf.DUMMYFUNCTION("""COMPUTED_VALUE"""),"No")</f>
        <v>No</v>
      </c>
      <c r="AD611" s="5" t="str">
        <f ca="1">IFERROR(__xludf.DUMMYFUNCTION("""COMPUTED_VALUE"""),"No")</f>
        <v>No</v>
      </c>
      <c r="AE611" s="5" t="str">
        <f ca="1">IFERROR(__xludf.DUMMYFUNCTION("""COMPUTED_VALUE"""),"No")</f>
        <v>No</v>
      </c>
      <c r="AF611" s="5" t="str">
        <f ca="1">IFERROR(__xludf.DUMMYFUNCTION("""COMPUTED_VALUE"""),"No")</f>
        <v>No</v>
      </c>
      <c r="AG611" s="5" t="str">
        <f ca="1">IFERROR(__xludf.DUMMYFUNCTION("""COMPUTED_VALUE"""),"Yes")</f>
        <v>Yes</v>
      </c>
      <c r="AH611" s="5" t="str">
        <f ca="1">IFERROR(__xludf.DUMMYFUNCTION("""COMPUTED_VALUE"""),"Yes")</f>
        <v>Yes</v>
      </c>
    </row>
    <row r="612" spans="1:34" ht="12.75">
      <c r="A612" s="5" t="str">
        <f ca="1">IFERROR(__xludf.DUMMYFUNCTION("""COMPUTED_VALUE"""),"20190827NYROR")</f>
        <v>20190827NYROR</v>
      </c>
      <c r="B612" s="8">
        <f ca="1">IFERROR(__xludf.DUMMYFUNCTION("""COMPUTED_VALUE"""),43704)</f>
        <v>43704</v>
      </c>
      <c r="C612" s="5" t="str">
        <f ca="1">IFERROR(__xludf.DUMMYFUNCTION("""COMPUTED_VALUE"""),"Roosevelt High School")</f>
        <v>Roosevelt High School</v>
      </c>
      <c r="D612" s="5">
        <f ca="1">IFERROR(__xludf.DUMMYFUNCTION("""COMPUTED_VALUE"""),0)</f>
        <v>0</v>
      </c>
      <c r="E612" s="5">
        <f ca="1">IFERROR(__xludf.DUMMYFUNCTION("""COMPUTED_VALUE"""),0)</f>
        <v>0</v>
      </c>
      <c r="F612" s="5">
        <f ca="1">IFERROR(__xludf.DUMMYFUNCTION("""COMPUTED_VALUE"""),0)</f>
        <v>0</v>
      </c>
      <c r="G612" s="5">
        <f ca="1">IFERROR(__xludf.DUMMYFUNCTION("""COMPUTED_VALUE"""),0)</f>
        <v>0</v>
      </c>
      <c r="H612" s="9" t="str">
        <f ca="1">IFERROR(__xludf.DUMMYFUNCTION("""COMPUTED_VALUE"""),"https://patch.com/new-york/merrick/shooting-long-island-school-causes-lockdown")</f>
        <v>https://patch.com/new-york/merrick/shooting-long-island-school-causes-lockdown</v>
      </c>
      <c r="I612" s="5"/>
      <c r="J612" s="5"/>
      <c r="K612" s="5">
        <f ca="1">IFERROR(__xludf.DUMMYFUNCTION("""COMPUTED_VALUE"""),3)</f>
        <v>3</v>
      </c>
      <c r="L612" s="5" t="str">
        <f ca="1">IFERROR(__xludf.DUMMYFUNCTION("""COMPUTED_VALUE"""),"Summer")</f>
        <v>Summer</v>
      </c>
      <c r="M612" s="5" t="str">
        <f ca="1">IFERROR(__xludf.DUMMYFUNCTION("""COMPUTED_VALUE"""),"Roosevelt")</f>
        <v>Roosevelt</v>
      </c>
      <c r="N612" s="5" t="str">
        <f ca="1">IFERROR(__xludf.DUMMYFUNCTION("""COMPUTED_VALUE"""),"NY")</f>
        <v>NY</v>
      </c>
      <c r="O612" s="5" t="str">
        <f ca="1">IFERROR(__xludf.DUMMYFUNCTION("""COMPUTED_VALUE"""),"High")</f>
        <v>High</v>
      </c>
      <c r="P612" s="5" t="str">
        <f ca="1">IFERROR(__xludf.DUMMYFUNCTION("""COMPUTED_VALUE"""),"Field (General)")</f>
        <v>Field (General)</v>
      </c>
      <c r="Q612" s="5" t="str">
        <f ca="1">IFERROR(__xludf.DUMMYFUNCTION("""COMPUTED_VALUE"""),"Outside on School Property")</f>
        <v>Outside on School Property</v>
      </c>
      <c r="R612" s="5" t="str">
        <f ca="1">IFERROR(__xludf.DUMMYFUNCTION("""COMPUTED_VALUE"""),"No")</f>
        <v>No</v>
      </c>
      <c r="S612" s="5" t="str">
        <f ca="1">IFERROR(__xludf.DUMMYFUNCTION("""COMPUTED_VALUE"""),"Not a School Day")</f>
        <v>Not a School Day</v>
      </c>
      <c r="T612" s="10">
        <f ca="1">IFERROR(__xludf.DUMMYFUNCTION("""COMPUTED_VALUE"""),0.375)</f>
        <v>0.375</v>
      </c>
      <c r="U612" s="5">
        <f ca="1">IFERROR(__xludf.DUMMYFUNCTION("""COMPUTED_VALUE"""),1)</f>
        <v>1</v>
      </c>
      <c r="V612" s="5" t="str">
        <f ca="1">IFERROR(__xludf.DUMMYFUNCTION("""COMPUTED_VALUE"""),"Man fired 3 shots into the ground during dispute the school staff about landscaping")</f>
        <v>Man fired 3 shots into the ground during dispute the school staff about landscaping</v>
      </c>
      <c r="W612"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X612" s="5" t="str">
        <f ca="1">IFERROR(__xludf.DUMMYFUNCTION("""COMPUTED_VALUE"""),"Escalation of Dispute")</f>
        <v>Escalation of Dispute</v>
      </c>
      <c r="Y612" s="5" t="str">
        <f ca="1">IFERROR(__xludf.DUMMYFUNCTION("""COMPUTED_VALUE"""),"Victims Targeted")</f>
        <v>Victims Targeted</v>
      </c>
      <c r="Z612" s="5" t="str">
        <f ca="1">IFERROR(__xludf.DUMMYFUNCTION("""COMPUTED_VALUE"""),"No")</f>
        <v>No</v>
      </c>
      <c r="AA612" s="5"/>
      <c r="AB612" s="5" t="str">
        <f ca="1">IFERROR(__xludf.DUMMYFUNCTION("""COMPUTED_VALUE"""),"No")</f>
        <v>No</v>
      </c>
      <c r="AC612" s="5" t="str">
        <f ca="1">IFERROR(__xludf.DUMMYFUNCTION("""COMPUTED_VALUE"""),"No")</f>
        <v>No</v>
      </c>
      <c r="AD612" s="5" t="str">
        <f ca="1">IFERROR(__xludf.DUMMYFUNCTION("""COMPUTED_VALUE"""),"No")</f>
        <v>No</v>
      </c>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row>
    <row r="613" spans="1:34" ht="12.75">
      <c r="A613" s="5" t="str">
        <f ca="1">IFERROR(__xludf.DUMMYFUNCTION("""COMPUTED_VALUE"""),"20190827CAHOL")</f>
        <v>20190827CAHOL</v>
      </c>
      <c r="B613" s="8">
        <f ca="1">IFERROR(__xludf.DUMMYFUNCTION("""COMPUTED_VALUE"""),43704)</f>
        <v>43704</v>
      </c>
      <c r="C613" s="5" t="str">
        <f ca="1">IFERROR(__xludf.DUMMYFUNCTION("""COMPUTED_VALUE"""),"Hollenbeck Middle School")</f>
        <v>Hollenbeck Middle School</v>
      </c>
      <c r="D613" s="5">
        <f ca="1">IFERROR(__xludf.DUMMYFUNCTION("""COMPUTED_VALUE"""),0)</f>
        <v>0</v>
      </c>
      <c r="E613" s="5">
        <f ca="1">IFERROR(__xludf.DUMMYFUNCTION("""COMPUTED_VALUE"""),1)</f>
        <v>1</v>
      </c>
      <c r="F613" s="5">
        <f ca="1">IFERROR(__xludf.DUMMYFUNCTION("""COMPUTED_VALUE"""),1)</f>
        <v>1</v>
      </c>
      <c r="G613" s="5">
        <f ca="1">IFERROR(__xludf.DUMMYFUNCTION("""COMPUTED_VALUE"""),0)</f>
        <v>0</v>
      </c>
      <c r="H613"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I613" s="5"/>
      <c r="J613" s="5"/>
      <c r="K613" s="5">
        <f ca="1">IFERROR(__xludf.DUMMYFUNCTION("""COMPUTED_VALUE"""),4)</f>
        <v>4</v>
      </c>
      <c r="L613" s="5" t="str">
        <f ca="1">IFERROR(__xludf.DUMMYFUNCTION("""COMPUTED_VALUE"""),"Summer")</f>
        <v>Summer</v>
      </c>
      <c r="M613" s="5" t="str">
        <f ca="1">IFERROR(__xludf.DUMMYFUNCTION("""COMPUTED_VALUE"""),"Los Angeles")</f>
        <v>Los Angeles</v>
      </c>
      <c r="N613" s="5" t="str">
        <f ca="1">IFERROR(__xludf.DUMMYFUNCTION("""COMPUTED_VALUE"""),"CA")</f>
        <v>CA</v>
      </c>
      <c r="O613" s="5" t="str">
        <f ca="1">IFERROR(__xludf.DUMMYFUNCTION("""COMPUTED_VALUE"""),"High")</f>
        <v>High</v>
      </c>
      <c r="P613" s="5" t="str">
        <f ca="1">IFERROR(__xludf.DUMMYFUNCTION("""COMPUTED_VALUE"""),"Cafeteria")</f>
        <v>Cafeteria</v>
      </c>
      <c r="Q613" s="5" t="str">
        <f ca="1">IFERROR(__xludf.DUMMYFUNCTION("""COMPUTED_VALUE"""),"Off School Property")</f>
        <v>Off School Property</v>
      </c>
      <c r="R613" s="5" t="str">
        <f ca="1">IFERROR(__xludf.DUMMYFUNCTION("""COMPUTED_VALUE"""),"Yes")</f>
        <v>Yes</v>
      </c>
      <c r="S613" s="5" t="str">
        <f ca="1">IFERROR(__xludf.DUMMYFUNCTION("""COMPUTED_VALUE"""),"Lunch")</f>
        <v>Lunch</v>
      </c>
      <c r="T613" s="10">
        <f ca="1">IFERROR(__xludf.DUMMYFUNCTION("""COMPUTED_VALUE"""),0.458333333333333)</f>
        <v>0.45833333333333298</v>
      </c>
      <c r="U613" s="5">
        <f ca="1">IFERROR(__xludf.DUMMYFUNCTION("""COMPUTED_VALUE"""),1)</f>
        <v>1</v>
      </c>
      <c r="V613" s="5" t="str">
        <f ca="1">IFERROR(__xludf.DUMMYFUNCTION("""COMPUTED_VALUE"""),"Student hit by bullet in lunch line. Shot fired from off campus.")</f>
        <v>Student hit by bullet in lunch line. Shot fired from off campus.</v>
      </c>
      <c r="W613"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X613" s="5" t="str">
        <f ca="1">IFERROR(__xludf.DUMMYFUNCTION("""COMPUTED_VALUE"""),"Unknown")</f>
        <v>Unknown</v>
      </c>
      <c r="Y613" s="5"/>
      <c r="Z613" s="5"/>
      <c r="AA613" s="5"/>
      <c r="AB613" s="5" t="str">
        <f ca="1">IFERROR(__xludf.DUMMYFUNCTION("""COMPUTED_VALUE"""),"No")</f>
        <v>No</v>
      </c>
      <c r="AC613" s="5" t="str">
        <f ca="1">IFERROR(__xludf.DUMMYFUNCTION("""COMPUTED_VALUE"""),"No")</f>
        <v>No</v>
      </c>
      <c r="AD613" s="5" t="str">
        <f ca="1">IFERROR(__xludf.DUMMYFUNCTION("""COMPUTED_VALUE"""),"No")</f>
        <v>No</v>
      </c>
      <c r="AE613" s="5" t="str">
        <f ca="1">IFERROR(__xludf.DUMMYFUNCTION("""COMPUTED_VALUE"""),"No")</f>
        <v>No</v>
      </c>
      <c r="AF613" s="5" t="str">
        <f ca="1">IFERROR(__xludf.DUMMYFUNCTION("""COMPUTED_VALUE"""),"No")</f>
        <v>No</v>
      </c>
      <c r="AG613" s="5"/>
      <c r="AH613" s="5" t="str">
        <f ca="1">IFERROR(__xludf.DUMMYFUNCTION("""COMPUTED_VALUE"""),"No")</f>
        <v>No</v>
      </c>
    </row>
    <row r="614" spans="1:34" ht="12.75">
      <c r="A614" s="5" t="str">
        <f ca="1">IFERROR(__xludf.DUMMYFUNCTION("""COMPUTED_VALUE"""),"20190824PAWIP")</f>
        <v>20190824PAWIP</v>
      </c>
      <c r="B614" s="8">
        <f ca="1">IFERROR(__xludf.DUMMYFUNCTION("""COMPUTED_VALUE"""),43701)</f>
        <v>43701</v>
      </c>
      <c r="C614" s="5" t="str">
        <f ca="1">IFERROR(__xludf.DUMMYFUNCTION("""COMPUTED_VALUE"""),"William C. Longstreth Elementary School")</f>
        <v>William C. Longstreth Elementary School</v>
      </c>
      <c r="D614" s="5">
        <f ca="1">IFERROR(__xludf.DUMMYFUNCTION("""COMPUTED_VALUE"""),1)</f>
        <v>1</v>
      </c>
      <c r="E614" s="5">
        <f ca="1">IFERROR(__xludf.DUMMYFUNCTION("""COMPUTED_VALUE"""),0)</f>
        <v>0</v>
      </c>
      <c r="F614" s="5">
        <f ca="1">IFERROR(__xludf.DUMMYFUNCTION("""COMPUTED_VALUE"""),1)</f>
        <v>1</v>
      </c>
      <c r="G614" s="5">
        <f ca="1">IFERROR(__xludf.DUMMYFUNCTION("""COMPUTED_VALUE"""),0)</f>
        <v>0</v>
      </c>
      <c r="H614"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I614" s="5"/>
      <c r="J614" s="5"/>
      <c r="K614" s="5">
        <f ca="1">IFERROR(__xludf.DUMMYFUNCTION("""COMPUTED_VALUE"""),4)</f>
        <v>4</v>
      </c>
      <c r="L614" s="5" t="str">
        <f ca="1">IFERROR(__xludf.DUMMYFUNCTION("""COMPUTED_VALUE"""),"Summer")</f>
        <v>Summer</v>
      </c>
      <c r="M614" s="5" t="str">
        <f ca="1">IFERROR(__xludf.DUMMYFUNCTION("""COMPUTED_VALUE"""),"Philadelphia")</f>
        <v>Philadelphia</v>
      </c>
      <c r="N614" s="5" t="str">
        <f ca="1">IFERROR(__xludf.DUMMYFUNCTION("""COMPUTED_VALUE"""),"PA")</f>
        <v>PA</v>
      </c>
      <c r="O614" s="5" t="str">
        <f ca="1">IFERROR(__xludf.DUMMYFUNCTION("""COMPUTED_VALUE"""),"Elementary")</f>
        <v>Elementary</v>
      </c>
      <c r="P614" s="5" t="str">
        <f ca="1">IFERROR(__xludf.DUMMYFUNCTION("""COMPUTED_VALUE"""),"Playground")</f>
        <v>Playground</v>
      </c>
      <c r="Q614" s="5" t="str">
        <f ca="1">IFERROR(__xludf.DUMMYFUNCTION("""COMPUTED_VALUE"""),"Outside on School Property")</f>
        <v>Outside on School Property</v>
      </c>
      <c r="R614" s="5" t="str">
        <f ca="1">IFERROR(__xludf.DUMMYFUNCTION("""COMPUTED_VALUE"""),"No")</f>
        <v>No</v>
      </c>
      <c r="S614" s="5" t="str">
        <f ca="1">IFERROR(__xludf.DUMMYFUNCTION("""COMPUTED_VALUE"""),"Evening")</f>
        <v>Evening</v>
      </c>
      <c r="T614" s="10">
        <f ca="1">IFERROR(__xludf.DUMMYFUNCTION("""COMPUTED_VALUE"""),0.791666666666666)</f>
        <v>0.79166666666666596</v>
      </c>
      <c r="U614" s="5">
        <f ca="1">IFERROR(__xludf.DUMMYFUNCTION("""COMPUTED_VALUE"""),1)</f>
        <v>1</v>
      </c>
      <c r="V614" s="5" t="str">
        <f ca="1">IFERROR(__xludf.DUMMYFUNCTION("""COMPUTED_VALUE"""),"14YOM shot and killed on school playground during argument")</f>
        <v>14YOM shot and killed on school playground during argument</v>
      </c>
      <c r="W614"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X614" s="5" t="str">
        <f ca="1">IFERROR(__xludf.DUMMYFUNCTION("""COMPUTED_VALUE"""),"Escalation of Dispute")</f>
        <v>Escalation of Dispute</v>
      </c>
      <c r="Y614" s="5" t="str">
        <f ca="1">IFERROR(__xludf.DUMMYFUNCTION("""COMPUTED_VALUE"""),"Victims Targeted")</f>
        <v>Victims Targeted</v>
      </c>
      <c r="Z614" s="5"/>
      <c r="AA614" s="5" t="str">
        <f ca="1">IFERROR(__xludf.DUMMYFUNCTION("""COMPUTED_VALUE"""),"Fled in a vehicle")</f>
        <v>Fled in a vehicle</v>
      </c>
      <c r="AB614" s="5" t="str">
        <f ca="1">IFERROR(__xludf.DUMMYFUNCTION("""COMPUTED_VALUE"""),"No")</f>
        <v>No</v>
      </c>
      <c r="AC614" s="5" t="str">
        <f ca="1">IFERROR(__xludf.DUMMYFUNCTION("""COMPUTED_VALUE"""),"No")</f>
        <v>No</v>
      </c>
      <c r="AD614" s="5" t="str">
        <f ca="1">IFERROR(__xludf.DUMMYFUNCTION("""COMPUTED_VALUE"""),"No")</f>
        <v>No</v>
      </c>
      <c r="AE614" s="5" t="str">
        <f ca="1">IFERROR(__xludf.DUMMYFUNCTION("""COMPUTED_VALUE"""),"No")</f>
        <v>No</v>
      </c>
      <c r="AF614" s="5" t="str">
        <f ca="1">IFERROR(__xludf.DUMMYFUNCTION("""COMPUTED_VALUE"""),"No")</f>
        <v>No</v>
      </c>
      <c r="AG614" s="5" t="str">
        <f ca="1">IFERROR(__xludf.DUMMYFUNCTION("""COMPUTED_VALUE"""),"No")</f>
        <v>No</v>
      </c>
      <c r="AH614" s="5" t="str">
        <f ca="1">IFERROR(__xludf.DUMMYFUNCTION("""COMPUTED_VALUE"""),"No")</f>
        <v>No</v>
      </c>
    </row>
    <row r="615" spans="1:34" ht="12.75">
      <c r="A615" s="5" t="str">
        <f ca="1">IFERROR(__xludf.DUMMYFUNCTION("""COMPUTED_VALUE"""),"20190823MOROS")</f>
        <v>20190823MOROS</v>
      </c>
      <c r="B615" s="8">
        <f ca="1">IFERROR(__xludf.DUMMYFUNCTION("""COMPUTED_VALUE"""),43700)</f>
        <v>43700</v>
      </c>
      <c r="C615" s="5" t="str">
        <f ca="1">IFERROR(__xludf.DUMMYFUNCTION("""COMPUTED_VALUE"""),"Roosevelt High School")</f>
        <v>Roosevelt High School</v>
      </c>
      <c r="D615" s="5">
        <f ca="1">IFERROR(__xludf.DUMMYFUNCTION("""COMPUTED_VALUE"""),1)</f>
        <v>1</v>
      </c>
      <c r="E615" s="5">
        <f ca="1">IFERROR(__xludf.DUMMYFUNCTION("""COMPUTED_VALUE"""),0)</f>
        <v>0</v>
      </c>
      <c r="F615" s="5">
        <f ca="1">IFERROR(__xludf.DUMMYFUNCTION("""COMPUTED_VALUE"""),1)</f>
        <v>1</v>
      </c>
      <c r="G615" s="5">
        <f ca="1">IFERROR(__xludf.DUMMYFUNCTION("""COMPUTED_VALUE"""),0)</f>
        <v>0</v>
      </c>
      <c r="H615"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I615" s="5"/>
      <c r="J615" s="5"/>
      <c r="K615" s="5">
        <f ca="1">IFERROR(__xludf.DUMMYFUNCTION("""COMPUTED_VALUE"""),3)</f>
        <v>3</v>
      </c>
      <c r="L615" s="5" t="str">
        <f ca="1">IFERROR(__xludf.DUMMYFUNCTION("""COMPUTED_VALUE"""),"Summer")</f>
        <v>Summer</v>
      </c>
      <c r="M615" s="5" t="str">
        <f ca="1">IFERROR(__xludf.DUMMYFUNCTION("""COMPUTED_VALUE"""),"St. Louis")</f>
        <v>St. Louis</v>
      </c>
      <c r="N615" s="5" t="str">
        <f ca="1">IFERROR(__xludf.DUMMYFUNCTION("""COMPUTED_VALUE"""),"MO")</f>
        <v>MO</v>
      </c>
      <c r="O615" s="5" t="str">
        <f ca="1">IFERROR(__xludf.DUMMYFUNCTION("""COMPUTED_VALUE"""),"High")</f>
        <v>High</v>
      </c>
      <c r="P615" s="5" t="str">
        <f ca="1">IFERROR(__xludf.DUMMYFUNCTION("""COMPUTED_VALUE"""),"Parking Lot")</f>
        <v>Parking Lot</v>
      </c>
      <c r="Q615" s="5" t="str">
        <f ca="1">IFERROR(__xludf.DUMMYFUNCTION("""COMPUTED_VALUE"""),"Outside on School Property")</f>
        <v>Outside on School Property</v>
      </c>
      <c r="R615" s="5" t="str">
        <f ca="1">IFERROR(__xludf.DUMMYFUNCTION("""COMPUTED_VALUE"""),"No")</f>
        <v>No</v>
      </c>
      <c r="S615" s="5" t="str">
        <f ca="1">IFERROR(__xludf.DUMMYFUNCTION("""COMPUTED_VALUE"""),"Night")</f>
        <v>Night</v>
      </c>
      <c r="T615" s="10">
        <f ca="1">IFERROR(__xludf.DUMMYFUNCTION("""COMPUTED_VALUE"""),0.208333333333333)</f>
        <v>0.20833333333333301</v>
      </c>
      <c r="U615" s="5">
        <f ca="1">IFERROR(__xludf.DUMMYFUNCTION("""COMPUTED_VALUE"""),1)</f>
        <v>1</v>
      </c>
      <c r="V615" s="5" t="str">
        <f ca="1">IFERROR(__xludf.DUMMYFUNCTION("""COMPUTED_VALUE"""),"16YOF student found dead (multiple shots) behind school")</f>
        <v>16YOF student found dead (multiple shots) behind school</v>
      </c>
      <c r="W615"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X615" s="5" t="str">
        <f ca="1">IFERROR(__xludf.DUMMYFUNCTION("""COMPUTED_VALUE"""),"Unknown")</f>
        <v>Unknown</v>
      </c>
      <c r="Y615" s="5" t="str">
        <f ca="1">IFERROR(__xludf.DUMMYFUNCTION("""COMPUTED_VALUE"""),"Victims Targeted")</f>
        <v>Victims Targeted</v>
      </c>
      <c r="Z615" s="5"/>
      <c r="AA615" s="5"/>
      <c r="AB615" s="5" t="str">
        <f ca="1">IFERROR(__xludf.DUMMYFUNCTION("""COMPUTED_VALUE"""),"No")</f>
        <v>No</v>
      </c>
      <c r="AC615" s="5" t="str">
        <f ca="1">IFERROR(__xludf.DUMMYFUNCTION("""COMPUTED_VALUE"""),"No")</f>
        <v>No</v>
      </c>
      <c r="AD615" s="5" t="str">
        <f ca="1">IFERROR(__xludf.DUMMYFUNCTION("""COMPUTED_VALUE"""),"No")</f>
        <v>No</v>
      </c>
      <c r="AE615" s="5"/>
      <c r="AF615" s="5"/>
      <c r="AG615" s="5"/>
      <c r="AH615" s="5" t="str">
        <f ca="1">IFERROR(__xludf.DUMMYFUNCTION("""COMPUTED_VALUE"""),"No")</f>
        <v>No</v>
      </c>
    </row>
    <row r="616" spans="1:34" ht="12.75">
      <c r="A616" s="5" t="str">
        <f ca="1">IFERROR(__xludf.DUMMYFUNCTION("""COMPUTED_VALUE"""),"20190823MOPAS")</f>
        <v>20190823MOPAS</v>
      </c>
      <c r="B616" s="8">
        <f ca="1">IFERROR(__xludf.DUMMYFUNCTION("""COMPUTED_VALUE"""),43700)</f>
        <v>43700</v>
      </c>
      <c r="C616" s="5" t="str">
        <f ca="1">IFERROR(__xludf.DUMMYFUNCTION("""COMPUTED_VALUE"""),"Parkway North High School")</f>
        <v>Parkway North High School</v>
      </c>
      <c r="D616" s="5">
        <f ca="1">IFERROR(__xludf.DUMMYFUNCTION("""COMPUTED_VALUE"""),0)</f>
        <v>0</v>
      </c>
      <c r="E616" s="5">
        <f ca="1">IFERROR(__xludf.DUMMYFUNCTION("""COMPUTED_VALUE"""),0)</f>
        <v>0</v>
      </c>
      <c r="F616" s="5">
        <f ca="1">IFERROR(__xludf.DUMMYFUNCTION("""COMPUTED_VALUE"""),0)</f>
        <v>0</v>
      </c>
      <c r="G616" s="5">
        <f ca="1">IFERROR(__xludf.DUMMYFUNCTION("""COMPUTED_VALUE"""),0)</f>
        <v>0</v>
      </c>
      <c r="H616"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I616" s="5"/>
      <c r="J616" s="5"/>
      <c r="K616" s="5">
        <f ca="1">IFERROR(__xludf.DUMMYFUNCTION("""COMPUTED_VALUE"""),3)</f>
        <v>3</v>
      </c>
      <c r="L616" s="5" t="str">
        <f ca="1">IFERROR(__xludf.DUMMYFUNCTION("""COMPUTED_VALUE"""),"Summer")</f>
        <v>Summer</v>
      </c>
      <c r="M616" s="5" t="str">
        <f ca="1">IFERROR(__xludf.DUMMYFUNCTION("""COMPUTED_VALUE"""),"St. Louis")</f>
        <v>St. Louis</v>
      </c>
      <c r="N616" s="5" t="str">
        <f ca="1">IFERROR(__xludf.DUMMYFUNCTION("""COMPUTED_VALUE"""),"MO")</f>
        <v>MO</v>
      </c>
      <c r="O616" s="5" t="str">
        <f ca="1">IFERROR(__xludf.DUMMYFUNCTION("""COMPUTED_VALUE"""),"High")</f>
        <v>High</v>
      </c>
      <c r="P616" s="5" t="str">
        <f ca="1">IFERROR(__xludf.DUMMYFUNCTION("""COMPUTED_VALUE"""),"Football Field/Track")</f>
        <v>Football Field/Track</v>
      </c>
      <c r="Q616" s="5" t="str">
        <f ca="1">IFERROR(__xludf.DUMMYFUNCTION("""COMPUTED_VALUE"""),"Outside on School Property")</f>
        <v>Outside on School Property</v>
      </c>
      <c r="R616" s="5" t="str">
        <f ca="1">IFERROR(__xludf.DUMMYFUNCTION("""COMPUTED_VALUE"""),"No")</f>
        <v>No</v>
      </c>
      <c r="S616" s="5" t="str">
        <f ca="1">IFERROR(__xludf.DUMMYFUNCTION("""COMPUTED_VALUE"""),"Sport Event")</f>
        <v>Sport Event</v>
      </c>
      <c r="T616" s="10">
        <f ca="1">IFERROR(__xludf.DUMMYFUNCTION("""COMPUTED_VALUE"""),0.84375)</f>
        <v>0.84375</v>
      </c>
      <c r="U616" s="5">
        <f ca="1">IFERROR(__xludf.DUMMYFUNCTION("""COMPUTED_VALUE"""),1)</f>
        <v>1</v>
      </c>
      <c r="V616" s="5" t="str">
        <f ca="1">IFERROR(__xludf.DUMMYFUNCTION("""COMPUTED_VALUE"""),"Shots fired during fight at football jamboree")</f>
        <v>Shots fired during fight at football jamboree</v>
      </c>
      <c r="W616"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X616" s="5" t="str">
        <f ca="1">IFERROR(__xludf.DUMMYFUNCTION("""COMPUTED_VALUE"""),"Escalation of Dispute")</f>
        <v>Escalation of Dispute</v>
      </c>
      <c r="Y616" s="5"/>
      <c r="Z616" s="5" t="str">
        <f ca="1">IFERROR(__xludf.DUMMYFUNCTION("""COMPUTED_VALUE"""),"No")</f>
        <v>No</v>
      </c>
      <c r="AA616" s="5"/>
      <c r="AB616" s="5" t="str">
        <f ca="1">IFERROR(__xludf.DUMMYFUNCTION("""COMPUTED_VALUE"""),"No")</f>
        <v>No</v>
      </c>
      <c r="AC616" s="5" t="str">
        <f ca="1">IFERROR(__xludf.DUMMYFUNCTION("""COMPUTED_VALUE"""),"No")</f>
        <v>No</v>
      </c>
      <c r="AD616" s="5" t="str">
        <f ca="1">IFERROR(__xludf.DUMMYFUNCTION("""COMPUTED_VALUE"""),"No")</f>
        <v>No</v>
      </c>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row>
    <row r="617" spans="1:34" ht="12.75">
      <c r="A617" s="5" t="str">
        <f ca="1">IFERROR(__xludf.DUMMYFUNCTION("""COMPUTED_VALUE"""),"20190823GAPEC")</f>
        <v>20190823GAPEC</v>
      </c>
      <c r="B617" s="8">
        <f ca="1">IFERROR(__xludf.DUMMYFUNCTION("""COMPUTED_VALUE"""),43700)</f>
        <v>43700</v>
      </c>
      <c r="C617" s="5" t="str">
        <f ca="1">IFERROR(__xludf.DUMMYFUNCTION("""COMPUTED_VALUE"""),"Peek's Chapel Elementary School")</f>
        <v>Peek's Chapel Elementary School</v>
      </c>
      <c r="D617" s="5">
        <f ca="1">IFERROR(__xludf.DUMMYFUNCTION("""COMPUTED_VALUE"""),0)</f>
        <v>0</v>
      </c>
      <c r="E617" s="5">
        <f ca="1">IFERROR(__xludf.DUMMYFUNCTION("""COMPUTED_VALUE"""),1)</f>
        <v>1</v>
      </c>
      <c r="F617" s="5">
        <f ca="1">IFERROR(__xludf.DUMMYFUNCTION("""COMPUTED_VALUE"""),1)</f>
        <v>1</v>
      </c>
      <c r="G617" s="5">
        <f ca="1">IFERROR(__xludf.DUMMYFUNCTION("""COMPUTED_VALUE"""),0)</f>
        <v>0</v>
      </c>
      <c r="H617"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I617" s="5"/>
      <c r="J617" s="5"/>
      <c r="K617" s="5">
        <f ca="1">IFERROR(__xludf.DUMMYFUNCTION("""COMPUTED_VALUE"""),3)</f>
        <v>3</v>
      </c>
      <c r="L617" s="5" t="str">
        <f ca="1">IFERROR(__xludf.DUMMYFUNCTION("""COMPUTED_VALUE"""),"Summer")</f>
        <v>Summer</v>
      </c>
      <c r="M617" s="5" t="str">
        <f ca="1">IFERROR(__xludf.DUMMYFUNCTION("""COMPUTED_VALUE"""),"Conyers")</f>
        <v>Conyers</v>
      </c>
      <c r="N617" s="5" t="str">
        <f ca="1">IFERROR(__xludf.DUMMYFUNCTION("""COMPUTED_VALUE"""),"GA")</f>
        <v>GA</v>
      </c>
      <c r="O617" s="5" t="str">
        <f ca="1">IFERROR(__xludf.DUMMYFUNCTION("""COMPUTED_VALUE"""),"Elementary")</f>
        <v>Elementary</v>
      </c>
      <c r="P617" s="5" t="str">
        <f ca="1">IFERROR(__xludf.DUMMYFUNCTION("""COMPUTED_VALUE"""),"Outside on School Property")</f>
        <v>Outside on School Property</v>
      </c>
      <c r="Q617" s="5" t="str">
        <f ca="1">IFERROR(__xludf.DUMMYFUNCTION("""COMPUTED_VALUE"""),"Outside on School Property")</f>
        <v>Outside on School Property</v>
      </c>
      <c r="R617" s="5" t="str">
        <f ca="1">IFERROR(__xludf.DUMMYFUNCTION("""COMPUTED_VALUE"""),"No")</f>
        <v>No</v>
      </c>
      <c r="S617" s="5" t="str">
        <f ca="1">IFERROR(__xludf.DUMMYFUNCTION("""COMPUTED_VALUE"""),"Evening")</f>
        <v>Evening</v>
      </c>
      <c r="T617" s="10">
        <f ca="1">IFERROR(__xludf.DUMMYFUNCTION("""COMPUTED_VALUE"""),0.774305555555555)</f>
        <v>0.77430555555555503</v>
      </c>
      <c r="U617" s="5">
        <f ca="1">IFERROR(__xludf.DUMMYFUNCTION("""COMPUTED_VALUE"""),1)</f>
        <v>1</v>
      </c>
      <c r="V617" s="5" t="str">
        <f ca="1">IFERROR(__xludf.DUMMYFUNCTION("""COMPUTED_VALUE"""),"15YOM shot 12YOM outside of elementary school after hours")</f>
        <v>15YOM shot 12YOM outside of elementary school after hours</v>
      </c>
      <c r="W617"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X617" s="5" t="str">
        <f ca="1">IFERROR(__xludf.DUMMYFUNCTION("""COMPUTED_VALUE"""),"Unknown")</f>
        <v>Unknown</v>
      </c>
      <c r="Y617" s="5"/>
      <c r="Z617" s="5" t="str">
        <f ca="1">IFERROR(__xludf.DUMMYFUNCTION("""COMPUTED_VALUE"""),"No")</f>
        <v>No</v>
      </c>
      <c r="AA617" s="5"/>
      <c r="AB617" s="5" t="str">
        <f ca="1">IFERROR(__xludf.DUMMYFUNCTION("""COMPUTED_VALUE"""),"No")</f>
        <v>No</v>
      </c>
      <c r="AC617" s="5" t="str">
        <f ca="1">IFERROR(__xludf.DUMMYFUNCTION("""COMPUTED_VALUE"""),"No")</f>
        <v>No</v>
      </c>
      <c r="AD617" s="5" t="str">
        <f ca="1">IFERROR(__xludf.DUMMYFUNCTION("""COMPUTED_VALUE"""),"No")</f>
        <v>No</v>
      </c>
      <c r="AE617" s="5"/>
      <c r="AF617" s="5" t="str">
        <f ca="1">IFERROR(__xludf.DUMMYFUNCTION("""COMPUTED_VALUE"""),"No")</f>
        <v>No</v>
      </c>
      <c r="AG617" s="5"/>
      <c r="AH617" s="5" t="str">
        <f ca="1">IFERROR(__xludf.DUMMYFUNCTION("""COMPUTED_VALUE"""),"No")</f>
        <v>No</v>
      </c>
    </row>
    <row r="618" spans="1:34" ht="12.75">
      <c r="A618" s="5" t="str">
        <f ca="1">IFERROR(__xludf.DUMMYFUNCTION("""COMPUTED_VALUE"""),"20190820PASAC")</f>
        <v>20190820PASAC</v>
      </c>
      <c r="B618" s="8">
        <f ca="1">IFERROR(__xludf.DUMMYFUNCTION("""COMPUTED_VALUE"""),43697)</f>
        <v>43697</v>
      </c>
      <c r="C618" s="5" t="str">
        <f ca="1">IFERROR(__xludf.DUMMYFUNCTION("""COMPUTED_VALUE"""),"Saint Patrick School")</f>
        <v>Saint Patrick School</v>
      </c>
      <c r="D618" s="5">
        <f ca="1">IFERROR(__xludf.DUMMYFUNCTION("""COMPUTED_VALUE"""),0)</f>
        <v>0</v>
      </c>
      <c r="E618" s="5">
        <f ca="1">IFERROR(__xludf.DUMMYFUNCTION("""COMPUTED_VALUE"""),0)</f>
        <v>0</v>
      </c>
      <c r="F618" s="5">
        <f ca="1">IFERROR(__xludf.DUMMYFUNCTION("""COMPUTED_VALUE"""),0)</f>
        <v>0</v>
      </c>
      <c r="G618" s="5">
        <f ca="1">IFERROR(__xludf.DUMMYFUNCTION("""COMPUTED_VALUE"""),0)</f>
        <v>0</v>
      </c>
      <c r="H618"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I618" s="5"/>
      <c r="J618" s="5"/>
      <c r="K618" s="5">
        <f ca="1">IFERROR(__xludf.DUMMYFUNCTION("""COMPUTED_VALUE"""),3)</f>
        <v>3</v>
      </c>
      <c r="L618" s="5" t="str">
        <f ca="1">IFERROR(__xludf.DUMMYFUNCTION("""COMPUTED_VALUE"""),"Summer")</f>
        <v>Summer</v>
      </c>
      <c r="M618" s="5" t="str">
        <f ca="1">IFERROR(__xludf.DUMMYFUNCTION("""COMPUTED_VALUE"""),"Carlisle")</f>
        <v>Carlisle</v>
      </c>
      <c r="N618" s="5" t="str">
        <f ca="1">IFERROR(__xludf.DUMMYFUNCTION("""COMPUTED_VALUE"""),"PA")</f>
        <v>PA</v>
      </c>
      <c r="O618" s="5" t="str">
        <f ca="1">IFERROR(__xludf.DUMMYFUNCTION("""COMPUTED_VALUE"""),"High")</f>
        <v>High</v>
      </c>
      <c r="P618" s="5" t="str">
        <f ca="1">IFERROR(__xludf.DUMMYFUNCTION("""COMPUTED_VALUE"""),"Parking Lot")</f>
        <v>Parking Lot</v>
      </c>
      <c r="Q618" s="5" t="str">
        <f ca="1">IFERROR(__xludf.DUMMYFUNCTION("""COMPUTED_VALUE"""),"Outside on School Property")</f>
        <v>Outside on School Property</v>
      </c>
      <c r="R618" s="5" t="str">
        <f ca="1">IFERROR(__xludf.DUMMYFUNCTION("""COMPUTED_VALUE"""),"No")</f>
        <v>No</v>
      </c>
      <c r="S618" s="5" t="str">
        <f ca="1">IFERROR(__xludf.DUMMYFUNCTION("""COMPUTED_VALUE"""),"School Event")</f>
        <v>School Event</v>
      </c>
      <c r="T618" s="10">
        <f ca="1">IFERROR(__xludf.DUMMYFUNCTION("""COMPUTED_VALUE"""),0.75)</f>
        <v>0.75</v>
      </c>
      <c r="U618" s="5">
        <f ca="1">IFERROR(__xludf.DUMMYFUNCTION("""COMPUTED_VALUE"""),1)</f>
        <v>1</v>
      </c>
      <c r="V618" s="5" t="str">
        <f ca="1">IFERROR(__xludf.DUMMYFUNCTION("""COMPUTED_VALUE"""),"Parent accidentally discharged handgun shooting himself")</f>
        <v>Parent accidentally discharged handgun shooting himself</v>
      </c>
      <c r="W618"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X618" s="5" t="str">
        <f ca="1">IFERROR(__xludf.DUMMYFUNCTION("""COMPUTED_VALUE"""),"Accidental")</f>
        <v>Accidental</v>
      </c>
      <c r="Y618" s="5" t="str">
        <f ca="1">IFERROR(__xludf.DUMMYFUNCTION("""COMPUTED_VALUE"""),"Random Shooting")</f>
        <v>Random Shooting</v>
      </c>
      <c r="Z618" s="5" t="str">
        <f ca="1">IFERROR(__xludf.DUMMYFUNCTION("""COMPUTED_VALUE"""),"No")</f>
        <v>No</v>
      </c>
      <c r="AA618" s="5"/>
      <c r="AB618" s="5" t="str">
        <f ca="1">IFERROR(__xludf.DUMMYFUNCTION("""COMPUTED_VALUE"""),"No")</f>
        <v>No</v>
      </c>
      <c r="AC618" s="5" t="str">
        <f ca="1">IFERROR(__xludf.DUMMYFUNCTION("""COMPUTED_VALUE"""),"No")</f>
        <v>No</v>
      </c>
      <c r="AD618" s="5" t="str">
        <f ca="1">IFERROR(__xludf.DUMMYFUNCTION("""COMPUTED_VALUE"""),"No")</f>
        <v>No</v>
      </c>
      <c r="AE618" s="5" t="str">
        <f ca="1">IFERROR(__xludf.DUMMYFUNCTION("""COMPUTED_VALUE"""),"No")</f>
        <v>No</v>
      </c>
      <c r="AF618" s="5" t="str">
        <f ca="1">IFERROR(__xludf.DUMMYFUNCTION("""COMPUTED_VALUE"""),"No")</f>
        <v>No</v>
      </c>
      <c r="AG618" s="5" t="str">
        <f ca="1">IFERROR(__xludf.DUMMYFUNCTION("""COMPUTED_VALUE"""),"No")</f>
        <v>No</v>
      </c>
      <c r="AH618" s="5" t="str">
        <f ca="1">IFERROR(__xludf.DUMMYFUNCTION("""COMPUTED_VALUE"""),"No")</f>
        <v>No</v>
      </c>
    </row>
    <row r="619" spans="1:34" ht="12.75">
      <c r="A619" s="5" t="str">
        <f ca="1">IFERROR(__xludf.DUMMYFUNCTION("""COMPUTED_VALUE"""),"20190817GALAA")</f>
        <v>20190817GALAA</v>
      </c>
      <c r="B619" s="8">
        <f ca="1">IFERROR(__xludf.DUMMYFUNCTION("""COMPUTED_VALUE"""),43694)</f>
        <v>43694</v>
      </c>
      <c r="C619" s="5" t="str">
        <f ca="1">IFERROR(__xludf.DUMMYFUNCTION("""COMPUTED_VALUE"""),"Lakewood Stadium")</f>
        <v>Lakewood Stadium</v>
      </c>
      <c r="D619" s="5">
        <f ca="1">IFERROR(__xludf.DUMMYFUNCTION("""COMPUTED_VALUE"""),0)</f>
        <v>0</v>
      </c>
      <c r="E619" s="5">
        <f ca="1">IFERROR(__xludf.DUMMYFUNCTION("""COMPUTED_VALUE"""),2)</f>
        <v>2</v>
      </c>
      <c r="F619" s="5">
        <f ca="1">IFERROR(__xludf.DUMMYFUNCTION("""COMPUTED_VALUE"""),2)</f>
        <v>2</v>
      </c>
      <c r="G619" s="5">
        <f ca="1">IFERROR(__xludf.DUMMYFUNCTION("""COMPUTED_VALUE"""),0)</f>
        <v>0</v>
      </c>
      <c r="H619"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I619" s="5"/>
      <c r="J619" s="5"/>
      <c r="K619" s="5">
        <f ca="1">IFERROR(__xludf.DUMMYFUNCTION("""COMPUTED_VALUE"""),4)</f>
        <v>4</v>
      </c>
      <c r="L619" s="5" t="str">
        <f ca="1">IFERROR(__xludf.DUMMYFUNCTION("""COMPUTED_VALUE"""),"Summer")</f>
        <v>Summer</v>
      </c>
      <c r="M619" s="5" t="str">
        <f ca="1">IFERROR(__xludf.DUMMYFUNCTION("""COMPUTED_VALUE"""),"Atlanta")</f>
        <v>Atlanta</v>
      </c>
      <c r="N619" s="5" t="str">
        <f ca="1">IFERROR(__xludf.DUMMYFUNCTION("""COMPUTED_VALUE"""),"GA")</f>
        <v>GA</v>
      </c>
      <c r="O619" s="5" t="str">
        <f ca="1">IFERROR(__xludf.DUMMYFUNCTION("""COMPUTED_VALUE"""),"High")</f>
        <v>High</v>
      </c>
      <c r="P619" s="5" t="str">
        <f ca="1">IFERROR(__xludf.DUMMYFUNCTION("""COMPUTED_VALUE"""),"Football Field/Track")</f>
        <v>Football Field/Track</v>
      </c>
      <c r="Q619" s="5" t="str">
        <f ca="1">IFERROR(__xludf.DUMMYFUNCTION("""COMPUTED_VALUE"""),"Outside on School Property")</f>
        <v>Outside on School Property</v>
      </c>
      <c r="R619" s="5" t="str">
        <f ca="1">IFERROR(__xludf.DUMMYFUNCTION("""COMPUTED_VALUE"""),"No")</f>
        <v>No</v>
      </c>
      <c r="S619" s="5" t="str">
        <f ca="1">IFERROR(__xludf.DUMMYFUNCTION("""COMPUTED_VALUE"""),"Sport Event")</f>
        <v>Sport Event</v>
      </c>
      <c r="T619" s="10">
        <f ca="1">IFERROR(__xludf.DUMMYFUNCTION("""COMPUTED_VALUE"""),0.875)</f>
        <v>0.875</v>
      </c>
      <c r="U619" s="5">
        <f ca="1">IFERROR(__xludf.DUMMYFUNCTION("""COMPUTED_VALUE"""),1)</f>
        <v>1</v>
      </c>
      <c r="V619" s="5" t="str">
        <f ca="1">IFERROR(__xludf.DUMMYFUNCTION("""COMPUTED_VALUE"""),"Shots fired during fight at football game")</f>
        <v>Shots fired during fight at football game</v>
      </c>
      <c r="W619"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X619" s="5" t="str">
        <f ca="1">IFERROR(__xludf.DUMMYFUNCTION("""COMPUTED_VALUE"""),"Escalation of Dispute")</f>
        <v>Escalation of Dispute</v>
      </c>
      <c r="Y619" s="5" t="str">
        <f ca="1">IFERROR(__xludf.DUMMYFUNCTION("""COMPUTED_VALUE"""),"Both")</f>
        <v>Both</v>
      </c>
      <c r="Z619" s="5"/>
      <c r="AA619" s="5"/>
      <c r="AB619" s="5" t="str">
        <f ca="1">IFERROR(__xludf.DUMMYFUNCTION("""COMPUTED_VALUE"""),"No")</f>
        <v>No</v>
      </c>
      <c r="AC619" s="5" t="str">
        <f ca="1">IFERROR(__xludf.DUMMYFUNCTION("""COMPUTED_VALUE"""),"No")</f>
        <v>No</v>
      </c>
      <c r="AD619" s="5" t="str">
        <f ca="1">IFERROR(__xludf.DUMMYFUNCTION("""COMPUTED_VALUE"""),"No")</f>
        <v>No</v>
      </c>
      <c r="AE619" s="5" t="str">
        <f ca="1">IFERROR(__xludf.DUMMYFUNCTION("""COMPUTED_VALUE"""),"No")</f>
        <v>No</v>
      </c>
      <c r="AF619" s="5" t="str">
        <f ca="1">IFERROR(__xludf.DUMMYFUNCTION("""COMPUTED_VALUE"""),"No")</f>
        <v>No</v>
      </c>
      <c r="AG619" s="5" t="str">
        <f ca="1">IFERROR(__xludf.DUMMYFUNCTION("""COMPUTED_VALUE"""),"Yes")</f>
        <v>Yes</v>
      </c>
      <c r="AH619" s="5" t="str">
        <f ca="1">IFERROR(__xludf.DUMMYFUNCTION("""COMPUTED_VALUE"""),"No")</f>
        <v>No</v>
      </c>
    </row>
    <row r="620" spans="1:34" ht="12.75">
      <c r="A620" s="5" t="str">
        <f ca="1">IFERROR(__xludf.DUMMYFUNCTION("""COMPUTED_VALUE"""),"20190815TNEAN")</f>
        <v>20190815TNEAN</v>
      </c>
      <c r="B620" s="8">
        <f ca="1">IFERROR(__xludf.DUMMYFUNCTION("""COMPUTED_VALUE"""),43692)</f>
        <v>43692</v>
      </c>
      <c r="C620" s="5" t="str">
        <f ca="1">IFERROR(__xludf.DUMMYFUNCTION("""COMPUTED_VALUE"""),"East Magnet High School")</f>
        <v>East Magnet High School</v>
      </c>
      <c r="D620" s="5">
        <f ca="1">IFERROR(__xludf.DUMMYFUNCTION("""COMPUTED_VALUE"""),0)</f>
        <v>0</v>
      </c>
      <c r="E620" s="5">
        <f ca="1">IFERROR(__xludf.DUMMYFUNCTION("""COMPUTED_VALUE"""),0)</f>
        <v>0</v>
      </c>
      <c r="F620" s="5">
        <f ca="1">IFERROR(__xludf.DUMMYFUNCTION("""COMPUTED_VALUE"""),0)</f>
        <v>0</v>
      </c>
      <c r="G620" s="5">
        <f ca="1">IFERROR(__xludf.DUMMYFUNCTION("""COMPUTED_VALUE"""),0)</f>
        <v>0</v>
      </c>
      <c r="H620"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I620" s="5"/>
      <c r="J620" s="5"/>
      <c r="K620" s="5">
        <f ca="1">IFERROR(__xludf.DUMMYFUNCTION("""COMPUTED_VALUE"""),4)</f>
        <v>4</v>
      </c>
      <c r="L620" s="5" t="str">
        <f ca="1">IFERROR(__xludf.DUMMYFUNCTION("""COMPUTED_VALUE"""),"Summer")</f>
        <v>Summer</v>
      </c>
      <c r="M620" s="5" t="str">
        <f ca="1">IFERROR(__xludf.DUMMYFUNCTION("""COMPUTED_VALUE"""),"Nashville")</f>
        <v>Nashville</v>
      </c>
      <c r="N620" s="5" t="str">
        <f ca="1">IFERROR(__xludf.DUMMYFUNCTION("""COMPUTED_VALUE"""),"TN")</f>
        <v>TN</v>
      </c>
      <c r="O620" s="5" t="str">
        <f ca="1">IFERROR(__xludf.DUMMYFUNCTION("""COMPUTED_VALUE"""),"High")</f>
        <v>High</v>
      </c>
      <c r="P620" s="5" t="str">
        <f ca="1">IFERROR(__xludf.DUMMYFUNCTION("""COMPUTED_VALUE"""),"Football Field/Track")</f>
        <v>Football Field/Track</v>
      </c>
      <c r="Q620" s="5" t="str">
        <f ca="1">IFERROR(__xludf.DUMMYFUNCTION("""COMPUTED_VALUE"""),"Outside on School Property")</f>
        <v>Outside on School Property</v>
      </c>
      <c r="R620" s="5" t="str">
        <f ca="1">IFERROR(__xludf.DUMMYFUNCTION("""COMPUTED_VALUE"""),"No")</f>
        <v>No</v>
      </c>
      <c r="S620" s="5" t="str">
        <f ca="1">IFERROR(__xludf.DUMMYFUNCTION("""COMPUTED_VALUE"""),"Sport Event")</f>
        <v>Sport Event</v>
      </c>
      <c r="T620" s="5"/>
      <c r="U620" s="5">
        <f ca="1">IFERROR(__xludf.DUMMYFUNCTION("""COMPUTED_VALUE"""),1)</f>
        <v>1</v>
      </c>
      <c r="V620" s="5" t="str">
        <f ca="1">IFERROR(__xludf.DUMMYFUNCTION("""COMPUTED_VALUE"""),"15YOM fired multiple shots during football jamboree")</f>
        <v>15YOM fired multiple shots during football jamboree</v>
      </c>
      <c r="W620"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X620" s="5" t="str">
        <f ca="1">IFERROR(__xludf.DUMMYFUNCTION("""COMPUTED_VALUE"""),"Escalation of Dispute")</f>
        <v>Escalation of Dispute</v>
      </c>
      <c r="Y620" s="5"/>
      <c r="Z620" s="5" t="str">
        <f ca="1">IFERROR(__xludf.DUMMYFUNCTION("""COMPUTED_VALUE"""),"Yes")</f>
        <v>Yes</v>
      </c>
      <c r="AA620" s="5" t="str">
        <f ca="1">IFERROR(__xludf.DUMMYFUNCTION("""COMPUTED_VALUE"""),"3 arrested")</f>
        <v>3 arrested</v>
      </c>
      <c r="AB620" s="5" t="str">
        <f ca="1">IFERROR(__xludf.DUMMYFUNCTION("""COMPUTED_VALUE"""),"No")</f>
        <v>No</v>
      </c>
      <c r="AC620" s="5" t="str">
        <f ca="1">IFERROR(__xludf.DUMMYFUNCTION("""COMPUTED_VALUE"""),"No")</f>
        <v>No</v>
      </c>
      <c r="AD620" s="5" t="str">
        <f ca="1">IFERROR(__xludf.DUMMYFUNCTION("""COMPUTED_VALUE"""),"No")</f>
        <v>No</v>
      </c>
      <c r="AE620" s="5" t="str">
        <f ca="1">IFERROR(__xludf.DUMMYFUNCTION("""COMPUTED_VALUE"""),"No")</f>
        <v>No</v>
      </c>
      <c r="AF620" s="5" t="str">
        <f ca="1">IFERROR(__xludf.DUMMYFUNCTION("""COMPUTED_VALUE"""),"No")</f>
        <v>No</v>
      </c>
      <c r="AG620" s="5"/>
      <c r="AH620" s="5" t="str">
        <f ca="1">IFERROR(__xludf.DUMMYFUNCTION("""COMPUTED_VALUE"""),"No")</f>
        <v>No</v>
      </c>
    </row>
    <row r="621" spans="1:34" ht="12.75">
      <c r="A621" s="5" t="str">
        <f ca="1">IFERROR(__xludf.DUMMYFUNCTION("""COMPUTED_VALUE"""),"20190809NJWEN")</f>
        <v>20190809NJWEN</v>
      </c>
      <c r="B621" s="8">
        <f ca="1">IFERROR(__xludf.DUMMYFUNCTION("""COMPUTED_VALUE"""),43686)</f>
        <v>43686</v>
      </c>
      <c r="C621" s="5" t="str">
        <f ca="1">IFERROR(__xludf.DUMMYFUNCTION("""COMPUTED_VALUE"""),"West Side High School")</f>
        <v>West Side High School</v>
      </c>
      <c r="D621" s="5">
        <f ca="1">IFERROR(__xludf.DUMMYFUNCTION("""COMPUTED_VALUE"""),0)</f>
        <v>0</v>
      </c>
      <c r="E621" s="5">
        <f ca="1">IFERROR(__xludf.DUMMYFUNCTION("""COMPUTED_VALUE"""),2)</f>
        <v>2</v>
      </c>
      <c r="F621" s="5">
        <f ca="1">IFERROR(__xludf.DUMMYFUNCTION("""COMPUTED_VALUE"""),2)</f>
        <v>2</v>
      </c>
      <c r="G621" s="5">
        <f ca="1">IFERROR(__xludf.DUMMYFUNCTION("""COMPUTED_VALUE"""),0)</f>
        <v>0</v>
      </c>
      <c r="H621"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I621" s="5">
        <f ca="1">IFERROR(__xludf.DUMMYFUNCTION("""COMPUTED_VALUE"""),2)</f>
        <v>2</v>
      </c>
      <c r="J621" s="5" t="str">
        <f ca="1">IFERROR(__xludf.DUMMYFUNCTION("""COMPUTED_VALUE"""),"Local")</f>
        <v>Local</v>
      </c>
      <c r="K621" s="5">
        <f ca="1">IFERROR(__xludf.DUMMYFUNCTION("""COMPUTED_VALUE"""),4)</f>
        <v>4</v>
      </c>
      <c r="L621" s="5" t="str">
        <f ca="1">IFERROR(__xludf.DUMMYFUNCTION("""COMPUTED_VALUE"""),"Fall")</f>
        <v>Fall</v>
      </c>
      <c r="M621" s="5" t="str">
        <f ca="1">IFERROR(__xludf.DUMMYFUNCTION("""COMPUTED_VALUE"""),"Newark")</f>
        <v>Newark</v>
      </c>
      <c r="N621" s="5" t="str">
        <f ca="1">IFERROR(__xludf.DUMMYFUNCTION("""COMPUTED_VALUE"""),"NJ")</f>
        <v>NJ</v>
      </c>
      <c r="O621" s="5" t="str">
        <f ca="1">IFERROR(__xludf.DUMMYFUNCTION("""COMPUTED_VALUE"""),"High")</f>
        <v>High</v>
      </c>
      <c r="P621" s="5" t="str">
        <f ca="1">IFERROR(__xludf.DUMMYFUNCTION("""COMPUTED_VALUE"""),"Front of School")</f>
        <v>Front of School</v>
      </c>
      <c r="Q621" s="5" t="str">
        <f ca="1">IFERROR(__xludf.DUMMYFUNCTION("""COMPUTED_VALUE"""),"Outside on School Property")</f>
        <v>Outside on School Property</v>
      </c>
      <c r="R621" s="5" t="str">
        <f ca="1">IFERROR(__xludf.DUMMYFUNCTION("""COMPUTED_VALUE"""),"No")</f>
        <v>No</v>
      </c>
      <c r="S621" s="5" t="str">
        <f ca="1">IFERROR(__xludf.DUMMYFUNCTION("""COMPUTED_VALUE"""),"Night")</f>
        <v>Night</v>
      </c>
      <c r="T621" s="10">
        <f ca="1">IFERROR(__xludf.DUMMYFUNCTION("""COMPUTED_VALUE"""),0.890277777777777)</f>
        <v>0.89027777777777695</v>
      </c>
      <c r="U621" s="5">
        <f ca="1">IFERROR(__xludf.DUMMYFUNCTION("""COMPUTED_VALUE"""),1)</f>
        <v>1</v>
      </c>
      <c r="V621" s="5" t="str">
        <f ca="1">IFERROR(__xludf.DUMMYFUNCTION("""COMPUTED_VALUE"""),"Two teens shot in front of the school")</f>
        <v>Two teens shot in front of the school</v>
      </c>
      <c r="W621"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X621" s="5"/>
      <c r="Y621" s="5"/>
      <c r="Z621" s="5" t="str">
        <f ca="1">IFERROR(__xludf.DUMMYFUNCTION("""COMPUTED_VALUE"""),"No")</f>
        <v>No</v>
      </c>
      <c r="AA621" s="5"/>
      <c r="AB621" s="5" t="str">
        <f ca="1">IFERROR(__xludf.DUMMYFUNCTION("""COMPUTED_VALUE"""),"No")</f>
        <v>No</v>
      </c>
      <c r="AC621" s="5" t="str">
        <f ca="1">IFERROR(__xludf.DUMMYFUNCTION("""COMPUTED_VALUE"""),"No")</f>
        <v>No</v>
      </c>
      <c r="AD621" s="5" t="str">
        <f ca="1">IFERROR(__xludf.DUMMYFUNCTION("""COMPUTED_VALUE"""),"No")</f>
        <v>No</v>
      </c>
      <c r="AE621" s="5" t="str">
        <f ca="1">IFERROR(__xludf.DUMMYFUNCTION("""COMPUTED_VALUE"""),"No")</f>
        <v>No</v>
      </c>
      <c r="AF621" s="5" t="str">
        <f ca="1">IFERROR(__xludf.DUMMYFUNCTION("""COMPUTED_VALUE"""),"No")</f>
        <v>No</v>
      </c>
      <c r="AG621" s="5"/>
      <c r="AH621" s="5" t="str">
        <f ca="1">IFERROR(__xludf.DUMMYFUNCTION("""COMPUTED_VALUE"""),"No")</f>
        <v>No</v>
      </c>
    </row>
    <row r="622" spans="1:34" ht="12.75">
      <c r="A622" s="5" t="str">
        <f ca="1">IFERROR(__xludf.DUMMYFUNCTION("""COMPUTED_VALUE"""),"20190808ALBLM")</f>
        <v>20190808ALBLM</v>
      </c>
      <c r="B622" s="8">
        <f ca="1">IFERROR(__xludf.DUMMYFUNCTION("""COMPUTED_VALUE"""),43685)</f>
        <v>43685</v>
      </c>
      <c r="C622" s="5" t="str">
        <f ca="1">IFERROR(__xludf.DUMMYFUNCTION("""COMPUTED_VALUE"""),"Blount Elementary School")</f>
        <v>Blount Elementary School</v>
      </c>
      <c r="D622" s="5">
        <f ca="1">IFERROR(__xludf.DUMMYFUNCTION("""COMPUTED_VALUE"""),0)</f>
        <v>0</v>
      </c>
      <c r="E622" s="5">
        <f ca="1">IFERROR(__xludf.DUMMYFUNCTION("""COMPUTED_VALUE"""),0)</f>
        <v>0</v>
      </c>
      <c r="F622" s="5">
        <f ca="1">IFERROR(__xludf.DUMMYFUNCTION("""COMPUTED_VALUE"""),0)</f>
        <v>0</v>
      </c>
      <c r="G622" s="5">
        <f ca="1">IFERROR(__xludf.DUMMYFUNCTION("""COMPUTED_VALUE"""),0)</f>
        <v>0</v>
      </c>
      <c r="H622"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I622" s="5"/>
      <c r="J622" s="5"/>
      <c r="K622" s="5">
        <f ca="1">IFERROR(__xludf.DUMMYFUNCTION("""COMPUTED_VALUE"""),4)</f>
        <v>4</v>
      </c>
      <c r="L622" s="5" t="str">
        <f ca="1">IFERROR(__xludf.DUMMYFUNCTION("""COMPUTED_VALUE"""),"Summer")</f>
        <v>Summer</v>
      </c>
      <c r="M622" s="5" t="str">
        <f ca="1">IFERROR(__xludf.DUMMYFUNCTION("""COMPUTED_VALUE"""),"Montgomery")</f>
        <v>Montgomery</v>
      </c>
      <c r="N622" s="5" t="str">
        <f ca="1">IFERROR(__xludf.DUMMYFUNCTION("""COMPUTED_VALUE"""),"AL")</f>
        <v>AL</v>
      </c>
      <c r="O622" s="5" t="str">
        <f ca="1">IFERROR(__xludf.DUMMYFUNCTION("""COMPUTED_VALUE"""),"Elementary")</f>
        <v>Elementary</v>
      </c>
      <c r="P622" s="5" t="str">
        <f ca="1">IFERROR(__xludf.DUMMYFUNCTION("""COMPUTED_VALUE"""),"Parking Lot")</f>
        <v>Parking Lot</v>
      </c>
      <c r="Q622" s="5" t="str">
        <f ca="1">IFERROR(__xludf.DUMMYFUNCTION("""COMPUTED_VALUE"""),"Outside on School Property")</f>
        <v>Outside on School Property</v>
      </c>
      <c r="R622" s="5" t="str">
        <f ca="1">IFERROR(__xludf.DUMMYFUNCTION("""COMPUTED_VALUE"""),"Yes")</f>
        <v>Yes</v>
      </c>
      <c r="S622" s="5" t="str">
        <f ca="1">IFERROR(__xludf.DUMMYFUNCTION("""COMPUTED_VALUE"""),"School Start")</f>
        <v>School Start</v>
      </c>
      <c r="T622" s="10">
        <f ca="1">IFERROR(__xludf.DUMMYFUNCTION("""COMPUTED_VALUE"""),0.3125)</f>
        <v>0.3125</v>
      </c>
      <c r="U622" s="5">
        <f ca="1">IFERROR(__xludf.DUMMYFUNCTION("""COMPUTED_VALUE"""),1)</f>
        <v>1</v>
      </c>
      <c r="V622" s="5" t="str">
        <f ca="1">IFERROR(__xludf.DUMMYFUNCTION("""COMPUTED_VALUE"""),"Adult male fired shots in school parking lot during road rage incident")</f>
        <v>Adult male fired shots in school parking lot during road rage incident</v>
      </c>
      <c r="W622"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X622" s="5" t="str">
        <f ca="1">IFERROR(__xludf.DUMMYFUNCTION("""COMPUTED_VALUE"""),"Escalation of Dispute")</f>
        <v>Escalation of Dispute</v>
      </c>
      <c r="Y622" s="5" t="str">
        <f ca="1">IFERROR(__xludf.DUMMYFUNCTION("""COMPUTED_VALUE"""),"Victims Targeted")</f>
        <v>Victims Targeted</v>
      </c>
      <c r="Z622" s="5" t="str">
        <f ca="1">IFERROR(__xludf.DUMMYFUNCTION("""COMPUTED_VALUE"""),"No")</f>
        <v>No</v>
      </c>
      <c r="AA622" s="5"/>
      <c r="AB622" s="5" t="str">
        <f ca="1">IFERROR(__xludf.DUMMYFUNCTION("""COMPUTED_VALUE"""),"No")</f>
        <v>No</v>
      </c>
      <c r="AC622" s="5" t="str">
        <f ca="1">IFERROR(__xludf.DUMMYFUNCTION("""COMPUTED_VALUE"""),"No")</f>
        <v>No</v>
      </c>
      <c r="AD622" s="5" t="str">
        <f ca="1">IFERROR(__xludf.DUMMYFUNCTION("""COMPUTED_VALUE"""),"No")</f>
        <v>No</v>
      </c>
      <c r="AE622" s="5" t="str">
        <f ca="1">IFERROR(__xludf.DUMMYFUNCTION("""COMPUTED_VALUE"""),"No")</f>
        <v>No</v>
      </c>
      <c r="AF622" s="5" t="str">
        <f ca="1">IFERROR(__xludf.DUMMYFUNCTION("""COMPUTED_VALUE"""),"No")</f>
        <v>No</v>
      </c>
      <c r="AG622" s="5" t="str">
        <f ca="1">IFERROR(__xludf.DUMMYFUNCTION("""COMPUTED_VALUE"""),"No")</f>
        <v>No</v>
      </c>
      <c r="AH622" s="5" t="str">
        <f ca="1">IFERROR(__xludf.DUMMYFUNCTION("""COMPUTED_VALUE"""),"No")</f>
        <v>No</v>
      </c>
    </row>
    <row r="623" spans="1:34" ht="12.75">
      <c r="A623" s="5" t="str">
        <f ca="1">IFERROR(__xludf.DUMMYFUNCTION("""COMPUTED_VALUE"""),"20190719CAMOS")</f>
        <v>20190719CAMOS</v>
      </c>
      <c r="B623" s="8">
        <f ca="1">IFERROR(__xludf.DUMMYFUNCTION("""COMPUTED_VALUE"""),43665)</f>
        <v>43665</v>
      </c>
      <c r="C623" s="5" t="str">
        <f ca="1">IFERROR(__xludf.DUMMYFUNCTION("""COMPUTED_VALUE"""),"Monroe Clark Middle School")</f>
        <v>Monroe Clark Middle School</v>
      </c>
      <c r="D623" s="5">
        <f ca="1">IFERROR(__xludf.DUMMYFUNCTION("""COMPUTED_VALUE"""),0)</f>
        <v>0</v>
      </c>
      <c r="E623" s="5">
        <f ca="1">IFERROR(__xludf.DUMMYFUNCTION("""COMPUTED_VALUE"""),0)</f>
        <v>0</v>
      </c>
      <c r="F623" s="5">
        <f ca="1">IFERROR(__xludf.DUMMYFUNCTION("""COMPUTED_VALUE"""),0)</f>
        <v>0</v>
      </c>
      <c r="G623" s="5">
        <f ca="1">IFERROR(__xludf.DUMMYFUNCTION("""COMPUTED_VALUE"""),0)</f>
        <v>0</v>
      </c>
      <c r="H623" s="9" t="str">
        <f ca="1">IFERROR(__xludf.DUMMYFUNCTION("""COMPUTED_VALUE"""),"https://fox5sandiego.com/2019/07/19/mid-city-school-locks-down-over-bb-gun-shooting/")</f>
        <v>https://fox5sandiego.com/2019/07/19/mid-city-school-locks-down-over-bb-gun-shooting/</v>
      </c>
      <c r="I623" s="5"/>
      <c r="J623" s="5"/>
      <c r="K623" s="5">
        <f ca="1">IFERROR(__xludf.DUMMYFUNCTION("""COMPUTED_VALUE"""),3)</f>
        <v>3</v>
      </c>
      <c r="L623" s="5" t="str">
        <f ca="1">IFERROR(__xludf.DUMMYFUNCTION("""COMPUTED_VALUE"""),"Summer")</f>
        <v>Summer</v>
      </c>
      <c r="M623" s="5" t="str">
        <f ca="1">IFERROR(__xludf.DUMMYFUNCTION("""COMPUTED_VALUE"""),"San Diego")</f>
        <v>San Diego</v>
      </c>
      <c r="N623" s="5" t="str">
        <f ca="1">IFERROR(__xludf.DUMMYFUNCTION("""COMPUTED_VALUE"""),"CA")</f>
        <v>CA</v>
      </c>
      <c r="O623" s="5" t="str">
        <f ca="1">IFERROR(__xludf.DUMMYFUNCTION("""COMPUTED_VALUE"""),"Middle")</f>
        <v>Middle</v>
      </c>
      <c r="P623" s="5" t="str">
        <f ca="1">IFERROR(__xludf.DUMMYFUNCTION("""COMPUTED_VALUE"""),"Front of School")</f>
        <v>Front of School</v>
      </c>
      <c r="Q623" s="5" t="str">
        <f ca="1">IFERROR(__xludf.DUMMYFUNCTION("""COMPUTED_VALUE"""),"Outside on School Property")</f>
        <v>Outside on School Property</v>
      </c>
      <c r="R623" s="5" t="str">
        <f ca="1">IFERROR(__xludf.DUMMYFUNCTION("""COMPUTED_VALUE"""),"Yes")</f>
        <v>Yes</v>
      </c>
      <c r="S623" s="5" t="str">
        <f ca="1">IFERROR(__xludf.DUMMYFUNCTION("""COMPUTED_VALUE"""),"Morning Classes")</f>
        <v>Morning Classes</v>
      </c>
      <c r="T623" s="10">
        <f ca="1">IFERROR(__xludf.DUMMYFUNCTION("""COMPUTED_VALUE"""),0.496527777777777)</f>
        <v>0.49652777777777701</v>
      </c>
      <c r="U623" s="5">
        <f ca="1">IFERROR(__xludf.DUMMYFUNCTION("""COMPUTED_VALUE"""),1)</f>
        <v>1</v>
      </c>
      <c r="V623" s="5" t="str">
        <f ca="1">IFERROR(__xludf.DUMMYFUNCTION("""COMPUTED_VALUE"""),"Teen fired BB's at school building then fled")</f>
        <v>Teen fired BB's at school building then fled</v>
      </c>
      <c r="W623"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X623" s="5" t="str">
        <f ca="1">IFERROR(__xludf.DUMMYFUNCTION("""COMPUTED_VALUE"""),"Intentional Property Damage")</f>
        <v>Intentional Property Damage</v>
      </c>
      <c r="Y623" s="5" t="str">
        <f ca="1">IFERROR(__xludf.DUMMYFUNCTION("""COMPUTED_VALUE"""),"Neither")</f>
        <v>Neither</v>
      </c>
      <c r="Z623" s="5" t="str">
        <f ca="1">IFERROR(__xludf.DUMMYFUNCTION("""COMPUTED_VALUE"""),"No")</f>
        <v>No</v>
      </c>
      <c r="AA623" s="5"/>
      <c r="AB623" s="5" t="str">
        <f ca="1">IFERROR(__xludf.DUMMYFUNCTION("""COMPUTED_VALUE"""),"No")</f>
        <v>No</v>
      </c>
      <c r="AC623" s="5" t="str">
        <f ca="1">IFERROR(__xludf.DUMMYFUNCTION("""COMPUTED_VALUE"""),"No")</f>
        <v>No</v>
      </c>
      <c r="AD623" s="5" t="str">
        <f ca="1">IFERROR(__xludf.DUMMYFUNCTION("""COMPUTED_VALUE"""),"No")</f>
        <v>No</v>
      </c>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row>
    <row r="624" spans="1:34" ht="12.75">
      <c r="A624" s="5" t="str">
        <f ca="1">IFERROR(__xludf.DUMMYFUNCTION("""COMPUTED_VALUE"""),"20190711CTBUH")</f>
        <v>20190711CTBUH</v>
      </c>
      <c r="B624" s="8">
        <f ca="1">IFERROR(__xludf.DUMMYFUNCTION("""COMPUTED_VALUE"""),43657)</f>
        <v>43657</v>
      </c>
      <c r="C624" s="5" t="str">
        <f ca="1">IFERROR(__xludf.DUMMYFUNCTION("""COMPUTED_VALUE"""),"Bulkeley High School")</f>
        <v>Bulkeley High School</v>
      </c>
      <c r="D624" s="5">
        <f ca="1">IFERROR(__xludf.DUMMYFUNCTION("""COMPUTED_VALUE"""),1)</f>
        <v>1</v>
      </c>
      <c r="E624" s="5">
        <f ca="1">IFERROR(__xludf.DUMMYFUNCTION("""COMPUTED_VALUE"""),0)</f>
        <v>0</v>
      </c>
      <c r="F624" s="5">
        <f ca="1">IFERROR(__xludf.DUMMYFUNCTION("""COMPUTED_VALUE"""),1)</f>
        <v>1</v>
      </c>
      <c r="G624" s="5">
        <f ca="1">IFERROR(__xludf.DUMMYFUNCTION("""COMPUTED_VALUE"""),0)</f>
        <v>0</v>
      </c>
      <c r="H624" s="9" t="str">
        <f ca="1">IFERROR(__xludf.DUMMYFUNCTION("""COMPUTED_VALUE"""),"https://whdh.com/news/2-charged-in-fatal-shooting-of-man-found-behind-high-school/")</f>
        <v>https://whdh.com/news/2-charged-in-fatal-shooting-of-man-found-behind-high-school/</v>
      </c>
      <c r="I624" s="5">
        <f ca="1">IFERROR(__xludf.DUMMYFUNCTION("""COMPUTED_VALUE"""),1)</f>
        <v>1</v>
      </c>
      <c r="J624" s="5" t="str">
        <f ca="1">IFERROR(__xludf.DUMMYFUNCTION("""COMPUTED_VALUE"""),"Local")</f>
        <v>Local</v>
      </c>
      <c r="K624" s="5">
        <f ca="1">IFERROR(__xludf.DUMMYFUNCTION("""COMPUTED_VALUE"""),3)</f>
        <v>3</v>
      </c>
      <c r="L624" s="5" t="str">
        <f ca="1">IFERROR(__xludf.DUMMYFUNCTION("""COMPUTED_VALUE"""),"Summer")</f>
        <v>Summer</v>
      </c>
      <c r="M624" s="5" t="str">
        <f ca="1">IFERROR(__xludf.DUMMYFUNCTION("""COMPUTED_VALUE"""),"Hartford")</f>
        <v>Hartford</v>
      </c>
      <c r="N624" s="5" t="str">
        <f ca="1">IFERROR(__xludf.DUMMYFUNCTION("""COMPUTED_VALUE"""),"CT")</f>
        <v>CT</v>
      </c>
      <c r="O624" s="5" t="str">
        <f ca="1">IFERROR(__xludf.DUMMYFUNCTION("""COMPUTED_VALUE"""),"High")</f>
        <v>High</v>
      </c>
      <c r="P624" s="5" t="str">
        <f ca="1">IFERROR(__xludf.DUMMYFUNCTION("""COMPUTED_VALUE"""),"Beside Building")</f>
        <v>Beside Building</v>
      </c>
      <c r="Q624" s="5" t="str">
        <f ca="1">IFERROR(__xludf.DUMMYFUNCTION("""COMPUTED_VALUE"""),"Outside on School Property")</f>
        <v>Outside on School Property</v>
      </c>
      <c r="R624" s="5" t="str">
        <f ca="1">IFERROR(__xludf.DUMMYFUNCTION("""COMPUTED_VALUE"""),"No")</f>
        <v>No</v>
      </c>
      <c r="S624" s="5" t="str">
        <f ca="1">IFERROR(__xludf.DUMMYFUNCTION("""COMPUTED_VALUE"""),"Not a School Day")</f>
        <v>Not a School Day</v>
      </c>
      <c r="T624" s="10">
        <f ca="1">IFERROR(__xludf.DUMMYFUNCTION("""COMPUTED_VALUE"""),0.5)</f>
        <v>0.5</v>
      </c>
      <c r="U624" s="5">
        <f ca="1">IFERROR(__xludf.DUMMYFUNCTION("""COMPUTED_VALUE"""),1)</f>
        <v>1</v>
      </c>
      <c r="V624" s="5" t="str">
        <f ca="1">IFERROR(__xludf.DUMMYFUNCTION("""COMPUTED_VALUE"""),"Two women in car chased victim onto school property then shot and killed him")</f>
        <v>Two women in car chased victim onto school property then shot and killed him</v>
      </c>
      <c r="W624"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X624" s="5" t="str">
        <f ca="1">IFERROR(__xludf.DUMMYFUNCTION("""COMPUTED_VALUE"""),"Drive-by Shooting")</f>
        <v>Drive-by Shooting</v>
      </c>
      <c r="Y624" s="5" t="str">
        <f ca="1">IFERROR(__xludf.DUMMYFUNCTION("""COMPUTED_VALUE"""),"Victims Targeted")</f>
        <v>Victims Targeted</v>
      </c>
      <c r="Z624" s="5" t="str">
        <f ca="1">IFERROR(__xludf.DUMMYFUNCTION("""COMPUTED_VALUE"""),"Yes")</f>
        <v>Yes</v>
      </c>
      <c r="AA624" s="5" t="str">
        <f ca="1">IFERROR(__xludf.DUMMYFUNCTION("""COMPUTED_VALUE"""),"Taichany Osorio drove vehicle, charged with conspiracy to commit murder")</f>
        <v>Taichany Osorio drove vehicle, charged with conspiracy to commit murder</v>
      </c>
      <c r="AB624" s="5" t="str">
        <f ca="1">IFERROR(__xludf.DUMMYFUNCTION("""COMPUTED_VALUE"""),"No")</f>
        <v>No</v>
      </c>
      <c r="AC624" s="5" t="str">
        <f ca="1">IFERROR(__xludf.DUMMYFUNCTION("""COMPUTED_VALUE"""),"No")</f>
        <v>No</v>
      </c>
      <c r="AD624" s="5" t="str">
        <f ca="1">IFERROR(__xludf.DUMMYFUNCTION("""COMPUTED_VALUE"""),"No")</f>
        <v>No</v>
      </c>
      <c r="AE624" s="5" t="str">
        <f ca="1">IFERROR(__xludf.DUMMYFUNCTION("""COMPUTED_VALUE"""),"No")</f>
        <v>No</v>
      </c>
      <c r="AF624" s="5" t="str">
        <f ca="1">IFERROR(__xludf.DUMMYFUNCTION("""COMPUTED_VALUE"""),"No")</f>
        <v>No</v>
      </c>
      <c r="AG624" s="5"/>
      <c r="AH624" s="5" t="str">
        <f ca="1">IFERROR(__xludf.DUMMYFUNCTION("""COMPUTED_VALUE"""),"No")</f>
        <v>No</v>
      </c>
    </row>
    <row r="625" spans="1:34" ht="12.75">
      <c r="A625" s="5" t="str">
        <f ca="1">IFERROR(__xludf.DUMMYFUNCTION("""COMPUTED_VALUE"""),"20190702AKWIA")</f>
        <v>20190702AKWIA</v>
      </c>
      <c r="B625" s="8">
        <f ca="1">IFERROR(__xludf.DUMMYFUNCTION("""COMPUTED_VALUE"""),43648)</f>
        <v>43648</v>
      </c>
      <c r="C625" s="5" t="str">
        <f ca="1">IFERROR(__xludf.DUMMYFUNCTION("""COMPUTED_VALUE"""),"Williwaw Elementary School")</f>
        <v>Williwaw Elementary School</v>
      </c>
      <c r="D625" s="5">
        <f ca="1">IFERROR(__xludf.DUMMYFUNCTION("""COMPUTED_VALUE"""),0)</f>
        <v>0</v>
      </c>
      <c r="E625" s="5">
        <f ca="1">IFERROR(__xludf.DUMMYFUNCTION("""COMPUTED_VALUE"""),1)</f>
        <v>1</v>
      </c>
      <c r="F625" s="5">
        <f ca="1">IFERROR(__xludf.DUMMYFUNCTION("""COMPUTED_VALUE"""),1)</f>
        <v>1</v>
      </c>
      <c r="G625" s="5">
        <f ca="1">IFERROR(__xludf.DUMMYFUNCTION("""COMPUTED_VALUE"""),0)</f>
        <v>0</v>
      </c>
      <c r="H625"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I625" s="5"/>
      <c r="J625" s="5"/>
      <c r="K625" s="5">
        <f ca="1">IFERROR(__xludf.DUMMYFUNCTION("""COMPUTED_VALUE"""),4)</f>
        <v>4</v>
      </c>
      <c r="L625" s="5" t="str">
        <f ca="1">IFERROR(__xludf.DUMMYFUNCTION("""COMPUTED_VALUE"""),"Summer")</f>
        <v>Summer</v>
      </c>
      <c r="M625" s="5" t="str">
        <f ca="1">IFERROR(__xludf.DUMMYFUNCTION("""COMPUTED_VALUE"""),"Anchorage")</f>
        <v>Anchorage</v>
      </c>
      <c r="N625" s="5" t="str">
        <f ca="1">IFERROR(__xludf.DUMMYFUNCTION("""COMPUTED_VALUE"""),"AK")</f>
        <v>AK</v>
      </c>
      <c r="O625" s="5" t="str">
        <f ca="1">IFERROR(__xludf.DUMMYFUNCTION("""COMPUTED_VALUE"""),"Elementary")</f>
        <v>Elementary</v>
      </c>
      <c r="P625" s="5" t="str">
        <f ca="1">IFERROR(__xludf.DUMMYFUNCTION("""COMPUTED_VALUE"""),"Basketball Court")</f>
        <v>Basketball Court</v>
      </c>
      <c r="Q625" s="5" t="str">
        <f ca="1">IFERROR(__xludf.DUMMYFUNCTION("""COMPUTED_VALUE"""),"Outside on School Property")</f>
        <v>Outside on School Property</v>
      </c>
      <c r="R625" s="5" t="str">
        <f ca="1">IFERROR(__xludf.DUMMYFUNCTION("""COMPUTED_VALUE"""),"No")</f>
        <v>No</v>
      </c>
      <c r="S625" s="5" t="str">
        <f ca="1">IFERROR(__xludf.DUMMYFUNCTION("""COMPUTED_VALUE"""),"Evening")</f>
        <v>Evening</v>
      </c>
      <c r="T625" s="10">
        <f ca="1">IFERROR(__xludf.DUMMYFUNCTION("""COMPUTED_VALUE"""),0.782638888888888)</f>
        <v>0.782638888888888</v>
      </c>
      <c r="U625" s="5">
        <f ca="1">IFERROR(__xludf.DUMMYFUNCTION("""COMPUTED_VALUE"""),1)</f>
        <v>1</v>
      </c>
      <c r="V625" s="5" t="str">
        <f ca="1">IFERROR(__xludf.DUMMYFUNCTION("""COMPUTED_VALUE"""),"Teen shot on basketball court after altercation")</f>
        <v>Teen shot on basketball court after altercation</v>
      </c>
      <c r="W625"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X625" s="5" t="str">
        <f ca="1">IFERROR(__xludf.DUMMYFUNCTION("""COMPUTED_VALUE"""),"Escalation of Dispute")</f>
        <v>Escalation of Dispute</v>
      </c>
      <c r="Y625" s="5"/>
      <c r="Z625" s="5"/>
      <c r="AA625" s="5"/>
      <c r="AB625" s="5" t="str">
        <f ca="1">IFERROR(__xludf.DUMMYFUNCTION("""COMPUTED_VALUE"""),"No")</f>
        <v>No</v>
      </c>
      <c r="AC625" s="5" t="str">
        <f ca="1">IFERROR(__xludf.DUMMYFUNCTION("""COMPUTED_VALUE"""),"No")</f>
        <v>No</v>
      </c>
      <c r="AD625" s="5" t="str">
        <f ca="1">IFERROR(__xludf.DUMMYFUNCTION("""COMPUTED_VALUE"""),"No")</f>
        <v>No</v>
      </c>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row>
    <row r="626" spans="1:34" ht="12.75">
      <c r="A626" s="5" t="str">
        <f ca="1">IFERROR(__xludf.DUMMYFUNCTION("""COMPUTED_VALUE"""),"20190701NYSCN")</f>
        <v>20190701NYSCN</v>
      </c>
      <c r="B626" s="8">
        <f ca="1">IFERROR(__xludf.DUMMYFUNCTION("""COMPUTED_VALUE"""),43647)</f>
        <v>43647</v>
      </c>
      <c r="C626" s="5" t="str">
        <f ca="1">IFERROR(__xludf.DUMMYFUNCTION("""COMPUTED_VALUE"""),"School of Science and Applied Learning")</f>
        <v>School of Science and Applied Learning</v>
      </c>
      <c r="D626" s="5">
        <f ca="1">IFERROR(__xludf.DUMMYFUNCTION("""COMPUTED_VALUE"""),0)</f>
        <v>0</v>
      </c>
      <c r="E626" s="5">
        <f ca="1">IFERROR(__xludf.DUMMYFUNCTION("""COMPUTED_VALUE"""),1)</f>
        <v>1</v>
      </c>
      <c r="F626" s="5">
        <f ca="1">IFERROR(__xludf.DUMMYFUNCTION("""COMPUTED_VALUE"""),1)</f>
        <v>1</v>
      </c>
      <c r="G626" s="5">
        <f ca="1">IFERROR(__xludf.DUMMYFUNCTION("""COMPUTED_VALUE"""),0)</f>
        <v>0</v>
      </c>
      <c r="H626"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I626" s="5"/>
      <c r="J626" s="5"/>
      <c r="K626" s="5">
        <f ca="1">IFERROR(__xludf.DUMMYFUNCTION("""COMPUTED_VALUE"""),4)</f>
        <v>4</v>
      </c>
      <c r="L626" s="5" t="str">
        <f ca="1">IFERROR(__xludf.DUMMYFUNCTION("""COMPUTED_VALUE"""),"Summer")</f>
        <v>Summer</v>
      </c>
      <c r="M626" s="5" t="str">
        <f ca="1">IFERROR(__xludf.DUMMYFUNCTION("""COMPUTED_VALUE"""),"New York")</f>
        <v>New York</v>
      </c>
      <c r="N626" s="5" t="str">
        <f ca="1">IFERROR(__xludf.DUMMYFUNCTION("""COMPUTED_VALUE"""),"NY")</f>
        <v>NY</v>
      </c>
      <c r="O626" s="5" t="str">
        <f ca="1">IFERROR(__xludf.DUMMYFUNCTION("""COMPUTED_VALUE"""),"Elementary")</f>
        <v>Elementary</v>
      </c>
      <c r="P626" s="5" t="str">
        <f ca="1">IFERROR(__xludf.DUMMYFUNCTION("""COMPUTED_VALUE"""),"Playground")</f>
        <v>Playground</v>
      </c>
      <c r="Q626" s="5" t="str">
        <f ca="1">IFERROR(__xludf.DUMMYFUNCTION("""COMPUTED_VALUE"""),"Outside on School Property")</f>
        <v>Outside on School Property</v>
      </c>
      <c r="R626" s="5" t="str">
        <f ca="1">IFERROR(__xludf.DUMMYFUNCTION("""COMPUTED_VALUE"""),"No")</f>
        <v>No</v>
      </c>
      <c r="S626" s="5" t="str">
        <f ca="1">IFERROR(__xludf.DUMMYFUNCTION("""COMPUTED_VALUE"""),"Night")</f>
        <v>Night</v>
      </c>
      <c r="T626" s="10">
        <f ca="1">IFERROR(__xludf.DUMMYFUNCTION("""COMPUTED_VALUE"""),0.930555555555555)</f>
        <v>0.93055555555555503</v>
      </c>
      <c r="U626" s="5">
        <f ca="1">IFERROR(__xludf.DUMMYFUNCTION("""COMPUTED_VALUE"""),1)</f>
        <v>1</v>
      </c>
      <c r="V626" s="5" t="str">
        <f ca="1">IFERROR(__xludf.DUMMYFUNCTION("""COMPUTED_VALUE"""),"Cab driver shot 13YOM who had previously robbed him at the school playground")</f>
        <v>Cab driver shot 13YOM who had previously robbed him at the school playground</v>
      </c>
      <c r="W626"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X626" s="5" t="str">
        <f ca="1">IFERROR(__xludf.DUMMYFUNCTION("""COMPUTED_VALUE"""),"Illegal Activity")</f>
        <v>Illegal Activity</v>
      </c>
      <c r="Y626" s="5" t="str">
        <f ca="1">IFERROR(__xludf.DUMMYFUNCTION("""COMPUTED_VALUE"""),"Victims Targeted")</f>
        <v>Victims Targeted</v>
      </c>
      <c r="Z626" s="5" t="str">
        <f ca="1">IFERROR(__xludf.DUMMYFUNCTION("""COMPUTED_VALUE"""),"No")</f>
        <v>No</v>
      </c>
      <c r="AA626" s="5"/>
      <c r="AB626" s="5" t="str">
        <f ca="1">IFERROR(__xludf.DUMMYFUNCTION("""COMPUTED_VALUE"""),"No")</f>
        <v>No</v>
      </c>
      <c r="AC626" s="5" t="str">
        <f ca="1">IFERROR(__xludf.DUMMYFUNCTION("""COMPUTED_VALUE"""),"No")</f>
        <v>No</v>
      </c>
      <c r="AD626" s="5" t="str">
        <f ca="1">IFERROR(__xludf.DUMMYFUNCTION("""COMPUTED_VALUE"""),"No")</f>
        <v>No</v>
      </c>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row>
    <row r="627" spans="1:34" ht="12.75">
      <c r="A627" s="5" t="str">
        <f ca="1">IFERROR(__xludf.DUMMYFUNCTION("""COMPUTED_VALUE"""),"20190629COJAC")</f>
        <v>20190629COJAC</v>
      </c>
      <c r="B627" s="8">
        <f ca="1">IFERROR(__xludf.DUMMYFUNCTION("""COMPUTED_VALUE"""),43645)</f>
        <v>43645</v>
      </c>
      <c r="C627" s="5" t="str">
        <f ca="1">IFERROR(__xludf.DUMMYFUNCTION("""COMPUTED_VALUE"""),"Jack Swigert Aerospace Academy")</f>
        <v>Jack Swigert Aerospace Academy</v>
      </c>
      <c r="D627" s="5">
        <f ca="1">IFERROR(__xludf.DUMMYFUNCTION("""COMPUTED_VALUE"""),2)</f>
        <v>2</v>
      </c>
      <c r="E627" s="5">
        <f ca="1">IFERROR(__xludf.DUMMYFUNCTION("""COMPUTED_VALUE"""),0)</f>
        <v>0</v>
      </c>
      <c r="F627" s="5">
        <f ca="1">IFERROR(__xludf.DUMMYFUNCTION("""COMPUTED_VALUE"""),2)</f>
        <v>2</v>
      </c>
      <c r="G627" s="5">
        <f ca="1">IFERROR(__xludf.DUMMYFUNCTION("""COMPUTED_VALUE"""),0)</f>
        <v>0</v>
      </c>
      <c r="H627" s="9" t="str">
        <f ca="1">IFERROR(__xludf.DUMMYFUNCTION("""COMPUTED_VALUE"""),"https://www.denverpost.com/2019/07/04/colorado-springs-shooting-victims/")</f>
        <v>https://www.denverpost.com/2019/07/04/colorado-springs-shooting-victims/</v>
      </c>
      <c r="I627" s="5"/>
      <c r="J627" s="5"/>
      <c r="K627" s="5">
        <f ca="1">IFERROR(__xludf.DUMMYFUNCTION("""COMPUTED_VALUE"""),2)</f>
        <v>2</v>
      </c>
      <c r="L627" s="5" t="str">
        <f ca="1">IFERROR(__xludf.DUMMYFUNCTION("""COMPUTED_VALUE"""),"Summer")</f>
        <v>Summer</v>
      </c>
      <c r="M627" s="5" t="str">
        <f ca="1">IFERROR(__xludf.DUMMYFUNCTION("""COMPUTED_VALUE"""),"Colorado Springs")</f>
        <v>Colorado Springs</v>
      </c>
      <c r="N627" s="5" t="str">
        <f ca="1">IFERROR(__xludf.DUMMYFUNCTION("""COMPUTED_VALUE"""),"CO")</f>
        <v>CO</v>
      </c>
      <c r="O627" s="5" t="str">
        <f ca="1">IFERROR(__xludf.DUMMYFUNCTION("""COMPUTED_VALUE"""),"Elementary")</f>
        <v>Elementary</v>
      </c>
      <c r="P627" s="5" t="str">
        <f ca="1">IFERROR(__xludf.DUMMYFUNCTION("""COMPUTED_VALUE"""),"Football Field/Track")</f>
        <v>Football Field/Track</v>
      </c>
      <c r="Q627" s="5" t="str">
        <f ca="1">IFERROR(__xludf.DUMMYFUNCTION("""COMPUTED_VALUE"""),"Outside on School Property")</f>
        <v>Outside on School Property</v>
      </c>
      <c r="R627" s="5" t="str">
        <f ca="1">IFERROR(__xludf.DUMMYFUNCTION("""COMPUTED_VALUE"""),"No")</f>
        <v>No</v>
      </c>
      <c r="S627" s="5" t="str">
        <f ca="1">IFERROR(__xludf.DUMMYFUNCTION("""COMPUTED_VALUE"""),"Night")</f>
        <v>Night</v>
      </c>
      <c r="T627" s="10">
        <f ca="1">IFERROR(__xludf.DUMMYFUNCTION("""COMPUTED_VALUE"""),0.166666666666666)</f>
        <v>0.16666666666666599</v>
      </c>
      <c r="U627" s="5">
        <f ca="1">IFERROR(__xludf.DUMMYFUNCTION("""COMPUTED_VALUE"""),1)</f>
        <v>1</v>
      </c>
      <c r="V627" s="5" t="str">
        <f ca="1">IFERROR(__xludf.DUMMYFUNCTION("""COMPUTED_VALUE"""),"Two men shot and killed during fight between two groups on school track")</f>
        <v>Two men shot and killed during fight between two groups on school track</v>
      </c>
      <c r="W627"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X627" s="5" t="str">
        <f ca="1">IFERROR(__xludf.DUMMYFUNCTION("""COMPUTED_VALUE"""),"Escalation of Dispute")</f>
        <v>Escalation of Dispute</v>
      </c>
      <c r="Y627" s="5" t="str">
        <f ca="1">IFERROR(__xludf.DUMMYFUNCTION("""COMPUTED_VALUE"""),"Victims Targeted")</f>
        <v>Victims Targeted</v>
      </c>
      <c r="Z627" s="5" t="str">
        <f ca="1">IFERROR(__xludf.DUMMYFUNCTION("""COMPUTED_VALUE"""),"Yes")</f>
        <v>Yes</v>
      </c>
      <c r="AA627" s="5" t="str">
        <f ca="1">IFERROR(__xludf.DUMMYFUNCTION("""COMPUTED_VALUE"""),"Group dispute")</f>
        <v>Group dispute</v>
      </c>
      <c r="AB627" s="5" t="str">
        <f ca="1">IFERROR(__xludf.DUMMYFUNCTION("""COMPUTED_VALUE"""),"No")</f>
        <v>No</v>
      </c>
      <c r="AC627" s="5" t="str">
        <f ca="1">IFERROR(__xludf.DUMMYFUNCTION("""COMPUTED_VALUE"""),"No")</f>
        <v>No</v>
      </c>
      <c r="AD627" s="5" t="str">
        <f ca="1">IFERROR(__xludf.DUMMYFUNCTION("""COMPUTED_VALUE"""),"No")</f>
        <v>No</v>
      </c>
      <c r="AE627" s="5" t="str">
        <f ca="1">IFERROR(__xludf.DUMMYFUNCTION("""COMPUTED_VALUE"""),"No")</f>
        <v>No</v>
      </c>
      <c r="AF627" s="5" t="str">
        <f ca="1">IFERROR(__xludf.DUMMYFUNCTION("""COMPUTED_VALUE"""),"No")</f>
        <v>No</v>
      </c>
      <c r="AG627" s="5" t="str">
        <f ca="1">IFERROR(__xludf.DUMMYFUNCTION("""COMPUTED_VALUE"""),"No")</f>
        <v>No</v>
      </c>
      <c r="AH627" s="5" t="str">
        <f ca="1">IFERROR(__xludf.DUMMYFUNCTION("""COMPUTED_VALUE"""),"No")</f>
        <v>No</v>
      </c>
    </row>
    <row r="628" spans="1:34" ht="12.75">
      <c r="A628" s="5" t="str">
        <f ca="1">IFERROR(__xludf.DUMMYFUNCTION("""COMPUTED_VALUE"""),"20190621MICAF")</f>
        <v>20190621MICAF</v>
      </c>
      <c r="B628" s="8">
        <f ca="1">IFERROR(__xludf.DUMMYFUNCTION("""COMPUTED_VALUE"""),43637)</f>
        <v>43637</v>
      </c>
      <c r="C628" s="5" t="str">
        <f ca="1">IFERROR(__xludf.DUMMYFUNCTION("""COMPUTED_VALUE"""),"Carman-Ainsworth High School")</f>
        <v>Carman-Ainsworth High School</v>
      </c>
      <c r="D628" s="5">
        <f ca="1">IFERROR(__xludf.DUMMYFUNCTION("""COMPUTED_VALUE"""),0)</f>
        <v>0</v>
      </c>
      <c r="E628" s="5">
        <f ca="1">IFERROR(__xludf.DUMMYFUNCTION("""COMPUTED_VALUE"""),1)</f>
        <v>1</v>
      </c>
      <c r="F628" s="5">
        <f ca="1">IFERROR(__xludf.DUMMYFUNCTION("""COMPUTED_VALUE"""),1)</f>
        <v>1</v>
      </c>
      <c r="G628" s="5">
        <f ca="1">IFERROR(__xludf.DUMMYFUNCTION("""COMPUTED_VALUE"""),0)</f>
        <v>0</v>
      </c>
      <c r="H628"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I628" s="5"/>
      <c r="J628" s="5"/>
      <c r="K628" s="5">
        <f ca="1">IFERROR(__xludf.DUMMYFUNCTION("""COMPUTED_VALUE"""),4)</f>
        <v>4</v>
      </c>
      <c r="L628" s="5" t="str">
        <f ca="1">IFERROR(__xludf.DUMMYFUNCTION("""COMPUTED_VALUE"""),"Summer")</f>
        <v>Summer</v>
      </c>
      <c r="M628" s="5" t="str">
        <f ca="1">IFERROR(__xludf.DUMMYFUNCTION("""COMPUTED_VALUE"""),"Flint Township")</f>
        <v>Flint Township</v>
      </c>
      <c r="N628" s="5" t="str">
        <f ca="1">IFERROR(__xludf.DUMMYFUNCTION("""COMPUTED_VALUE"""),"MI")</f>
        <v>MI</v>
      </c>
      <c r="O628" s="5" t="str">
        <f ca="1">IFERROR(__xludf.DUMMYFUNCTION("""COMPUTED_VALUE"""),"High")</f>
        <v>High</v>
      </c>
      <c r="P628" s="5" t="str">
        <f ca="1">IFERROR(__xludf.DUMMYFUNCTION("""COMPUTED_VALUE"""),"Beside Building")</f>
        <v>Beside Building</v>
      </c>
      <c r="Q628" s="5" t="str">
        <f ca="1">IFERROR(__xludf.DUMMYFUNCTION("""COMPUTED_VALUE"""),"Outside on School Property")</f>
        <v>Outside on School Property</v>
      </c>
      <c r="R628" s="5" t="str">
        <f ca="1">IFERROR(__xludf.DUMMYFUNCTION("""COMPUTED_VALUE"""),"No")</f>
        <v>No</v>
      </c>
      <c r="S628" s="5" t="str">
        <f ca="1">IFERROR(__xludf.DUMMYFUNCTION("""COMPUTED_VALUE"""),"Sport Event")</f>
        <v>Sport Event</v>
      </c>
      <c r="T628" s="10">
        <f ca="1">IFERROR(__xludf.DUMMYFUNCTION("""COMPUTED_VALUE"""),0.814583333333333)</f>
        <v>0.81458333333333299</v>
      </c>
      <c r="U628" s="5">
        <f ca="1">IFERROR(__xludf.DUMMYFUNCTION("""COMPUTED_VALUE"""),1)</f>
        <v>1</v>
      </c>
      <c r="V628" s="5" t="str">
        <f ca="1">IFERROR(__xludf.DUMMYFUNCTION("""COMPUTED_VALUE"""),"15YOM male shot during fight involving 50 people at basketball game")</f>
        <v>15YOM male shot during fight involving 50 people at basketball game</v>
      </c>
      <c r="W628"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X628" s="5" t="str">
        <f ca="1">IFERROR(__xludf.DUMMYFUNCTION("""COMPUTED_VALUE"""),"Escalation of Dispute")</f>
        <v>Escalation of Dispute</v>
      </c>
      <c r="Y628" s="5"/>
      <c r="Z628" s="5"/>
      <c r="AA628" s="5"/>
      <c r="AB628" s="5" t="str">
        <f ca="1">IFERROR(__xludf.DUMMYFUNCTION("""COMPUTED_VALUE"""),"No")</f>
        <v>No</v>
      </c>
      <c r="AC628" s="5" t="str">
        <f ca="1">IFERROR(__xludf.DUMMYFUNCTION("""COMPUTED_VALUE"""),"No")</f>
        <v>No</v>
      </c>
      <c r="AD628" s="5" t="str">
        <f ca="1">IFERROR(__xludf.DUMMYFUNCTION("""COMPUTED_VALUE"""),"No")</f>
        <v>No</v>
      </c>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row>
    <row r="629" spans="1:34" ht="12.75">
      <c r="A629" s="5" t="str">
        <f ca="1">IFERROR(__xludf.DUMMYFUNCTION("""COMPUTED_VALUE"""),"20190613NJTAW")</f>
        <v>20190613NJTAW</v>
      </c>
      <c r="B629" s="8">
        <f ca="1">IFERROR(__xludf.DUMMYFUNCTION("""COMPUTED_VALUE"""),43629)</f>
        <v>43629</v>
      </c>
      <c r="C629" s="5" t="str">
        <f ca="1">IFERROR(__xludf.DUMMYFUNCTION("""COMPUTED_VALUE"""),"Tamaques Elementary School")</f>
        <v>Tamaques Elementary School</v>
      </c>
      <c r="D629" s="5">
        <f ca="1">IFERROR(__xludf.DUMMYFUNCTION("""COMPUTED_VALUE"""),0)</f>
        <v>0</v>
      </c>
      <c r="E629" s="5">
        <f ca="1">IFERROR(__xludf.DUMMYFUNCTION("""COMPUTED_VALUE"""),0)</f>
        <v>0</v>
      </c>
      <c r="F629" s="5">
        <f ca="1">IFERROR(__xludf.DUMMYFUNCTION("""COMPUTED_VALUE"""),0)</f>
        <v>0</v>
      </c>
      <c r="G629" s="5">
        <f ca="1">IFERROR(__xludf.DUMMYFUNCTION("""COMPUTED_VALUE"""),0)</f>
        <v>0</v>
      </c>
      <c r="H629" s="9" t="str">
        <f ca="1">IFERROR(__xludf.DUMMYFUNCTION("""COMPUTED_VALUE"""),"https://6abc.com/police-del-man-found-holding-loaded-gun-outside-nj-elementary-school/5346847/")</f>
        <v>https://6abc.com/police-del-man-found-holding-loaded-gun-outside-nj-elementary-school/5346847/</v>
      </c>
      <c r="I629" s="5"/>
      <c r="J629" s="5"/>
      <c r="K629" s="5">
        <f ca="1">IFERROR(__xludf.DUMMYFUNCTION("""COMPUTED_VALUE"""),3)</f>
        <v>3</v>
      </c>
      <c r="L629" s="5" t="str">
        <f ca="1">IFERROR(__xludf.DUMMYFUNCTION("""COMPUTED_VALUE"""),"Summer")</f>
        <v>Summer</v>
      </c>
      <c r="M629" s="5" t="str">
        <f ca="1">IFERROR(__xludf.DUMMYFUNCTION("""COMPUTED_VALUE"""),"Westfield")</f>
        <v>Westfield</v>
      </c>
      <c r="N629" s="5" t="str">
        <f ca="1">IFERROR(__xludf.DUMMYFUNCTION("""COMPUTED_VALUE"""),"NJ")</f>
        <v>NJ</v>
      </c>
      <c r="O629" s="5" t="str">
        <f ca="1">IFERROR(__xludf.DUMMYFUNCTION("""COMPUTED_VALUE"""),"Elementary")</f>
        <v>Elementary</v>
      </c>
      <c r="P629" s="5" t="str">
        <f ca="1">IFERROR(__xludf.DUMMYFUNCTION("""COMPUTED_VALUE"""),"Parking Lot")</f>
        <v>Parking Lot</v>
      </c>
      <c r="Q629" s="5" t="str">
        <f ca="1">IFERROR(__xludf.DUMMYFUNCTION("""COMPUTED_VALUE"""),"Outside on School Property")</f>
        <v>Outside on School Property</v>
      </c>
      <c r="R629" s="5" t="str">
        <f ca="1">IFERROR(__xludf.DUMMYFUNCTION("""COMPUTED_VALUE"""),"No")</f>
        <v>No</v>
      </c>
      <c r="S629" s="5" t="str">
        <f ca="1">IFERROR(__xludf.DUMMYFUNCTION("""COMPUTED_VALUE"""),"After School")</f>
        <v>After School</v>
      </c>
      <c r="T629" s="10">
        <f ca="1">IFERROR(__xludf.DUMMYFUNCTION("""COMPUTED_VALUE"""),0.663194444444444)</f>
        <v>0.66319444444444398</v>
      </c>
      <c r="U629" s="5">
        <f ca="1">IFERROR(__xludf.DUMMYFUNCTION("""COMPUTED_VALUE"""),1)</f>
        <v>1</v>
      </c>
      <c r="V629" s="5" t="str">
        <f ca="1">IFERROR(__xludf.DUMMYFUNCTION("""COMPUTED_VALUE"""),"Man arrested in school parking lot after tip holding pistol with 130 rounds of ammo")</f>
        <v>Man arrested in school parking lot after tip holding pistol with 130 rounds of ammo</v>
      </c>
      <c r="W629"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X629" s="5" t="str">
        <f ca="1">IFERROR(__xludf.DUMMYFUNCTION("""COMPUTED_VALUE"""),"Indiscriminate Shooting")</f>
        <v>Indiscriminate Shooting</v>
      </c>
      <c r="Y629" s="5"/>
      <c r="Z629" s="5" t="str">
        <f ca="1">IFERROR(__xludf.DUMMYFUNCTION("""COMPUTED_VALUE"""),"No")</f>
        <v>No</v>
      </c>
      <c r="AA629" s="5"/>
      <c r="AB629" s="5" t="str">
        <f ca="1">IFERROR(__xludf.DUMMYFUNCTION("""COMPUTED_VALUE"""),"No")</f>
        <v>No</v>
      </c>
      <c r="AC629" s="5" t="str">
        <f ca="1">IFERROR(__xludf.DUMMYFUNCTION("""COMPUTED_VALUE"""),"No")</f>
        <v>No</v>
      </c>
      <c r="AD629" s="5" t="str">
        <f ca="1">IFERROR(__xludf.DUMMYFUNCTION("""COMPUTED_VALUE"""),"No")</f>
        <v>No</v>
      </c>
      <c r="AE629" s="5" t="str">
        <f ca="1">IFERROR(__xludf.DUMMYFUNCTION("""COMPUTED_VALUE"""),"No")</f>
        <v>No</v>
      </c>
      <c r="AF629" s="5"/>
      <c r="AG629" s="5" t="str">
        <f ca="1">IFERROR(__xludf.DUMMYFUNCTION("""COMPUTED_VALUE"""),"No")</f>
        <v>No</v>
      </c>
      <c r="AH629" s="5" t="str">
        <f ca="1">IFERROR(__xludf.DUMMYFUNCTION("""COMPUTED_VALUE"""),"No")</f>
        <v>No</v>
      </c>
    </row>
    <row r="630" spans="1:34" ht="12.75">
      <c r="A630" s="5" t="str">
        <f ca="1">IFERROR(__xludf.DUMMYFUNCTION("""COMPUTED_VALUE"""),"20190612PAJEE")</f>
        <v>20190612PAJEE</v>
      </c>
      <c r="B630" s="8">
        <f ca="1">IFERROR(__xludf.DUMMYFUNCTION("""COMPUTED_VALUE"""),43628)</f>
        <v>43628</v>
      </c>
      <c r="C630" s="5" t="str">
        <f ca="1">IFERROR(__xludf.DUMMYFUNCTION("""COMPUTED_VALUE"""),"Jefferson Elementary School")</f>
        <v>Jefferson Elementary School</v>
      </c>
      <c r="D630" s="5">
        <f ca="1">IFERROR(__xludf.DUMMYFUNCTION("""COMPUTED_VALUE"""),0)</f>
        <v>0</v>
      </c>
      <c r="E630" s="5">
        <f ca="1">IFERROR(__xludf.DUMMYFUNCTION("""COMPUTED_VALUE"""),0)</f>
        <v>0</v>
      </c>
      <c r="F630" s="5">
        <f ca="1">IFERROR(__xludf.DUMMYFUNCTION("""COMPUTED_VALUE"""),0)</f>
        <v>0</v>
      </c>
      <c r="G630" s="5">
        <f ca="1">IFERROR(__xludf.DUMMYFUNCTION("""COMPUTED_VALUE"""),0)</f>
        <v>0</v>
      </c>
      <c r="H630" s="9" t="str">
        <f ca="1">IFERROR(__xludf.DUMMYFUNCTION("""COMPUTED_VALUE"""),"https://www.mcall.com/news/police/mc-nws-emmaus-shooting-conspiracy-prelim-20200110-2setspazpzapxmcnt7ljuyvfx4-story.html")</f>
        <v>https://www.mcall.com/news/police/mc-nws-emmaus-shooting-conspiracy-prelim-20200110-2setspazpzapxmcnt7ljuyvfx4-story.html</v>
      </c>
      <c r="I630" s="5"/>
      <c r="J630" s="5"/>
      <c r="K630" s="5">
        <f ca="1">IFERROR(__xludf.DUMMYFUNCTION("""COMPUTED_VALUE"""),4)</f>
        <v>4</v>
      </c>
      <c r="L630" s="5" t="str">
        <f ca="1">IFERROR(__xludf.DUMMYFUNCTION("""COMPUTED_VALUE"""),"Summer")</f>
        <v>Summer</v>
      </c>
      <c r="M630" s="5" t="str">
        <f ca="1">IFERROR(__xludf.DUMMYFUNCTION("""COMPUTED_VALUE"""),"Emmaus")</f>
        <v>Emmaus</v>
      </c>
      <c r="N630" s="5" t="str">
        <f ca="1">IFERROR(__xludf.DUMMYFUNCTION("""COMPUTED_VALUE"""),"PA")</f>
        <v>PA</v>
      </c>
      <c r="O630" s="5" t="str">
        <f ca="1">IFERROR(__xludf.DUMMYFUNCTION("""COMPUTED_VALUE"""),"Elementary")</f>
        <v>Elementary</v>
      </c>
      <c r="P630" s="5" t="str">
        <f ca="1">IFERROR(__xludf.DUMMYFUNCTION("""COMPUTED_VALUE"""),"Parking Lot")</f>
        <v>Parking Lot</v>
      </c>
      <c r="Q630" s="5" t="str">
        <f ca="1">IFERROR(__xludf.DUMMYFUNCTION("""COMPUTED_VALUE"""),"Outside on School Property")</f>
        <v>Outside on School Property</v>
      </c>
      <c r="R630" s="5" t="str">
        <f ca="1">IFERROR(__xludf.DUMMYFUNCTION("""COMPUTED_VALUE"""),"No")</f>
        <v>No</v>
      </c>
      <c r="S630" s="5" t="str">
        <f ca="1">IFERROR(__xludf.DUMMYFUNCTION("""COMPUTED_VALUE"""),"Night")</f>
        <v>Night</v>
      </c>
      <c r="T630" s="10">
        <f ca="1">IFERROR(__xludf.DUMMYFUNCTION("""COMPUTED_VALUE"""),0.95)</f>
        <v>0.95</v>
      </c>
      <c r="U630" s="5">
        <f ca="1">IFERROR(__xludf.DUMMYFUNCTION("""COMPUTED_VALUE"""),1)</f>
        <v>1</v>
      </c>
      <c r="V630" s="5" t="str">
        <f ca="1">IFERROR(__xludf.DUMMYFUNCTION("""COMPUTED_VALUE"""),"Targeted domestic shooting in school parking lot")</f>
        <v>Targeted domestic shooting in school parking lot</v>
      </c>
      <c r="W630"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X630" s="5" t="str">
        <f ca="1">IFERROR(__xludf.DUMMYFUNCTION("""COMPUTED_VALUE"""),"Domestic w/ Targeted Victim")</f>
        <v>Domestic w/ Targeted Victim</v>
      </c>
      <c r="Y630" s="5" t="str">
        <f ca="1">IFERROR(__xludf.DUMMYFUNCTION("""COMPUTED_VALUE"""),"Victims Targeted")</f>
        <v>Victims Targeted</v>
      </c>
      <c r="Z630" s="5" t="str">
        <f ca="1">IFERROR(__xludf.DUMMYFUNCTION("""COMPUTED_VALUE"""),"Yes")</f>
        <v>Yes</v>
      </c>
      <c r="AA630" s="5" t="str">
        <f ca="1">IFERROR(__xludf.DUMMYFUNCTION("""COMPUTED_VALUE"""),"18YOF directed the shooting (domestic)")</f>
        <v>18YOF directed the shooting (domestic)</v>
      </c>
      <c r="AB630" s="5" t="str">
        <f ca="1">IFERROR(__xludf.DUMMYFUNCTION("""COMPUTED_VALUE"""),"No")</f>
        <v>No</v>
      </c>
      <c r="AC630" s="5" t="str">
        <f ca="1">IFERROR(__xludf.DUMMYFUNCTION("""COMPUTED_VALUE"""),"No")</f>
        <v>No</v>
      </c>
      <c r="AD630" s="5" t="str">
        <f ca="1">IFERROR(__xludf.DUMMYFUNCTION("""COMPUTED_VALUE"""),"No")</f>
        <v>No</v>
      </c>
      <c r="AE630" s="5" t="str">
        <f ca="1">IFERROR(__xludf.DUMMYFUNCTION("""COMPUTED_VALUE"""),"No")</f>
        <v>No</v>
      </c>
      <c r="AF630" s="5" t="str">
        <f ca="1">IFERROR(__xludf.DUMMYFUNCTION("""COMPUTED_VALUE"""),"Yes")</f>
        <v>Yes</v>
      </c>
      <c r="AG630" s="5" t="str">
        <f ca="1">IFERROR(__xludf.DUMMYFUNCTION("""COMPUTED_VALUE"""),"No")</f>
        <v>No</v>
      </c>
      <c r="AH630" s="5" t="str">
        <f ca="1">IFERROR(__xludf.DUMMYFUNCTION("""COMPUTED_VALUE"""),"No")</f>
        <v>No</v>
      </c>
    </row>
    <row r="631" spans="1:34" ht="12.75">
      <c r="A631" s="5" t="str">
        <f ca="1">IFERROR(__xludf.DUMMYFUNCTION("""COMPUTED_VALUE"""),"20190612DCHEW")</f>
        <v>20190612DCHEW</v>
      </c>
      <c r="B631" s="8">
        <f ca="1">IFERROR(__xludf.DUMMYFUNCTION("""COMPUTED_VALUE"""),43628)</f>
        <v>43628</v>
      </c>
      <c r="C631" s="5" t="str">
        <f ca="1">IFERROR(__xludf.DUMMYFUNCTION("""COMPUTED_VALUE"""),"Hendley Elementary School")</f>
        <v>Hendley Elementary School</v>
      </c>
      <c r="D631" s="5">
        <f ca="1">IFERROR(__xludf.DUMMYFUNCTION("""COMPUTED_VALUE"""),0)</f>
        <v>0</v>
      </c>
      <c r="E631" s="5">
        <f ca="1">IFERROR(__xludf.DUMMYFUNCTION("""COMPUTED_VALUE"""),0)</f>
        <v>0</v>
      </c>
      <c r="F631" s="5">
        <f ca="1">IFERROR(__xludf.DUMMYFUNCTION("""COMPUTED_VALUE"""),0)</f>
        <v>0</v>
      </c>
      <c r="G631" s="5">
        <f ca="1">IFERROR(__xludf.DUMMYFUNCTION("""COMPUTED_VALUE"""),0)</f>
        <v>0</v>
      </c>
      <c r="H631"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I631" s="5"/>
      <c r="J631" s="5"/>
      <c r="K631" s="5">
        <f ca="1">IFERROR(__xludf.DUMMYFUNCTION("""COMPUTED_VALUE"""),3)</f>
        <v>3</v>
      </c>
      <c r="L631" s="5" t="str">
        <f ca="1">IFERROR(__xludf.DUMMYFUNCTION("""COMPUTED_VALUE"""),"Summer")</f>
        <v>Summer</v>
      </c>
      <c r="M631" s="5" t="str">
        <f ca="1">IFERROR(__xludf.DUMMYFUNCTION("""COMPUTED_VALUE"""),"Washington")</f>
        <v>Washington</v>
      </c>
      <c r="N631" s="5" t="str">
        <f ca="1">IFERROR(__xludf.DUMMYFUNCTION("""COMPUTED_VALUE"""),"DC")</f>
        <v>DC</v>
      </c>
      <c r="O631" s="5" t="str">
        <f ca="1">IFERROR(__xludf.DUMMYFUNCTION("""COMPUTED_VALUE"""),"Elementary")</f>
        <v>Elementary</v>
      </c>
      <c r="P631" s="5" t="str">
        <f ca="1">IFERROR(__xludf.DUMMYFUNCTION("""COMPUTED_VALUE"""),"Front of School")</f>
        <v>Front of School</v>
      </c>
      <c r="Q631" s="5" t="str">
        <f ca="1">IFERROR(__xludf.DUMMYFUNCTION("""COMPUTED_VALUE"""),"Off School Property")</f>
        <v>Off School Property</v>
      </c>
      <c r="R631" s="5" t="str">
        <f ca="1">IFERROR(__xludf.DUMMYFUNCTION("""COMPUTED_VALUE"""),"No")</f>
        <v>No</v>
      </c>
      <c r="S631" s="5" t="str">
        <f ca="1">IFERROR(__xludf.DUMMYFUNCTION("""COMPUTED_VALUE"""),"School Event")</f>
        <v>School Event</v>
      </c>
      <c r="T631" s="10">
        <f ca="1">IFERROR(__xludf.DUMMYFUNCTION("""COMPUTED_VALUE"""),0.680555555555555)</f>
        <v>0.68055555555555503</v>
      </c>
      <c r="U631" s="5">
        <f ca="1">IFERROR(__xludf.DUMMYFUNCTION("""COMPUTED_VALUE"""),1)</f>
        <v>1</v>
      </c>
      <c r="V631"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W631"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X631" s="5" t="str">
        <f ca="1">IFERROR(__xludf.DUMMYFUNCTION("""COMPUTED_VALUE"""),"Escalation of Dispute")</f>
        <v>Escalation of Dispute</v>
      </c>
      <c r="Y631" s="5"/>
      <c r="Z631" s="5"/>
      <c r="AA631" s="5"/>
      <c r="AB631" s="5" t="str">
        <f ca="1">IFERROR(__xludf.DUMMYFUNCTION("""COMPUTED_VALUE"""),"No")</f>
        <v>No</v>
      </c>
      <c r="AC631" s="5" t="str">
        <f ca="1">IFERROR(__xludf.DUMMYFUNCTION("""COMPUTED_VALUE"""),"No")</f>
        <v>No</v>
      </c>
      <c r="AD631" s="5" t="str">
        <f ca="1">IFERROR(__xludf.DUMMYFUNCTION("""COMPUTED_VALUE"""),"No")</f>
        <v>No</v>
      </c>
      <c r="AE631" s="5" t="str">
        <f ca="1">IFERROR(__xludf.DUMMYFUNCTION("""COMPUTED_VALUE"""),"No")</f>
        <v>No</v>
      </c>
      <c r="AF631" s="5" t="str">
        <f ca="1">IFERROR(__xludf.DUMMYFUNCTION("""COMPUTED_VALUE"""),"No")</f>
        <v>No</v>
      </c>
      <c r="AG631" s="5" t="str">
        <f ca="1">IFERROR(__xludf.DUMMYFUNCTION("""COMPUTED_VALUE"""),"Yes")</f>
        <v>Yes</v>
      </c>
      <c r="AH631" s="5" t="str">
        <f ca="1">IFERROR(__xludf.DUMMYFUNCTION("""COMPUTED_VALUE"""),"No")</f>
        <v>No</v>
      </c>
    </row>
    <row r="632" spans="1:34" ht="12.75">
      <c r="A632" s="5" t="str">
        <f ca="1">IFERROR(__xludf.DUMMYFUNCTION("""COMPUTED_VALUE"""),"20190610ILMEW")</f>
        <v>20190610ILMEW</v>
      </c>
      <c r="B632" s="8">
        <f ca="1">IFERROR(__xludf.DUMMYFUNCTION("""COMPUTED_VALUE"""),43626)</f>
        <v>43626</v>
      </c>
      <c r="C632" s="5" t="str">
        <f ca="1">IFERROR(__xludf.DUMMYFUNCTION("""COMPUTED_VALUE"""),"Menta Academy North")</f>
        <v>Menta Academy North</v>
      </c>
      <c r="D632" s="5">
        <f ca="1">IFERROR(__xludf.DUMMYFUNCTION("""COMPUTED_VALUE"""),0)</f>
        <v>0</v>
      </c>
      <c r="E632" s="5">
        <f ca="1">IFERROR(__xludf.DUMMYFUNCTION("""COMPUTED_VALUE"""),1)</f>
        <v>1</v>
      </c>
      <c r="F632" s="5">
        <f ca="1">IFERROR(__xludf.DUMMYFUNCTION("""COMPUTED_VALUE"""),1)</f>
        <v>1</v>
      </c>
      <c r="G632" s="5">
        <f ca="1">IFERROR(__xludf.DUMMYFUNCTION("""COMPUTED_VALUE"""),0)</f>
        <v>0</v>
      </c>
      <c r="H632" s="9" t="str">
        <f ca="1">IFERROR(__xludf.DUMMYFUNCTION("""COMPUTED_VALUE"""),"https://www.chicagotribune.com/suburbs/lake-county-news-sun/news/ct-lns-waukegan-shooting-arrests-blotter-st-0612-story.html")</f>
        <v>https://www.chicagotribune.com/suburbs/lake-county-news-sun/news/ct-lns-waukegan-shooting-arrests-blotter-st-0612-story.html</v>
      </c>
      <c r="I632" s="5"/>
      <c r="J632" s="5"/>
      <c r="K632" s="5">
        <f ca="1">IFERROR(__xludf.DUMMYFUNCTION("""COMPUTED_VALUE"""),4)</f>
        <v>4</v>
      </c>
      <c r="L632" s="5" t="str">
        <f ca="1">IFERROR(__xludf.DUMMYFUNCTION("""COMPUTED_VALUE"""),"Summer")</f>
        <v>Summer</v>
      </c>
      <c r="M632" s="5" t="str">
        <f ca="1">IFERROR(__xludf.DUMMYFUNCTION("""COMPUTED_VALUE"""),"Waukegan")</f>
        <v>Waukegan</v>
      </c>
      <c r="N632" s="5" t="str">
        <f ca="1">IFERROR(__xludf.DUMMYFUNCTION("""COMPUTED_VALUE"""),"IL")</f>
        <v>IL</v>
      </c>
      <c r="O632" s="5" t="str">
        <f ca="1">IFERROR(__xludf.DUMMYFUNCTION("""COMPUTED_VALUE"""),"Other")</f>
        <v>Other</v>
      </c>
      <c r="P632" s="5" t="str">
        <f ca="1">IFERROR(__xludf.DUMMYFUNCTION("""COMPUTED_VALUE"""),"Front of School")</f>
        <v>Front of School</v>
      </c>
      <c r="Q632" s="5" t="str">
        <f ca="1">IFERROR(__xludf.DUMMYFUNCTION("""COMPUTED_VALUE"""),"Inside School Building")</f>
        <v>Inside School Building</v>
      </c>
      <c r="R632" s="5" t="str">
        <f ca="1">IFERROR(__xludf.DUMMYFUNCTION("""COMPUTED_VALUE"""),"Yes")</f>
        <v>Yes</v>
      </c>
      <c r="S632" s="5" t="str">
        <f ca="1">IFERROR(__xludf.DUMMYFUNCTION("""COMPUTED_VALUE"""),"Afternoon Classes")</f>
        <v>Afternoon Classes</v>
      </c>
      <c r="T632" s="10">
        <f ca="1">IFERROR(__xludf.DUMMYFUNCTION("""COMPUTED_VALUE"""),0.572916666666666)</f>
        <v>0.57291666666666596</v>
      </c>
      <c r="U632" s="5">
        <f ca="1">IFERROR(__xludf.DUMMYFUNCTION("""COMPUTED_VALUE"""),1)</f>
        <v>1</v>
      </c>
      <c r="V632"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W632"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X632" s="5" t="str">
        <f ca="1">IFERROR(__xludf.DUMMYFUNCTION("""COMPUTED_VALUE"""),"Escalation of Dispute")</f>
        <v>Escalation of Dispute</v>
      </c>
      <c r="Y632" s="5" t="str">
        <f ca="1">IFERROR(__xludf.DUMMYFUNCTION("""COMPUTED_VALUE"""),"Victims Targeted")</f>
        <v>Victims Targeted</v>
      </c>
      <c r="Z632" s="5" t="str">
        <f ca="1">IFERROR(__xludf.DUMMYFUNCTION("""COMPUTED_VALUE"""),"No")</f>
        <v>No</v>
      </c>
      <c r="AA632" s="5"/>
      <c r="AB632" s="5" t="str">
        <f ca="1">IFERROR(__xludf.DUMMYFUNCTION("""COMPUTED_VALUE"""),"No")</f>
        <v>No</v>
      </c>
      <c r="AC632" s="5" t="str">
        <f ca="1">IFERROR(__xludf.DUMMYFUNCTION("""COMPUTED_VALUE"""),"No")</f>
        <v>No</v>
      </c>
      <c r="AD632" s="5" t="str">
        <f ca="1">IFERROR(__xludf.DUMMYFUNCTION("""COMPUTED_VALUE"""),"No")</f>
        <v>No</v>
      </c>
      <c r="AE632" s="5" t="str">
        <f ca="1">IFERROR(__xludf.DUMMYFUNCTION("""COMPUTED_VALUE"""),"No")</f>
        <v>No</v>
      </c>
      <c r="AF632" s="5" t="str">
        <f ca="1">IFERROR(__xludf.DUMMYFUNCTION("""COMPUTED_VALUE"""),"No")</f>
        <v>No</v>
      </c>
      <c r="AG632" s="5" t="str">
        <f ca="1">IFERROR(__xludf.DUMMYFUNCTION("""COMPUTED_VALUE"""),"No")</f>
        <v>No</v>
      </c>
      <c r="AH632" s="5" t="str">
        <f ca="1">IFERROR(__xludf.DUMMYFUNCTION("""COMPUTED_VALUE"""),"No")</f>
        <v>No</v>
      </c>
    </row>
    <row r="633" spans="1:34" ht="12.75">
      <c r="A633" s="5" t="str">
        <f ca="1">IFERROR(__xludf.DUMMYFUNCTION("""COMPUTED_VALUE"""),"20190606ILGEC")</f>
        <v>20190606ILGEC</v>
      </c>
      <c r="B633" s="8">
        <f ca="1">IFERROR(__xludf.DUMMYFUNCTION("""COMPUTED_VALUE"""),43622)</f>
        <v>43622</v>
      </c>
      <c r="C633" s="5" t="str">
        <f ca="1">IFERROR(__xludf.DUMMYFUNCTION("""COMPUTED_VALUE"""),"Genevieve Melody STEM Elementary School")</f>
        <v>Genevieve Melody STEM Elementary School</v>
      </c>
      <c r="D633" s="5">
        <f ca="1">IFERROR(__xludf.DUMMYFUNCTION("""COMPUTED_VALUE"""),0)</f>
        <v>0</v>
      </c>
      <c r="E633" s="5">
        <f ca="1">IFERROR(__xludf.DUMMYFUNCTION("""COMPUTED_VALUE"""),1)</f>
        <v>1</v>
      </c>
      <c r="F633" s="5">
        <f ca="1">IFERROR(__xludf.DUMMYFUNCTION("""COMPUTED_VALUE"""),1)</f>
        <v>1</v>
      </c>
      <c r="G633" s="5">
        <f ca="1">IFERROR(__xludf.DUMMYFUNCTION("""COMPUTED_VALUE"""),0)</f>
        <v>0</v>
      </c>
      <c r="H633" s="9" t="str">
        <f ca="1">IFERROR(__xludf.DUMMYFUNCTION("""COMPUTED_VALUE"""),"https://chicago.suntimes.com/crime/2019/6/6/18656020/genevieve-melody-school-court-shooting")</f>
        <v>https://chicago.suntimes.com/crime/2019/6/6/18656020/genevieve-melody-school-court-shooting</v>
      </c>
      <c r="I633" s="5"/>
      <c r="J633" s="5"/>
      <c r="K633" s="5">
        <f ca="1">IFERROR(__xludf.DUMMYFUNCTION("""COMPUTED_VALUE"""),3)</f>
        <v>3</v>
      </c>
      <c r="L633" s="5" t="str">
        <f ca="1">IFERROR(__xludf.DUMMYFUNCTION("""COMPUTED_VALUE"""),"Summer")</f>
        <v>Summer</v>
      </c>
      <c r="M633" s="5" t="str">
        <f ca="1">IFERROR(__xludf.DUMMYFUNCTION("""COMPUTED_VALUE"""),"Chicago")</f>
        <v>Chicago</v>
      </c>
      <c r="N633" s="5" t="str">
        <f ca="1">IFERROR(__xludf.DUMMYFUNCTION("""COMPUTED_VALUE"""),"IL")</f>
        <v>IL</v>
      </c>
      <c r="O633" s="5" t="str">
        <f ca="1">IFERROR(__xludf.DUMMYFUNCTION("""COMPUTED_VALUE"""),"Elementary")</f>
        <v>Elementary</v>
      </c>
      <c r="P633" s="5" t="str">
        <f ca="1">IFERROR(__xludf.DUMMYFUNCTION("""COMPUTED_VALUE"""),"Basketball Court")</f>
        <v>Basketball Court</v>
      </c>
      <c r="Q633" s="5" t="str">
        <f ca="1">IFERROR(__xludf.DUMMYFUNCTION("""COMPUTED_VALUE"""),"Outside on School Property")</f>
        <v>Outside on School Property</v>
      </c>
      <c r="R633" s="5" t="str">
        <f ca="1">IFERROR(__xludf.DUMMYFUNCTION("""COMPUTED_VALUE"""),"No")</f>
        <v>No</v>
      </c>
      <c r="S633" s="5" t="str">
        <f ca="1">IFERROR(__xludf.DUMMYFUNCTION("""COMPUTED_VALUE"""),"Evening")</f>
        <v>Evening</v>
      </c>
      <c r="T633" s="10">
        <f ca="1">IFERROR(__xludf.DUMMYFUNCTION("""COMPUTED_VALUE"""),0.822916666666666)</f>
        <v>0.82291666666666596</v>
      </c>
      <c r="U633" s="5">
        <f ca="1">IFERROR(__xludf.DUMMYFUNCTION("""COMPUTED_VALUE"""),1)</f>
        <v>1</v>
      </c>
      <c r="V633" s="5" t="str">
        <f ca="1">IFERROR(__xludf.DUMMYFUNCTION("""COMPUTED_VALUE"""),"25YOM shot on school basketball court")</f>
        <v>25YOM shot on school basketball court</v>
      </c>
      <c r="W633" s="5" t="str">
        <f ca="1">IFERROR(__xludf.DUMMYFUNCTION("""COMPUTED_VALUE"""),"25YOM shot on school basketball court. School was not open. Shooter fled the area. No further information")</f>
        <v>25YOM shot on school basketball court. School was not open. Shooter fled the area. No further information</v>
      </c>
      <c r="X633" s="5" t="str">
        <f ca="1">IFERROR(__xludf.DUMMYFUNCTION("""COMPUTED_VALUE"""),"Escalation of Dispute")</f>
        <v>Escalation of Dispute</v>
      </c>
      <c r="Y633" s="5"/>
      <c r="Z633" s="5"/>
      <c r="AA633" s="5"/>
      <c r="AB633" s="5" t="str">
        <f ca="1">IFERROR(__xludf.DUMMYFUNCTION("""COMPUTED_VALUE"""),"No")</f>
        <v>No</v>
      </c>
      <c r="AC633" s="5" t="str">
        <f ca="1">IFERROR(__xludf.DUMMYFUNCTION("""COMPUTED_VALUE"""),"No")</f>
        <v>No</v>
      </c>
      <c r="AD633" s="5" t="str">
        <f ca="1">IFERROR(__xludf.DUMMYFUNCTION("""COMPUTED_VALUE"""),"No")</f>
        <v>No</v>
      </c>
      <c r="AE633" s="5" t="str">
        <f ca="1">IFERROR(__xludf.DUMMYFUNCTION("""COMPUTED_VALUE"""),"No")</f>
        <v>No</v>
      </c>
      <c r="AF633" s="5" t="str">
        <f ca="1">IFERROR(__xludf.DUMMYFUNCTION("""COMPUTED_VALUE"""),"No")</f>
        <v>No</v>
      </c>
      <c r="AG633" s="5"/>
      <c r="AH633" s="5" t="str">
        <f ca="1">IFERROR(__xludf.DUMMYFUNCTION("""COMPUTED_VALUE"""),"No")</f>
        <v>No</v>
      </c>
    </row>
    <row r="634" spans="1:34" ht="12.75">
      <c r="A634" s="5" t="str">
        <f ca="1">IFERROR(__xludf.DUMMYFUNCTION("""COMPUTED_VALUE"""),"20190530DCHEW")</f>
        <v>20190530DCHEW</v>
      </c>
      <c r="B634" s="8">
        <f ca="1">IFERROR(__xludf.DUMMYFUNCTION("""COMPUTED_VALUE"""),43615)</f>
        <v>43615</v>
      </c>
      <c r="C634" s="5" t="str">
        <f ca="1">IFERROR(__xludf.DUMMYFUNCTION("""COMPUTED_VALUE"""),"Hendley Elementary School")</f>
        <v>Hendley Elementary School</v>
      </c>
      <c r="D634" s="5">
        <f ca="1">IFERROR(__xludf.DUMMYFUNCTION("""COMPUTED_VALUE"""),0)</f>
        <v>0</v>
      </c>
      <c r="E634" s="5">
        <f ca="1">IFERROR(__xludf.DUMMYFUNCTION("""COMPUTED_VALUE"""),0)</f>
        <v>0</v>
      </c>
      <c r="F634" s="5">
        <f ca="1">IFERROR(__xludf.DUMMYFUNCTION("""COMPUTED_VALUE"""),0)</f>
        <v>0</v>
      </c>
      <c r="G634" s="5">
        <f ca="1">IFERROR(__xludf.DUMMYFUNCTION("""COMPUTED_VALUE"""),0)</f>
        <v>0</v>
      </c>
      <c r="H634" s="9" t="str">
        <f ca="1">IFERROR(__xludf.DUMMYFUNCTION("""COMPUTED_VALUE"""),"https://wjla.com/news/local/dc-elementary-school-shot-again")</f>
        <v>https://wjla.com/news/local/dc-elementary-school-shot-again</v>
      </c>
      <c r="I634" s="5"/>
      <c r="J634" s="5"/>
      <c r="K634" s="5">
        <f ca="1">IFERROR(__xludf.DUMMYFUNCTION("""COMPUTED_VALUE"""),3)</f>
        <v>3</v>
      </c>
      <c r="L634" s="5" t="str">
        <f ca="1">IFERROR(__xludf.DUMMYFUNCTION("""COMPUTED_VALUE"""),"Spring")</f>
        <v>Spring</v>
      </c>
      <c r="M634" s="5" t="str">
        <f ca="1">IFERROR(__xludf.DUMMYFUNCTION("""COMPUTED_VALUE"""),"Washington")</f>
        <v>Washington</v>
      </c>
      <c r="N634" s="5" t="str">
        <f ca="1">IFERROR(__xludf.DUMMYFUNCTION("""COMPUTED_VALUE"""),"DC")</f>
        <v>DC</v>
      </c>
      <c r="O634" s="5" t="str">
        <f ca="1">IFERROR(__xludf.DUMMYFUNCTION("""COMPUTED_VALUE"""),"Elementary")</f>
        <v>Elementary</v>
      </c>
      <c r="P634" s="5" t="str">
        <f ca="1">IFERROR(__xludf.DUMMYFUNCTION("""COMPUTED_VALUE"""),"Front of School")</f>
        <v>Front of School</v>
      </c>
      <c r="Q634" s="5" t="str">
        <f ca="1">IFERROR(__xludf.DUMMYFUNCTION("""COMPUTED_VALUE"""),"Off School Property")</f>
        <v>Off School Property</v>
      </c>
      <c r="R634" s="5" t="str">
        <f ca="1">IFERROR(__xludf.DUMMYFUNCTION("""COMPUTED_VALUE"""),"No")</f>
        <v>No</v>
      </c>
      <c r="S634" s="5" t="str">
        <f ca="1">IFERROR(__xludf.DUMMYFUNCTION("""COMPUTED_VALUE"""),"Night")</f>
        <v>Night</v>
      </c>
      <c r="T634" s="10">
        <f ca="1">IFERROR(__xludf.DUMMYFUNCTION("""COMPUTED_VALUE"""),0.944444444444444)</f>
        <v>0.94444444444444398</v>
      </c>
      <c r="U634" s="5">
        <f ca="1">IFERROR(__xludf.DUMMYFUNCTION("""COMPUTED_VALUE"""),1)</f>
        <v>1</v>
      </c>
      <c r="V634" s="5" t="str">
        <f ca="1">IFERROR(__xludf.DUMMYFUNCTION("""COMPUTED_VALUE"""),"Gunshots from gang fight struck the school building and broke windows.")</f>
        <v>Gunshots from gang fight struck the school building and broke windows.</v>
      </c>
      <c r="W634"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X634" s="5" t="str">
        <f ca="1">IFERROR(__xludf.DUMMYFUNCTION("""COMPUTED_VALUE"""),"Escalation of Dispute")</f>
        <v>Escalation of Dispute</v>
      </c>
      <c r="Y634" s="5"/>
      <c r="Z634" s="5"/>
      <c r="AA634" s="5"/>
      <c r="AB634" s="5" t="str">
        <f ca="1">IFERROR(__xludf.DUMMYFUNCTION("""COMPUTED_VALUE"""),"No")</f>
        <v>No</v>
      </c>
      <c r="AC634" s="5" t="str">
        <f ca="1">IFERROR(__xludf.DUMMYFUNCTION("""COMPUTED_VALUE"""),"No")</f>
        <v>No</v>
      </c>
      <c r="AD634" s="5" t="str">
        <f ca="1">IFERROR(__xludf.DUMMYFUNCTION("""COMPUTED_VALUE"""),"No")</f>
        <v>No</v>
      </c>
      <c r="AE634" s="5" t="str">
        <f ca="1">IFERROR(__xludf.DUMMYFUNCTION("""COMPUTED_VALUE"""),"No")</f>
        <v>No</v>
      </c>
      <c r="AF634" s="5" t="str">
        <f ca="1">IFERROR(__xludf.DUMMYFUNCTION("""COMPUTED_VALUE"""),"No")</f>
        <v>No</v>
      </c>
      <c r="AG634" s="5" t="str">
        <f ca="1">IFERROR(__xludf.DUMMYFUNCTION("""COMPUTED_VALUE"""),"Yes")</f>
        <v>Yes</v>
      </c>
      <c r="AH634" s="5" t="str">
        <f ca="1">IFERROR(__xludf.DUMMYFUNCTION("""COMPUTED_VALUE"""),"No")</f>
        <v>No</v>
      </c>
    </row>
    <row r="635" spans="1:34" ht="12.75">
      <c r="A635" s="5" t="str">
        <f ca="1">IFERROR(__xludf.DUMMYFUNCTION("""COMPUTED_VALUE"""),"20190522OHSAC")</f>
        <v>20190522OHSAC</v>
      </c>
      <c r="B635" s="8">
        <f ca="1">IFERROR(__xludf.DUMMYFUNCTION("""COMPUTED_VALUE"""),43607)</f>
        <v>43607</v>
      </c>
      <c r="C635" s="5" t="str">
        <f ca="1">IFERROR(__xludf.DUMMYFUNCTION("""COMPUTED_VALUE"""),"Shady Lane Elementary School")</f>
        <v>Shady Lane Elementary School</v>
      </c>
      <c r="D635" s="5">
        <f ca="1">IFERROR(__xludf.DUMMYFUNCTION("""COMPUTED_VALUE"""),1)</f>
        <v>1</v>
      </c>
      <c r="E635" s="5">
        <f ca="1">IFERROR(__xludf.DUMMYFUNCTION("""COMPUTED_VALUE"""),1)</f>
        <v>1</v>
      </c>
      <c r="F635" s="5">
        <f ca="1">IFERROR(__xludf.DUMMYFUNCTION("""COMPUTED_VALUE"""),2)</f>
        <v>2</v>
      </c>
      <c r="G635" s="5">
        <f ca="1">IFERROR(__xludf.DUMMYFUNCTION("""COMPUTED_VALUE"""),0)</f>
        <v>0</v>
      </c>
      <c r="H635"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I635" s="5">
        <f ca="1">IFERROR(__xludf.DUMMYFUNCTION("""COMPUTED_VALUE"""),5)</f>
        <v>5</v>
      </c>
      <c r="J635" s="5" t="str">
        <f ca="1">IFERROR(__xludf.DUMMYFUNCTION("""COMPUTED_VALUE"""),"Local")</f>
        <v>Local</v>
      </c>
      <c r="K635" s="5">
        <f ca="1">IFERROR(__xludf.DUMMYFUNCTION("""COMPUTED_VALUE"""),5)</f>
        <v>5</v>
      </c>
      <c r="L635" s="5" t="str">
        <f ca="1">IFERROR(__xludf.DUMMYFUNCTION("""COMPUTED_VALUE"""),"Spring")</f>
        <v>Spring</v>
      </c>
      <c r="M635" s="5" t="str">
        <f ca="1">IFERROR(__xludf.DUMMYFUNCTION("""COMPUTED_VALUE"""),"Columbus")</f>
        <v>Columbus</v>
      </c>
      <c r="N635" s="5" t="str">
        <f ca="1">IFERROR(__xludf.DUMMYFUNCTION("""COMPUTED_VALUE"""),"OH")</f>
        <v>OH</v>
      </c>
      <c r="O635" s="5" t="str">
        <f ca="1">IFERROR(__xludf.DUMMYFUNCTION("""COMPUTED_VALUE"""),"Elementary")</f>
        <v>Elementary</v>
      </c>
      <c r="P635" s="5" t="str">
        <f ca="1">IFERROR(__xludf.DUMMYFUNCTION("""COMPUTED_VALUE"""),"Playground")</f>
        <v>Playground</v>
      </c>
      <c r="Q635" s="5" t="str">
        <f ca="1">IFERROR(__xludf.DUMMYFUNCTION("""COMPUTED_VALUE"""),"Outside on School Property")</f>
        <v>Outside on School Property</v>
      </c>
      <c r="R635" s="5" t="str">
        <f ca="1">IFERROR(__xludf.DUMMYFUNCTION("""COMPUTED_VALUE"""),"No")</f>
        <v>No</v>
      </c>
      <c r="S635" s="5" t="str">
        <f ca="1">IFERROR(__xludf.DUMMYFUNCTION("""COMPUTED_VALUE"""),"Evening")</f>
        <v>Evening</v>
      </c>
      <c r="T635" s="10">
        <f ca="1">IFERROR(__xludf.DUMMYFUNCTION("""COMPUTED_VALUE"""),0.784722222222222)</f>
        <v>0.78472222222222199</v>
      </c>
      <c r="U635" s="5">
        <f ca="1">IFERROR(__xludf.DUMMYFUNCTION("""COMPUTED_VALUE"""),1)</f>
        <v>1</v>
      </c>
      <c r="V635" s="5" t="str">
        <f ca="1">IFERROR(__xludf.DUMMYFUNCTION("""COMPUTED_VALUE"""),"13 year old shot two other teens during dispute over cell phone")</f>
        <v>13 year old shot two other teens during dispute over cell phone</v>
      </c>
      <c r="W635"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X635" s="5" t="str">
        <f ca="1">IFERROR(__xludf.DUMMYFUNCTION("""COMPUTED_VALUE"""),"Escalation of Dispute")</f>
        <v>Escalation of Dispute</v>
      </c>
      <c r="Y635" s="5" t="str">
        <f ca="1">IFERROR(__xludf.DUMMYFUNCTION("""COMPUTED_VALUE"""),"Both")</f>
        <v>Both</v>
      </c>
      <c r="Z635" s="5" t="str">
        <f ca="1">IFERROR(__xludf.DUMMYFUNCTION("""COMPUTED_VALUE"""),"Yes")</f>
        <v>Yes</v>
      </c>
      <c r="AA635" s="5" t="str">
        <f ca="1">IFERROR(__xludf.DUMMYFUNCTION("""COMPUTED_VALUE"""),"Two teens sentenced")</f>
        <v>Two teens sentenced</v>
      </c>
      <c r="AB635" s="5" t="str">
        <f ca="1">IFERROR(__xludf.DUMMYFUNCTION("""COMPUTED_VALUE"""),"No")</f>
        <v>No</v>
      </c>
      <c r="AC635" s="5" t="str">
        <f ca="1">IFERROR(__xludf.DUMMYFUNCTION("""COMPUTED_VALUE"""),"No")</f>
        <v>No</v>
      </c>
      <c r="AD635" s="5" t="str">
        <f ca="1">IFERROR(__xludf.DUMMYFUNCTION("""COMPUTED_VALUE"""),"No")</f>
        <v>No</v>
      </c>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row>
    <row r="636" spans="1:34" ht="12.75">
      <c r="A636" s="5" t="str">
        <f ca="1">IFERROR(__xludf.DUMMYFUNCTION("""COMPUTED_VALUE"""),"20190517ORPAP")</f>
        <v>20190517ORPAP</v>
      </c>
      <c r="B636" s="8">
        <f ca="1">IFERROR(__xludf.DUMMYFUNCTION("""COMPUTED_VALUE"""),43602)</f>
        <v>43602</v>
      </c>
      <c r="C636" s="5" t="str">
        <f ca="1">IFERROR(__xludf.DUMMYFUNCTION("""COMPUTED_VALUE"""),"Parkrose High School")</f>
        <v>Parkrose High School</v>
      </c>
      <c r="D636" s="5">
        <f ca="1">IFERROR(__xludf.DUMMYFUNCTION("""COMPUTED_VALUE"""),0)</f>
        <v>0</v>
      </c>
      <c r="E636" s="5">
        <f ca="1">IFERROR(__xludf.DUMMYFUNCTION("""COMPUTED_VALUE"""),0)</f>
        <v>0</v>
      </c>
      <c r="F636" s="5">
        <f ca="1">IFERROR(__xludf.DUMMYFUNCTION("""COMPUTED_VALUE"""),0)</f>
        <v>0</v>
      </c>
      <c r="G636" s="5">
        <f ca="1">IFERROR(__xludf.DUMMYFUNCTION("""COMPUTED_VALUE"""),0)</f>
        <v>0</v>
      </c>
      <c r="H636"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I636" s="5"/>
      <c r="J636" s="5"/>
      <c r="K636" s="5">
        <f ca="1">IFERROR(__xludf.DUMMYFUNCTION("""COMPUTED_VALUE"""),4)</f>
        <v>4</v>
      </c>
      <c r="L636" s="5" t="str">
        <f ca="1">IFERROR(__xludf.DUMMYFUNCTION("""COMPUTED_VALUE"""),"Spring")</f>
        <v>Spring</v>
      </c>
      <c r="M636" s="5" t="str">
        <f ca="1">IFERROR(__xludf.DUMMYFUNCTION("""COMPUTED_VALUE"""),"Portland")</f>
        <v>Portland</v>
      </c>
      <c r="N636" s="5" t="str">
        <f ca="1">IFERROR(__xludf.DUMMYFUNCTION("""COMPUTED_VALUE"""),"OR")</f>
        <v>OR</v>
      </c>
      <c r="O636" s="5" t="str">
        <f ca="1">IFERROR(__xludf.DUMMYFUNCTION("""COMPUTED_VALUE"""),"High")</f>
        <v>High</v>
      </c>
      <c r="P636" s="5" t="str">
        <f ca="1">IFERROR(__xludf.DUMMYFUNCTION("""COMPUTED_VALUE"""),"Classroom")</f>
        <v>Classroom</v>
      </c>
      <c r="Q636" s="5" t="str">
        <f ca="1">IFERROR(__xludf.DUMMYFUNCTION("""COMPUTED_VALUE"""),"Inside School Building")</f>
        <v>Inside School Building</v>
      </c>
      <c r="R636" s="5" t="str">
        <f ca="1">IFERROR(__xludf.DUMMYFUNCTION("""COMPUTED_VALUE"""),"Yes")</f>
        <v>Yes</v>
      </c>
      <c r="S636" s="5" t="str">
        <f ca="1">IFERROR(__xludf.DUMMYFUNCTION("""COMPUTED_VALUE"""),"Morning Classes")</f>
        <v>Morning Classes</v>
      </c>
      <c r="T636" s="10">
        <f ca="1">IFERROR(__xludf.DUMMYFUNCTION("""COMPUTED_VALUE"""),0.491666666666666)</f>
        <v>0.49166666666666597</v>
      </c>
      <c r="U636" s="5">
        <f ca="1">IFERROR(__xludf.DUMMYFUNCTION("""COMPUTED_VALUE"""),1)</f>
        <v>1</v>
      </c>
      <c r="V636" s="5" t="str">
        <f ca="1">IFERROR(__xludf.DUMMYFUNCTION("""COMPUTED_VALUE"""),"Student wearing a trench coat walked into classroom with a shotgun. Tackled by football coach.")</f>
        <v>Student wearing a trench coat walked into classroom with a shotgun. Tackled by football coach.</v>
      </c>
      <c r="W636"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X636" s="5" t="str">
        <f ca="1">IFERROR(__xludf.DUMMYFUNCTION("""COMPUTED_VALUE"""),"Suicide/Attempted")</f>
        <v>Suicide/Attempted</v>
      </c>
      <c r="Y636" s="5"/>
      <c r="Z636" s="5" t="str">
        <f ca="1">IFERROR(__xludf.DUMMYFUNCTION("""COMPUTED_VALUE"""),"No")</f>
        <v>No</v>
      </c>
      <c r="AA636" s="5"/>
      <c r="AB636" s="5" t="str">
        <f ca="1">IFERROR(__xludf.DUMMYFUNCTION("""COMPUTED_VALUE"""),"No")</f>
        <v>No</v>
      </c>
      <c r="AC636" s="5" t="str">
        <f ca="1">IFERROR(__xludf.DUMMYFUNCTION("""COMPUTED_VALUE"""),"No")</f>
        <v>No</v>
      </c>
      <c r="AD636" s="5" t="str">
        <f ca="1">IFERROR(__xludf.DUMMYFUNCTION("""COMPUTED_VALUE"""),"No")</f>
        <v>No</v>
      </c>
      <c r="AE636" s="5"/>
      <c r="AF636" s="5" t="str">
        <f ca="1">IFERROR(__xludf.DUMMYFUNCTION("""COMPUTED_VALUE"""),"No")</f>
        <v>No</v>
      </c>
      <c r="AG636" s="5" t="str">
        <f ca="1">IFERROR(__xludf.DUMMYFUNCTION("""COMPUTED_VALUE"""),"No")</f>
        <v>No</v>
      </c>
      <c r="AH636" s="5" t="str">
        <f ca="1">IFERROR(__xludf.DUMMYFUNCTION("""COMPUTED_VALUE"""),"Yes")</f>
        <v>Yes</v>
      </c>
    </row>
    <row r="637" spans="1:34" ht="12.75">
      <c r="A637" s="5" t="str">
        <f ca="1">IFERROR(__xludf.DUMMYFUNCTION("""COMPUTED_VALUE"""),"20190517FLTEJ")</f>
        <v>20190517FLTEJ</v>
      </c>
      <c r="B637" s="8">
        <f ca="1">IFERROR(__xludf.DUMMYFUNCTION("""COMPUTED_VALUE"""),43602)</f>
        <v>43602</v>
      </c>
      <c r="C637" s="5" t="str">
        <f ca="1">IFERROR(__xludf.DUMMYFUNCTION("""COMPUTED_VALUE"""),"Terry Parker High School")</f>
        <v>Terry Parker High School</v>
      </c>
      <c r="D637" s="5">
        <f ca="1">IFERROR(__xludf.DUMMYFUNCTION("""COMPUTED_VALUE"""),0)</f>
        <v>0</v>
      </c>
      <c r="E637" s="5">
        <f ca="1">IFERROR(__xludf.DUMMYFUNCTION("""COMPUTED_VALUE"""),1)</f>
        <v>1</v>
      </c>
      <c r="F637" s="5">
        <f ca="1">IFERROR(__xludf.DUMMYFUNCTION("""COMPUTED_VALUE"""),1)</f>
        <v>1</v>
      </c>
      <c r="G637" s="5">
        <f ca="1">IFERROR(__xludf.DUMMYFUNCTION("""COMPUTED_VALUE"""),0)</f>
        <v>0</v>
      </c>
      <c r="H637"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I637" s="5"/>
      <c r="J637" s="5"/>
      <c r="K637" s="5">
        <f ca="1">IFERROR(__xludf.DUMMYFUNCTION("""COMPUTED_VALUE"""),4)</f>
        <v>4</v>
      </c>
      <c r="L637" s="5" t="str">
        <f ca="1">IFERROR(__xludf.DUMMYFUNCTION("""COMPUTED_VALUE"""),"Spring")</f>
        <v>Spring</v>
      </c>
      <c r="M637" s="5" t="str">
        <f ca="1">IFERROR(__xludf.DUMMYFUNCTION("""COMPUTED_VALUE"""),"Jacksonville")</f>
        <v>Jacksonville</v>
      </c>
      <c r="N637" s="5" t="str">
        <f ca="1">IFERROR(__xludf.DUMMYFUNCTION("""COMPUTED_VALUE"""),"FL")</f>
        <v>FL</v>
      </c>
      <c r="O637" s="5" t="str">
        <f ca="1">IFERROR(__xludf.DUMMYFUNCTION("""COMPUTED_VALUE"""),"High")</f>
        <v>High</v>
      </c>
      <c r="P637" s="5" t="str">
        <f ca="1">IFERROR(__xludf.DUMMYFUNCTION("""COMPUTED_VALUE"""),"Parking Lot")</f>
        <v>Parking Lot</v>
      </c>
      <c r="Q637" s="5" t="str">
        <f ca="1">IFERROR(__xludf.DUMMYFUNCTION("""COMPUTED_VALUE"""),"Outside on School Property")</f>
        <v>Outside on School Property</v>
      </c>
      <c r="R637" s="5" t="str">
        <f ca="1">IFERROR(__xludf.DUMMYFUNCTION("""COMPUTED_VALUE"""),"No")</f>
        <v>No</v>
      </c>
      <c r="S637" s="5" t="str">
        <f ca="1">IFERROR(__xludf.DUMMYFUNCTION("""COMPUTED_VALUE"""),"Sport Event")</f>
        <v>Sport Event</v>
      </c>
      <c r="T637" s="10">
        <f ca="1">IFERROR(__xludf.DUMMYFUNCTION("""COMPUTED_VALUE"""),0.859027777777777)</f>
        <v>0.85902777777777695</v>
      </c>
      <c r="U637" s="5">
        <f ca="1">IFERROR(__xludf.DUMMYFUNCTION("""COMPUTED_VALUE"""),1)</f>
        <v>1</v>
      </c>
      <c r="V637" s="5" t="str">
        <f ca="1">IFERROR(__xludf.DUMMYFUNCTION("""COMPUTED_VALUE"""),"Student shot in parking lot after football game.")</f>
        <v>Student shot in parking lot after football game.</v>
      </c>
      <c r="W637"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X637" s="5" t="str">
        <f ca="1">IFERROR(__xludf.DUMMYFUNCTION("""COMPUTED_VALUE"""),"Escalation of Dispute")</f>
        <v>Escalation of Dispute</v>
      </c>
      <c r="Y637" s="5" t="str">
        <f ca="1">IFERROR(__xludf.DUMMYFUNCTION("""COMPUTED_VALUE"""),"Victims Targeted")</f>
        <v>Victims Targeted</v>
      </c>
      <c r="Z637" s="5" t="str">
        <f ca="1">IFERROR(__xludf.DUMMYFUNCTION("""COMPUTED_VALUE"""),"Yes")</f>
        <v>Yes</v>
      </c>
      <c r="AA637" s="5" t="str">
        <f ca="1">IFERROR(__xludf.DUMMYFUNCTION("""COMPUTED_VALUE"""),"Several men approached victim")</f>
        <v>Several men approached victim</v>
      </c>
      <c r="AB637" s="5" t="str">
        <f ca="1">IFERROR(__xludf.DUMMYFUNCTION("""COMPUTED_VALUE"""),"No")</f>
        <v>No</v>
      </c>
      <c r="AC637" s="5" t="str">
        <f ca="1">IFERROR(__xludf.DUMMYFUNCTION("""COMPUTED_VALUE"""),"No")</f>
        <v>No</v>
      </c>
      <c r="AD637" s="5" t="str">
        <f ca="1">IFERROR(__xludf.DUMMYFUNCTION("""COMPUTED_VALUE"""),"No")</f>
        <v>No</v>
      </c>
      <c r="AE637" s="5" t="str">
        <f ca="1">IFERROR(__xludf.DUMMYFUNCTION("""COMPUTED_VALUE"""),"No")</f>
        <v>No</v>
      </c>
      <c r="AF637" s="5" t="str">
        <f ca="1">IFERROR(__xludf.DUMMYFUNCTION("""COMPUTED_VALUE"""),"No")</f>
        <v>No</v>
      </c>
      <c r="AG637" s="5" t="str">
        <f ca="1">IFERROR(__xludf.DUMMYFUNCTION("""COMPUTED_VALUE"""),"Yes")</f>
        <v>Yes</v>
      </c>
      <c r="AH637" s="5" t="str">
        <f ca="1">IFERROR(__xludf.DUMMYFUNCTION("""COMPUTED_VALUE"""),"No")</f>
        <v>No</v>
      </c>
    </row>
    <row r="638" spans="1:34" ht="12.75">
      <c r="A638" s="5" t="str">
        <f ca="1">IFERROR(__xludf.DUMMYFUNCTION("""COMPUTED_VALUE"""),"20190508ILSEC")</f>
        <v>20190508ILSEC</v>
      </c>
      <c r="B638" s="8">
        <f ca="1">IFERROR(__xludf.DUMMYFUNCTION("""COMPUTED_VALUE"""),43593)</f>
        <v>43593</v>
      </c>
      <c r="C638" s="5" t="str">
        <f ca="1">IFERROR(__xludf.DUMMYFUNCTION("""COMPUTED_VALUE"""),"Second Change High School")</f>
        <v>Second Change High School</v>
      </c>
      <c r="D638" s="5">
        <f ca="1">IFERROR(__xludf.DUMMYFUNCTION("""COMPUTED_VALUE"""),0)</f>
        <v>0</v>
      </c>
      <c r="E638" s="5">
        <f ca="1">IFERROR(__xludf.DUMMYFUNCTION("""COMPUTED_VALUE"""),1)</f>
        <v>1</v>
      </c>
      <c r="F638" s="5">
        <f ca="1">IFERROR(__xludf.DUMMYFUNCTION("""COMPUTED_VALUE"""),1)</f>
        <v>1</v>
      </c>
      <c r="G638" s="5">
        <f ca="1">IFERROR(__xludf.DUMMYFUNCTION("""COMPUTED_VALUE"""),0)</f>
        <v>0</v>
      </c>
      <c r="H638"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I638" s="5"/>
      <c r="J638" s="5"/>
      <c r="K638" s="5">
        <f ca="1">IFERROR(__xludf.DUMMYFUNCTION("""COMPUTED_VALUE"""),4)</f>
        <v>4</v>
      </c>
      <c r="L638" s="5" t="str">
        <f ca="1">IFERROR(__xludf.DUMMYFUNCTION("""COMPUTED_VALUE"""),"Spring")</f>
        <v>Spring</v>
      </c>
      <c r="M638" s="5" t="str">
        <f ca="1">IFERROR(__xludf.DUMMYFUNCTION("""COMPUTED_VALUE"""),"Chicago")</f>
        <v>Chicago</v>
      </c>
      <c r="N638" s="5" t="str">
        <f ca="1">IFERROR(__xludf.DUMMYFUNCTION("""COMPUTED_VALUE"""),"IL")</f>
        <v>IL</v>
      </c>
      <c r="O638" s="5" t="str">
        <f ca="1">IFERROR(__xludf.DUMMYFUNCTION("""COMPUTED_VALUE"""),"High")</f>
        <v>High</v>
      </c>
      <c r="P638" s="5" t="str">
        <f ca="1">IFERROR(__xludf.DUMMYFUNCTION("""COMPUTED_VALUE"""),"Parking Lot")</f>
        <v>Parking Lot</v>
      </c>
      <c r="Q638" s="5" t="str">
        <f ca="1">IFERROR(__xludf.DUMMYFUNCTION("""COMPUTED_VALUE"""),"Outside on School Property")</f>
        <v>Outside on School Property</v>
      </c>
      <c r="R638" s="5" t="str">
        <f ca="1">IFERROR(__xludf.DUMMYFUNCTION("""COMPUTED_VALUE"""),"Yes")</f>
        <v>Yes</v>
      </c>
      <c r="S638" s="5" t="str">
        <f ca="1">IFERROR(__xludf.DUMMYFUNCTION("""COMPUTED_VALUE"""),"Dismissal")</f>
        <v>Dismissal</v>
      </c>
      <c r="T638" s="10">
        <f ca="1">IFERROR(__xludf.DUMMYFUNCTION("""COMPUTED_VALUE"""),0.666666666666666)</f>
        <v>0.66666666666666596</v>
      </c>
      <c r="U638" s="5">
        <f ca="1">IFERROR(__xludf.DUMMYFUNCTION("""COMPUTED_VALUE"""),1)</f>
        <v>1</v>
      </c>
      <c r="V638" s="5" t="str">
        <f ca="1">IFERROR(__xludf.DUMMYFUNCTION("""COMPUTED_VALUE"""),"19YOM student shot in school parking lot during targeted shooting")</f>
        <v>19YOM student shot in school parking lot during targeted shooting</v>
      </c>
      <c r="W638"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X638" s="5" t="str">
        <f ca="1">IFERROR(__xludf.DUMMYFUNCTION("""COMPUTED_VALUE"""),"Drive-by Shooting")</f>
        <v>Drive-by Shooting</v>
      </c>
      <c r="Y638" s="5" t="str">
        <f ca="1">IFERROR(__xludf.DUMMYFUNCTION("""COMPUTED_VALUE"""),"Victims Targeted")</f>
        <v>Victims Targeted</v>
      </c>
      <c r="Z638" s="5" t="str">
        <f ca="1">IFERROR(__xludf.DUMMYFUNCTION("""COMPUTED_VALUE"""),"No")</f>
        <v>No</v>
      </c>
      <c r="AA638" s="5"/>
      <c r="AB638" s="5" t="str">
        <f ca="1">IFERROR(__xludf.DUMMYFUNCTION("""COMPUTED_VALUE"""),"No")</f>
        <v>No</v>
      </c>
      <c r="AC638" s="5" t="str">
        <f ca="1">IFERROR(__xludf.DUMMYFUNCTION("""COMPUTED_VALUE"""),"No")</f>
        <v>No</v>
      </c>
      <c r="AD638" s="5" t="str">
        <f ca="1">IFERROR(__xludf.DUMMYFUNCTION("""COMPUTED_VALUE"""),"No")</f>
        <v>No</v>
      </c>
      <c r="AE638" s="5" t="str">
        <f ca="1">IFERROR(__xludf.DUMMYFUNCTION("""COMPUTED_VALUE"""),"No")</f>
        <v>No</v>
      </c>
      <c r="AF638" s="5" t="str">
        <f ca="1">IFERROR(__xludf.DUMMYFUNCTION("""COMPUTED_VALUE"""),"No")</f>
        <v>No</v>
      </c>
      <c r="AG638" s="5"/>
      <c r="AH638" s="5" t="str">
        <f ca="1">IFERROR(__xludf.DUMMYFUNCTION("""COMPUTED_VALUE"""),"No")</f>
        <v>No</v>
      </c>
    </row>
    <row r="639" spans="1:34" ht="12.75">
      <c r="A639" s="5" t="str">
        <f ca="1">IFERROR(__xludf.DUMMYFUNCTION("""COMPUTED_VALUE"""),"20190507COSTH")</f>
        <v>20190507COSTH</v>
      </c>
      <c r="B639" s="8">
        <f ca="1">IFERROR(__xludf.DUMMYFUNCTION("""COMPUTED_VALUE"""),43592)</f>
        <v>43592</v>
      </c>
      <c r="C639" s="5" t="str">
        <f ca="1">IFERROR(__xludf.DUMMYFUNCTION("""COMPUTED_VALUE"""),"STEM School Highlands Ranch")</f>
        <v>STEM School Highlands Ranch</v>
      </c>
      <c r="D639" s="5">
        <f ca="1">IFERROR(__xludf.DUMMYFUNCTION("""COMPUTED_VALUE"""),1)</f>
        <v>1</v>
      </c>
      <c r="E639" s="5">
        <f ca="1">IFERROR(__xludf.DUMMYFUNCTION("""COMPUTED_VALUE"""),8)</f>
        <v>8</v>
      </c>
      <c r="F639" s="5">
        <f ca="1">IFERROR(__xludf.DUMMYFUNCTION("""COMPUTED_VALUE"""),9)</f>
        <v>9</v>
      </c>
      <c r="G639" s="5">
        <f ca="1">IFERROR(__xludf.DUMMYFUNCTION("""COMPUTED_VALUE"""),0)</f>
        <v>0</v>
      </c>
      <c r="H639"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I639" s="5">
        <f ca="1">IFERROR(__xludf.DUMMYFUNCTION("""COMPUTED_VALUE"""),11)</f>
        <v>11</v>
      </c>
      <c r="J639" s="5" t="str">
        <f ca="1">IFERROR(__xludf.DUMMYFUNCTION("""COMPUTED_VALUE"""),"International")</f>
        <v>International</v>
      </c>
      <c r="K639" s="5">
        <f ca="1">IFERROR(__xludf.DUMMYFUNCTION("""COMPUTED_VALUE"""),5)</f>
        <v>5</v>
      </c>
      <c r="L639" s="5" t="str">
        <f ca="1">IFERROR(__xludf.DUMMYFUNCTION("""COMPUTED_VALUE"""),"Spring")</f>
        <v>Spring</v>
      </c>
      <c r="M639" s="5" t="str">
        <f ca="1">IFERROR(__xludf.DUMMYFUNCTION("""COMPUTED_VALUE"""),"Highlands Ranch")</f>
        <v>Highlands Ranch</v>
      </c>
      <c r="N639" s="5" t="str">
        <f ca="1">IFERROR(__xludf.DUMMYFUNCTION("""COMPUTED_VALUE"""),"CO")</f>
        <v>CO</v>
      </c>
      <c r="O639" s="5" t="str">
        <f ca="1">IFERROR(__xludf.DUMMYFUNCTION("""COMPUTED_VALUE"""),"K-12")</f>
        <v>K-12</v>
      </c>
      <c r="P639" s="5" t="str">
        <f ca="1">IFERROR(__xludf.DUMMYFUNCTION("""COMPUTED_VALUE"""),"Classroom")</f>
        <v>Classroom</v>
      </c>
      <c r="Q639" s="5" t="str">
        <f ca="1">IFERROR(__xludf.DUMMYFUNCTION("""COMPUTED_VALUE"""),"Inside School Building")</f>
        <v>Inside School Building</v>
      </c>
      <c r="R639" s="5" t="str">
        <f ca="1">IFERROR(__xludf.DUMMYFUNCTION("""COMPUTED_VALUE"""),"Yes")</f>
        <v>Yes</v>
      </c>
      <c r="S639" s="5" t="str">
        <f ca="1">IFERROR(__xludf.DUMMYFUNCTION("""COMPUTED_VALUE"""),"Afternoon Classes")</f>
        <v>Afternoon Classes</v>
      </c>
      <c r="T639" s="10">
        <f ca="1">IFERROR(__xludf.DUMMYFUNCTION("""COMPUTED_VALUE"""),0.583333333333333)</f>
        <v>0.58333333333333304</v>
      </c>
      <c r="U639" s="5">
        <f ca="1">IFERROR(__xludf.DUMMYFUNCTION("""COMPUTED_VALUE"""),2)</f>
        <v>2</v>
      </c>
      <c r="V639" s="5" t="str">
        <f ca="1">IFERROR(__xludf.DUMMYFUNCTION("""COMPUTED_VALUE"""),"Two students planned attack on school, subdued by other students and law enforcement")</f>
        <v>Two students planned attack on school, subdued by other students and law enforcement</v>
      </c>
      <c r="W639"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X639" s="5" t="str">
        <f ca="1">IFERROR(__xludf.DUMMYFUNCTION("""COMPUTED_VALUE"""),"Indiscriminate Shooting")</f>
        <v>Indiscriminate Shooting</v>
      </c>
      <c r="Y639" s="5"/>
      <c r="Z639" s="5" t="str">
        <f ca="1">IFERROR(__xludf.DUMMYFUNCTION("""COMPUTED_VALUE"""),"Yes")</f>
        <v>Yes</v>
      </c>
      <c r="AA639" s="5" t="str">
        <f ca="1">IFERROR(__xludf.DUMMYFUNCTION("""COMPUTED_VALUE"""),"second suspect was a juvenile female")</f>
        <v>second suspect was a juvenile female</v>
      </c>
      <c r="AB639" s="5" t="str">
        <f ca="1">IFERROR(__xludf.DUMMYFUNCTION("""COMPUTED_VALUE"""),"No")</f>
        <v>No</v>
      </c>
      <c r="AC639" s="5" t="str">
        <f ca="1">IFERROR(__xludf.DUMMYFUNCTION("""COMPUTED_VALUE"""),"No")</f>
        <v>No</v>
      </c>
      <c r="AD639" s="5" t="str">
        <f ca="1">IFERROR(__xludf.DUMMYFUNCTION("""COMPUTED_VALUE"""),"No")</f>
        <v>No</v>
      </c>
      <c r="AE639" s="5" t="str">
        <f ca="1">IFERROR(__xludf.DUMMYFUNCTION("""COMPUTED_VALUE"""),"Yes")</f>
        <v>Yes</v>
      </c>
      <c r="AF639" s="5" t="str">
        <f ca="1">IFERROR(__xludf.DUMMYFUNCTION("""COMPUTED_VALUE"""),"No")</f>
        <v>No</v>
      </c>
      <c r="AG639" s="5" t="str">
        <f ca="1">IFERROR(__xludf.DUMMYFUNCTION("""COMPUTED_VALUE"""),"No")</f>
        <v>No</v>
      </c>
      <c r="AH639" s="5" t="str">
        <f ca="1">IFERROR(__xludf.DUMMYFUNCTION("""COMPUTED_VALUE"""),"Yes")</f>
        <v>Yes</v>
      </c>
    </row>
    <row r="640" spans="1:34" ht="12.75">
      <c r="A640" s="5" t="str">
        <f ca="1">IFERROR(__xludf.DUMMYFUNCTION("""COMPUTED_VALUE"""),"20190430VACDW")</f>
        <v>20190430VACDW</v>
      </c>
      <c r="B640" s="8">
        <f ca="1">IFERROR(__xludf.DUMMYFUNCTION("""COMPUTED_VALUE"""),43585)</f>
        <v>43585</v>
      </c>
      <c r="C640" s="5" t="str">
        <f ca="1">IFERROR(__xludf.DUMMYFUNCTION("""COMPUTED_VALUE"""),"C D Hylton High School")</f>
        <v>C D Hylton High School</v>
      </c>
      <c r="D640" s="5">
        <f ca="1">IFERROR(__xludf.DUMMYFUNCTION("""COMPUTED_VALUE"""),0)</f>
        <v>0</v>
      </c>
      <c r="E640" s="5">
        <f ca="1">IFERROR(__xludf.DUMMYFUNCTION("""COMPUTED_VALUE"""),0)</f>
        <v>0</v>
      </c>
      <c r="F640" s="5">
        <f ca="1">IFERROR(__xludf.DUMMYFUNCTION("""COMPUTED_VALUE"""),0)</f>
        <v>0</v>
      </c>
      <c r="G640" s="5">
        <f ca="1">IFERROR(__xludf.DUMMYFUNCTION("""COMPUTED_VALUE"""),0)</f>
        <v>0</v>
      </c>
      <c r="H640"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I640" s="5"/>
      <c r="J640" s="5"/>
      <c r="K640" s="5">
        <f ca="1">IFERROR(__xludf.DUMMYFUNCTION("""COMPUTED_VALUE"""),4)</f>
        <v>4</v>
      </c>
      <c r="L640" s="5" t="str">
        <f ca="1">IFERROR(__xludf.DUMMYFUNCTION("""COMPUTED_VALUE"""),"Spring")</f>
        <v>Spring</v>
      </c>
      <c r="M640" s="5" t="str">
        <f ca="1">IFERROR(__xludf.DUMMYFUNCTION("""COMPUTED_VALUE"""),"Woodbridge")</f>
        <v>Woodbridge</v>
      </c>
      <c r="N640" s="5" t="str">
        <f ca="1">IFERROR(__xludf.DUMMYFUNCTION("""COMPUTED_VALUE"""),"VA")</f>
        <v>VA</v>
      </c>
      <c r="O640" s="5" t="str">
        <f ca="1">IFERROR(__xludf.DUMMYFUNCTION("""COMPUTED_VALUE"""),"High")</f>
        <v>High</v>
      </c>
      <c r="P640" s="5" t="str">
        <f ca="1">IFERROR(__xludf.DUMMYFUNCTION("""COMPUTED_VALUE"""),"Classroom")</f>
        <v>Classroom</v>
      </c>
      <c r="Q640" s="5" t="str">
        <f ca="1">IFERROR(__xludf.DUMMYFUNCTION("""COMPUTED_VALUE"""),"Inside School Building")</f>
        <v>Inside School Building</v>
      </c>
      <c r="R640" s="5" t="str">
        <f ca="1">IFERROR(__xludf.DUMMYFUNCTION("""COMPUTED_VALUE"""),"Yes")</f>
        <v>Yes</v>
      </c>
      <c r="S640" s="5" t="str">
        <f ca="1">IFERROR(__xludf.DUMMYFUNCTION("""COMPUTED_VALUE"""),"Afternoon Classes")</f>
        <v>Afternoon Classes</v>
      </c>
      <c r="T640" s="10">
        <f ca="1">IFERROR(__xludf.DUMMYFUNCTION("""COMPUTED_VALUE"""),0.5)</f>
        <v>0.5</v>
      </c>
      <c r="U640" s="5">
        <f ca="1">IFERROR(__xludf.DUMMYFUNCTION("""COMPUTED_VALUE"""),1)</f>
        <v>1</v>
      </c>
      <c r="V640" s="5" t="str">
        <f ca="1">IFERROR(__xludf.DUMMYFUNCTION("""COMPUTED_VALUE"""),"Student fired gun in classroom, fled classroom, hid gun, and was arrested by SRO")</f>
        <v>Student fired gun in classroom, fled classroom, hid gun, and was arrested by SRO</v>
      </c>
      <c r="W640"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X640" s="5" t="str">
        <f ca="1">IFERROR(__xludf.DUMMYFUNCTION("""COMPUTED_VALUE"""),"Accidental")</f>
        <v>Accidental</v>
      </c>
      <c r="Y640" s="5" t="str">
        <f ca="1">IFERROR(__xludf.DUMMYFUNCTION("""COMPUTED_VALUE"""),"Neither")</f>
        <v>Neither</v>
      </c>
      <c r="Z640" s="5" t="str">
        <f ca="1">IFERROR(__xludf.DUMMYFUNCTION("""COMPUTED_VALUE"""),"No")</f>
        <v>No</v>
      </c>
      <c r="AA640" s="5"/>
      <c r="AB640" s="5" t="str">
        <f ca="1">IFERROR(__xludf.DUMMYFUNCTION("""COMPUTED_VALUE"""),"No")</f>
        <v>No</v>
      </c>
      <c r="AC640" s="5" t="str">
        <f ca="1">IFERROR(__xludf.DUMMYFUNCTION("""COMPUTED_VALUE"""),"No")</f>
        <v>No</v>
      </c>
      <c r="AD640" s="5" t="str">
        <f ca="1">IFERROR(__xludf.DUMMYFUNCTION("""COMPUTED_VALUE"""),"No")</f>
        <v>No</v>
      </c>
      <c r="AE640" s="5" t="str">
        <f ca="1">IFERROR(__xludf.DUMMYFUNCTION("""COMPUTED_VALUE"""),"No")</f>
        <v>No</v>
      </c>
      <c r="AF640" s="5" t="str">
        <f ca="1">IFERROR(__xludf.DUMMYFUNCTION("""COMPUTED_VALUE"""),"No")</f>
        <v>No</v>
      </c>
      <c r="AG640" s="5" t="str">
        <f ca="1">IFERROR(__xludf.DUMMYFUNCTION("""COMPUTED_VALUE"""),"No")</f>
        <v>No</v>
      </c>
      <c r="AH640" s="5" t="str">
        <f ca="1">IFERROR(__xludf.DUMMYFUNCTION("""COMPUTED_VALUE"""),"No")</f>
        <v>No</v>
      </c>
    </row>
    <row r="641" spans="1:34" ht="12.75">
      <c r="A641" s="5" t="str">
        <f ca="1">IFERROR(__xludf.DUMMYFUNCTION("""COMPUTED_VALUE"""),"20190430FLWEW")</f>
        <v>20190430FLWEW</v>
      </c>
      <c r="B641" s="8">
        <f ca="1">IFERROR(__xludf.DUMMYFUNCTION("""COMPUTED_VALUE"""),43585)</f>
        <v>43585</v>
      </c>
      <c r="C641" s="5" t="str">
        <f ca="1">IFERROR(__xludf.DUMMYFUNCTION("""COMPUTED_VALUE"""),"Weightman Middle School")</f>
        <v>Weightman Middle School</v>
      </c>
      <c r="D641" s="5">
        <f ca="1">IFERROR(__xludf.DUMMYFUNCTION("""COMPUTED_VALUE"""),0)</f>
        <v>0</v>
      </c>
      <c r="E641" s="5">
        <f ca="1">IFERROR(__xludf.DUMMYFUNCTION("""COMPUTED_VALUE"""),0)</f>
        <v>0</v>
      </c>
      <c r="F641" s="5">
        <f ca="1">IFERROR(__xludf.DUMMYFUNCTION("""COMPUTED_VALUE"""),0)</f>
        <v>0</v>
      </c>
      <c r="G641" s="5">
        <f ca="1">IFERROR(__xludf.DUMMYFUNCTION("""COMPUTED_VALUE"""),0)</f>
        <v>0</v>
      </c>
      <c r="H641" s="9" t="str">
        <f ca="1">IFERROR(__xludf.DUMMYFUNCTION("""COMPUTED_VALUE"""),"https://www.wfla.com/news/pasco-county/deputies-pasco-school-officer-s-gun-discharges-in-cafeteria-no-one-injured/1966758072")</f>
        <v>https://www.wfla.com/news/pasco-county/deputies-pasco-school-officer-s-gun-discharges-in-cafeteria-no-one-injured/1966758072</v>
      </c>
      <c r="I641" s="5"/>
      <c r="J641" s="5"/>
      <c r="K641" s="5">
        <f ca="1">IFERROR(__xludf.DUMMYFUNCTION("""COMPUTED_VALUE"""),4)</f>
        <v>4</v>
      </c>
      <c r="L641" s="5" t="str">
        <f ca="1">IFERROR(__xludf.DUMMYFUNCTION("""COMPUTED_VALUE"""),"Spring")</f>
        <v>Spring</v>
      </c>
      <c r="M641" s="5" t="str">
        <f ca="1">IFERROR(__xludf.DUMMYFUNCTION("""COMPUTED_VALUE"""),"Wesley Chapel")</f>
        <v>Wesley Chapel</v>
      </c>
      <c r="N641" s="5" t="str">
        <f ca="1">IFERROR(__xludf.DUMMYFUNCTION("""COMPUTED_VALUE"""),"FL")</f>
        <v>FL</v>
      </c>
      <c r="O641" s="5" t="str">
        <f ca="1">IFERROR(__xludf.DUMMYFUNCTION("""COMPUTED_VALUE"""),"Middle")</f>
        <v>Middle</v>
      </c>
      <c r="P641" s="5" t="str">
        <f ca="1">IFERROR(__xludf.DUMMYFUNCTION("""COMPUTED_VALUE"""),"Cafeteria")</f>
        <v>Cafeteria</v>
      </c>
      <c r="Q641" s="5" t="str">
        <f ca="1">IFERROR(__xludf.DUMMYFUNCTION("""COMPUTED_VALUE"""),"Inside School Building")</f>
        <v>Inside School Building</v>
      </c>
      <c r="R641" s="5" t="str">
        <f ca="1">IFERROR(__xludf.DUMMYFUNCTION("""COMPUTED_VALUE"""),"Yes")</f>
        <v>Yes</v>
      </c>
      <c r="S641" s="5" t="str">
        <f ca="1">IFERROR(__xludf.DUMMYFUNCTION("""COMPUTED_VALUE"""),"Lunch")</f>
        <v>Lunch</v>
      </c>
      <c r="T641" s="10">
        <f ca="1">IFERROR(__xludf.DUMMYFUNCTION("""COMPUTED_VALUE"""),0.5)</f>
        <v>0.5</v>
      </c>
      <c r="U641" s="5">
        <f ca="1">IFERROR(__xludf.DUMMYFUNCTION("""COMPUTED_VALUE"""),1)</f>
        <v>1</v>
      </c>
      <c r="V641" s="5" t="str">
        <f ca="1">IFERROR(__xludf.DUMMYFUNCTION("""COMPUTED_VALUE"""),"SRO's gun discharged in school cafeteria during the school day")</f>
        <v>SRO's gun discharged in school cafeteria during the school day</v>
      </c>
      <c r="W641"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X641" s="5" t="str">
        <f ca="1">IFERROR(__xludf.DUMMYFUNCTION("""COMPUTED_VALUE"""),"Accidental")</f>
        <v>Accidental</v>
      </c>
      <c r="Y641" s="5" t="str">
        <f ca="1">IFERROR(__xludf.DUMMYFUNCTION("""COMPUTED_VALUE"""),"Neither")</f>
        <v>Neither</v>
      </c>
      <c r="Z641" s="5" t="str">
        <f ca="1">IFERROR(__xludf.DUMMYFUNCTION("""COMPUTED_VALUE"""),"No")</f>
        <v>No</v>
      </c>
      <c r="AA641" s="5"/>
      <c r="AB641" s="5" t="str">
        <f ca="1">IFERROR(__xludf.DUMMYFUNCTION("""COMPUTED_VALUE"""),"No")</f>
        <v>No</v>
      </c>
      <c r="AC641" s="5" t="str">
        <f ca="1">IFERROR(__xludf.DUMMYFUNCTION("""COMPUTED_VALUE"""),"No")</f>
        <v>No</v>
      </c>
      <c r="AD641" s="5" t="str">
        <f ca="1">IFERROR(__xludf.DUMMYFUNCTION("""COMPUTED_VALUE"""),"Yes")</f>
        <v>Yes</v>
      </c>
      <c r="AE641" s="5" t="str">
        <f ca="1">IFERROR(__xludf.DUMMYFUNCTION("""COMPUTED_VALUE"""),"N/A")</f>
        <v>N/A</v>
      </c>
      <c r="AF641" s="5" t="str">
        <f ca="1">IFERROR(__xludf.DUMMYFUNCTION("""COMPUTED_VALUE"""),"N/A")</f>
        <v>N/A</v>
      </c>
      <c r="AG641" s="5" t="str">
        <f ca="1">IFERROR(__xludf.DUMMYFUNCTION("""COMPUTED_VALUE"""),"N/A")</f>
        <v>N/A</v>
      </c>
      <c r="AH641" s="5" t="str">
        <f ca="1">IFERROR(__xludf.DUMMYFUNCTION("""COMPUTED_VALUE"""),"No")</f>
        <v>No</v>
      </c>
    </row>
    <row r="642" spans="1:34" ht="12.75">
      <c r="A642" s="5" t="str">
        <f ca="1">IFERROR(__xludf.DUMMYFUNCTION("""COMPUTED_VALUE"""),"20190426GACRF")</f>
        <v>20190426GACRF</v>
      </c>
      <c r="B642" s="8">
        <f ca="1">IFERROR(__xludf.DUMMYFUNCTION("""COMPUTED_VALUE"""),43581)</f>
        <v>43581</v>
      </c>
      <c r="C642" s="5" t="str">
        <f ca="1">IFERROR(__xludf.DUMMYFUNCTION("""COMPUTED_VALUE"""),"Creekside High School")</f>
        <v>Creekside High School</v>
      </c>
      <c r="D642" s="5">
        <f ca="1">IFERROR(__xludf.DUMMYFUNCTION("""COMPUTED_VALUE"""),0)</f>
        <v>0</v>
      </c>
      <c r="E642" s="5">
        <f ca="1">IFERROR(__xludf.DUMMYFUNCTION("""COMPUTED_VALUE"""),0)</f>
        <v>0</v>
      </c>
      <c r="F642" s="5">
        <f ca="1">IFERROR(__xludf.DUMMYFUNCTION("""COMPUTED_VALUE"""),0)</f>
        <v>0</v>
      </c>
      <c r="G642" s="5">
        <f ca="1">IFERROR(__xludf.DUMMYFUNCTION("""COMPUTED_VALUE"""),0)</f>
        <v>0</v>
      </c>
      <c r="H642" s="9" t="str">
        <f ca="1">IFERROR(__xludf.DUMMYFUNCTION("""COMPUTED_VALUE"""),"http://www.fox5atlanta.com/news/police-release-vehicle-description-in-fulton-county-school-bus-shooting")</f>
        <v>http://www.fox5atlanta.com/news/police-release-vehicle-description-in-fulton-county-school-bus-shooting</v>
      </c>
      <c r="I642" s="5"/>
      <c r="J642" s="5"/>
      <c r="K642" s="5">
        <f ca="1">IFERROR(__xludf.DUMMYFUNCTION("""COMPUTED_VALUE"""),3)</f>
        <v>3</v>
      </c>
      <c r="L642" s="5" t="str">
        <f ca="1">IFERROR(__xludf.DUMMYFUNCTION("""COMPUTED_VALUE"""),"Spring")</f>
        <v>Spring</v>
      </c>
      <c r="M642" s="5" t="str">
        <f ca="1">IFERROR(__xludf.DUMMYFUNCTION("""COMPUTED_VALUE"""),"Fairburn")</f>
        <v>Fairburn</v>
      </c>
      <c r="N642" s="5" t="str">
        <f ca="1">IFERROR(__xludf.DUMMYFUNCTION("""COMPUTED_VALUE"""),"GA")</f>
        <v>GA</v>
      </c>
      <c r="O642" s="5" t="str">
        <f ca="1">IFERROR(__xludf.DUMMYFUNCTION("""COMPUTED_VALUE"""),"High")</f>
        <v>High</v>
      </c>
      <c r="P642" s="5" t="str">
        <f ca="1">IFERROR(__xludf.DUMMYFUNCTION("""COMPUTED_VALUE"""),"School Bus")</f>
        <v>School Bus</v>
      </c>
      <c r="Q642" s="5" t="str">
        <f ca="1">IFERROR(__xludf.DUMMYFUNCTION("""COMPUTED_VALUE"""),"School Bus")</f>
        <v>School Bus</v>
      </c>
      <c r="R642" s="5" t="str">
        <f ca="1">IFERROR(__xludf.DUMMYFUNCTION("""COMPUTED_VALUE"""),"No")</f>
        <v>No</v>
      </c>
      <c r="S642" s="5" t="str">
        <f ca="1">IFERROR(__xludf.DUMMYFUNCTION("""COMPUTED_VALUE"""),"Dismissal")</f>
        <v>Dismissal</v>
      </c>
      <c r="T642" s="10">
        <f ca="1">IFERROR(__xludf.DUMMYFUNCTION("""COMPUTED_VALUE"""),0.6875)</f>
        <v>0.6875</v>
      </c>
      <c r="U642" s="5">
        <f ca="1">IFERROR(__xludf.DUMMYFUNCTION("""COMPUTED_VALUE"""),1)</f>
        <v>1</v>
      </c>
      <c r="V642" s="5" t="str">
        <f ca="1">IFERROR(__xludf.DUMMYFUNCTION("""COMPUTED_VALUE"""),"Parent fired at school bus after argument with bus driver")</f>
        <v>Parent fired at school bus after argument with bus driver</v>
      </c>
      <c r="W642"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X642" s="5" t="str">
        <f ca="1">IFERROR(__xludf.DUMMYFUNCTION("""COMPUTED_VALUE"""),"Escalation of Dispute")</f>
        <v>Escalation of Dispute</v>
      </c>
      <c r="Y642" s="5" t="str">
        <f ca="1">IFERROR(__xludf.DUMMYFUNCTION("""COMPUTED_VALUE"""),"Victims Targeted")</f>
        <v>Victims Targeted</v>
      </c>
      <c r="Z642" s="5" t="str">
        <f ca="1">IFERROR(__xludf.DUMMYFUNCTION("""COMPUTED_VALUE"""),"Yes")</f>
        <v>Yes</v>
      </c>
      <c r="AA642" s="5" t="str">
        <f ca="1">IFERROR(__xludf.DUMMYFUNCTION("""COMPUTED_VALUE"""),"Multiple in car")</f>
        <v>Multiple in car</v>
      </c>
      <c r="AB642" s="5" t="str">
        <f ca="1">IFERROR(__xludf.DUMMYFUNCTION("""COMPUTED_VALUE"""),"No")</f>
        <v>No</v>
      </c>
      <c r="AC642" s="5" t="str">
        <f ca="1">IFERROR(__xludf.DUMMYFUNCTION("""COMPUTED_VALUE"""),"No")</f>
        <v>No</v>
      </c>
      <c r="AD642" s="5" t="str">
        <f ca="1">IFERROR(__xludf.DUMMYFUNCTION("""COMPUTED_VALUE"""),"No")</f>
        <v>No</v>
      </c>
      <c r="AE642" s="5" t="str">
        <f ca="1">IFERROR(__xludf.DUMMYFUNCTION("""COMPUTED_VALUE"""),"No")</f>
        <v>No</v>
      </c>
      <c r="AF642" s="5"/>
      <c r="AG642" s="5" t="str">
        <f ca="1">IFERROR(__xludf.DUMMYFUNCTION("""COMPUTED_VALUE"""),"No")</f>
        <v>No</v>
      </c>
      <c r="AH642" s="5" t="str">
        <f ca="1">IFERROR(__xludf.DUMMYFUNCTION("""COMPUTED_VALUE"""),"No")</f>
        <v>No</v>
      </c>
    </row>
    <row r="643" spans="1:34" ht="12.75">
      <c r="A643" s="5" t="str">
        <f ca="1">IFERROR(__xludf.DUMMYFUNCTION("""COMPUTED_VALUE"""),"20190425GAWYS")</f>
        <v>20190425GAWYS</v>
      </c>
      <c r="B643" s="8">
        <f ca="1">IFERROR(__xludf.DUMMYFUNCTION("""COMPUTED_VALUE"""),43580)</f>
        <v>43580</v>
      </c>
      <c r="C643" s="5" t="str">
        <f ca="1">IFERROR(__xludf.DUMMYFUNCTION("""COMPUTED_VALUE"""),"Wynbrooke Elementary Theme School")</f>
        <v>Wynbrooke Elementary Theme School</v>
      </c>
      <c r="D643" s="5">
        <f ca="1">IFERROR(__xludf.DUMMYFUNCTION("""COMPUTED_VALUE"""),0)</f>
        <v>0</v>
      </c>
      <c r="E643" s="5">
        <f ca="1">IFERROR(__xludf.DUMMYFUNCTION("""COMPUTED_VALUE"""),0)</f>
        <v>0</v>
      </c>
      <c r="F643" s="5">
        <f ca="1">IFERROR(__xludf.DUMMYFUNCTION("""COMPUTED_VALUE"""),0)</f>
        <v>0</v>
      </c>
      <c r="G643" s="5">
        <f ca="1">IFERROR(__xludf.DUMMYFUNCTION("""COMPUTED_VALUE"""),0)</f>
        <v>0</v>
      </c>
      <c r="H643"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I643" s="5">
        <f ca="1">IFERROR(__xludf.DUMMYFUNCTION("""COMPUTED_VALUE"""),11)</f>
        <v>11</v>
      </c>
      <c r="J643" s="5" t="str">
        <f ca="1">IFERROR(__xludf.DUMMYFUNCTION("""COMPUTED_VALUE"""),"National")</f>
        <v>National</v>
      </c>
      <c r="K643" s="5">
        <f ca="1">IFERROR(__xludf.DUMMYFUNCTION("""COMPUTED_VALUE"""),3)</f>
        <v>3</v>
      </c>
      <c r="L643" s="5" t="str">
        <f ca="1">IFERROR(__xludf.DUMMYFUNCTION("""COMPUTED_VALUE"""),"Spring")</f>
        <v>Spring</v>
      </c>
      <c r="M643" s="5" t="str">
        <f ca="1">IFERROR(__xludf.DUMMYFUNCTION("""COMPUTED_VALUE"""),"Stone Mountain")</f>
        <v>Stone Mountain</v>
      </c>
      <c r="N643" s="5" t="str">
        <f ca="1">IFERROR(__xludf.DUMMYFUNCTION("""COMPUTED_VALUE"""),"GA")</f>
        <v>GA</v>
      </c>
      <c r="O643" s="5" t="str">
        <f ca="1">IFERROR(__xludf.DUMMYFUNCTION("""COMPUTED_VALUE"""),"Elementary")</f>
        <v>Elementary</v>
      </c>
      <c r="P643" s="5" t="str">
        <f ca="1">IFERROR(__xludf.DUMMYFUNCTION("""COMPUTED_VALUE"""),"Playground")</f>
        <v>Playground</v>
      </c>
      <c r="Q643" s="5" t="str">
        <f ca="1">IFERROR(__xludf.DUMMYFUNCTION("""COMPUTED_VALUE"""),"Outside on School Property")</f>
        <v>Outside on School Property</v>
      </c>
      <c r="R643" s="5" t="str">
        <f ca="1">IFERROR(__xludf.DUMMYFUNCTION("""COMPUTED_VALUE"""),"Yes")</f>
        <v>Yes</v>
      </c>
      <c r="S643" s="5" t="str">
        <f ca="1">IFERROR(__xludf.DUMMYFUNCTION("""COMPUTED_VALUE"""),"Lunch")</f>
        <v>Lunch</v>
      </c>
      <c r="T643" s="10">
        <f ca="1">IFERROR(__xludf.DUMMYFUNCTION("""COMPUTED_VALUE"""),0.541666666666666)</f>
        <v>0.54166666666666596</v>
      </c>
      <c r="U643" s="5">
        <f ca="1">IFERROR(__xludf.DUMMYFUNCTION("""COMPUTED_VALUE"""),1)</f>
        <v>1</v>
      </c>
      <c r="V643" s="5" t="str">
        <f ca="1">IFERROR(__xludf.DUMMYFUNCTION("""COMPUTED_VALUE"""),"BB/pellet gun projectiles shot from outside of the school hit 10 students")</f>
        <v>BB/pellet gun projectiles shot from outside of the school hit 10 students</v>
      </c>
      <c r="W643"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X643" s="5" t="str">
        <f ca="1">IFERROR(__xludf.DUMMYFUNCTION("""COMPUTED_VALUE"""),"Indiscriminate Shooting")</f>
        <v>Indiscriminate Shooting</v>
      </c>
      <c r="Y643" s="5" t="str">
        <f ca="1">IFERROR(__xludf.DUMMYFUNCTION("""COMPUTED_VALUE"""),"Random Shooting")</f>
        <v>Random Shooting</v>
      </c>
      <c r="Z643" s="5"/>
      <c r="AA643" s="5"/>
      <c r="AB643" s="5" t="str">
        <f ca="1">IFERROR(__xludf.DUMMYFUNCTION("""COMPUTED_VALUE"""),"No")</f>
        <v>No</v>
      </c>
      <c r="AC643" s="5" t="str">
        <f ca="1">IFERROR(__xludf.DUMMYFUNCTION("""COMPUTED_VALUE"""),"No")</f>
        <v>No</v>
      </c>
      <c r="AD643" s="5" t="str">
        <f ca="1">IFERROR(__xludf.DUMMYFUNCTION("""COMPUTED_VALUE"""),"No")</f>
        <v>No</v>
      </c>
      <c r="AE643" s="5"/>
      <c r="AF643" s="5" t="str">
        <f ca="1">IFERROR(__xludf.DUMMYFUNCTION("""COMPUTED_VALUE"""),"No")</f>
        <v>No</v>
      </c>
      <c r="AG643" s="5"/>
      <c r="AH643" s="5" t="str">
        <f ca="1">IFERROR(__xludf.DUMMYFUNCTION("""COMPUTED_VALUE"""),"Yes")</f>
        <v>Yes</v>
      </c>
    </row>
    <row r="644" spans="1:34" ht="12.75">
      <c r="A644" s="5" t="str">
        <f ca="1">IFERROR(__xludf.DUMMYFUNCTION("""COMPUTED_VALUE"""),"20190424ARCOC")</f>
        <v>20190424ARCOC</v>
      </c>
      <c r="B644" s="8">
        <f ca="1">IFERROR(__xludf.DUMMYFUNCTION("""COMPUTED_VALUE"""),43579)</f>
        <v>43579</v>
      </c>
      <c r="C644" s="5" t="str">
        <f ca="1">IFERROR(__xludf.DUMMYFUNCTION("""COMPUTED_VALUE"""),"Concord High School")</f>
        <v>Concord High School</v>
      </c>
      <c r="D644" s="5">
        <f ca="1">IFERROR(__xludf.DUMMYFUNCTION("""COMPUTED_VALUE"""),0)</f>
        <v>0</v>
      </c>
      <c r="E644" s="5">
        <f ca="1">IFERROR(__xludf.DUMMYFUNCTION("""COMPUTED_VALUE"""),0)</f>
        <v>0</v>
      </c>
      <c r="F644" s="5">
        <f ca="1">IFERROR(__xludf.DUMMYFUNCTION("""COMPUTED_VALUE"""),0)</f>
        <v>0</v>
      </c>
      <c r="G644" s="5">
        <f ca="1">IFERROR(__xludf.DUMMYFUNCTION("""COMPUTED_VALUE"""),1)</f>
        <v>1</v>
      </c>
      <c r="H644"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I644" s="5"/>
      <c r="J644" s="5"/>
      <c r="K644" s="5">
        <f ca="1">IFERROR(__xludf.DUMMYFUNCTION("""COMPUTED_VALUE"""),4)</f>
        <v>4</v>
      </c>
      <c r="L644" s="5" t="str">
        <f ca="1">IFERROR(__xludf.DUMMYFUNCTION("""COMPUTED_VALUE"""),"Spring")</f>
        <v>Spring</v>
      </c>
      <c r="M644" s="5" t="str">
        <f ca="1">IFERROR(__xludf.DUMMYFUNCTION("""COMPUTED_VALUE"""),"Concord")</f>
        <v>Concord</v>
      </c>
      <c r="N644" s="5" t="str">
        <f ca="1">IFERROR(__xludf.DUMMYFUNCTION("""COMPUTED_VALUE"""),"AR")</f>
        <v>AR</v>
      </c>
      <c r="O644" s="5" t="str">
        <f ca="1">IFERROR(__xludf.DUMMYFUNCTION("""COMPUTED_VALUE"""),"High")</f>
        <v>High</v>
      </c>
      <c r="P644" s="5" t="str">
        <f ca="1">IFERROR(__xludf.DUMMYFUNCTION("""COMPUTED_VALUE"""),"Bathroom")</f>
        <v>Bathroom</v>
      </c>
      <c r="Q644" s="5" t="str">
        <f ca="1">IFERROR(__xludf.DUMMYFUNCTION("""COMPUTED_VALUE"""),"Inside School Building")</f>
        <v>Inside School Building</v>
      </c>
      <c r="R644" s="5" t="str">
        <f ca="1">IFERROR(__xludf.DUMMYFUNCTION("""COMPUTED_VALUE"""),"Yes")</f>
        <v>Yes</v>
      </c>
      <c r="S644" s="5" t="str">
        <f ca="1">IFERROR(__xludf.DUMMYFUNCTION("""COMPUTED_VALUE"""),"Lunch")</f>
        <v>Lunch</v>
      </c>
      <c r="T644" s="10">
        <f ca="1">IFERROR(__xludf.DUMMYFUNCTION("""COMPUTED_VALUE"""),0.527777777777777)</f>
        <v>0.52777777777777701</v>
      </c>
      <c r="U644" s="5">
        <f ca="1">IFERROR(__xludf.DUMMYFUNCTION("""COMPUTED_VALUE"""),1)</f>
        <v>1</v>
      </c>
      <c r="V644" s="5" t="str">
        <f ca="1">IFERROR(__xludf.DUMMYFUNCTION("""COMPUTED_VALUE"""),"Student shot himself in the school bathroom")</f>
        <v>Student shot himself in the school bathroom</v>
      </c>
      <c r="W644"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X644" s="5" t="str">
        <f ca="1">IFERROR(__xludf.DUMMYFUNCTION("""COMPUTED_VALUE"""),"Suicide/Attempted")</f>
        <v>Suicide/Attempted</v>
      </c>
      <c r="Y644" s="5" t="str">
        <f ca="1">IFERROR(__xludf.DUMMYFUNCTION("""COMPUTED_VALUE"""),"Victims Targeted")</f>
        <v>Victims Targeted</v>
      </c>
      <c r="Z644" s="5" t="str">
        <f ca="1">IFERROR(__xludf.DUMMYFUNCTION("""COMPUTED_VALUE"""),"No")</f>
        <v>No</v>
      </c>
      <c r="AA644" s="5"/>
      <c r="AB644" s="5" t="str">
        <f ca="1">IFERROR(__xludf.DUMMYFUNCTION("""COMPUTED_VALUE"""),"No")</f>
        <v>No</v>
      </c>
      <c r="AC644" s="5" t="str">
        <f ca="1">IFERROR(__xludf.DUMMYFUNCTION("""COMPUTED_VALUE"""),"No")</f>
        <v>No</v>
      </c>
      <c r="AD644" s="5" t="str">
        <f ca="1">IFERROR(__xludf.DUMMYFUNCTION("""COMPUTED_VALUE"""),"No")</f>
        <v>No</v>
      </c>
      <c r="AE644" s="5"/>
      <c r="AF644" s="5" t="str">
        <f ca="1">IFERROR(__xludf.DUMMYFUNCTION("""COMPUTED_VALUE"""),"No")</f>
        <v>No</v>
      </c>
      <c r="AG644" s="5" t="str">
        <f ca="1">IFERROR(__xludf.DUMMYFUNCTION("""COMPUTED_VALUE"""),"No")</f>
        <v>No</v>
      </c>
      <c r="AH644" s="5" t="str">
        <f ca="1">IFERROR(__xludf.DUMMYFUNCTION("""COMPUTED_VALUE"""),"No")</f>
        <v>No</v>
      </c>
    </row>
    <row r="645" spans="1:34" ht="12.75">
      <c r="A645" s="5" t="str">
        <f ca="1">IFERROR(__xludf.DUMMYFUNCTION("""COMPUTED_VALUE"""),"20190417ILWAL")</f>
        <v>20190417ILWAL</v>
      </c>
      <c r="B645" s="8">
        <f ca="1">IFERROR(__xludf.DUMMYFUNCTION("""COMPUTED_VALUE"""),43572)</f>
        <v>43572</v>
      </c>
      <c r="C645" s="5" t="str">
        <f ca="1">IFERROR(__xludf.DUMMYFUNCTION("""COMPUTED_VALUE"""),"Washington Middle School")</f>
        <v>Washington Middle School</v>
      </c>
      <c r="D645" s="5">
        <f ca="1">IFERROR(__xludf.DUMMYFUNCTION("""COMPUTED_VALUE"""),0)</f>
        <v>0</v>
      </c>
      <c r="E645" s="5">
        <f ca="1">IFERROR(__xludf.DUMMYFUNCTION("""COMPUTED_VALUE"""),0)</f>
        <v>0</v>
      </c>
      <c r="F645" s="5">
        <f ca="1">IFERROR(__xludf.DUMMYFUNCTION("""COMPUTED_VALUE"""),0)</f>
        <v>0</v>
      </c>
      <c r="G645" s="5">
        <f ca="1">IFERROR(__xludf.DUMMYFUNCTION("""COMPUTED_VALUE"""),1)</f>
        <v>1</v>
      </c>
      <c r="H645"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I645" s="5"/>
      <c r="J645" s="5"/>
      <c r="K645" s="5">
        <f ca="1">IFERROR(__xludf.DUMMYFUNCTION("""COMPUTED_VALUE"""),4)</f>
        <v>4</v>
      </c>
      <c r="L645" s="5" t="str">
        <f ca="1">IFERROR(__xludf.DUMMYFUNCTION("""COMPUTED_VALUE"""),"Spring")</f>
        <v>Spring</v>
      </c>
      <c r="M645" s="5" t="str">
        <f ca="1">IFERROR(__xludf.DUMMYFUNCTION("""COMPUTED_VALUE"""),"Lyons")</f>
        <v>Lyons</v>
      </c>
      <c r="N645" s="5" t="str">
        <f ca="1">IFERROR(__xludf.DUMMYFUNCTION("""COMPUTED_VALUE"""),"IL")</f>
        <v>IL</v>
      </c>
      <c r="O645" s="5" t="str">
        <f ca="1">IFERROR(__xludf.DUMMYFUNCTION("""COMPUTED_VALUE"""),"Middle")</f>
        <v>Middle</v>
      </c>
      <c r="P645" s="5" t="str">
        <f ca="1">IFERROR(__xludf.DUMMYFUNCTION("""COMPUTED_VALUE"""),"Bathroom")</f>
        <v>Bathroom</v>
      </c>
      <c r="Q645" s="5" t="str">
        <f ca="1">IFERROR(__xludf.DUMMYFUNCTION("""COMPUTED_VALUE"""),"Inside School Building")</f>
        <v>Inside School Building</v>
      </c>
      <c r="R645" s="5" t="str">
        <f ca="1">IFERROR(__xludf.DUMMYFUNCTION("""COMPUTED_VALUE"""),"Yes")</f>
        <v>Yes</v>
      </c>
      <c r="S645" s="5" t="str">
        <f ca="1">IFERROR(__xludf.DUMMYFUNCTION("""COMPUTED_VALUE"""),"Afternoon Classes")</f>
        <v>Afternoon Classes</v>
      </c>
      <c r="T645" s="10">
        <f ca="1">IFERROR(__xludf.DUMMYFUNCTION("""COMPUTED_VALUE"""),0.5625)</f>
        <v>0.5625</v>
      </c>
      <c r="U645" s="5">
        <f ca="1">IFERROR(__xludf.DUMMYFUNCTION("""COMPUTED_VALUE"""),1)</f>
        <v>1</v>
      </c>
      <c r="V645" s="5" t="str">
        <f ca="1">IFERROR(__xludf.DUMMYFUNCTION("""COMPUTED_VALUE"""),"Student shot himself in the school bathroom")</f>
        <v>Student shot himself in the school bathroom</v>
      </c>
      <c r="W645"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X645" s="5" t="str">
        <f ca="1">IFERROR(__xludf.DUMMYFUNCTION("""COMPUTED_VALUE"""),"Suicide/Attempted")</f>
        <v>Suicide/Attempted</v>
      </c>
      <c r="Y645" s="5" t="str">
        <f ca="1">IFERROR(__xludf.DUMMYFUNCTION("""COMPUTED_VALUE"""),"Victims Targeted")</f>
        <v>Victims Targeted</v>
      </c>
      <c r="Z645" s="5" t="str">
        <f ca="1">IFERROR(__xludf.DUMMYFUNCTION("""COMPUTED_VALUE"""),"No")</f>
        <v>No</v>
      </c>
      <c r="AA645" s="5"/>
      <c r="AB645" s="5" t="str">
        <f ca="1">IFERROR(__xludf.DUMMYFUNCTION("""COMPUTED_VALUE"""),"No")</f>
        <v>No</v>
      </c>
      <c r="AC645" s="5" t="str">
        <f ca="1">IFERROR(__xludf.DUMMYFUNCTION("""COMPUTED_VALUE"""),"No")</f>
        <v>No</v>
      </c>
      <c r="AD645" s="5" t="str">
        <f ca="1">IFERROR(__xludf.DUMMYFUNCTION("""COMPUTED_VALUE"""),"No")</f>
        <v>No</v>
      </c>
      <c r="AE645" s="5"/>
      <c r="AF645" s="5" t="str">
        <f ca="1">IFERROR(__xludf.DUMMYFUNCTION("""COMPUTED_VALUE"""),"No")</f>
        <v>No</v>
      </c>
      <c r="AG645" s="5" t="str">
        <f ca="1">IFERROR(__xludf.DUMMYFUNCTION("""COMPUTED_VALUE"""),"No")</f>
        <v>No</v>
      </c>
      <c r="AH645" s="5" t="str">
        <f ca="1">IFERROR(__xludf.DUMMYFUNCTION("""COMPUTED_VALUE"""),"No")</f>
        <v>No</v>
      </c>
    </row>
    <row r="646" spans="1:34" ht="12.75">
      <c r="A646" s="5" t="str">
        <f ca="1">IFERROR(__xludf.DUMMYFUNCTION("""COMPUTED_VALUE"""),"20190410TXROH")</f>
        <v>20190410TXROH</v>
      </c>
      <c r="B646" s="8">
        <f ca="1">IFERROR(__xludf.DUMMYFUNCTION("""COMPUTED_VALUE"""),43565)</f>
        <v>43565</v>
      </c>
      <c r="C646" s="5" t="str">
        <f ca="1">IFERROR(__xludf.DUMMYFUNCTION("""COMPUTED_VALUE"""),"Ross Shaw Sterling Aviation High School")</f>
        <v>Ross Shaw Sterling Aviation High School</v>
      </c>
      <c r="D646" s="5">
        <f ca="1">IFERROR(__xludf.DUMMYFUNCTION("""COMPUTED_VALUE"""),0)</f>
        <v>0</v>
      </c>
      <c r="E646" s="5">
        <f ca="1">IFERROR(__xludf.DUMMYFUNCTION("""COMPUTED_VALUE"""),1)</f>
        <v>1</v>
      </c>
      <c r="F646" s="5">
        <f ca="1">IFERROR(__xludf.DUMMYFUNCTION("""COMPUTED_VALUE"""),1)</f>
        <v>1</v>
      </c>
      <c r="G646" s="5">
        <f ca="1">IFERROR(__xludf.DUMMYFUNCTION("""COMPUTED_VALUE"""),0)</f>
        <v>0</v>
      </c>
      <c r="H646"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I646" s="5"/>
      <c r="J646" s="5"/>
      <c r="K646" s="5">
        <f ca="1">IFERROR(__xludf.DUMMYFUNCTION("""COMPUTED_VALUE"""),4)</f>
        <v>4</v>
      </c>
      <c r="L646" s="5" t="str">
        <f ca="1">IFERROR(__xludf.DUMMYFUNCTION("""COMPUTED_VALUE"""),"Spring")</f>
        <v>Spring</v>
      </c>
      <c r="M646" s="5" t="str">
        <f ca="1">IFERROR(__xludf.DUMMYFUNCTION("""COMPUTED_VALUE"""),"Houston")</f>
        <v>Houston</v>
      </c>
      <c r="N646" s="5" t="str">
        <f ca="1">IFERROR(__xludf.DUMMYFUNCTION("""COMPUTED_VALUE"""),"TX")</f>
        <v>TX</v>
      </c>
      <c r="O646" s="5" t="str">
        <f ca="1">IFERROR(__xludf.DUMMYFUNCTION("""COMPUTED_VALUE"""),"High")</f>
        <v>High</v>
      </c>
      <c r="P646" s="5" t="str">
        <f ca="1">IFERROR(__xludf.DUMMYFUNCTION("""COMPUTED_VALUE"""),"Basketball Court")</f>
        <v>Basketball Court</v>
      </c>
      <c r="Q646" s="5" t="str">
        <f ca="1">IFERROR(__xludf.DUMMYFUNCTION("""COMPUTED_VALUE"""),"Outside on School Property")</f>
        <v>Outside on School Property</v>
      </c>
      <c r="R646" s="5" t="str">
        <f ca="1">IFERROR(__xludf.DUMMYFUNCTION("""COMPUTED_VALUE"""),"No")</f>
        <v>No</v>
      </c>
      <c r="S646" s="5" t="str">
        <f ca="1">IFERROR(__xludf.DUMMYFUNCTION("""COMPUTED_VALUE"""),"After School")</f>
        <v>After School</v>
      </c>
      <c r="T646" s="10">
        <f ca="1">IFERROR(__xludf.DUMMYFUNCTION("""COMPUTED_VALUE"""),0.666666666666666)</f>
        <v>0.66666666666666596</v>
      </c>
      <c r="U646" s="5">
        <f ca="1">IFERROR(__xludf.DUMMYFUNCTION("""COMPUTED_VALUE"""),1)</f>
        <v>1</v>
      </c>
      <c r="V646" s="5" t="str">
        <f ca="1">IFERROR(__xludf.DUMMYFUNCTION("""COMPUTED_VALUE"""),"Bullet fired in gang shooting hit student 1/2 mile away on school basketball court")</f>
        <v>Bullet fired in gang shooting hit student 1/2 mile away on school basketball court</v>
      </c>
      <c r="W646"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X646" s="5" t="str">
        <f ca="1">IFERROR(__xludf.DUMMYFUNCTION("""COMPUTED_VALUE"""),"Drive-by Shooting")</f>
        <v>Drive-by Shooting</v>
      </c>
      <c r="Y646" s="5" t="str">
        <f ca="1">IFERROR(__xludf.DUMMYFUNCTION("""COMPUTED_VALUE"""),"Victims Targeted")</f>
        <v>Victims Targeted</v>
      </c>
      <c r="Z646" s="5" t="str">
        <f ca="1">IFERROR(__xludf.DUMMYFUNCTION("""COMPUTED_VALUE"""),"Yes")</f>
        <v>Yes</v>
      </c>
      <c r="AA646" s="5" t="str">
        <f ca="1">IFERROR(__xludf.DUMMYFUNCTION("""COMPUTED_VALUE"""),"Multiple in car, 2 shooters")</f>
        <v>Multiple in car, 2 shooters</v>
      </c>
      <c r="AB646" s="5" t="str">
        <f ca="1">IFERROR(__xludf.DUMMYFUNCTION("""COMPUTED_VALUE"""),"No")</f>
        <v>No</v>
      </c>
      <c r="AC646" s="5" t="str">
        <f ca="1">IFERROR(__xludf.DUMMYFUNCTION("""COMPUTED_VALUE"""),"No")</f>
        <v>No</v>
      </c>
      <c r="AD646" s="5" t="str">
        <f ca="1">IFERROR(__xludf.DUMMYFUNCTION("""COMPUTED_VALUE"""),"No")</f>
        <v>No</v>
      </c>
      <c r="AE646" s="5" t="str">
        <f ca="1">IFERROR(__xludf.DUMMYFUNCTION("""COMPUTED_VALUE"""),"No")</f>
        <v>No</v>
      </c>
      <c r="AF646" s="5" t="str">
        <f ca="1">IFERROR(__xludf.DUMMYFUNCTION("""COMPUTED_VALUE"""),"No")</f>
        <v>No</v>
      </c>
      <c r="AG646" s="5" t="str">
        <f ca="1">IFERROR(__xludf.DUMMYFUNCTION("""COMPUTED_VALUE"""),"Yes")</f>
        <v>Yes</v>
      </c>
      <c r="AH646" s="5" t="str">
        <f ca="1">IFERROR(__xludf.DUMMYFUNCTION("""COMPUTED_VALUE"""),"No")</f>
        <v>No</v>
      </c>
    </row>
    <row r="647" spans="1:34" ht="12.75">
      <c r="A647" s="5" t="str">
        <f ca="1">IFERROR(__xludf.DUMMYFUNCTION("""COMPUTED_VALUE"""),"20190407MAHOL")</f>
        <v>20190407MAHOL</v>
      </c>
      <c r="B647" s="8">
        <f ca="1">IFERROR(__xludf.DUMMYFUNCTION("""COMPUTED_VALUE"""),43562)</f>
        <v>43562</v>
      </c>
      <c r="C647" s="5" t="str">
        <f ca="1">IFERROR(__xludf.DUMMYFUNCTION("""COMPUTED_VALUE"""),"Hood Elementary School")</f>
        <v>Hood Elementary School</v>
      </c>
      <c r="D647" s="5">
        <f ca="1">IFERROR(__xludf.DUMMYFUNCTION("""COMPUTED_VALUE"""),0)</f>
        <v>0</v>
      </c>
      <c r="E647" s="5">
        <f ca="1">IFERROR(__xludf.DUMMYFUNCTION("""COMPUTED_VALUE"""),0)</f>
        <v>0</v>
      </c>
      <c r="F647" s="5">
        <f ca="1">IFERROR(__xludf.DUMMYFUNCTION("""COMPUTED_VALUE"""),0)</f>
        <v>0</v>
      </c>
      <c r="G647" s="5">
        <f ca="1">IFERROR(__xludf.DUMMYFUNCTION("""COMPUTED_VALUE"""),0)</f>
        <v>0</v>
      </c>
      <c r="H647" s="9" t="str">
        <f ca="1">IFERROR(__xludf.DUMMYFUNCTION("""COMPUTED_VALUE"""),"https://www.kxro.com/montesano-police-arrest-student-after-school-shooting-statements/")</f>
        <v>https://www.kxro.com/montesano-police-arrest-student-after-school-shooting-statements/</v>
      </c>
      <c r="I647" s="5"/>
      <c r="J647" s="5"/>
      <c r="K647" s="5">
        <f ca="1">IFERROR(__xludf.DUMMYFUNCTION("""COMPUTED_VALUE"""),3)</f>
        <v>3</v>
      </c>
      <c r="L647" s="5" t="str">
        <f ca="1">IFERROR(__xludf.DUMMYFUNCTION("""COMPUTED_VALUE"""),"Spring")</f>
        <v>Spring</v>
      </c>
      <c r="M647" s="5" t="str">
        <f ca="1">IFERROR(__xludf.DUMMYFUNCTION("""COMPUTED_VALUE"""),"Lynn")</f>
        <v>Lynn</v>
      </c>
      <c r="N647" s="5" t="str">
        <f ca="1">IFERROR(__xludf.DUMMYFUNCTION("""COMPUTED_VALUE"""),"MA")</f>
        <v>MA</v>
      </c>
      <c r="O647" s="5" t="str">
        <f ca="1">IFERROR(__xludf.DUMMYFUNCTION("""COMPUTED_VALUE"""),"Elementary")</f>
        <v>Elementary</v>
      </c>
      <c r="P647" s="5" t="str">
        <f ca="1">IFERROR(__xludf.DUMMYFUNCTION("""COMPUTED_VALUE"""),"Beside Building")</f>
        <v>Beside Building</v>
      </c>
      <c r="Q647" s="5" t="str">
        <f ca="1">IFERROR(__xludf.DUMMYFUNCTION("""COMPUTED_VALUE"""),"Outside on School Property")</f>
        <v>Outside on School Property</v>
      </c>
      <c r="R647" s="5" t="str">
        <f ca="1">IFERROR(__xludf.DUMMYFUNCTION("""COMPUTED_VALUE"""),"No")</f>
        <v>No</v>
      </c>
      <c r="S647" s="5" t="str">
        <f ca="1">IFERROR(__xludf.DUMMYFUNCTION("""COMPUTED_VALUE"""),"Night")</f>
        <v>Night</v>
      </c>
      <c r="T647" s="5"/>
      <c r="U647" s="5"/>
      <c r="V647" s="5" t="str">
        <f ca="1">IFERROR(__xludf.DUMMYFUNCTION("""COMPUTED_VALUE"""),"Shots fired at unoccupied school building")</f>
        <v>Shots fired at unoccupied school building</v>
      </c>
      <c r="W647"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X647" s="5" t="str">
        <f ca="1">IFERROR(__xludf.DUMMYFUNCTION("""COMPUTED_VALUE"""),"Intentional Property Damage")</f>
        <v>Intentional Property Damage</v>
      </c>
      <c r="Y647" s="5"/>
      <c r="Z647" s="5"/>
      <c r="AA647" s="5"/>
      <c r="AB647" s="5" t="str">
        <f ca="1">IFERROR(__xludf.DUMMYFUNCTION("""COMPUTED_VALUE"""),"No")</f>
        <v>No</v>
      </c>
      <c r="AC647" s="5" t="str">
        <f ca="1">IFERROR(__xludf.DUMMYFUNCTION("""COMPUTED_VALUE"""),"No")</f>
        <v>No</v>
      </c>
      <c r="AD647" s="5" t="str">
        <f ca="1">IFERROR(__xludf.DUMMYFUNCTION("""COMPUTED_VALUE"""),"No")</f>
        <v>No</v>
      </c>
      <c r="AE647" s="5" t="str">
        <f ca="1">IFERROR(__xludf.DUMMYFUNCTION("""COMPUTED_VALUE"""),"No")</f>
        <v>No</v>
      </c>
      <c r="AF647" s="5" t="str">
        <f ca="1">IFERROR(__xludf.DUMMYFUNCTION("""COMPUTED_VALUE"""),"No")</f>
        <v>No</v>
      </c>
      <c r="AG647" s="5"/>
      <c r="AH647" s="5" t="str">
        <f ca="1">IFERROR(__xludf.DUMMYFUNCTION("""COMPUTED_VALUE"""),"No")</f>
        <v>No</v>
      </c>
    </row>
    <row r="648" spans="1:34" ht="12.75">
      <c r="A648" s="5" t="str">
        <f ca="1">IFERROR(__xludf.DUMMYFUNCTION("""COMPUTED_VALUE"""),"20190405WISTM")</f>
        <v>20190405WISTM</v>
      </c>
      <c r="B648" s="8">
        <f ca="1">IFERROR(__xludf.DUMMYFUNCTION("""COMPUTED_VALUE"""),43560)</f>
        <v>43560</v>
      </c>
      <c r="C648" s="5" t="str">
        <f ca="1">IFERROR(__xludf.DUMMYFUNCTION("""COMPUTED_VALUE"""),"St. Josaphat Parish School")</f>
        <v>St. Josaphat Parish School</v>
      </c>
      <c r="D648" s="5">
        <f ca="1">IFERROR(__xludf.DUMMYFUNCTION("""COMPUTED_VALUE"""),0)</f>
        <v>0</v>
      </c>
      <c r="E648" s="5">
        <f ca="1">IFERROR(__xludf.DUMMYFUNCTION("""COMPUTED_VALUE"""),1)</f>
        <v>1</v>
      </c>
      <c r="F648" s="5">
        <f ca="1">IFERROR(__xludf.DUMMYFUNCTION("""COMPUTED_VALUE"""),1)</f>
        <v>1</v>
      </c>
      <c r="G648" s="5">
        <f ca="1">IFERROR(__xludf.DUMMYFUNCTION("""COMPUTED_VALUE"""),0)</f>
        <v>0</v>
      </c>
      <c r="H648"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I648" s="5"/>
      <c r="J648" s="5"/>
      <c r="K648" s="5">
        <f ca="1">IFERROR(__xludf.DUMMYFUNCTION("""COMPUTED_VALUE"""),4)</f>
        <v>4</v>
      </c>
      <c r="L648" s="5" t="str">
        <f ca="1">IFERROR(__xludf.DUMMYFUNCTION("""COMPUTED_VALUE"""),"Spring")</f>
        <v>Spring</v>
      </c>
      <c r="M648" s="5" t="str">
        <f ca="1">IFERROR(__xludf.DUMMYFUNCTION("""COMPUTED_VALUE"""),"Milwaukee")</f>
        <v>Milwaukee</v>
      </c>
      <c r="N648" s="5" t="str">
        <f ca="1">IFERROR(__xludf.DUMMYFUNCTION("""COMPUTED_VALUE"""),"WI")</f>
        <v>WI</v>
      </c>
      <c r="O648" s="5" t="str">
        <f ca="1">IFERROR(__xludf.DUMMYFUNCTION("""COMPUTED_VALUE"""),"Other")</f>
        <v>Other</v>
      </c>
      <c r="P648" s="5" t="str">
        <f ca="1">IFERROR(__xludf.DUMMYFUNCTION("""COMPUTED_VALUE"""),"Hallway")</f>
        <v>Hallway</v>
      </c>
      <c r="Q648" s="5" t="str">
        <f ca="1">IFERROR(__xludf.DUMMYFUNCTION("""COMPUTED_VALUE"""),"Inside School Building")</f>
        <v>Inside School Building</v>
      </c>
      <c r="R648" s="5" t="str">
        <f ca="1">IFERROR(__xludf.DUMMYFUNCTION("""COMPUTED_VALUE"""),"Yes")</f>
        <v>Yes</v>
      </c>
      <c r="S648" s="5" t="str">
        <f ca="1">IFERROR(__xludf.DUMMYFUNCTION("""COMPUTED_VALUE"""),"Morning Classes")</f>
        <v>Morning Classes</v>
      </c>
      <c r="T648" s="5"/>
      <c r="U648" s="5">
        <f ca="1">IFERROR(__xludf.DUMMYFUNCTION("""COMPUTED_VALUE"""),1)</f>
        <v>1</v>
      </c>
      <c r="V648" s="5" t="str">
        <f ca="1">IFERROR(__xludf.DUMMYFUNCTION("""COMPUTED_VALUE"""),"Accidental discharge of school employees handgun grazed student.")</f>
        <v>Accidental discharge of school employees handgun grazed student.</v>
      </c>
      <c r="W648"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X648" s="5" t="str">
        <f ca="1">IFERROR(__xludf.DUMMYFUNCTION("""COMPUTED_VALUE"""),"Accidental")</f>
        <v>Accidental</v>
      </c>
      <c r="Y648" s="5" t="str">
        <f ca="1">IFERROR(__xludf.DUMMYFUNCTION("""COMPUTED_VALUE"""),"Random Shooting")</f>
        <v>Random Shooting</v>
      </c>
      <c r="Z648" s="5" t="str">
        <f ca="1">IFERROR(__xludf.DUMMYFUNCTION("""COMPUTED_VALUE"""),"No")</f>
        <v>No</v>
      </c>
      <c r="AA648" s="5"/>
      <c r="AB648" s="5" t="str">
        <f ca="1">IFERROR(__xludf.DUMMYFUNCTION("""COMPUTED_VALUE"""),"No")</f>
        <v>No</v>
      </c>
      <c r="AC648" s="5" t="str">
        <f ca="1">IFERROR(__xludf.DUMMYFUNCTION("""COMPUTED_VALUE"""),"No")</f>
        <v>No</v>
      </c>
      <c r="AD648" s="5" t="str">
        <f ca="1">IFERROR(__xludf.DUMMYFUNCTION("""COMPUTED_VALUE"""),"No")</f>
        <v>No</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row>
    <row r="649" spans="1:34" ht="12.75">
      <c r="A649" s="5" t="str">
        <f ca="1">IFERROR(__xludf.DUMMYFUNCTION("""COMPUTED_VALUE"""),"20190403FLSAJ")</f>
        <v>20190403FLSAJ</v>
      </c>
      <c r="B649" s="8">
        <f ca="1">IFERROR(__xludf.DUMMYFUNCTION("""COMPUTED_VALUE"""),43558)</f>
        <v>43558</v>
      </c>
      <c r="C649" s="5" t="str">
        <f ca="1">IFERROR(__xludf.DUMMYFUNCTION("""COMPUTED_VALUE"""),"Saint Clair Evans Academy")</f>
        <v>Saint Clair Evans Academy</v>
      </c>
      <c r="D649" s="5">
        <f ca="1">IFERROR(__xludf.DUMMYFUNCTION("""COMPUTED_VALUE"""),0)</f>
        <v>0</v>
      </c>
      <c r="E649" s="5">
        <f ca="1">IFERROR(__xludf.DUMMYFUNCTION("""COMPUTED_VALUE"""),0)</f>
        <v>0</v>
      </c>
      <c r="F649" s="5">
        <f ca="1">IFERROR(__xludf.DUMMYFUNCTION("""COMPUTED_VALUE"""),0)</f>
        <v>0</v>
      </c>
      <c r="G649" s="5">
        <f ca="1">IFERROR(__xludf.DUMMYFUNCTION("""COMPUTED_VALUE"""),0)</f>
        <v>0</v>
      </c>
      <c r="H649"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I649" s="5"/>
      <c r="J649" s="5"/>
      <c r="K649" s="5">
        <f ca="1">IFERROR(__xludf.DUMMYFUNCTION("""COMPUTED_VALUE"""),4)</f>
        <v>4</v>
      </c>
      <c r="L649" s="5" t="str">
        <f ca="1">IFERROR(__xludf.DUMMYFUNCTION("""COMPUTED_VALUE"""),"Spring")</f>
        <v>Spring</v>
      </c>
      <c r="M649" s="5" t="str">
        <f ca="1">IFERROR(__xludf.DUMMYFUNCTION("""COMPUTED_VALUE"""),"Jacksonville")</f>
        <v>Jacksonville</v>
      </c>
      <c r="N649" s="5" t="str">
        <f ca="1">IFERROR(__xludf.DUMMYFUNCTION("""COMPUTED_VALUE"""),"FL")</f>
        <v>FL</v>
      </c>
      <c r="O649" s="5" t="str">
        <f ca="1">IFERROR(__xludf.DUMMYFUNCTION("""COMPUTED_VALUE"""),"Elementary")</f>
        <v>Elementary</v>
      </c>
      <c r="P649" s="5" t="str">
        <f ca="1">IFERROR(__xludf.DUMMYFUNCTION("""COMPUTED_VALUE"""),"Off School Property")</f>
        <v>Off School Property</v>
      </c>
      <c r="Q649" s="5" t="str">
        <f ca="1">IFERROR(__xludf.DUMMYFUNCTION("""COMPUTED_VALUE"""),"Off School Property")</f>
        <v>Off School Property</v>
      </c>
      <c r="R649" s="5" t="str">
        <f ca="1">IFERROR(__xludf.DUMMYFUNCTION("""COMPUTED_VALUE"""),"Yes")</f>
        <v>Yes</v>
      </c>
      <c r="S649" s="5" t="str">
        <f ca="1">IFERROR(__xludf.DUMMYFUNCTION("""COMPUTED_VALUE"""),"Morning Classes")</f>
        <v>Morning Classes</v>
      </c>
      <c r="T649" s="10">
        <f ca="1">IFERROR(__xludf.DUMMYFUNCTION("""COMPUTED_VALUE"""),0.458333333333333)</f>
        <v>0.45833333333333298</v>
      </c>
      <c r="U649" s="5">
        <f ca="1">IFERROR(__xludf.DUMMYFUNCTION("""COMPUTED_VALUE"""),1)</f>
        <v>1</v>
      </c>
      <c r="V649" s="5" t="str">
        <f ca="1">IFERROR(__xludf.DUMMYFUNCTION("""COMPUTED_VALUE"""),"Shots fired nearby struck the school and broke a classroom window")</f>
        <v>Shots fired nearby struck the school and broke a classroom window</v>
      </c>
      <c r="W649"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X649" s="5" t="str">
        <f ca="1">IFERROR(__xludf.DUMMYFUNCTION("""COMPUTED_VALUE"""),"Drive-by Shooting")</f>
        <v>Drive-by Shooting</v>
      </c>
      <c r="Y649" s="5" t="str">
        <f ca="1">IFERROR(__xludf.DUMMYFUNCTION("""COMPUTED_VALUE"""),"Victims Targeted")</f>
        <v>Victims Targeted</v>
      </c>
      <c r="Z649" s="5"/>
      <c r="AA649" s="5"/>
      <c r="AB649" s="5" t="str">
        <f ca="1">IFERROR(__xludf.DUMMYFUNCTION("""COMPUTED_VALUE"""),"No")</f>
        <v>No</v>
      </c>
      <c r="AC649" s="5" t="str">
        <f ca="1">IFERROR(__xludf.DUMMYFUNCTION("""COMPUTED_VALUE"""),"No")</f>
        <v>No</v>
      </c>
      <c r="AD649" s="5" t="str">
        <f ca="1">IFERROR(__xludf.DUMMYFUNCTION("""COMPUTED_VALUE"""),"No")</f>
        <v>No</v>
      </c>
      <c r="AE649" s="5" t="str">
        <f ca="1">IFERROR(__xludf.DUMMYFUNCTION("""COMPUTED_VALUE"""),"No")</f>
        <v>No</v>
      </c>
      <c r="AF649" s="5" t="str">
        <f ca="1">IFERROR(__xludf.DUMMYFUNCTION("""COMPUTED_VALUE"""),"No")</f>
        <v>No</v>
      </c>
      <c r="AG649" s="5"/>
      <c r="AH649" s="5" t="str">
        <f ca="1">IFERROR(__xludf.DUMMYFUNCTION("""COMPUTED_VALUE"""),"No")</f>
        <v>No</v>
      </c>
    </row>
    <row r="650" spans="1:34" ht="12.75">
      <c r="A650" s="5" t="str">
        <f ca="1">IFERROR(__xludf.DUMMYFUNCTION("""COMPUTED_VALUE"""),"20190403COAUA")</f>
        <v>20190403COAUA</v>
      </c>
      <c r="B650" s="8">
        <f ca="1">IFERROR(__xludf.DUMMYFUNCTION("""COMPUTED_VALUE"""),43558)</f>
        <v>43558</v>
      </c>
      <c r="C650" s="5" t="str">
        <f ca="1">IFERROR(__xludf.DUMMYFUNCTION("""COMPUTED_VALUE"""),"Aurora West College Preparatory Academy")</f>
        <v>Aurora West College Preparatory Academy</v>
      </c>
      <c r="D650" s="5">
        <f ca="1">IFERROR(__xludf.DUMMYFUNCTION("""COMPUTED_VALUE"""),0)</f>
        <v>0</v>
      </c>
      <c r="E650" s="5">
        <f ca="1">IFERROR(__xludf.DUMMYFUNCTION("""COMPUTED_VALUE"""),0)</f>
        <v>0</v>
      </c>
      <c r="F650" s="5">
        <f ca="1">IFERROR(__xludf.DUMMYFUNCTION("""COMPUTED_VALUE"""),0)</f>
        <v>0</v>
      </c>
      <c r="G650" s="5">
        <f ca="1">IFERROR(__xludf.DUMMYFUNCTION("""COMPUTED_VALUE"""),0)</f>
        <v>0</v>
      </c>
      <c r="H650"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I650" s="5"/>
      <c r="J650" s="5"/>
      <c r="K650" s="5">
        <f ca="1">IFERROR(__xludf.DUMMYFUNCTION("""COMPUTED_VALUE"""),4)</f>
        <v>4</v>
      </c>
      <c r="L650" s="5" t="str">
        <f ca="1">IFERROR(__xludf.DUMMYFUNCTION("""COMPUTED_VALUE"""),"Spring")</f>
        <v>Spring</v>
      </c>
      <c r="M650" s="5" t="str">
        <f ca="1">IFERROR(__xludf.DUMMYFUNCTION("""COMPUTED_VALUE"""),"Aurora")</f>
        <v>Aurora</v>
      </c>
      <c r="N650" s="5" t="str">
        <f ca="1">IFERROR(__xludf.DUMMYFUNCTION("""COMPUTED_VALUE"""),"CO")</f>
        <v>CO</v>
      </c>
      <c r="O650" s="5" t="str">
        <f ca="1">IFERROR(__xludf.DUMMYFUNCTION("""COMPUTED_VALUE"""),"Unknown")</f>
        <v>Unknown</v>
      </c>
      <c r="P650" s="5" t="str">
        <f ca="1">IFERROR(__xludf.DUMMYFUNCTION("""COMPUTED_VALUE"""),"Office")</f>
        <v>Office</v>
      </c>
      <c r="Q650" s="5" t="str">
        <f ca="1">IFERROR(__xludf.DUMMYFUNCTION("""COMPUTED_VALUE"""),"Inside School Building")</f>
        <v>Inside School Building</v>
      </c>
      <c r="R650" s="5" t="str">
        <f ca="1">IFERROR(__xludf.DUMMYFUNCTION("""COMPUTED_VALUE"""),"No")</f>
        <v>No</v>
      </c>
      <c r="S650" s="5" t="str">
        <f ca="1">IFERROR(__xludf.DUMMYFUNCTION("""COMPUTED_VALUE"""),"After School")</f>
        <v>After School</v>
      </c>
      <c r="T650" s="5"/>
      <c r="U650" s="5"/>
      <c r="V650"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W650"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X650" s="5" t="str">
        <f ca="1">IFERROR(__xludf.DUMMYFUNCTION("""COMPUTED_VALUE"""),"Escalation of Dispute")</f>
        <v>Escalation of Dispute</v>
      </c>
      <c r="Y650" s="5" t="str">
        <f ca="1">IFERROR(__xludf.DUMMYFUNCTION("""COMPUTED_VALUE"""),"Victims Targeted")</f>
        <v>Victims Targeted</v>
      </c>
      <c r="Z650" s="5" t="str">
        <f ca="1">IFERROR(__xludf.DUMMYFUNCTION("""COMPUTED_VALUE"""),"No")</f>
        <v>No</v>
      </c>
      <c r="AA650" s="5"/>
      <c r="AB650" s="5" t="str">
        <f ca="1">IFERROR(__xludf.DUMMYFUNCTION("""COMPUTED_VALUE"""),"No")</f>
        <v>No</v>
      </c>
      <c r="AC650" s="5" t="str">
        <f ca="1">IFERROR(__xludf.DUMMYFUNCTION("""COMPUTED_VALUE"""),"No")</f>
        <v>No</v>
      </c>
      <c r="AD650" s="5" t="str">
        <f ca="1">IFERROR(__xludf.DUMMYFUNCTION("""COMPUTED_VALUE"""),"No")</f>
        <v>No</v>
      </c>
      <c r="AE650" s="5" t="str">
        <f ca="1">IFERROR(__xludf.DUMMYFUNCTION("""COMPUTED_VALUE"""),"No")</f>
        <v>No</v>
      </c>
      <c r="AF650" s="5" t="str">
        <f ca="1">IFERROR(__xludf.DUMMYFUNCTION("""COMPUTED_VALUE"""),"No")</f>
        <v>No</v>
      </c>
      <c r="AG650" s="5" t="str">
        <f ca="1">IFERROR(__xludf.DUMMYFUNCTION("""COMPUTED_VALUE"""),"No")</f>
        <v>No</v>
      </c>
      <c r="AH650" s="5" t="str">
        <f ca="1">IFERROR(__xludf.DUMMYFUNCTION("""COMPUTED_VALUE"""),"No")</f>
        <v>No</v>
      </c>
    </row>
    <row r="651" spans="1:34" ht="12.75">
      <c r="A651" s="5" t="str">
        <f ca="1">IFERROR(__xludf.DUMMYFUNCTION("""COMPUTED_VALUE"""),"20190401ARPRP")</f>
        <v>20190401ARPRP</v>
      </c>
      <c r="B651" s="8">
        <f ca="1">IFERROR(__xludf.DUMMYFUNCTION("""COMPUTED_VALUE"""),43556)</f>
        <v>43556</v>
      </c>
      <c r="C651" s="5" t="str">
        <f ca="1">IFERROR(__xludf.DUMMYFUNCTION("""COMPUTED_VALUE"""),"Prescott 
 High School")</f>
        <v>Prescott 
 High School</v>
      </c>
      <c r="D651" s="5">
        <f ca="1">IFERROR(__xludf.DUMMYFUNCTION("""COMPUTED_VALUE"""),0)</f>
        <v>0</v>
      </c>
      <c r="E651" s="5">
        <f ca="1">IFERROR(__xludf.DUMMYFUNCTION("""COMPUTED_VALUE"""),1)</f>
        <v>1</v>
      </c>
      <c r="F651" s="5">
        <f ca="1">IFERROR(__xludf.DUMMYFUNCTION("""COMPUTED_VALUE"""),1)</f>
        <v>1</v>
      </c>
      <c r="G651" s="5">
        <f ca="1">IFERROR(__xludf.DUMMYFUNCTION("""COMPUTED_VALUE"""),0)</f>
        <v>0</v>
      </c>
      <c r="H651"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I651" s="5"/>
      <c r="J651" s="5"/>
      <c r="K651" s="5">
        <f ca="1">IFERROR(__xludf.DUMMYFUNCTION("""COMPUTED_VALUE"""),4)</f>
        <v>4</v>
      </c>
      <c r="L651" s="5" t="str">
        <f ca="1">IFERROR(__xludf.DUMMYFUNCTION("""COMPUTED_VALUE"""),"Spring")</f>
        <v>Spring</v>
      </c>
      <c r="M651" s="5" t="str">
        <f ca="1">IFERROR(__xludf.DUMMYFUNCTION("""COMPUTED_VALUE"""),"Prescott")</f>
        <v>Prescott</v>
      </c>
      <c r="N651" s="5" t="str">
        <f ca="1">IFERROR(__xludf.DUMMYFUNCTION("""COMPUTED_VALUE"""),"AR")</f>
        <v>AR</v>
      </c>
      <c r="O651" s="5" t="str">
        <f ca="1">IFERROR(__xludf.DUMMYFUNCTION("""COMPUTED_VALUE"""),"High")</f>
        <v>High</v>
      </c>
      <c r="P651" s="5" t="str">
        <f ca="1">IFERROR(__xludf.DUMMYFUNCTION("""COMPUTED_VALUE"""),"Hallway")</f>
        <v>Hallway</v>
      </c>
      <c r="Q651" s="5" t="str">
        <f ca="1">IFERROR(__xludf.DUMMYFUNCTION("""COMPUTED_VALUE"""),"Inside School Building")</f>
        <v>Inside School Building</v>
      </c>
      <c r="R651" s="5" t="str">
        <f ca="1">IFERROR(__xludf.DUMMYFUNCTION("""COMPUTED_VALUE"""),"Yes")</f>
        <v>Yes</v>
      </c>
      <c r="S651" s="5" t="str">
        <f ca="1">IFERROR(__xludf.DUMMYFUNCTION("""COMPUTED_VALUE"""),"Morning Classes")</f>
        <v>Morning Classes</v>
      </c>
      <c r="T651" s="10">
        <f ca="1">IFERROR(__xludf.DUMMYFUNCTION("""COMPUTED_VALUE"""),0.384722222222222)</f>
        <v>0.38472222222222202</v>
      </c>
      <c r="U651" s="5">
        <f ca="1">IFERROR(__xludf.DUMMYFUNCTION("""COMPUTED_VALUE"""),1)</f>
        <v>1</v>
      </c>
      <c r="V651" s="5" t="str">
        <f ca="1">IFERROR(__xludf.DUMMYFUNCTION("""COMPUTED_VALUE"""),"Student brought a handgun to school and shot a targeted classmate")</f>
        <v>Student brought a handgun to school and shot a targeted classmate</v>
      </c>
      <c r="W651"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X651" s="5" t="str">
        <f ca="1">IFERROR(__xludf.DUMMYFUNCTION("""COMPUTED_VALUE"""),"Escalation of Dispute")</f>
        <v>Escalation of Dispute</v>
      </c>
      <c r="Y651" s="5" t="str">
        <f ca="1">IFERROR(__xludf.DUMMYFUNCTION("""COMPUTED_VALUE"""),"Victims Targeted")</f>
        <v>Victims Targeted</v>
      </c>
      <c r="Z651" s="5" t="str">
        <f ca="1">IFERROR(__xludf.DUMMYFUNCTION("""COMPUTED_VALUE"""),"No")</f>
        <v>No</v>
      </c>
      <c r="AA651" s="5"/>
      <c r="AB651" s="5" t="str">
        <f ca="1">IFERROR(__xludf.DUMMYFUNCTION("""COMPUTED_VALUE"""),"No")</f>
        <v>No</v>
      </c>
      <c r="AC651" s="5" t="str">
        <f ca="1">IFERROR(__xludf.DUMMYFUNCTION("""COMPUTED_VALUE"""),"No")</f>
        <v>No</v>
      </c>
      <c r="AD651" s="5" t="str">
        <f ca="1">IFERROR(__xludf.DUMMYFUNCTION("""COMPUTED_VALUE"""),"No")</f>
        <v>No</v>
      </c>
      <c r="AE651" s="5"/>
      <c r="AF651" s="5"/>
      <c r="AG651" s="5" t="str">
        <f ca="1">IFERROR(__xludf.DUMMYFUNCTION("""COMPUTED_VALUE"""),"No")</f>
        <v>No</v>
      </c>
      <c r="AH651" s="5" t="str">
        <f ca="1">IFERROR(__xludf.DUMMYFUNCTION("""COMPUTED_VALUE"""),"No")</f>
        <v>No</v>
      </c>
    </row>
    <row r="652" spans="1:34" ht="12.75">
      <c r="A652" s="5" t="str">
        <f ca="1">IFERROR(__xludf.DUMMYFUNCTION("""COMPUTED_VALUE"""),"20190327MSSVH")</f>
        <v>20190327MSSVH</v>
      </c>
      <c r="B652" s="8">
        <f ca="1">IFERROR(__xludf.DUMMYFUNCTION("""COMPUTED_VALUE"""),43551)</f>
        <v>43551</v>
      </c>
      <c r="C652" s="5" t="str">
        <f ca="1">IFERROR(__xludf.DUMMYFUNCTION("""COMPUTED_VALUE"""),"S V Marshall Elementary")</f>
        <v>S V Marshall Elementary</v>
      </c>
      <c r="D652" s="5">
        <f ca="1">IFERROR(__xludf.DUMMYFUNCTION("""COMPUTED_VALUE"""),0)</f>
        <v>0</v>
      </c>
      <c r="E652" s="5">
        <f ca="1">IFERROR(__xludf.DUMMYFUNCTION("""COMPUTED_VALUE"""),1)</f>
        <v>1</v>
      </c>
      <c r="F652" s="5">
        <f ca="1">IFERROR(__xludf.DUMMYFUNCTION("""COMPUTED_VALUE"""),1)</f>
        <v>1</v>
      </c>
      <c r="G652" s="5">
        <f ca="1">IFERROR(__xludf.DUMMYFUNCTION("""COMPUTED_VALUE"""),0)</f>
        <v>0</v>
      </c>
      <c r="H652"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I652" s="5"/>
      <c r="J652" s="5"/>
      <c r="K652" s="5">
        <f ca="1">IFERROR(__xludf.DUMMYFUNCTION("""COMPUTED_VALUE"""),3)</f>
        <v>3</v>
      </c>
      <c r="L652" s="5" t="str">
        <f ca="1">IFERROR(__xludf.DUMMYFUNCTION("""COMPUTED_VALUE"""),"Spring")</f>
        <v>Spring</v>
      </c>
      <c r="M652" s="5" t="str">
        <f ca="1">IFERROR(__xludf.DUMMYFUNCTION("""COMPUTED_VALUE"""),"Holmes County")</f>
        <v>Holmes County</v>
      </c>
      <c r="N652" s="5" t="str">
        <f ca="1">IFERROR(__xludf.DUMMYFUNCTION("""COMPUTED_VALUE"""),"MS")</f>
        <v>MS</v>
      </c>
      <c r="O652" s="5" t="str">
        <f ca="1">IFERROR(__xludf.DUMMYFUNCTION("""COMPUTED_VALUE"""),"Elementary")</f>
        <v>Elementary</v>
      </c>
      <c r="P652" s="5" t="str">
        <f ca="1">IFERROR(__xludf.DUMMYFUNCTION("""COMPUTED_VALUE"""),"School Bus")</f>
        <v>School Bus</v>
      </c>
      <c r="Q652" s="5" t="str">
        <f ca="1">IFERROR(__xludf.DUMMYFUNCTION("""COMPUTED_VALUE"""),"School Bus")</f>
        <v>School Bus</v>
      </c>
      <c r="R652" s="5" t="str">
        <f ca="1">IFERROR(__xludf.DUMMYFUNCTION("""COMPUTED_VALUE"""),"Yes")</f>
        <v>Yes</v>
      </c>
      <c r="S652" s="5" t="str">
        <f ca="1">IFERROR(__xludf.DUMMYFUNCTION("""COMPUTED_VALUE"""),"Dismissal")</f>
        <v>Dismissal</v>
      </c>
      <c r="T652" s="10">
        <f ca="1">IFERROR(__xludf.DUMMYFUNCTION("""COMPUTED_VALUE"""),0.625)</f>
        <v>0.625</v>
      </c>
      <c r="U652" s="5">
        <f ca="1">IFERROR(__xludf.DUMMYFUNCTION("""COMPUTED_VALUE"""),1)</f>
        <v>1</v>
      </c>
      <c r="V652" s="5" t="str">
        <f ca="1">IFERROR(__xludf.DUMMYFUNCTION("""COMPUTED_VALUE"""),"Student shot in hand while on school bus")</f>
        <v>Student shot in hand while on school bus</v>
      </c>
      <c r="W652"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X652" s="5" t="str">
        <f ca="1">IFERROR(__xludf.DUMMYFUNCTION("""COMPUTED_VALUE"""),"Unknown")</f>
        <v>Unknown</v>
      </c>
      <c r="Y652" s="5" t="str">
        <f ca="1">IFERROR(__xludf.DUMMYFUNCTION("""COMPUTED_VALUE"""),"Random Shooting")</f>
        <v>Random Shooting</v>
      </c>
      <c r="Z652" s="5" t="str">
        <f ca="1">IFERROR(__xludf.DUMMYFUNCTION("""COMPUTED_VALUE"""),"No")</f>
        <v>No</v>
      </c>
      <c r="AA652" s="5"/>
      <c r="AB652" s="5" t="str">
        <f ca="1">IFERROR(__xludf.DUMMYFUNCTION("""COMPUTED_VALUE"""),"No")</f>
        <v>No</v>
      </c>
      <c r="AC652" s="5" t="str">
        <f ca="1">IFERROR(__xludf.DUMMYFUNCTION("""COMPUTED_VALUE"""),"No")</f>
        <v>No</v>
      </c>
      <c r="AD652" s="5" t="str">
        <f ca="1">IFERROR(__xludf.DUMMYFUNCTION("""COMPUTED_VALUE"""),"No")</f>
        <v>No</v>
      </c>
      <c r="AE652" s="5" t="str">
        <f ca="1">IFERROR(__xludf.DUMMYFUNCTION("""COMPUTED_VALUE"""),"No")</f>
        <v>No</v>
      </c>
      <c r="AF652" s="5" t="str">
        <f ca="1">IFERROR(__xludf.DUMMYFUNCTION("""COMPUTED_VALUE"""),"No")</f>
        <v>No</v>
      </c>
      <c r="AG652" s="5" t="str">
        <f ca="1">IFERROR(__xludf.DUMMYFUNCTION("""COMPUTED_VALUE"""),"No")</f>
        <v>No</v>
      </c>
      <c r="AH652" s="5" t="str">
        <f ca="1">IFERROR(__xludf.DUMMYFUNCTION("""COMPUTED_VALUE"""),"No")</f>
        <v>No</v>
      </c>
    </row>
    <row r="653" spans="1:34" ht="12.75">
      <c r="A653" s="5" t="str">
        <f ca="1">IFERROR(__xludf.DUMMYFUNCTION("""COMPUTED_VALUE"""),"20190327FLMAJ")</f>
        <v>20190327FLMAJ</v>
      </c>
      <c r="B653" s="8">
        <f ca="1">IFERROR(__xludf.DUMMYFUNCTION("""COMPUTED_VALUE"""),43551)</f>
        <v>43551</v>
      </c>
      <c r="C653" s="5" t="str">
        <f ca="1">IFERROR(__xludf.DUMMYFUNCTION("""COMPUTED_VALUE"""),"Mayport Coastal Sciences Middle School")</f>
        <v>Mayport Coastal Sciences Middle School</v>
      </c>
      <c r="D653" s="5">
        <f ca="1">IFERROR(__xludf.DUMMYFUNCTION("""COMPUTED_VALUE"""),0)</f>
        <v>0</v>
      </c>
      <c r="E653" s="5">
        <f ca="1">IFERROR(__xludf.DUMMYFUNCTION("""COMPUTED_VALUE"""),1)</f>
        <v>1</v>
      </c>
      <c r="F653" s="5">
        <f ca="1">IFERROR(__xludf.DUMMYFUNCTION("""COMPUTED_VALUE"""),1)</f>
        <v>1</v>
      </c>
      <c r="G653" s="5">
        <f ca="1">IFERROR(__xludf.DUMMYFUNCTION("""COMPUTED_VALUE"""),0)</f>
        <v>0</v>
      </c>
      <c r="H653" s="9" t="str">
        <f ca="1">IFERROR(__xludf.DUMMYFUNCTION("""COMPUTED_VALUE"""),"https://www.news4jax.com/news/2019/03/28/12-year-old-hurt-after-metal-projectile-hits-school-bus/")</f>
        <v>https://www.news4jax.com/news/2019/03/28/12-year-old-hurt-after-metal-projectile-hits-school-bus/</v>
      </c>
      <c r="I653" s="5">
        <f ca="1">IFERROR(__xludf.DUMMYFUNCTION("""COMPUTED_VALUE"""),1)</f>
        <v>1</v>
      </c>
      <c r="J653" s="5" t="str">
        <f ca="1">IFERROR(__xludf.DUMMYFUNCTION("""COMPUTED_VALUE"""),"Local")</f>
        <v>Local</v>
      </c>
      <c r="K653" s="5">
        <f ca="1">IFERROR(__xludf.DUMMYFUNCTION("""COMPUTED_VALUE"""),4)</f>
        <v>4</v>
      </c>
      <c r="L653" s="5" t="str">
        <f ca="1">IFERROR(__xludf.DUMMYFUNCTION("""COMPUTED_VALUE"""),"Spring")</f>
        <v>Spring</v>
      </c>
      <c r="M653" s="5" t="str">
        <f ca="1">IFERROR(__xludf.DUMMYFUNCTION("""COMPUTED_VALUE"""),"Jacksonville")</f>
        <v>Jacksonville</v>
      </c>
      <c r="N653" s="5" t="str">
        <f ca="1">IFERROR(__xludf.DUMMYFUNCTION("""COMPUTED_VALUE"""),"FL")</f>
        <v>FL</v>
      </c>
      <c r="O653" s="5" t="str">
        <f ca="1">IFERROR(__xludf.DUMMYFUNCTION("""COMPUTED_VALUE"""),"Middle")</f>
        <v>Middle</v>
      </c>
      <c r="P653" s="5" t="str">
        <f ca="1">IFERROR(__xludf.DUMMYFUNCTION("""COMPUTED_VALUE"""),"School Bus")</f>
        <v>School Bus</v>
      </c>
      <c r="Q653" s="5" t="str">
        <f ca="1">IFERROR(__xludf.DUMMYFUNCTION("""COMPUTED_VALUE"""),"School Bus")</f>
        <v>School Bus</v>
      </c>
      <c r="R653" s="5" t="str">
        <f ca="1">IFERROR(__xludf.DUMMYFUNCTION("""COMPUTED_VALUE"""),"Yes")</f>
        <v>Yes</v>
      </c>
      <c r="S653" s="5" t="str">
        <f ca="1">IFERROR(__xludf.DUMMYFUNCTION("""COMPUTED_VALUE"""),"After School")</f>
        <v>After School</v>
      </c>
      <c r="T653" s="10">
        <f ca="1">IFERROR(__xludf.DUMMYFUNCTION("""COMPUTED_VALUE"""),0.708333333333333)</f>
        <v>0.70833333333333304</v>
      </c>
      <c r="U653" s="5">
        <f ca="1">IFERROR(__xludf.DUMMYFUNCTION("""COMPUTED_VALUE"""),1)</f>
        <v>1</v>
      </c>
      <c r="V653" s="5" t="str">
        <f ca="1">IFERROR(__xludf.DUMMYFUNCTION("""COMPUTED_VALUE"""),"Student riding on school bus shot by BB gun")</f>
        <v>Student riding on school bus shot by BB gun</v>
      </c>
      <c r="W653"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X653" s="5"/>
      <c r="Y653" s="5" t="str">
        <f ca="1">IFERROR(__xludf.DUMMYFUNCTION("""COMPUTED_VALUE"""),"Random Shooting")</f>
        <v>Random Shooting</v>
      </c>
      <c r="Z653" s="5" t="str">
        <f ca="1">IFERROR(__xludf.DUMMYFUNCTION("""COMPUTED_VALUE"""),"No")</f>
        <v>No</v>
      </c>
      <c r="AA653" s="5"/>
      <c r="AB653" s="5" t="str">
        <f ca="1">IFERROR(__xludf.DUMMYFUNCTION("""COMPUTED_VALUE"""),"No")</f>
        <v>No</v>
      </c>
      <c r="AC653" s="5" t="str">
        <f ca="1">IFERROR(__xludf.DUMMYFUNCTION("""COMPUTED_VALUE"""),"No")</f>
        <v>No</v>
      </c>
      <c r="AD653" s="5" t="str">
        <f ca="1">IFERROR(__xludf.DUMMYFUNCTION("""COMPUTED_VALUE"""),"No")</f>
        <v>No</v>
      </c>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row>
    <row r="654" spans="1:34" ht="12.75">
      <c r="A654" s="5" t="str">
        <f ca="1">IFERROR(__xludf.DUMMYFUNCTION("""COMPUTED_VALUE"""),"20190322ALBLB")</f>
        <v>20190322ALBLB</v>
      </c>
      <c r="B654" s="8">
        <f ca="1">IFERROR(__xludf.DUMMYFUNCTION("""COMPUTED_VALUE"""),43546)</f>
        <v>43546</v>
      </c>
      <c r="C654" s="5" t="str">
        <f ca="1">IFERROR(__xludf.DUMMYFUNCTION("""COMPUTED_VALUE"""),"Blountsville Elementary School")</f>
        <v>Blountsville Elementary School</v>
      </c>
      <c r="D654" s="5">
        <f ca="1">IFERROR(__xludf.DUMMYFUNCTION("""COMPUTED_VALUE"""),0)</f>
        <v>0</v>
      </c>
      <c r="E654" s="5">
        <f ca="1">IFERROR(__xludf.DUMMYFUNCTION("""COMPUTED_VALUE"""),0)</f>
        <v>0</v>
      </c>
      <c r="F654" s="5">
        <f ca="1">IFERROR(__xludf.DUMMYFUNCTION("""COMPUTED_VALUE"""),0)</f>
        <v>0</v>
      </c>
      <c r="G654" s="5">
        <f ca="1">IFERROR(__xludf.DUMMYFUNCTION("""COMPUTED_VALUE"""),0)</f>
        <v>0</v>
      </c>
      <c r="H654"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I654" s="5"/>
      <c r="J654" s="5"/>
      <c r="K654" s="5">
        <f ca="1">IFERROR(__xludf.DUMMYFUNCTION("""COMPUTED_VALUE"""),4)</f>
        <v>4</v>
      </c>
      <c r="L654" s="5" t="str">
        <f ca="1">IFERROR(__xludf.DUMMYFUNCTION("""COMPUTED_VALUE"""),"Spring")</f>
        <v>Spring</v>
      </c>
      <c r="M654" s="5" t="str">
        <f ca="1">IFERROR(__xludf.DUMMYFUNCTION("""COMPUTED_VALUE"""),"Blountsville")</f>
        <v>Blountsville</v>
      </c>
      <c r="N654" s="5" t="str">
        <f ca="1">IFERROR(__xludf.DUMMYFUNCTION("""COMPUTED_VALUE"""),"AL")</f>
        <v>AL</v>
      </c>
      <c r="O654" s="5" t="str">
        <f ca="1">IFERROR(__xludf.DUMMYFUNCTION("""COMPUTED_VALUE"""),"Elementary")</f>
        <v>Elementary</v>
      </c>
      <c r="P654" s="5" t="str">
        <f ca="1">IFERROR(__xludf.DUMMYFUNCTION("""COMPUTED_VALUE"""),"Classroom")</f>
        <v>Classroom</v>
      </c>
      <c r="Q654" s="5" t="str">
        <f ca="1">IFERROR(__xludf.DUMMYFUNCTION("""COMPUTED_VALUE"""),"Inside School Building")</f>
        <v>Inside School Building</v>
      </c>
      <c r="R654" s="5" t="str">
        <f ca="1">IFERROR(__xludf.DUMMYFUNCTION("""COMPUTED_VALUE"""),"Yes")</f>
        <v>Yes</v>
      </c>
      <c r="S654" s="5" t="str">
        <f ca="1">IFERROR(__xludf.DUMMYFUNCTION("""COMPUTED_VALUE"""),"Morning Classes")</f>
        <v>Morning Classes</v>
      </c>
      <c r="T654" s="10">
        <f ca="1">IFERROR(__xludf.DUMMYFUNCTION("""COMPUTED_VALUE"""),0.479166666666666)</f>
        <v>0.47916666666666602</v>
      </c>
      <c r="U654" s="5">
        <f ca="1">IFERROR(__xludf.DUMMYFUNCTION("""COMPUTED_VALUE"""),1)</f>
        <v>1</v>
      </c>
      <c r="V654" s="5" t="str">
        <f ca="1">IFERROR(__xludf.DUMMYFUNCTION("""COMPUTED_VALUE"""),"Gun discharged in teacher's pocket")</f>
        <v>Gun discharged in teacher's pocket</v>
      </c>
      <c r="W654"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X654" s="5" t="str">
        <f ca="1">IFERROR(__xludf.DUMMYFUNCTION("""COMPUTED_VALUE"""),"Accidental")</f>
        <v>Accidental</v>
      </c>
      <c r="Y654" s="5" t="str">
        <f ca="1">IFERROR(__xludf.DUMMYFUNCTION("""COMPUTED_VALUE"""),"Random Shooting")</f>
        <v>Random Shooting</v>
      </c>
      <c r="Z654" s="5" t="str">
        <f ca="1">IFERROR(__xludf.DUMMYFUNCTION("""COMPUTED_VALUE"""),"No")</f>
        <v>No</v>
      </c>
      <c r="AA654" s="5"/>
      <c r="AB654" s="5" t="str">
        <f ca="1">IFERROR(__xludf.DUMMYFUNCTION("""COMPUTED_VALUE"""),"No")</f>
        <v>No</v>
      </c>
      <c r="AC654" s="5" t="str">
        <f ca="1">IFERROR(__xludf.DUMMYFUNCTION("""COMPUTED_VALUE"""),"No")</f>
        <v>No</v>
      </c>
      <c r="AD654" s="5" t="str">
        <f ca="1">IFERROR(__xludf.DUMMYFUNCTION("""COMPUTED_VALUE"""),"No")</f>
        <v>No</v>
      </c>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row>
    <row r="655" spans="1:34" ht="12.75">
      <c r="A655" s="5" t="str">
        <f ca="1">IFERROR(__xludf.DUMMYFUNCTION("""COMPUTED_VALUE"""),"20190313FLLAO")</f>
        <v>20190313FLLAO</v>
      </c>
      <c r="B655" s="8">
        <f ca="1">IFERROR(__xludf.DUMMYFUNCTION("""COMPUTED_VALUE"""),43537)</f>
        <v>43537</v>
      </c>
      <c r="C655" s="5" t="str">
        <f ca="1">IFERROR(__xludf.DUMMYFUNCTION("""COMPUTED_VALUE"""),"Lake Mary High School")</f>
        <v>Lake Mary High School</v>
      </c>
      <c r="D655" s="5">
        <f ca="1">IFERROR(__xludf.DUMMYFUNCTION("""COMPUTED_VALUE"""),0)</f>
        <v>0</v>
      </c>
      <c r="E655" s="5">
        <f ca="1">IFERROR(__xludf.DUMMYFUNCTION("""COMPUTED_VALUE"""),0)</f>
        <v>0</v>
      </c>
      <c r="F655" s="5">
        <f ca="1">IFERROR(__xludf.DUMMYFUNCTION("""COMPUTED_VALUE"""),0)</f>
        <v>0</v>
      </c>
      <c r="G655" s="5">
        <f ca="1">IFERROR(__xludf.DUMMYFUNCTION("""COMPUTED_VALUE"""),1)</f>
        <v>1</v>
      </c>
      <c r="H655" s="9" t="str">
        <f ca="1">IFERROR(__xludf.DUMMYFUNCTION("""COMPUTED_VALUE"""),"https://www.orlandosentinel.com/news/breaking-news/os-ne-lake-mary-lockdown-code-red-20190313-story.html")</f>
        <v>https://www.orlandosentinel.com/news/breaking-news/os-ne-lake-mary-lockdown-code-red-20190313-story.html</v>
      </c>
      <c r="I655" s="5"/>
      <c r="J655" s="5"/>
      <c r="K655" s="5">
        <f ca="1">IFERROR(__xludf.DUMMYFUNCTION("""COMPUTED_VALUE"""),4)</f>
        <v>4</v>
      </c>
      <c r="L655" s="5" t="str">
        <f ca="1">IFERROR(__xludf.DUMMYFUNCTION("""COMPUTED_VALUE"""),"Spring")</f>
        <v>Spring</v>
      </c>
      <c r="M655" s="5" t="str">
        <f ca="1">IFERROR(__xludf.DUMMYFUNCTION("""COMPUTED_VALUE"""),"Orlando")</f>
        <v>Orlando</v>
      </c>
      <c r="N655" s="5" t="str">
        <f ca="1">IFERROR(__xludf.DUMMYFUNCTION("""COMPUTED_VALUE"""),"FL")</f>
        <v>FL</v>
      </c>
      <c r="O655" s="5" t="str">
        <f ca="1">IFERROR(__xludf.DUMMYFUNCTION("""COMPUTED_VALUE"""),"High")</f>
        <v>High</v>
      </c>
      <c r="P655" s="5" t="str">
        <f ca="1">IFERROR(__xludf.DUMMYFUNCTION("""COMPUTED_VALUE"""),"Auditorium")</f>
        <v>Auditorium</v>
      </c>
      <c r="Q655" s="5" t="str">
        <f ca="1">IFERROR(__xludf.DUMMYFUNCTION("""COMPUTED_VALUE"""),"Inside School Building")</f>
        <v>Inside School Building</v>
      </c>
      <c r="R655" s="5" t="str">
        <f ca="1">IFERROR(__xludf.DUMMYFUNCTION("""COMPUTED_VALUE"""),"Yes")</f>
        <v>Yes</v>
      </c>
      <c r="S655" s="5" t="str">
        <f ca="1">IFERROR(__xludf.DUMMYFUNCTION("""COMPUTED_VALUE"""),"Morning Classes")</f>
        <v>Morning Classes</v>
      </c>
      <c r="T655" s="10">
        <f ca="1">IFERROR(__xludf.DUMMYFUNCTION("""COMPUTED_VALUE"""),0.333333333333333)</f>
        <v>0.33333333333333298</v>
      </c>
      <c r="U655" s="5">
        <f ca="1">IFERROR(__xludf.DUMMYFUNCTION("""COMPUTED_VALUE"""),1)</f>
        <v>1</v>
      </c>
      <c r="V655" s="5" t="str">
        <f ca="1">IFERROR(__xludf.DUMMYFUNCTION("""COMPUTED_VALUE"""),"Student asked to leave classroom and commit suicide in school auditorium")</f>
        <v>Student asked to leave classroom and commit suicide in school auditorium</v>
      </c>
      <c r="W655"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X655" s="5" t="str">
        <f ca="1">IFERROR(__xludf.DUMMYFUNCTION("""COMPUTED_VALUE"""),"Suicide/Attempted")</f>
        <v>Suicide/Attempted</v>
      </c>
      <c r="Y655" s="5" t="str">
        <f ca="1">IFERROR(__xludf.DUMMYFUNCTION("""COMPUTED_VALUE"""),"Victims Targeted")</f>
        <v>Victims Targeted</v>
      </c>
      <c r="Z655" s="5" t="str">
        <f ca="1">IFERROR(__xludf.DUMMYFUNCTION("""COMPUTED_VALUE"""),"No")</f>
        <v>No</v>
      </c>
      <c r="AA655" s="5"/>
      <c r="AB655" s="5" t="str">
        <f ca="1">IFERROR(__xludf.DUMMYFUNCTION("""COMPUTED_VALUE"""),"No")</f>
        <v>No</v>
      </c>
      <c r="AC655" s="5" t="str">
        <f ca="1">IFERROR(__xludf.DUMMYFUNCTION("""COMPUTED_VALUE"""),"No")</f>
        <v>No</v>
      </c>
      <c r="AD655" s="5" t="str">
        <f ca="1">IFERROR(__xludf.DUMMYFUNCTION("""COMPUTED_VALUE"""),"No")</f>
        <v>No</v>
      </c>
      <c r="AE655" s="5"/>
      <c r="AF655" s="5" t="str">
        <f ca="1">IFERROR(__xludf.DUMMYFUNCTION("""COMPUTED_VALUE"""),"No")</f>
        <v>No</v>
      </c>
      <c r="AG655" s="5" t="str">
        <f ca="1">IFERROR(__xludf.DUMMYFUNCTION("""COMPUTED_VALUE"""),"No")</f>
        <v>No</v>
      </c>
      <c r="AH655" s="5" t="str">
        <f ca="1">IFERROR(__xludf.DUMMYFUNCTION("""COMPUTED_VALUE"""),"No")</f>
        <v>No</v>
      </c>
    </row>
    <row r="656" spans="1:34" ht="12.75">
      <c r="A656" s="5" t="str">
        <f ca="1">IFERROR(__xludf.DUMMYFUNCTION("""COMPUTED_VALUE"""),"20190301KSHIM")</f>
        <v>20190301KSHIM</v>
      </c>
      <c r="B656" s="8">
        <f ca="1">IFERROR(__xludf.DUMMYFUNCTION("""COMPUTED_VALUE"""),43525)</f>
        <v>43525</v>
      </c>
      <c r="C656" s="5" t="str">
        <f ca="1">IFERROR(__xludf.DUMMYFUNCTION("""COMPUTED_VALUE"""),"Highlands Elementary School")</f>
        <v>Highlands Elementary School</v>
      </c>
      <c r="D656" s="5">
        <f ca="1">IFERROR(__xludf.DUMMYFUNCTION("""COMPUTED_VALUE"""),0)</f>
        <v>0</v>
      </c>
      <c r="E656" s="5">
        <f ca="1">IFERROR(__xludf.DUMMYFUNCTION("""COMPUTED_VALUE"""),0)</f>
        <v>0</v>
      </c>
      <c r="F656" s="5">
        <f ca="1">IFERROR(__xludf.DUMMYFUNCTION("""COMPUTED_VALUE"""),0)</f>
        <v>0</v>
      </c>
      <c r="G656" s="5">
        <f ca="1">IFERROR(__xludf.DUMMYFUNCTION("""COMPUTED_VALUE"""),0)</f>
        <v>0</v>
      </c>
      <c r="H656"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I656" s="5">
        <f ca="1">IFERROR(__xludf.DUMMYFUNCTION("""COMPUTED_VALUE"""),4)</f>
        <v>4</v>
      </c>
      <c r="J656" s="5" t="str">
        <f ca="1">IFERROR(__xludf.DUMMYFUNCTION("""COMPUTED_VALUE"""),"Local")</f>
        <v>Local</v>
      </c>
      <c r="K656" s="5">
        <f ca="1">IFERROR(__xludf.DUMMYFUNCTION("""COMPUTED_VALUE"""),4)</f>
        <v>4</v>
      </c>
      <c r="L656" s="5" t="str">
        <f ca="1">IFERROR(__xludf.DUMMYFUNCTION("""COMPUTED_VALUE"""),"Spring")</f>
        <v>Spring</v>
      </c>
      <c r="M656" s="5" t="str">
        <f ca="1">IFERROR(__xludf.DUMMYFUNCTION("""COMPUTED_VALUE"""),"Mission")</f>
        <v>Mission</v>
      </c>
      <c r="N656" s="5" t="str">
        <f ca="1">IFERROR(__xludf.DUMMYFUNCTION("""COMPUTED_VALUE"""),"KS")</f>
        <v>KS</v>
      </c>
      <c r="O656" s="5" t="str">
        <f ca="1">IFERROR(__xludf.DUMMYFUNCTION("""COMPUTED_VALUE"""),"Elementary")</f>
        <v>Elementary</v>
      </c>
      <c r="P656" s="5" t="str">
        <f ca="1">IFERROR(__xludf.DUMMYFUNCTION("""COMPUTED_VALUE"""),"Off School Property")</f>
        <v>Off School Property</v>
      </c>
      <c r="Q656" s="5" t="str">
        <f ca="1">IFERROR(__xludf.DUMMYFUNCTION("""COMPUTED_VALUE"""),"Off School Property")</f>
        <v>Off School Property</v>
      </c>
      <c r="R656" s="5" t="str">
        <f ca="1">IFERROR(__xludf.DUMMYFUNCTION("""COMPUTED_VALUE"""),"Yes")</f>
        <v>Yes</v>
      </c>
      <c r="S656" s="5" t="str">
        <f ca="1">IFERROR(__xludf.DUMMYFUNCTION("""COMPUTED_VALUE"""),"Afternoon Classes")</f>
        <v>Afternoon Classes</v>
      </c>
      <c r="T656" s="10">
        <f ca="1">IFERROR(__xludf.DUMMYFUNCTION("""COMPUTED_VALUE"""),0.5625)</f>
        <v>0.5625</v>
      </c>
      <c r="U656" s="5">
        <f ca="1">IFERROR(__xludf.DUMMYFUNCTION("""COMPUTED_VALUE"""),75)</f>
        <v>75</v>
      </c>
      <c r="V656" s="5" t="str">
        <f ca="1">IFERROR(__xludf.DUMMYFUNCTION("""COMPUTED_VALUE"""),"Shooter fired 27 shots at the school from his bedroom during attempted suicide by cop")</f>
        <v>Shooter fired 27 shots at the school from his bedroom during attempted suicide by cop</v>
      </c>
      <c r="W656"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X656" s="5" t="str">
        <f ca="1">IFERROR(__xludf.DUMMYFUNCTION("""COMPUTED_VALUE"""),"Suicide/Attempted")</f>
        <v>Suicide/Attempted</v>
      </c>
      <c r="Y656" s="5" t="str">
        <f ca="1">IFERROR(__xludf.DUMMYFUNCTION("""COMPUTED_VALUE"""),"Neither")</f>
        <v>Neither</v>
      </c>
      <c r="Z656" s="5" t="str">
        <f ca="1">IFERROR(__xludf.DUMMYFUNCTION("""COMPUTED_VALUE"""),"No")</f>
        <v>No</v>
      </c>
      <c r="AA656" s="5"/>
      <c r="AB656" s="5" t="str">
        <f ca="1">IFERROR(__xludf.DUMMYFUNCTION("""COMPUTED_VALUE"""),"No")</f>
        <v>No</v>
      </c>
      <c r="AC656" s="5" t="str">
        <f ca="1">IFERROR(__xludf.DUMMYFUNCTION("""COMPUTED_VALUE"""),"No")</f>
        <v>No</v>
      </c>
      <c r="AD656" s="5" t="str">
        <f ca="1">IFERROR(__xludf.DUMMYFUNCTION("""COMPUTED_VALUE"""),"No")</f>
        <v>No</v>
      </c>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row>
    <row r="657" spans="1:34" ht="12.75">
      <c r="A657" s="5" t="str">
        <f ca="1">IFERROR(__xludf.DUMMYFUNCTION("""COMPUTED_VALUE"""),"20190226ALROM")</f>
        <v>20190226ALROM</v>
      </c>
      <c r="B657" s="8">
        <f ca="1">IFERROR(__xludf.DUMMYFUNCTION("""COMPUTED_VALUE"""),43522)</f>
        <v>43522</v>
      </c>
      <c r="C657" s="5" t="str">
        <f ca="1">IFERROR(__xludf.DUMMYFUNCTION("""COMPUTED_VALUE"""),"Robert E. Lee High School")</f>
        <v>Robert E. Lee High School</v>
      </c>
      <c r="D657" s="5">
        <f ca="1">IFERROR(__xludf.DUMMYFUNCTION("""COMPUTED_VALUE"""),0)</f>
        <v>0</v>
      </c>
      <c r="E657" s="5">
        <f ca="1">IFERROR(__xludf.DUMMYFUNCTION("""COMPUTED_VALUE"""),1)</f>
        <v>1</v>
      </c>
      <c r="F657" s="5">
        <f ca="1">IFERROR(__xludf.DUMMYFUNCTION("""COMPUTED_VALUE"""),1)</f>
        <v>1</v>
      </c>
      <c r="G657" s="5">
        <f ca="1">IFERROR(__xludf.DUMMYFUNCTION("""COMPUTED_VALUE"""),0)</f>
        <v>0</v>
      </c>
      <c r="H657"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I657" s="5"/>
      <c r="J657" s="5" t="str">
        <f ca="1">IFERROR(__xludf.DUMMYFUNCTION("""COMPUTED_VALUE"""),"Local")</f>
        <v>Local</v>
      </c>
      <c r="K657" s="5">
        <f ca="1">IFERROR(__xludf.DUMMYFUNCTION("""COMPUTED_VALUE"""),4)</f>
        <v>4</v>
      </c>
      <c r="L657" s="5" t="str">
        <f ca="1">IFERROR(__xludf.DUMMYFUNCTION("""COMPUTED_VALUE"""),"Winter")</f>
        <v>Winter</v>
      </c>
      <c r="M657" s="5" t="str">
        <f ca="1">IFERROR(__xludf.DUMMYFUNCTION("""COMPUTED_VALUE"""),"Montgomery")</f>
        <v>Montgomery</v>
      </c>
      <c r="N657" s="5" t="str">
        <f ca="1">IFERROR(__xludf.DUMMYFUNCTION("""COMPUTED_VALUE"""),"AL")</f>
        <v>AL</v>
      </c>
      <c r="O657" s="5" t="str">
        <f ca="1">IFERROR(__xludf.DUMMYFUNCTION("""COMPUTED_VALUE"""),"High")</f>
        <v>High</v>
      </c>
      <c r="P657" s="5" t="str">
        <f ca="1">IFERROR(__xludf.DUMMYFUNCTION("""COMPUTED_VALUE"""),"Gym")</f>
        <v>Gym</v>
      </c>
      <c r="Q657" s="5" t="str">
        <f ca="1">IFERROR(__xludf.DUMMYFUNCTION("""COMPUTED_VALUE"""),"Inside School Building")</f>
        <v>Inside School Building</v>
      </c>
      <c r="R657" s="5" t="str">
        <f ca="1">IFERROR(__xludf.DUMMYFUNCTION("""COMPUTED_VALUE"""),"Yes")</f>
        <v>Yes</v>
      </c>
      <c r="S657" s="5" t="str">
        <f ca="1">IFERROR(__xludf.DUMMYFUNCTION("""COMPUTED_VALUE"""),"Morning Classes")</f>
        <v>Morning Classes</v>
      </c>
      <c r="T657" s="10">
        <f ca="1">IFERROR(__xludf.DUMMYFUNCTION("""COMPUTED_VALUE"""),0.458333333333333)</f>
        <v>0.45833333333333298</v>
      </c>
      <c r="U657" s="5">
        <f ca="1">IFERROR(__xludf.DUMMYFUNCTION("""COMPUTED_VALUE"""),1)</f>
        <v>1</v>
      </c>
      <c r="V657" s="5" t="str">
        <f ca="1">IFERROR(__xludf.DUMMYFUNCTION("""COMPUTED_VALUE"""),"Student shot by other student in the school gym. Police said shooting was targeted.")</f>
        <v>Student shot by other student in the school gym. Police said shooting was targeted.</v>
      </c>
      <c r="W657"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X657" s="5" t="str">
        <f ca="1">IFERROR(__xludf.DUMMYFUNCTION("""COMPUTED_VALUE"""),"Escalation of Dispute")</f>
        <v>Escalation of Dispute</v>
      </c>
      <c r="Y657" s="5" t="str">
        <f ca="1">IFERROR(__xludf.DUMMYFUNCTION("""COMPUTED_VALUE"""),"Victims Targeted")</f>
        <v>Victims Targeted</v>
      </c>
      <c r="Z657" s="5" t="str">
        <f ca="1">IFERROR(__xludf.DUMMYFUNCTION("""COMPUTED_VALUE"""),"Yes")</f>
        <v>Yes</v>
      </c>
      <c r="AA657" s="5" t="str">
        <f ca="1">IFERROR(__xludf.DUMMYFUNCTION("""COMPUTED_VALUE"""),"4 teens arrested")</f>
        <v>4 teens arrested</v>
      </c>
      <c r="AB657" s="5" t="str">
        <f ca="1">IFERROR(__xludf.DUMMYFUNCTION("""COMPUTED_VALUE"""),"No")</f>
        <v>No</v>
      </c>
      <c r="AC657" s="5" t="str">
        <f ca="1">IFERROR(__xludf.DUMMYFUNCTION("""COMPUTED_VALUE"""),"No")</f>
        <v>No</v>
      </c>
      <c r="AD657" s="5" t="str">
        <f ca="1">IFERROR(__xludf.DUMMYFUNCTION("""COMPUTED_VALUE"""),"No")</f>
        <v>No</v>
      </c>
      <c r="AE657" s="5"/>
      <c r="AF657" s="5" t="str">
        <f ca="1">IFERROR(__xludf.DUMMYFUNCTION("""COMPUTED_VALUE"""),"No")</f>
        <v>No</v>
      </c>
      <c r="AG657" s="5"/>
      <c r="AH657" s="5" t="str">
        <f ca="1">IFERROR(__xludf.DUMMYFUNCTION("""COMPUTED_VALUE"""),"No")</f>
        <v>No</v>
      </c>
    </row>
    <row r="658" spans="1:34" ht="12.75">
      <c r="A658" s="5" t="str">
        <f ca="1">IFERROR(__xludf.DUMMYFUNCTION("""COMPUTED_VALUE"""),"20190217COEAA")</f>
        <v>20190217COEAA</v>
      </c>
      <c r="B658" s="8">
        <f ca="1">IFERROR(__xludf.DUMMYFUNCTION("""COMPUTED_VALUE"""),43513)</f>
        <v>43513</v>
      </c>
      <c r="C658" s="5" t="str">
        <f ca="1">IFERROR(__xludf.DUMMYFUNCTION("""COMPUTED_VALUE"""),"Eaglecrest High School")</f>
        <v>Eaglecrest High School</v>
      </c>
      <c r="D658" s="5">
        <f ca="1">IFERROR(__xludf.DUMMYFUNCTION("""COMPUTED_VALUE"""),1)</f>
        <v>1</v>
      </c>
      <c r="E658" s="5">
        <f ca="1">IFERROR(__xludf.DUMMYFUNCTION("""COMPUTED_VALUE"""),0)</f>
        <v>0</v>
      </c>
      <c r="F658" s="5">
        <f ca="1">IFERROR(__xludf.DUMMYFUNCTION("""COMPUTED_VALUE"""),1)</f>
        <v>1</v>
      </c>
      <c r="G658" s="5">
        <f ca="1">IFERROR(__xludf.DUMMYFUNCTION("""COMPUTED_VALUE"""),0)</f>
        <v>0</v>
      </c>
      <c r="H658" s="9" t="str">
        <f ca="1">IFERROR(__xludf.DUMMYFUNCTION("""COMPUTED_VALUE"""),"https://kdvr.com/2019/02/18/man-shot-in-neighbor-dispute-idd-as-former-cu-football-player-assistant-high-school-principal/")</f>
        <v>https://kdvr.com/2019/02/18/man-shot-in-neighbor-dispute-idd-as-former-cu-football-player-assistant-high-school-principal/</v>
      </c>
      <c r="I658" s="5"/>
      <c r="J658" s="5"/>
      <c r="K658" s="5">
        <f ca="1">IFERROR(__xludf.DUMMYFUNCTION("""COMPUTED_VALUE"""),4)</f>
        <v>4</v>
      </c>
      <c r="L658" s="5" t="str">
        <f ca="1">IFERROR(__xludf.DUMMYFUNCTION("""COMPUTED_VALUE"""),"Winter")</f>
        <v>Winter</v>
      </c>
      <c r="M658" s="5" t="str">
        <f ca="1">IFERROR(__xludf.DUMMYFUNCTION("""COMPUTED_VALUE"""),"Aurora")</f>
        <v>Aurora</v>
      </c>
      <c r="N658" s="5" t="str">
        <f ca="1">IFERROR(__xludf.DUMMYFUNCTION("""COMPUTED_VALUE"""),"CO")</f>
        <v>CO</v>
      </c>
      <c r="O658" s="5" t="str">
        <f ca="1">IFERROR(__xludf.DUMMYFUNCTION("""COMPUTED_VALUE"""),"High")</f>
        <v>High</v>
      </c>
      <c r="P658" s="5" t="str">
        <f ca="1">IFERROR(__xludf.DUMMYFUNCTION("""COMPUTED_VALUE"""),"Field (General)")</f>
        <v>Field (General)</v>
      </c>
      <c r="Q658" s="5" t="str">
        <f ca="1">IFERROR(__xludf.DUMMYFUNCTION("""COMPUTED_VALUE"""),"Outside on School Property")</f>
        <v>Outside on School Property</v>
      </c>
      <c r="R658" s="5" t="str">
        <f ca="1">IFERROR(__xludf.DUMMYFUNCTION("""COMPUTED_VALUE"""),"No")</f>
        <v>No</v>
      </c>
      <c r="S658" s="5" t="str">
        <f ca="1">IFERROR(__xludf.DUMMYFUNCTION("""COMPUTED_VALUE"""),"Not a School Day")</f>
        <v>Not a School Day</v>
      </c>
      <c r="T658" s="10">
        <f ca="1">IFERROR(__xludf.DUMMYFUNCTION("""COMPUTED_VALUE"""),0.458333333333333)</f>
        <v>0.45833333333333298</v>
      </c>
      <c r="U658" s="5">
        <f ca="1">IFERROR(__xludf.DUMMYFUNCTION("""COMPUTED_VALUE"""),1)</f>
        <v>1</v>
      </c>
      <c r="V658" s="5" t="str">
        <f ca="1">IFERROR(__xludf.DUMMYFUNCTION("""COMPUTED_VALUE"""),"Neighbors met at school to talk about ongoing dispute over parking, argument lead to shooting")</f>
        <v>Neighbors met at school to talk about ongoing dispute over parking, argument lead to shooting</v>
      </c>
      <c r="W658"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X658" s="5" t="str">
        <f ca="1">IFERROR(__xludf.DUMMYFUNCTION("""COMPUTED_VALUE"""),"Escalation of Dispute")</f>
        <v>Escalation of Dispute</v>
      </c>
      <c r="Y658" s="5" t="str">
        <f ca="1">IFERROR(__xludf.DUMMYFUNCTION("""COMPUTED_VALUE"""),"Victims Targeted")</f>
        <v>Victims Targeted</v>
      </c>
      <c r="Z658" s="5" t="str">
        <f ca="1">IFERROR(__xludf.DUMMYFUNCTION("""COMPUTED_VALUE"""),"No")</f>
        <v>No</v>
      </c>
      <c r="AA658" s="5"/>
      <c r="AB658" s="5" t="str">
        <f ca="1">IFERROR(__xludf.DUMMYFUNCTION("""COMPUTED_VALUE"""),"No")</f>
        <v>No</v>
      </c>
      <c r="AC658" s="5" t="str">
        <f ca="1">IFERROR(__xludf.DUMMYFUNCTION("""COMPUTED_VALUE"""),"No")</f>
        <v>No</v>
      </c>
      <c r="AD658" s="5" t="str">
        <f ca="1">IFERROR(__xludf.DUMMYFUNCTION("""COMPUTED_VALUE"""),"No")</f>
        <v>No</v>
      </c>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row>
    <row r="659" spans="1:34" ht="12.75">
      <c r="A659" s="5" t="str">
        <f ca="1">IFERROR(__xludf.DUMMYFUNCTION("""COMPUTED_VALUE"""),"20190214NMV.R")</f>
        <v>20190214NMV.R</v>
      </c>
      <c r="B659" s="8">
        <f ca="1">IFERROR(__xludf.DUMMYFUNCTION("""COMPUTED_VALUE"""),43510)</f>
        <v>43510</v>
      </c>
      <c r="C659" s="5" t="str">
        <f ca="1">IFERROR(__xludf.DUMMYFUNCTION("""COMPUTED_VALUE"""),"V. Sue Cleveland High School")</f>
        <v>V. Sue Cleveland High School</v>
      </c>
      <c r="D659" s="5">
        <f ca="1">IFERROR(__xludf.DUMMYFUNCTION("""COMPUTED_VALUE"""),0)</f>
        <v>0</v>
      </c>
      <c r="E659" s="5">
        <f ca="1">IFERROR(__xludf.DUMMYFUNCTION("""COMPUTED_VALUE"""),0)</f>
        <v>0</v>
      </c>
      <c r="F659" s="5">
        <f ca="1">IFERROR(__xludf.DUMMYFUNCTION("""COMPUTED_VALUE"""),0)</f>
        <v>0</v>
      </c>
      <c r="G659" s="5">
        <f ca="1">IFERROR(__xludf.DUMMYFUNCTION("""COMPUTED_VALUE"""),0)</f>
        <v>0</v>
      </c>
      <c r="H659"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I659" s="5"/>
      <c r="J659" s="5"/>
      <c r="K659" s="5">
        <f ca="1">IFERROR(__xludf.DUMMYFUNCTION("""COMPUTED_VALUE"""),4)</f>
        <v>4</v>
      </c>
      <c r="L659" s="5" t="str">
        <f ca="1">IFERROR(__xludf.DUMMYFUNCTION("""COMPUTED_VALUE"""),"Winter")</f>
        <v>Winter</v>
      </c>
      <c r="M659" s="5" t="str">
        <f ca="1">IFERROR(__xludf.DUMMYFUNCTION("""COMPUTED_VALUE"""),"Rio Rancho")</f>
        <v>Rio Rancho</v>
      </c>
      <c r="N659" s="5" t="str">
        <f ca="1">IFERROR(__xludf.DUMMYFUNCTION("""COMPUTED_VALUE"""),"NM")</f>
        <v>NM</v>
      </c>
      <c r="O659" s="5" t="str">
        <f ca="1">IFERROR(__xludf.DUMMYFUNCTION("""COMPUTED_VALUE"""),"High")</f>
        <v>High</v>
      </c>
      <c r="P659" s="5" t="str">
        <f ca="1">IFERROR(__xludf.DUMMYFUNCTION("""COMPUTED_VALUE"""),"Hallway")</f>
        <v>Hallway</v>
      </c>
      <c r="Q659" s="5" t="str">
        <f ca="1">IFERROR(__xludf.DUMMYFUNCTION("""COMPUTED_VALUE"""),"Inside School Building")</f>
        <v>Inside School Building</v>
      </c>
      <c r="R659" s="5" t="str">
        <f ca="1">IFERROR(__xludf.DUMMYFUNCTION("""COMPUTED_VALUE"""),"Yes")</f>
        <v>Yes</v>
      </c>
      <c r="S659" s="5" t="str">
        <f ca="1">IFERROR(__xludf.DUMMYFUNCTION("""COMPUTED_VALUE"""),"School Start")</f>
        <v>School Start</v>
      </c>
      <c r="T659" s="10">
        <f ca="1">IFERROR(__xludf.DUMMYFUNCTION("""COMPUTED_VALUE"""),0.291666666666666)</f>
        <v>0.29166666666666602</v>
      </c>
      <c r="U659" s="5">
        <f ca="1">IFERROR(__xludf.DUMMYFUNCTION("""COMPUTED_VALUE"""),1)</f>
        <v>1</v>
      </c>
      <c r="V659" s="5" t="str">
        <f ca="1">IFERROR(__xludf.DUMMYFUNCTION("""COMPUTED_VALUE"""),"Student fired shot as school opened then fled the scene. Reported attempt to kill ex girlfriend.")</f>
        <v>Student fired shot as school opened then fled the scene. Reported attempt to kill ex girlfriend.</v>
      </c>
      <c r="W659"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X659" s="5" t="str">
        <f ca="1">IFERROR(__xludf.DUMMYFUNCTION("""COMPUTED_VALUE"""),"Domestic w/ Targeted Victim")</f>
        <v>Domestic w/ Targeted Victim</v>
      </c>
      <c r="Y659" s="5" t="str">
        <f ca="1">IFERROR(__xludf.DUMMYFUNCTION("""COMPUTED_VALUE"""),"Victims Targeted")</f>
        <v>Victims Targeted</v>
      </c>
      <c r="Z659" s="5" t="str">
        <f ca="1">IFERROR(__xludf.DUMMYFUNCTION("""COMPUTED_VALUE"""),"No")</f>
        <v>No</v>
      </c>
      <c r="AA659" s="5"/>
      <c r="AB659" s="5" t="str">
        <f ca="1">IFERROR(__xludf.DUMMYFUNCTION("""COMPUTED_VALUE"""),"No")</f>
        <v>No</v>
      </c>
      <c r="AC659" s="5" t="str">
        <f ca="1">IFERROR(__xludf.DUMMYFUNCTION("""COMPUTED_VALUE"""),"No")</f>
        <v>No</v>
      </c>
      <c r="AD659" s="5" t="str">
        <f ca="1">IFERROR(__xludf.DUMMYFUNCTION("""COMPUTED_VALUE"""),"No")</f>
        <v>No</v>
      </c>
      <c r="AE659" s="5"/>
      <c r="AF659" s="5" t="str">
        <f ca="1">IFERROR(__xludf.DUMMYFUNCTION("""COMPUTED_VALUE"""),"Yes")</f>
        <v>Yes</v>
      </c>
      <c r="AG659" s="5"/>
      <c r="AH659" s="5" t="str">
        <f ca="1">IFERROR(__xludf.DUMMYFUNCTION("""COMPUTED_VALUE"""),"No")</f>
        <v>No</v>
      </c>
    </row>
    <row r="660" spans="1:34" ht="12.75">
      <c r="A660" s="5" t="str">
        <f ca="1">IFERROR(__xludf.DUMMYFUNCTION("""COMPUTED_VALUE"""),"20190212MOCEK")</f>
        <v>20190212MOCEK</v>
      </c>
      <c r="B660" s="8">
        <f ca="1">IFERROR(__xludf.DUMMYFUNCTION("""COMPUTED_VALUE"""),43508)</f>
        <v>43508</v>
      </c>
      <c r="C660" s="5" t="str">
        <f ca="1">IFERROR(__xludf.DUMMYFUNCTION("""COMPUTED_VALUE"""),"Central Academy of Excellence")</f>
        <v>Central Academy of Excellence</v>
      </c>
      <c r="D660" s="5">
        <f ca="1">IFERROR(__xludf.DUMMYFUNCTION("""COMPUTED_VALUE"""),1)</f>
        <v>1</v>
      </c>
      <c r="E660" s="5">
        <f ca="1">IFERROR(__xludf.DUMMYFUNCTION("""COMPUTED_VALUE"""),0)</f>
        <v>0</v>
      </c>
      <c r="F660" s="5">
        <f ca="1">IFERROR(__xludf.DUMMYFUNCTION("""COMPUTED_VALUE"""),1)</f>
        <v>1</v>
      </c>
      <c r="G660" s="5">
        <f ca="1">IFERROR(__xludf.DUMMYFUNCTION("""COMPUTED_VALUE"""),0)</f>
        <v>0</v>
      </c>
      <c r="H660"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I660" s="5"/>
      <c r="J660" s="5" t="str">
        <f ca="1">IFERROR(__xludf.DUMMYFUNCTION("""COMPUTED_VALUE"""),"Local")</f>
        <v>Local</v>
      </c>
      <c r="K660" s="5">
        <f ca="1">IFERROR(__xludf.DUMMYFUNCTION("""COMPUTED_VALUE"""),5)</f>
        <v>5</v>
      </c>
      <c r="L660" s="5" t="str">
        <f ca="1">IFERROR(__xludf.DUMMYFUNCTION("""COMPUTED_VALUE"""),"Winter")</f>
        <v>Winter</v>
      </c>
      <c r="M660" s="5" t="str">
        <f ca="1">IFERROR(__xludf.DUMMYFUNCTION("""COMPUTED_VALUE"""),"Kansas City")</f>
        <v>Kansas City</v>
      </c>
      <c r="N660" s="5" t="str">
        <f ca="1">IFERROR(__xludf.DUMMYFUNCTION("""COMPUTED_VALUE"""),"MO")</f>
        <v>MO</v>
      </c>
      <c r="O660" s="5" t="str">
        <f ca="1">IFERROR(__xludf.DUMMYFUNCTION("""COMPUTED_VALUE"""),"High")</f>
        <v>High</v>
      </c>
      <c r="P660" s="5" t="str">
        <f ca="1">IFERROR(__xludf.DUMMYFUNCTION("""COMPUTED_VALUE"""),"Beside Building")</f>
        <v>Beside Building</v>
      </c>
      <c r="Q660" s="5" t="str">
        <f ca="1">IFERROR(__xludf.DUMMYFUNCTION("""COMPUTED_VALUE"""),"Outside on School Property")</f>
        <v>Outside on School Property</v>
      </c>
      <c r="R660" s="5" t="str">
        <f ca="1">IFERROR(__xludf.DUMMYFUNCTION("""COMPUTED_VALUE"""),"No")</f>
        <v>No</v>
      </c>
      <c r="S660" s="5" t="str">
        <f ca="1">IFERROR(__xludf.DUMMYFUNCTION("""COMPUTED_VALUE"""),"Sport Event")</f>
        <v>Sport Event</v>
      </c>
      <c r="T660" s="10">
        <f ca="1">IFERROR(__xludf.DUMMYFUNCTION("""COMPUTED_VALUE"""),0.84375)</f>
        <v>0.84375</v>
      </c>
      <c r="U660" s="5">
        <f ca="1">IFERROR(__xludf.DUMMYFUNCTION("""COMPUTED_VALUE"""),1)</f>
        <v>1</v>
      </c>
      <c r="V660" s="5" t="str">
        <f ca="1">IFERROR(__xludf.DUMMYFUNCTION("""COMPUTED_VALUE"""),"Shooting outside school after fight inside during basketball game")</f>
        <v>Shooting outside school after fight inside during basketball game</v>
      </c>
      <c r="W660"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X660" s="5" t="str">
        <f ca="1">IFERROR(__xludf.DUMMYFUNCTION("""COMPUTED_VALUE"""),"Escalation of Dispute")</f>
        <v>Escalation of Dispute</v>
      </c>
      <c r="Y660" s="5" t="str">
        <f ca="1">IFERROR(__xludf.DUMMYFUNCTION("""COMPUTED_VALUE"""),"Victims Targeted")</f>
        <v>Victims Targeted</v>
      </c>
      <c r="Z660" s="5" t="str">
        <f ca="1">IFERROR(__xludf.DUMMYFUNCTION("""COMPUTED_VALUE"""),"Yes")</f>
        <v>Yes</v>
      </c>
      <c r="AA660" s="5" t="str">
        <f ca="1">IFERROR(__xludf.DUMMYFUNCTION("""COMPUTED_VALUE"""),"18YOF also arrested")</f>
        <v>18YOF also arrested</v>
      </c>
      <c r="AB660" s="5" t="str">
        <f ca="1">IFERROR(__xludf.DUMMYFUNCTION("""COMPUTED_VALUE"""),"No")</f>
        <v>No</v>
      </c>
      <c r="AC660" s="5" t="str">
        <f ca="1">IFERROR(__xludf.DUMMYFUNCTION("""COMPUTED_VALUE"""),"No")</f>
        <v>No</v>
      </c>
      <c r="AD660" s="5" t="str">
        <f ca="1">IFERROR(__xludf.DUMMYFUNCTION("""COMPUTED_VALUE"""),"No")</f>
        <v>No</v>
      </c>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row>
    <row r="661" spans="1:34" ht="12.75">
      <c r="A661" s="5" t="str">
        <f ca="1">IFERROR(__xludf.DUMMYFUNCTION("""COMPUTED_VALUE"""),"20190208MDFRB")</f>
        <v>20190208MDFRB</v>
      </c>
      <c r="B661" s="8">
        <f ca="1">IFERROR(__xludf.DUMMYFUNCTION("""COMPUTED_VALUE"""),43504)</f>
        <v>43504</v>
      </c>
      <c r="C661" s="5" t="str">
        <f ca="1">IFERROR(__xludf.DUMMYFUNCTION("""COMPUTED_VALUE"""),"Frederick Douglass High School")</f>
        <v>Frederick Douglass High School</v>
      </c>
      <c r="D661" s="5">
        <f ca="1">IFERROR(__xludf.DUMMYFUNCTION("""COMPUTED_VALUE"""),0)</f>
        <v>0</v>
      </c>
      <c r="E661" s="5">
        <f ca="1">IFERROR(__xludf.DUMMYFUNCTION("""COMPUTED_VALUE"""),1)</f>
        <v>1</v>
      </c>
      <c r="F661" s="5">
        <f ca="1">IFERROR(__xludf.DUMMYFUNCTION("""COMPUTED_VALUE"""),1)</f>
        <v>1</v>
      </c>
      <c r="G661" s="5">
        <f ca="1">IFERROR(__xludf.DUMMYFUNCTION("""COMPUTED_VALUE"""),0)</f>
        <v>0</v>
      </c>
      <c r="H661"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I661" s="5"/>
      <c r="J661" s="5"/>
      <c r="K661" s="5">
        <f ca="1">IFERROR(__xludf.DUMMYFUNCTION("""COMPUTED_VALUE"""),4)</f>
        <v>4</v>
      </c>
      <c r="L661" s="5" t="str">
        <f ca="1">IFERROR(__xludf.DUMMYFUNCTION("""COMPUTED_VALUE"""),"Winter")</f>
        <v>Winter</v>
      </c>
      <c r="M661" s="5" t="str">
        <f ca="1">IFERROR(__xludf.DUMMYFUNCTION("""COMPUTED_VALUE"""),"Baltimore")</f>
        <v>Baltimore</v>
      </c>
      <c r="N661" s="5" t="str">
        <f ca="1">IFERROR(__xludf.DUMMYFUNCTION("""COMPUTED_VALUE"""),"MD")</f>
        <v>MD</v>
      </c>
      <c r="O661" s="5" t="str">
        <f ca="1">IFERROR(__xludf.DUMMYFUNCTION("""COMPUTED_VALUE"""),"High")</f>
        <v>High</v>
      </c>
      <c r="P661" s="5" t="str">
        <f ca="1">IFERROR(__xludf.DUMMYFUNCTION("""COMPUTED_VALUE"""),"Entryway")</f>
        <v>Entryway</v>
      </c>
      <c r="Q661" s="5" t="str">
        <f ca="1">IFERROR(__xludf.DUMMYFUNCTION("""COMPUTED_VALUE"""),"Inside School Building")</f>
        <v>Inside School Building</v>
      </c>
      <c r="R661" s="5" t="str">
        <f ca="1">IFERROR(__xludf.DUMMYFUNCTION("""COMPUTED_VALUE"""),"Yes")</f>
        <v>Yes</v>
      </c>
      <c r="S661" s="5" t="str">
        <f ca="1">IFERROR(__xludf.DUMMYFUNCTION("""COMPUTED_VALUE"""),"Afternoon Classes")</f>
        <v>Afternoon Classes</v>
      </c>
      <c r="T661" s="10">
        <f ca="1">IFERROR(__xludf.DUMMYFUNCTION("""COMPUTED_VALUE"""),0.552083333333333)</f>
        <v>0.55208333333333304</v>
      </c>
      <c r="U661" s="5">
        <f ca="1">IFERROR(__xludf.DUMMYFUNCTION("""COMPUTED_VALUE"""),1)</f>
        <v>1</v>
      </c>
      <c r="V661"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W661"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X661" s="5" t="str">
        <f ca="1">IFERROR(__xludf.DUMMYFUNCTION("""COMPUTED_VALUE"""),"Escalation of Dispute")</f>
        <v>Escalation of Dispute</v>
      </c>
      <c r="Y661" s="5" t="str">
        <f ca="1">IFERROR(__xludf.DUMMYFUNCTION("""COMPUTED_VALUE"""),"Both")</f>
        <v>Both</v>
      </c>
      <c r="Z661" s="5" t="str">
        <f ca="1">IFERROR(__xludf.DUMMYFUNCTION("""COMPUTED_VALUE"""),"No")</f>
        <v>No</v>
      </c>
      <c r="AA661" s="5"/>
      <c r="AB661" s="5" t="str">
        <f ca="1">IFERROR(__xludf.DUMMYFUNCTION("""COMPUTED_VALUE"""),"No")</f>
        <v>No</v>
      </c>
      <c r="AC661" s="5" t="str">
        <f ca="1">IFERROR(__xludf.DUMMYFUNCTION("""COMPUTED_VALUE"""),"No")</f>
        <v>No</v>
      </c>
      <c r="AD661" s="5" t="str">
        <f ca="1">IFERROR(__xludf.DUMMYFUNCTION("""COMPUTED_VALUE"""),"No")</f>
        <v>No</v>
      </c>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IFERROR(__xludf.DUMMYFUNCTION("""COMPUTED_VALUE"""),"Yes")</f>
        <v>Yes</v>
      </c>
    </row>
    <row r="662" spans="1:34" ht="12.75">
      <c r="A662" s="5" t="str">
        <f ca="1">IFERROR(__xludf.DUMMYFUNCTION("""COMPUTED_VALUE"""),"20190205MNMIM")</f>
        <v>20190205MNMIM</v>
      </c>
      <c r="B662" s="8">
        <f ca="1">IFERROR(__xludf.DUMMYFUNCTION("""COMPUTED_VALUE"""),43501)</f>
        <v>43501</v>
      </c>
      <c r="C662" s="5" t="str">
        <f ca="1">IFERROR(__xludf.DUMMYFUNCTION("""COMPUTED_VALUE"""),"Minneapolis School District Bus")</f>
        <v>Minneapolis School District Bus</v>
      </c>
      <c r="D662" s="5">
        <f ca="1">IFERROR(__xludf.DUMMYFUNCTION("""COMPUTED_VALUE"""),0)</f>
        <v>0</v>
      </c>
      <c r="E662" s="5">
        <f ca="1">IFERROR(__xludf.DUMMYFUNCTION("""COMPUTED_VALUE"""),1)</f>
        <v>1</v>
      </c>
      <c r="F662" s="5">
        <f ca="1">IFERROR(__xludf.DUMMYFUNCTION("""COMPUTED_VALUE"""),1)</f>
        <v>1</v>
      </c>
      <c r="G662" s="5">
        <f ca="1">IFERROR(__xludf.DUMMYFUNCTION("""COMPUTED_VALUE"""),0)</f>
        <v>0</v>
      </c>
      <c r="H662"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I662" s="5"/>
      <c r="J662" s="5"/>
      <c r="K662" s="5">
        <f ca="1">IFERROR(__xludf.DUMMYFUNCTION("""COMPUTED_VALUE"""),3)</f>
        <v>3</v>
      </c>
      <c r="L662" s="5" t="str">
        <f ca="1">IFERROR(__xludf.DUMMYFUNCTION("""COMPUTED_VALUE"""),"Winter")</f>
        <v>Winter</v>
      </c>
      <c r="M662" s="5" t="str">
        <f ca="1">IFERROR(__xludf.DUMMYFUNCTION("""COMPUTED_VALUE"""),"Minneapolis")</f>
        <v>Minneapolis</v>
      </c>
      <c r="N662" s="5" t="str">
        <f ca="1">IFERROR(__xludf.DUMMYFUNCTION("""COMPUTED_VALUE"""),"MN")</f>
        <v>MN</v>
      </c>
      <c r="O662" s="5"/>
      <c r="P662" s="5" t="str">
        <f ca="1">IFERROR(__xludf.DUMMYFUNCTION("""COMPUTED_VALUE"""),"School Bus")</f>
        <v>School Bus</v>
      </c>
      <c r="Q662" s="5" t="str">
        <f ca="1">IFERROR(__xludf.DUMMYFUNCTION("""COMPUTED_VALUE"""),"School Bus")</f>
        <v>School Bus</v>
      </c>
      <c r="R662" s="5" t="str">
        <f ca="1">IFERROR(__xludf.DUMMYFUNCTION("""COMPUTED_VALUE"""),"Yes")</f>
        <v>Yes</v>
      </c>
      <c r="S662" s="5" t="str">
        <f ca="1">IFERROR(__xludf.DUMMYFUNCTION("""COMPUTED_VALUE"""),"Dismissal")</f>
        <v>Dismissal</v>
      </c>
      <c r="T662" s="10">
        <f ca="1">IFERROR(__xludf.DUMMYFUNCTION("""COMPUTED_VALUE"""),0.597222222222222)</f>
        <v>0.59722222222222199</v>
      </c>
      <c r="U662" s="5">
        <f ca="1">IFERROR(__xludf.DUMMYFUNCTION("""COMPUTED_VALUE"""),1)</f>
        <v>1</v>
      </c>
      <c r="V662" s="5" t="str">
        <f ca="1">IFERROR(__xludf.DUMMYFUNCTION("""COMPUTED_VALUE"""),"Bus driver shot on school bus during road rage incident")</f>
        <v>Bus driver shot on school bus during road rage incident</v>
      </c>
      <c r="W662"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X662" s="5" t="str">
        <f ca="1">IFERROR(__xludf.DUMMYFUNCTION("""COMPUTED_VALUE"""),"Escalation of Dispute")</f>
        <v>Escalation of Dispute</v>
      </c>
      <c r="Y662" s="5" t="str">
        <f ca="1">IFERROR(__xludf.DUMMYFUNCTION("""COMPUTED_VALUE"""),"Victims Targeted")</f>
        <v>Victims Targeted</v>
      </c>
      <c r="Z662" s="5" t="str">
        <f ca="1">IFERROR(__xludf.DUMMYFUNCTION("""COMPUTED_VALUE"""),"No")</f>
        <v>No</v>
      </c>
      <c r="AA662" s="5"/>
      <c r="AB662" s="5" t="str">
        <f ca="1">IFERROR(__xludf.DUMMYFUNCTION("""COMPUTED_VALUE"""),"No")</f>
        <v>No</v>
      </c>
      <c r="AC662" s="5" t="str">
        <f ca="1">IFERROR(__xludf.DUMMYFUNCTION("""COMPUTED_VALUE"""),"No")</f>
        <v>No</v>
      </c>
      <c r="AD662" s="5" t="str">
        <f ca="1">IFERROR(__xludf.DUMMYFUNCTION("""COMPUTED_VALUE"""),"No")</f>
        <v>No</v>
      </c>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row>
    <row r="663" spans="1:34" ht="12.75">
      <c r="A663" s="5" t="str">
        <f ca="1">IFERROR(__xludf.DUMMYFUNCTION("""COMPUTED_VALUE"""),"20190131TXATA")</f>
        <v>20190131TXATA</v>
      </c>
      <c r="B663" s="8">
        <f ca="1">IFERROR(__xludf.DUMMYFUNCTION("""COMPUTED_VALUE"""),43496)</f>
        <v>43496</v>
      </c>
      <c r="C663" s="5" t="str">
        <f ca="1">IFERROR(__xludf.DUMMYFUNCTION("""COMPUTED_VALUE"""),"Atascocita High School")</f>
        <v>Atascocita High School</v>
      </c>
      <c r="D663" s="5">
        <f ca="1">IFERROR(__xludf.DUMMYFUNCTION("""COMPUTED_VALUE"""),0)</f>
        <v>0</v>
      </c>
      <c r="E663" s="5">
        <f ca="1">IFERROR(__xludf.DUMMYFUNCTION("""COMPUTED_VALUE"""),1)</f>
        <v>1</v>
      </c>
      <c r="F663" s="5">
        <f ca="1">IFERROR(__xludf.DUMMYFUNCTION("""COMPUTED_VALUE"""),1)</f>
        <v>1</v>
      </c>
      <c r="G663" s="5">
        <f ca="1">IFERROR(__xludf.DUMMYFUNCTION("""COMPUTED_VALUE"""),0)</f>
        <v>0</v>
      </c>
      <c r="H663"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I663" s="5"/>
      <c r="J663" s="5"/>
      <c r="K663" s="5">
        <f ca="1">IFERROR(__xludf.DUMMYFUNCTION("""COMPUTED_VALUE"""),4)</f>
        <v>4</v>
      </c>
      <c r="L663" s="5" t="str">
        <f ca="1">IFERROR(__xludf.DUMMYFUNCTION("""COMPUTED_VALUE"""),"Winter")</f>
        <v>Winter</v>
      </c>
      <c r="M663" s="5" t="str">
        <f ca="1">IFERROR(__xludf.DUMMYFUNCTION("""COMPUTED_VALUE"""),"Atascocita")</f>
        <v>Atascocita</v>
      </c>
      <c r="N663" s="5" t="str">
        <f ca="1">IFERROR(__xludf.DUMMYFUNCTION("""COMPUTED_VALUE"""),"TX")</f>
        <v>TX</v>
      </c>
      <c r="O663" s="5" t="str">
        <f ca="1">IFERROR(__xludf.DUMMYFUNCTION("""COMPUTED_VALUE"""),"High")</f>
        <v>High</v>
      </c>
      <c r="P663" s="5" t="str">
        <f ca="1">IFERROR(__xludf.DUMMYFUNCTION("""COMPUTED_VALUE"""),"Parking Lot")</f>
        <v>Parking Lot</v>
      </c>
      <c r="Q663" s="5" t="str">
        <f ca="1">IFERROR(__xludf.DUMMYFUNCTION("""COMPUTED_VALUE"""),"Outside on School Property")</f>
        <v>Outside on School Property</v>
      </c>
      <c r="R663" s="5" t="str">
        <f ca="1">IFERROR(__xludf.DUMMYFUNCTION("""COMPUTED_VALUE"""),"No")</f>
        <v>No</v>
      </c>
      <c r="S663" s="5" t="str">
        <f ca="1">IFERROR(__xludf.DUMMYFUNCTION("""COMPUTED_VALUE"""),"Evening")</f>
        <v>Evening</v>
      </c>
      <c r="T663" s="10">
        <f ca="1">IFERROR(__xludf.DUMMYFUNCTION("""COMPUTED_VALUE"""),0.763888888888888)</f>
        <v>0.76388888888888795</v>
      </c>
      <c r="U663" s="5">
        <f ca="1">IFERROR(__xludf.DUMMYFUNCTION("""COMPUTED_VALUE"""),1)</f>
        <v>1</v>
      </c>
      <c r="V663" s="5" t="str">
        <f ca="1">IFERROR(__xludf.DUMMYFUNCTION("""COMPUTED_VALUE"""),"Student shot by other student during drug deal behind school")</f>
        <v>Student shot by other student during drug deal behind school</v>
      </c>
      <c r="W663"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X663" s="5" t="str">
        <f ca="1">IFERROR(__xludf.DUMMYFUNCTION("""COMPUTED_VALUE"""),"Illegal Activity")</f>
        <v>Illegal Activity</v>
      </c>
      <c r="Y663" s="5" t="str">
        <f ca="1">IFERROR(__xludf.DUMMYFUNCTION("""COMPUTED_VALUE"""),"Victims Targeted")</f>
        <v>Victims Targeted</v>
      </c>
      <c r="Z663" s="5" t="str">
        <f ca="1">IFERROR(__xludf.DUMMYFUNCTION("""COMPUTED_VALUE"""),"Yes")</f>
        <v>Yes</v>
      </c>
      <c r="AA663" s="5" t="str">
        <f ca="1">IFERROR(__xludf.DUMMYFUNCTION("""COMPUTED_VALUE"""),"2 students fled in car")</f>
        <v>2 students fled in car</v>
      </c>
      <c r="AB663" s="5" t="str">
        <f ca="1">IFERROR(__xludf.DUMMYFUNCTION("""COMPUTED_VALUE"""),"No")</f>
        <v>No</v>
      </c>
      <c r="AC663" s="5" t="str">
        <f ca="1">IFERROR(__xludf.DUMMYFUNCTION("""COMPUTED_VALUE"""),"No")</f>
        <v>No</v>
      </c>
      <c r="AD663" s="5" t="str">
        <f ca="1">IFERROR(__xludf.DUMMYFUNCTION("""COMPUTED_VALUE"""),"No")</f>
        <v>No</v>
      </c>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row>
    <row r="664" spans="1:34" ht="12.75">
      <c r="A664" s="5" t="str">
        <f ca="1">IFERROR(__xludf.DUMMYFUNCTION("""COMPUTED_VALUE"""),"20190131TNMAM")</f>
        <v>20190131TNMAM</v>
      </c>
      <c r="B664" s="8">
        <f ca="1">IFERROR(__xludf.DUMMYFUNCTION("""COMPUTED_VALUE"""),43496)</f>
        <v>43496</v>
      </c>
      <c r="C664" s="5" t="str">
        <f ca="1">IFERROR(__xludf.DUMMYFUNCTION("""COMPUTED_VALUE"""),"Manassas High School")</f>
        <v>Manassas High School</v>
      </c>
      <c r="D664" s="5">
        <f ca="1">IFERROR(__xludf.DUMMYFUNCTION("""COMPUTED_VALUE"""),0)</f>
        <v>0</v>
      </c>
      <c r="E664" s="5">
        <f ca="1">IFERROR(__xludf.DUMMYFUNCTION("""COMPUTED_VALUE"""),1)</f>
        <v>1</v>
      </c>
      <c r="F664" s="5">
        <f ca="1">IFERROR(__xludf.DUMMYFUNCTION("""COMPUTED_VALUE"""),1)</f>
        <v>1</v>
      </c>
      <c r="G664" s="5">
        <f ca="1">IFERROR(__xludf.DUMMYFUNCTION("""COMPUTED_VALUE"""),0)</f>
        <v>0</v>
      </c>
      <c r="H664"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I664" s="5"/>
      <c r="J664" s="5"/>
      <c r="K664" s="5">
        <f ca="1">IFERROR(__xludf.DUMMYFUNCTION("""COMPUTED_VALUE"""),4)</f>
        <v>4</v>
      </c>
      <c r="L664" s="5" t="str">
        <f ca="1">IFERROR(__xludf.DUMMYFUNCTION("""COMPUTED_VALUE"""),"Winter")</f>
        <v>Winter</v>
      </c>
      <c r="M664" s="5" t="str">
        <f ca="1">IFERROR(__xludf.DUMMYFUNCTION("""COMPUTED_VALUE"""),"Memphis")</f>
        <v>Memphis</v>
      </c>
      <c r="N664" s="5" t="str">
        <f ca="1">IFERROR(__xludf.DUMMYFUNCTION("""COMPUTED_VALUE"""),"TN")</f>
        <v>TN</v>
      </c>
      <c r="O664" s="5" t="str">
        <f ca="1">IFERROR(__xludf.DUMMYFUNCTION("""COMPUTED_VALUE"""),"High")</f>
        <v>High</v>
      </c>
      <c r="P664" s="5" t="str">
        <f ca="1">IFERROR(__xludf.DUMMYFUNCTION("""COMPUTED_VALUE"""),"Outside on School Property")</f>
        <v>Outside on School Property</v>
      </c>
      <c r="Q664" s="5" t="str">
        <f ca="1">IFERROR(__xludf.DUMMYFUNCTION("""COMPUTED_VALUE"""),"Outside on School Property")</f>
        <v>Outside on School Property</v>
      </c>
      <c r="R664" s="5" t="str">
        <f ca="1">IFERROR(__xludf.DUMMYFUNCTION("""COMPUTED_VALUE"""),"No")</f>
        <v>No</v>
      </c>
      <c r="S664" s="5" t="str">
        <f ca="1">IFERROR(__xludf.DUMMYFUNCTION("""COMPUTED_VALUE"""),"School Event")</f>
        <v>School Event</v>
      </c>
      <c r="T664" s="10">
        <f ca="1">IFERROR(__xludf.DUMMYFUNCTION("""COMPUTED_VALUE"""),0.666666666666666)</f>
        <v>0.66666666666666596</v>
      </c>
      <c r="U664" s="5">
        <f ca="1">IFERROR(__xludf.DUMMYFUNCTION("""COMPUTED_VALUE"""),1)</f>
        <v>1</v>
      </c>
      <c r="V664" s="5" t="str">
        <f ca="1">IFERROR(__xludf.DUMMYFUNCTION("""COMPUTED_VALUE"""),"14YOM student shot with pellet gun during ROTC practice")</f>
        <v>14YOM student shot with pellet gun during ROTC practice</v>
      </c>
      <c r="W664"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X664" s="5" t="str">
        <f ca="1">IFERROR(__xludf.DUMMYFUNCTION("""COMPUTED_VALUE"""),"Unknown")</f>
        <v>Unknown</v>
      </c>
      <c r="Y664" s="5"/>
      <c r="Z664" s="5"/>
      <c r="AA664" s="5"/>
      <c r="AB664" s="5" t="str">
        <f ca="1">IFERROR(__xludf.DUMMYFUNCTION("""COMPUTED_VALUE"""),"No")</f>
        <v>No</v>
      </c>
      <c r="AC664" s="5" t="str">
        <f ca="1">IFERROR(__xludf.DUMMYFUNCTION("""COMPUTED_VALUE"""),"No")</f>
        <v>No</v>
      </c>
      <c r="AD664" s="5" t="str">
        <f ca="1">IFERROR(__xludf.DUMMYFUNCTION("""COMPUTED_VALUE"""),"No")</f>
        <v>No</v>
      </c>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row>
    <row r="665" spans="1:34" ht="12.75">
      <c r="A665" s="5" t="str">
        <f ca="1">IFERROR(__xludf.DUMMYFUNCTION("""COMPUTED_VALUE"""),"20190130GAMIL")</f>
        <v>20190130GAMIL</v>
      </c>
      <c r="B665" s="8">
        <f ca="1">IFERROR(__xludf.DUMMYFUNCTION("""COMPUTED_VALUE"""),43495)</f>
        <v>43495</v>
      </c>
      <c r="C665" s="5" t="str">
        <f ca="1">IFERROR(__xludf.DUMMYFUNCTION("""COMPUTED_VALUE"""),"Miller Grove High School")</f>
        <v>Miller Grove High School</v>
      </c>
      <c r="D665" s="5">
        <f ca="1">IFERROR(__xludf.DUMMYFUNCTION("""COMPUTED_VALUE"""),0)</f>
        <v>0</v>
      </c>
      <c r="E665" s="5">
        <f ca="1">IFERROR(__xludf.DUMMYFUNCTION("""COMPUTED_VALUE"""),1)</f>
        <v>1</v>
      </c>
      <c r="F665" s="5">
        <f ca="1">IFERROR(__xludf.DUMMYFUNCTION("""COMPUTED_VALUE"""),1)</f>
        <v>1</v>
      </c>
      <c r="G665" s="5">
        <f ca="1">IFERROR(__xludf.DUMMYFUNCTION("""COMPUTED_VALUE"""),0)</f>
        <v>0</v>
      </c>
      <c r="H665"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I665" s="5"/>
      <c r="J665" s="5"/>
      <c r="K665" s="5">
        <f ca="1">IFERROR(__xludf.DUMMYFUNCTION("""COMPUTED_VALUE"""),3)</f>
        <v>3</v>
      </c>
      <c r="L665" s="5" t="str">
        <f ca="1">IFERROR(__xludf.DUMMYFUNCTION("""COMPUTED_VALUE"""),"Winter")</f>
        <v>Winter</v>
      </c>
      <c r="M665" s="5" t="str">
        <f ca="1">IFERROR(__xludf.DUMMYFUNCTION("""COMPUTED_VALUE"""),"Lithonia")</f>
        <v>Lithonia</v>
      </c>
      <c r="N665" s="5" t="str">
        <f ca="1">IFERROR(__xludf.DUMMYFUNCTION("""COMPUTED_VALUE"""),"GA")</f>
        <v>GA</v>
      </c>
      <c r="O665" s="5" t="str">
        <f ca="1">IFERROR(__xludf.DUMMYFUNCTION("""COMPUTED_VALUE"""),"High")</f>
        <v>High</v>
      </c>
      <c r="P665" s="5" t="str">
        <f ca="1">IFERROR(__xludf.DUMMYFUNCTION("""COMPUTED_VALUE"""),"Parking Lot")</f>
        <v>Parking Lot</v>
      </c>
      <c r="Q665" s="5" t="str">
        <f ca="1">IFERROR(__xludf.DUMMYFUNCTION("""COMPUTED_VALUE"""),"Outside on School Property")</f>
        <v>Outside on School Property</v>
      </c>
      <c r="R665" s="5" t="str">
        <f ca="1">IFERROR(__xludf.DUMMYFUNCTION("""COMPUTED_VALUE"""),"No")</f>
        <v>No</v>
      </c>
      <c r="S665" s="5" t="str">
        <f ca="1">IFERROR(__xludf.DUMMYFUNCTION("""COMPUTED_VALUE"""),"Evening")</f>
        <v>Evening</v>
      </c>
      <c r="T665" s="10">
        <f ca="1">IFERROR(__xludf.DUMMYFUNCTION("""COMPUTED_VALUE"""),0.8125)</f>
        <v>0.8125</v>
      </c>
      <c r="U665" s="5">
        <f ca="1">IFERROR(__xludf.DUMMYFUNCTION("""COMPUTED_VALUE"""),1)</f>
        <v>1</v>
      </c>
      <c r="V665" s="5" t="str">
        <f ca="1">IFERROR(__xludf.DUMMYFUNCTION("""COMPUTED_VALUE"""),"Adult shot while trying to stop man from breaking into his car in school parking lot")</f>
        <v>Adult shot while trying to stop man from breaking into his car in school parking lot</v>
      </c>
      <c r="W665"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X665" s="5" t="str">
        <f ca="1">IFERROR(__xludf.DUMMYFUNCTION("""COMPUTED_VALUE"""),"Illegal Activity")</f>
        <v>Illegal Activity</v>
      </c>
      <c r="Y665" s="5" t="str">
        <f ca="1">IFERROR(__xludf.DUMMYFUNCTION("""COMPUTED_VALUE"""),"Victims Targeted")</f>
        <v>Victims Targeted</v>
      </c>
      <c r="Z665" s="5" t="str">
        <f ca="1">IFERROR(__xludf.DUMMYFUNCTION("""COMPUTED_VALUE"""),"No")</f>
        <v>No</v>
      </c>
      <c r="AA665" s="5"/>
      <c r="AB665" s="5" t="str">
        <f ca="1">IFERROR(__xludf.DUMMYFUNCTION("""COMPUTED_VALUE"""),"No")</f>
        <v>No</v>
      </c>
      <c r="AC665" s="5" t="str">
        <f ca="1">IFERROR(__xludf.DUMMYFUNCTION("""COMPUTED_VALUE"""),"No")</f>
        <v>No</v>
      </c>
      <c r="AD665" s="5" t="str">
        <f ca="1">IFERROR(__xludf.DUMMYFUNCTION("""COMPUTED_VALUE"""),"No")</f>
        <v>No</v>
      </c>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row>
    <row r="666" spans="1:34" ht="12.75">
      <c r="A666" s="5" t="str">
        <f ca="1">IFERROR(__xludf.DUMMYFUNCTION("""COMPUTED_VALUE"""),"20190127NVRER")</f>
        <v>20190127NVRER</v>
      </c>
      <c r="B666" s="8">
        <f ca="1">IFERROR(__xludf.DUMMYFUNCTION("""COMPUTED_VALUE"""),43492)</f>
        <v>43492</v>
      </c>
      <c r="C666" s="5" t="str">
        <f ca="1">IFERROR(__xludf.DUMMYFUNCTION("""COMPUTED_VALUE"""),"Reno High School")</f>
        <v>Reno High School</v>
      </c>
      <c r="D666" s="5">
        <f ca="1">IFERROR(__xludf.DUMMYFUNCTION("""COMPUTED_VALUE"""),0)</f>
        <v>0</v>
      </c>
      <c r="E666" s="5">
        <f ca="1">IFERROR(__xludf.DUMMYFUNCTION("""COMPUTED_VALUE"""),0)</f>
        <v>0</v>
      </c>
      <c r="F666" s="5">
        <f ca="1">IFERROR(__xludf.DUMMYFUNCTION("""COMPUTED_VALUE"""),0)</f>
        <v>0</v>
      </c>
      <c r="G666" s="5">
        <f ca="1">IFERROR(__xludf.DUMMYFUNCTION("""COMPUTED_VALUE"""),0)</f>
        <v>0</v>
      </c>
      <c r="H666" s="9" t="str">
        <f ca="1">IFERROR(__xludf.DUMMYFUNCTION("""COMPUTED_VALUE"""),"https://mynews4.com/news/local/2019-shooting-of-man-near-reno-high-school-by-reno-police-ruled-justified-by-washoe-da")</f>
        <v>https://mynews4.com/news/local/2019-shooting-of-man-near-reno-high-school-by-reno-police-ruled-justified-by-washoe-da</v>
      </c>
      <c r="I666" s="5">
        <f ca="1">IFERROR(__xludf.DUMMYFUNCTION("""COMPUTED_VALUE"""),1)</f>
        <v>1</v>
      </c>
      <c r="J666" s="5" t="str">
        <f ca="1">IFERROR(__xludf.DUMMYFUNCTION("""COMPUTED_VALUE"""),"Local")</f>
        <v>Local</v>
      </c>
      <c r="K666" s="5">
        <f ca="1">IFERROR(__xludf.DUMMYFUNCTION("""COMPUTED_VALUE"""),5)</f>
        <v>5</v>
      </c>
      <c r="L666" s="5" t="str">
        <f ca="1">IFERROR(__xludf.DUMMYFUNCTION("""COMPUTED_VALUE"""),"Winter")</f>
        <v>Winter</v>
      </c>
      <c r="M666" s="5" t="str">
        <f ca="1">IFERROR(__xludf.DUMMYFUNCTION("""COMPUTED_VALUE"""),"Reno")</f>
        <v>Reno</v>
      </c>
      <c r="N666" s="5" t="str">
        <f ca="1">IFERROR(__xludf.DUMMYFUNCTION("""COMPUTED_VALUE"""),"NV")</f>
        <v>NV</v>
      </c>
      <c r="O666" s="5" t="str">
        <f ca="1">IFERROR(__xludf.DUMMYFUNCTION("""COMPUTED_VALUE"""),"High")</f>
        <v>High</v>
      </c>
      <c r="P666" s="5" t="str">
        <f ca="1">IFERROR(__xludf.DUMMYFUNCTION("""COMPUTED_VALUE"""),"Front of School")</f>
        <v>Front of School</v>
      </c>
      <c r="Q666" s="5" t="str">
        <f ca="1">IFERROR(__xludf.DUMMYFUNCTION("""COMPUTED_VALUE"""),"Outside on School Property")</f>
        <v>Outside on School Property</v>
      </c>
      <c r="R666" s="5" t="str">
        <f ca="1">IFERROR(__xludf.DUMMYFUNCTION("""COMPUTED_VALUE"""),"No")</f>
        <v>No</v>
      </c>
      <c r="S666" s="5" t="str">
        <f ca="1">IFERROR(__xludf.DUMMYFUNCTION("""COMPUTED_VALUE"""),"Night")</f>
        <v>Night</v>
      </c>
      <c r="T666" s="10">
        <f ca="1">IFERROR(__xludf.DUMMYFUNCTION("""COMPUTED_VALUE"""),0.944444444444444)</f>
        <v>0.94444444444444398</v>
      </c>
      <c r="U666" s="5">
        <f ca="1">IFERROR(__xludf.DUMMYFUNCTION("""COMPUTED_VALUE"""),1)</f>
        <v>1</v>
      </c>
      <c r="V666" s="5" t="str">
        <f ca="1">IFERROR(__xludf.DUMMYFUNCTION("""COMPUTED_VALUE"""),"After pursuit, man pointed gun at officers in front of the school and was shot by police")</f>
        <v>After pursuit, man pointed gun at officers in front of the school and was shot by police</v>
      </c>
      <c r="W666"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X666" s="5" t="str">
        <f ca="1">IFERROR(__xludf.DUMMYFUNCTION("""COMPUTED_VALUE"""),"Illegal Activity")</f>
        <v>Illegal Activity</v>
      </c>
      <c r="Y666" s="5" t="str">
        <f ca="1">IFERROR(__xludf.DUMMYFUNCTION("""COMPUTED_VALUE"""),"Neither")</f>
        <v>Neither</v>
      </c>
      <c r="Z666" s="5" t="str">
        <f ca="1">IFERROR(__xludf.DUMMYFUNCTION("""COMPUTED_VALUE"""),"No")</f>
        <v>No</v>
      </c>
      <c r="AA666" s="5"/>
      <c r="AB666" s="5" t="str">
        <f ca="1">IFERROR(__xludf.DUMMYFUNCTION("""COMPUTED_VALUE"""),"No")</f>
        <v>No</v>
      </c>
      <c r="AC666" s="5" t="str">
        <f ca="1">IFERROR(__xludf.DUMMYFUNCTION("""COMPUTED_VALUE"""),"No")</f>
        <v>No</v>
      </c>
      <c r="AD666" s="5" t="str">
        <f ca="1">IFERROR(__xludf.DUMMYFUNCTION("""COMPUTED_VALUE"""),"Yes")</f>
        <v>Yes</v>
      </c>
      <c r="AE666" s="5" t="str">
        <f ca="1">IFERROR(__xludf.DUMMYFUNCTION("""COMPUTED_VALUE"""),"No")</f>
        <v>No</v>
      </c>
      <c r="AF666" s="5" t="str">
        <f ca="1">IFERROR(__xludf.DUMMYFUNCTION("""COMPUTED_VALUE"""),"No")</f>
        <v>No</v>
      </c>
      <c r="AG666" s="5" t="str">
        <f ca="1">IFERROR(__xludf.DUMMYFUNCTION("""COMPUTED_VALUE"""),"No")</f>
        <v>No</v>
      </c>
      <c r="AH666" s="5" t="str">
        <f ca="1">IFERROR(__xludf.DUMMYFUNCTION("""COMPUTED_VALUE"""),"No")</f>
        <v>No</v>
      </c>
    </row>
    <row r="667" spans="1:34" ht="12.75">
      <c r="A667" s="5" t="str">
        <f ca="1">IFERROR(__xludf.DUMMYFUNCTION("""COMPUTED_VALUE"""),"20190125TNMAM")</f>
        <v>20190125TNMAM</v>
      </c>
      <c r="B667" s="8">
        <f ca="1">IFERROR(__xludf.DUMMYFUNCTION("""COMPUTED_VALUE"""),43490)</f>
        <v>43490</v>
      </c>
      <c r="C667" s="5" t="str">
        <f ca="1">IFERROR(__xludf.DUMMYFUNCTION("""COMPUTED_VALUE"""),"Manassas High School")</f>
        <v>Manassas High School</v>
      </c>
      <c r="D667" s="5">
        <f ca="1">IFERROR(__xludf.DUMMYFUNCTION("""COMPUTED_VALUE"""),0)</f>
        <v>0</v>
      </c>
      <c r="E667" s="5">
        <f ca="1">IFERROR(__xludf.DUMMYFUNCTION("""COMPUTED_VALUE"""),0)</f>
        <v>0</v>
      </c>
      <c r="F667" s="5">
        <f ca="1">IFERROR(__xludf.DUMMYFUNCTION("""COMPUTED_VALUE"""),0)</f>
        <v>0</v>
      </c>
      <c r="G667" s="5">
        <f ca="1">IFERROR(__xludf.DUMMYFUNCTION("""COMPUTED_VALUE"""),0)</f>
        <v>0</v>
      </c>
      <c r="H667"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I667" s="5"/>
      <c r="J667" s="5"/>
      <c r="K667" s="5">
        <f ca="1">IFERROR(__xludf.DUMMYFUNCTION("""COMPUTED_VALUE"""),3)</f>
        <v>3</v>
      </c>
      <c r="L667" s="5" t="str">
        <f ca="1">IFERROR(__xludf.DUMMYFUNCTION("""COMPUTED_VALUE"""),"Winter")</f>
        <v>Winter</v>
      </c>
      <c r="M667" s="5" t="str">
        <f ca="1">IFERROR(__xludf.DUMMYFUNCTION("""COMPUTED_VALUE"""),"Memphis")</f>
        <v>Memphis</v>
      </c>
      <c r="N667" s="5" t="str">
        <f ca="1">IFERROR(__xludf.DUMMYFUNCTION("""COMPUTED_VALUE"""),"TN")</f>
        <v>TN</v>
      </c>
      <c r="O667" s="5" t="str">
        <f ca="1">IFERROR(__xludf.DUMMYFUNCTION("""COMPUTED_VALUE"""),"High")</f>
        <v>High</v>
      </c>
      <c r="P667" s="5" t="str">
        <f ca="1">IFERROR(__xludf.DUMMYFUNCTION("""COMPUTED_VALUE"""),"Front of School")</f>
        <v>Front of School</v>
      </c>
      <c r="Q667" s="5" t="str">
        <f ca="1">IFERROR(__xludf.DUMMYFUNCTION("""COMPUTED_VALUE"""),"Outside on School Property")</f>
        <v>Outside on School Property</v>
      </c>
      <c r="R667" s="5" t="str">
        <f ca="1">IFERROR(__xludf.DUMMYFUNCTION("""COMPUTED_VALUE"""),"Yes")</f>
        <v>Yes</v>
      </c>
      <c r="S667" s="5" t="str">
        <f ca="1">IFERROR(__xludf.DUMMYFUNCTION("""COMPUTED_VALUE"""),"School Start")</f>
        <v>School Start</v>
      </c>
      <c r="T667" s="10">
        <f ca="1">IFERROR(__xludf.DUMMYFUNCTION("""COMPUTED_VALUE"""),0.350694444444444)</f>
        <v>0.35069444444444398</v>
      </c>
      <c r="U667" s="5">
        <f ca="1">IFERROR(__xludf.DUMMYFUNCTION("""COMPUTED_VALUE"""),1)</f>
        <v>1</v>
      </c>
      <c r="V667" s="5" t="str">
        <f ca="1">IFERROR(__xludf.DUMMYFUNCTION("""COMPUTED_VALUE"""),"Shots fired at bus in school parking lot by 5 teens in stolen car.")</f>
        <v>Shots fired at bus in school parking lot by 5 teens in stolen car.</v>
      </c>
      <c r="W667"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X667" s="5" t="str">
        <f ca="1">IFERROR(__xludf.DUMMYFUNCTION("""COMPUTED_VALUE"""),"Drive-by Shooting")</f>
        <v>Drive-by Shooting</v>
      </c>
      <c r="Y667" s="5"/>
      <c r="Z667" s="5" t="str">
        <f ca="1">IFERROR(__xludf.DUMMYFUNCTION("""COMPUTED_VALUE"""),"Yes")</f>
        <v>Yes</v>
      </c>
      <c r="AA667" s="5" t="str">
        <f ca="1">IFERROR(__xludf.DUMMYFUNCTION("""COMPUTED_VALUE"""),"5 teens in car during shooting, 2 guns recovered")</f>
        <v>5 teens in car during shooting, 2 guns recovered</v>
      </c>
      <c r="AB667" s="5" t="str">
        <f ca="1">IFERROR(__xludf.DUMMYFUNCTION("""COMPUTED_VALUE"""),"No")</f>
        <v>No</v>
      </c>
      <c r="AC667" s="5" t="str">
        <f ca="1">IFERROR(__xludf.DUMMYFUNCTION("""COMPUTED_VALUE"""),"No")</f>
        <v>No</v>
      </c>
      <c r="AD667" s="5" t="str">
        <f ca="1">IFERROR(__xludf.DUMMYFUNCTION("""COMPUTED_VALUE"""),"No")</f>
        <v>No</v>
      </c>
      <c r="AE667" s="5" t="str">
        <f ca="1">IFERROR(__xludf.DUMMYFUNCTION("""COMPUTED_VALUE"""),"No")</f>
        <v>No</v>
      </c>
      <c r="AF667" s="5" t="str">
        <f ca="1">IFERROR(__xludf.DUMMYFUNCTION("""COMPUTED_VALUE"""),"No")</f>
        <v>No</v>
      </c>
      <c r="AG667" s="5"/>
      <c r="AH667" s="5" t="str">
        <f ca="1">IFERROR(__xludf.DUMMYFUNCTION("""COMPUTED_VALUE"""),"No")</f>
        <v>No</v>
      </c>
    </row>
    <row r="668" spans="1:34" ht="12.75">
      <c r="A668" s="5" t="str">
        <f ca="1">IFERROR(__xludf.DUMMYFUNCTION("""COMPUTED_VALUE"""),"20190125ALDAM")</f>
        <v>20190125ALDAM</v>
      </c>
      <c r="B668" s="8">
        <f ca="1">IFERROR(__xludf.DUMMYFUNCTION("""COMPUTED_VALUE"""),43490)</f>
        <v>43490</v>
      </c>
      <c r="C668" s="5" t="str">
        <f ca="1">IFERROR(__xludf.DUMMYFUNCTION("""COMPUTED_VALUE"""),"Davidson High School")</f>
        <v>Davidson High School</v>
      </c>
      <c r="D668" s="5">
        <f ca="1">IFERROR(__xludf.DUMMYFUNCTION("""COMPUTED_VALUE"""),0)</f>
        <v>0</v>
      </c>
      <c r="E668" s="5">
        <f ca="1">IFERROR(__xludf.DUMMYFUNCTION("""COMPUTED_VALUE"""),2)</f>
        <v>2</v>
      </c>
      <c r="F668" s="5">
        <f ca="1">IFERROR(__xludf.DUMMYFUNCTION("""COMPUTED_VALUE"""),2)</f>
        <v>2</v>
      </c>
      <c r="G668" s="5">
        <f ca="1">IFERROR(__xludf.DUMMYFUNCTION("""COMPUTED_VALUE"""),0)</f>
        <v>0</v>
      </c>
      <c r="H668"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I668" s="5"/>
      <c r="J668" s="5"/>
      <c r="K668" s="5">
        <f ca="1">IFERROR(__xludf.DUMMYFUNCTION("""COMPUTED_VALUE"""),3)</f>
        <v>3</v>
      </c>
      <c r="L668" s="5" t="str">
        <f ca="1">IFERROR(__xludf.DUMMYFUNCTION("""COMPUTED_VALUE"""),"Winter")</f>
        <v>Winter</v>
      </c>
      <c r="M668" s="5" t="str">
        <f ca="1">IFERROR(__xludf.DUMMYFUNCTION("""COMPUTED_VALUE"""),"Mobile")</f>
        <v>Mobile</v>
      </c>
      <c r="N668" s="5" t="str">
        <f ca="1">IFERROR(__xludf.DUMMYFUNCTION("""COMPUTED_VALUE"""),"AL")</f>
        <v>AL</v>
      </c>
      <c r="O668" s="5" t="str">
        <f ca="1">IFERROR(__xludf.DUMMYFUNCTION("""COMPUTED_VALUE"""),"High")</f>
        <v>High</v>
      </c>
      <c r="P668" s="5" t="str">
        <f ca="1">IFERROR(__xludf.DUMMYFUNCTION("""COMPUTED_VALUE"""),"Parking Lot")</f>
        <v>Parking Lot</v>
      </c>
      <c r="Q668" s="5" t="str">
        <f ca="1">IFERROR(__xludf.DUMMYFUNCTION("""COMPUTED_VALUE"""),"Outside on School Property")</f>
        <v>Outside on School Property</v>
      </c>
      <c r="R668" s="5" t="str">
        <f ca="1">IFERROR(__xludf.DUMMYFUNCTION("""COMPUTED_VALUE"""),"No")</f>
        <v>No</v>
      </c>
      <c r="S668" s="5" t="str">
        <f ca="1">IFERROR(__xludf.DUMMYFUNCTION("""COMPUTED_VALUE"""),"Sport Event")</f>
        <v>Sport Event</v>
      </c>
      <c r="T668" s="10">
        <f ca="1">IFERROR(__xludf.DUMMYFUNCTION("""COMPUTED_VALUE"""),0.875)</f>
        <v>0.875</v>
      </c>
      <c r="U668" s="5">
        <f ca="1">IFERROR(__xludf.DUMMYFUNCTION("""COMPUTED_VALUE"""),1)</f>
        <v>1</v>
      </c>
      <c r="V668" s="5" t="str">
        <f ca="1">IFERROR(__xludf.DUMMYFUNCTION("""COMPUTED_VALUE"""),"2 shot during altercation outside of basketball game, shooter fled")</f>
        <v>2 shot during altercation outside of basketball game, shooter fled</v>
      </c>
      <c r="W668"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X668" s="5" t="str">
        <f ca="1">IFERROR(__xludf.DUMMYFUNCTION("""COMPUTED_VALUE"""),"Escalation of Dispute")</f>
        <v>Escalation of Dispute</v>
      </c>
      <c r="Y668" s="5"/>
      <c r="Z668" s="5" t="str">
        <f ca="1">IFERROR(__xludf.DUMMYFUNCTION("""COMPUTED_VALUE"""),"Yes")</f>
        <v>Yes</v>
      </c>
      <c r="AA668" s="5" t="str">
        <f ca="1">IFERROR(__xludf.DUMMYFUNCTION("""COMPUTED_VALUE"""),"Mother also charged")</f>
        <v>Mother also charged</v>
      </c>
      <c r="AB668" s="5" t="str">
        <f ca="1">IFERROR(__xludf.DUMMYFUNCTION("""COMPUTED_VALUE"""),"No")</f>
        <v>No</v>
      </c>
      <c r="AC668" s="5" t="str">
        <f ca="1">IFERROR(__xludf.DUMMYFUNCTION("""COMPUTED_VALUE"""),"No")</f>
        <v>No</v>
      </c>
      <c r="AD668" s="5" t="str">
        <f ca="1">IFERROR(__xludf.DUMMYFUNCTION("""COMPUTED_VALUE"""),"No")</f>
        <v>No</v>
      </c>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row>
    <row r="669" spans="1:34" ht="12.75">
      <c r="A669" s="5" t="str">
        <f ca="1">IFERROR(__xludf.DUMMYFUNCTION("""COMPUTED_VALUE"""),"20190123LASOS")</f>
        <v>20190123LASOS</v>
      </c>
      <c r="B669" s="8">
        <f ca="1">IFERROR(__xludf.DUMMYFUNCTION("""COMPUTED_VALUE"""),43488)</f>
        <v>43488</v>
      </c>
      <c r="C669" s="5" t="str">
        <f ca="1">IFERROR(__xludf.DUMMYFUNCTION("""COMPUTED_VALUE"""),"Southern Hills Elementary School")</f>
        <v>Southern Hills Elementary School</v>
      </c>
      <c r="D669" s="5">
        <f ca="1">IFERROR(__xludf.DUMMYFUNCTION("""COMPUTED_VALUE"""),0)</f>
        <v>0</v>
      </c>
      <c r="E669" s="5">
        <f ca="1">IFERROR(__xludf.DUMMYFUNCTION("""COMPUTED_VALUE"""),1)</f>
        <v>1</v>
      </c>
      <c r="F669" s="5">
        <f ca="1">IFERROR(__xludf.DUMMYFUNCTION("""COMPUTED_VALUE"""),1)</f>
        <v>1</v>
      </c>
      <c r="G669" s="5">
        <f ca="1">IFERROR(__xludf.DUMMYFUNCTION("""COMPUTED_VALUE"""),0)</f>
        <v>0</v>
      </c>
      <c r="H669"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I669" s="5"/>
      <c r="J669" s="5"/>
      <c r="K669" s="5">
        <f ca="1">IFERROR(__xludf.DUMMYFUNCTION("""COMPUTED_VALUE"""),3)</f>
        <v>3</v>
      </c>
      <c r="L669" s="5" t="str">
        <f ca="1">IFERROR(__xludf.DUMMYFUNCTION("""COMPUTED_VALUE"""),"Winter")</f>
        <v>Winter</v>
      </c>
      <c r="M669" s="5" t="str">
        <f ca="1">IFERROR(__xludf.DUMMYFUNCTION("""COMPUTED_VALUE"""),"Shreveport")</f>
        <v>Shreveport</v>
      </c>
      <c r="N669" s="5" t="str">
        <f ca="1">IFERROR(__xludf.DUMMYFUNCTION("""COMPUTED_VALUE"""),"LA")</f>
        <v>LA</v>
      </c>
      <c r="O669" s="5" t="str">
        <f ca="1">IFERROR(__xludf.DUMMYFUNCTION("""COMPUTED_VALUE"""),"Elementary")</f>
        <v>Elementary</v>
      </c>
      <c r="P669" s="5" t="str">
        <f ca="1">IFERROR(__xludf.DUMMYFUNCTION("""COMPUTED_VALUE"""),"Parking Lot")</f>
        <v>Parking Lot</v>
      </c>
      <c r="Q669" s="5" t="str">
        <f ca="1">IFERROR(__xludf.DUMMYFUNCTION("""COMPUTED_VALUE"""),"Off School Property")</f>
        <v>Off School Property</v>
      </c>
      <c r="R669" s="5" t="str">
        <f ca="1">IFERROR(__xludf.DUMMYFUNCTION("""COMPUTED_VALUE"""),"Yes")</f>
        <v>Yes</v>
      </c>
      <c r="S669" s="5" t="str">
        <f ca="1">IFERROR(__xludf.DUMMYFUNCTION("""COMPUTED_VALUE"""),"Afternoon Classes")</f>
        <v>Afternoon Classes</v>
      </c>
      <c r="T669" s="10">
        <f ca="1">IFERROR(__xludf.DUMMYFUNCTION("""COMPUTED_VALUE"""),0.625)</f>
        <v>0.625</v>
      </c>
      <c r="U669" s="5">
        <f ca="1">IFERROR(__xludf.DUMMYFUNCTION("""COMPUTED_VALUE"""),1)</f>
        <v>1</v>
      </c>
      <c r="V669" s="5" t="str">
        <f ca="1">IFERROR(__xludf.DUMMYFUNCTION("""COMPUTED_VALUE"""),"Adult male who was shot was found by SRO in the parking lot")</f>
        <v>Adult male who was shot was found by SRO in the parking lot</v>
      </c>
      <c r="W669"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X669" s="5" t="str">
        <f ca="1">IFERROR(__xludf.DUMMYFUNCTION("""COMPUTED_VALUE"""),"Unknown")</f>
        <v>Unknown</v>
      </c>
      <c r="Y669" s="5"/>
      <c r="Z669" s="5"/>
      <c r="AA669" s="5"/>
      <c r="AB669" s="5" t="str">
        <f ca="1">IFERROR(__xludf.DUMMYFUNCTION("""COMPUTED_VALUE"""),"No")</f>
        <v>No</v>
      </c>
      <c r="AC669" s="5" t="str">
        <f ca="1">IFERROR(__xludf.DUMMYFUNCTION("""COMPUTED_VALUE"""),"No")</f>
        <v>No</v>
      </c>
      <c r="AD669" s="5" t="str">
        <f ca="1">IFERROR(__xludf.DUMMYFUNCTION("""COMPUTED_VALUE"""),"No")</f>
        <v>No</v>
      </c>
      <c r="AE669" s="5" t="str">
        <f ca="1">IFERROR(__xludf.DUMMYFUNCTION("""COMPUTED_VALUE"""),"No")</f>
        <v>No</v>
      </c>
      <c r="AF669" s="5"/>
      <c r="AG669" s="5"/>
      <c r="AH669" s="5" t="str">
        <f ca="1">IFERROR(__xludf.DUMMYFUNCTION("""COMPUTED_VALUE"""),"No")</f>
        <v>No</v>
      </c>
    </row>
    <row r="670" spans="1:34" ht="12.75">
      <c r="A670" s="5" t="str">
        <f ca="1">IFERROR(__xludf.DUMMYFUNCTION("""COMPUTED_VALUE"""),"20190119KSLAO")</f>
        <v>20190119KSLAO</v>
      </c>
      <c r="B670" s="8">
        <f ca="1">IFERROR(__xludf.DUMMYFUNCTION("""COMPUTED_VALUE"""),43484)</f>
        <v>43484</v>
      </c>
      <c r="C670" s="5" t="str">
        <f ca="1">IFERROR(__xludf.DUMMYFUNCTION("""COMPUTED_VALUE"""),"Lakewood Middle School")</f>
        <v>Lakewood Middle School</v>
      </c>
      <c r="D670" s="5">
        <f ca="1">IFERROR(__xludf.DUMMYFUNCTION("""COMPUTED_VALUE"""),0)</f>
        <v>0</v>
      </c>
      <c r="E670" s="5">
        <f ca="1">IFERROR(__xludf.DUMMYFUNCTION("""COMPUTED_VALUE"""),2)</f>
        <v>2</v>
      </c>
      <c r="F670" s="5">
        <f ca="1">IFERROR(__xludf.DUMMYFUNCTION("""COMPUTED_VALUE"""),2)</f>
        <v>2</v>
      </c>
      <c r="G670" s="5">
        <f ca="1">IFERROR(__xludf.DUMMYFUNCTION("""COMPUTED_VALUE"""),0)</f>
        <v>0</v>
      </c>
      <c r="H670"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I670" s="5"/>
      <c r="J670" s="5"/>
      <c r="K670" s="5">
        <f ca="1">IFERROR(__xludf.DUMMYFUNCTION("""COMPUTED_VALUE"""),3)</f>
        <v>3</v>
      </c>
      <c r="L670" s="5" t="str">
        <f ca="1">IFERROR(__xludf.DUMMYFUNCTION("""COMPUTED_VALUE"""),"Winter")</f>
        <v>Winter</v>
      </c>
      <c r="M670" s="5" t="str">
        <f ca="1">IFERROR(__xludf.DUMMYFUNCTION("""COMPUTED_VALUE"""),"Overland Park")</f>
        <v>Overland Park</v>
      </c>
      <c r="N670" s="5" t="str">
        <f ca="1">IFERROR(__xludf.DUMMYFUNCTION("""COMPUTED_VALUE"""),"KS")</f>
        <v>KS</v>
      </c>
      <c r="O670" s="5" t="str">
        <f ca="1">IFERROR(__xludf.DUMMYFUNCTION("""COMPUTED_VALUE"""),"Middle")</f>
        <v>Middle</v>
      </c>
      <c r="P670" s="5" t="str">
        <f ca="1">IFERROR(__xludf.DUMMYFUNCTION("""COMPUTED_VALUE"""),"Parking Lot")</f>
        <v>Parking Lot</v>
      </c>
      <c r="Q670" s="5" t="str">
        <f ca="1">IFERROR(__xludf.DUMMYFUNCTION("""COMPUTED_VALUE"""),"Outside on School Property")</f>
        <v>Outside on School Property</v>
      </c>
      <c r="R670" s="5" t="str">
        <f ca="1">IFERROR(__xludf.DUMMYFUNCTION("""COMPUTED_VALUE"""),"No")</f>
        <v>No</v>
      </c>
      <c r="S670" s="5" t="str">
        <f ca="1">IFERROR(__xludf.DUMMYFUNCTION("""COMPUTED_VALUE"""),"Night")</f>
        <v>Night</v>
      </c>
      <c r="T670" s="10">
        <f ca="1">IFERROR(__xludf.DUMMYFUNCTION("""COMPUTED_VALUE"""),0.875)</f>
        <v>0.875</v>
      </c>
      <c r="U670" s="5">
        <f ca="1">IFERROR(__xludf.DUMMYFUNCTION("""COMPUTED_VALUE"""),1)</f>
        <v>1</v>
      </c>
      <c r="V670" s="5" t="str">
        <f ca="1">IFERROR(__xludf.DUMMYFUNCTION("""COMPUTED_VALUE"""),"Two teens shot in parking lot during robbery")</f>
        <v>Two teens shot in parking lot during robbery</v>
      </c>
      <c r="W670"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X670" s="5" t="str">
        <f ca="1">IFERROR(__xludf.DUMMYFUNCTION("""COMPUTED_VALUE"""),"Illegal Activity")</f>
        <v>Illegal Activity</v>
      </c>
      <c r="Y670" s="5" t="str">
        <f ca="1">IFERROR(__xludf.DUMMYFUNCTION("""COMPUTED_VALUE"""),"Victims Targeted")</f>
        <v>Victims Targeted</v>
      </c>
      <c r="Z670" s="5"/>
      <c r="AA670" s="5"/>
      <c r="AB670" s="5" t="str">
        <f ca="1">IFERROR(__xludf.DUMMYFUNCTION("""COMPUTED_VALUE"""),"No")</f>
        <v>No</v>
      </c>
      <c r="AC670" s="5" t="str">
        <f ca="1">IFERROR(__xludf.DUMMYFUNCTION("""COMPUTED_VALUE"""),"No")</f>
        <v>No</v>
      </c>
      <c r="AD670" s="5" t="str">
        <f ca="1">IFERROR(__xludf.DUMMYFUNCTION("""COMPUTED_VALUE"""),"No")</f>
        <v>No</v>
      </c>
      <c r="AE670" s="5" t="str">
        <f ca="1">IFERROR(__xludf.DUMMYFUNCTION("""COMPUTED_VALUE"""),"No")</f>
        <v>No</v>
      </c>
      <c r="AF670" s="5" t="str">
        <f ca="1">IFERROR(__xludf.DUMMYFUNCTION("""COMPUTED_VALUE"""),"No")</f>
        <v>No</v>
      </c>
      <c r="AG670" s="5"/>
      <c r="AH670" s="5" t="str">
        <f ca="1">IFERROR(__xludf.DUMMYFUNCTION("""COMPUTED_VALUE"""),"No")</f>
        <v>No</v>
      </c>
    </row>
    <row r="671" spans="1:34" ht="12.75">
      <c r="A671" s="5" t="str">
        <f ca="1">IFERROR(__xludf.DUMMYFUNCTION("""COMPUTED_VALUE"""),"20190118NCSHD")</f>
        <v>20190118NCSHD</v>
      </c>
      <c r="B671" s="8">
        <f ca="1">IFERROR(__xludf.DUMMYFUNCTION("""COMPUTED_VALUE"""),43483)</f>
        <v>43483</v>
      </c>
      <c r="C671" s="5" t="str">
        <f ca="1">IFERROR(__xludf.DUMMYFUNCTION("""COMPUTED_VALUE"""),"Sheppard Middle School")</f>
        <v>Sheppard Middle School</v>
      </c>
      <c r="D671" s="5">
        <f ca="1">IFERROR(__xludf.DUMMYFUNCTION("""COMPUTED_VALUE"""),0)</f>
        <v>0</v>
      </c>
      <c r="E671" s="5">
        <f ca="1">IFERROR(__xludf.DUMMYFUNCTION("""COMPUTED_VALUE"""),1)</f>
        <v>1</v>
      </c>
      <c r="F671" s="5">
        <f ca="1">IFERROR(__xludf.DUMMYFUNCTION("""COMPUTED_VALUE"""),1)</f>
        <v>1</v>
      </c>
      <c r="G671" s="5">
        <f ca="1">IFERROR(__xludf.DUMMYFUNCTION("""COMPUTED_VALUE"""),0)</f>
        <v>0</v>
      </c>
      <c r="H671" s="9" t="str">
        <f ca="1">IFERROR(__xludf.DUMMYFUNCTION("""COMPUTED_VALUE"""),"https://www.wral.com/durham-school-bus-hit-by-stray-bullet/18133535/")</f>
        <v>https://www.wral.com/durham-school-bus-hit-by-stray-bullet/18133535/</v>
      </c>
      <c r="I671" s="5"/>
      <c r="J671" s="5"/>
      <c r="K671" s="5">
        <f ca="1">IFERROR(__xludf.DUMMYFUNCTION("""COMPUTED_VALUE"""),3)</f>
        <v>3</v>
      </c>
      <c r="L671" s="5" t="str">
        <f ca="1">IFERROR(__xludf.DUMMYFUNCTION("""COMPUTED_VALUE"""),"Winter")</f>
        <v>Winter</v>
      </c>
      <c r="M671" s="5" t="str">
        <f ca="1">IFERROR(__xludf.DUMMYFUNCTION("""COMPUTED_VALUE"""),"Durham")</f>
        <v>Durham</v>
      </c>
      <c r="N671" s="5" t="str">
        <f ca="1">IFERROR(__xludf.DUMMYFUNCTION("""COMPUTED_VALUE"""),"NC")</f>
        <v>NC</v>
      </c>
      <c r="O671" s="5" t="str">
        <f ca="1">IFERROR(__xludf.DUMMYFUNCTION("""COMPUTED_VALUE"""),"Middle")</f>
        <v>Middle</v>
      </c>
      <c r="P671" s="5" t="str">
        <f ca="1">IFERROR(__xludf.DUMMYFUNCTION("""COMPUTED_VALUE"""),"School Bus")</f>
        <v>School Bus</v>
      </c>
      <c r="Q671" s="5" t="str">
        <f ca="1">IFERROR(__xludf.DUMMYFUNCTION("""COMPUTED_VALUE"""),"School Bus")</f>
        <v>School Bus</v>
      </c>
      <c r="R671" s="5" t="str">
        <f ca="1">IFERROR(__xludf.DUMMYFUNCTION("""COMPUTED_VALUE"""),"Yes")</f>
        <v>Yes</v>
      </c>
      <c r="S671" s="5" t="str">
        <f ca="1">IFERROR(__xludf.DUMMYFUNCTION("""COMPUTED_VALUE"""),"Dismissal")</f>
        <v>Dismissal</v>
      </c>
      <c r="T671" s="10">
        <f ca="1">IFERROR(__xludf.DUMMYFUNCTION("""COMPUTED_VALUE"""),0.645833333333333)</f>
        <v>0.64583333333333304</v>
      </c>
      <c r="U671" s="5">
        <f ca="1">IFERROR(__xludf.DUMMYFUNCTION("""COMPUTED_VALUE"""),1)</f>
        <v>1</v>
      </c>
      <c r="V671" s="5" t="str">
        <f ca="1">IFERROR(__xludf.DUMMYFUNCTION("""COMPUTED_VALUE"""),"School bus hit by stray bullet injuring driver")</f>
        <v>School bus hit by stray bullet injuring driver</v>
      </c>
      <c r="W671"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X671" s="5" t="str">
        <f ca="1">IFERROR(__xludf.DUMMYFUNCTION("""COMPUTED_VALUE"""),"Drive-by Shooting")</f>
        <v>Drive-by Shooting</v>
      </c>
      <c r="Y671" s="5" t="str">
        <f ca="1">IFERROR(__xludf.DUMMYFUNCTION("""COMPUTED_VALUE"""),"Random Shooting")</f>
        <v>Random Shooting</v>
      </c>
      <c r="Z671" s="5" t="str">
        <f ca="1">IFERROR(__xludf.DUMMYFUNCTION("""COMPUTED_VALUE"""),"Yes")</f>
        <v>Yes</v>
      </c>
      <c r="AA671" s="5" t="str">
        <f ca="1">IFERROR(__xludf.DUMMYFUNCTION("""COMPUTED_VALUE"""),"Drivers of vehicles")</f>
        <v>Drivers of vehicles</v>
      </c>
      <c r="AB671" s="5" t="str">
        <f ca="1">IFERROR(__xludf.DUMMYFUNCTION("""COMPUTED_VALUE"""),"No")</f>
        <v>No</v>
      </c>
      <c r="AC671" s="5" t="str">
        <f ca="1">IFERROR(__xludf.DUMMYFUNCTION("""COMPUTED_VALUE"""),"No")</f>
        <v>No</v>
      </c>
      <c r="AD671" s="5" t="str">
        <f ca="1">IFERROR(__xludf.DUMMYFUNCTION("""COMPUTED_VALUE"""),"No")</f>
        <v>No</v>
      </c>
      <c r="AE671" s="5" t="str">
        <f ca="1">IFERROR(__xludf.DUMMYFUNCTION("""COMPUTED_VALUE"""),"No")</f>
        <v>No</v>
      </c>
      <c r="AF671" s="5" t="str">
        <f ca="1">IFERROR(__xludf.DUMMYFUNCTION("""COMPUTED_VALUE"""),"No")</f>
        <v>No</v>
      </c>
      <c r="AG671" s="5"/>
      <c r="AH671" s="5" t="str">
        <f ca="1">IFERROR(__xludf.DUMMYFUNCTION("""COMPUTED_VALUE"""),"No")</f>
        <v>No</v>
      </c>
    </row>
    <row r="672" spans="1:34" ht="12.75">
      <c r="A672" s="5" t="str">
        <f ca="1">IFERROR(__xludf.DUMMYFUNCTION("""COMPUTED_VALUE"""),"20190118MOHAS")</f>
        <v>20190118MOHAS</v>
      </c>
      <c r="B672" s="8">
        <f ca="1">IFERROR(__xludf.DUMMYFUNCTION("""COMPUTED_VALUE"""),43483)</f>
        <v>43483</v>
      </c>
      <c r="C672" s="5" t="str">
        <f ca="1">IFERROR(__xludf.DUMMYFUNCTION("""COMPUTED_VALUE"""),"Hazelwood East High School")</f>
        <v>Hazelwood East High School</v>
      </c>
      <c r="D672" s="5">
        <f ca="1">IFERROR(__xludf.DUMMYFUNCTION("""COMPUTED_VALUE"""),0)</f>
        <v>0</v>
      </c>
      <c r="E672" s="5">
        <f ca="1">IFERROR(__xludf.DUMMYFUNCTION("""COMPUTED_VALUE"""),0)</f>
        <v>0</v>
      </c>
      <c r="F672" s="5">
        <f ca="1">IFERROR(__xludf.DUMMYFUNCTION("""COMPUTED_VALUE"""),0)</f>
        <v>0</v>
      </c>
      <c r="G672" s="5">
        <f ca="1">IFERROR(__xludf.DUMMYFUNCTION("""COMPUTED_VALUE"""),0)</f>
        <v>0</v>
      </c>
      <c r="H672" s="9" t="str">
        <f ca="1">IFERROR(__xludf.DUMMYFUNCTION("""COMPUTED_VALUE"""),"https://fox2now.com/2019/01/18/gunfire-exchanged-in-hazelwood-east-parking-lot/")</f>
        <v>https://fox2now.com/2019/01/18/gunfire-exchanged-in-hazelwood-east-parking-lot/</v>
      </c>
      <c r="I672" s="5"/>
      <c r="J672" s="5"/>
      <c r="K672" s="5">
        <f ca="1">IFERROR(__xludf.DUMMYFUNCTION("""COMPUTED_VALUE"""),3)</f>
        <v>3</v>
      </c>
      <c r="L672" s="5" t="str">
        <f ca="1">IFERROR(__xludf.DUMMYFUNCTION("""COMPUTED_VALUE"""),"Winter")</f>
        <v>Winter</v>
      </c>
      <c r="M672" s="5" t="str">
        <f ca="1">IFERROR(__xludf.DUMMYFUNCTION("""COMPUTED_VALUE"""),"St. Louis")</f>
        <v>St. Louis</v>
      </c>
      <c r="N672" s="5" t="str">
        <f ca="1">IFERROR(__xludf.DUMMYFUNCTION("""COMPUTED_VALUE"""),"MO")</f>
        <v>MO</v>
      </c>
      <c r="O672" s="5" t="str">
        <f ca="1">IFERROR(__xludf.DUMMYFUNCTION("""COMPUTED_VALUE"""),"High")</f>
        <v>High</v>
      </c>
      <c r="P672" s="5" t="str">
        <f ca="1">IFERROR(__xludf.DUMMYFUNCTION("""COMPUTED_VALUE"""),"Parking Lot")</f>
        <v>Parking Lot</v>
      </c>
      <c r="Q672" s="5" t="str">
        <f ca="1">IFERROR(__xludf.DUMMYFUNCTION("""COMPUTED_VALUE"""),"Outside on School Property")</f>
        <v>Outside on School Property</v>
      </c>
      <c r="R672" s="5" t="str">
        <f ca="1">IFERROR(__xludf.DUMMYFUNCTION("""COMPUTED_VALUE"""),"Yes")</f>
        <v>Yes</v>
      </c>
      <c r="S672" s="5" t="str">
        <f ca="1">IFERROR(__xludf.DUMMYFUNCTION("""COMPUTED_VALUE"""),"Afternoon Classes")</f>
        <v>Afternoon Classes</v>
      </c>
      <c r="T672" s="10">
        <f ca="1">IFERROR(__xludf.DUMMYFUNCTION("""COMPUTED_VALUE"""),0.604166666666666)</f>
        <v>0.60416666666666596</v>
      </c>
      <c r="U672" s="5">
        <f ca="1">IFERROR(__xludf.DUMMYFUNCTION("""COMPUTED_VALUE"""),1)</f>
        <v>1</v>
      </c>
      <c r="V672" s="5" t="str">
        <f ca="1">IFERROR(__xludf.DUMMYFUNCTION("""COMPUTED_VALUE"""),"Shots fired from vehicles in the school parking lot. No students injured.")</f>
        <v>Shots fired from vehicles in the school parking lot. No students injured.</v>
      </c>
      <c r="W672"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X672" s="5" t="str">
        <f ca="1">IFERROR(__xludf.DUMMYFUNCTION("""COMPUTED_VALUE"""),"Drive-by Shooting")</f>
        <v>Drive-by Shooting</v>
      </c>
      <c r="Y672" s="5" t="str">
        <f ca="1">IFERROR(__xludf.DUMMYFUNCTION("""COMPUTED_VALUE"""),"Victims Targeted")</f>
        <v>Victims Targeted</v>
      </c>
      <c r="Z672" s="5" t="str">
        <f ca="1">IFERROR(__xludf.DUMMYFUNCTION("""COMPUTED_VALUE"""),"Yes")</f>
        <v>Yes</v>
      </c>
      <c r="AA672" s="5" t="str">
        <f ca="1">IFERROR(__xludf.DUMMYFUNCTION("""COMPUTED_VALUE"""),"Multiple in vehicle")</f>
        <v>Multiple in vehicle</v>
      </c>
      <c r="AB672" s="5" t="str">
        <f ca="1">IFERROR(__xludf.DUMMYFUNCTION("""COMPUTED_VALUE"""),"No")</f>
        <v>No</v>
      </c>
      <c r="AC672" s="5" t="str">
        <f ca="1">IFERROR(__xludf.DUMMYFUNCTION("""COMPUTED_VALUE"""),"No")</f>
        <v>No</v>
      </c>
      <c r="AD672" s="5" t="str">
        <f ca="1">IFERROR(__xludf.DUMMYFUNCTION("""COMPUTED_VALUE"""),"No")</f>
        <v>No</v>
      </c>
      <c r="AE672" s="5" t="str">
        <f ca="1">IFERROR(__xludf.DUMMYFUNCTION("""COMPUTED_VALUE"""),"No")</f>
        <v>No</v>
      </c>
      <c r="AF672" s="5" t="str">
        <f ca="1">IFERROR(__xludf.DUMMYFUNCTION("""COMPUTED_VALUE"""),"No")</f>
        <v>No</v>
      </c>
      <c r="AG672" s="5"/>
      <c r="AH672" s="5" t="str">
        <f ca="1">IFERROR(__xludf.DUMMYFUNCTION("""COMPUTED_VALUE"""),"No")</f>
        <v>No</v>
      </c>
    </row>
    <row r="673" spans="1:34" ht="12.75">
      <c r="A673" s="5" t="str">
        <f ca="1">IFERROR(__xludf.DUMMYFUNCTION("""COMPUTED_VALUE"""),"20190118ALCET")</f>
        <v>20190118ALCET</v>
      </c>
      <c r="B673" s="8">
        <f ca="1">IFERROR(__xludf.DUMMYFUNCTION("""COMPUTED_VALUE"""),43483)</f>
        <v>43483</v>
      </c>
      <c r="C673" s="5" t="str">
        <f ca="1">IFERROR(__xludf.DUMMYFUNCTION("""COMPUTED_VALUE"""),"Central High School")</f>
        <v>Central High School</v>
      </c>
      <c r="D673" s="5">
        <f ca="1">IFERROR(__xludf.DUMMYFUNCTION("""COMPUTED_VALUE"""),0)</f>
        <v>0</v>
      </c>
      <c r="E673" s="5">
        <f ca="1">IFERROR(__xludf.DUMMYFUNCTION("""COMPUTED_VALUE"""),0)</f>
        <v>0</v>
      </c>
      <c r="F673" s="5">
        <f ca="1">IFERROR(__xludf.DUMMYFUNCTION("""COMPUTED_VALUE"""),0)</f>
        <v>0</v>
      </c>
      <c r="G673" s="5">
        <f ca="1">IFERROR(__xludf.DUMMYFUNCTION("""COMPUTED_VALUE"""),0)</f>
        <v>0</v>
      </c>
      <c r="H673"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I673" s="5"/>
      <c r="J673" s="5"/>
      <c r="K673" s="5">
        <f ca="1">IFERROR(__xludf.DUMMYFUNCTION("""COMPUTED_VALUE"""),3)</f>
        <v>3</v>
      </c>
      <c r="L673" s="5" t="str">
        <f ca="1">IFERROR(__xludf.DUMMYFUNCTION("""COMPUTED_VALUE"""),"Winter")</f>
        <v>Winter</v>
      </c>
      <c r="M673" s="5" t="str">
        <f ca="1">IFERROR(__xludf.DUMMYFUNCTION("""COMPUTED_VALUE"""),"Tuscaloosa")</f>
        <v>Tuscaloosa</v>
      </c>
      <c r="N673" s="5" t="str">
        <f ca="1">IFERROR(__xludf.DUMMYFUNCTION("""COMPUTED_VALUE"""),"AL")</f>
        <v>AL</v>
      </c>
      <c r="O673" s="5" t="str">
        <f ca="1">IFERROR(__xludf.DUMMYFUNCTION("""COMPUTED_VALUE"""),"High")</f>
        <v>High</v>
      </c>
      <c r="P673" s="5" t="str">
        <f ca="1">IFERROR(__xludf.DUMMYFUNCTION("""COMPUTED_VALUE"""),"Parking Lot")</f>
        <v>Parking Lot</v>
      </c>
      <c r="Q673" s="5" t="str">
        <f ca="1">IFERROR(__xludf.DUMMYFUNCTION("""COMPUTED_VALUE"""),"Outside on School Property")</f>
        <v>Outside on School Property</v>
      </c>
      <c r="R673" s="5" t="str">
        <f ca="1">IFERROR(__xludf.DUMMYFUNCTION("""COMPUTED_VALUE"""),"Yes")</f>
        <v>Yes</v>
      </c>
      <c r="S673" s="5" t="str">
        <f ca="1">IFERROR(__xludf.DUMMYFUNCTION("""COMPUTED_VALUE"""),"Afternoon Classes")</f>
        <v>Afternoon Classes</v>
      </c>
      <c r="T673" s="10">
        <f ca="1">IFERROR(__xludf.DUMMYFUNCTION("""COMPUTED_VALUE"""),0.604166666666666)</f>
        <v>0.60416666666666596</v>
      </c>
      <c r="U673" s="5">
        <f ca="1">IFERROR(__xludf.DUMMYFUNCTION("""COMPUTED_VALUE"""),1)</f>
        <v>1</v>
      </c>
      <c r="V673" s="5" t="str">
        <f ca="1">IFERROR(__xludf.DUMMYFUNCTION("""COMPUTED_VALUE"""),"Non-student shot at female in parking lot, school locked down")</f>
        <v>Non-student shot at female in parking lot, school locked down</v>
      </c>
      <c r="W673"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X673" s="5" t="str">
        <f ca="1">IFERROR(__xludf.DUMMYFUNCTION("""COMPUTED_VALUE"""),"Domestic w/ Targeted Victim")</f>
        <v>Domestic w/ Targeted Victim</v>
      </c>
      <c r="Y673" s="5" t="str">
        <f ca="1">IFERROR(__xludf.DUMMYFUNCTION("""COMPUTED_VALUE"""),"Victims Targeted")</f>
        <v>Victims Targeted</v>
      </c>
      <c r="Z673" s="5" t="str">
        <f ca="1">IFERROR(__xludf.DUMMYFUNCTION("""COMPUTED_VALUE"""),"No")</f>
        <v>No</v>
      </c>
      <c r="AA673" s="5"/>
      <c r="AB673" s="5" t="str">
        <f ca="1">IFERROR(__xludf.DUMMYFUNCTION("""COMPUTED_VALUE"""),"No")</f>
        <v>No</v>
      </c>
      <c r="AC673" s="5" t="str">
        <f ca="1">IFERROR(__xludf.DUMMYFUNCTION("""COMPUTED_VALUE"""),"No")</f>
        <v>No</v>
      </c>
      <c r="AD673" s="5" t="str">
        <f ca="1">IFERROR(__xludf.DUMMYFUNCTION("""COMPUTED_VALUE"""),"No")</f>
        <v>No</v>
      </c>
      <c r="AE673" s="5" t="str">
        <f ca="1">IFERROR(__xludf.DUMMYFUNCTION("""COMPUTED_VALUE"""),"No")</f>
        <v>No</v>
      </c>
      <c r="AF673" s="5" t="str">
        <f ca="1">IFERROR(__xludf.DUMMYFUNCTION("""COMPUTED_VALUE"""),"Yes")</f>
        <v>Yes</v>
      </c>
      <c r="AG673" s="5" t="str">
        <f ca="1">IFERROR(__xludf.DUMMYFUNCTION("""COMPUTED_VALUE"""),"No")</f>
        <v>No</v>
      </c>
      <c r="AH673" s="5" t="str">
        <f ca="1">IFERROR(__xludf.DUMMYFUNCTION("""COMPUTED_VALUE"""),"No")</f>
        <v>No</v>
      </c>
    </row>
    <row r="674" spans="1:34" ht="12.75">
      <c r="A674" s="5" t="str">
        <f ca="1">IFERROR(__xludf.DUMMYFUNCTION("""COMPUTED_VALUE"""),"20190111ORCAE")</f>
        <v>20190111ORCAE</v>
      </c>
      <c r="B674" s="8">
        <f ca="1">IFERROR(__xludf.DUMMYFUNCTION("""COMPUTED_VALUE"""),43476)</f>
        <v>43476</v>
      </c>
      <c r="C674" s="5" t="str">
        <f ca="1">IFERROR(__xludf.DUMMYFUNCTION("""COMPUTED_VALUE"""),"Cascade Middle School")</f>
        <v>Cascade Middle School</v>
      </c>
      <c r="D674" s="5">
        <f ca="1">IFERROR(__xludf.DUMMYFUNCTION("""COMPUTED_VALUE"""),1)</f>
        <v>1</v>
      </c>
      <c r="E674" s="5">
        <f ca="1">IFERROR(__xludf.DUMMYFUNCTION("""COMPUTED_VALUE"""),0)</f>
        <v>0</v>
      </c>
      <c r="F674" s="5">
        <f ca="1">IFERROR(__xludf.DUMMYFUNCTION("""COMPUTED_VALUE"""),1)</f>
        <v>1</v>
      </c>
      <c r="G674" s="5">
        <f ca="1">IFERROR(__xludf.DUMMYFUNCTION("""COMPUTED_VALUE"""),0)</f>
        <v>0</v>
      </c>
      <c r="H674"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I674" s="5"/>
      <c r="J674" s="5"/>
      <c r="K674" s="5">
        <f ca="1">IFERROR(__xludf.DUMMYFUNCTION("""COMPUTED_VALUE"""),3)</f>
        <v>3</v>
      </c>
      <c r="L674" s="5" t="str">
        <f ca="1">IFERROR(__xludf.DUMMYFUNCTION("""COMPUTED_VALUE"""),"Winter")</f>
        <v>Winter</v>
      </c>
      <c r="M674" s="5" t="str">
        <f ca="1">IFERROR(__xludf.DUMMYFUNCTION("""COMPUTED_VALUE"""),"Eugene")</f>
        <v>Eugene</v>
      </c>
      <c r="N674" s="5" t="str">
        <f ca="1">IFERROR(__xludf.DUMMYFUNCTION("""COMPUTED_VALUE"""),"OR")</f>
        <v>OR</v>
      </c>
      <c r="O674" s="5" t="str">
        <f ca="1">IFERROR(__xludf.DUMMYFUNCTION("""COMPUTED_VALUE"""),"Middle")</f>
        <v>Middle</v>
      </c>
      <c r="P674" s="5" t="str">
        <f ca="1">IFERROR(__xludf.DUMMYFUNCTION("""COMPUTED_VALUE"""),"Front of School")</f>
        <v>Front of School</v>
      </c>
      <c r="Q674" s="5" t="str">
        <f ca="1">IFERROR(__xludf.DUMMYFUNCTION("""COMPUTED_VALUE"""),"Outside on School Property")</f>
        <v>Outside on School Property</v>
      </c>
      <c r="R674" s="5" t="str">
        <f ca="1">IFERROR(__xludf.DUMMYFUNCTION("""COMPUTED_VALUE"""),"Yes")</f>
        <v>Yes</v>
      </c>
      <c r="S674" s="5" t="str">
        <f ca="1">IFERROR(__xludf.DUMMYFUNCTION("""COMPUTED_VALUE"""),"Morning Classes")</f>
        <v>Morning Classes</v>
      </c>
      <c r="T674" s="10">
        <f ca="1">IFERROR(__xludf.DUMMYFUNCTION("""COMPUTED_VALUE"""),0.435416666666666)</f>
        <v>0.43541666666666601</v>
      </c>
      <c r="U674" s="5">
        <f ca="1">IFERROR(__xludf.DUMMYFUNCTION("""COMPUTED_VALUE"""),1)</f>
        <v>1</v>
      </c>
      <c r="V674" s="5" t="str">
        <f ca="1">IFERROR(__xludf.DUMMYFUNCTION("""COMPUTED_VALUE"""),"Parent with gun shot by police following custody dispute")</f>
        <v>Parent with gun shot by police following custody dispute</v>
      </c>
      <c r="W674"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X674" s="5" t="str">
        <f ca="1">IFERROR(__xludf.DUMMYFUNCTION("""COMPUTED_VALUE"""),"Domestic w/ Targeted Victim")</f>
        <v>Domestic w/ Targeted Victim</v>
      </c>
      <c r="Y674" s="5" t="str">
        <f ca="1">IFERROR(__xludf.DUMMYFUNCTION("""COMPUTED_VALUE"""),"Victims Targeted")</f>
        <v>Victims Targeted</v>
      </c>
      <c r="Z674" s="5" t="str">
        <f ca="1">IFERROR(__xludf.DUMMYFUNCTION("""COMPUTED_VALUE"""),"No")</f>
        <v>No</v>
      </c>
      <c r="AA674" s="5"/>
      <c r="AB674" s="5" t="str">
        <f ca="1">IFERROR(__xludf.DUMMYFUNCTION("""COMPUTED_VALUE"""),"No")</f>
        <v>No</v>
      </c>
      <c r="AC674" s="5" t="str">
        <f ca="1">IFERROR(__xludf.DUMMYFUNCTION("""COMPUTED_VALUE"""),"No")</f>
        <v>No</v>
      </c>
      <c r="AD674" s="5" t="str">
        <f ca="1">IFERROR(__xludf.DUMMYFUNCTION("""COMPUTED_VALUE"""),"No")</f>
        <v>No</v>
      </c>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row>
    <row r="675" spans="1:34" ht="12.75">
      <c r="A675" s="5" t="str">
        <f ca="1">IFERROR(__xludf.DUMMYFUNCTION("""COMPUTED_VALUE"""),"20190107CACEB")</f>
        <v>20190107CACEB</v>
      </c>
      <c r="B675" s="8">
        <f ca="1">IFERROR(__xludf.DUMMYFUNCTION("""COMPUTED_VALUE"""),43472)</f>
        <v>43472</v>
      </c>
      <c r="C675" s="5" t="str">
        <f ca="1">IFERROR(__xludf.DUMMYFUNCTION("""COMPUTED_VALUE"""),"Central Elementary School")</f>
        <v>Central Elementary School</v>
      </c>
      <c r="D675" s="5">
        <f ca="1">IFERROR(__xludf.DUMMYFUNCTION("""COMPUTED_VALUE"""),1)</f>
        <v>1</v>
      </c>
      <c r="E675" s="5">
        <f ca="1">IFERROR(__xludf.DUMMYFUNCTION("""COMPUTED_VALUE"""),0)</f>
        <v>0</v>
      </c>
      <c r="F675" s="5">
        <f ca="1">IFERROR(__xludf.DUMMYFUNCTION("""COMPUTED_VALUE"""),1)</f>
        <v>1</v>
      </c>
      <c r="G675" s="5">
        <f ca="1">IFERROR(__xludf.DUMMYFUNCTION("""COMPUTED_VALUE"""),0)</f>
        <v>0</v>
      </c>
      <c r="H675"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I675" s="5"/>
      <c r="J675" s="5"/>
      <c r="K675" s="5">
        <f ca="1">IFERROR(__xludf.DUMMYFUNCTION("""COMPUTED_VALUE"""),4)</f>
        <v>4</v>
      </c>
      <c r="L675" s="5" t="str">
        <f ca="1">IFERROR(__xludf.DUMMYFUNCTION("""COMPUTED_VALUE"""),"Winter")</f>
        <v>Winter</v>
      </c>
      <c r="M675" s="5" t="str">
        <f ca="1">IFERROR(__xludf.DUMMYFUNCTION("""COMPUTED_VALUE"""),"Belmont")</f>
        <v>Belmont</v>
      </c>
      <c r="N675" s="5" t="str">
        <f ca="1">IFERROR(__xludf.DUMMYFUNCTION("""COMPUTED_VALUE"""),"CA")</f>
        <v>CA</v>
      </c>
      <c r="O675" s="5" t="str">
        <f ca="1">IFERROR(__xludf.DUMMYFUNCTION("""COMPUTED_VALUE"""),"Elementary")</f>
        <v>Elementary</v>
      </c>
      <c r="P675" s="5" t="str">
        <f ca="1">IFERROR(__xludf.DUMMYFUNCTION("""COMPUTED_VALUE"""),"Parking Lot")</f>
        <v>Parking Lot</v>
      </c>
      <c r="Q675" s="5" t="str">
        <f ca="1">IFERROR(__xludf.DUMMYFUNCTION("""COMPUTED_VALUE"""),"Off School Property")</f>
        <v>Off School Property</v>
      </c>
      <c r="R675" s="5" t="str">
        <f ca="1">IFERROR(__xludf.DUMMYFUNCTION("""COMPUTED_VALUE"""),"No")</f>
        <v>No</v>
      </c>
      <c r="S675" s="5" t="str">
        <f ca="1">IFERROR(__xludf.DUMMYFUNCTION("""COMPUTED_VALUE"""),"Night")</f>
        <v>Night</v>
      </c>
      <c r="T675" s="10">
        <f ca="1">IFERROR(__xludf.DUMMYFUNCTION("""COMPUTED_VALUE"""),0.958333333333333)</f>
        <v>0.95833333333333304</v>
      </c>
      <c r="U675" s="5">
        <f ca="1">IFERROR(__xludf.DUMMYFUNCTION("""COMPUTED_VALUE"""),1)</f>
        <v>1</v>
      </c>
      <c r="V675" s="5" t="str">
        <f ca="1">IFERROR(__xludf.DUMMYFUNCTION("""COMPUTED_VALUE"""),"17YOM high school student shot in elementary school parking lot")</f>
        <v>17YOM high school student shot in elementary school parking lot</v>
      </c>
      <c r="W675"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X675" s="5" t="str">
        <f ca="1">IFERROR(__xludf.DUMMYFUNCTION("""COMPUTED_VALUE"""),"Escalation of Dispute")</f>
        <v>Escalation of Dispute</v>
      </c>
      <c r="Y675" s="5" t="str">
        <f ca="1">IFERROR(__xludf.DUMMYFUNCTION("""COMPUTED_VALUE"""),"Victims Targeted")</f>
        <v>Victims Targeted</v>
      </c>
      <c r="Z675" s="5"/>
      <c r="AA675" s="5"/>
      <c r="AB675" s="5" t="str">
        <f ca="1">IFERROR(__xludf.DUMMYFUNCTION("""COMPUTED_VALUE"""),"No")</f>
        <v>No</v>
      </c>
      <c r="AC675" s="5" t="str">
        <f ca="1">IFERROR(__xludf.DUMMYFUNCTION("""COMPUTED_VALUE"""),"No")</f>
        <v>No</v>
      </c>
      <c r="AD675" s="5" t="str">
        <f ca="1">IFERROR(__xludf.DUMMYFUNCTION("""COMPUTED_VALUE"""),"No")</f>
        <v>No</v>
      </c>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row>
    <row r="676" spans="1:34" ht="12.75">
      <c r="A676" s="5" t="str">
        <f ca="1">IFERROR(__xludf.DUMMYFUNCTION("""COMPUTED_VALUE"""),"20181218DEAIG")</f>
        <v>20181218DEAIG</v>
      </c>
      <c r="B676" s="8">
        <f ca="1">IFERROR(__xludf.DUMMYFUNCTION("""COMPUTED_VALUE"""),43452)</f>
        <v>43452</v>
      </c>
      <c r="C676" s="5" t="str">
        <f ca="1">IFERROR(__xludf.DUMMYFUNCTION("""COMPUTED_VALUE"""),"A I du Pont High School")</f>
        <v>A I du Pont High School</v>
      </c>
      <c r="D676" s="5">
        <f ca="1">IFERROR(__xludf.DUMMYFUNCTION("""COMPUTED_VALUE"""),0)</f>
        <v>0</v>
      </c>
      <c r="E676" s="5">
        <f ca="1">IFERROR(__xludf.DUMMYFUNCTION("""COMPUTED_VALUE"""),0)</f>
        <v>0</v>
      </c>
      <c r="F676" s="5">
        <f ca="1">IFERROR(__xludf.DUMMYFUNCTION("""COMPUTED_VALUE"""),0)</f>
        <v>0</v>
      </c>
      <c r="G676" s="5">
        <f ca="1">IFERROR(__xludf.DUMMYFUNCTION("""COMPUTED_VALUE"""),0)</f>
        <v>0</v>
      </c>
      <c r="H676" s="9" t="str">
        <f ca="1">IFERROR(__xludf.DUMMYFUNCTION("""COMPUTED_VALUE"""),"https://www.delawareonline.com/story/news/crime/2018/12/18/shots-fired-ai-dupont-high-school/2358011002/")</f>
        <v>https://www.delawareonline.com/story/news/crime/2018/12/18/shots-fired-ai-dupont-high-school/2358011002/</v>
      </c>
      <c r="I676" s="5"/>
      <c r="J676" s="5"/>
      <c r="K676" s="5">
        <f ca="1">IFERROR(__xludf.DUMMYFUNCTION("""COMPUTED_VALUE"""),3)</f>
        <v>3</v>
      </c>
      <c r="L676" s="5" t="str">
        <f ca="1">IFERROR(__xludf.DUMMYFUNCTION("""COMPUTED_VALUE"""),"Winter")</f>
        <v>Winter</v>
      </c>
      <c r="M676" s="5" t="str">
        <f ca="1">IFERROR(__xludf.DUMMYFUNCTION("""COMPUTED_VALUE"""),"Greenville")</f>
        <v>Greenville</v>
      </c>
      <c r="N676" s="5" t="str">
        <f ca="1">IFERROR(__xludf.DUMMYFUNCTION("""COMPUTED_VALUE"""),"DE")</f>
        <v>DE</v>
      </c>
      <c r="O676" s="5" t="str">
        <f ca="1">IFERROR(__xludf.DUMMYFUNCTION("""COMPUTED_VALUE"""),"High")</f>
        <v>High</v>
      </c>
      <c r="P676" s="5" t="str">
        <f ca="1">IFERROR(__xludf.DUMMYFUNCTION("""COMPUTED_VALUE"""),"Parking Lot")</f>
        <v>Parking Lot</v>
      </c>
      <c r="Q676" s="5" t="str">
        <f ca="1">IFERROR(__xludf.DUMMYFUNCTION("""COMPUTED_VALUE"""),"Outside on School Property")</f>
        <v>Outside on School Property</v>
      </c>
      <c r="R676" s="5" t="str">
        <f ca="1">IFERROR(__xludf.DUMMYFUNCTION("""COMPUTED_VALUE"""),"No")</f>
        <v>No</v>
      </c>
      <c r="S676" s="5" t="str">
        <f ca="1">IFERROR(__xludf.DUMMYFUNCTION("""COMPUTED_VALUE"""),"Sport Event")</f>
        <v>Sport Event</v>
      </c>
      <c r="T676" s="10">
        <f ca="1">IFERROR(__xludf.DUMMYFUNCTION("""COMPUTED_VALUE"""),0.822916666666666)</f>
        <v>0.82291666666666596</v>
      </c>
      <c r="U676" s="5">
        <f ca="1">IFERROR(__xludf.DUMMYFUNCTION("""COMPUTED_VALUE"""),1)</f>
        <v>1</v>
      </c>
      <c r="V676" s="5" t="str">
        <f ca="1">IFERROR(__xludf.DUMMYFUNCTION("""COMPUTED_VALUE"""),"Shots fired in parking lot after basketball game, vehicle struck")</f>
        <v>Shots fired in parking lot after basketball game, vehicle struck</v>
      </c>
      <c r="W676"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X676" s="5" t="str">
        <f ca="1">IFERROR(__xludf.DUMMYFUNCTION("""COMPUTED_VALUE"""),"Escalation of Dispute")</f>
        <v>Escalation of Dispute</v>
      </c>
      <c r="Y676" s="5"/>
      <c r="Z676" s="5"/>
      <c r="AA676" s="5"/>
      <c r="AB676" s="5" t="str">
        <f ca="1">IFERROR(__xludf.DUMMYFUNCTION("""COMPUTED_VALUE"""),"No")</f>
        <v>No</v>
      </c>
      <c r="AC676" s="5" t="str">
        <f ca="1">IFERROR(__xludf.DUMMYFUNCTION("""COMPUTED_VALUE"""),"No")</f>
        <v>No</v>
      </c>
      <c r="AD676" s="5" t="str">
        <f ca="1">IFERROR(__xludf.DUMMYFUNCTION("""COMPUTED_VALUE"""),"No")</f>
        <v>No</v>
      </c>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row>
    <row r="677" spans="1:34" ht="12.75">
      <c r="A677" s="5" t="str">
        <f ca="1">IFERROR(__xludf.DUMMYFUNCTION("""COMPUTED_VALUE"""),"20181214MOWIK")</f>
        <v>20181214MOWIK</v>
      </c>
      <c r="B677" s="8">
        <f ca="1">IFERROR(__xludf.DUMMYFUNCTION("""COMPUTED_VALUE"""),43448)</f>
        <v>43448</v>
      </c>
      <c r="C677" s="5" t="str">
        <f ca="1">IFERROR(__xludf.DUMMYFUNCTION("""COMPUTED_VALUE"""),"Winnetonka High School")</f>
        <v>Winnetonka High School</v>
      </c>
      <c r="D677" s="5">
        <f ca="1">IFERROR(__xludf.DUMMYFUNCTION("""COMPUTED_VALUE"""),0)</f>
        <v>0</v>
      </c>
      <c r="E677" s="5">
        <f ca="1">IFERROR(__xludf.DUMMYFUNCTION("""COMPUTED_VALUE"""),0)</f>
        <v>0</v>
      </c>
      <c r="F677" s="5">
        <f ca="1">IFERROR(__xludf.DUMMYFUNCTION("""COMPUTED_VALUE"""),0)</f>
        <v>0</v>
      </c>
      <c r="G677" s="5">
        <f ca="1">IFERROR(__xludf.DUMMYFUNCTION("""COMPUTED_VALUE"""),0)</f>
        <v>0</v>
      </c>
      <c r="H677" s="9" t="str">
        <f ca="1">IFERROR(__xludf.DUMMYFUNCTION("""COMPUTED_VALUE"""),"https://fox4kc.com/2018/12/14/police-investigating-reports-of-shot-fired-into-air-and-shooting-at-2-metro-high-schools/")</f>
        <v>https://fox4kc.com/2018/12/14/police-investigating-reports-of-shot-fired-into-air-and-shooting-at-2-metro-high-schools/</v>
      </c>
      <c r="I677" s="5"/>
      <c r="J677" s="5"/>
      <c r="K677" s="5">
        <f ca="1">IFERROR(__xludf.DUMMYFUNCTION("""COMPUTED_VALUE"""),3)</f>
        <v>3</v>
      </c>
      <c r="L677" s="5" t="str">
        <f ca="1">IFERROR(__xludf.DUMMYFUNCTION("""COMPUTED_VALUE"""),"Winter")</f>
        <v>Winter</v>
      </c>
      <c r="M677" s="5" t="str">
        <f ca="1">IFERROR(__xludf.DUMMYFUNCTION("""COMPUTED_VALUE"""),"Kansas City")</f>
        <v>Kansas City</v>
      </c>
      <c r="N677" s="5" t="str">
        <f ca="1">IFERROR(__xludf.DUMMYFUNCTION("""COMPUTED_VALUE"""),"MO")</f>
        <v>MO</v>
      </c>
      <c r="O677" s="5" t="str">
        <f ca="1">IFERROR(__xludf.DUMMYFUNCTION("""COMPUTED_VALUE"""),"High")</f>
        <v>High</v>
      </c>
      <c r="P677" s="5" t="str">
        <f ca="1">IFERROR(__xludf.DUMMYFUNCTION("""COMPUTED_VALUE"""),"Parking Lot")</f>
        <v>Parking Lot</v>
      </c>
      <c r="Q677" s="5" t="str">
        <f ca="1">IFERROR(__xludf.DUMMYFUNCTION("""COMPUTED_VALUE"""),"Outside on School Property")</f>
        <v>Outside on School Property</v>
      </c>
      <c r="R677" s="5" t="str">
        <f ca="1">IFERROR(__xludf.DUMMYFUNCTION("""COMPUTED_VALUE"""),"Yes")</f>
        <v>Yes</v>
      </c>
      <c r="S677" s="5" t="str">
        <f ca="1">IFERROR(__xludf.DUMMYFUNCTION("""COMPUTED_VALUE"""),"Dismissal")</f>
        <v>Dismissal</v>
      </c>
      <c r="T677" s="10">
        <f ca="1">IFERROR(__xludf.DUMMYFUNCTION("""COMPUTED_VALUE"""),0.625)</f>
        <v>0.625</v>
      </c>
      <c r="U677" s="5">
        <f ca="1">IFERROR(__xludf.DUMMYFUNCTION("""COMPUTED_VALUE"""),1)</f>
        <v>1</v>
      </c>
      <c r="V677" s="5" t="str">
        <f ca="1">IFERROR(__xludf.DUMMYFUNCTION("""COMPUTED_VALUE"""),"Student fired gun into air in parking lot. School locked down.")</f>
        <v>Student fired gun into air in parking lot. School locked down.</v>
      </c>
      <c r="W677"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X677" s="5" t="str">
        <f ca="1">IFERROR(__xludf.DUMMYFUNCTION("""COMPUTED_VALUE"""),"Escalation of Dispute")</f>
        <v>Escalation of Dispute</v>
      </c>
      <c r="Y677" s="5" t="str">
        <f ca="1">IFERROR(__xludf.DUMMYFUNCTION("""COMPUTED_VALUE"""),"Neither")</f>
        <v>Neither</v>
      </c>
      <c r="Z677" s="5"/>
      <c r="AA677" s="5"/>
      <c r="AB677" s="5" t="str">
        <f ca="1">IFERROR(__xludf.DUMMYFUNCTION("""COMPUTED_VALUE"""),"No")</f>
        <v>No</v>
      </c>
      <c r="AC677" s="5" t="str">
        <f ca="1">IFERROR(__xludf.DUMMYFUNCTION("""COMPUTED_VALUE"""),"No")</f>
        <v>No</v>
      </c>
      <c r="AD677" s="5" t="str">
        <f ca="1">IFERROR(__xludf.DUMMYFUNCTION("""COMPUTED_VALUE"""),"No")</f>
        <v>No</v>
      </c>
      <c r="AE677" s="5"/>
      <c r="AF677" s="5"/>
      <c r="AG677" s="5"/>
      <c r="AH677" s="5" t="str">
        <f ca="1">IFERROR(__xludf.DUMMYFUNCTION("""COMPUTED_VALUE"""),"No")</f>
        <v>No</v>
      </c>
    </row>
    <row r="678" spans="1:34" ht="12.75">
      <c r="A678" s="5" t="str">
        <f ca="1">IFERROR(__xludf.DUMMYFUNCTION("""COMPUTED_VALUE"""),"20181213INDER")</f>
        <v>20181213INDER</v>
      </c>
      <c r="B678" s="8">
        <f ca="1">IFERROR(__xludf.DUMMYFUNCTION("""COMPUTED_VALUE"""),43447)</f>
        <v>43447</v>
      </c>
      <c r="C678" s="5" t="str">
        <f ca="1">IFERROR(__xludf.DUMMYFUNCTION("""COMPUTED_VALUE"""),"Dennis Intermediate School")</f>
        <v>Dennis Intermediate School</v>
      </c>
      <c r="D678" s="5">
        <f ca="1">IFERROR(__xludf.DUMMYFUNCTION("""COMPUTED_VALUE"""),0)</f>
        <v>0</v>
      </c>
      <c r="E678" s="5">
        <f ca="1">IFERROR(__xludf.DUMMYFUNCTION("""COMPUTED_VALUE"""),0)</f>
        <v>0</v>
      </c>
      <c r="F678" s="5">
        <f ca="1">IFERROR(__xludf.DUMMYFUNCTION("""COMPUTED_VALUE"""),0)</f>
        <v>0</v>
      </c>
      <c r="G678" s="5">
        <f ca="1">IFERROR(__xludf.DUMMYFUNCTION("""COMPUTED_VALUE"""),1)</f>
        <v>1</v>
      </c>
      <c r="H678"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I678" s="5">
        <f ca="1">IFERROR(__xludf.DUMMYFUNCTION("""COMPUTED_VALUE"""),11)</f>
        <v>11</v>
      </c>
      <c r="J678" s="5" t="str">
        <f ca="1">IFERROR(__xludf.DUMMYFUNCTION("""COMPUTED_VALUE"""),"National")</f>
        <v>National</v>
      </c>
      <c r="K678" s="5">
        <f ca="1">IFERROR(__xludf.DUMMYFUNCTION("""COMPUTED_VALUE"""),4)</f>
        <v>4</v>
      </c>
      <c r="L678" s="5" t="str">
        <f ca="1">IFERROR(__xludf.DUMMYFUNCTION("""COMPUTED_VALUE"""),"Winter")</f>
        <v>Winter</v>
      </c>
      <c r="M678" s="5" t="str">
        <f ca="1">IFERROR(__xludf.DUMMYFUNCTION("""COMPUTED_VALUE"""),"Richmond")</f>
        <v>Richmond</v>
      </c>
      <c r="N678" s="5" t="str">
        <f ca="1">IFERROR(__xludf.DUMMYFUNCTION("""COMPUTED_VALUE"""),"IN")</f>
        <v>IN</v>
      </c>
      <c r="O678" s="5" t="str">
        <f ca="1">IFERROR(__xludf.DUMMYFUNCTION("""COMPUTED_VALUE"""),"Middle")</f>
        <v>Middle</v>
      </c>
      <c r="P678" s="5" t="str">
        <f ca="1">IFERROR(__xludf.DUMMYFUNCTION("""COMPUTED_VALUE"""),"Hallway")</f>
        <v>Hallway</v>
      </c>
      <c r="Q678" s="5" t="str">
        <f ca="1">IFERROR(__xludf.DUMMYFUNCTION("""COMPUTED_VALUE"""),"Inside School Building")</f>
        <v>Inside School Building</v>
      </c>
      <c r="R678" s="5" t="str">
        <f ca="1">IFERROR(__xludf.DUMMYFUNCTION("""COMPUTED_VALUE"""),"Yes")</f>
        <v>Yes</v>
      </c>
      <c r="S678" s="5" t="str">
        <f ca="1">IFERROR(__xludf.DUMMYFUNCTION("""COMPUTED_VALUE"""),"Morning Classes")</f>
        <v>Morning Classes</v>
      </c>
      <c r="T678" s="10">
        <f ca="1">IFERROR(__xludf.DUMMYFUNCTION("""COMPUTED_VALUE"""),0.333333333333333)</f>
        <v>0.33333333333333298</v>
      </c>
      <c r="U678" s="5"/>
      <c r="V678" s="5" t="str">
        <f ca="1">IFERROR(__xludf.DUMMYFUNCTION("""COMPUTED_VALUE"""),"14YOM planned attack on the school but was confronted by police on-scene thanks to a tip")</f>
        <v>14YOM planned attack on the school but was confronted by police on-scene thanks to a tip</v>
      </c>
      <c r="W678"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X678" s="5" t="str">
        <f ca="1">IFERROR(__xludf.DUMMYFUNCTION("""COMPUTED_VALUE"""),"Indiscriminate Shooting")</f>
        <v>Indiscriminate Shooting</v>
      </c>
      <c r="Y678" s="5"/>
      <c r="Z678" s="5" t="str">
        <f ca="1">IFERROR(__xludf.DUMMYFUNCTION("""COMPUTED_VALUE"""),"No")</f>
        <v>No</v>
      </c>
      <c r="AA678" s="5"/>
      <c r="AB678" s="5" t="str">
        <f ca="1">IFERROR(__xludf.DUMMYFUNCTION("""COMPUTED_VALUE"""),"No")</f>
        <v>No</v>
      </c>
      <c r="AC678" s="5" t="str">
        <f ca="1">IFERROR(__xludf.DUMMYFUNCTION("""COMPUTED_VALUE"""),"No")</f>
        <v>No</v>
      </c>
      <c r="AD678" s="5" t="str">
        <f ca="1">IFERROR(__xludf.DUMMYFUNCTION("""COMPUTED_VALUE"""),"No")</f>
        <v>No</v>
      </c>
      <c r="AE678" s="5" t="str">
        <f ca="1">IFERROR(__xludf.DUMMYFUNCTION("""COMPUTED_VALUE"""),"Yes")</f>
        <v>Yes</v>
      </c>
      <c r="AF678" s="5" t="str">
        <f ca="1">IFERROR(__xludf.DUMMYFUNCTION("""COMPUTED_VALUE"""),"No")</f>
        <v>No</v>
      </c>
      <c r="AG678" s="5" t="str">
        <f ca="1">IFERROR(__xludf.DUMMYFUNCTION("""COMPUTED_VALUE"""),"No")</f>
        <v>No</v>
      </c>
      <c r="AH678" s="5" t="str">
        <f ca="1">IFERROR(__xludf.DUMMYFUNCTION("""COMPUTED_VALUE"""),"Yes")</f>
        <v>Yes</v>
      </c>
    </row>
    <row r="679" spans="1:34" ht="12.75">
      <c r="A679" s="5" t="str">
        <f ca="1">IFERROR(__xludf.DUMMYFUNCTION("""COMPUTED_VALUE"""),"20181211KYCAC")</f>
        <v>20181211KYCAC</v>
      </c>
      <c r="B679" s="8">
        <f ca="1">IFERROR(__xludf.DUMMYFUNCTION("""COMPUTED_VALUE"""),43445)</f>
        <v>43445</v>
      </c>
      <c r="C679" s="5" t="str">
        <f ca="1">IFERROR(__xludf.DUMMYFUNCTION("""COMPUTED_VALUE"""),"Cawood Elementary School")</f>
        <v>Cawood Elementary School</v>
      </c>
      <c r="D679" s="5">
        <f ca="1">IFERROR(__xludf.DUMMYFUNCTION("""COMPUTED_VALUE"""),0)</f>
        <v>0</v>
      </c>
      <c r="E679" s="5">
        <f ca="1">IFERROR(__xludf.DUMMYFUNCTION("""COMPUTED_VALUE"""),2)</f>
        <v>2</v>
      </c>
      <c r="F679" s="5">
        <f ca="1">IFERROR(__xludf.DUMMYFUNCTION("""COMPUTED_VALUE"""),2)</f>
        <v>2</v>
      </c>
      <c r="G679" s="5">
        <f ca="1">IFERROR(__xludf.DUMMYFUNCTION("""COMPUTED_VALUE"""),0)</f>
        <v>0</v>
      </c>
      <c r="H679"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I679" s="5"/>
      <c r="J679" s="5"/>
      <c r="K679" s="5">
        <f ca="1">IFERROR(__xludf.DUMMYFUNCTION("""COMPUTED_VALUE"""),3)</f>
        <v>3</v>
      </c>
      <c r="L679" s="5" t="str">
        <f ca="1">IFERROR(__xludf.DUMMYFUNCTION("""COMPUTED_VALUE"""),"Winter")</f>
        <v>Winter</v>
      </c>
      <c r="M679" s="5" t="str">
        <f ca="1">IFERROR(__xludf.DUMMYFUNCTION("""COMPUTED_VALUE"""),"Cawood")</f>
        <v>Cawood</v>
      </c>
      <c r="N679" s="5" t="str">
        <f ca="1">IFERROR(__xludf.DUMMYFUNCTION("""COMPUTED_VALUE"""),"KY")</f>
        <v>KY</v>
      </c>
      <c r="O679" s="5" t="str">
        <f ca="1">IFERROR(__xludf.DUMMYFUNCTION("""COMPUTED_VALUE"""),"Elementary")</f>
        <v>Elementary</v>
      </c>
      <c r="P679" s="5" t="str">
        <f ca="1">IFERROR(__xludf.DUMMYFUNCTION("""COMPUTED_VALUE"""),"Parking Lot")</f>
        <v>Parking Lot</v>
      </c>
      <c r="Q679" s="5" t="str">
        <f ca="1">IFERROR(__xludf.DUMMYFUNCTION("""COMPUTED_VALUE"""),"Outside on School Property")</f>
        <v>Outside on School Property</v>
      </c>
      <c r="R679" s="5" t="str">
        <f ca="1">IFERROR(__xludf.DUMMYFUNCTION("""COMPUTED_VALUE"""),"No")</f>
        <v>No</v>
      </c>
      <c r="S679" s="5" t="str">
        <f ca="1">IFERROR(__xludf.DUMMYFUNCTION("""COMPUTED_VALUE"""),"Evening")</f>
        <v>Evening</v>
      </c>
      <c r="T679" s="10">
        <f ca="1">IFERROR(__xludf.DUMMYFUNCTION("""COMPUTED_VALUE"""),0.861805555555555)</f>
        <v>0.86180555555555505</v>
      </c>
      <c r="U679" s="5">
        <f ca="1">IFERROR(__xludf.DUMMYFUNCTION("""COMPUTED_VALUE"""),1)</f>
        <v>1</v>
      </c>
      <c r="V679" s="5" t="str">
        <f ca="1">IFERROR(__xludf.DUMMYFUNCTION("""COMPUTED_VALUE"""),"20YOM and 15YOF shot with pellet gun in parking lot of school")</f>
        <v>20YOM and 15YOF shot with pellet gun in parking lot of school</v>
      </c>
      <c r="W679"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X679" s="5" t="str">
        <f ca="1">IFERROR(__xludf.DUMMYFUNCTION("""COMPUTED_VALUE"""),"Unknown")</f>
        <v>Unknown</v>
      </c>
      <c r="Y679" s="5"/>
      <c r="Z679" s="5" t="str">
        <f ca="1">IFERROR(__xludf.DUMMYFUNCTION("""COMPUTED_VALUE"""),"Yes")</f>
        <v>Yes</v>
      </c>
      <c r="AA679" s="5" t="str">
        <f ca="1">IFERROR(__xludf.DUMMYFUNCTION("""COMPUTED_VALUE"""),"Group fled, police investigating and 4 suspects arrested")</f>
        <v>Group fled, police investigating and 4 suspects arrested</v>
      </c>
      <c r="AB679" s="5" t="str">
        <f ca="1">IFERROR(__xludf.DUMMYFUNCTION("""COMPUTED_VALUE"""),"No")</f>
        <v>No</v>
      </c>
      <c r="AC679" s="5" t="str">
        <f ca="1">IFERROR(__xludf.DUMMYFUNCTION("""COMPUTED_VALUE"""),"No")</f>
        <v>No</v>
      </c>
      <c r="AD679" s="5" t="str">
        <f ca="1">IFERROR(__xludf.DUMMYFUNCTION("""COMPUTED_VALUE"""),"No")</f>
        <v>No</v>
      </c>
      <c r="AE679" s="5" t="str">
        <f ca="1">IFERROR(__xludf.DUMMYFUNCTION("""COMPUTED_VALUE"""),"No")</f>
        <v>No</v>
      </c>
      <c r="AF679" s="5" t="str">
        <f ca="1">IFERROR(__xludf.DUMMYFUNCTION("""COMPUTED_VALUE"""),"No")</f>
        <v>No</v>
      </c>
      <c r="AG679" s="5" t="str">
        <f ca="1">IFERROR(__xludf.DUMMYFUNCTION("""COMPUTED_VALUE"""),"No")</f>
        <v>No</v>
      </c>
      <c r="AH679" s="5" t="str">
        <f ca="1">IFERROR(__xludf.DUMMYFUNCTION("""COMPUTED_VALUE"""),"No")</f>
        <v>No</v>
      </c>
    </row>
    <row r="680" spans="1:34" ht="12.75">
      <c r="A680" s="5" t="str">
        <f ca="1">IFERROR(__xludf.DUMMYFUNCTION("""COMPUTED_VALUE"""),"20181210NYJEJ")</f>
        <v>20181210NYJEJ</v>
      </c>
      <c r="B680" s="8">
        <f ca="1">IFERROR(__xludf.DUMMYFUNCTION("""COMPUTED_VALUE"""),43444)</f>
        <v>43444</v>
      </c>
      <c r="C680" s="5" t="str">
        <f ca="1">IFERROR(__xludf.DUMMYFUNCTION("""COMPUTED_VALUE"""),"Jefferson High School")</f>
        <v>Jefferson High School</v>
      </c>
      <c r="D680" s="5">
        <f ca="1">IFERROR(__xludf.DUMMYFUNCTION("""COMPUTED_VALUE"""),0)</f>
        <v>0</v>
      </c>
      <c r="E680" s="5">
        <f ca="1">IFERROR(__xludf.DUMMYFUNCTION("""COMPUTED_VALUE"""),0)</f>
        <v>0</v>
      </c>
      <c r="F680" s="5">
        <f ca="1">IFERROR(__xludf.DUMMYFUNCTION("""COMPUTED_VALUE"""),0)</f>
        <v>0</v>
      </c>
      <c r="G680" s="5">
        <f ca="1">IFERROR(__xludf.DUMMYFUNCTION("""COMPUTED_VALUE"""),1)</f>
        <v>1</v>
      </c>
      <c r="H680"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I680" s="5"/>
      <c r="J680" s="5"/>
      <c r="K680" s="5">
        <f ca="1">IFERROR(__xludf.DUMMYFUNCTION("""COMPUTED_VALUE"""),3)</f>
        <v>3</v>
      </c>
      <c r="L680" s="5" t="str">
        <f ca="1">IFERROR(__xludf.DUMMYFUNCTION("""COMPUTED_VALUE"""),"Winter")</f>
        <v>Winter</v>
      </c>
      <c r="M680" s="5" t="str">
        <f ca="1">IFERROR(__xludf.DUMMYFUNCTION("""COMPUTED_VALUE"""),"Jefferson")</f>
        <v>Jefferson</v>
      </c>
      <c r="N680" s="5" t="str">
        <f ca="1">IFERROR(__xludf.DUMMYFUNCTION("""COMPUTED_VALUE"""),"NY")</f>
        <v>NY</v>
      </c>
      <c r="O680" s="5" t="str">
        <f ca="1">IFERROR(__xludf.DUMMYFUNCTION("""COMPUTED_VALUE"""),"High")</f>
        <v>High</v>
      </c>
      <c r="P680" s="5" t="str">
        <f ca="1">IFERROR(__xludf.DUMMYFUNCTION("""COMPUTED_VALUE"""),"Field (General)")</f>
        <v>Field (General)</v>
      </c>
      <c r="Q680" s="5" t="str">
        <f ca="1">IFERROR(__xludf.DUMMYFUNCTION("""COMPUTED_VALUE"""),"Outside on School Property")</f>
        <v>Outside on School Property</v>
      </c>
      <c r="R680" s="5" t="str">
        <f ca="1">IFERROR(__xludf.DUMMYFUNCTION("""COMPUTED_VALUE"""),"Yes")</f>
        <v>Yes</v>
      </c>
      <c r="S680" s="5" t="str">
        <f ca="1">IFERROR(__xludf.DUMMYFUNCTION("""COMPUTED_VALUE"""),"Morning Classes")</f>
        <v>Morning Classes</v>
      </c>
      <c r="T680" s="10">
        <f ca="1">IFERROR(__xludf.DUMMYFUNCTION("""COMPUTED_VALUE"""),0.409027777777777)</f>
        <v>0.40902777777777699</v>
      </c>
      <c r="U680" s="5">
        <f ca="1">IFERROR(__xludf.DUMMYFUNCTION("""COMPUTED_VALUE"""),1)</f>
        <v>1</v>
      </c>
      <c r="V680" s="5" t="str">
        <f ca="1">IFERROR(__xludf.DUMMYFUNCTION("""COMPUTED_VALUE"""),"Student commit suicide on baseball field")</f>
        <v>Student commit suicide on baseball field</v>
      </c>
      <c r="W680"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X680" s="5" t="str">
        <f ca="1">IFERROR(__xludf.DUMMYFUNCTION("""COMPUTED_VALUE"""),"Suicide/Attempted")</f>
        <v>Suicide/Attempted</v>
      </c>
      <c r="Y680" s="5" t="str">
        <f ca="1">IFERROR(__xludf.DUMMYFUNCTION("""COMPUTED_VALUE"""),"Victims Targeted")</f>
        <v>Victims Targeted</v>
      </c>
      <c r="Z680" s="5" t="str">
        <f ca="1">IFERROR(__xludf.DUMMYFUNCTION("""COMPUTED_VALUE"""),"No")</f>
        <v>No</v>
      </c>
      <c r="AA680" s="5"/>
      <c r="AB680" s="5" t="str">
        <f ca="1">IFERROR(__xludf.DUMMYFUNCTION("""COMPUTED_VALUE"""),"No")</f>
        <v>No</v>
      </c>
      <c r="AC680" s="5" t="str">
        <f ca="1">IFERROR(__xludf.DUMMYFUNCTION("""COMPUTED_VALUE"""),"No")</f>
        <v>No</v>
      </c>
      <c r="AD680" s="5" t="str">
        <f ca="1">IFERROR(__xludf.DUMMYFUNCTION("""COMPUTED_VALUE"""),"No")</f>
        <v>No</v>
      </c>
      <c r="AE680" s="5"/>
      <c r="AF680" s="5" t="str">
        <f ca="1">IFERROR(__xludf.DUMMYFUNCTION("""COMPUTED_VALUE"""),"No")</f>
        <v>No</v>
      </c>
      <c r="AG680" s="5" t="str">
        <f ca="1">IFERROR(__xludf.DUMMYFUNCTION("""COMPUTED_VALUE"""),"No")</f>
        <v>No</v>
      </c>
      <c r="AH680" s="5" t="str">
        <f ca="1">IFERROR(__xludf.DUMMYFUNCTION("""COMPUTED_VALUE"""),"No")</f>
        <v>No</v>
      </c>
    </row>
    <row r="681" spans="1:34" ht="12.75">
      <c r="A681" s="5" t="str">
        <f ca="1">IFERROR(__xludf.DUMMYFUNCTION("""COMPUTED_VALUE"""),"20181128PASTP")</f>
        <v>20181128PASTP</v>
      </c>
      <c r="B681" s="8">
        <f ca="1">IFERROR(__xludf.DUMMYFUNCTION("""COMPUTED_VALUE"""),43432)</f>
        <v>43432</v>
      </c>
      <c r="C681" s="5" t="str">
        <f ca="1">IFERROR(__xludf.DUMMYFUNCTION("""COMPUTED_VALUE"""),"Strawberry Mansion High School")</f>
        <v>Strawberry Mansion High School</v>
      </c>
      <c r="D681" s="5">
        <f ca="1">IFERROR(__xludf.DUMMYFUNCTION("""COMPUTED_VALUE"""),0)</f>
        <v>0</v>
      </c>
      <c r="E681" s="5">
        <f ca="1">IFERROR(__xludf.DUMMYFUNCTION("""COMPUTED_VALUE"""),0)</f>
        <v>0</v>
      </c>
      <c r="F681" s="5">
        <f ca="1">IFERROR(__xludf.DUMMYFUNCTION("""COMPUTED_VALUE"""),0)</f>
        <v>0</v>
      </c>
      <c r="G681" s="5">
        <f ca="1">IFERROR(__xludf.DUMMYFUNCTION("""COMPUTED_VALUE"""),0)</f>
        <v>0</v>
      </c>
      <c r="H681" s="9" t="str">
        <f ca="1">IFERROR(__xludf.DUMMYFUNCTION("""COMPUTED_VALUE"""),"https://www.nbcphiladelphia.com/news/local/Stray-Bullet-Strawberry-Mansion-High-School-Lockdown-Shooting--501474831.html")</f>
        <v>https://www.nbcphiladelphia.com/news/local/Stray-Bullet-Strawberry-Mansion-High-School-Lockdown-Shooting--501474831.html</v>
      </c>
      <c r="I681" s="5"/>
      <c r="J681" s="5"/>
      <c r="K681" s="5">
        <f ca="1">IFERROR(__xludf.DUMMYFUNCTION("""COMPUTED_VALUE"""),3)</f>
        <v>3</v>
      </c>
      <c r="L681" s="5" t="str">
        <f ca="1">IFERROR(__xludf.DUMMYFUNCTION("""COMPUTED_VALUE"""),"Fall")</f>
        <v>Fall</v>
      </c>
      <c r="M681" s="5" t="str">
        <f ca="1">IFERROR(__xludf.DUMMYFUNCTION("""COMPUTED_VALUE"""),"Philadelphia")</f>
        <v>Philadelphia</v>
      </c>
      <c r="N681" s="5" t="str">
        <f ca="1">IFERROR(__xludf.DUMMYFUNCTION("""COMPUTED_VALUE"""),"PA")</f>
        <v>PA</v>
      </c>
      <c r="O681" s="5" t="str">
        <f ca="1">IFERROR(__xludf.DUMMYFUNCTION("""COMPUTED_VALUE"""),"High")</f>
        <v>High</v>
      </c>
      <c r="P681" s="5" t="str">
        <f ca="1">IFERROR(__xludf.DUMMYFUNCTION("""COMPUTED_VALUE"""),"Other")</f>
        <v>Other</v>
      </c>
      <c r="Q681" s="5" t="str">
        <f ca="1">IFERROR(__xludf.DUMMYFUNCTION("""COMPUTED_VALUE"""),"Off School Property")</f>
        <v>Off School Property</v>
      </c>
      <c r="R681" s="5" t="str">
        <f ca="1">IFERROR(__xludf.DUMMYFUNCTION("""COMPUTED_VALUE"""),"No")</f>
        <v>No</v>
      </c>
      <c r="S681" s="5" t="str">
        <f ca="1">IFERROR(__xludf.DUMMYFUNCTION("""COMPUTED_VALUE"""),"After School")</f>
        <v>After School</v>
      </c>
      <c r="T681" s="10">
        <f ca="1">IFERROR(__xludf.DUMMYFUNCTION("""COMPUTED_VALUE"""),0.645833333333333)</f>
        <v>0.64583333333333304</v>
      </c>
      <c r="U681" s="5">
        <f ca="1">IFERROR(__xludf.DUMMYFUNCTION("""COMPUTED_VALUE"""),1)</f>
        <v>1</v>
      </c>
      <c r="V681" s="5" t="str">
        <f ca="1">IFERROR(__xludf.DUMMYFUNCTION("""COMPUTED_VALUE"""),"Stray bullet broke window of school, school locked down")</f>
        <v>Stray bullet broke window of school, school locked down</v>
      </c>
      <c r="W681"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X681" s="5" t="str">
        <f ca="1">IFERROR(__xludf.DUMMYFUNCTION("""COMPUTED_VALUE"""),"Unknown")</f>
        <v>Unknown</v>
      </c>
      <c r="Y681" s="5" t="str">
        <f ca="1">IFERROR(__xludf.DUMMYFUNCTION("""COMPUTED_VALUE"""),"Neither")</f>
        <v>Neither</v>
      </c>
      <c r="Z681" s="5"/>
      <c r="AA681" s="5"/>
      <c r="AB681" s="5" t="str">
        <f ca="1">IFERROR(__xludf.DUMMYFUNCTION("""COMPUTED_VALUE"""),"No")</f>
        <v>No</v>
      </c>
      <c r="AC681" s="5" t="str">
        <f ca="1">IFERROR(__xludf.DUMMYFUNCTION("""COMPUTED_VALUE"""),"No")</f>
        <v>No</v>
      </c>
      <c r="AD681" s="5" t="str">
        <f ca="1">IFERROR(__xludf.DUMMYFUNCTION("""COMPUTED_VALUE"""),"No")</f>
        <v>No</v>
      </c>
      <c r="AE681" s="5" t="str">
        <f ca="1">IFERROR(__xludf.DUMMYFUNCTION("""COMPUTED_VALUE"""),"No")</f>
        <v>No</v>
      </c>
      <c r="AF681" s="5" t="str">
        <f ca="1">IFERROR(__xludf.DUMMYFUNCTION("""COMPUTED_VALUE"""),"No")</f>
        <v>No</v>
      </c>
      <c r="AG681" s="5"/>
      <c r="AH681" s="5" t="str">
        <f ca="1">IFERROR(__xludf.DUMMYFUNCTION("""COMPUTED_VALUE"""),"No")</f>
        <v>No</v>
      </c>
    </row>
    <row r="682" spans="1:34" ht="12.75">
      <c r="A682" s="5" t="str">
        <f ca="1">IFERROR(__xludf.DUMMYFUNCTION("""COMPUTED_VALUE"""),"20181124OHAFC")</f>
        <v>20181124OHAFC</v>
      </c>
      <c r="B682" s="8">
        <f ca="1">IFERROR(__xludf.DUMMYFUNCTION("""COMPUTED_VALUE"""),43428)</f>
        <v>43428</v>
      </c>
      <c r="C682" s="5" t="str">
        <f ca="1">IFERROR(__xludf.DUMMYFUNCTION("""COMPUTED_VALUE"""),"Africentric Early College High School")</f>
        <v>Africentric Early College High School</v>
      </c>
      <c r="D682" s="5">
        <f ca="1">IFERROR(__xludf.DUMMYFUNCTION("""COMPUTED_VALUE"""),0)</f>
        <v>0</v>
      </c>
      <c r="E682" s="5">
        <f ca="1">IFERROR(__xludf.DUMMYFUNCTION("""COMPUTED_VALUE"""),2)</f>
        <v>2</v>
      </c>
      <c r="F682" s="5">
        <f ca="1">IFERROR(__xludf.DUMMYFUNCTION("""COMPUTED_VALUE"""),2)</f>
        <v>2</v>
      </c>
      <c r="G682" s="5">
        <f ca="1">IFERROR(__xludf.DUMMYFUNCTION("""COMPUTED_VALUE"""),0)</f>
        <v>0</v>
      </c>
      <c r="H682" s="9" t="str">
        <f ca="1">IFERROR(__xludf.DUMMYFUNCTION("""COMPUTED_VALUE"""),"https://abc6onyourside.com/news/local/police-investigating-double-shooting-at-africentric-high-school")</f>
        <v>https://abc6onyourside.com/news/local/police-investigating-double-shooting-at-africentric-high-school</v>
      </c>
      <c r="I682" s="5"/>
      <c r="J682" s="5"/>
      <c r="K682" s="5">
        <f ca="1">IFERROR(__xludf.DUMMYFUNCTION("""COMPUTED_VALUE"""),3)</f>
        <v>3</v>
      </c>
      <c r="L682" s="5" t="str">
        <f ca="1">IFERROR(__xludf.DUMMYFUNCTION("""COMPUTED_VALUE"""),"Fall")</f>
        <v>Fall</v>
      </c>
      <c r="M682" s="5" t="str">
        <f ca="1">IFERROR(__xludf.DUMMYFUNCTION("""COMPUTED_VALUE"""),"Columbus")</f>
        <v>Columbus</v>
      </c>
      <c r="N682" s="5" t="str">
        <f ca="1">IFERROR(__xludf.DUMMYFUNCTION("""COMPUTED_VALUE"""),"OH")</f>
        <v>OH</v>
      </c>
      <c r="O682" s="5" t="str">
        <f ca="1">IFERROR(__xludf.DUMMYFUNCTION("""COMPUTED_VALUE"""),"K-12")</f>
        <v>K-12</v>
      </c>
      <c r="P682" s="5" t="str">
        <f ca="1">IFERROR(__xludf.DUMMYFUNCTION("""COMPUTED_VALUE"""),"Outside on School Property")</f>
        <v>Outside on School Property</v>
      </c>
      <c r="Q682" s="5" t="str">
        <f ca="1">IFERROR(__xludf.DUMMYFUNCTION("""COMPUTED_VALUE"""),"Outside on School Property")</f>
        <v>Outside on School Property</v>
      </c>
      <c r="R682" s="5" t="str">
        <f ca="1">IFERROR(__xludf.DUMMYFUNCTION("""COMPUTED_VALUE"""),"No")</f>
        <v>No</v>
      </c>
      <c r="S682" s="5" t="str">
        <f ca="1">IFERROR(__xludf.DUMMYFUNCTION("""COMPUTED_VALUE"""),"Not a School Day")</f>
        <v>Not a School Day</v>
      </c>
      <c r="T682" s="10">
        <f ca="1">IFERROR(__xludf.DUMMYFUNCTION("""COMPUTED_VALUE"""),0.75)</f>
        <v>0.75</v>
      </c>
      <c r="U682" s="5">
        <f ca="1">IFERROR(__xludf.DUMMYFUNCTION("""COMPUTED_VALUE"""),1)</f>
        <v>1</v>
      </c>
      <c r="V682" s="5" t="str">
        <f ca="1">IFERROR(__xludf.DUMMYFUNCTION("""COMPUTED_VALUE"""),"Two adult men shot in fight outside of school during weekend night")</f>
        <v>Two adult men shot in fight outside of school during weekend night</v>
      </c>
      <c r="W682"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X682" s="5" t="str">
        <f ca="1">IFERROR(__xludf.DUMMYFUNCTION("""COMPUTED_VALUE"""),"Escalation of Dispute")</f>
        <v>Escalation of Dispute</v>
      </c>
      <c r="Y682" s="5" t="str">
        <f ca="1">IFERROR(__xludf.DUMMYFUNCTION("""COMPUTED_VALUE"""),"Victims Targeted")</f>
        <v>Victims Targeted</v>
      </c>
      <c r="Z682" s="5"/>
      <c r="AA682" s="5"/>
      <c r="AB682" s="5" t="str">
        <f ca="1">IFERROR(__xludf.DUMMYFUNCTION("""COMPUTED_VALUE"""),"No")</f>
        <v>No</v>
      </c>
      <c r="AC682" s="5" t="str">
        <f ca="1">IFERROR(__xludf.DUMMYFUNCTION("""COMPUTED_VALUE"""),"No")</f>
        <v>No</v>
      </c>
      <c r="AD682" s="5" t="str">
        <f ca="1">IFERROR(__xludf.DUMMYFUNCTION("""COMPUTED_VALUE"""),"No")</f>
        <v>No</v>
      </c>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row>
    <row r="683" spans="1:34" ht="12.75">
      <c r="A683" s="5" t="str">
        <f ca="1">IFERROR(__xludf.DUMMYFUNCTION("""COMPUTED_VALUE"""),"20181122WAMOD")</f>
        <v>20181122WAMOD</v>
      </c>
      <c r="B683" s="8">
        <f ca="1">IFERROR(__xludf.DUMMYFUNCTION("""COMPUTED_VALUE"""),43426)</f>
        <v>43426</v>
      </c>
      <c r="C683" s="5" t="str">
        <f ca="1">IFERROR(__xludf.DUMMYFUNCTION("""COMPUTED_VALUE"""),"Mount Rainier High School")</f>
        <v>Mount Rainier High School</v>
      </c>
      <c r="D683" s="5">
        <f ca="1">IFERROR(__xludf.DUMMYFUNCTION("""COMPUTED_VALUE"""),0)</f>
        <v>0</v>
      </c>
      <c r="E683" s="5">
        <f ca="1">IFERROR(__xludf.DUMMYFUNCTION("""COMPUTED_VALUE"""),1)</f>
        <v>1</v>
      </c>
      <c r="F683" s="5">
        <f ca="1">IFERROR(__xludf.DUMMYFUNCTION("""COMPUTED_VALUE"""),1)</f>
        <v>1</v>
      </c>
      <c r="G683" s="5">
        <f ca="1">IFERROR(__xludf.DUMMYFUNCTION("""COMPUTED_VALUE"""),0)</f>
        <v>0</v>
      </c>
      <c r="H683"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I683" s="5"/>
      <c r="J683" s="5"/>
      <c r="K683" s="5">
        <f ca="1">IFERROR(__xludf.DUMMYFUNCTION("""COMPUTED_VALUE"""),3)</f>
        <v>3</v>
      </c>
      <c r="L683" s="5" t="str">
        <f ca="1">IFERROR(__xludf.DUMMYFUNCTION("""COMPUTED_VALUE"""),"Fall")</f>
        <v>Fall</v>
      </c>
      <c r="M683" s="5" t="str">
        <f ca="1">IFERROR(__xludf.DUMMYFUNCTION("""COMPUTED_VALUE"""),"Des Moines")</f>
        <v>Des Moines</v>
      </c>
      <c r="N683" s="5" t="str">
        <f ca="1">IFERROR(__xludf.DUMMYFUNCTION("""COMPUTED_VALUE"""),"WA")</f>
        <v>WA</v>
      </c>
      <c r="O683" s="5" t="str">
        <f ca="1">IFERROR(__xludf.DUMMYFUNCTION("""COMPUTED_VALUE"""),"High")</f>
        <v>High</v>
      </c>
      <c r="P683" s="5" t="str">
        <f ca="1">IFERROR(__xludf.DUMMYFUNCTION("""COMPUTED_VALUE"""),"Football Field/Track")</f>
        <v>Football Field/Track</v>
      </c>
      <c r="Q683" s="5" t="str">
        <f ca="1">IFERROR(__xludf.DUMMYFUNCTION("""COMPUTED_VALUE"""),"Outside on School Property")</f>
        <v>Outside on School Property</v>
      </c>
      <c r="R683" s="5" t="str">
        <f ca="1">IFERROR(__xludf.DUMMYFUNCTION("""COMPUTED_VALUE"""),"No")</f>
        <v>No</v>
      </c>
      <c r="S683" s="5" t="str">
        <f ca="1">IFERROR(__xludf.DUMMYFUNCTION("""COMPUTED_VALUE"""),"Sport Event")</f>
        <v>Sport Event</v>
      </c>
      <c r="T683" s="10">
        <f ca="1">IFERROR(__xludf.DUMMYFUNCTION("""COMPUTED_VALUE"""),0.5)</f>
        <v>0.5</v>
      </c>
      <c r="U683" s="5">
        <f ca="1">IFERROR(__xludf.DUMMYFUNCTION("""COMPUTED_VALUE"""),1)</f>
        <v>1</v>
      </c>
      <c r="V683" s="5" t="str">
        <f ca="1">IFERROR(__xludf.DUMMYFUNCTION("""COMPUTED_VALUE"""),"Man shot during argument following pick-up football game")</f>
        <v>Man shot during argument following pick-up football game</v>
      </c>
      <c r="W683"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X683" s="5" t="str">
        <f ca="1">IFERROR(__xludf.DUMMYFUNCTION("""COMPUTED_VALUE"""),"Escalation of Dispute")</f>
        <v>Escalation of Dispute</v>
      </c>
      <c r="Y683" s="5" t="str">
        <f ca="1">IFERROR(__xludf.DUMMYFUNCTION("""COMPUTED_VALUE"""),"Victims Targeted")</f>
        <v>Victims Targeted</v>
      </c>
      <c r="Z683" s="5" t="str">
        <f ca="1">IFERROR(__xludf.DUMMYFUNCTION("""COMPUTED_VALUE"""),"Yes")</f>
        <v>Yes</v>
      </c>
      <c r="AA683" s="5" t="str">
        <f ca="1">IFERROR(__xludf.DUMMYFUNCTION("""COMPUTED_VALUE"""),"Multiple people involved with dispute during game")</f>
        <v>Multiple people involved with dispute during game</v>
      </c>
      <c r="AB683" s="5" t="str">
        <f ca="1">IFERROR(__xludf.DUMMYFUNCTION("""COMPUTED_VALUE"""),"No")</f>
        <v>No</v>
      </c>
      <c r="AC683" s="5" t="str">
        <f ca="1">IFERROR(__xludf.DUMMYFUNCTION("""COMPUTED_VALUE"""),"No")</f>
        <v>No</v>
      </c>
      <c r="AD683" s="5" t="str">
        <f ca="1">IFERROR(__xludf.DUMMYFUNCTION("""COMPUTED_VALUE"""),"No")</f>
        <v>No</v>
      </c>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row>
    <row r="684" spans="1:34" ht="12.75">
      <c r="A684" s="5" t="str">
        <f ca="1">IFERROR(__xludf.DUMMYFUNCTION("""COMPUTED_VALUE"""),"20181122TXSKD")</f>
        <v>20181122TXSKD</v>
      </c>
      <c r="B684" s="8">
        <f ca="1">IFERROR(__xludf.DUMMYFUNCTION("""COMPUTED_VALUE"""),43426)</f>
        <v>43426</v>
      </c>
      <c r="C684" s="5" t="str">
        <f ca="1">IFERROR(__xludf.DUMMYFUNCTION("""COMPUTED_VALUE"""),"Skyline High School")</f>
        <v>Skyline High School</v>
      </c>
      <c r="D684" s="5">
        <f ca="1">IFERROR(__xludf.DUMMYFUNCTION("""COMPUTED_VALUE"""),1)</f>
        <v>1</v>
      </c>
      <c r="E684" s="5">
        <f ca="1">IFERROR(__xludf.DUMMYFUNCTION("""COMPUTED_VALUE"""),0)</f>
        <v>0</v>
      </c>
      <c r="F684" s="5">
        <f ca="1">IFERROR(__xludf.DUMMYFUNCTION("""COMPUTED_VALUE"""),1)</f>
        <v>1</v>
      </c>
      <c r="G684" s="5">
        <f ca="1">IFERROR(__xludf.DUMMYFUNCTION("""COMPUTED_VALUE"""),0)</f>
        <v>0</v>
      </c>
      <c r="H684"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I684" s="5"/>
      <c r="J684" s="5"/>
      <c r="K684" s="5">
        <f ca="1">IFERROR(__xludf.DUMMYFUNCTION("""COMPUTED_VALUE"""),3)</f>
        <v>3</v>
      </c>
      <c r="L684" s="5" t="str">
        <f ca="1">IFERROR(__xludf.DUMMYFUNCTION("""COMPUTED_VALUE"""),"Fall")</f>
        <v>Fall</v>
      </c>
      <c r="M684" s="5" t="str">
        <f ca="1">IFERROR(__xludf.DUMMYFUNCTION("""COMPUTED_VALUE"""),"Dallas")</f>
        <v>Dallas</v>
      </c>
      <c r="N684" s="5" t="str">
        <f ca="1">IFERROR(__xludf.DUMMYFUNCTION("""COMPUTED_VALUE"""),"TX")</f>
        <v>TX</v>
      </c>
      <c r="O684" s="5" t="str">
        <f ca="1">IFERROR(__xludf.DUMMYFUNCTION("""COMPUTED_VALUE"""),"High")</f>
        <v>High</v>
      </c>
      <c r="P684" s="5" t="str">
        <f ca="1">IFERROR(__xludf.DUMMYFUNCTION("""COMPUTED_VALUE"""),"Front of School")</f>
        <v>Front of School</v>
      </c>
      <c r="Q684" s="5" t="str">
        <f ca="1">IFERROR(__xludf.DUMMYFUNCTION("""COMPUTED_VALUE"""),"Outside on School Property")</f>
        <v>Outside on School Property</v>
      </c>
      <c r="R684" s="5" t="str">
        <f ca="1">IFERROR(__xludf.DUMMYFUNCTION("""COMPUTED_VALUE"""),"No")</f>
        <v>No</v>
      </c>
      <c r="S684" s="5" t="str">
        <f ca="1">IFERROR(__xludf.DUMMYFUNCTION("""COMPUTED_VALUE"""),"Not a School Day")</f>
        <v>Not a School Day</v>
      </c>
      <c r="T684" s="10">
        <f ca="1">IFERROR(__xludf.DUMMYFUNCTION("""COMPUTED_VALUE"""),0.395833333333333)</f>
        <v>0.39583333333333298</v>
      </c>
      <c r="U684" s="5">
        <f ca="1">IFERROR(__xludf.DUMMYFUNCTION("""COMPUTED_VALUE"""),1)</f>
        <v>1</v>
      </c>
      <c r="V684" s="5" t="str">
        <f ca="1">IFERROR(__xludf.DUMMYFUNCTION("""COMPUTED_VALUE"""),"17YOM shot outside of school building")</f>
        <v>17YOM shot outside of school building</v>
      </c>
      <c r="W684"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X684" s="5" t="str">
        <f ca="1">IFERROR(__xludf.DUMMYFUNCTION("""COMPUTED_VALUE"""),"Escalation of Dispute")</f>
        <v>Escalation of Dispute</v>
      </c>
      <c r="Y684" s="5" t="str">
        <f ca="1">IFERROR(__xludf.DUMMYFUNCTION("""COMPUTED_VALUE"""),"Victims Targeted")</f>
        <v>Victims Targeted</v>
      </c>
      <c r="Z684" s="5" t="str">
        <f ca="1">IFERROR(__xludf.DUMMYFUNCTION("""COMPUTED_VALUE"""),"Yes")</f>
        <v>Yes</v>
      </c>
      <c r="AA684" s="5" t="str">
        <f ca="1">IFERROR(__xludf.DUMMYFUNCTION("""COMPUTED_VALUE"""),"3 black males ran from scene following shooting")</f>
        <v>3 black males ran from scene following shooting</v>
      </c>
      <c r="AB684" s="5" t="str">
        <f ca="1">IFERROR(__xludf.DUMMYFUNCTION("""COMPUTED_VALUE"""),"No")</f>
        <v>No</v>
      </c>
      <c r="AC684" s="5" t="str">
        <f ca="1">IFERROR(__xludf.DUMMYFUNCTION("""COMPUTED_VALUE"""),"No")</f>
        <v>No</v>
      </c>
      <c r="AD684" s="5" t="str">
        <f ca="1">IFERROR(__xludf.DUMMYFUNCTION("""COMPUTED_VALUE"""),"No")</f>
        <v>No</v>
      </c>
      <c r="AE684" s="5" t="str">
        <f ca="1">IFERROR(__xludf.DUMMYFUNCTION("""COMPUTED_VALUE"""),"No")</f>
        <v>No</v>
      </c>
      <c r="AF684" s="5" t="str">
        <f ca="1">IFERROR(__xludf.DUMMYFUNCTION("""COMPUTED_VALUE"""),"No")</f>
        <v>No</v>
      </c>
      <c r="AG684" s="5"/>
      <c r="AH684" s="5" t="str">
        <f ca="1">IFERROR(__xludf.DUMMYFUNCTION("""COMPUTED_VALUE"""),"No")</f>
        <v>No</v>
      </c>
    </row>
    <row r="685" spans="1:34" ht="12.75">
      <c r="A685" s="5" t="str">
        <f ca="1">IFERROR(__xludf.DUMMYFUNCTION("""COMPUTED_VALUE"""),"20181121MIPEP")</f>
        <v>20181121MIPEP</v>
      </c>
      <c r="B685" s="8">
        <f ca="1">IFERROR(__xludf.DUMMYFUNCTION("""COMPUTED_VALUE"""),43425)</f>
        <v>43425</v>
      </c>
      <c r="C685" s="5" t="str">
        <f ca="1">IFERROR(__xludf.DUMMYFUNCTION("""COMPUTED_VALUE"""),"Pentwater Public School")</f>
        <v>Pentwater Public School</v>
      </c>
      <c r="D685" s="5">
        <f ca="1">IFERROR(__xludf.DUMMYFUNCTION("""COMPUTED_VALUE"""),0)</f>
        <v>0</v>
      </c>
      <c r="E685" s="5">
        <f ca="1">IFERROR(__xludf.DUMMYFUNCTION("""COMPUTED_VALUE"""),0)</f>
        <v>0</v>
      </c>
      <c r="F685" s="5">
        <f ca="1">IFERROR(__xludf.DUMMYFUNCTION("""COMPUTED_VALUE"""),0)</f>
        <v>0</v>
      </c>
      <c r="G685" s="5">
        <f ca="1">IFERROR(__xludf.DUMMYFUNCTION("""COMPUTED_VALUE"""),0)</f>
        <v>0</v>
      </c>
      <c r="H685" s="9" t="str">
        <f ca="1">IFERROR(__xludf.DUMMYFUNCTION("""COMPUTED_VALUE"""),"https://www.mlive.com/news/muskegon/index.ssf/2018/11/man_suspected_of_shooting_out.html")</f>
        <v>https://www.mlive.com/news/muskegon/index.ssf/2018/11/man_suspected_of_shooting_out.html</v>
      </c>
      <c r="I685" s="5"/>
      <c r="J685" s="5"/>
      <c r="K685" s="5">
        <f ca="1">IFERROR(__xludf.DUMMYFUNCTION("""COMPUTED_VALUE"""),3)</f>
        <v>3</v>
      </c>
      <c r="L685" s="5" t="str">
        <f ca="1">IFERROR(__xludf.DUMMYFUNCTION("""COMPUTED_VALUE"""),"Fall")</f>
        <v>Fall</v>
      </c>
      <c r="M685" s="5" t="str">
        <f ca="1">IFERROR(__xludf.DUMMYFUNCTION("""COMPUTED_VALUE"""),"Pentwater")</f>
        <v>Pentwater</v>
      </c>
      <c r="N685" s="5" t="str">
        <f ca="1">IFERROR(__xludf.DUMMYFUNCTION("""COMPUTED_VALUE"""),"MI")</f>
        <v>MI</v>
      </c>
      <c r="O685" s="5" t="str">
        <f ca="1">IFERROR(__xludf.DUMMYFUNCTION("""COMPUTED_VALUE"""),"K-8")</f>
        <v>K-8</v>
      </c>
      <c r="P685" s="5" t="str">
        <f ca="1">IFERROR(__xludf.DUMMYFUNCTION("""COMPUTED_VALUE"""),"Front of School")</f>
        <v>Front of School</v>
      </c>
      <c r="Q685" s="5" t="str">
        <f ca="1">IFERROR(__xludf.DUMMYFUNCTION("""COMPUTED_VALUE"""),"Outside on School Property")</f>
        <v>Outside on School Property</v>
      </c>
      <c r="R685" s="5" t="str">
        <f ca="1">IFERROR(__xludf.DUMMYFUNCTION("""COMPUTED_VALUE"""),"No")</f>
        <v>No</v>
      </c>
      <c r="S685" s="5" t="str">
        <f ca="1">IFERROR(__xludf.DUMMYFUNCTION("""COMPUTED_VALUE"""),"Not a School Day")</f>
        <v>Not a School Day</v>
      </c>
      <c r="T685" s="10">
        <f ca="1">IFERROR(__xludf.DUMMYFUNCTION("""COMPUTED_VALUE"""),0.364583333333333)</f>
        <v>0.36458333333333298</v>
      </c>
      <c r="U685" s="5"/>
      <c r="V685" s="5" t="str">
        <f ca="1">IFERROR(__xludf.DUMMYFUNCTION("""COMPUTED_VALUE"""),"Adult male fired BB gun and broke multiple windows at the school")</f>
        <v>Adult male fired BB gun and broke multiple windows at the school</v>
      </c>
      <c r="W685"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X685" s="5" t="str">
        <f ca="1">IFERROR(__xludf.DUMMYFUNCTION("""COMPUTED_VALUE"""),"Intentional Property Damage")</f>
        <v>Intentional Property Damage</v>
      </c>
      <c r="Y685" s="5" t="str">
        <f ca="1">IFERROR(__xludf.DUMMYFUNCTION("""COMPUTED_VALUE"""),"Neither")</f>
        <v>Neither</v>
      </c>
      <c r="Z685" s="5" t="str">
        <f ca="1">IFERROR(__xludf.DUMMYFUNCTION("""COMPUTED_VALUE"""),"No")</f>
        <v>No</v>
      </c>
      <c r="AA685" s="5"/>
      <c r="AB685" s="5" t="str">
        <f ca="1">IFERROR(__xludf.DUMMYFUNCTION("""COMPUTED_VALUE"""),"No")</f>
        <v>No</v>
      </c>
      <c r="AC685" s="5" t="str">
        <f ca="1">IFERROR(__xludf.DUMMYFUNCTION("""COMPUTED_VALUE"""),"No")</f>
        <v>No</v>
      </c>
      <c r="AD685" s="5" t="str">
        <f ca="1">IFERROR(__xludf.DUMMYFUNCTION("""COMPUTED_VALUE"""),"No")</f>
        <v>No</v>
      </c>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row>
    <row r="686" spans="1:34" ht="12.75">
      <c r="A686" s="5" t="str">
        <f ca="1">IFERROR(__xludf.DUMMYFUNCTION("""COMPUTED_VALUE"""),"20181120VASIP")</f>
        <v>20181120VASIP</v>
      </c>
      <c r="B686" s="8">
        <f ca="1">IFERROR(__xludf.DUMMYFUNCTION("""COMPUTED_VALUE"""),43424)</f>
        <v>43424</v>
      </c>
      <c r="C686" s="5" t="str">
        <f ca="1">IFERROR(__xludf.DUMMYFUNCTION("""COMPUTED_VALUE"""),"Simonsdale Elementary School")</f>
        <v>Simonsdale Elementary School</v>
      </c>
      <c r="D686" s="5">
        <f ca="1">IFERROR(__xludf.DUMMYFUNCTION("""COMPUTED_VALUE"""),0)</f>
        <v>0</v>
      </c>
      <c r="E686" s="5">
        <f ca="1">IFERROR(__xludf.DUMMYFUNCTION("""COMPUTED_VALUE"""),1)</f>
        <v>1</v>
      </c>
      <c r="F686" s="5">
        <f ca="1">IFERROR(__xludf.DUMMYFUNCTION("""COMPUTED_VALUE"""),1)</f>
        <v>1</v>
      </c>
      <c r="G686" s="5">
        <f ca="1">IFERROR(__xludf.DUMMYFUNCTION("""COMPUTED_VALUE"""),0)</f>
        <v>0</v>
      </c>
      <c r="H686" s="9" t="str">
        <f ca="1">IFERROR(__xludf.DUMMYFUNCTION("""COMPUTED_VALUE"""),"https://wtkr.com/2018/11/20/shot-fired-by-portsmouth-elementary-school-police-investigate/")</f>
        <v>https://wtkr.com/2018/11/20/shot-fired-by-portsmouth-elementary-school-police-investigate/</v>
      </c>
      <c r="I686" s="5"/>
      <c r="J686" s="5"/>
      <c r="K686" s="5">
        <f ca="1">IFERROR(__xludf.DUMMYFUNCTION("""COMPUTED_VALUE"""),3)</f>
        <v>3</v>
      </c>
      <c r="L686" s="5" t="str">
        <f ca="1">IFERROR(__xludf.DUMMYFUNCTION("""COMPUTED_VALUE"""),"Fall")</f>
        <v>Fall</v>
      </c>
      <c r="M686" s="5" t="str">
        <f ca="1">IFERROR(__xludf.DUMMYFUNCTION("""COMPUTED_VALUE"""),"Portsmouth")</f>
        <v>Portsmouth</v>
      </c>
      <c r="N686" s="5" t="str">
        <f ca="1">IFERROR(__xludf.DUMMYFUNCTION("""COMPUTED_VALUE"""),"VA")</f>
        <v>VA</v>
      </c>
      <c r="O686" s="5" t="str">
        <f ca="1">IFERROR(__xludf.DUMMYFUNCTION("""COMPUTED_VALUE"""),"Elementary")</f>
        <v>Elementary</v>
      </c>
      <c r="P686" s="5" t="str">
        <f ca="1">IFERROR(__xludf.DUMMYFUNCTION("""COMPUTED_VALUE"""),"Hallway")</f>
        <v>Hallway</v>
      </c>
      <c r="Q686" s="5" t="str">
        <f ca="1">IFERROR(__xludf.DUMMYFUNCTION("""COMPUTED_VALUE"""),"Inside School Building")</f>
        <v>Inside School Building</v>
      </c>
      <c r="R686" s="5" t="str">
        <f ca="1">IFERROR(__xludf.DUMMYFUNCTION("""COMPUTED_VALUE"""),"No")</f>
        <v>No</v>
      </c>
      <c r="S686" s="5" t="str">
        <f ca="1">IFERROR(__xludf.DUMMYFUNCTION("""COMPUTED_VALUE"""),"Dismissal")</f>
        <v>Dismissal</v>
      </c>
      <c r="T686" s="10">
        <f ca="1">IFERROR(__xludf.DUMMYFUNCTION("""COMPUTED_VALUE"""),0.666666666666666)</f>
        <v>0.66666666666666596</v>
      </c>
      <c r="U686" s="5">
        <f ca="1">IFERROR(__xludf.DUMMYFUNCTION("""COMPUTED_VALUE"""),1)</f>
        <v>1</v>
      </c>
      <c r="V686" s="5" t="str">
        <f ca="1">IFERROR(__xludf.DUMMYFUNCTION("""COMPUTED_VALUE"""),"Parent's concealed weapon discharged striking other parent")</f>
        <v>Parent's concealed weapon discharged striking other parent</v>
      </c>
      <c r="W686"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X686" s="5" t="str">
        <f ca="1">IFERROR(__xludf.DUMMYFUNCTION("""COMPUTED_VALUE"""),"Accidental")</f>
        <v>Accidental</v>
      </c>
      <c r="Y686" s="5" t="str">
        <f ca="1">IFERROR(__xludf.DUMMYFUNCTION("""COMPUTED_VALUE"""),"Random Shooting")</f>
        <v>Random Shooting</v>
      </c>
      <c r="Z686" s="5" t="str">
        <f ca="1">IFERROR(__xludf.DUMMYFUNCTION("""COMPUTED_VALUE"""),"No")</f>
        <v>No</v>
      </c>
      <c r="AA686" s="5"/>
      <c r="AB686" s="5" t="str">
        <f ca="1">IFERROR(__xludf.DUMMYFUNCTION("""COMPUTED_VALUE"""),"No")</f>
        <v>No</v>
      </c>
      <c r="AC686" s="5" t="str">
        <f ca="1">IFERROR(__xludf.DUMMYFUNCTION("""COMPUTED_VALUE"""),"No")</f>
        <v>No</v>
      </c>
      <c r="AD686" s="5" t="str">
        <f ca="1">IFERROR(__xludf.DUMMYFUNCTION("""COMPUTED_VALUE"""),"No")</f>
        <v>No</v>
      </c>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row>
    <row r="687" spans="1:34" ht="12.75">
      <c r="A687" s="5" t="str">
        <f ca="1">IFERROR(__xludf.DUMMYFUNCTION("""COMPUTED_VALUE"""),"20181112MDEAE")</f>
        <v>20181112MDEAE</v>
      </c>
      <c r="B687" s="8">
        <f ca="1">IFERROR(__xludf.DUMMYFUNCTION("""COMPUTED_VALUE"""),43416)</f>
        <v>43416</v>
      </c>
      <c r="C687" s="5" t="str">
        <f ca="1">IFERROR(__xludf.DUMMYFUNCTION("""COMPUTED_VALUE"""),"Eastern Tech High School")</f>
        <v>Eastern Tech High School</v>
      </c>
      <c r="D687" s="5">
        <f ca="1">IFERROR(__xludf.DUMMYFUNCTION("""COMPUTED_VALUE"""),0)</f>
        <v>0</v>
      </c>
      <c r="E687" s="5">
        <f ca="1">IFERROR(__xludf.DUMMYFUNCTION("""COMPUTED_VALUE"""),0)</f>
        <v>0</v>
      </c>
      <c r="F687" s="5">
        <f ca="1">IFERROR(__xludf.DUMMYFUNCTION("""COMPUTED_VALUE"""),0)</f>
        <v>0</v>
      </c>
      <c r="G687" s="5">
        <f ca="1">IFERROR(__xludf.DUMMYFUNCTION("""COMPUTED_VALUE"""),1)</f>
        <v>1</v>
      </c>
      <c r="H687" s="9" t="str">
        <f ca="1">IFERROR(__xludf.DUMMYFUNCTION("""COMPUTED_VALUE"""),"https://baltimore.cbslocal.com/2018/11/12/school-resource-officer-suicide/")</f>
        <v>https://baltimore.cbslocal.com/2018/11/12/school-resource-officer-suicide/</v>
      </c>
      <c r="I687" s="5"/>
      <c r="J687" s="5"/>
      <c r="K687" s="5">
        <f ca="1">IFERROR(__xludf.DUMMYFUNCTION("""COMPUTED_VALUE"""),3)</f>
        <v>3</v>
      </c>
      <c r="L687" s="5" t="str">
        <f ca="1">IFERROR(__xludf.DUMMYFUNCTION("""COMPUTED_VALUE"""),"Fall")</f>
        <v>Fall</v>
      </c>
      <c r="M687" s="5" t="str">
        <f ca="1">IFERROR(__xludf.DUMMYFUNCTION("""COMPUTED_VALUE"""),"Essex")</f>
        <v>Essex</v>
      </c>
      <c r="N687" s="5" t="str">
        <f ca="1">IFERROR(__xludf.DUMMYFUNCTION("""COMPUTED_VALUE"""),"MD")</f>
        <v>MD</v>
      </c>
      <c r="O687" s="5" t="str">
        <f ca="1">IFERROR(__xludf.DUMMYFUNCTION("""COMPUTED_VALUE"""),"High")</f>
        <v>High</v>
      </c>
      <c r="P687" s="5" t="str">
        <f ca="1">IFERROR(__xludf.DUMMYFUNCTION("""COMPUTED_VALUE"""),"Office")</f>
        <v>Office</v>
      </c>
      <c r="Q687" s="5" t="str">
        <f ca="1">IFERROR(__xludf.DUMMYFUNCTION("""COMPUTED_VALUE"""),"Inside School Building")</f>
        <v>Inside School Building</v>
      </c>
      <c r="R687" s="5" t="str">
        <f ca="1">IFERROR(__xludf.DUMMYFUNCTION("""COMPUTED_VALUE"""),"Yes")</f>
        <v>Yes</v>
      </c>
      <c r="S687" s="5" t="str">
        <f ca="1">IFERROR(__xludf.DUMMYFUNCTION("""COMPUTED_VALUE"""),"Afternoon Classes")</f>
        <v>Afternoon Classes</v>
      </c>
      <c r="T687" s="10">
        <f ca="1">IFERROR(__xludf.DUMMYFUNCTION("""COMPUTED_VALUE"""),0.515972222222222)</f>
        <v>0.51597222222222205</v>
      </c>
      <c r="U687" s="5">
        <f ca="1">IFERROR(__xludf.DUMMYFUNCTION("""COMPUTED_VALUE"""),1)</f>
        <v>1</v>
      </c>
      <c r="V687" s="5" t="str">
        <f ca="1">IFERROR(__xludf.DUMMYFUNCTION("""COMPUTED_VALUE"""),"SRO killed self in officer inside school")</f>
        <v>SRO killed self in officer inside school</v>
      </c>
      <c r="W687"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X687" s="5" t="str">
        <f ca="1">IFERROR(__xludf.DUMMYFUNCTION("""COMPUTED_VALUE"""),"Suicide/Attempted")</f>
        <v>Suicide/Attempted</v>
      </c>
      <c r="Y687" s="5" t="str">
        <f ca="1">IFERROR(__xludf.DUMMYFUNCTION("""COMPUTED_VALUE"""),"Victims Targeted")</f>
        <v>Victims Targeted</v>
      </c>
      <c r="Z687" s="5" t="str">
        <f ca="1">IFERROR(__xludf.DUMMYFUNCTION("""COMPUTED_VALUE"""),"No")</f>
        <v>No</v>
      </c>
      <c r="AA687" s="5"/>
      <c r="AB687" s="5" t="str">
        <f ca="1">IFERROR(__xludf.DUMMYFUNCTION("""COMPUTED_VALUE"""),"No")</f>
        <v>No</v>
      </c>
      <c r="AC687" s="5" t="str">
        <f ca="1">IFERROR(__xludf.DUMMYFUNCTION("""COMPUTED_VALUE"""),"No")</f>
        <v>No</v>
      </c>
      <c r="AD687" s="5" t="str">
        <f ca="1">IFERROR(__xludf.DUMMYFUNCTION("""COMPUTED_VALUE"""),"No")</f>
        <v>No</v>
      </c>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row>
    <row r="688" spans="1:34" ht="12.75">
      <c r="A688" s="5" t="str">
        <f ca="1">IFERROR(__xludf.DUMMYFUNCTION("""COMPUTED_VALUE"""),"20181109GAGAM")</f>
        <v>20181109GAGAM</v>
      </c>
      <c r="B688" s="8">
        <f ca="1">IFERROR(__xludf.DUMMYFUNCTION("""COMPUTED_VALUE"""),43413)</f>
        <v>43413</v>
      </c>
      <c r="C688" s="5" t="str">
        <f ca="1">IFERROR(__xludf.DUMMYFUNCTION("""COMPUTED_VALUE"""),"Garrett Middle School")</f>
        <v>Garrett Middle School</v>
      </c>
      <c r="D688" s="5">
        <f ca="1">IFERROR(__xludf.DUMMYFUNCTION("""COMPUTED_VALUE"""),0)</f>
        <v>0</v>
      </c>
      <c r="E688" s="5">
        <f ca="1">IFERROR(__xludf.DUMMYFUNCTION("""COMPUTED_VALUE"""),0)</f>
        <v>0</v>
      </c>
      <c r="F688" s="5">
        <f ca="1">IFERROR(__xludf.DUMMYFUNCTION("""COMPUTED_VALUE"""),0)</f>
        <v>0</v>
      </c>
      <c r="G688" s="5">
        <f ca="1">IFERROR(__xludf.DUMMYFUNCTION("""COMPUTED_VALUE"""),0)</f>
        <v>0</v>
      </c>
      <c r="H688"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I688" s="5"/>
      <c r="J688" s="5"/>
      <c r="K688" s="5">
        <f ca="1">IFERROR(__xludf.DUMMYFUNCTION("""COMPUTED_VALUE"""),3)</f>
        <v>3</v>
      </c>
      <c r="L688" s="5" t="str">
        <f ca="1">IFERROR(__xludf.DUMMYFUNCTION("""COMPUTED_VALUE"""),"Fall")</f>
        <v>Fall</v>
      </c>
      <c r="M688" s="5" t="str">
        <f ca="1">IFERROR(__xludf.DUMMYFUNCTION("""COMPUTED_VALUE"""),"Marietta")</f>
        <v>Marietta</v>
      </c>
      <c r="N688" s="5" t="str">
        <f ca="1">IFERROR(__xludf.DUMMYFUNCTION("""COMPUTED_VALUE"""),"GA")</f>
        <v>GA</v>
      </c>
      <c r="O688" s="5" t="str">
        <f ca="1">IFERROR(__xludf.DUMMYFUNCTION("""COMPUTED_VALUE"""),"Middle")</f>
        <v>Middle</v>
      </c>
      <c r="P688" s="5" t="str">
        <f ca="1">IFERROR(__xludf.DUMMYFUNCTION("""COMPUTED_VALUE"""),"Bathroom")</f>
        <v>Bathroom</v>
      </c>
      <c r="Q688" s="5" t="str">
        <f ca="1">IFERROR(__xludf.DUMMYFUNCTION("""COMPUTED_VALUE"""),"Inside School Building")</f>
        <v>Inside School Building</v>
      </c>
      <c r="R688" s="5" t="str">
        <f ca="1">IFERROR(__xludf.DUMMYFUNCTION("""COMPUTED_VALUE"""),"Yes")</f>
        <v>Yes</v>
      </c>
      <c r="S688" s="5"/>
      <c r="T688" s="5"/>
      <c r="U688" s="5">
        <f ca="1">IFERROR(__xludf.DUMMYFUNCTION("""COMPUTED_VALUE"""),1)</f>
        <v>1</v>
      </c>
      <c r="V688" s="5" t="str">
        <f ca="1">IFERROR(__xludf.DUMMYFUNCTION("""COMPUTED_VALUE"""),"Student accidentally fired handgun showing it off in bathroom")</f>
        <v>Student accidentally fired handgun showing it off in bathroom</v>
      </c>
      <c r="W688"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X688" s="5" t="str">
        <f ca="1">IFERROR(__xludf.DUMMYFUNCTION("""COMPUTED_VALUE"""),"Accidental")</f>
        <v>Accidental</v>
      </c>
      <c r="Y688" s="5" t="str">
        <f ca="1">IFERROR(__xludf.DUMMYFUNCTION("""COMPUTED_VALUE"""),"Neither")</f>
        <v>Neither</v>
      </c>
      <c r="Z688" s="5" t="str">
        <f ca="1">IFERROR(__xludf.DUMMYFUNCTION("""COMPUTED_VALUE"""),"Yes")</f>
        <v>Yes</v>
      </c>
      <c r="AA688" s="5" t="str">
        <f ca="1">IFERROR(__xludf.DUMMYFUNCTION("""COMPUTED_VALUE"""),"2 students arrested and charged")</f>
        <v>2 students arrested and charged</v>
      </c>
      <c r="AB688" s="5" t="str">
        <f ca="1">IFERROR(__xludf.DUMMYFUNCTION("""COMPUTED_VALUE"""),"No")</f>
        <v>No</v>
      </c>
      <c r="AC688" s="5" t="str">
        <f ca="1">IFERROR(__xludf.DUMMYFUNCTION("""COMPUTED_VALUE"""),"No")</f>
        <v>No</v>
      </c>
      <c r="AD688" s="5" t="str">
        <f ca="1">IFERROR(__xludf.DUMMYFUNCTION("""COMPUTED_VALUE"""),"No")</f>
        <v>No</v>
      </c>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row>
    <row r="689" spans="1:34" ht="12.75">
      <c r="A689" s="5" t="str">
        <f ca="1">IFERROR(__xludf.DUMMYFUNCTION("""COMPUTED_VALUE"""),"20181108CACLS")</f>
        <v>20181108CACLS</v>
      </c>
      <c r="B689" s="8">
        <f ca="1">IFERROR(__xludf.DUMMYFUNCTION("""COMPUTED_VALUE"""),43412)</f>
        <v>43412</v>
      </c>
      <c r="C689" s="5" t="str">
        <f ca="1">IFERROR(__xludf.DUMMYFUNCTION("""COMPUTED_VALUE"""),"Cleveland Elementary School")</f>
        <v>Cleveland Elementary School</v>
      </c>
      <c r="D689" s="5">
        <f ca="1">IFERROR(__xludf.DUMMYFUNCTION("""COMPUTED_VALUE"""),0)</f>
        <v>0</v>
      </c>
      <c r="E689" s="5">
        <f ca="1">IFERROR(__xludf.DUMMYFUNCTION("""COMPUTED_VALUE"""),1)</f>
        <v>1</v>
      </c>
      <c r="F689" s="5">
        <f ca="1">IFERROR(__xludf.DUMMYFUNCTION("""COMPUTED_VALUE"""),1)</f>
        <v>1</v>
      </c>
      <c r="G689" s="5">
        <f ca="1">IFERROR(__xludf.DUMMYFUNCTION("""COMPUTED_VALUE"""),0)</f>
        <v>0</v>
      </c>
      <c r="H689" s="9" t="str">
        <f ca="1">IFERROR(__xludf.DUMMYFUNCTION("""COMPUTED_VALUE"""),"https://ksby.com/news/2018/12/03/suspects-arrested-in-santa-barbara-elementary-school-shooting-linked-to-other-crimes")</f>
        <v>https://ksby.com/news/2018/12/03/suspects-arrested-in-santa-barbara-elementary-school-shooting-linked-to-other-crimes</v>
      </c>
      <c r="I689" s="5"/>
      <c r="J689" s="5"/>
      <c r="K689" s="5">
        <f ca="1">IFERROR(__xludf.DUMMYFUNCTION("""COMPUTED_VALUE"""),3)</f>
        <v>3</v>
      </c>
      <c r="L689" s="5" t="str">
        <f ca="1">IFERROR(__xludf.DUMMYFUNCTION("""COMPUTED_VALUE"""),"Fall")</f>
        <v>Fall</v>
      </c>
      <c r="M689" s="5" t="str">
        <f ca="1">IFERROR(__xludf.DUMMYFUNCTION("""COMPUTED_VALUE"""),"Santa Barbara")</f>
        <v>Santa Barbara</v>
      </c>
      <c r="N689" s="5" t="str">
        <f ca="1">IFERROR(__xludf.DUMMYFUNCTION("""COMPUTED_VALUE"""),"CA")</f>
        <v>CA</v>
      </c>
      <c r="O689" s="5" t="str">
        <f ca="1">IFERROR(__xludf.DUMMYFUNCTION("""COMPUTED_VALUE"""),"Elementary")</f>
        <v>Elementary</v>
      </c>
      <c r="P689" s="5" t="str">
        <f ca="1">IFERROR(__xludf.DUMMYFUNCTION("""COMPUTED_VALUE"""),"Outside on School Property")</f>
        <v>Outside on School Property</v>
      </c>
      <c r="Q689" s="5" t="str">
        <f ca="1">IFERROR(__xludf.DUMMYFUNCTION("""COMPUTED_VALUE"""),"Outside on School Property")</f>
        <v>Outside on School Property</v>
      </c>
      <c r="R689" s="5" t="str">
        <f ca="1">IFERROR(__xludf.DUMMYFUNCTION("""COMPUTED_VALUE"""),"No")</f>
        <v>No</v>
      </c>
      <c r="S689" s="5" t="str">
        <f ca="1">IFERROR(__xludf.DUMMYFUNCTION("""COMPUTED_VALUE"""),"Night")</f>
        <v>Night</v>
      </c>
      <c r="T689" s="10">
        <f ca="1">IFERROR(__xludf.DUMMYFUNCTION("""COMPUTED_VALUE"""),0.0833333333333333)</f>
        <v>8.3333333333333301E-2</v>
      </c>
      <c r="U689" s="5">
        <f ca="1">IFERROR(__xludf.DUMMYFUNCTION("""COMPUTED_VALUE"""),1)</f>
        <v>1</v>
      </c>
      <c r="V689" s="5" t="str">
        <f ca="1">IFERROR(__xludf.DUMMYFUNCTION("""COMPUTED_VALUE"""),"Shot during robbery outside of school")</f>
        <v>Shot during robbery outside of school</v>
      </c>
      <c r="W689"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X689" s="5" t="str">
        <f ca="1">IFERROR(__xludf.DUMMYFUNCTION("""COMPUTED_VALUE"""),"Illegal Activity")</f>
        <v>Illegal Activity</v>
      </c>
      <c r="Y689" s="5" t="str">
        <f ca="1">IFERROR(__xludf.DUMMYFUNCTION("""COMPUTED_VALUE"""),"Victims Targeted")</f>
        <v>Victims Targeted</v>
      </c>
      <c r="Z689" s="5" t="str">
        <f ca="1">IFERROR(__xludf.DUMMYFUNCTION("""COMPUTED_VALUE"""),"Yes")</f>
        <v>Yes</v>
      </c>
      <c r="AA689" s="5" t="str">
        <f ca="1">IFERROR(__xludf.DUMMYFUNCTION("""COMPUTED_VALUE"""),"2 arrested for multiple crimes in area")</f>
        <v>2 arrested for multiple crimes in area</v>
      </c>
      <c r="AB689" s="5" t="str">
        <f ca="1">IFERROR(__xludf.DUMMYFUNCTION("""COMPUTED_VALUE"""),"No")</f>
        <v>No</v>
      </c>
      <c r="AC689" s="5" t="str">
        <f ca="1">IFERROR(__xludf.DUMMYFUNCTION("""COMPUTED_VALUE"""),"No")</f>
        <v>No</v>
      </c>
      <c r="AD689" s="5" t="str">
        <f ca="1">IFERROR(__xludf.DUMMYFUNCTION("""COMPUTED_VALUE"""),"No")</f>
        <v>No</v>
      </c>
      <c r="AE689" s="5" t="str">
        <f ca="1">IFERROR(__xludf.DUMMYFUNCTION("""COMPUTED_VALUE"""),"No")</f>
        <v>No</v>
      </c>
      <c r="AF689" s="5" t="str">
        <f ca="1">IFERROR(__xludf.DUMMYFUNCTION("""COMPUTED_VALUE"""),"No")</f>
        <v>No</v>
      </c>
      <c r="AG689" s="5"/>
      <c r="AH689" s="5" t="str">
        <f ca="1">IFERROR(__xludf.DUMMYFUNCTION("""COMPUTED_VALUE"""),"No")</f>
        <v>No</v>
      </c>
    </row>
    <row r="690" spans="1:34" ht="12.75">
      <c r="A690" s="5" t="str">
        <f ca="1">IFERROR(__xludf.DUMMYFUNCTION("""COMPUTED_VALUE"""),"20181105SCACC")</f>
        <v>20181105SCACC</v>
      </c>
      <c r="B690" s="8">
        <f ca="1">IFERROR(__xludf.DUMMYFUNCTION("""COMPUTED_VALUE"""),43409)</f>
        <v>43409</v>
      </c>
      <c r="C690" s="5" t="str">
        <f ca="1">IFERROR(__xludf.DUMMYFUNCTION("""COMPUTED_VALUE"""),"Academy of Hope")</f>
        <v>Academy of Hope</v>
      </c>
      <c r="D690" s="5">
        <f ca="1">IFERROR(__xludf.DUMMYFUNCTION("""COMPUTED_VALUE"""),0)</f>
        <v>0</v>
      </c>
      <c r="E690" s="5">
        <f ca="1">IFERROR(__xludf.DUMMYFUNCTION("""COMPUTED_VALUE"""),0)</f>
        <v>0</v>
      </c>
      <c r="F690" s="5">
        <f ca="1">IFERROR(__xludf.DUMMYFUNCTION("""COMPUTED_VALUE"""),0)</f>
        <v>0</v>
      </c>
      <c r="G690" s="5">
        <f ca="1">IFERROR(__xludf.DUMMYFUNCTION("""COMPUTED_VALUE"""),0)</f>
        <v>0</v>
      </c>
      <c r="H690"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I690" s="5"/>
      <c r="J690" s="5"/>
      <c r="K690" s="5">
        <f ca="1">IFERROR(__xludf.DUMMYFUNCTION("""COMPUTED_VALUE"""),2)</f>
        <v>2</v>
      </c>
      <c r="L690" s="5" t="str">
        <f ca="1">IFERROR(__xludf.DUMMYFUNCTION("""COMPUTED_VALUE"""),"Fall")</f>
        <v>Fall</v>
      </c>
      <c r="M690" s="5" t="str">
        <f ca="1">IFERROR(__xludf.DUMMYFUNCTION("""COMPUTED_VALUE"""),"Conway")</f>
        <v>Conway</v>
      </c>
      <c r="N690" s="5" t="str">
        <f ca="1">IFERROR(__xludf.DUMMYFUNCTION("""COMPUTED_VALUE"""),"SC")</f>
        <v>SC</v>
      </c>
      <c r="O690" s="5" t="str">
        <f ca="1">IFERROR(__xludf.DUMMYFUNCTION("""COMPUTED_VALUE"""),"K-8")</f>
        <v>K-8</v>
      </c>
      <c r="P690" s="5" t="str">
        <f ca="1">IFERROR(__xludf.DUMMYFUNCTION("""COMPUTED_VALUE"""),"Classroom")</f>
        <v>Classroom</v>
      </c>
      <c r="Q690" s="5" t="str">
        <f ca="1">IFERROR(__xludf.DUMMYFUNCTION("""COMPUTED_VALUE"""),"Inside School Building")</f>
        <v>Inside School Building</v>
      </c>
      <c r="R690" s="5" t="str">
        <f ca="1">IFERROR(__xludf.DUMMYFUNCTION("""COMPUTED_VALUE"""),"Yes")</f>
        <v>Yes</v>
      </c>
      <c r="S690" s="5" t="str">
        <f ca="1">IFERROR(__xludf.DUMMYFUNCTION("""COMPUTED_VALUE"""),"Morning Classes")</f>
        <v>Morning Classes</v>
      </c>
      <c r="T690" s="10">
        <f ca="1">IFERROR(__xludf.DUMMYFUNCTION("""COMPUTED_VALUE"""),0.458333333333333)</f>
        <v>0.45833333333333298</v>
      </c>
      <c r="U690" s="5">
        <f ca="1">IFERROR(__xludf.DUMMYFUNCTION("""COMPUTED_VALUE"""),1)</f>
        <v>1</v>
      </c>
      <c r="V690" s="5" t="str">
        <f ca="1">IFERROR(__xludf.DUMMYFUNCTION("""COMPUTED_VALUE"""),"Student fired bb gun at other student in classroom")</f>
        <v>Student fired bb gun at other student in classroom</v>
      </c>
      <c r="W690"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X690" s="5" t="str">
        <f ca="1">IFERROR(__xludf.DUMMYFUNCTION("""COMPUTED_VALUE"""),"Unknown")</f>
        <v>Unknown</v>
      </c>
      <c r="Y690" s="5"/>
      <c r="Z690" s="5" t="str">
        <f ca="1">IFERROR(__xludf.DUMMYFUNCTION("""COMPUTED_VALUE"""),"No")</f>
        <v>No</v>
      </c>
      <c r="AA690" s="5"/>
      <c r="AB690" s="5" t="str">
        <f ca="1">IFERROR(__xludf.DUMMYFUNCTION("""COMPUTED_VALUE"""),"No")</f>
        <v>No</v>
      </c>
      <c r="AC690" s="5" t="str">
        <f ca="1">IFERROR(__xludf.DUMMYFUNCTION("""COMPUTED_VALUE"""),"No")</f>
        <v>No</v>
      </c>
      <c r="AD690" s="5" t="str">
        <f ca="1">IFERROR(__xludf.DUMMYFUNCTION("""COMPUTED_VALUE"""),"No")</f>
        <v>No</v>
      </c>
      <c r="AE690" s="5"/>
      <c r="AF690" s="5" t="str">
        <f ca="1">IFERROR(__xludf.DUMMYFUNCTION("""COMPUTED_VALUE"""),"No")</f>
        <v>No</v>
      </c>
      <c r="AG690" s="5" t="str">
        <f ca="1">IFERROR(__xludf.DUMMYFUNCTION("""COMPUTED_VALUE"""),"No")</f>
        <v>No</v>
      </c>
      <c r="AH690" s="5" t="str">
        <f ca="1">IFERROR(__xludf.DUMMYFUNCTION("""COMPUTED_VALUE"""),"No")</f>
        <v>No</v>
      </c>
    </row>
    <row r="691" spans="1:34" ht="12.75">
      <c r="A691" s="5" t="str">
        <f ca="1">IFERROR(__xludf.DUMMYFUNCTION("""COMPUTED_VALUE"""),"20181104KYCRL")</f>
        <v>20181104KYCRL</v>
      </c>
      <c r="B691" s="8">
        <f ca="1">IFERROR(__xludf.DUMMYFUNCTION("""COMPUTED_VALUE"""),43408)</f>
        <v>43408</v>
      </c>
      <c r="C691" s="5" t="str">
        <f ca="1">IFERROR(__xludf.DUMMYFUNCTION("""COMPUTED_VALUE"""),"Crums Lane Elementary School")</f>
        <v>Crums Lane Elementary School</v>
      </c>
      <c r="D691" s="5">
        <f ca="1">IFERROR(__xludf.DUMMYFUNCTION("""COMPUTED_VALUE"""),1)</f>
        <v>1</v>
      </c>
      <c r="E691" s="5">
        <f ca="1">IFERROR(__xludf.DUMMYFUNCTION("""COMPUTED_VALUE"""),1)</f>
        <v>1</v>
      </c>
      <c r="F691" s="5">
        <f ca="1">IFERROR(__xludf.DUMMYFUNCTION("""COMPUTED_VALUE"""),2)</f>
        <v>2</v>
      </c>
      <c r="G691" s="5">
        <f ca="1">IFERROR(__xludf.DUMMYFUNCTION("""COMPUTED_VALUE"""),0)</f>
        <v>0</v>
      </c>
      <c r="H691"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I691" s="5"/>
      <c r="J691" s="5"/>
      <c r="K691" s="5">
        <f ca="1">IFERROR(__xludf.DUMMYFUNCTION("""COMPUTED_VALUE"""),3)</f>
        <v>3</v>
      </c>
      <c r="L691" s="5" t="str">
        <f ca="1">IFERROR(__xludf.DUMMYFUNCTION("""COMPUTED_VALUE"""),"Fall")</f>
        <v>Fall</v>
      </c>
      <c r="M691" s="5" t="str">
        <f ca="1">IFERROR(__xludf.DUMMYFUNCTION("""COMPUTED_VALUE"""),"Louisville")</f>
        <v>Louisville</v>
      </c>
      <c r="N691" s="5" t="str">
        <f ca="1">IFERROR(__xludf.DUMMYFUNCTION("""COMPUTED_VALUE"""),"KY")</f>
        <v>KY</v>
      </c>
      <c r="O691" s="5" t="str">
        <f ca="1">IFERROR(__xludf.DUMMYFUNCTION("""COMPUTED_VALUE"""),"Elementary")</f>
        <v>Elementary</v>
      </c>
      <c r="P691" s="5" t="str">
        <f ca="1">IFERROR(__xludf.DUMMYFUNCTION("""COMPUTED_VALUE"""),"Beside Building")</f>
        <v>Beside Building</v>
      </c>
      <c r="Q691" s="5" t="str">
        <f ca="1">IFERROR(__xludf.DUMMYFUNCTION("""COMPUTED_VALUE"""),"Outside on School Property")</f>
        <v>Outside on School Property</v>
      </c>
      <c r="R691" s="5" t="str">
        <f ca="1">IFERROR(__xludf.DUMMYFUNCTION("""COMPUTED_VALUE"""),"No")</f>
        <v>No</v>
      </c>
      <c r="S691" s="5" t="str">
        <f ca="1">IFERROR(__xludf.DUMMYFUNCTION("""COMPUTED_VALUE"""),"Evening")</f>
        <v>Evening</v>
      </c>
      <c r="T691" s="10">
        <f ca="1">IFERROR(__xludf.DUMMYFUNCTION("""COMPUTED_VALUE"""),0.747916666666666)</f>
        <v>0.74791666666666601</v>
      </c>
      <c r="U691" s="5">
        <f ca="1">IFERROR(__xludf.DUMMYFUNCTION("""COMPUTED_VALUE"""),1)</f>
        <v>1</v>
      </c>
      <c r="V691" s="5" t="str">
        <f ca="1">IFERROR(__xludf.DUMMYFUNCTION("""COMPUTED_VALUE"""),"Two men in their 20s shot outside of school by unknown shooter")</f>
        <v>Two men in their 20s shot outside of school by unknown shooter</v>
      </c>
      <c r="W691" s="5" t="str">
        <f ca="1">IFERROR(__xludf.DUMMYFUNCTION("""COMPUTED_VALUE"""),"Two men in their 20's were shot outside of the elementary school by an unknown gunman. Motive unknown.")</f>
        <v>Two men in their 20's were shot outside of the elementary school by an unknown gunman. Motive unknown.</v>
      </c>
      <c r="X691" s="5" t="str">
        <f ca="1">IFERROR(__xludf.DUMMYFUNCTION("""COMPUTED_VALUE"""),"Escalation of Dispute")</f>
        <v>Escalation of Dispute</v>
      </c>
      <c r="Y691" s="5"/>
      <c r="Z691" s="5" t="str">
        <f ca="1">IFERROR(__xludf.DUMMYFUNCTION("""COMPUTED_VALUE"""),"No")</f>
        <v>No</v>
      </c>
      <c r="AA691" s="5"/>
      <c r="AB691" s="5" t="str">
        <f ca="1">IFERROR(__xludf.DUMMYFUNCTION("""COMPUTED_VALUE"""),"No")</f>
        <v>No</v>
      </c>
      <c r="AC691" s="5" t="str">
        <f ca="1">IFERROR(__xludf.DUMMYFUNCTION("""COMPUTED_VALUE"""),"No")</f>
        <v>No</v>
      </c>
      <c r="AD691" s="5" t="str">
        <f ca="1">IFERROR(__xludf.DUMMYFUNCTION("""COMPUTED_VALUE"""),"No")</f>
        <v>No</v>
      </c>
      <c r="AE691" s="5" t="str">
        <f ca="1">IFERROR(__xludf.DUMMYFUNCTION("""COMPUTED_VALUE"""),"No")</f>
        <v>No</v>
      </c>
      <c r="AF691" s="5" t="str">
        <f ca="1">IFERROR(__xludf.DUMMYFUNCTION("""COMPUTED_VALUE"""),"No")</f>
        <v>No</v>
      </c>
      <c r="AG691" s="5"/>
      <c r="AH691" s="5" t="str">
        <f ca="1">IFERROR(__xludf.DUMMYFUNCTION("""COMPUTED_VALUE"""),"No")</f>
        <v>No</v>
      </c>
    </row>
    <row r="692" spans="1:34" ht="12.75">
      <c r="A692" s="5" t="str">
        <f ca="1">IFERROR(__xludf.DUMMYFUNCTION("""COMPUTED_VALUE"""),"20181029NCBUM")</f>
        <v>20181029NCBUM</v>
      </c>
      <c r="B692" s="8">
        <f ca="1">IFERROR(__xludf.DUMMYFUNCTION("""COMPUTED_VALUE"""),43402)</f>
        <v>43402</v>
      </c>
      <c r="C692" s="5" t="str">
        <f ca="1">IFERROR(__xludf.DUMMYFUNCTION("""COMPUTED_VALUE"""),"Butler High School")</f>
        <v>Butler High School</v>
      </c>
      <c r="D692" s="5">
        <f ca="1">IFERROR(__xludf.DUMMYFUNCTION("""COMPUTED_VALUE"""),1)</f>
        <v>1</v>
      </c>
      <c r="E692" s="5">
        <f ca="1">IFERROR(__xludf.DUMMYFUNCTION("""COMPUTED_VALUE"""),0)</f>
        <v>0</v>
      </c>
      <c r="F692" s="5">
        <f ca="1">IFERROR(__xludf.DUMMYFUNCTION("""COMPUTED_VALUE"""),1)</f>
        <v>1</v>
      </c>
      <c r="G692" s="5">
        <f ca="1">IFERROR(__xludf.DUMMYFUNCTION("""COMPUTED_VALUE"""),0)</f>
        <v>0</v>
      </c>
      <c r="H692"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I692" s="5">
        <f ca="1">IFERROR(__xludf.DUMMYFUNCTION("""COMPUTED_VALUE"""),11)</f>
        <v>11</v>
      </c>
      <c r="J692" s="5" t="str">
        <f ca="1">IFERROR(__xludf.DUMMYFUNCTION("""COMPUTED_VALUE"""),"National")</f>
        <v>National</v>
      </c>
      <c r="K692" s="5">
        <f ca="1">IFERROR(__xludf.DUMMYFUNCTION("""COMPUTED_VALUE"""),5)</f>
        <v>5</v>
      </c>
      <c r="L692" s="5" t="str">
        <f ca="1">IFERROR(__xludf.DUMMYFUNCTION("""COMPUTED_VALUE"""),"Fall")</f>
        <v>Fall</v>
      </c>
      <c r="M692" s="5" t="str">
        <f ca="1">IFERROR(__xludf.DUMMYFUNCTION("""COMPUTED_VALUE"""),"Matthews")</f>
        <v>Matthews</v>
      </c>
      <c r="N692" s="5" t="str">
        <f ca="1">IFERROR(__xludf.DUMMYFUNCTION("""COMPUTED_VALUE"""),"NC")</f>
        <v>NC</v>
      </c>
      <c r="O692" s="5" t="str">
        <f ca="1">IFERROR(__xludf.DUMMYFUNCTION("""COMPUTED_VALUE"""),"High")</f>
        <v>High</v>
      </c>
      <c r="P692" s="5" t="str">
        <f ca="1">IFERROR(__xludf.DUMMYFUNCTION("""COMPUTED_VALUE"""),"Hallway")</f>
        <v>Hallway</v>
      </c>
      <c r="Q692" s="5" t="str">
        <f ca="1">IFERROR(__xludf.DUMMYFUNCTION("""COMPUTED_VALUE"""),"Inside School Building")</f>
        <v>Inside School Building</v>
      </c>
      <c r="R692" s="5" t="str">
        <f ca="1">IFERROR(__xludf.DUMMYFUNCTION("""COMPUTED_VALUE"""),"Yes")</f>
        <v>Yes</v>
      </c>
      <c r="S692" s="5" t="str">
        <f ca="1">IFERROR(__xludf.DUMMYFUNCTION("""COMPUTED_VALUE"""),"Morning Classes")</f>
        <v>Morning Classes</v>
      </c>
      <c r="T692" s="10">
        <f ca="1">IFERROR(__xludf.DUMMYFUNCTION("""COMPUTED_VALUE"""),0.302083333333333)</f>
        <v>0.30208333333333298</v>
      </c>
      <c r="U692" s="5">
        <f ca="1">IFERROR(__xludf.DUMMYFUNCTION("""COMPUTED_VALUE"""),1)</f>
        <v>1</v>
      </c>
      <c r="V692" s="5" t="str">
        <f ca="1">IFERROR(__xludf.DUMMYFUNCTION("""COMPUTED_VALUE"""),"Escalated fight the previous day involving multiple students")</f>
        <v>Escalated fight the previous day involving multiple students</v>
      </c>
      <c r="W692"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X692" s="5" t="str">
        <f ca="1">IFERROR(__xludf.DUMMYFUNCTION("""COMPUTED_VALUE"""),"Escalation of Dispute")</f>
        <v>Escalation of Dispute</v>
      </c>
      <c r="Y692" s="5" t="str">
        <f ca="1">IFERROR(__xludf.DUMMYFUNCTION("""COMPUTED_VALUE"""),"Victims Targeted")</f>
        <v>Victims Targeted</v>
      </c>
      <c r="Z692" s="5" t="str">
        <f ca="1">IFERROR(__xludf.DUMMYFUNCTION("""COMPUTED_VALUE"""),"No")</f>
        <v>No</v>
      </c>
      <c r="AA692" s="5"/>
      <c r="AB692" s="5" t="str">
        <f ca="1">IFERROR(__xludf.DUMMYFUNCTION("""COMPUTED_VALUE"""),"No")</f>
        <v>No</v>
      </c>
      <c r="AC692" s="5" t="str">
        <f ca="1">IFERROR(__xludf.DUMMYFUNCTION("""COMPUTED_VALUE"""),"No")</f>
        <v>No</v>
      </c>
      <c r="AD692" s="5" t="str">
        <f ca="1">IFERROR(__xludf.DUMMYFUNCTION("""COMPUTED_VALUE"""),"No")</f>
        <v>No</v>
      </c>
      <c r="AE692" s="5" t="str">
        <f ca="1">IFERROR(__xludf.DUMMYFUNCTION("""COMPUTED_VALUE"""),"Yes")</f>
        <v>Yes</v>
      </c>
      <c r="AF692" s="5" t="str">
        <f ca="1">IFERROR(__xludf.DUMMYFUNCTION("""COMPUTED_VALUE"""),"No")</f>
        <v>No</v>
      </c>
      <c r="AG692" s="5" t="str">
        <f ca="1">IFERROR(__xludf.DUMMYFUNCTION("""COMPUTED_VALUE"""),"No")</f>
        <v>No</v>
      </c>
      <c r="AH692" s="5" t="str">
        <f ca="1">IFERROR(__xludf.DUMMYFUNCTION("""COMPUTED_VALUE"""),"No")</f>
        <v>No</v>
      </c>
    </row>
    <row r="693" spans="1:34" ht="12.75">
      <c r="A693" s="5" t="str">
        <f ca="1">IFERROR(__xludf.DUMMYFUNCTION("""COMPUTED_VALUE"""),"20181026FLSAO")</f>
        <v>20181026FLSAO</v>
      </c>
      <c r="B693" s="8">
        <f ca="1">IFERROR(__xludf.DUMMYFUNCTION("""COMPUTED_VALUE"""),43399)</f>
        <v>43399</v>
      </c>
      <c r="C693" s="5" t="str">
        <f ca="1">IFERROR(__xludf.DUMMYFUNCTION("""COMPUTED_VALUE"""),"Saddlewood Elementary School")</f>
        <v>Saddlewood Elementary School</v>
      </c>
      <c r="D693" s="5">
        <f ca="1">IFERROR(__xludf.DUMMYFUNCTION("""COMPUTED_VALUE"""),1)</f>
        <v>1</v>
      </c>
      <c r="E693" s="5">
        <f ca="1">IFERROR(__xludf.DUMMYFUNCTION("""COMPUTED_VALUE"""),0)</f>
        <v>0</v>
      </c>
      <c r="F693" s="5">
        <f ca="1">IFERROR(__xludf.DUMMYFUNCTION("""COMPUTED_VALUE"""),1)</f>
        <v>1</v>
      </c>
      <c r="G693" s="5">
        <f ca="1">IFERROR(__xludf.DUMMYFUNCTION("""COMPUTED_VALUE"""),0)</f>
        <v>0</v>
      </c>
      <c r="H693"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I693" s="5">
        <f ca="1">IFERROR(__xludf.DUMMYFUNCTION("""COMPUTED_VALUE"""),10)</f>
        <v>10</v>
      </c>
      <c r="J693" s="5" t="str">
        <f ca="1">IFERROR(__xludf.DUMMYFUNCTION("""COMPUTED_VALUE"""),"Regional")</f>
        <v>Regional</v>
      </c>
      <c r="K693" s="5">
        <f ca="1">IFERROR(__xludf.DUMMYFUNCTION("""COMPUTED_VALUE"""),5)</f>
        <v>5</v>
      </c>
      <c r="L693" s="5" t="str">
        <f ca="1">IFERROR(__xludf.DUMMYFUNCTION("""COMPUTED_VALUE"""),"Fall")</f>
        <v>Fall</v>
      </c>
      <c r="M693" s="5" t="str">
        <f ca="1">IFERROR(__xludf.DUMMYFUNCTION("""COMPUTED_VALUE"""),"Ocala")</f>
        <v>Ocala</v>
      </c>
      <c r="N693" s="5" t="str">
        <f ca="1">IFERROR(__xludf.DUMMYFUNCTION("""COMPUTED_VALUE"""),"FL")</f>
        <v>FL</v>
      </c>
      <c r="O693" s="5" t="str">
        <f ca="1">IFERROR(__xludf.DUMMYFUNCTION("""COMPUTED_VALUE"""),"Elementary")</f>
        <v>Elementary</v>
      </c>
      <c r="P693" s="5" t="str">
        <f ca="1">IFERROR(__xludf.DUMMYFUNCTION("""COMPUTED_VALUE"""),"Front of School")</f>
        <v>Front of School</v>
      </c>
      <c r="Q693" s="5" t="str">
        <f ca="1">IFERROR(__xludf.DUMMYFUNCTION("""COMPUTED_VALUE"""),"Outside on School Property")</f>
        <v>Outside on School Property</v>
      </c>
      <c r="R693" s="5" t="str">
        <f ca="1">IFERROR(__xludf.DUMMYFUNCTION("""COMPUTED_VALUE"""),"No")</f>
        <v>No</v>
      </c>
      <c r="S693" s="5" t="str">
        <f ca="1">IFERROR(__xludf.DUMMYFUNCTION("""COMPUTED_VALUE"""),"School Event")</f>
        <v>School Event</v>
      </c>
      <c r="T693" s="10">
        <f ca="1">IFERROR(__xludf.DUMMYFUNCTION("""COMPUTED_VALUE"""),0.833333333333333)</f>
        <v>0.83333333333333304</v>
      </c>
      <c r="U693" s="5">
        <f ca="1">IFERROR(__xludf.DUMMYFUNCTION("""COMPUTED_VALUE"""),1)</f>
        <v>1</v>
      </c>
      <c r="V693" s="5" t="str">
        <f ca="1">IFERROR(__xludf.DUMMYFUNCTION("""COMPUTED_VALUE"""),"Man shot during drug deal outside of school (Halloween party inside)")</f>
        <v>Man shot during drug deal outside of school (Halloween party inside)</v>
      </c>
      <c r="W693"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X693" s="5" t="str">
        <f ca="1">IFERROR(__xludf.DUMMYFUNCTION("""COMPUTED_VALUE"""),"Illegal Activity")</f>
        <v>Illegal Activity</v>
      </c>
      <c r="Y693" s="5" t="str">
        <f ca="1">IFERROR(__xludf.DUMMYFUNCTION("""COMPUTED_VALUE"""),"Victims Targeted")</f>
        <v>Victims Targeted</v>
      </c>
      <c r="Z693" s="5" t="str">
        <f ca="1">IFERROR(__xludf.DUMMYFUNCTION("""COMPUTED_VALUE"""),"Yes")</f>
        <v>Yes</v>
      </c>
      <c r="AA693" s="5" t="str">
        <f ca="1">IFERROR(__xludf.DUMMYFUNCTION("""COMPUTED_VALUE"""),"3 charged")</f>
        <v>3 charged</v>
      </c>
      <c r="AB693" s="5" t="str">
        <f ca="1">IFERROR(__xludf.DUMMYFUNCTION("""COMPUTED_VALUE"""),"No")</f>
        <v>No</v>
      </c>
      <c r="AC693" s="5" t="str">
        <f ca="1">IFERROR(__xludf.DUMMYFUNCTION("""COMPUTED_VALUE"""),"No")</f>
        <v>No</v>
      </c>
      <c r="AD693" s="5" t="str">
        <f ca="1">IFERROR(__xludf.DUMMYFUNCTION("""COMPUTED_VALUE"""),"No")</f>
        <v>No</v>
      </c>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row>
    <row r="694" spans="1:34" ht="12.75">
      <c r="A694" s="5" t="str">
        <f ca="1">IFERROR(__xludf.DUMMYFUNCTION("""COMPUTED_VALUE"""),"20181025MICOD")</f>
        <v>20181025MICOD</v>
      </c>
      <c r="B694" s="8">
        <f ca="1">IFERROR(__xludf.DUMMYFUNCTION("""COMPUTED_VALUE"""),43398)</f>
        <v>43398</v>
      </c>
      <c r="C694" s="5" t="str">
        <f ca="1">IFERROR(__xludf.DUMMYFUNCTION("""COMPUTED_VALUE"""),"Cody High School")</f>
        <v>Cody High School</v>
      </c>
      <c r="D694" s="5">
        <f ca="1">IFERROR(__xludf.DUMMYFUNCTION("""COMPUTED_VALUE"""),0)</f>
        <v>0</v>
      </c>
      <c r="E694" s="5">
        <f ca="1">IFERROR(__xludf.DUMMYFUNCTION("""COMPUTED_VALUE"""),0)</f>
        <v>0</v>
      </c>
      <c r="F694" s="5">
        <f ca="1">IFERROR(__xludf.DUMMYFUNCTION("""COMPUTED_VALUE"""),0)</f>
        <v>0</v>
      </c>
      <c r="G694" s="5">
        <f ca="1">IFERROR(__xludf.DUMMYFUNCTION("""COMPUTED_VALUE"""),0)</f>
        <v>0</v>
      </c>
      <c r="H694" s="9" t="str">
        <f ca="1">IFERROR(__xludf.DUMMYFUNCTION("""COMPUTED_VALUE"""),"https://www.wxyz.com/news/detroit-police-confirm-shooting-on-cody-high-school-property")</f>
        <v>https://www.wxyz.com/news/detroit-police-confirm-shooting-on-cody-high-school-property</v>
      </c>
      <c r="I694" s="5"/>
      <c r="J694" s="5"/>
      <c r="K694" s="5">
        <f ca="1">IFERROR(__xludf.DUMMYFUNCTION("""COMPUTED_VALUE"""),2)</f>
        <v>2</v>
      </c>
      <c r="L694" s="5" t="str">
        <f ca="1">IFERROR(__xludf.DUMMYFUNCTION("""COMPUTED_VALUE"""),"Fall")</f>
        <v>Fall</v>
      </c>
      <c r="M694" s="5" t="str">
        <f ca="1">IFERROR(__xludf.DUMMYFUNCTION("""COMPUTED_VALUE"""),"Detroit")</f>
        <v>Detroit</v>
      </c>
      <c r="N694" s="5" t="str">
        <f ca="1">IFERROR(__xludf.DUMMYFUNCTION("""COMPUTED_VALUE"""),"MI")</f>
        <v>MI</v>
      </c>
      <c r="O694" s="5" t="str">
        <f ca="1">IFERROR(__xludf.DUMMYFUNCTION("""COMPUTED_VALUE"""),"High")</f>
        <v>High</v>
      </c>
      <c r="P694" s="5" t="str">
        <f ca="1">IFERROR(__xludf.DUMMYFUNCTION("""COMPUTED_VALUE"""),"Outside on School Property")</f>
        <v>Outside on School Property</v>
      </c>
      <c r="Q694" s="5" t="str">
        <f ca="1">IFERROR(__xludf.DUMMYFUNCTION("""COMPUTED_VALUE"""),"Outside on School Property")</f>
        <v>Outside on School Property</v>
      </c>
      <c r="R694" s="5"/>
      <c r="S694" s="5"/>
      <c r="T694" s="5"/>
      <c r="U694" s="5">
        <f ca="1">IFERROR(__xludf.DUMMYFUNCTION("""COMPUTED_VALUE"""),1)</f>
        <v>1</v>
      </c>
      <c r="V694" s="5" t="str">
        <f ca="1">IFERROR(__xludf.DUMMYFUNCTION("""COMPUTED_VALUE"""),"Student shot at on school property, shots missed")</f>
        <v>Student shot at on school property, shots missed</v>
      </c>
      <c r="W694"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X694" s="5" t="str">
        <f ca="1">IFERROR(__xludf.DUMMYFUNCTION("""COMPUTED_VALUE"""),"Drive-by Shooting")</f>
        <v>Drive-by Shooting</v>
      </c>
      <c r="Y694" s="5" t="str">
        <f ca="1">IFERROR(__xludf.DUMMYFUNCTION("""COMPUTED_VALUE"""),"Victims Targeted")</f>
        <v>Victims Targeted</v>
      </c>
      <c r="Z694" s="5" t="str">
        <f ca="1">IFERROR(__xludf.DUMMYFUNCTION("""COMPUTED_VALUE"""),"Yes")</f>
        <v>Yes</v>
      </c>
      <c r="AA694" s="5" t="str">
        <f ca="1">IFERROR(__xludf.DUMMYFUNCTION("""COMPUTED_VALUE"""),"3 arrested")</f>
        <v>3 arrested</v>
      </c>
      <c r="AB694" s="5" t="str">
        <f ca="1">IFERROR(__xludf.DUMMYFUNCTION("""COMPUTED_VALUE"""),"No")</f>
        <v>No</v>
      </c>
      <c r="AC694" s="5" t="str">
        <f ca="1">IFERROR(__xludf.DUMMYFUNCTION("""COMPUTED_VALUE"""),"No")</f>
        <v>No</v>
      </c>
      <c r="AD694" s="5" t="str">
        <f ca="1">IFERROR(__xludf.DUMMYFUNCTION("""COMPUTED_VALUE"""),"No")</f>
        <v>No</v>
      </c>
      <c r="AE694" s="5" t="str">
        <f ca="1">IFERROR(__xludf.DUMMYFUNCTION("""COMPUTED_VALUE"""),"No")</f>
        <v>No</v>
      </c>
      <c r="AF694" s="5" t="str">
        <f ca="1">IFERROR(__xludf.DUMMYFUNCTION("""COMPUTED_VALUE"""),"No")</f>
        <v>No</v>
      </c>
      <c r="AG694" s="5"/>
      <c r="AH694" s="5" t="str">
        <f ca="1">IFERROR(__xludf.DUMMYFUNCTION("""COMPUTED_VALUE"""),"No")</f>
        <v>No</v>
      </c>
    </row>
    <row r="695" spans="1:34" ht="12.75">
      <c r="A695" s="5" t="str">
        <f ca="1">IFERROR(__xludf.DUMMYFUNCTION("""COMPUTED_VALUE"""),"20181023NHGOM")</f>
        <v>20181023NHGOM</v>
      </c>
      <c r="B695" s="8">
        <f ca="1">IFERROR(__xludf.DUMMYFUNCTION("""COMPUTED_VALUE"""),43396)</f>
        <v>43396</v>
      </c>
      <c r="C695" s="5" t="str">
        <f ca="1">IFERROR(__xludf.DUMMYFUNCTION("""COMPUTED_VALUE"""),"Gossler Park Elementary School")</f>
        <v>Gossler Park Elementary School</v>
      </c>
      <c r="D695" s="5">
        <f ca="1">IFERROR(__xludf.DUMMYFUNCTION("""COMPUTED_VALUE"""),0)</f>
        <v>0</v>
      </c>
      <c r="E695" s="5">
        <f ca="1">IFERROR(__xludf.DUMMYFUNCTION("""COMPUTED_VALUE"""),1)</f>
        <v>1</v>
      </c>
      <c r="F695" s="5">
        <f ca="1">IFERROR(__xludf.DUMMYFUNCTION("""COMPUTED_VALUE"""),1)</f>
        <v>1</v>
      </c>
      <c r="G695" s="5">
        <f ca="1">IFERROR(__xludf.DUMMYFUNCTION("""COMPUTED_VALUE"""),0)</f>
        <v>0</v>
      </c>
      <c r="H695" s="9" t="str">
        <f ca="1">IFERROR(__xludf.DUMMYFUNCTION("""COMPUTED_VALUE"""),"https://www.wmur.com/amp/article/manchester-after-school-volunteer-shot-by-pellet-gun-at-elementary-school/24089076")</f>
        <v>https://www.wmur.com/amp/article/manchester-after-school-volunteer-shot-by-pellet-gun-at-elementary-school/24089076</v>
      </c>
      <c r="I695" s="5"/>
      <c r="J695" s="5"/>
      <c r="K695" s="5">
        <f ca="1">IFERROR(__xludf.DUMMYFUNCTION("""COMPUTED_VALUE"""),2)</f>
        <v>2</v>
      </c>
      <c r="L695" s="5" t="str">
        <f ca="1">IFERROR(__xludf.DUMMYFUNCTION("""COMPUTED_VALUE"""),"Fall")</f>
        <v>Fall</v>
      </c>
      <c r="M695" s="5" t="str">
        <f ca="1">IFERROR(__xludf.DUMMYFUNCTION("""COMPUTED_VALUE"""),"Manchester")</f>
        <v>Manchester</v>
      </c>
      <c r="N695" s="5" t="str">
        <f ca="1">IFERROR(__xludf.DUMMYFUNCTION("""COMPUTED_VALUE"""),"NH")</f>
        <v>NH</v>
      </c>
      <c r="O695" s="5" t="str">
        <f ca="1">IFERROR(__xludf.DUMMYFUNCTION("""COMPUTED_VALUE"""),"Elementary")</f>
        <v>Elementary</v>
      </c>
      <c r="P695" s="5" t="str">
        <f ca="1">IFERROR(__xludf.DUMMYFUNCTION("""COMPUTED_VALUE"""),"Playground")</f>
        <v>Playground</v>
      </c>
      <c r="Q695" s="5" t="str">
        <f ca="1">IFERROR(__xludf.DUMMYFUNCTION("""COMPUTED_VALUE"""),"Outside on School Property")</f>
        <v>Outside on School Property</v>
      </c>
      <c r="R695" s="5" t="str">
        <f ca="1">IFERROR(__xludf.DUMMYFUNCTION("""COMPUTED_VALUE"""),"Yes")</f>
        <v>Yes</v>
      </c>
      <c r="S695" s="5" t="str">
        <f ca="1">IFERROR(__xludf.DUMMYFUNCTION("""COMPUTED_VALUE"""),"Afternoon Classes")</f>
        <v>Afternoon Classes</v>
      </c>
      <c r="T695" s="5"/>
      <c r="U695" s="5">
        <f ca="1">IFERROR(__xludf.DUMMYFUNCTION("""COMPUTED_VALUE"""),1)</f>
        <v>1</v>
      </c>
      <c r="V695" s="5" t="str">
        <f ca="1">IFERROR(__xludf.DUMMYFUNCTION("""COMPUTED_VALUE"""),"Unknown shooter fired pellet gun at students and teacher from the tree line near the school")</f>
        <v>Unknown shooter fired pellet gun at students and teacher from the tree line near the school</v>
      </c>
      <c r="W695"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X695" s="5" t="str">
        <f ca="1">IFERROR(__xludf.DUMMYFUNCTION("""COMPUTED_VALUE"""),"Indiscriminate Shooting")</f>
        <v>Indiscriminate Shooting</v>
      </c>
      <c r="Y695" s="5" t="str">
        <f ca="1">IFERROR(__xludf.DUMMYFUNCTION("""COMPUTED_VALUE"""),"Random Shooting")</f>
        <v>Random Shooting</v>
      </c>
      <c r="Z695" s="5" t="str">
        <f ca="1">IFERROR(__xludf.DUMMYFUNCTION("""COMPUTED_VALUE"""),"No")</f>
        <v>No</v>
      </c>
      <c r="AA695" s="5"/>
      <c r="AB695" s="5" t="str">
        <f ca="1">IFERROR(__xludf.DUMMYFUNCTION("""COMPUTED_VALUE"""),"No")</f>
        <v>No</v>
      </c>
      <c r="AC695" s="5" t="str">
        <f ca="1">IFERROR(__xludf.DUMMYFUNCTION("""COMPUTED_VALUE"""),"No")</f>
        <v>No</v>
      </c>
      <c r="AD695" s="5" t="str">
        <f ca="1">IFERROR(__xludf.DUMMYFUNCTION("""COMPUTED_VALUE"""),"No")</f>
        <v>No</v>
      </c>
      <c r="AE695" s="5"/>
      <c r="AF695" s="5" t="str">
        <f ca="1">IFERROR(__xludf.DUMMYFUNCTION("""COMPUTED_VALUE"""),"No")</f>
        <v>No</v>
      </c>
      <c r="AG695" s="5" t="str">
        <f ca="1">IFERROR(__xludf.DUMMYFUNCTION("""COMPUTED_VALUE"""),"No")</f>
        <v>No</v>
      </c>
      <c r="AH695" s="5" t="str">
        <f ca="1">IFERROR(__xludf.DUMMYFUNCTION("""COMPUTED_VALUE"""),"No")</f>
        <v>No</v>
      </c>
    </row>
    <row r="696" spans="1:34" ht="12.75">
      <c r="A696" s="5" t="str">
        <f ca="1">IFERROR(__xludf.DUMMYFUNCTION("""COMPUTED_VALUE"""),"20181022CTDUB")</f>
        <v>20181022CTDUB</v>
      </c>
      <c r="B696" s="8">
        <f ca="1">IFERROR(__xludf.DUMMYFUNCTION("""COMPUTED_VALUE"""),43395)</f>
        <v>43395</v>
      </c>
      <c r="C696" s="5" t="str">
        <f ca="1">IFERROR(__xludf.DUMMYFUNCTION("""COMPUTED_VALUE"""),"Dunbar Elementary School")</f>
        <v>Dunbar Elementary School</v>
      </c>
      <c r="D696" s="5">
        <f ca="1">IFERROR(__xludf.DUMMYFUNCTION("""COMPUTED_VALUE"""),0)</f>
        <v>0</v>
      </c>
      <c r="E696" s="5">
        <f ca="1">IFERROR(__xludf.DUMMYFUNCTION("""COMPUTED_VALUE"""),0)</f>
        <v>0</v>
      </c>
      <c r="F696" s="5">
        <f ca="1">IFERROR(__xludf.DUMMYFUNCTION("""COMPUTED_VALUE"""),0)</f>
        <v>0</v>
      </c>
      <c r="G696" s="5">
        <f ca="1">IFERROR(__xludf.DUMMYFUNCTION("""COMPUTED_VALUE"""),0)</f>
        <v>0</v>
      </c>
      <c r="H696" s="9" t="str">
        <f ca="1">IFERROR(__xludf.DUMMYFUNCTION("""COMPUTED_VALUE"""),"https://fox61.com/2018/10/22/shot-fired-through-window-in-bridgeport-school/")</f>
        <v>https://fox61.com/2018/10/22/shot-fired-through-window-in-bridgeport-school/</v>
      </c>
      <c r="I696" s="5"/>
      <c r="J696" s="5"/>
      <c r="K696" s="5">
        <f ca="1">IFERROR(__xludf.DUMMYFUNCTION("""COMPUTED_VALUE"""),3)</f>
        <v>3</v>
      </c>
      <c r="L696" s="5" t="str">
        <f ca="1">IFERROR(__xludf.DUMMYFUNCTION("""COMPUTED_VALUE"""),"Fall")</f>
        <v>Fall</v>
      </c>
      <c r="M696" s="5" t="str">
        <f ca="1">IFERROR(__xludf.DUMMYFUNCTION("""COMPUTED_VALUE"""),"Bridgeport")</f>
        <v>Bridgeport</v>
      </c>
      <c r="N696" s="5" t="str">
        <f ca="1">IFERROR(__xludf.DUMMYFUNCTION("""COMPUTED_VALUE"""),"CT")</f>
        <v>CT</v>
      </c>
      <c r="O696" s="5" t="str">
        <f ca="1">IFERROR(__xludf.DUMMYFUNCTION("""COMPUTED_VALUE"""),"Elementary")</f>
        <v>Elementary</v>
      </c>
      <c r="P696" s="5" t="str">
        <f ca="1">IFERROR(__xludf.DUMMYFUNCTION("""COMPUTED_VALUE"""),"Off School Property")</f>
        <v>Off School Property</v>
      </c>
      <c r="Q696" s="5" t="str">
        <f ca="1">IFERROR(__xludf.DUMMYFUNCTION("""COMPUTED_VALUE"""),"Off School Property")</f>
        <v>Off School Property</v>
      </c>
      <c r="R696" s="5" t="str">
        <f ca="1">IFERROR(__xludf.DUMMYFUNCTION("""COMPUTED_VALUE"""),"No")</f>
        <v>No</v>
      </c>
      <c r="S696" s="5" t="str">
        <f ca="1">IFERROR(__xludf.DUMMYFUNCTION("""COMPUTED_VALUE"""),"Before School")</f>
        <v>Before School</v>
      </c>
      <c r="T696" s="10">
        <f ca="1">IFERROR(__xludf.DUMMYFUNCTION("""COMPUTED_VALUE"""),0.333333333333333)</f>
        <v>0.33333333333333298</v>
      </c>
      <c r="U696" s="5">
        <f ca="1">IFERROR(__xludf.DUMMYFUNCTION("""COMPUTED_VALUE"""),1)</f>
        <v>1</v>
      </c>
      <c r="V696" s="5" t="str">
        <f ca="1">IFERROR(__xludf.DUMMYFUNCTION("""COMPUTED_VALUE"""),"18YOM fired shot at mother's boyfriend, shot missed and struck school window")</f>
        <v>18YOM fired shot at mother's boyfriend, shot missed and struck school window</v>
      </c>
      <c r="W696"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X696" s="5" t="str">
        <f ca="1">IFERROR(__xludf.DUMMYFUNCTION("""COMPUTED_VALUE"""),"Escalation of Dispute")</f>
        <v>Escalation of Dispute</v>
      </c>
      <c r="Y696" s="5" t="str">
        <f ca="1">IFERROR(__xludf.DUMMYFUNCTION("""COMPUTED_VALUE"""),"Victims Targeted")</f>
        <v>Victims Targeted</v>
      </c>
      <c r="Z696" s="5" t="str">
        <f ca="1">IFERROR(__xludf.DUMMYFUNCTION("""COMPUTED_VALUE"""),"No")</f>
        <v>No</v>
      </c>
      <c r="AA696" s="5"/>
      <c r="AB696" s="5" t="str">
        <f ca="1">IFERROR(__xludf.DUMMYFUNCTION("""COMPUTED_VALUE"""),"No")</f>
        <v>No</v>
      </c>
      <c r="AC696" s="5" t="str">
        <f ca="1">IFERROR(__xludf.DUMMYFUNCTION("""COMPUTED_VALUE"""),"No")</f>
        <v>No</v>
      </c>
      <c r="AD696" s="5" t="str">
        <f ca="1">IFERROR(__xludf.DUMMYFUNCTION("""COMPUTED_VALUE"""),"No")</f>
        <v>No</v>
      </c>
      <c r="AE696" s="5" t="str">
        <f ca="1">IFERROR(__xludf.DUMMYFUNCTION("""COMPUTED_VALUE"""),"No")</f>
        <v>No</v>
      </c>
      <c r="AF696" s="5" t="str">
        <f ca="1">IFERROR(__xludf.DUMMYFUNCTION("""COMPUTED_VALUE"""),"Yes")</f>
        <v>Yes</v>
      </c>
      <c r="AG696" s="5" t="str">
        <f ca="1">IFERROR(__xludf.DUMMYFUNCTION("""COMPUTED_VALUE"""),"No")</f>
        <v>No</v>
      </c>
      <c r="AH696" s="5" t="str">
        <f ca="1">IFERROR(__xludf.DUMMYFUNCTION("""COMPUTED_VALUE"""),"No")</f>
        <v>No</v>
      </c>
    </row>
    <row r="697" spans="1:34" ht="12.75">
      <c r="A697" s="5" t="str">
        <f ca="1">IFERROR(__xludf.DUMMYFUNCTION("""COMPUTED_VALUE"""),"20181020GASHS")</f>
        <v>20181020GASHS</v>
      </c>
      <c r="B697" s="8">
        <f ca="1">IFERROR(__xludf.DUMMYFUNCTION("""COMPUTED_VALUE"""),43393)</f>
        <v>43393</v>
      </c>
      <c r="C697" s="5" t="str">
        <f ca="1">IFERROR(__xludf.DUMMYFUNCTION("""COMPUTED_VALUE"""),"Shiloh Middle School")</f>
        <v>Shiloh Middle School</v>
      </c>
      <c r="D697" s="5">
        <f ca="1">IFERROR(__xludf.DUMMYFUNCTION("""COMPUTED_VALUE"""),1)</f>
        <v>1</v>
      </c>
      <c r="E697" s="5">
        <f ca="1">IFERROR(__xludf.DUMMYFUNCTION("""COMPUTED_VALUE"""),0)</f>
        <v>0</v>
      </c>
      <c r="F697" s="5">
        <f ca="1">IFERROR(__xludf.DUMMYFUNCTION("""COMPUTED_VALUE"""),1)</f>
        <v>1</v>
      </c>
      <c r="G697" s="5">
        <f ca="1">IFERROR(__xludf.DUMMYFUNCTION("""COMPUTED_VALUE"""),0)</f>
        <v>0</v>
      </c>
      <c r="H697"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I697" s="5"/>
      <c r="J697" s="5"/>
      <c r="K697" s="5">
        <f ca="1">IFERROR(__xludf.DUMMYFUNCTION("""COMPUTED_VALUE"""),4)</f>
        <v>4</v>
      </c>
      <c r="L697" s="5" t="str">
        <f ca="1">IFERROR(__xludf.DUMMYFUNCTION("""COMPUTED_VALUE"""),"Fall")</f>
        <v>Fall</v>
      </c>
      <c r="M697" s="5" t="str">
        <f ca="1">IFERROR(__xludf.DUMMYFUNCTION("""COMPUTED_VALUE"""),"Snellville")</f>
        <v>Snellville</v>
      </c>
      <c r="N697" s="5" t="str">
        <f ca="1">IFERROR(__xludf.DUMMYFUNCTION("""COMPUTED_VALUE"""),"GA")</f>
        <v>GA</v>
      </c>
      <c r="O697" s="5" t="str">
        <f ca="1">IFERROR(__xludf.DUMMYFUNCTION("""COMPUTED_VALUE"""),"Middle")</f>
        <v>Middle</v>
      </c>
      <c r="P697" s="5" t="str">
        <f ca="1">IFERROR(__xludf.DUMMYFUNCTION("""COMPUTED_VALUE"""),"Beside Building")</f>
        <v>Beside Building</v>
      </c>
      <c r="Q697" s="5" t="str">
        <f ca="1">IFERROR(__xludf.DUMMYFUNCTION("""COMPUTED_VALUE"""),"Outside on School Property")</f>
        <v>Outside on School Property</v>
      </c>
      <c r="R697" s="5" t="str">
        <f ca="1">IFERROR(__xludf.DUMMYFUNCTION("""COMPUTED_VALUE"""),"No")</f>
        <v>No</v>
      </c>
      <c r="S697" s="5" t="str">
        <f ca="1">IFERROR(__xludf.DUMMYFUNCTION("""COMPUTED_VALUE"""),"Not a School Day")</f>
        <v>Not a School Day</v>
      </c>
      <c r="T697" s="10">
        <f ca="1">IFERROR(__xludf.DUMMYFUNCTION("""COMPUTED_VALUE"""),0.625)</f>
        <v>0.625</v>
      </c>
      <c r="U697" s="5">
        <f ca="1">IFERROR(__xludf.DUMMYFUNCTION("""COMPUTED_VALUE"""),1)</f>
        <v>1</v>
      </c>
      <c r="V697" s="5" t="str">
        <f ca="1">IFERROR(__xludf.DUMMYFUNCTION("""COMPUTED_VALUE"""),"Police officer shot and killed investigating car parked behind school")</f>
        <v>Police officer shot and killed investigating car parked behind school</v>
      </c>
      <c r="W697"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X697" s="5" t="str">
        <f ca="1">IFERROR(__xludf.DUMMYFUNCTION("""COMPUTED_VALUE"""),"Illegal Activity")</f>
        <v>Illegal Activity</v>
      </c>
      <c r="Y697" s="5" t="str">
        <f ca="1">IFERROR(__xludf.DUMMYFUNCTION("""COMPUTED_VALUE"""),"Victims Targeted")</f>
        <v>Victims Targeted</v>
      </c>
      <c r="Z697" s="5" t="str">
        <f ca="1">IFERROR(__xludf.DUMMYFUNCTION("""COMPUTED_VALUE"""),"Yes")</f>
        <v>Yes</v>
      </c>
      <c r="AA697" s="5" t="str">
        <f ca="1">IFERROR(__xludf.DUMMYFUNCTION("""COMPUTED_VALUE"""),"Shooter, car driver, and passenger all charged")</f>
        <v>Shooter, car driver, and passenger all charged</v>
      </c>
      <c r="AB697" s="5" t="str">
        <f ca="1">IFERROR(__xludf.DUMMYFUNCTION("""COMPUTED_VALUE"""),"No")</f>
        <v>No</v>
      </c>
      <c r="AC697" s="5" t="str">
        <f ca="1">IFERROR(__xludf.DUMMYFUNCTION("""COMPUTED_VALUE"""),"No")</f>
        <v>No</v>
      </c>
      <c r="AD697" s="5" t="str">
        <f ca="1">IFERROR(__xludf.DUMMYFUNCTION("""COMPUTED_VALUE"""),"No")</f>
        <v>No</v>
      </c>
      <c r="AE697" s="5" t="str">
        <f ca="1">IFERROR(__xludf.DUMMYFUNCTION("""COMPUTED_VALUE"""),"No")</f>
        <v>No</v>
      </c>
      <c r="AF697" s="5" t="str">
        <f ca="1">IFERROR(__xludf.DUMMYFUNCTION("""COMPUTED_VALUE"""),"No")</f>
        <v>No</v>
      </c>
      <c r="AG697" s="5" t="str">
        <f ca="1">IFERROR(__xludf.DUMMYFUNCTION("""COMPUTED_VALUE"""),"Yes")</f>
        <v>Yes</v>
      </c>
      <c r="AH697" s="5" t="str">
        <f ca="1">IFERROR(__xludf.DUMMYFUNCTION("""COMPUTED_VALUE"""),"No")</f>
        <v>No</v>
      </c>
    </row>
    <row r="698" spans="1:34" ht="12.75">
      <c r="A698" s="5" t="str">
        <f ca="1">IFERROR(__xludf.DUMMYFUNCTION("""COMPUTED_VALUE"""),"20181013TNMCN")</f>
        <v>20181013TNMCN</v>
      </c>
      <c r="B698" s="8">
        <f ca="1">IFERROR(__xludf.DUMMYFUNCTION("""COMPUTED_VALUE"""),43386)</f>
        <v>43386</v>
      </c>
      <c r="C698" s="5" t="str">
        <f ca="1">IFERROR(__xludf.DUMMYFUNCTION("""COMPUTED_VALUE"""),"McGavock High School")</f>
        <v>McGavock High School</v>
      </c>
      <c r="D698" s="5">
        <f ca="1">IFERROR(__xludf.DUMMYFUNCTION("""COMPUTED_VALUE"""),1)</f>
        <v>1</v>
      </c>
      <c r="E698" s="5">
        <f ca="1">IFERROR(__xludf.DUMMYFUNCTION("""COMPUTED_VALUE"""),1)</f>
        <v>1</v>
      </c>
      <c r="F698" s="5">
        <f ca="1">IFERROR(__xludf.DUMMYFUNCTION("""COMPUTED_VALUE"""),2)</f>
        <v>2</v>
      </c>
      <c r="G698" s="5">
        <f ca="1">IFERROR(__xludf.DUMMYFUNCTION("""COMPUTED_VALUE"""),0)</f>
        <v>0</v>
      </c>
      <c r="H698"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I698" s="5"/>
      <c r="J698" s="5"/>
      <c r="K698" s="5">
        <f ca="1">IFERROR(__xludf.DUMMYFUNCTION("""COMPUTED_VALUE"""),3)</f>
        <v>3</v>
      </c>
      <c r="L698" s="5" t="str">
        <f ca="1">IFERROR(__xludf.DUMMYFUNCTION("""COMPUTED_VALUE"""),"Fall")</f>
        <v>Fall</v>
      </c>
      <c r="M698" s="5" t="str">
        <f ca="1">IFERROR(__xludf.DUMMYFUNCTION("""COMPUTED_VALUE"""),"Nashville")</f>
        <v>Nashville</v>
      </c>
      <c r="N698" s="5" t="str">
        <f ca="1">IFERROR(__xludf.DUMMYFUNCTION("""COMPUTED_VALUE"""),"TN")</f>
        <v>TN</v>
      </c>
      <c r="O698" s="5" t="str">
        <f ca="1">IFERROR(__xludf.DUMMYFUNCTION("""COMPUTED_VALUE"""),"High")</f>
        <v>High</v>
      </c>
      <c r="P698" s="5" t="str">
        <f ca="1">IFERROR(__xludf.DUMMYFUNCTION("""COMPUTED_VALUE"""),"Parking Lot")</f>
        <v>Parking Lot</v>
      </c>
      <c r="Q698" s="5" t="str">
        <f ca="1">IFERROR(__xludf.DUMMYFUNCTION("""COMPUTED_VALUE"""),"Outside on School Property")</f>
        <v>Outside on School Property</v>
      </c>
      <c r="R698" s="5" t="str">
        <f ca="1">IFERROR(__xludf.DUMMYFUNCTION("""COMPUTED_VALUE"""),"No")</f>
        <v>No</v>
      </c>
      <c r="S698" s="5" t="str">
        <f ca="1">IFERROR(__xludf.DUMMYFUNCTION("""COMPUTED_VALUE"""),"Evening")</f>
        <v>Evening</v>
      </c>
      <c r="T698" s="10">
        <f ca="1">IFERROR(__xludf.DUMMYFUNCTION("""COMPUTED_VALUE"""),0.877777777777777)</f>
        <v>0.87777777777777699</v>
      </c>
      <c r="U698" s="5">
        <f ca="1">IFERROR(__xludf.DUMMYFUNCTION("""COMPUTED_VALUE"""),1)</f>
        <v>1</v>
      </c>
      <c r="V698" s="5" t="str">
        <f ca="1">IFERROR(__xludf.DUMMYFUNCTION("""COMPUTED_VALUE"""),"Drive-by shooting in school parking lot")</f>
        <v>Drive-by shooting in school parking lot</v>
      </c>
      <c r="W698"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X698" s="5" t="str">
        <f ca="1">IFERROR(__xludf.DUMMYFUNCTION("""COMPUTED_VALUE"""),"Drive-by Shooting")</f>
        <v>Drive-by Shooting</v>
      </c>
      <c r="Y698" s="5" t="str">
        <f ca="1">IFERROR(__xludf.DUMMYFUNCTION("""COMPUTED_VALUE"""),"Victims Targeted")</f>
        <v>Victims Targeted</v>
      </c>
      <c r="Z698" s="5" t="str">
        <f ca="1">IFERROR(__xludf.DUMMYFUNCTION("""COMPUTED_VALUE"""),"Yes")</f>
        <v>Yes</v>
      </c>
      <c r="AA698" s="5" t="str">
        <f ca="1">IFERROR(__xludf.DUMMYFUNCTION("""COMPUTED_VALUE"""),"Two black males in car that shots were fired from")</f>
        <v>Two black males in car that shots were fired from</v>
      </c>
      <c r="AB698" s="5" t="str">
        <f ca="1">IFERROR(__xludf.DUMMYFUNCTION("""COMPUTED_VALUE"""),"No")</f>
        <v>No</v>
      </c>
      <c r="AC698" s="5" t="str">
        <f ca="1">IFERROR(__xludf.DUMMYFUNCTION("""COMPUTED_VALUE"""),"No")</f>
        <v>No</v>
      </c>
      <c r="AD698" s="5" t="str">
        <f ca="1">IFERROR(__xludf.DUMMYFUNCTION("""COMPUTED_VALUE"""),"No")</f>
        <v>No</v>
      </c>
      <c r="AE698" s="5" t="str">
        <f ca="1">IFERROR(__xludf.DUMMYFUNCTION("""COMPUTED_VALUE"""),"No")</f>
        <v>No</v>
      </c>
      <c r="AF698" s="5" t="str">
        <f ca="1">IFERROR(__xludf.DUMMYFUNCTION("""COMPUTED_VALUE"""),"No")</f>
        <v>No</v>
      </c>
      <c r="AG698" s="5"/>
      <c r="AH698" s="5" t="str">
        <f ca="1">IFERROR(__xludf.DUMMYFUNCTION("""COMPUTED_VALUE"""),"No")</f>
        <v>No</v>
      </c>
    </row>
    <row r="699" spans="1:34" ht="12.75">
      <c r="A699" s="5" t="str">
        <f ca="1">IFERROR(__xludf.DUMMYFUNCTION("""COMPUTED_VALUE"""),"20181012MIBAB")</f>
        <v>20181012MIBAB</v>
      </c>
      <c r="B699" s="8">
        <f ca="1">IFERROR(__xludf.DUMMYFUNCTION("""COMPUTED_VALUE"""),43385)</f>
        <v>43385</v>
      </c>
      <c r="C699" s="5" t="str">
        <f ca="1">IFERROR(__xludf.DUMMYFUNCTION("""COMPUTED_VALUE"""),"Battle Creek Academy")</f>
        <v>Battle Creek Academy</v>
      </c>
      <c r="D699" s="5">
        <f ca="1">IFERROR(__xludf.DUMMYFUNCTION("""COMPUTED_VALUE"""),0)</f>
        <v>0</v>
      </c>
      <c r="E699" s="5">
        <f ca="1">IFERROR(__xludf.DUMMYFUNCTION("""COMPUTED_VALUE"""),0)</f>
        <v>0</v>
      </c>
      <c r="F699" s="5">
        <f ca="1">IFERROR(__xludf.DUMMYFUNCTION("""COMPUTED_VALUE"""),0)</f>
        <v>0</v>
      </c>
      <c r="G699" s="5">
        <f ca="1">IFERROR(__xludf.DUMMYFUNCTION("""COMPUTED_VALUE"""),0)</f>
        <v>0</v>
      </c>
      <c r="H699" s="9" t="str">
        <f ca="1">IFERROR(__xludf.DUMMYFUNCTION("""COMPUTED_VALUE"""),"https://wwmt.com/news/local/battle-creek-academy-locked-down-after-building-shot")</f>
        <v>https://wwmt.com/news/local/battle-creek-academy-locked-down-after-building-shot</v>
      </c>
      <c r="I699" s="5"/>
      <c r="J699" s="5"/>
      <c r="K699" s="5">
        <f ca="1">IFERROR(__xludf.DUMMYFUNCTION("""COMPUTED_VALUE"""),3)</f>
        <v>3</v>
      </c>
      <c r="L699" s="5" t="str">
        <f ca="1">IFERROR(__xludf.DUMMYFUNCTION("""COMPUTED_VALUE"""),"Fall")</f>
        <v>Fall</v>
      </c>
      <c r="M699" s="5" t="str">
        <f ca="1">IFERROR(__xludf.DUMMYFUNCTION("""COMPUTED_VALUE"""),"Battle Creek")</f>
        <v>Battle Creek</v>
      </c>
      <c r="N699" s="5" t="str">
        <f ca="1">IFERROR(__xludf.DUMMYFUNCTION("""COMPUTED_VALUE"""),"MI")</f>
        <v>MI</v>
      </c>
      <c r="O699" s="5" t="str">
        <f ca="1">IFERROR(__xludf.DUMMYFUNCTION("""COMPUTED_VALUE"""),"Elementary")</f>
        <v>Elementary</v>
      </c>
      <c r="P699" s="5" t="str">
        <f ca="1">IFERROR(__xludf.DUMMYFUNCTION("""COMPUTED_VALUE"""),"Off School Property")</f>
        <v>Off School Property</v>
      </c>
      <c r="Q699" s="5" t="str">
        <f ca="1">IFERROR(__xludf.DUMMYFUNCTION("""COMPUTED_VALUE"""),"Off School Property")</f>
        <v>Off School Property</v>
      </c>
      <c r="R699" s="5" t="str">
        <f ca="1">IFERROR(__xludf.DUMMYFUNCTION("""COMPUTED_VALUE"""),"Yes")</f>
        <v>Yes</v>
      </c>
      <c r="S699" s="5" t="str">
        <f ca="1">IFERROR(__xludf.DUMMYFUNCTION("""COMPUTED_VALUE"""),"Afternoon Classes")</f>
        <v>Afternoon Classes</v>
      </c>
      <c r="T699" s="10">
        <f ca="1">IFERROR(__xludf.DUMMYFUNCTION("""COMPUTED_VALUE"""),0.541666666666666)</f>
        <v>0.54166666666666596</v>
      </c>
      <c r="U699" s="5">
        <f ca="1">IFERROR(__xludf.DUMMYFUNCTION("""COMPUTED_VALUE"""),1)</f>
        <v>1</v>
      </c>
      <c r="V699" s="5" t="str">
        <f ca="1">IFERROR(__xludf.DUMMYFUNCTION("""COMPUTED_VALUE"""),"Bullet struck school building")</f>
        <v>Bullet struck school building</v>
      </c>
      <c r="W699"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X699" s="5" t="str">
        <f ca="1">IFERROR(__xludf.DUMMYFUNCTION("""COMPUTED_VALUE"""),"Unknown")</f>
        <v>Unknown</v>
      </c>
      <c r="Y699" s="5"/>
      <c r="Z699" s="5" t="str">
        <f ca="1">IFERROR(__xludf.DUMMYFUNCTION("""COMPUTED_VALUE"""),"No")</f>
        <v>No</v>
      </c>
      <c r="AA699" s="5"/>
      <c r="AB699" s="5" t="str">
        <f ca="1">IFERROR(__xludf.DUMMYFUNCTION("""COMPUTED_VALUE"""),"No")</f>
        <v>No</v>
      </c>
      <c r="AC699" s="5" t="str">
        <f ca="1">IFERROR(__xludf.DUMMYFUNCTION("""COMPUTED_VALUE"""),"No")</f>
        <v>No</v>
      </c>
      <c r="AD699" s="5" t="str">
        <f ca="1">IFERROR(__xludf.DUMMYFUNCTION("""COMPUTED_VALUE"""),"No")</f>
        <v>No</v>
      </c>
      <c r="AE699" s="5" t="str">
        <f ca="1">IFERROR(__xludf.DUMMYFUNCTION("""COMPUTED_VALUE"""),"No")</f>
        <v>No</v>
      </c>
      <c r="AF699" s="5" t="str">
        <f ca="1">IFERROR(__xludf.DUMMYFUNCTION("""COMPUTED_VALUE"""),"No")</f>
        <v>No</v>
      </c>
      <c r="AG699" s="5"/>
      <c r="AH699" s="5" t="str">
        <f ca="1">IFERROR(__xludf.DUMMYFUNCTION("""COMPUTED_VALUE"""),"No")</f>
        <v>No</v>
      </c>
    </row>
    <row r="700" spans="1:34" ht="12.75">
      <c r="A700" s="5" t="str">
        <f ca="1">IFERROR(__xludf.DUMMYFUNCTION("""COMPUTED_VALUE"""),"20181007VAVAH")</f>
        <v>20181007VAVAH</v>
      </c>
      <c r="B700" s="8">
        <f ca="1">IFERROR(__xludf.DUMMYFUNCTION("""COMPUTED_VALUE"""),43380)</f>
        <v>43380</v>
      </c>
      <c r="C700" s="5" t="str">
        <f ca="1">IFERROR(__xludf.DUMMYFUNCTION("""COMPUTED_VALUE"""),"Varina High School")</f>
        <v>Varina High School</v>
      </c>
      <c r="D700" s="5">
        <f ca="1">IFERROR(__xludf.DUMMYFUNCTION("""COMPUTED_VALUE"""),0)</f>
        <v>0</v>
      </c>
      <c r="E700" s="5">
        <f ca="1">IFERROR(__xludf.DUMMYFUNCTION("""COMPUTED_VALUE"""),1)</f>
        <v>1</v>
      </c>
      <c r="F700" s="5">
        <f ca="1">IFERROR(__xludf.DUMMYFUNCTION("""COMPUTED_VALUE"""),1)</f>
        <v>1</v>
      </c>
      <c r="G700" s="5">
        <f ca="1">IFERROR(__xludf.DUMMYFUNCTION("""COMPUTED_VALUE"""),0)</f>
        <v>0</v>
      </c>
      <c r="H700"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I700" s="5"/>
      <c r="J700" s="5"/>
      <c r="K700" s="5">
        <f ca="1">IFERROR(__xludf.DUMMYFUNCTION("""COMPUTED_VALUE"""),3)</f>
        <v>3</v>
      </c>
      <c r="L700" s="5" t="str">
        <f ca="1">IFERROR(__xludf.DUMMYFUNCTION("""COMPUTED_VALUE"""),"Fall")</f>
        <v>Fall</v>
      </c>
      <c r="M700" s="5" t="str">
        <f ca="1">IFERROR(__xludf.DUMMYFUNCTION("""COMPUTED_VALUE"""),"Henrico")</f>
        <v>Henrico</v>
      </c>
      <c r="N700" s="5" t="str">
        <f ca="1">IFERROR(__xludf.DUMMYFUNCTION("""COMPUTED_VALUE"""),"VA")</f>
        <v>VA</v>
      </c>
      <c r="O700" s="5" t="str">
        <f ca="1">IFERROR(__xludf.DUMMYFUNCTION("""COMPUTED_VALUE"""),"High")</f>
        <v>High</v>
      </c>
      <c r="P700" s="5" t="str">
        <f ca="1">IFERROR(__xludf.DUMMYFUNCTION("""COMPUTED_VALUE"""),"Gym")</f>
        <v>Gym</v>
      </c>
      <c r="Q700" s="5" t="str">
        <f ca="1">IFERROR(__xludf.DUMMYFUNCTION("""COMPUTED_VALUE"""),"Outside on School Property")</f>
        <v>Outside on School Property</v>
      </c>
      <c r="R700" s="5" t="str">
        <f ca="1">IFERROR(__xludf.DUMMYFUNCTION("""COMPUTED_VALUE"""),"No")</f>
        <v>No</v>
      </c>
      <c r="S700" s="5" t="str">
        <f ca="1">IFERROR(__xludf.DUMMYFUNCTION("""COMPUTED_VALUE"""),"Sport Event")</f>
        <v>Sport Event</v>
      </c>
      <c r="T700" s="10">
        <f ca="1">IFERROR(__xludf.DUMMYFUNCTION("""COMPUTED_VALUE"""),0.895833333333333)</f>
        <v>0.89583333333333304</v>
      </c>
      <c r="U700" s="5">
        <f ca="1">IFERROR(__xludf.DUMMYFUNCTION("""COMPUTED_VALUE"""),1)</f>
        <v>1</v>
      </c>
      <c r="V700" s="5" t="str">
        <f ca="1">IFERROR(__xludf.DUMMYFUNCTION("""COMPUTED_VALUE"""),"Basketball coach shot during fight at weekend practice")</f>
        <v>Basketball coach shot during fight at weekend practice</v>
      </c>
      <c r="W700"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X700" s="5" t="str">
        <f ca="1">IFERROR(__xludf.DUMMYFUNCTION("""COMPUTED_VALUE"""),"Escalation of Dispute")</f>
        <v>Escalation of Dispute</v>
      </c>
      <c r="Y700" s="5" t="str">
        <f ca="1">IFERROR(__xludf.DUMMYFUNCTION("""COMPUTED_VALUE"""),"Both")</f>
        <v>Both</v>
      </c>
      <c r="Z700" s="5"/>
      <c r="AA700" s="5"/>
      <c r="AB700" s="5" t="str">
        <f ca="1">IFERROR(__xludf.DUMMYFUNCTION("""COMPUTED_VALUE"""),"No")</f>
        <v>No</v>
      </c>
      <c r="AC700" s="5" t="str">
        <f ca="1">IFERROR(__xludf.DUMMYFUNCTION("""COMPUTED_VALUE"""),"No")</f>
        <v>No</v>
      </c>
      <c r="AD700" s="5" t="str">
        <f ca="1">IFERROR(__xludf.DUMMYFUNCTION("""COMPUTED_VALUE"""),"No")</f>
        <v>No</v>
      </c>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row>
    <row r="701" spans="1:34" ht="12.75">
      <c r="A701" s="5" t="str">
        <f ca="1">IFERROR(__xludf.DUMMYFUNCTION("""COMPUTED_VALUE"""),"20181005VALAN")</f>
        <v>20181005VALAN</v>
      </c>
      <c r="B701" s="8">
        <f ca="1">IFERROR(__xludf.DUMMYFUNCTION("""COMPUTED_VALUE"""),43378)</f>
        <v>43378</v>
      </c>
      <c r="C701" s="5" t="str">
        <f ca="1">IFERROR(__xludf.DUMMYFUNCTION("""COMPUTED_VALUE"""),"Lake Taylor High School")</f>
        <v>Lake Taylor High School</v>
      </c>
      <c r="D701" s="5">
        <f ca="1">IFERROR(__xludf.DUMMYFUNCTION("""COMPUTED_VALUE"""),0)</f>
        <v>0</v>
      </c>
      <c r="E701" s="5">
        <f ca="1">IFERROR(__xludf.DUMMYFUNCTION("""COMPUTED_VALUE"""),1)</f>
        <v>1</v>
      </c>
      <c r="F701" s="5">
        <f ca="1">IFERROR(__xludf.DUMMYFUNCTION("""COMPUTED_VALUE"""),1)</f>
        <v>1</v>
      </c>
      <c r="G701" s="5">
        <f ca="1">IFERROR(__xludf.DUMMYFUNCTION("""COMPUTED_VALUE"""),0)</f>
        <v>0</v>
      </c>
      <c r="H701" s="9" t="str">
        <f ca="1">IFERROR(__xludf.DUMMYFUNCTION("""COMPUTED_VALUE"""),"https://www.wavy.com/news/local-news/norfolk/police-respond-to-shooting-after-football-game-at-lake-taylor-high-school/1501979731")</f>
        <v>https://www.wavy.com/news/local-news/norfolk/police-respond-to-shooting-after-football-game-at-lake-taylor-high-school/1501979731</v>
      </c>
      <c r="I701" s="5"/>
      <c r="J701" s="5"/>
      <c r="K701" s="5">
        <f ca="1">IFERROR(__xludf.DUMMYFUNCTION("""COMPUTED_VALUE"""),2)</f>
        <v>2</v>
      </c>
      <c r="L701" s="5" t="str">
        <f ca="1">IFERROR(__xludf.DUMMYFUNCTION("""COMPUTED_VALUE"""),"Fall")</f>
        <v>Fall</v>
      </c>
      <c r="M701" s="5" t="str">
        <f ca="1">IFERROR(__xludf.DUMMYFUNCTION("""COMPUTED_VALUE"""),"Norfolk")</f>
        <v>Norfolk</v>
      </c>
      <c r="N701" s="5" t="str">
        <f ca="1">IFERROR(__xludf.DUMMYFUNCTION("""COMPUTED_VALUE"""),"VA")</f>
        <v>VA</v>
      </c>
      <c r="O701" s="5" t="str">
        <f ca="1">IFERROR(__xludf.DUMMYFUNCTION("""COMPUTED_VALUE"""),"High")</f>
        <v>High</v>
      </c>
      <c r="P701" s="5" t="str">
        <f ca="1">IFERROR(__xludf.DUMMYFUNCTION("""COMPUTED_VALUE"""),"Parking Lot")</f>
        <v>Parking Lot</v>
      </c>
      <c r="Q701" s="5" t="str">
        <f ca="1">IFERROR(__xludf.DUMMYFUNCTION("""COMPUTED_VALUE"""),"Outside on School Property")</f>
        <v>Outside on School Property</v>
      </c>
      <c r="R701" s="5" t="str">
        <f ca="1">IFERROR(__xludf.DUMMYFUNCTION("""COMPUTED_VALUE"""),"No")</f>
        <v>No</v>
      </c>
      <c r="S701" s="5" t="str">
        <f ca="1">IFERROR(__xludf.DUMMYFUNCTION("""COMPUTED_VALUE"""),"Sport Event")</f>
        <v>Sport Event</v>
      </c>
      <c r="T701" s="10">
        <f ca="1">IFERROR(__xludf.DUMMYFUNCTION("""COMPUTED_VALUE"""),0.895833333333333)</f>
        <v>0.89583333333333304</v>
      </c>
      <c r="U701" s="5">
        <f ca="1">IFERROR(__xludf.DUMMYFUNCTION("""COMPUTED_VALUE"""),1)</f>
        <v>1</v>
      </c>
      <c r="V701" s="5" t="str">
        <f ca="1">IFERROR(__xludf.DUMMYFUNCTION("""COMPUTED_VALUE"""),"Shots fired during fight after football game in school parking lot")</f>
        <v>Shots fired during fight after football game in school parking lot</v>
      </c>
      <c r="W701"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X701" s="5" t="str">
        <f ca="1">IFERROR(__xludf.DUMMYFUNCTION("""COMPUTED_VALUE"""),"Escalation of Dispute")</f>
        <v>Escalation of Dispute</v>
      </c>
      <c r="Y701" s="5"/>
      <c r="Z701" s="5"/>
      <c r="AA701" s="5"/>
      <c r="AB701" s="5" t="str">
        <f ca="1">IFERROR(__xludf.DUMMYFUNCTION("""COMPUTED_VALUE"""),"No")</f>
        <v>No</v>
      </c>
      <c r="AC701" s="5" t="str">
        <f ca="1">IFERROR(__xludf.DUMMYFUNCTION("""COMPUTED_VALUE"""),"No")</f>
        <v>No</v>
      </c>
      <c r="AD701" s="5" t="str">
        <f ca="1">IFERROR(__xludf.DUMMYFUNCTION("""COMPUTED_VALUE"""),"No")</f>
        <v>No</v>
      </c>
      <c r="AE701" s="5" t="str">
        <f ca="1">IFERROR(__xludf.DUMMYFUNCTION("""COMPUTED_VALUE"""),"No")</f>
        <v>No</v>
      </c>
      <c r="AF701" s="5" t="str">
        <f ca="1">IFERROR(__xludf.DUMMYFUNCTION("""COMPUTED_VALUE"""),"No")</f>
        <v>No</v>
      </c>
      <c r="AG701" s="5" t="str">
        <f ca="1">IFERROR(__xludf.DUMMYFUNCTION("""COMPUTED_VALUE"""),"No")</f>
        <v>No</v>
      </c>
      <c r="AH701" s="5" t="str">
        <f ca="1">IFERROR(__xludf.DUMMYFUNCTION("""COMPUTED_VALUE"""),"No")</f>
        <v>No</v>
      </c>
    </row>
    <row r="702" spans="1:34" ht="12.75">
      <c r="A702" s="5" t="str">
        <f ca="1">IFERROR(__xludf.DUMMYFUNCTION("""COMPUTED_VALUE"""),"20181005TNHAB")</f>
        <v>20181005TNHAB</v>
      </c>
      <c r="B702" s="8">
        <f ca="1">IFERROR(__xludf.DUMMYFUNCTION("""COMPUTED_VALUE"""),43378)</f>
        <v>43378</v>
      </c>
      <c r="C702" s="5" t="str">
        <f ca="1">IFERROR(__xludf.DUMMYFUNCTION("""COMPUTED_VALUE"""),"Haywood High School")</f>
        <v>Haywood High School</v>
      </c>
      <c r="D702" s="5">
        <f ca="1">IFERROR(__xludf.DUMMYFUNCTION("""COMPUTED_VALUE"""),0)</f>
        <v>0</v>
      </c>
      <c r="E702" s="5">
        <f ca="1">IFERROR(__xludf.DUMMYFUNCTION("""COMPUTED_VALUE"""),2)</f>
        <v>2</v>
      </c>
      <c r="F702" s="5">
        <f ca="1">IFERROR(__xludf.DUMMYFUNCTION("""COMPUTED_VALUE"""),2)</f>
        <v>2</v>
      </c>
      <c r="G702" s="5">
        <f ca="1">IFERROR(__xludf.DUMMYFUNCTION("""COMPUTED_VALUE"""),0)</f>
        <v>0</v>
      </c>
      <c r="H702"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I702" s="5"/>
      <c r="J702" s="5"/>
      <c r="K702" s="5">
        <f ca="1">IFERROR(__xludf.DUMMYFUNCTION("""COMPUTED_VALUE"""),3)</f>
        <v>3</v>
      </c>
      <c r="L702" s="5" t="str">
        <f ca="1">IFERROR(__xludf.DUMMYFUNCTION("""COMPUTED_VALUE"""),"Fall")</f>
        <v>Fall</v>
      </c>
      <c r="M702" s="5" t="str">
        <f ca="1">IFERROR(__xludf.DUMMYFUNCTION("""COMPUTED_VALUE"""),"Brownsville")</f>
        <v>Brownsville</v>
      </c>
      <c r="N702" s="5" t="str">
        <f ca="1">IFERROR(__xludf.DUMMYFUNCTION("""COMPUTED_VALUE"""),"TN")</f>
        <v>TN</v>
      </c>
      <c r="O702" s="5" t="str">
        <f ca="1">IFERROR(__xludf.DUMMYFUNCTION("""COMPUTED_VALUE"""),"High")</f>
        <v>High</v>
      </c>
      <c r="P702" s="5" t="str">
        <f ca="1">IFERROR(__xludf.DUMMYFUNCTION("""COMPUTED_VALUE"""),"Parking Lot")</f>
        <v>Parking Lot</v>
      </c>
      <c r="Q702" s="5" t="str">
        <f ca="1">IFERROR(__xludf.DUMMYFUNCTION("""COMPUTED_VALUE"""),"Outside on School Property")</f>
        <v>Outside on School Property</v>
      </c>
      <c r="R702" s="5" t="str">
        <f ca="1">IFERROR(__xludf.DUMMYFUNCTION("""COMPUTED_VALUE"""),"No")</f>
        <v>No</v>
      </c>
      <c r="S702" s="5" t="str">
        <f ca="1">IFERROR(__xludf.DUMMYFUNCTION("""COMPUTED_VALUE"""),"Sport Event")</f>
        <v>Sport Event</v>
      </c>
      <c r="T702" s="10">
        <f ca="1">IFERROR(__xludf.DUMMYFUNCTION("""COMPUTED_VALUE"""),0.895833333333333)</f>
        <v>0.89583333333333304</v>
      </c>
      <c r="U702" s="5">
        <f ca="1">IFERROR(__xludf.DUMMYFUNCTION("""COMPUTED_VALUE"""),1)</f>
        <v>1</v>
      </c>
      <c r="V702" s="5" t="str">
        <f ca="1">IFERROR(__xludf.DUMMYFUNCTION("""COMPUTED_VALUE"""),"Two victims shot in school parking lot during football game")</f>
        <v>Two victims shot in school parking lot during football game</v>
      </c>
      <c r="W702"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X702" s="5" t="str">
        <f ca="1">IFERROR(__xludf.DUMMYFUNCTION("""COMPUTED_VALUE"""),"Escalation of Dispute")</f>
        <v>Escalation of Dispute</v>
      </c>
      <c r="Y702" s="5" t="str">
        <f ca="1">IFERROR(__xludf.DUMMYFUNCTION("""COMPUTED_VALUE"""),"Both")</f>
        <v>Both</v>
      </c>
      <c r="Z702" s="5" t="str">
        <f ca="1">IFERROR(__xludf.DUMMYFUNCTION("""COMPUTED_VALUE"""),"No")</f>
        <v>No</v>
      </c>
      <c r="AA702" s="5"/>
      <c r="AB702" s="5" t="str">
        <f ca="1">IFERROR(__xludf.DUMMYFUNCTION("""COMPUTED_VALUE"""),"No")</f>
        <v>No</v>
      </c>
      <c r="AC702" s="5" t="str">
        <f ca="1">IFERROR(__xludf.DUMMYFUNCTION("""COMPUTED_VALUE"""),"No")</f>
        <v>No</v>
      </c>
      <c r="AD702" s="5" t="str">
        <f ca="1">IFERROR(__xludf.DUMMYFUNCTION("""COMPUTED_VALUE"""),"No")</f>
        <v>No</v>
      </c>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row>
    <row r="703" spans="1:34" ht="12.75">
      <c r="A703" s="5" t="str">
        <f ca="1">IFERROR(__xludf.DUMMYFUNCTION("""COMPUTED_VALUE"""),"20181004ORJAP")</f>
        <v>20181004ORJAP</v>
      </c>
      <c r="B703" s="8">
        <f ca="1">IFERROR(__xludf.DUMMYFUNCTION("""COMPUTED_VALUE"""),43377)</f>
        <v>43377</v>
      </c>
      <c r="C703" s="5" t="str">
        <f ca="1">IFERROR(__xludf.DUMMYFUNCTION("""COMPUTED_VALUE"""),"Jason Lee Elementary School")</f>
        <v>Jason Lee Elementary School</v>
      </c>
      <c r="D703" s="5">
        <f ca="1">IFERROR(__xludf.DUMMYFUNCTION("""COMPUTED_VALUE"""),0)</f>
        <v>0</v>
      </c>
      <c r="E703" s="5">
        <f ca="1">IFERROR(__xludf.DUMMYFUNCTION("""COMPUTED_VALUE"""),0)</f>
        <v>0</v>
      </c>
      <c r="F703" s="5">
        <f ca="1">IFERROR(__xludf.DUMMYFUNCTION("""COMPUTED_VALUE"""),0)</f>
        <v>0</v>
      </c>
      <c r="G703" s="5">
        <f ca="1">IFERROR(__xludf.DUMMYFUNCTION("""COMPUTED_VALUE"""),0)</f>
        <v>0</v>
      </c>
      <c r="H703"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I703" s="5"/>
      <c r="J703" s="5"/>
      <c r="K703" s="5">
        <f ca="1">IFERROR(__xludf.DUMMYFUNCTION("""COMPUTED_VALUE"""),3)</f>
        <v>3</v>
      </c>
      <c r="L703" s="5" t="str">
        <f ca="1">IFERROR(__xludf.DUMMYFUNCTION("""COMPUTED_VALUE"""),"Fall")</f>
        <v>Fall</v>
      </c>
      <c r="M703" s="5" t="str">
        <f ca="1">IFERROR(__xludf.DUMMYFUNCTION("""COMPUTED_VALUE"""),"Portland")</f>
        <v>Portland</v>
      </c>
      <c r="N703" s="5" t="str">
        <f ca="1">IFERROR(__xludf.DUMMYFUNCTION("""COMPUTED_VALUE"""),"OR")</f>
        <v>OR</v>
      </c>
      <c r="O703" s="5" t="str">
        <f ca="1">IFERROR(__xludf.DUMMYFUNCTION("""COMPUTED_VALUE"""),"Elementary")</f>
        <v>Elementary</v>
      </c>
      <c r="P703" s="5" t="str">
        <f ca="1">IFERROR(__xludf.DUMMYFUNCTION("""COMPUTED_VALUE"""),"Cafeteria")</f>
        <v>Cafeteria</v>
      </c>
      <c r="Q703" s="5" t="str">
        <f ca="1">IFERROR(__xludf.DUMMYFUNCTION("""COMPUTED_VALUE"""),"Inside School Building")</f>
        <v>Inside School Building</v>
      </c>
      <c r="R703" s="5" t="str">
        <f ca="1">IFERROR(__xludf.DUMMYFUNCTION("""COMPUTED_VALUE"""),"Yes")</f>
        <v>Yes</v>
      </c>
      <c r="S703" s="5" t="str">
        <f ca="1">IFERROR(__xludf.DUMMYFUNCTION("""COMPUTED_VALUE"""),"After School")</f>
        <v>After School</v>
      </c>
      <c r="T703" s="10">
        <f ca="1">IFERROR(__xludf.DUMMYFUNCTION("""COMPUTED_VALUE"""),0.690972222222222)</f>
        <v>0.69097222222222199</v>
      </c>
      <c r="U703" s="5">
        <f ca="1">IFERROR(__xludf.DUMMYFUNCTION("""COMPUTED_VALUE"""),1)</f>
        <v>1</v>
      </c>
      <c r="V703" s="5" t="str">
        <f ca="1">IFERROR(__xludf.DUMMYFUNCTION("""COMPUTED_VALUE"""),"Parent's gun discharged in cafeteria while picking up daughter")</f>
        <v>Parent's gun discharged in cafeteria while picking up daughter</v>
      </c>
      <c r="W703"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X703" s="5" t="str">
        <f ca="1">IFERROR(__xludf.DUMMYFUNCTION("""COMPUTED_VALUE"""),"Accidental")</f>
        <v>Accidental</v>
      </c>
      <c r="Y703" s="5" t="str">
        <f ca="1">IFERROR(__xludf.DUMMYFUNCTION("""COMPUTED_VALUE"""),"Neither")</f>
        <v>Neither</v>
      </c>
      <c r="Z703" s="5" t="str">
        <f ca="1">IFERROR(__xludf.DUMMYFUNCTION("""COMPUTED_VALUE"""),"No")</f>
        <v>No</v>
      </c>
      <c r="AA703" s="5"/>
      <c r="AB703" s="5" t="str">
        <f ca="1">IFERROR(__xludf.DUMMYFUNCTION("""COMPUTED_VALUE"""),"No")</f>
        <v>No</v>
      </c>
      <c r="AC703" s="5" t="str">
        <f ca="1">IFERROR(__xludf.DUMMYFUNCTION("""COMPUTED_VALUE"""),"No")</f>
        <v>No</v>
      </c>
      <c r="AD703" s="5" t="str">
        <f ca="1">IFERROR(__xludf.DUMMYFUNCTION("""COMPUTED_VALUE"""),"No")</f>
        <v>No</v>
      </c>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row>
    <row r="704" spans="1:34" ht="12.75">
      <c r="A704" s="5" t="str">
        <f ca="1">IFERROR(__xludf.DUMMYFUNCTION("""COMPUTED_VALUE"""),"20181003AKDEA")</f>
        <v>20181003AKDEA</v>
      </c>
      <c r="B704" s="8">
        <f ca="1">IFERROR(__xludf.DUMMYFUNCTION("""COMPUTED_VALUE"""),43376)</f>
        <v>43376</v>
      </c>
      <c r="C704" s="5" t="str">
        <f ca="1">IFERROR(__xludf.DUMMYFUNCTION("""COMPUTED_VALUE"""),"Denali Montessori Elementary School")</f>
        <v>Denali Montessori Elementary School</v>
      </c>
      <c r="D704" s="5">
        <f ca="1">IFERROR(__xludf.DUMMYFUNCTION("""COMPUTED_VALUE"""),0)</f>
        <v>0</v>
      </c>
      <c r="E704" s="5">
        <f ca="1">IFERROR(__xludf.DUMMYFUNCTION("""COMPUTED_VALUE"""),1)</f>
        <v>1</v>
      </c>
      <c r="F704" s="5">
        <f ca="1">IFERROR(__xludf.DUMMYFUNCTION("""COMPUTED_VALUE"""),1)</f>
        <v>1</v>
      </c>
      <c r="G704" s="5">
        <f ca="1">IFERROR(__xludf.DUMMYFUNCTION("""COMPUTED_VALUE"""),0)</f>
        <v>0</v>
      </c>
      <c r="H704"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I704" s="5">
        <f ca="1">IFERROR(__xludf.DUMMYFUNCTION("""COMPUTED_VALUE"""),2)</f>
        <v>2</v>
      </c>
      <c r="J704" s="5" t="str">
        <f ca="1">IFERROR(__xludf.DUMMYFUNCTION("""COMPUTED_VALUE"""),"Local")</f>
        <v>Local</v>
      </c>
      <c r="K704" s="5">
        <f ca="1">IFERROR(__xludf.DUMMYFUNCTION("""COMPUTED_VALUE"""),4)</f>
        <v>4</v>
      </c>
      <c r="L704" s="5" t="str">
        <f ca="1">IFERROR(__xludf.DUMMYFUNCTION("""COMPUTED_VALUE"""),"Fall")</f>
        <v>Fall</v>
      </c>
      <c r="M704" s="5" t="str">
        <f ca="1">IFERROR(__xludf.DUMMYFUNCTION("""COMPUTED_VALUE"""),"Anchorage")</f>
        <v>Anchorage</v>
      </c>
      <c r="N704" s="5" t="str">
        <f ca="1">IFERROR(__xludf.DUMMYFUNCTION("""COMPUTED_VALUE"""),"AK")</f>
        <v>AK</v>
      </c>
      <c r="O704" s="5" t="str">
        <f ca="1">IFERROR(__xludf.DUMMYFUNCTION("""COMPUTED_VALUE"""),"Elementary")</f>
        <v>Elementary</v>
      </c>
      <c r="P704" s="5" t="str">
        <f ca="1">IFERROR(__xludf.DUMMYFUNCTION("""COMPUTED_VALUE"""),"Front of School")</f>
        <v>Front of School</v>
      </c>
      <c r="Q704" s="5" t="str">
        <f ca="1">IFERROR(__xludf.DUMMYFUNCTION("""COMPUTED_VALUE"""),"Outside on School Property")</f>
        <v>Outside on School Property</v>
      </c>
      <c r="R704" s="5" t="str">
        <f ca="1">IFERROR(__xludf.DUMMYFUNCTION("""COMPUTED_VALUE"""),"Yes")</f>
        <v>Yes</v>
      </c>
      <c r="S704" s="5" t="str">
        <f ca="1">IFERROR(__xludf.DUMMYFUNCTION("""COMPUTED_VALUE"""),"Morning Classes")</f>
        <v>Morning Classes</v>
      </c>
      <c r="T704" s="10">
        <f ca="1">IFERROR(__xludf.DUMMYFUNCTION("""COMPUTED_VALUE"""),0.416666666666666)</f>
        <v>0.41666666666666602</v>
      </c>
      <c r="U704" s="5">
        <f ca="1">IFERROR(__xludf.DUMMYFUNCTION("""COMPUTED_VALUE"""),1)</f>
        <v>1</v>
      </c>
      <c r="V704" s="5" t="str">
        <f ca="1">IFERROR(__xludf.DUMMYFUNCTION("""COMPUTED_VALUE"""),"Adult male victim shot by another adult male in front of school during domestic dispute")</f>
        <v>Adult male victim shot by another adult male in front of school during domestic dispute</v>
      </c>
      <c r="W704"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X704" s="5" t="str">
        <f ca="1">IFERROR(__xludf.DUMMYFUNCTION("""COMPUTED_VALUE"""),"Domestic w/ Targeted Victim")</f>
        <v>Domestic w/ Targeted Victim</v>
      </c>
      <c r="Y704" s="5" t="str">
        <f ca="1">IFERROR(__xludf.DUMMYFUNCTION("""COMPUTED_VALUE"""),"Victims Targeted")</f>
        <v>Victims Targeted</v>
      </c>
      <c r="Z704" s="5" t="str">
        <f ca="1">IFERROR(__xludf.DUMMYFUNCTION("""COMPUTED_VALUE"""),"No")</f>
        <v>No</v>
      </c>
      <c r="AA704" s="5"/>
      <c r="AB704" s="5" t="str">
        <f ca="1">IFERROR(__xludf.DUMMYFUNCTION("""COMPUTED_VALUE"""),"No")</f>
        <v>No</v>
      </c>
      <c r="AC704" s="5" t="str">
        <f ca="1">IFERROR(__xludf.DUMMYFUNCTION("""COMPUTED_VALUE"""),"No")</f>
        <v>No</v>
      </c>
      <c r="AD704" s="5" t="str">
        <f ca="1">IFERROR(__xludf.DUMMYFUNCTION("""COMPUTED_VALUE"""),"No")</f>
        <v>No</v>
      </c>
      <c r="AE704" s="5" t="str">
        <f ca="1">IFERROR(__xludf.DUMMYFUNCTION("""COMPUTED_VALUE"""),"No")</f>
        <v>No</v>
      </c>
      <c r="AF704" s="5" t="str">
        <f ca="1">IFERROR(__xludf.DUMMYFUNCTION("""COMPUTED_VALUE"""),"Yes")</f>
        <v>Yes</v>
      </c>
      <c r="AG704" s="5" t="str">
        <f ca="1">IFERROR(__xludf.DUMMYFUNCTION("""COMPUTED_VALUE"""),"No")</f>
        <v>No</v>
      </c>
      <c r="AH704" s="5" t="str">
        <f ca="1">IFERROR(__xludf.DUMMYFUNCTION("""COMPUTED_VALUE"""),"No")</f>
        <v>No</v>
      </c>
    </row>
    <row r="705" spans="1:34" ht="12.75">
      <c r="A705" s="5" t="str">
        <f ca="1">IFERROR(__xludf.DUMMYFUNCTION("""COMPUTED_VALUE"""),"20181002ARCHL")</f>
        <v>20181002ARCHL</v>
      </c>
      <c r="B705" s="8">
        <f ca="1">IFERROR(__xludf.DUMMYFUNCTION("""COMPUTED_VALUE"""),43375)</f>
        <v>43375</v>
      </c>
      <c r="C705" s="5" t="str">
        <f ca="1">IFERROR(__xludf.DUMMYFUNCTION("""COMPUTED_VALUE"""),"Chicot Elementary School")</f>
        <v>Chicot Elementary School</v>
      </c>
      <c r="D705" s="5">
        <f ca="1">IFERROR(__xludf.DUMMYFUNCTION("""COMPUTED_VALUE"""),0)</f>
        <v>0</v>
      </c>
      <c r="E705" s="5">
        <f ca="1">IFERROR(__xludf.DUMMYFUNCTION("""COMPUTED_VALUE"""),0)</f>
        <v>0</v>
      </c>
      <c r="F705" s="5">
        <f ca="1">IFERROR(__xludf.DUMMYFUNCTION("""COMPUTED_VALUE"""),0)</f>
        <v>0</v>
      </c>
      <c r="G705" s="5">
        <f ca="1">IFERROR(__xludf.DUMMYFUNCTION("""COMPUTED_VALUE"""),0)</f>
        <v>0</v>
      </c>
      <c r="H705" s="9" t="str">
        <f ca="1">IFERROR(__xludf.DUMMYFUNCTION("""COMPUTED_VALUE"""),"https://www.arkansasonline.com/news/2018/oct/02/shots-fired-near-little-rock-elementary-school-pol/")</f>
        <v>https://www.arkansasonline.com/news/2018/oct/02/shots-fired-near-little-rock-elementary-school-pol/</v>
      </c>
      <c r="I705" s="5"/>
      <c r="J705" s="5"/>
      <c r="K705" s="5">
        <f ca="1">IFERROR(__xludf.DUMMYFUNCTION("""COMPUTED_VALUE"""),3)</f>
        <v>3</v>
      </c>
      <c r="L705" s="5" t="str">
        <f ca="1">IFERROR(__xludf.DUMMYFUNCTION("""COMPUTED_VALUE"""),"Fall")</f>
        <v>Fall</v>
      </c>
      <c r="M705" s="5" t="str">
        <f ca="1">IFERROR(__xludf.DUMMYFUNCTION("""COMPUTED_VALUE"""),"Little Rock")</f>
        <v>Little Rock</v>
      </c>
      <c r="N705" s="5" t="str">
        <f ca="1">IFERROR(__xludf.DUMMYFUNCTION("""COMPUTED_VALUE"""),"AR")</f>
        <v>AR</v>
      </c>
      <c r="O705" s="5" t="str">
        <f ca="1">IFERROR(__xludf.DUMMYFUNCTION("""COMPUTED_VALUE"""),"Elementary")</f>
        <v>Elementary</v>
      </c>
      <c r="P705" s="5" t="str">
        <f ca="1">IFERROR(__xludf.DUMMYFUNCTION("""COMPUTED_VALUE"""),"Other")</f>
        <v>Other</v>
      </c>
      <c r="Q705" s="5" t="str">
        <f ca="1">IFERROR(__xludf.DUMMYFUNCTION("""COMPUTED_VALUE"""),"Outside on School Property")</f>
        <v>Outside on School Property</v>
      </c>
      <c r="R705" s="5" t="str">
        <f ca="1">IFERROR(__xludf.DUMMYFUNCTION("""COMPUTED_VALUE"""),"Yes")</f>
        <v>Yes</v>
      </c>
      <c r="S705" s="5" t="str">
        <f ca="1">IFERROR(__xludf.DUMMYFUNCTION("""COMPUTED_VALUE"""),"Morning Classes")</f>
        <v>Morning Classes</v>
      </c>
      <c r="T705" s="10">
        <f ca="1">IFERROR(__xludf.DUMMYFUNCTION("""COMPUTED_VALUE"""),0.416666666666666)</f>
        <v>0.41666666666666602</v>
      </c>
      <c r="U705" s="5">
        <f ca="1">IFERROR(__xludf.DUMMYFUNCTION("""COMPUTED_VALUE"""),1)</f>
        <v>1</v>
      </c>
      <c r="V705" s="5" t="str">
        <f ca="1">IFERROR(__xludf.DUMMYFUNCTION("""COMPUTED_VALUE"""),"6 bullets stuck the school building, no injuries")</f>
        <v>6 bullets stuck the school building, no injuries</v>
      </c>
      <c r="W705"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X705" s="5" t="str">
        <f ca="1">IFERROR(__xludf.DUMMYFUNCTION("""COMPUTED_VALUE"""),"Unknown")</f>
        <v>Unknown</v>
      </c>
      <c r="Y705" s="5"/>
      <c r="Z705" s="5"/>
      <c r="AA705" s="5"/>
      <c r="AB705" s="5" t="str">
        <f ca="1">IFERROR(__xludf.DUMMYFUNCTION("""COMPUTED_VALUE"""),"No")</f>
        <v>No</v>
      </c>
      <c r="AC705" s="5" t="str">
        <f ca="1">IFERROR(__xludf.DUMMYFUNCTION("""COMPUTED_VALUE"""),"No")</f>
        <v>No</v>
      </c>
      <c r="AD705" s="5" t="str">
        <f ca="1">IFERROR(__xludf.DUMMYFUNCTION("""COMPUTED_VALUE"""),"No")</f>
        <v>No</v>
      </c>
      <c r="AE705" s="5" t="str">
        <f ca="1">IFERROR(__xludf.DUMMYFUNCTION("""COMPUTED_VALUE"""),"No")</f>
        <v>No</v>
      </c>
      <c r="AF705" s="5" t="str">
        <f ca="1">IFERROR(__xludf.DUMMYFUNCTION("""COMPUTED_VALUE"""),"No")</f>
        <v>No</v>
      </c>
      <c r="AG705" s="5"/>
      <c r="AH705" s="5" t="str">
        <f ca="1">IFERROR(__xludf.DUMMYFUNCTION("""COMPUTED_VALUE"""),"No")</f>
        <v>No</v>
      </c>
    </row>
    <row r="706" spans="1:34" ht="12.75">
      <c r="A706" s="5" t="str">
        <f ca="1">IFERROR(__xludf.DUMMYFUNCTION("""COMPUTED_VALUE"""),"20180928SDCHC")</f>
        <v>20180928SDCHC</v>
      </c>
      <c r="B706" s="8">
        <f ca="1">IFERROR(__xludf.DUMMYFUNCTION("""COMPUTED_VALUE"""),43371)</f>
        <v>43371</v>
      </c>
      <c r="C706" s="5" t="str">
        <f ca="1">IFERROR(__xludf.DUMMYFUNCTION("""COMPUTED_VALUE"""),"Chamberlain High School")</f>
        <v>Chamberlain High School</v>
      </c>
      <c r="D706" s="5">
        <f ca="1">IFERROR(__xludf.DUMMYFUNCTION("""COMPUTED_VALUE"""),0)</f>
        <v>0</v>
      </c>
      <c r="E706" s="5">
        <f ca="1">IFERROR(__xludf.DUMMYFUNCTION("""COMPUTED_VALUE"""),0)</f>
        <v>0</v>
      </c>
      <c r="F706" s="5">
        <f ca="1">IFERROR(__xludf.DUMMYFUNCTION("""COMPUTED_VALUE"""),0)</f>
        <v>0</v>
      </c>
      <c r="G706" s="5">
        <f ca="1">IFERROR(__xludf.DUMMYFUNCTION("""COMPUTED_VALUE"""),0)</f>
        <v>0</v>
      </c>
      <c r="H706" s="9" t="str">
        <f ca="1">IFERROR(__xludf.DUMMYFUNCTION("""COMPUTED_VALUE"""),"https://www.ksfy.com/content/news/High-school-football-game-evacuated-following-gunshot-494669791.html")</f>
        <v>https://www.ksfy.com/content/news/High-school-football-game-evacuated-following-gunshot-494669791.html</v>
      </c>
      <c r="I706" s="5"/>
      <c r="J706" s="5"/>
      <c r="K706" s="5">
        <f ca="1">IFERROR(__xludf.DUMMYFUNCTION("""COMPUTED_VALUE"""),4)</f>
        <v>4</v>
      </c>
      <c r="L706" s="5" t="str">
        <f ca="1">IFERROR(__xludf.DUMMYFUNCTION("""COMPUTED_VALUE"""),"Fall")</f>
        <v>Fall</v>
      </c>
      <c r="M706" s="5" t="str">
        <f ca="1">IFERROR(__xludf.DUMMYFUNCTION("""COMPUTED_VALUE"""),"Chamberlain")</f>
        <v>Chamberlain</v>
      </c>
      <c r="N706" s="5" t="str">
        <f ca="1">IFERROR(__xludf.DUMMYFUNCTION("""COMPUTED_VALUE"""),"SD")</f>
        <v>SD</v>
      </c>
      <c r="O706" s="5" t="str">
        <f ca="1">IFERROR(__xludf.DUMMYFUNCTION("""COMPUTED_VALUE"""),"High")</f>
        <v>High</v>
      </c>
      <c r="P706" s="5" t="str">
        <f ca="1">IFERROR(__xludf.DUMMYFUNCTION("""COMPUTED_VALUE"""),"Field (General)")</f>
        <v>Field (General)</v>
      </c>
      <c r="Q706" s="5" t="str">
        <f ca="1">IFERROR(__xludf.DUMMYFUNCTION("""COMPUTED_VALUE"""),"Outside on School Property")</f>
        <v>Outside on School Property</v>
      </c>
      <c r="R706" s="5" t="str">
        <f ca="1">IFERROR(__xludf.DUMMYFUNCTION("""COMPUTED_VALUE"""),"No")</f>
        <v>No</v>
      </c>
      <c r="S706" s="5" t="str">
        <f ca="1">IFERROR(__xludf.DUMMYFUNCTION("""COMPUTED_VALUE"""),"Sport Event")</f>
        <v>Sport Event</v>
      </c>
      <c r="T706" s="10">
        <f ca="1">IFERROR(__xludf.DUMMYFUNCTION("""COMPUTED_VALUE"""),0.645833333333333)</f>
        <v>0.64583333333333304</v>
      </c>
      <c r="U706" s="5">
        <f ca="1">IFERROR(__xludf.DUMMYFUNCTION("""COMPUTED_VALUE"""),1)</f>
        <v>1</v>
      </c>
      <c r="V706" s="5" t="str">
        <f ca="1">IFERROR(__xludf.DUMMYFUNCTION("""COMPUTED_VALUE"""),"Man commit suicide on school field during game following police chase")</f>
        <v>Man commit suicide on school field during game following police chase</v>
      </c>
      <c r="W706"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X706" s="5" t="str">
        <f ca="1">IFERROR(__xludf.DUMMYFUNCTION("""COMPUTED_VALUE"""),"Suicide/Attempted")</f>
        <v>Suicide/Attempted</v>
      </c>
      <c r="Y706" s="5" t="str">
        <f ca="1">IFERROR(__xludf.DUMMYFUNCTION("""COMPUTED_VALUE"""),"Victims Targeted")</f>
        <v>Victims Targeted</v>
      </c>
      <c r="Z706" s="5" t="str">
        <f ca="1">IFERROR(__xludf.DUMMYFUNCTION("""COMPUTED_VALUE"""),"No")</f>
        <v>No</v>
      </c>
      <c r="AA706" s="5"/>
      <c r="AB706" s="5" t="str">
        <f ca="1">IFERROR(__xludf.DUMMYFUNCTION("""COMPUTED_VALUE"""),"No")</f>
        <v>No</v>
      </c>
      <c r="AC706" s="5" t="str">
        <f ca="1">IFERROR(__xludf.DUMMYFUNCTION("""COMPUTED_VALUE"""),"No")</f>
        <v>No</v>
      </c>
      <c r="AD706" s="5" t="str">
        <f ca="1">IFERROR(__xludf.DUMMYFUNCTION("""COMPUTED_VALUE"""),"No")</f>
        <v>No</v>
      </c>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row>
    <row r="707" spans="1:34" ht="12.75">
      <c r="A707" s="5" t="str">
        <f ca="1">IFERROR(__xludf.DUMMYFUNCTION("""COMPUTED_VALUE"""),"20180927TXHEC")</f>
        <v>20180927TXHEC</v>
      </c>
      <c r="B707" s="8">
        <f ca="1">IFERROR(__xludf.DUMMYFUNCTION("""COMPUTED_VALUE"""),43370)</f>
        <v>43370</v>
      </c>
      <c r="C707" s="5" t="str">
        <f ca="1">IFERROR(__xludf.DUMMYFUNCTION("""COMPUTED_VALUE"""),"Hebron High School")</f>
        <v>Hebron High School</v>
      </c>
      <c r="D707" s="5">
        <f ca="1">IFERROR(__xludf.DUMMYFUNCTION("""COMPUTED_VALUE"""),0)</f>
        <v>0</v>
      </c>
      <c r="E707" s="5">
        <f ca="1">IFERROR(__xludf.DUMMYFUNCTION("""COMPUTED_VALUE"""),1)</f>
        <v>1</v>
      </c>
      <c r="F707" s="5">
        <f ca="1">IFERROR(__xludf.DUMMYFUNCTION("""COMPUTED_VALUE"""),1)</f>
        <v>1</v>
      </c>
      <c r="G707" s="5">
        <f ca="1">IFERROR(__xludf.DUMMYFUNCTION("""COMPUTED_VALUE"""),0)</f>
        <v>0</v>
      </c>
      <c r="H707"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I707" s="5"/>
      <c r="J707" s="5"/>
      <c r="K707" s="5">
        <f ca="1">IFERROR(__xludf.DUMMYFUNCTION("""COMPUTED_VALUE"""),3)</f>
        <v>3</v>
      </c>
      <c r="L707" s="5" t="str">
        <f ca="1">IFERROR(__xludf.DUMMYFUNCTION("""COMPUTED_VALUE"""),"Fall")</f>
        <v>Fall</v>
      </c>
      <c r="M707" s="5" t="str">
        <f ca="1">IFERROR(__xludf.DUMMYFUNCTION("""COMPUTED_VALUE"""),"Carrollton")</f>
        <v>Carrollton</v>
      </c>
      <c r="N707" s="5" t="str">
        <f ca="1">IFERROR(__xludf.DUMMYFUNCTION("""COMPUTED_VALUE"""),"TX")</f>
        <v>TX</v>
      </c>
      <c r="O707" s="5" t="str">
        <f ca="1">IFERROR(__xludf.DUMMYFUNCTION("""COMPUTED_VALUE"""),"High")</f>
        <v>High</v>
      </c>
      <c r="P707" s="5" t="str">
        <f ca="1">IFERROR(__xludf.DUMMYFUNCTION("""COMPUTED_VALUE"""),"Parking Lot")</f>
        <v>Parking Lot</v>
      </c>
      <c r="Q707" s="5" t="str">
        <f ca="1">IFERROR(__xludf.DUMMYFUNCTION("""COMPUTED_VALUE"""),"Outside on School Property")</f>
        <v>Outside on School Property</v>
      </c>
      <c r="R707" s="5" t="str">
        <f ca="1">IFERROR(__xludf.DUMMYFUNCTION("""COMPUTED_VALUE"""),"No")</f>
        <v>No</v>
      </c>
      <c r="S707" s="5" t="str">
        <f ca="1">IFERROR(__xludf.DUMMYFUNCTION("""COMPUTED_VALUE"""),"Sport Event")</f>
        <v>Sport Event</v>
      </c>
      <c r="T707" s="10">
        <f ca="1">IFERROR(__xludf.DUMMYFUNCTION("""COMPUTED_VALUE"""),0.857638888888888)</f>
        <v>0.85763888888888795</v>
      </c>
      <c r="U707" s="5">
        <f ca="1">IFERROR(__xludf.DUMMYFUNCTION("""COMPUTED_VALUE"""),1)</f>
        <v>1</v>
      </c>
      <c r="V707" s="5" t="str">
        <f ca="1">IFERROR(__xludf.DUMMYFUNCTION("""COMPUTED_VALUE"""),"Adult male shot in chest at football game during argument")</f>
        <v>Adult male shot in chest at football game during argument</v>
      </c>
      <c r="W707"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X707" s="5" t="str">
        <f ca="1">IFERROR(__xludf.DUMMYFUNCTION("""COMPUTED_VALUE"""),"Escalation of Dispute")</f>
        <v>Escalation of Dispute</v>
      </c>
      <c r="Y707" s="5" t="str">
        <f ca="1">IFERROR(__xludf.DUMMYFUNCTION("""COMPUTED_VALUE"""),"Victims Targeted")</f>
        <v>Victims Targeted</v>
      </c>
      <c r="Z707" s="5" t="str">
        <f ca="1">IFERROR(__xludf.DUMMYFUNCTION("""COMPUTED_VALUE"""),"No")</f>
        <v>No</v>
      </c>
      <c r="AA707" s="5"/>
      <c r="AB707" s="5" t="str">
        <f ca="1">IFERROR(__xludf.DUMMYFUNCTION("""COMPUTED_VALUE"""),"No")</f>
        <v>No</v>
      </c>
      <c r="AC707" s="5" t="str">
        <f ca="1">IFERROR(__xludf.DUMMYFUNCTION("""COMPUTED_VALUE"""),"No")</f>
        <v>No</v>
      </c>
      <c r="AD707" s="5" t="str">
        <f ca="1">IFERROR(__xludf.DUMMYFUNCTION("""COMPUTED_VALUE"""),"No")</f>
        <v>No</v>
      </c>
      <c r="AE707" s="5" t="str">
        <f ca="1">IFERROR(__xludf.DUMMYFUNCTION("""COMPUTED_VALUE"""),"No")</f>
        <v>No</v>
      </c>
      <c r="AF707" s="5" t="str">
        <f ca="1">IFERROR(__xludf.DUMMYFUNCTION("""COMPUTED_VALUE"""),"No")</f>
        <v>No</v>
      </c>
      <c r="AG707" s="5" t="str">
        <f ca="1">IFERROR(__xludf.DUMMYFUNCTION("""COMPUTED_VALUE"""),"No")</f>
        <v>No</v>
      </c>
      <c r="AH707" s="5" t="str">
        <f ca="1">IFERROR(__xludf.DUMMYFUNCTION("""COMPUTED_VALUE"""),"No")</f>
        <v>No</v>
      </c>
    </row>
    <row r="708" spans="1:34" ht="12.75">
      <c r="A708" s="5" t="str">
        <f ca="1">IFERROR(__xludf.DUMMYFUNCTION("""COMPUTED_VALUE"""),"20180926MDMAB")</f>
        <v>20180926MDMAB</v>
      </c>
      <c r="B708" s="8">
        <f ca="1">IFERROR(__xludf.DUMMYFUNCTION("""COMPUTED_VALUE"""),43369)</f>
        <v>43369</v>
      </c>
      <c r="C708" s="5" t="str">
        <f ca="1">IFERROR(__xludf.DUMMYFUNCTION("""COMPUTED_VALUE"""),"Maree Garnett Farring Elementary")</f>
        <v>Maree Garnett Farring Elementary</v>
      </c>
      <c r="D708" s="5">
        <f ca="1">IFERROR(__xludf.DUMMYFUNCTION("""COMPUTED_VALUE"""),0)</f>
        <v>0</v>
      </c>
      <c r="E708" s="5">
        <f ca="1">IFERROR(__xludf.DUMMYFUNCTION("""COMPUTED_VALUE"""),0)</f>
        <v>0</v>
      </c>
      <c r="F708" s="5">
        <f ca="1">IFERROR(__xludf.DUMMYFUNCTION("""COMPUTED_VALUE"""),0)</f>
        <v>0</v>
      </c>
      <c r="G708" s="5">
        <f ca="1">IFERROR(__xludf.DUMMYFUNCTION("""COMPUTED_VALUE"""),0)</f>
        <v>0</v>
      </c>
      <c r="H708" s="9" t="str">
        <f ca="1">IFERROR(__xludf.DUMMYFUNCTION("""COMPUTED_VALUE"""),"http://www.baltimoresun.com/news/maryland/crime/bs-md-ci-guns-fired-elementary-school-20180926-story.html")</f>
        <v>http://www.baltimoresun.com/news/maryland/crime/bs-md-ci-guns-fired-elementary-school-20180926-story.html</v>
      </c>
      <c r="I708" s="5"/>
      <c r="J708" s="5"/>
      <c r="K708" s="5">
        <f ca="1">IFERROR(__xludf.DUMMYFUNCTION("""COMPUTED_VALUE"""),2)</f>
        <v>2</v>
      </c>
      <c r="L708" s="5" t="str">
        <f ca="1">IFERROR(__xludf.DUMMYFUNCTION("""COMPUTED_VALUE"""),"Fall")</f>
        <v>Fall</v>
      </c>
      <c r="M708" s="5" t="str">
        <f ca="1">IFERROR(__xludf.DUMMYFUNCTION("""COMPUTED_VALUE"""),"Baltimore")</f>
        <v>Baltimore</v>
      </c>
      <c r="N708" s="5" t="str">
        <f ca="1">IFERROR(__xludf.DUMMYFUNCTION("""COMPUTED_VALUE"""),"MD")</f>
        <v>MD</v>
      </c>
      <c r="O708" s="5" t="str">
        <f ca="1">IFERROR(__xludf.DUMMYFUNCTION("""COMPUTED_VALUE"""),"Elementary")</f>
        <v>Elementary</v>
      </c>
      <c r="P708" s="5" t="str">
        <f ca="1">IFERROR(__xludf.DUMMYFUNCTION("""COMPUTED_VALUE"""),"Bathroom")</f>
        <v>Bathroom</v>
      </c>
      <c r="Q708" s="5" t="str">
        <f ca="1">IFERROR(__xludf.DUMMYFUNCTION("""COMPUTED_VALUE"""),"Outside on School Property")</f>
        <v>Outside on School Property</v>
      </c>
      <c r="R708" s="5" t="str">
        <f ca="1">IFERROR(__xludf.DUMMYFUNCTION("""COMPUTED_VALUE"""),"Yes")</f>
        <v>Yes</v>
      </c>
      <c r="S708" s="5" t="str">
        <f ca="1">IFERROR(__xludf.DUMMYFUNCTION("""COMPUTED_VALUE"""),"Morning Classes")</f>
        <v>Morning Classes</v>
      </c>
      <c r="T708" s="5"/>
      <c r="U708" s="5">
        <f ca="1">IFERROR(__xludf.DUMMYFUNCTION("""COMPUTED_VALUE"""),1)</f>
        <v>1</v>
      </c>
      <c r="V708" s="5" t="str">
        <f ca="1">IFERROR(__xludf.DUMMYFUNCTION("""COMPUTED_VALUE"""),"Two students playing with gun in school bathroom.")</f>
        <v>Two students playing with gun in school bathroom.</v>
      </c>
      <c r="W708" s="5" t="str">
        <f ca="1">IFERROR(__xludf.DUMMYFUNCTION("""COMPUTED_VALUE"""),"Two unnamed students fired a gun in the school bathroom. School was locked down for 4 hours then dismissed.")</f>
        <v>Two unnamed students fired a gun in the school bathroom. School was locked down for 4 hours then dismissed.</v>
      </c>
      <c r="X708" s="5" t="str">
        <f ca="1">IFERROR(__xludf.DUMMYFUNCTION("""COMPUTED_VALUE"""),"Accidental")</f>
        <v>Accidental</v>
      </c>
      <c r="Y708" s="5" t="str">
        <f ca="1">IFERROR(__xludf.DUMMYFUNCTION("""COMPUTED_VALUE"""),"Neither")</f>
        <v>Neither</v>
      </c>
      <c r="Z708" s="5" t="str">
        <f ca="1">IFERROR(__xludf.DUMMYFUNCTION("""COMPUTED_VALUE"""),"Yes")</f>
        <v>Yes</v>
      </c>
      <c r="AA708" s="5" t="str">
        <f ca="1">IFERROR(__xludf.DUMMYFUNCTION("""COMPUTED_VALUE"""),"Two students involved")</f>
        <v>Two students involved</v>
      </c>
      <c r="AB708" s="5" t="str">
        <f ca="1">IFERROR(__xludf.DUMMYFUNCTION("""COMPUTED_VALUE"""),"No")</f>
        <v>No</v>
      </c>
      <c r="AC708" s="5" t="str">
        <f ca="1">IFERROR(__xludf.DUMMYFUNCTION("""COMPUTED_VALUE"""),"No")</f>
        <v>No</v>
      </c>
      <c r="AD708" s="5" t="str">
        <f ca="1">IFERROR(__xludf.DUMMYFUNCTION("""COMPUTED_VALUE"""),"No")</f>
        <v>No</v>
      </c>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row>
    <row r="709" spans="1:34" ht="12.75">
      <c r="A709" s="5" t="str">
        <f ca="1">IFERROR(__xludf.DUMMYFUNCTION("""COMPUTED_VALUE"""),"20180924PACEP")</f>
        <v>20180924PACEP</v>
      </c>
      <c r="B709" s="8">
        <f ca="1">IFERROR(__xludf.DUMMYFUNCTION("""COMPUTED_VALUE"""),43367)</f>
        <v>43367</v>
      </c>
      <c r="C709" s="5" t="str">
        <f ca="1">IFERROR(__xludf.DUMMYFUNCTION("""COMPUTED_VALUE"""),"Central High School")</f>
        <v>Central High School</v>
      </c>
      <c r="D709" s="5">
        <f ca="1">IFERROR(__xludf.DUMMYFUNCTION("""COMPUTED_VALUE"""),1)</f>
        <v>1</v>
      </c>
      <c r="E709" s="5">
        <f ca="1">IFERROR(__xludf.DUMMYFUNCTION("""COMPUTED_VALUE"""),0)</f>
        <v>0</v>
      </c>
      <c r="F709" s="5">
        <f ca="1">IFERROR(__xludf.DUMMYFUNCTION("""COMPUTED_VALUE"""),1)</f>
        <v>1</v>
      </c>
      <c r="G709" s="5">
        <f ca="1">IFERROR(__xludf.DUMMYFUNCTION("""COMPUTED_VALUE"""),0)</f>
        <v>0</v>
      </c>
      <c r="H709"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I709" s="5"/>
      <c r="J709" s="5"/>
      <c r="K709" s="5">
        <f ca="1">IFERROR(__xludf.DUMMYFUNCTION("""COMPUTED_VALUE"""),3)</f>
        <v>3</v>
      </c>
      <c r="L709" s="5" t="str">
        <f ca="1">IFERROR(__xludf.DUMMYFUNCTION("""COMPUTED_VALUE"""),"Fall")</f>
        <v>Fall</v>
      </c>
      <c r="M709" s="5" t="str">
        <f ca="1">IFERROR(__xludf.DUMMYFUNCTION("""COMPUTED_VALUE"""),"Philadelphia")</f>
        <v>Philadelphia</v>
      </c>
      <c r="N709" s="5" t="str">
        <f ca="1">IFERROR(__xludf.DUMMYFUNCTION("""COMPUTED_VALUE"""),"PA")</f>
        <v>PA</v>
      </c>
      <c r="O709" s="5" t="str">
        <f ca="1">IFERROR(__xludf.DUMMYFUNCTION("""COMPUTED_VALUE"""),"High")</f>
        <v>High</v>
      </c>
      <c r="P709" s="5" t="str">
        <f ca="1">IFERROR(__xludf.DUMMYFUNCTION("""COMPUTED_VALUE"""),"Front of School")</f>
        <v>Front of School</v>
      </c>
      <c r="Q709" s="5" t="str">
        <f ca="1">IFERROR(__xludf.DUMMYFUNCTION("""COMPUTED_VALUE"""),"Outside on School Property")</f>
        <v>Outside on School Property</v>
      </c>
      <c r="R709" s="5" t="str">
        <f ca="1">IFERROR(__xludf.DUMMYFUNCTION("""COMPUTED_VALUE"""),"Yes")</f>
        <v>Yes</v>
      </c>
      <c r="S709" s="5" t="str">
        <f ca="1">IFERROR(__xludf.DUMMYFUNCTION("""COMPUTED_VALUE"""),"School Start")</f>
        <v>School Start</v>
      </c>
      <c r="T709" s="10">
        <f ca="1">IFERROR(__xludf.DUMMYFUNCTION("""COMPUTED_VALUE"""),0.34375)</f>
        <v>0.34375</v>
      </c>
      <c r="U709" s="5">
        <f ca="1">IFERROR(__xludf.DUMMYFUNCTION("""COMPUTED_VALUE"""),1)</f>
        <v>1</v>
      </c>
      <c r="V709" s="5" t="str">
        <f ca="1">IFERROR(__xludf.DUMMYFUNCTION("""COMPUTED_VALUE"""),"Student killed in cross fire of shooting outside of school")</f>
        <v>Student killed in cross fire of shooting outside of school</v>
      </c>
      <c r="W709"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X709" s="5" t="str">
        <f ca="1">IFERROR(__xludf.DUMMYFUNCTION("""COMPUTED_VALUE"""),"Escalation of Dispute")</f>
        <v>Escalation of Dispute</v>
      </c>
      <c r="Y709" s="5" t="str">
        <f ca="1">IFERROR(__xludf.DUMMYFUNCTION("""COMPUTED_VALUE"""),"Both")</f>
        <v>Both</v>
      </c>
      <c r="Z709" s="5" t="str">
        <f ca="1">IFERROR(__xludf.DUMMYFUNCTION("""COMPUTED_VALUE"""),"No")</f>
        <v>No</v>
      </c>
      <c r="AA709" s="5"/>
      <c r="AB709" s="5" t="str">
        <f ca="1">IFERROR(__xludf.DUMMYFUNCTION("""COMPUTED_VALUE"""),"No")</f>
        <v>No</v>
      </c>
      <c r="AC709" s="5" t="str">
        <f ca="1">IFERROR(__xludf.DUMMYFUNCTION("""COMPUTED_VALUE"""),"No")</f>
        <v>No</v>
      </c>
      <c r="AD709" s="5" t="str">
        <f ca="1">IFERROR(__xludf.DUMMYFUNCTION("""COMPUTED_VALUE"""),"No")</f>
        <v>No</v>
      </c>
      <c r="AE709" s="5" t="str">
        <f ca="1">IFERROR(__xludf.DUMMYFUNCTION("""COMPUTED_VALUE"""),"No")</f>
        <v>No</v>
      </c>
      <c r="AF709" s="5" t="str">
        <f ca="1">IFERROR(__xludf.DUMMYFUNCTION("""COMPUTED_VALUE"""),"No")</f>
        <v>No</v>
      </c>
      <c r="AG709" s="5"/>
      <c r="AH709" s="5" t="str">
        <f ca="1">IFERROR(__xludf.DUMMYFUNCTION("""COMPUTED_VALUE"""),"No")</f>
        <v>No</v>
      </c>
    </row>
    <row r="710" spans="1:34" ht="12.75">
      <c r="A710" s="5" t="str">
        <f ca="1">IFERROR(__xludf.DUMMYFUNCTION("""COMPUTED_VALUE"""),"20180924NCLAC")</f>
        <v>20180924NCLAC</v>
      </c>
      <c r="B710" s="8">
        <f ca="1">IFERROR(__xludf.DUMMYFUNCTION("""COMPUTED_VALUE"""),43367)</f>
        <v>43367</v>
      </c>
      <c r="C710" s="5" t="str">
        <f ca="1">IFERROR(__xludf.DUMMYFUNCTION("""COMPUTED_VALUE"""),"Lawrence Orr Elementary School")</f>
        <v>Lawrence Orr Elementary School</v>
      </c>
      <c r="D710" s="5">
        <f ca="1">IFERROR(__xludf.DUMMYFUNCTION("""COMPUTED_VALUE"""),0)</f>
        <v>0</v>
      </c>
      <c r="E710" s="5">
        <f ca="1">IFERROR(__xludf.DUMMYFUNCTION("""COMPUTED_VALUE"""),0)</f>
        <v>0</v>
      </c>
      <c r="F710" s="5">
        <f ca="1">IFERROR(__xludf.DUMMYFUNCTION("""COMPUTED_VALUE"""),0)</f>
        <v>0</v>
      </c>
      <c r="G710" s="5">
        <f ca="1">IFERROR(__xludf.DUMMYFUNCTION("""COMPUTED_VALUE"""),0)</f>
        <v>0</v>
      </c>
      <c r="H710"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I710" s="5"/>
      <c r="J710" s="5"/>
      <c r="K710" s="5">
        <f ca="1">IFERROR(__xludf.DUMMYFUNCTION("""COMPUTED_VALUE"""),3)</f>
        <v>3</v>
      </c>
      <c r="L710" s="5" t="str">
        <f ca="1">IFERROR(__xludf.DUMMYFUNCTION("""COMPUTED_VALUE"""),"Fall")</f>
        <v>Fall</v>
      </c>
      <c r="M710" s="5" t="str">
        <f ca="1">IFERROR(__xludf.DUMMYFUNCTION("""COMPUTED_VALUE"""),"Charlotte")</f>
        <v>Charlotte</v>
      </c>
      <c r="N710" s="5" t="str">
        <f ca="1">IFERROR(__xludf.DUMMYFUNCTION("""COMPUTED_VALUE"""),"NC")</f>
        <v>NC</v>
      </c>
      <c r="O710" s="5" t="str">
        <f ca="1">IFERROR(__xludf.DUMMYFUNCTION("""COMPUTED_VALUE"""),"Elementary")</f>
        <v>Elementary</v>
      </c>
      <c r="P710" s="5" t="str">
        <f ca="1">IFERROR(__xludf.DUMMYFUNCTION("""COMPUTED_VALUE"""),"Parking Lot")</f>
        <v>Parking Lot</v>
      </c>
      <c r="Q710" s="5" t="str">
        <f ca="1">IFERROR(__xludf.DUMMYFUNCTION("""COMPUTED_VALUE"""),"Outside on School Property")</f>
        <v>Outside on School Property</v>
      </c>
      <c r="R710" s="5" t="str">
        <f ca="1">IFERROR(__xludf.DUMMYFUNCTION("""COMPUTED_VALUE"""),"Yes")</f>
        <v>Yes</v>
      </c>
      <c r="S710" s="5" t="str">
        <f ca="1">IFERROR(__xludf.DUMMYFUNCTION("""COMPUTED_VALUE"""),"School Start")</f>
        <v>School Start</v>
      </c>
      <c r="T710" s="10">
        <f ca="1">IFERROR(__xludf.DUMMYFUNCTION("""COMPUTED_VALUE"""),0.375)</f>
        <v>0.375</v>
      </c>
      <c r="U710" s="5">
        <f ca="1">IFERROR(__xludf.DUMMYFUNCTION("""COMPUTED_VALUE"""),1)</f>
        <v>1</v>
      </c>
      <c r="V710" s="5" t="str">
        <f ca="1">IFERROR(__xludf.DUMMYFUNCTION("""COMPUTED_VALUE"""),"Multiple shots fired at vehicle after child was dropped off")</f>
        <v>Multiple shots fired at vehicle after child was dropped off</v>
      </c>
      <c r="W710"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X710" s="5" t="str">
        <f ca="1">IFERROR(__xludf.DUMMYFUNCTION("""COMPUTED_VALUE"""),"Escalation of Dispute")</f>
        <v>Escalation of Dispute</v>
      </c>
      <c r="Y710" s="5" t="str">
        <f ca="1">IFERROR(__xludf.DUMMYFUNCTION("""COMPUTED_VALUE"""),"Victims Targeted")</f>
        <v>Victims Targeted</v>
      </c>
      <c r="Z710" s="5" t="str">
        <f ca="1">IFERROR(__xludf.DUMMYFUNCTION("""COMPUTED_VALUE"""),"No")</f>
        <v>No</v>
      </c>
      <c r="AA710" s="5"/>
      <c r="AB710" s="5" t="str">
        <f ca="1">IFERROR(__xludf.DUMMYFUNCTION("""COMPUTED_VALUE"""),"No")</f>
        <v>No</v>
      </c>
      <c r="AC710" s="5" t="str">
        <f ca="1">IFERROR(__xludf.DUMMYFUNCTION("""COMPUTED_VALUE"""),"No")</f>
        <v>No</v>
      </c>
      <c r="AD710" s="5" t="str">
        <f ca="1">IFERROR(__xludf.DUMMYFUNCTION("""COMPUTED_VALUE"""),"No")</f>
        <v>No</v>
      </c>
      <c r="AE710" s="5" t="str">
        <f ca="1">IFERROR(__xludf.DUMMYFUNCTION("""COMPUTED_VALUE"""),"No")</f>
        <v>No</v>
      </c>
      <c r="AF710" s="5"/>
      <c r="AG710" s="5"/>
      <c r="AH710" s="5" t="str">
        <f ca="1">IFERROR(__xludf.DUMMYFUNCTION("""COMPUTED_VALUE"""),"No")</f>
        <v>No</v>
      </c>
    </row>
    <row r="711" spans="1:34" ht="12.75">
      <c r="A711" s="5" t="str">
        <f ca="1">IFERROR(__xludf.DUMMYFUNCTION("""COMPUTED_VALUE"""),"20180924GAAPB")</f>
        <v>20180924GAAPB</v>
      </c>
      <c r="B711" s="8">
        <f ca="1">IFERROR(__xludf.DUMMYFUNCTION("""COMPUTED_VALUE"""),43367)</f>
        <v>43367</v>
      </c>
      <c r="C711" s="5" t="str">
        <f ca="1">IFERROR(__xludf.DUMMYFUNCTION("""COMPUTED_VALUE"""),"Appling County High School")</f>
        <v>Appling County High School</v>
      </c>
      <c r="D711" s="5">
        <f ca="1">IFERROR(__xludf.DUMMYFUNCTION("""COMPUTED_VALUE"""),0)</f>
        <v>0</v>
      </c>
      <c r="E711" s="5">
        <f ca="1">IFERROR(__xludf.DUMMYFUNCTION("""COMPUTED_VALUE"""),0)</f>
        <v>0</v>
      </c>
      <c r="F711" s="5">
        <f ca="1">IFERROR(__xludf.DUMMYFUNCTION("""COMPUTED_VALUE"""),0)</f>
        <v>0</v>
      </c>
      <c r="G711" s="5">
        <f ca="1">IFERROR(__xludf.DUMMYFUNCTION("""COMPUTED_VALUE"""),1)</f>
        <v>1</v>
      </c>
      <c r="H711" s="9" t="str">
        <f ca="1">IFERROR(__xludf.DUMMYFUNCTION("""COMPUTED_VALUE"""),"https://www.wsav.com/news/local-news/update-student-found-shot-at-appling-co-hs-declared-dead-coroner-says/")</f>
        <v>https://www.wsav.com/news/local-news/update-student-found-shot-at-appling-co-hs-declared-dead-coroner-says/</v>
      </c>
      <c r="I711" s="5"/>
      <c r="J711" s="5"/>
      <c r="K711" s="5">
        <f ca="1">IFERROR(__xludf.DUMMYFUNCTION("""COMPUTED_VALUE"""),4)</f>
        <v>4</v>
      </c>
      <c r="L711" s="5" t="str">
        <f ca="1">IFERROR(__xludf.DUMMYFUNCTION("""COMPUTED_VALUE"""),"Fall")</f>
        <v>Fall</v>
      </c>
      <c r="M711" s="5" t="str">
        <f ca="1">IFERROR(__xludf.DUMMYFUNCTION("""COMPUTED_VALUE"""),"Baxley")</f>
        <v>Baxley</v>
      </c>
      <c r="N711" s="5" t="str">
        <f ca="1">IFERROR(__xludf.DUMMYFUNCTION("""COMPUTED_VALUE"""),"GA")</f>
        <v>GA</v>
      </c>
      <c r="O711" s="5" t="str">
        <f ca="1">IFERROR(__xludf.DUMMYFUNCTION("""COMPUTED_VALUE"""),"High")</f>
        <v>High</v>
      </c>
      <c r="P711" s="5" t="str">
        <f ca="1">IFERROR(__xludf.DUMMYFUNCTION("""COMPUTED_VALUE"""),"Bathroom")</f>
        <v>Bathroom</v>
      </c>
      <c r="Q711" s="5" t="str">
        <f ca="1">IFERROR(__xludf.DUMMYFUNCTION("""COMPUTED_VALUE"""),"Inside School Building")</f>
        <v>Inside School Building</v>
      </c>
      <c r="R711" s="5" t="str">
        <f ca="1">IFERROR(__xludf.DUMMYFUNCTION("""COMPUTED_VALUE"""),"Yes")</f>
        <v>Yes</v>
      </c>
      <c r="S711" s="5" t="str">
        <f ca="1">IFERROR(__xludf.DUMMYFUNCTION("""COMPUTED_VALUE"""),"Morning Classes")</f>
        <v>Morning Classes</v>
      </c>
      <c r="T711" s="5"/>
      <c r="U711" s="5">
        <f ca="1">IFERROR(__xludf.DUMMYFUNCTION("""COMPUTED_VALUE"""),1)</f>
        <v>1</v>
      </c>
      <c r="V711" s="5" t="str">
        <f ca="1">IFERROR(__xludf.DUMMYFUNCTION("""COMPUTED_VALUE"""),"Student commit suicide in bathroom")</f>
        <v>Student commit suicide in bathroom</v>
      </c>
      <c r="W711"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X711" s="5" t="str">
        <f ca="1">IFERROR(__xludf.DUMMYFUNCTION("""COMPUTED_VALUE"""),"Suicide/Attempted")</f>
        <v>Suicide/Attempted</v>
      </c>
      <c r="Y711" s="5" t="str">
        <f ca="1">IFERROR(__xludf.DUMMYFUNCTION("""COMPUTED_VALUE"""),"Victims Targeted")</f>
        <v>Victims Targeted</v>
      </c>
      <c r="Z711" s="5" t="str">
        <f ca="1">IFERROR(__xludf.DUMMYFUNCTION("""COMPUTED_VALUE"""),"No")</f>
        <v>No</v>
      </c>
      <c r="AA711" s="5"/>
      <c r="AB711" s="5" t="str">
        <f ca="1">IFERROR(__xludf.DUMMYFUNCTION("""COMPUTED_VALUE"""),"No")</f>
        <v>No</v>
      </c>
      <c r="AC711" s="5" t="str">
        <f ca="1">IFERROR(__xludf.DUMMYFUNCTION("""COMPUTED_VALUE"""),"No")</f>
        <v>No</v>
      </c>
      <c r="AD711" s="5" t="str">
        <f ca="1">IFERROR(__xludf.DUMMYFUNCTION("""COMPUTED_VALUE"""),"No")</f>
        <v>No</v>
      </c>
      <c r="AE711" s="5"/>
      <c r="AF711" s="5" t="str">
        <f ca="1">IFERROR(__xludf.DUMMYFUNCTION("""COMPUTED_VALUE"""),"No")</f>
        <v>No</v>
      </c>
      <c r="AG711" s="5" t="str">
        <f ca="1">IFERROR(__xludf.DUMMYFUNCTION("""COMPUTED_VALUE"""),"No")</f>
        <v>No</v>
      </c>
      <c r="AH711" s="5" t="str">
        <f ca="1">IFERROR(__xludf.DUMMYFUNCTION("""COMPUTED_VALUE"""),"No")</f>
        <v>No</v>
      </c>
    </row>
    <row r="712" spans="1:34" ht="12.75">
      <c r="A712" s="5" t="str">
        <f ca="1">IFERROR(__xludf.DUMMYFUNCTION("""COMPUTED_VALUE"""),"20180920CAPOP")</f>
        <v>20180920CAPOP</v>
      </c>
      <c r="B712" s="8">
        <f ca="1">IFERROR(__xludf.DUMMYFUNCTION("""COMPUTED_VALUE"""),43363)</f>
        <v>43363</v>
      </c>
      <c r="C712" s="5" t="str">
        <f ca="1">IFERROR(__xludf.DUMMYFUNCTION("""COMPUTED_VALUE"""),"Pomona High School")</f>
        <v>Pomona High School</v>
      </c>
      <c r="D712" s="5">
        <f ca="1">IFERROR(__xludf.DUMMYFUNCTION("""COMPUTED_VALUE"""),0)</f>
        <v>0</v>
      </c>
      <c r="E712" s="5">
        <f ca="1">IFERROR(__xludf.DUMMYFUNCTION("""COMPUTED_VALUE"""),0)</f>
        <v>0</v>
      </c>
      <c r="F712" s="5">
        <f ca="1">IFERROR(__xludf.DUMMYFUNCTION("""COMPUTED_VALUE"""),0)</f>
        <v>0</v>
      </c>
      <c r="G712" s="5">
        <f ca="1">IFERROR(__xludf.DUMMYFUNCTION("""COMPUTED_VALUE"""),1)</f>
        <v>1</v>
      </c>
      <c r="H712" s="9" t="str">
        <f ca="1">IFERROR(__xludf.DUMMYFUNCTION("""COMPUTED_VALUE"""),"https://www.dailybulletin.com/2018/09/20/body-found-at-pomona-high-school/")</f>
        <v>https://www.dailybulletin.com/2018/09/20/body-found-at-pomona-high-school/</v>
      </c>
      <c r="I712" s="5"/>
      <c r="J712" s="5"/>
      <c r="K712" s="5">
        <f ca="1">IFERROR(__xludf.DUMMYFUNCTION("""COMPUTED_VALUE"""),4)</f>
        <v>4</v>
      </c>
      <c r="L712" s="5" t="str">
        <f ca="1">IFERROR(__xludf.DUMMYFUNCTION("""COMPUTED_VALUE"""),"Fall")</f>
        <v>Fall</v>
      </c>
      <c r="M712" s="5" t="str">
        <f ca="1">IFERROR(__xludf.DUMMYFUNCTION("""COMPUTED_VALUE"""),"Pomona")</f>
        <v>Pomona</v>
      </c>
      <c r="N712" s="5" t="str">
        <f ca="1">IFERROR(__xludf.DUMMYFUNCTION("""COMPUTED_VALUE"""),"CA")</f>
        <v>CA</v>
      </c>
      <c r="O712" s="5" t="str">
        <f ca="1">IFERROR(__xludf.DUMMYFUNCTION("""COMPUTED_VALUE"""),"High")</f>
        <v>High</v>
      </c>
      <c r="P712" s="5" t="str">
        <f ca="1">IFERROR(__xludf.DUMMYFUNCTION("""COMPUTED_VALUE"""),"Football Field/Track")</f>
        <v>Football Field/Track</v>
      </c>
      <c r="Q712" s="5" t="str">
        <f ca="1">IFERROR(__xludf.DUMMYFUNCTION("""COMPUTED_VALUE"""),"Outside on School Property")</f>
        <v>Outside on School Property</v>
      </c>
      <c r="R712" s="5" t="str">
        <f ca="1">IFERROR(__xludf.DUMMYFUNCTION("""COMPUTED_VALUE"""),"No")</f>
        <v>No</v>
      </c>
      <c r="S712" s="5" t="str">
        <f ca="1">IFERROR(__xludf.DUMMYFUNCTION("""COMPUTED_VALUE"""),"Before School")</f>
        <v>Before School</v>
      </c>
      <c r="T712" s="5"/>
      <c r="U712" s="5">
        <f ca="1">IFERROR(__xludf.DUMMYFUNCTION("""COMPUTED_VALUE"""),1)</f>
        <v>1</v>
      </c>
      <c r="V712" s="5" t="str">
        <f ca="1">IFERROR(__xludf.DUMMYFUNCTION("""COMPUTED_VALUE"""),"Adult make commit suicide on the school campus before classes started")</f>
        <v>Adult make commit suicide on the school campus before classes started</v>
      </c>
      <c r="W712"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X712" s="5" t="str">
        <f ca="1">IFERROR(__xludf.DUMMYFUNCTION("""COMPUTED_VALUE"""),"Suicide/Attempted")</f>
        <v>Suicide/Attempted</v>
      </c>
      <c r="Y712" s="5" t="str">
        <f ca="1">IFERROR(__xludf.DUMMYFUNCTION("""COMPUTED_VALUE"""),"Victims Targeted")</f>
        <v>Victims Targeted</v>
      </c>
      <c r="Z712" s="5" t="str">
        <f ca="1">IFERROR(__xludf.DUMMYFUNCTION("""COMPUTED_VALUE"""),"No")</f>
        <v>No</v>
      </c>
      <c r="AA712" s="5"/>
      <c r="AB712" s="5" t="str">
        <f ca="1">IFERROR(__xludf.DUMMYFUNCTION("""COMPUTED_VALUE"""),"No")</f>
        <v>No</v>
      </c>
      <c r="AC712" s="5" t="str">
        <f ca="1">IFERROR(__xludf.DUMMYFUNCTION("""COMPUTED_VALUE"""),"No")</f>
        <v>No</v>
      </c>
      <c r="AD712" s="5" t="str">
        <f ca="1">IFERROR(__xludf.DUMMYFUNCTION("""COMPUTED_VALUE"""),"No")</f>
        <v>No</v>
      </c>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row>
    <row r="713" spans="1:34" ht="12.75">
      <c r="A713" s="5" t="str">
        <f ca="1">IFERROR(__xludf.DUMMYFUNCTION("""COMPUTED_VALUE"""),"20180920CACHL")</f>
        <v>20180920CACHL</v>
      </c>
      <c r="B713" s="8">
        <f ca="1">IFERROR(__xludf.DUMMYFUNCTION("""COMPUTED_VALUE"""),43363)</f>
        <v>43363</v>
      </c>
      <c r="C713" s="5" t="str">
        <f ca="1">IFERROR(__xludf.DUMMYFUNCTION("""COMPUTED_VALUE"""),"CHAMPS Charter High School")</f>
        <v>CHAMPS Charter High School</v>
      </c>
      <c r="D713" s="5">
        <f ca="1">IFERROR(__xludf.DUMMYFUNCTION("""COMPUTED_VALUE"""),0)</f>
        <v>0</v>
      </c>
      <c r="E713" s="5">
        <f ca="1">IFERROR(__xludf.DUMMYFUNCTION("""COMPUTED_VALUE"""),2)</f>
        <v>2</v>
      </c>
      <c r="F713" s="5">
        <f ca="1">IFERROR(__xludf.DUMMYFUNCTION("""COMPUTED_VALUE"""),2)</f>
        <v>2</v>
      </c>
      <c r="G713" s="5">
        <f ca="1">IFERROR(__xludf.DUMMYFUNCTION("""COMPUTED_VALUE"""),0)</f>
        <v>0</v>
      </c>
      <c r="H713"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I713" s="5"/>
      <c r="J713" s="5"/>
      <c r="K713" s="5">
        <f ca="1">IFERROR(__xludf.DUMMYFUNCTION("""COMPUTED_VALUE"""),3)</f>
        <v>3</v>
      </c>
      <c r="L713" s="5" t="str">
        <f ca="1">IFERROR(__xludf.DUMMYFUNCTION("""COMPUTED_VALUE"""),"Fall")</f>
        <v>Fall</v>
      </c>
      <c r="M713" s="5" t="str">
        <f ca="1">IFERROR(__xludf.DUMMYFUNCTION("""COMPUTED_VALUE"""),"Los Angeles")</f>
        <v>Los Angeles</v>
      </c>
      <c r="N713" s="5" t="str">
        <f ca="1">IFERROR(__xludf.DUMMYFUNCTION("""COMPUTED_VALUE"""),"CA")</f>
        <v>CA</v>
      </c>
      <c r="O713" s="5" t="str">
        <f ca="1">IFERROR(__xludf.DUMMYFUNCTION("""COMPUTED_VALUE"""),"High")</f>
        <v>High</v>
      </c>
      <c r="P713" s="5" t="str">
        <f ca="1">IFERROR(__xludf.DUMMYFUNCTION("""COMPUTED_VALUE"""),"Off School Property")</f>
        <v>Off School Property</v>
      </c>
      <c r="Q713" s="5" t="str">
        <f ca="1">IFERROR(__xludf.DUMMYFUNCTION("""COMPUTED_VALUE"""),"Off School Property")</f>
        <v>Off School Property</v>
      </c>
      <c r="R713" s="5" t="str">
        <f ca="1">IFERROR(__xludf.DUMMYFUNCTION("""COMPUTED_VALUE"""),"Yes")</f>
        <v>Yes</v>
      </c>
      <c r="S713" s="5" t="str">
        <f ca="1">IFERROR(__xludf.DUMMYFUNCTION("""COMPUTED_VALUE"""),"Lunch")</f>
        <v>Lunch</v>
      </c>
      <c r="T713" s="10">
        <f ca="1">IFERROR(__xludf.DUMMYFUNCTION("""COMPUTED_VALUE"""),0.506944444444444)</f>
        <v>0.50694444444444398</v>
      </c>
      <c r="U713" s="5">
        <f ca="1">IFERROR(__xludf.DUMMYFUNCTION("""COMPUTED_VALUE"""),1)</f>
        <v>1</v>
      </c>
      <c r="V713" s="5" t="str">
        <f ca="1">IFERROR(__xludf.DUMMYFUNCTION("""COMPUTED_VALUE"""),"Shooting at fast food restaurant directly across from school, student and employee struck ran back to school")</f>
        <v>Shooting at fast food restaurant directly across from school, student and employee struck ran back to school</v>
      </c>
      <c r="W713"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X713" s="5" t="str">
        <f ca="1">IFERROR(__xludf.DUMMYFUNCTION("""COMPUTED_VALUE"""),"Escalation of Dispute")</f>
        <v>Escalation of Dispute</v>
      </c>
      <c r="Y713" s="5"/>
      <c r="Z713" s="5" t="str">
        <f ca="1">IFERROR(__xludf.DUMMYFUNCTION("""COMPUTED_VALUE"""),"Yes")</f>
        <v>Yes</v>
      </c>
      <c r="AA713" s="5" t="str">
        <f ca="1">IFERROR(__xludf.DUMMYFUNCTION("""COMPUTED_VALUE"""),"Two arrested")</f>
        <v>Two arrested</v>
      </c>
      <c r="AB713" s="5" t="str">
        <f ca="1">IFERROR(__xludf.DUMMYFUNCTION("""COMPUTED_VALUE"""),"No")</f>
        <v>No</v>
      </c>
      <c r="AC713" s="5" t="str">
        <f ca="1">IFERROR(__xludf.DUMMYFUNCTION("""COMPUTED_VALUE"""),"No")</f>
        <v>No</v>
      </c>
      <c r="AD713" s="5" t="str">
        <f ca="1">IFERROR(__xludf.DUMMYFUNCTION("""COMPUTED_VALUE"""),"No")</f>
        <v>No</v>
      </c>
      <c r="AE713" s="5" t="str">
        <f ca="1">IFERROR(__xludf.DUMMYFUNCTION("""COMPUTED_VALUE"""),"No")</f>
        <v>No</v>
      </c>
      <c r="AF713" s="5" t="str">
        <f ca="1">IFERROR(__xludf.DUMMYFUNCTION("""COMPUTED_VALUE"""),"No")</f>
        <v>No</v>
      </c>
      <c r="AG713" s="5"/>
      <c r="AH713" s="5" t="str">
        <f ca="1">IFERROR(__xludf.DUMMYFUNCTION("""COMPUTED_VALUE"""),"No")</f>
        <v>No</v>
      </c>
    </row>
    <row r="714" spans="1:34" ht="12.75">
      <c r="A714" s="5" t="str">
        <f ca="1">IFERROR(__xludf.DUMMYFUNCTION("""COMPUTED_VALUE"""),"20180917ALBLH")</f>
        <v>20180917ALBLH</v>
      </c>
      <c r="B714" s="8">
        <f ca="1">IFERROR(__xludf.DUMMYFUNCTION("""COMPUTED_VALUE"""),43360)</f>
        <v>43360</v>
      </c>
      <c r="C714" s="5" t="str">
        <f ca="1">IFERROR(__xludf.DUMMYFUNCTION("""COMPUTED_VALUE"""),"Blossomwood Elementary School")</f>
        <v>Blossomwood Elementary School</v>
      </c>
      <c r="D714" s="5">
        <f ca="1">IFERROR(__xludf.DUMMYFUNCTION("""COMPUTED_VALUE"""),0)</f>
        <v>0</v>
      </c>
      <c r="E714" s="5">
        <f ca="1">IFERROR(__xludf.DUMMYFUNCTION("""COMPUTED_VALUE"""),1)</f>
        <v>1</v>
      </c>
      <c r="F714" s="5">
        <f ca="1">IFERROR(__xludf.DUMMYFUNCTION("""COMPUTED_VALUE"""),1)</f>
        <v>1</v>
      </c>
      <c r="G714" s="5">
        <f ca="1">IFERROR(__xludf.DUMMYFUNCTION("""COMPUTED_VALUE"""),0)</f>
        <v>0</v>
      </c>
      <c r="H714"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I714" s="5"/>
      <c r="J714" s="5"/>
      <c r="K714" s="5">
        <f ca="1">IFERROR(__xludf.DUMMYFUNCTION("""COMPUTED_VALUE"""),4)</f>
        <v>4</v>
      </c>
      <c r="L714" s="5" t="str">
        <f ca="1">IFERROR(__xludf.DUMMYFUNCTION("""COMPUTED_VALUE"""),"Fall")</f>
        <v>Fall</v>
      </c>
      <c r="M714" s="5" t="str">
        <f ca="1">IFERROR(__xludf.DUMMYFUNCTION("""COMPUTED_VALUE"""),"Huntsville")</f>
        <v>Huntsville</v>
      </c>
      <c r="N714" s="5" t="str">
        <f ca="1">IFERROR(__xludf.DUMMYFUNCTION("""COMPUTED_VALUE"""),"AL")</f>
        <v>AL</v>
      </c>
      <c r="O714" s="5" t="str">
        <f ca="1">IFERROR(__xludf.DUMMYFUNCTION("""COMPUTED_VALUE"""),"Elementary")</f>
        <v>Elementary</v>
      </c>
      <c r="P714" s="5" t="str">
        <f ca="1">IFERROR(__xludf.DUMMYFUNCTION("""COMPUTED_VALUE"""),"Gym")</f>
        <v>Gym</v>
      </c>
      <c r="Q714" s="5" t="str">
        <f ca="1">IFERROR(__xludf.DUMMYFUNCTION("""COMPUTED_VALUE"""),"Inside School Building")</f>
        <v>Inside School Building</v>
      </c>
      <c r="R714" s="5" t="str">
        <f ca="1">IFERROR(__xludf.DUMMYFUNCTION("""COMPUTED_VALUE"""),"Yes")</f>
        <v>Yes</v>
      </c>
      <c r="S714" s="5" t="str">
        <f ca="1">IFERROR(__xludf.DUMMYFUNCTION("""COMPUTED_VALUE"""),"Morning Classes")</f>
        <v>Morning Classes</v>
      </c>
      <c r="T714" s="10">
        <f ca="1">IFERROR(__xludf.DUMMYFUNCTION("""COMPUTED_VALUE"""),0.4375)</f>
        <v>0.4375</v>
      </c>
      <c r="U714" s="5">
        <f ca="1">IFERROR(__xludf.DUMMYFUNCTION("""COMPUTED_VALUE"""),1)</f>
        <v>1</v>
      </c>
      <c r="V714" s="5" t="str">
        <f ca="1">IFERROR(__xludf.DUMMYFUNCTION("""COMPUTED_VALUE"""),"Student showing gun off in gym class, accidental discharge")</f>
        <v>Student showing gun off in gym class, accidental discharge</v>
      </c>
      <c r="W714"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X714" s="5" t="str">
        <f ca="1">IFERROR(__xludf.DUMMYFUNCTION("""COMPUTED_VALUE"""),"Accidental")</f>
        <v>Accidental</v>
      </c>
      <c r="Y714" s="5" t="str">
        <f ca="1">IFERROR(__xludf.DUMMYFUNCTION("""COMPUTED_VALUE"""),"Neither")</f>
        <v>Neither</v>
      </c>
      <c r="Z714" s="5" t="str">
        <f ca="1">IFERROR(__xludf.DUMMYFUNCTION("""COMPUTED_VALUE"""),"No")</f>
        <v>No</v>
      </c>
      <c r="AA714" s="5"/>
      <c r="AB714" s="5" t="str">
        <f ca="1">IFERROR(__xludf.DUMMYFUNCTION("""COMPUTED_VALUE"""),"No")</f>
        <v>No</v>
      </c>
      <c r="AC714" s="5" t="str">
        <f ca="1">IFERROR(__xludf.DUMMYFUNCTION("""COMPUTED_VALUE"""),"No")</f>
        <v>No</v>
      </c>
      <c r="AD714" s="5" t="str">
        <f ca="1">IFERROR(__xludf.DUMMYFUNCTION("""COMPUTED_VALUE"""),"No")</f>
        <v>No</v>
      </c>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row>
    <row r="715" spans="1:34" ht="12.75">
      <c r="A715" s="5" t="str">
        <f ca="1">IFERROR(__xludf.DUMMYFUNCTION("""COMPUTED_VALUE"""),"20180914WAMAE")</f>
        <v>20180914WAMAE</v>
      </c>
      <c r="B715" s="8">
        <f ca="1">IFERROR(__xludf.DUMMYFUNCTION("""COMPUTED_VALUE"""),43357)</f>
        <v>43357</v>
      </c>
      <c r="C715" s="5" t="str">
        <f ca="1">IFERROR(__xludf.DUMMYFUNCTION("""COMPUTED_VALUE"""),"Mariner High School")</f>
        <v>Mariner High School</v>
      </c>
      <c r="D715" s="5">
        <f ca="1">IFERROR(__xludf.DUMMYFUNCTION("""COMPUTED_VALUE"""),0)</f>
        <v>0</v>
      </c>
      <c r="E715" s="5">
        <f ca="1">IFERROR(__xludf.DUMMYFUNCTION("""COMPUTED_VALUE"""),0)</f>
        <v>0</v>
      </c>
      <c r="F715" s="5">
        <f ca="1">IFERROR(__xludf.DUMMYFUNCTION("""COMPUTED_VALUE"""),0)</f>
        <v>0</v>
      </c>
      <c r="G715" s="5">
        <f ca="1">IFERROR(__xludf.DUMMYFUNCTION("""COMPUTED_VALUE"""),0)</f>
        <v>0</v>
      </c>
      <c r="H715" s="9" t="str">
        <f ca="1">IFERROR(__xludf.DUMMYFUNCTION("""COMPUTED_VALUE"""),"https://q13fox.com/2018/09/14/reports-of-shots-fired-outside-mariner-high-school-football-stadium-evacuated/")</f>
        <v>https://q13fox.com/2018/09/14/reports-of-shots-fired-outside-mariner-high-school-football-stadium-evacuated/</v>
      </c>
      <c r="I715" s="5"/>
      <c r="J715" s="5"/>
      <c r="K715" s="5">
        <f ca="1">IFERROR(__xludf.DUMMYFUNCTION("""COMPUTED_VALUE"""),2)</f>
        <v>2</v>
      </c>
      <c r="L715" s="5" t="str">
        <f ca="1">IFERROR(__xludf.DUMMYFUNCTION("""COMPUTED_VALUE"""),"Fall")</f>
        <v>Fall</v>
      </c>
      <c r="M715" s="5" t="str">
        <f ca="1">IFERROR(__xludf.DUMMYFUNCTION("""COMPUTED_VALUE"""),"Everett")</f>
        <v>Everett</v>
      </c>
      <c r="N715" s="5" t="str">
        <f ca="1">IFERROR(__xludf.DUMMYFUNCTION("""COMPUTED_VALUE"""),"WA")</f>
        <v>WA</v>
      </c>
      <c r="O715" s="5" t="str">
        <f ca="1">IFERROR(__xludf.DUMMYFUNCTION("""COMPUTED_VALUE"""),"High")</f>
        <v>High</v>
      </c>
      <c r="P715" s="5" t="str">
        <f ca="1">IFERROR(__xludf.DUMMYFUNCTION("""COMPUTED_VALUE"""),"Parking Lot")</f>
        <v>Parking Lot</v>
      </c>
      <c r="Q715" s="5" t="str">
        <f ca="1">IFERROR(__xludf.DUMMYFUNCTION("""COMPUTED_VALUE"""),"Outside on School Property")</f>
        <v>Outside on School Property</v>
      </c>
      <c r="R715" s="5" t="str">
        <f ca="1">IFERROR(__xludf.DUMMYFUNCTION("""COMPUTED_VALUE"""),"No")</f>
        <v>No</v>
      </c>
      <c r="S715" s="5" t="str">
        <f ca="1">IFERROR(__xludf.DUMMYFUNCTION("""COMPUTED_VALUE"""),"Sport Event")</f>
        <v>Sport Event</v>
      </c>
      <c r="T715" s="10">
        <f ca="1">IFERROR(__xludf.DUMMYFUNCTION("""COMPUTED_VALUE"""),0.875)</f>
        <v>0.875</v>
      </c>
      <c r="U715" s="5">
        <f ca="1">IFERROR(__xludf.DUMMYFUNCTION("""COMPUTED_VALUE"""),1)</f>
        <v>1</v>
      </c>
      <c r="V715" s="5" t="str">
        <f ca="1">IFERROR(__xludf.DUMMYFUNCTION("""COMPUTED_VALUE"""),"Shots fired in parking lot during football game, stadium evacuated")</f>
        <v>Shots fired in parking lot during football game, stadium evacuated</v>
      </c>
      <c r="W715"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X715" s="5" t="str">
        <f ca="1">IFERROR(__xludf.DUMMYFUNCTION("""COMPUTED_VALUE"""),"Escalation of Dispute")</f>
        <v>Escalation of Dispute</v>
      </c>
      <c r="Y715" s="5" t="str">
        <f ca="1">IFERROR(__xludf.DUMMYFUNCTION("""COMPUTED_VALUE"""),"Victims Targeted")</f>
        <v>Victims Targeted</v>
      </c>
      <c r="Z715" s="5"/>
      <c r="AA715" s="5"/>
      <c r="AB715" s="5" t="str">
        <f ca="1">IFERROR(__xludf.DUMMYFUNCTION("""COMPUTED_VALUE"""),"No")</f>
        <v>No</v>
      </c>
      <c r="AC715" s="5" t="str">
        <f ca="1">IFERROR(__xludf.DUMMYFUNCTION("""COMPUTED_VALUE"""),"No")</f>
        <v>No</v>
      </c>
      <c r="AD715" s="5" t="str">
        <f ca="1">IFERROR(__xludf.DUMMYFUNCTION("""COMPUTED_VALUE"""),"No")</f>
        <v>No</v>
      </c>
      <c r="AE715" s="5" t="str">
        <f ca="1">IFERROR(__xludf.DUMMYFUNCTION("""COMPUTED_VALUE"""),"No")</f>
        <v>No</v>
      </c>
      <c r="AF715" s="5" t="str">
        <f ca="1">IFERROR(__xludf.DUMMYFUNCTION("""COMPUTED_VALUE"""),"No")</f>
        <v>No</v>
      </c>
      <c r="AG715" s="5" t="str">
        <f ca="1">IFERROR(__xludf.DUMMYFUNCTION("""COMPUTED_VALUE"""),"Yes")</f>
        <v>Yes</v>
      </c>
      <c r="AH715" s="5" t="str">
        <f ca="1">IFERROR(__xludf.DUMMYFUNCTION("""COMPUTED_VALUE"""),"No")</f>
        <v>No</v>
      </c>
    </row>
    <row r="716" spans="1:34" ht="12.75">
      <c r="A716" s="5" t="str">
        <f ca="1">IFERROR(__xludf.DUMMYFUNCTION("""COMPUTED_VALUE"""),"20180914FLBOB")</f>
        <v>20180914FLBOB</v>
      </c>
      <c r="B716" s="8">
        <f ca="1">IFERROR(__xludf.DUMMYFUNCTION("""COMPUTED_VALUE"""),43357)</f>
        <v>43357</v>
      </c>
      <c r="C716" s="5" t="str">
        <f ca="1">IFERROR(__xludf.DUMMYFUNCTION("""COMPUTED_VALUE"""),"Boynton Beach High School")</f>
        <v>Boynton Beach High School</v>
      </c>
      <c r="D716" s="5">
        <f ca="1">IFERROR(__xludf.DUMMYFUNCTION("""COMPUTED_VALUE"""),0)</f>
        <v>0</v>
      </c>
      <c r="E716" s="5">
        <f ca="1">IFERROR(__xludf.DUMMYFUNCTION("""COMPUTED_VALUE"""),0)</f>
        <v>0</v>
      </c>
      <c r="F716" s="5">
        <f ca="1">IFERROR(__xludf.DUMMYFUNCTION("""COMPUTED_VALUE"""),0)</f>
        <v>0</v>
      </c>
      <c r="G716" s="5">
        <f ca="1">IFERROR(__xludf.DUMMYFUNCTION("""COMPUTED_VALUE"""),0)</f>
        <v>0</v>
      </c>
      <c r="H716"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I716" s="5"/>
      <c r="J716" s="5"/>
      <c r="K716" s="5">
        <f ca="1">IFERROR(__xludf.DUMMYFUNCTION("""COMPUTED_VALUE"""),3)</f>
        <v>3</v>
      </c>
      <c r="L716" s="5" t="str">
        <f ca="1">IFERROR(__xludf.DUMMYFUNCTION("""COMPUTED_VALUE"""),"Fall")</f>
        <v>Fall</v>
      </c>
      <c r="M716" s="5" t="str">
        <f ca="1">IFERROR(__xludf.DUMMYFUNCTION("""COMPUTED_VALUE"""),"Boynton Beach")</f>
        <v>Boynton Beach</v>
      </c>
      <c r="N716" s="5" t="str">
        <f ca="1">IFERROR(__xludf.DUMMYFUNCTION("""COMPUTED_VALUE"""),"FL")</f>
        <v>FL</v>
      </c>
      <c r="O716" s="5" t="str">
        <f ca="1">IFERROR(__xludf.DUMMYFUNCTION("""COMPUTED_VALUE"""),"High")</f>
        <v>High</v>
      </c>
      <c r="P716" s="5" t="str">
        <f ca="1">IFERROR(__xludf.DUMMYFUNCTION("""COMPUTED_VALUE"""),"Off School Property")</f>
        <v>Off School Property</v>
      </c>
      <c r="Q716" s="5" t="str">
        <f ca="1">IFERROR(__xludf.DUMMYFUNCTION("""COMPUTED_VALUE"""),"Off School Property")</f>
        <v>Off School Property</v>
      </c>
      <c r="R716" s="5" t="str">
        <f ca="1">IFERROR(__xludf.DUMMYFUNCTION("""COMPUTED_VALUE"""),"Yes")</f>
        <v>Yes</v>
      </c>
      <c r="S716" s="5" t="str">
        <f ca="1">IFERROR(__xludf.DUMMYFUNCTION("""COMPUTED_VALUE"""),"Before School")</f>
        <v>Before School</v>
      </c>
      <c r="T716" s="5"/>
      <c r="U716" s="5">
        <f ca="1">IFERROR(__xludf.DUMMYFUNCTION("""COMPUTED_VALUE"""),1)</f>
        <v>1</v>
      </c>
      <c r="V716" s="5" t="str">
        <f ca="1">IFERROR(__xludf.DUMMYFUNCTION("""COMPUTED_VALUE"""),"Two students had gun at bus stop, one shot fired, went to school, school locked down until gun was located")</f>
        <v>Two students had gun at bus stop, one shot fired, went to school, school locked down until gun was located</v>
      </c>
      <c r="W716"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X716" s="5" t="str">
        <f ca="1">IFERROR(__xludf.DUMMYFUNCTION("""COMPUTED_VALUE"""),"Accidental")</f>
        <v>Accidental</v>
      </c>
      <c r="Y716" s="5" t="str">
        <f ca="1">IFERROR(__xludf.DUMMYFUNCTION("""COMPUTED_VALUE"""),"Neither")</f>
        <v>Neither</v>
      </c>
      <c r="Z716" s="5" t="str">
        <f ca="1">IFERROR(__xludf.DUMMYFUNCTION("""COMPUTED_VALUE"""),"Yes")</f>
        <v>Yes</v>
      </c>
      <c r="AA716" s="5" t="str">
        <f ca="1">IFERROR(__xludf.DUMMYFUNCTION("""COMPUTED_VALUE"""),"Two students arrested, one fired, one had the gun")</f>
        <v>Two students arrested, one fired, one had the gun</v>
      </c>
      <c r="AB716" s="5" t="str">
        <f ca="1">IFERROR(__xludf.DUMMYFUNCTION("""COMPUTED_VALUE"""),"No")</f>
        <v>No</v>
      </c>
      <c r="AC716" s="5" t="str">
        <f ca="1">IFERROR(__xludf.DUMMYFUNCTION("""COMPUTED_VALUE"""),"No")</f>
        <v>No</v>
      </c>
      <c r="AD716" s="5" t="str">
        <f ca="1">IFERROR(__xludf.DUMMYFUNCTION("""COMPUTED_VALUE"""),"No")</f>
        <v>No</v>
      </c>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row>
    <row r="717" spans="1:34" ht="12.75">
      <c r="A717" s="5" t="str">
        <f ca="1">IFERROR(__xludf.DUMMYFUNCTION("""COMPUTED_VALUE"""),"20180911NVCAL")</f>
        <v>20180911NVCAL</v>
      </c>
      <c r="B717" s="8">
        <f ca="1">IFERROR(__xludf.DUMMYFUNCTION("""COMPUTED_VALUE"""),43354)</f>
        <v>43354</v>
      </c>
      <c r="C717" s="5" t="str">
        <f ca="1">IFERROR(__xludf.DUMMYFUNCTION("""COMPUTED_VALUE"""),"Canyon Springs High School")</f>
        <v>Canyon Springs High School</v>
      </c>
      <c r="D717" s="5">
        <f ca="1">IFERROR(__xludf.DUMMYFUNCTION("""COMPUTED_VALUE"""),1)</f>
        <v>1</v>
      </c>
      <c r="E717" s="5">
        <f ca="1">IFERROR(__xludf.DUMMYFUNCTION("""COMPUTED_VALUE"""),0)</f>
        <v>0</v>
      </c>
      <c r="F717" s="5">
        <f ca="1">IFERROR(__xludf.DUMMYFUNCTION("""COMPUTED_VALUE"""),1)</f>
        <v>1</v>
      </c>
      <c r="G717" s="5">
        <f ca="1">IFERROR(__xludf.DUMMYFUNCTION("""COMPUTED_VALUE"""),0)</f>
        <v>0</v>
      </c>
      <c r="H717"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I717" s="5"/>
      <c r="J717" s="5"/>
      <c r="K717" s="5">
        <f ca="1">IFERROR(__xludf.DUMMYFUNCTION("""COMPUTED_VALUE"""),4)</f>
        <v>4</v>
      </c>
      <c r="L717" s="5" t="str">
        <f ca="1">IFERROR(__xludf.DUMMYFUNCTION("""COMPUTED_VALUE"""),"Fall")</f>
        <v>Fall</v>
      </c>
      <c r="M717" s="5" t="str">
        <f ca="1">IFERROR(__xludf.DUMMYFUNCTION("""COMPUTED_VALUE"""),"Las Vegas")</f>
        <v>Las Vegas</v>
      </c>
      <c r="N717" s="5" t="str">
        <f ca="1">IFERROR(__xludf.DUMMYFUNCTION("""COMPUTED_VALUE"""),"NV")</f>
        <v>NV</v>
      </c>
      <c r="O717" s="5" t="str">
        <f ca="1">IFERROR(__xludf.DUMMYFUNCTION("""COMPUTED_VALUE"""),"High")</f>
        <v>High</v>
      </c>
      <c r="P717" s="5" t="str">
        <f ca="1">IFERROR(__xludf.DUMMYFUNCTION("""COMPUTED_VALUE"""),"Field (General)")</f>
        <v>Field (General)</v>
      </c>
      <c r="Q717" s="5" t="str">
        <f ca="1">IFERROR(__xludf.DUMMYFUNCTION("""COMPUTED_VALUE"""),"Outside on School Property")</f>
        <v>Outside on School Property</v>
      </c>
      <c r="R717" s="5" t="str">
        <f ca="1">IFERROR(__xludf.DUMMYFUNCTION("""COMPUTED_VALUE"""),"No")</f>
        <v>No</v>
      </c>
      <c r="S717" s="5" t="str">
        <f ca="1">IFERROR(__xludf.DUMMYFUNCTION("""COMPUTED_VALUE"""),"After School")</f>
        <v>After School</v>
      </c>
      <c r="T717" s="10">
        <f ca="1">IFERROR(__xludf.DUMMYFUNCTION("""COMPUTED_VALUE"""),0.611111111111111)</f>
        <v>0.61111111111111105</v>
      </c>
      <c r="U717" s="5">
        <f ca="1">IFERROR(__xludf.DUMMYFUNCTION("""COMPUTED_VALUE"""),1)</f>
        <v>1</v>
      </c>
      <c r="V717" s="5" t="str">
        <f ca="1">IFERROR(__xludf.DUMMYFUNCTION("""COMPUTED_VALUE"""),"Student shot on baseball field during altercation")</f>
        <v>Student shot on baseball field during altercation</v>
      </c>
      <c r="W717"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X717" s="5" t="str">
        <f ca="1">IFERROR(__xludf.DUMMYFUNCTION("""COMPUTED_VALUE"""),"Escalation of Dispute")</f>
        <v>Escalation of Dispute</v>
      </c>
      <c r="Y717" s="5" t="str">
        <f ca="1">IFERROR(__xludf.DUMMYFUNCTION("""COMPUTED_VALUE"""),"Victims Targeted")</f>
        <v>Victims Targeted</v>
      </c>
      <c r="Z717" s="5" t="str">
        <f ca="1">IFERROR(__xludf.DUMMYFUNCTION("""COMPUTED_VALUE"""),"No")</f>
        <v>No</v>
      </c>
      <c r="AA717" s="5"/>
      <c r="AB717" s="5" t="str">
        <f ca="1">IFERROR(__xludf.DUMMYFUNCTION("""COMPUTED_VALUE"""),"No")</f>
        <v>No</v>
      </c>
      <c r="AC717" s="5" t="str">
        <f ca="1">IFERROR(__xludf.DUMMYFUNCTION("""COMPUTED_VALUE"""),"No")</f>
        <v>No</v>
      </c>
      <c r="AD717" s="5" t="str">
        <f ca="1">IFERROR(__xludf.DUMMYFUNCTION("""COMPUTED_VALUE"""),"No")</f>
        <v>No</v>
      </c>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row>
    <row r="718" spans="1:34" ht="12.75">
      <c r="A718" s="5" t="str">
        <f ca="1">IFERROR(__xludf.DUMMYFUNCTION("""COMPUTED_VALUE"""),"20180910TNFAM")</f>
        <v>20180910TNFAM</v>
      </c>
      <c r="B718" s="8">
        <f ca="1">IFERROR(__xludf.DUMMYFUNCTION("""COMPUTED_VALUE"""),43353)</f>
        <v>43353</v>
      </c>
      <c r="C718" s="5" t="str">
        <f ca="1">IFERROR(__xludf.DUMMYFUNCTION("""COMPUTED_VALUE"""),"Fairley High School")</f>
        <v>Fairley High School</v>
      </c>
      <c r="D718" s="5">
        <f ca="1">IFERROR(__xludf.DUMMYFUNCTION("""COMPUTED_VALUE"""),0)</f>
        <v>0</v>
      </c>
      <c r="E718" s="5">
        <f ca="1">IFERROR(__xludf.DUMMYFUNCTION("""COMPUTED_VALUE"""),1)</f>
        <v>1</v>
      </c>
      <c r="F718" s="5">
        <f ca="1">IFERROR(__xludf.DUMMYFUNCTION("""COMPUTED_VALUE"""),1)</f>
        <v>1</v>
      </c>
      <c r="G718" s="5">
        <f ca="1">IFERROR(__xludf.DUMMYFUNCTION("""COMPUTED_VALUE"""),0)</f>
        <v>0</v>
      </c>
      <c r="H718"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I718" s="5"/>
      <c r="J718" s="5"/>
      <c r="K718" s="5">
        <f ca="1">IFERROR(__xludf.DUMMYFUNCTION("""COMPUTED_VALUE"""),3)</f>
        <v>3</v>
      </c>
      <c r="L718" s="5" t="str">
        <f ca="1">IFERROR(__xludf.DUMMYFUNCTION("""COMPUTED_VALUE"""),"Fall")</f>
        <v>Fall</v>
      </c>
      <c r="M718" s="5" t="str">
        <f ca="1">IFERROR(__xludf.DUMMYFUNCTION("""COMPUTED_VALUE"""),"Memphis")</f>
        <v>Memphis</v>
      </c>
      <c r="N718" s="5" t="str">
        <f ca="1">IFERROR(__xludf.DUMMYFUNCTION("""COMPUTED_VALUE"""),"TN")</f>
        <v>TN</v>
      </c>
      <c r="O718" s="5" t="str">
        <f ca="1">IFERROR(__xludf.DUMMYFUNCTION("""COMPUTED_VALUE"""),"High")</f>
        <v>High</v>
      </c>
      <c r="P718" s="5" t="str">
        <f ca="1">IFERROR(__xludf.DUMMYFUNCTION("""COMPUTED_VALUE"""),"School Bus")</f>
        <v>School Bus</v>
      </c>
      <c r="Q718" s="5" t="str">
        <f ca="1">IFERROR(__xludf.DUMMYFUNCTION("""COMPUTED_VALUE"""),"School Bus")</f>
        <v>School Bus</v>
      </c>
      <c r="R718" s="5" t="str">
        <f ca="1">IFERROR(__xludf.DUMMYFUNCTION("""COMPUTED_VALUE"""),"Yes")</f>
        <v>Yes</v>
      </c>
      <c r="S718" s="5" t="str">
        <f ca="1">IFERROR(__xludf.DUMMYFUNCTION("""COMPUTED_VALUE"""),"After School")</f>
        <v>After School</v>
      </c>
      <c r="T718" s="10">
        <f ca="1">IFERROR(__xludf.DUMMYFUNCTION("""COMPUTED_VALUE"""),0.666666666666666)</f>
        <v>0.66666666666666596</v>
      </c>
      <c r="U718" s="5">
        <f ca="1">IFERROR(__xludf.DUMMYFUNCTION("""COMPUTED_VALUE"""),1)</f>
        <v>1</v>
      </c>
      <c r="V718" s="5" t="str">
        <f ca="1">IFERROR(__xludf.DUMMYFUNCTION("""COMPUTED_VALUE"""),"Three shots were fired a school bus, 15YOF student injured")</f>
        <v>Three shots were fired a school bus, 15YOF student injured</v>
      </c>
      <c r="W718" s="5" t="str">
        <f ca="1">IFERROR(__xludf.DUMMYFUNCTION("""COMPUTED_VALUE"""),"3 shots were fired at school bus by unknown shooter. 15YOF was injured. No suspect or motive.")</f>
        <v>3 shots were fired at school bus by unknown shooter. 15YOF was injured. No suspect or motive.</v>
      </c>
      <c r="X718" s="5" t="str">
        <f ca="1">IFERROR(__xludf.DUMMYFUNCTION("""COMPUTED_VALUE"""),"Unknown")</f>
        <v>Unknown</v>
      </c>
      <c r="Y718" s="5"/>
      <c r="Z718" s="5" t="str">
        <f ca="1">IFERROR(__xludf.DUMMYFUNCTION("""COMPUTED_VALUE"""),"No")</f>
        <v>No</v>
      </c>
      <c r="AA718" s="5"/>
      <c r="AB718" s="5" t="str">
        <f ca="1">IFERROR(__xludf.DUMMYFUNCTION("""COMPUTED_VALUE"""),"No")</f>
        <v>No</v>
      </c>
      <c r="AC718" s="5" t="str">
        <f ca="1">IFERROR(__xludf.DUMMYFUNCTION("""COMPUTED_VALUE"""),"No")</f>
        <v>No</v>
      </c>
      <c r="AD718" s="5" t="str">
        <f ca="1">IFERROR(__xludf.DUMMYFUNCTION("""COMPUTED_VALUE"""),"No")</f>
        <v>No</v>
      </c>
      <c r="AE718" s="5" t="str">
        <f ca="1">IFERROR(__xludf.DUMMYFUNCTION("""COMPUTED_VALUE"""),"No")</f>
        <v>No</v>
      </c>
      <c r="AF718" s="5" t="str">
        <f ca="1">IFERROR(__xludf.DUMMYFUNCTION("""COMPUTED_VALUE"""),"No")</f>
        <v>No</v>
      </c>
      <c r="AG718" s="5"/>
      <c r="AH718" s="5" t="str">
        <f ca="1">IFERROR(__xludf.DUMMYFUNCTION("""COMPUTED_VALUE"""),"No")</f>
        <v>No</v>
      </c>
    </row>
    <row r="719" spans="1:34" ht="12.75">
      <c r="A719" s="5" t="str">
        <f ca="1">IFERROR(__xludf.DUMMYFUNCTION("""COMPUTED_VALUE"""),"20180910ILCHC")</f>
        <v>20180910ILCHC</v>
      </c>
      <c r="B719" s="8">
        <f ca="1">IFERROR(__xludf.DUMMYFUNCTION("""COMPUTED_VALUE"""),43353)</f>
        <v>43353</v>
      </c>
      <c r="C719" s="5" t="str">
        <f ca="1">IFERROR(__xludf.DUMMYFUNCTION("""COMPUTED_VALUE"""),"Chatham Academy High School")</f>
        <v>Chatham Academy High School</v>
      </c>
      <c r="D719" s="5">
        <f ca="1">IFERROR(__xludf.DUMMYFUNCTION("""COMPUTED_VALUE"""),0)</f>
        <v>0</v>
      </c>
      <c r="E719" s="5">
        <f ca="1">IFERROR(__xludf.DUMMYFUNCTION("""COMPUTED_VALUE"""),3)</f>
        <v>3</v>
      </c>
      <c r="F719" s="5">
        <f ca="1">IFERROR(__xludf.DUMMYFUNCTION("""COMPUTED_VALUE"""),3)</f>
        <v>3</v>
      </c>
      <c r="G719" s="5">
        <f ca="1">IFERROR(__xludf.DUMMYFUNCTION("""COMPUTED_VALUE"""),0)</f>
        <v>0</v>
      </c>
      <c r="H719"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I719" s="5"/>
      <c r="J719" s="5"/>
      <c r="K719" s="5">
        <f ca="1">IFERROR(__xludf.DUMMYFUNCTION("""COMPUTED_VALUE"""),3)</f>
        <v>3</v>
      </c>
      <c r="L719" s="5" t="str">
        <f ca="1">IFERROR(__xludf.DUMMYFUNCTION("""COMPUTED_VALUE"""),"Fall")</f>
        <v>Fall</v>
      </c>
      <c r="M719" s="5" t="str">
        <f ca="1">IFERROR(__xludf.DUMMYFUNCTION("""COMPUTED_VALUE"""),"Chicago")</f>
        <v>Chicago</v>
      </c>
      <c r="N719" s="5" t="str">
        <f ca="1">IFERROR(__xludf.DUMMYFUNCTION("""COMPUTED_VALUE"""),"IL")</f>
        <v>IL</v>
      </c>
      <c r="O719" s="5" t="str">
        <f ca="1">IFERROR(__xludf.DUMMYFUNCTION("""COMPUTED_VALUE"""),"High")</f>
        <v>High</v>
      </c>
      <c r="P719" s="5" t="str">
        <f ca="1">IFERROR(__xludf.DUMMYFUNCTION("""COMPUTED_VALUE"""),"Beside Building")</f>
        <v>Beside Building</v>
      </c>
      <c r="Q719" s="5" t="str">
        <f ca="1">IFERROR(__xludf.DUMMYFUNCTION("""COMPUTED_VALUE"""),"Outside on School Property")</f>
        <v>Outside on School Property</v>
      </c>
      <c r="R719" s="5" t="str">
        <f ca="1">IFERROR(__xludf.DUMMYFUNCTION("""COMPUTED_VALUE"""),"Yes")</f>
        <v>Yes</v>
      </c>
      <c r="S719" s="5" t="str">
        <f ca="1">IFERROR(__xludf.DUMMYFUNCTION("""COMPUTED_VALUE"""),"Dismissal")</f>
        <v>Dismissal</v>
      </c>
      <c r="T719" s="10">
        <f ca="1">IFERROR(__xludf.DUMMYFUNCTION("""COMPUTED_VALUE"""),0.666666666666666)</f>
        <v>0.66666666666666596</v>
      </c>
      <c r="U719" s="5">
        <f ca="1">IFERROR(__xludf.DUMMYFUNCTION("""COMPUTED_VALUE"""),1)</f>
        <v>1</v>
      </c>
      <c r="V719" s="5" t="str">
        <f ca="1">IFERROR(__xludf.DUMMYFUNCTION("""COMPUTED_VALUE"""),"Shooter in ski mask got out of vehicle and fired multiple shots at three students leaving school")</f>
        <v>Shooter in ski mask got out of vehicle and fired multiple shots at three students leaving school</v>
      </c>
      <c r="W719"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X719" s="5" t="str">
        <f ca="1">IFERROR(__xludf.DUMMYFUNCTION("""COMPUTED_VALUE"""),"Escalation of Dispute")</f>
        <v>Escalation of Dispute</v>
      </c>
      <c r="Y719" s="5" t="str">
        <f ca="1">IFERROR(__xludf.DUMMYFUNCTION("""COMPUTED_VALUE"""),"Victims Targeted")</f>
        <v>Victims Targeted</v>
      </c>
      <c r="Z719" s="5" t="str">
        <f ca="1">IFERROR(__xludf.DUMMYFUNCTION("""COMPUTED_VALUE"""),"Yes")</f>
        <v>Yes</v>
      </c>
      <c r="AA719" s="5" t="str">
        <f ca="1">IFERROR(__xludf.DUMMYFUNCTION("""COMPUTED_VALUE"""),"Two arrested, one was driving car")</f>
        <v>Two arrested, one was driving car</v>
      </c>
      <c r="AB719" s="5" t="str">
        <f ca="1">IFERROR(__xludf.DUMMYFUNCTION("""COMPUTED_VALUE"""),"No")</f>
        <v>No</v>
      </c>
      <c r="AC719" s="5" t="str">
        <f ca="1">IFERROR(__xludf.DUMMYFUNCTION("""COMPUTED_VALUE"""),"No")</f>
        <v>No</v>
      </c>
      <c r="AD719" s="5" t="str">
        <f ca="1">IFERROR(__xludf.DUMMYFUNCTION("""COMPUTED_VALUE"""),"No")</f>
        <v>No</v>
      </c>
      <c r="AE719" s="5" t="str">
        <f ca="1">IFERROR(__xludf.DUMMYFUNCTION("""COMPUTED_VALUE"""),"No")</f>
        <v>No</v>
      </c>
      <c r="AF719" s="5" t="str">
        <f ca="1">IFERROR(__xludf.DUMMYFUNCTION("""COMPUTED_VALUE"""),"No")</f>
        <v>No</v>
      </c>
      <c r="AG719" s="5" t="str">
        <f ca="1">IFERROR(__xludf.DUMMYFUNCTION("""COMPUTED_VALUE"""),"Yes")</f>
        <v>Yes</v>
      </c>
      <c r="AH719" s="5" t="str">
        <f ca="1">IFERROR(__xludf.DUMMYFUNCTION("""COMPUTED_VALUE"""),"No")</f>
        <v>No</v>
      </c>
    </row>
    <row r="720" spans="1:34" ht="12.75">
      <c r="A720" s="5" t="str">
        <f ca="1">IFERROR(__xludf.DUMMYFUNCTION("""COMPUTED_VALUE"""),"20180909CAGIG")</f>
        <v>20180909CAGIG</v>
      </c>
      <c r="B720" s="8">
        <f ca="1">IFERROR(__xludf.DUMMYFUNCTION("""COMPUTED_VALUE"""),43352)</f>
        <v>43352</v>
      </c>
      <c r="C720" s="5" t="str">
        <f ca="1">IFERROR(__xludf.DUMMYFUNCTION("""COMPUTED_VALUE"""),"Gilroy High School")</f>
        <v>Gilroy High School</v>
      </c>
      <c r="D720" s="5">
        <f ca="1">IFERROR(__xludf.DUMMYFUNCTION("""COMPUTED_VALUE"""),0)</f>
        <v>0</v>
      </c>
      <c r="E720" s="5">
        <f ca="1">IFERROR(__xludf.DUMMYFUNCTION("""COMPUTED_VALUE"""),0)</f>
        <v>0</v>
      </c>
      <c r="F720" s="5">
        <f ca="1">IFERROR(__xludf.DUMMYFUNCTION("""COMPUTED_VALUE"""),0)</f>
        <v>0</v>
      </c>
      <c r="G720" s="5">
        <f ca="1">IFERROR(__xludf.DUMMYFUNCTION("""COMPUTED_VALUE"""),0)</f>
        <v>0</v>
      </c>
      <c r="H720"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I720" s="5"/>
      <c r="J720" s="5"/>
      <c r="K720" s="5">
        <f ca="1">IFERROR(__xludf.DUMMYFUNCTION("""COMPUTED_VALUE"""),3)</f>
        <v>3</v>
      </c>
      <c r="L720" s="5" t="str">
        <f ca="1">IFERROR(__xludf.DUMMYFUNCTION("""COMPUTED_VALUE"""),"Fall")</f>
        <v>Fall</v>
      </c>
      <c r="M720" s="5" t="str">
        <f ca="1">IFERROR(__xludf.DUMMYFUNCTION("""COMPUTED_VALUE"""),"Gilroy")</f>
        <v>Gilroy</v>
      </c>
      <c r="N720" s="5" t="str">
        <f ca="1">IFERROR(__xludf.DUMMYFUNCTION("""COMPUTED_VALUE"""),"CA")</f>
        <v>CA</v>
      </c>
      <c r="O720" s="5" t="str">
        <f ca="1">IFERROR(__xludf.DUMMYFUNCTION("""COMPUTED_VALUE"""),"High")</f>
        <v>High</v>
      </c>
      <c r="P720" s="5" t="str">
        <f ca="1">IFERROR(__xludf.DUMMYFUNCTION("""COMPUTED_VALUE"""),"Field (General)")</f>
        <v>Field (General)</v>
      </c>
      <c r="Q720" s="5" t="str">
        <f ca="1">IFERROR(__xludf.DUMMYFUNCTION("""COMPUTED_VALUE"""),"Outside on School Property")</f>
        <v>Outside on School Property</v>
      </c>
      <c r="R720" s="5" t="str">
        <f ca="1">IFERROR(__xludf.DUMMYFUNCTION("""COMPUTED_VALUE"""),"No")</f>
        <v>No</v>
      </c>
      <c r="S720" s="5" t="str">
        <f ca="1">IFERROR(__xludf.DUMMYFUNCTION("""COMPUTED_VALUE"""),"Not a School Day")</f>
        <v>Not a School Day</v>
      </c>
      <c r="T720" s="10">
        <f ca="1">IFERROR(__xludf.DUMMYFUNCTION("""COMPUTED_VALUE"""),0.541666666666666)</f>
        <v>0.54166666666666596</v>
      </c>
      <c r="U720" s="5">
        <f ca="1">IFERROR(__xludf.DUMMYFUNCTION("""COMPUTED_VALUE"""),1)</f>
        <v>1</v>
      </c>
      <c r="V720" s="5" t="str">
        <f ca="1">IFERROR(__xludf.DUMMYFUNCTION("""COMPUTED_VALUE"""),"Officer shot a vehicle driving recklessly on football field")</f>
        <v>Officer shot a vehicle driving recklessly on football field</v>
      </c>
      <c r="W720"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X720" s="5" t="str">
        <f ca="1">IFERROR(__xludf.DUMMYFUNCTION("""COMPUTED_VALUE"""),"Illegal Activity")</f>
        <v>Illegal Activity</v>
      </c>
      <c r="Y720" s="5" t="str">
        <f ca="1">IFERROR(__xludf.DUMMYFUNCTION("""COMPUTED_VALUE"""),"Neither")</f>
        <v>Neither</v>
      </c>
      <c r="Z720" s="5" t="str">
        <f ca="1">IFERROR(__xludf.DUMMYFUNCTION("""COMPUTED_VALUE"""),"No")</f>
        <v>No</v>
      </c>
      <c r="AA720" s="5"/>
      <c r="AB720" s="5" t="str">
        <f ca="1">IFERROR(__xludf.DUMMYFUNCTION("""COMPUTED_VALUE"""),"No")</f>
        <v>No</v>
      </c>
      <c r="AC720" s="5" t="str">
        <f ca="1">IFERROR(__xludf.DUMMYFUNCTION("""COMPUTED_VALUE"""),"No")</f>
        <v>No</v>
      </c>
      <c r="AD720" s="5" t="str">
        <f ca="1">IFERROR(__xludf.DUMMYFUNCTION("""COMPUTED_VALUE"""),"Yes")</f>
        <v>Yes</v>
      </c>
      <c r="AE720" s="5" t="str">
        <f ca="1">IFERROR(__xludf.DUMMYFUNCTION("""COMPUTED_VALUE"""),"N/A")</f>
        <v>N/A</v>
      </c>
      <c r="AF720" s="5" t="str">
        <f ca="1">IFERROR(__xludf.DUMMYFUNCTION("""COMPUTED_VALUE"""),"N/A")</f>
        <v>N/A</v>
      </c>
      <c r="AG720" s="5" t="str">
        <f ca="1">IFERROR(__xludf.DUMMYFUNCTION("""COMPUTED_VALUE"""),"N/A")</f>
        <v>N/A</v>
      </c>
      <c r="AH720" s="5" t="str">
        <f ca="1">IFERROR(__xludf.DUMMYFUNCTION("""COMPUTED_VALUE"""),"No")</f>
        <v>No</v>
      </c>
    </row>
    <row r="721" spans="1:34" ht="12.75">
      <c r="A721" s="5" t="str">
        <f ca="1">IFERROR(__xludf.DUMMYFUNCTION("""COMPUTED_VALUE"""),"20180907IAHED")</f>
        <v>20180907IAHED</v>
      </c>
      <c r="B721" s="8">
        <f ca="1">IFERROR(__xludf.DUMMYFUNCTION("""COMPUTED_VALUE"""),43350)</f>
        <v>43350</v>
      </c>
      <c r="C721" s="5" t="str">
        <f ca="1">IFERROR(__xludf.DUMMYFUNCTION("""COMPUTED_VALUE"""),"Herbert Hoover High School")</f>
        <v>Herbert Hoover High School</v>
      </c>
      <c r="D721" s="5">
        <f ca="1">IFERROR(__xludf.DUMMYFUNCTION("""COMPUTED_VALUE"""),0)</f>
        <v>0</v>
      </c>
      <c r="E721" s="5">
        <f ca="1">IFERROR(__xludf.DUMMYFUNCTION("""COMPUTED_VALUE"""),0)</f>
        <v>0</v>
      </c>
      <c r="F721" s="5">
        <f ca="1">IFERROR(__xludf.DUMMYFUNCTION("""COMPUTED_VALUE"""),0)</f>
        <v>0</v>
      </c>
      <c r="G721" s="5">
        <f ca="1">IFERROR(__xludf.DUMMYFUNCTION("""COMPUTED_VALUE"""),0)</f>
        <v>0</v>
      </c>
      <c r="H721"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I721" s="5"/>
      <c r="J721" s="5"/>
      <c r="K721" s="5">
        <f ca="1">IFERROR(__xludf.DUMMYFUNCTION("""COMPUTED_VALUE"""),3)</f>
        <v>3</v>
      </c>
      <c r="L721" s="5" t="str">
        <f ca="1">IFERROR(__xludf.DUMMYFUNCTION("""COMPUTED_VALUE"""),"Fall")</f>
        <v>Fall</v>
      </c>
      <c r="M721" s="5" t="str">
        <f ca="1">IFERROR(__xludf.DUMMYFUNCTION("""COMPUTED_VALUE"""),"Des Moines")</f>
        <v>Des Moines</v>
      </c>
      <c r="N721" s="5" t="str">
        <f ca="1">IFERROR(__xludf.DUMMYFUNCTION("""COMPUTED_VALUE"""),"IA")</f>
        <v>IA</v>
      </c>
      <c r="O721" s="5" t="str">
        <f ca="1">IFERROR(__xludf.DUMMYFUNCTION("""COMPUTED_VALUE"""),"High")</f>
        <v>High</v>
      </c>
      <c r="P721" s="5" t="str">
        <f ca="1">IFERROR(__xludf.DUMMYFUNCTION("""COMPUTED_VALUE"""),"Parking Lot")</f>
        <v>Parking Lot</v>
      </c>
      <c r="Q721" s="5" t="str">
        <f ca="1">IFERROR(__xludf.DUMMYFUNCTION("""COMPUTED_VALUE"""),"Outside on School Property")</f>
        <v>Outside on School Property</v>
      </c>
      <c r="R721" s="5" t="str">
        <f ca="1">IFERROR(__xludf.DUMMYFUNCTION("""COMPUTED_VALUE"""),"No")</f>
        <v>No</v>
      </c>
      <c r="S721" s="5" t="str">
        <f ca="1">IFERROR(__xludf.DUMMYFUNCTION("""COMPUTED_VALUE"""),"Sport Event")</f>
        <v>Sport Event</v>
      </c>
      <c r="T721" s="10">
        <f ca="1">IFERROR(__xludf.DUMMYFUNCTION("""COMPUTED_VALUE"""),0.875)</f>
        <v>0.875</v>
      </c>
      <c r="U721" s="5">
        <f ca="1">IFERROR(__xludf.DUMMYFUNCTION("""COMPUTED_VALUE"""),1)</f>
        <v>1</v>
      </c>
      <c r="V721" s="5" t="str">
        <f ca="1">IFERROR(__xludf.DUMMYFUNCTION("""COMPUTED_VALUE"""),"Shots fired in parking lot during football game, game canceled")</f>
        <v>Shots fired in parking lot during football game, game canceled</v>
      </c>
      <c r="W721"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X721" s="5" t="str">
        <f ca="1">IFERROR(__xludf.DUMMYFUNCTION("""COMPUTED_VALUE"""),"Escalation of Dispute")</f>
        <v>Escalation of Dispute</v>
      </c>
      <c r="Y721" s="5"/>
      <c r="Z721" s="5"/>
      <c r="AA721" s="5"/>
      <c r="AB721" s="5" t="str">
        <f ca="1">IFERROR(__xludf.DUMMYFUNCTION("""COMPUTED_VALUE"""),"No")</f>
        <v>No</v>
      </c>
      <c r="AC721" s="5" t="str">
        <f ca="1">IFERROR(__xludf.DUMMYFUNCTION("""COMPUTED_VALUE"""),"No")</f>
        <v>No</v>
      </c>
      <c r="AD721" s="5" t="str">
        <f ca="1">IFERROR(__xludf.DUMMYFUNCTION("""COMPUTED_VALUE"""),"No")</f>
        <v>No</v>
      </c>
      <c r="AE721" s="5" t="str">
        <f ca="1">IFERROR(__xludf.DUMMYFUNCTION("""COMPUTED_VALUE"""),"No")</f>
        <v>No</v>
      </c>
      <c r="AF721" s="5" t="str">
        <f ca="1">IFERROR(__xludf.DUMMYFUNCTION("""COMPUTED_VALUE"""),"No")</f>
        <v>No</v>
      </c>
      <c r="AG721" s="5"/>
      <c r="AH721" s="5" t="str">
        <f ca="1">IFERROR(__xludf.DUMMYFUNCTION("""COMPUTED_VALUE"""),"No")</f>
        <v>No</v>
      </c>
    </row>
    <row r="722" spans="1:34" ht="12.75">
      <c r="A722" s="5" t="str">
        <f ca="1">IFERROR(__xludf.DUMMYFUNCTION("""COMPUTED_VALUE"""),"20180905RIPRP")</f>
        <v>20180905RIPRP</v>
      </c>
      <c r="B722" s="8">
        <f ca="1">IFERROR(__xludf.DUMMYFUNCTION("""COMPUTED_VALUE"""),43348)</f>
        <v>43348</v>
      </c>
      <c r="C722" s="5" t="str">
        <f ca="1">IFERROR(__xludf.DUMMYFUNCTION("""COMPUTED_VALUE"""),"Providence Career and Technical Academy")</f>
        <v>Providence Career and Technical Academy</v>
      </c>
      <c r="D722" s="5">
        <f ca="1">IFERROR(__xludf.DUMMYFUNCTION("""COMPUTED_VALUE"""),1)</f>
        <v>1</v>
      </c>
      <c r="E722" s="5">
        <f ca="1">IFERROR(__xludf.DUMMYFUNCTION("""COMPUTED_VALUE"""),0)</f>
        <v>0</v>
      </c>
      <c r="F722" s="5">
        <f ca="1">IFERROR(__xludf.DUMMYFUNCTION("""COMPUTED_VALUE"""),1)</f>
        <v>1</v>
      </c>
      <c r="G722" s="5">
        <f ca="1">IFERROR(__xludf.DUMMYFUNCTION("""COMPUTED_VALUE"""),0)</f>
        <v>0</v>
      </c>
      <c r="H722"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I722" s="5">
        <f ca="1">IFERROR(__xludf.DUMMYFUNCTION("""COMPUTED_VALUE"""),5)</f>
        <v>5</v>
      </c>
      <c r="J722" s="5" t="str">
        <f ca="1">IFERROR(__xludf.DUMMYFUNCTION("""COMPUTED_VALUE"""),"Local")</f>
        <v>Local</v>
      </c>
      <c r="K722" s="5">
        <f ca="1">IFERROR(__xludf.DUMMYFUNCTION("""COMPUTED_VALUE"""),4)</f>
        <v>4</v>
      </c>
      <c r="L722" s="5" t="str">
        <f ca="1">IFERROR(__xludf.DUMMYFUNCTION("""COMPUTED_VALUE"""),"Fall")</f>
        <v>Fall</v>
      </c>
      <c r="M722" s="5" t="str">
        <f ca="1">IFERROR(__xludf.DUMMYFUNCTION("""COMPUTED_VALUE"""),"Providence")</f>
        <v>Providence</v>
      </c>
      <c r="N722" s="5" t="str">
        <f ca="1">IFERROR(__xludf.DUMMYFUNCTION("""COMPUTED_VALUE"""),"RI")</f>
        <v>RI</v>
      </c>
      <c r="O722" s="5" t="str">
        <f ca="1">IFERROR(__xludf.DUMMYFUNCTION("""COMPUTED_VALUE"""),"High")</f>
        <v>High</v>
      </c>
      <c r="P722" s="5" t="str">
        <f ca="1">IFERROR(__xludf.DUMMYFUNCTION("""COMPUTED_VALUE"""),"Front of School")</f>
        <v>Front of School</v>
      </c>
      <c r="Q722" s="5" t="str">
        <f ca="1">IFERROR(__xludf.DUMMYFUNCTION("""COMPUTED_VALUE"""),"Outside on School Property")</f>
        <v>Outside on School Property</v>
      </c>
      <c r="R722" s="5" t="str">
        <f ca="1">IFERROR(__xludf.DUMMYFUNCTION("""COMPUTED_VALUE"""),"Yes")</f>
        <v>Yes</v>
      </c>
      <c r="S722" s="5" t="str">
        <f ca="1">IFERROR(__xludf.DUMMYFUNCTION("""COMPUTED_VALUE"""),"Dismissal")</f>
        <v>Dismissal</v>
      </c>
      <c r="T722" s="10">
        <f ca="1">IFERROR(__xludf.DUMMYFUNCTION("""COMPUTED_VALUE"""),0.583333333333333)</f>
        <v>0.58333333333333304</v>
      </c>
      <c r="U722" s="5">
        <f ca="1">IFERROR(__xludf.DUMMYFUNCTION("""COMPUTED_VALUE"""),1)</f>
        <v>1</v>
      </c>
      <c r="V722" s="5" t="str">
        <f ca="1">IFERROR(__xludf.DUMMYFUNCTION("""COMPUTED_VALUE"""),"Shots during fight outside school")</f>
        <v>Shots during fight outside school</v>
      </c>
      <c r="W722"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X722" s="5" t="str">
        <f ca="1">IFERROR(__xludf.DUMMYFUNCTION("""COMPUTED_VALUE"""),"Escalation of Dispute")</f>
        <v>Escalation of Dispute</v>
      </c>
      <c r="Y722" s="5" t="str">
        <f ca="1">IFERROR(__xludf.DUMMYFUNCTION("""COMPUTED_VALUE"""),"Both")</f>
        <v>Both</v>
      </c>
      <c r="Z722" s="5" t="str">
        <f ca="1">IFERROR(__xludf.DUMMYFUNCTION("""COMPUTED_VALUE"""),"Yes")</f>
        <v>Yes</v>
      </c>
      <c r="AA722" s="5" t="str">
        <f ca="1">IFERROR(__xludf.DUMMYFUNCTION("""COMPUTED_VALUE"""),"Two teens fled the scene with shooter")</f>
        <v>Two teens fled the scene with shooter</v>
      </c>
      <c r="AB722" s="5" t="str">
        <f ca="1">IFERROR(__xludf.DUMMYFUNCTION("""COMPUTED_VALUE"""),"No")</f>
        <v>No</v>
      </c>
      <c r="AC722" s="5" t="str">
        <f ca="1">IFERROR(__xludf.DUMMYFUNCTION("""COMPUTED_VALUE"""),"No")</f>
        <v>No</v>
      </c>
      <c r="AD722" s="5" t="str">
        <f ca="1">IFERROR(__xludf.DUMMYFUNCTION("""COMPUTED_VALUE"""),"No")</f>
        <v>No</v>
      </c>
      <c r="AE722" s="5" t="str">
        <f ca="1">IFERROR(__xludf.DUMMYFUNCTION("""COMPUTED_VALUE"""),"No")</f>
        <v>No</v>
      </c>
      <c r="AF722" s="5" t="str">
        <f ca="1">IFERROR(__xludf.DUMMYFUNCTION("""COMPUTED_VALUE"""),"No")</f>
        <v>No</v>
      </c>
      <c r="AG722" s="5" t="str">
        <f ca="1">IFERROR(__xludf.DUMMYFUNCTION("""COMPUTED_VALUE"""),"Yes")</f>
        <v>Yes</v>
      </c>
      <c r="AH722" s="5" t="str">
        <f ca="1">IFERROR(__xludf.DUMMYFUNCTION("""COMPUTED_VALUE"""),"No")</f>
        <v>No</v>
      </c>
    </row>
    <row r="723" spans="1:34" ht="12.75">
      <c r="A723" s="5" t="str">
        <f ca="1">IFERROR(__xludf.DUMMYFUNCTION("""COMPUTED_VALUE"""),"20180903NYLUN")</f>
        <v>20180903NYLUN</v>
      </c>
      <c r="B723" s="8">
        <f ca="1">IFERROR(__xludf.DUMMYFUNCTION("""COMPUTED_VALUE"""),43346)</f>
        <v>43346</v>
      </c>
      <c r="C723" s="5" t="str">
        <f ca="1">IFERROR(__xludf.DUMMYFUNCTION("""COMPUTED_VALUE"""),"Luisa Pineiro Fuentes School of Science and Discovery")</f>
        <v>Luisa Pineiro Fuentes School of Science and Discovery</v>
      </c>
      <c r="D723" s="5">
        <f ca="1">IFERROR(__xludf.DUMMYFUNCTION("""COMPUTED_VALUE"""),1)</f>
        <v>1</v>
      </c>
      <c r="E723" s="5">
        <f ca="1">IFERROR(__xludf.DUMMYFUNCTION("""COMPUTED_VALUE"""),0)</f>
        <v>0</v>
      </c>
      <c r="F723" s="5">
        <f ca="1">IFERROR(__xludf.DUMMYFUNCTION("""COMPUTED_VALUE"""),1)</f>
        <v>1</v>
      </c>
      <c r="G723" s="5">
        <f ca="1">IFERROR(__xludf.DUMMYFUNCTION("""COMPUTED_VALUE"""),0)</f>
        <v>0</v>
      </c>
      <c r="H723" s="9" t="str">
        <f ca="1">IFERROR(__xludf.DUMMYFUNCTION("""COMPUTED_VALUE"""),"http://www.nydailynews.com/new-york/nyc-crime/ny-metro-man-shot-outside-bronx-school-20180904-story.html")</f>
        <v>http://www.nydailynews.com/new-york/nyc-crime/ny-metro-man-shot-outside-bronx-school-20180904-story.html</v>
      </c>
      <c r="I723" s="5">
        <f ca="1">IFERROR(__xludf.DUMMYFUNCTION("""COMPUTED_VALUE"""),1)</f>
        <v>1</v>
      </c>
      <c r="J723" s="5" t="str">
        <f ca="1">IFERROR(__xludf.DUMMYFUNCTION("""COMPUTED_VALUE"""),"Local")</f>
        <v>Local</v>
      </c>
      <c r="K723" s="5">
        <f ca="1">IFERROR(__xludf.DUMMYFUNCTION("""COMPUTED_VALUE"""),3)</f>
        <v>3</v>
      </c>
      <c r="L723" s="5" t="str">
        <f ca="1">IFERROR(__xludf.DUMMYFUNCTION("""COMPUTED_VALUE"""),"Fall")</f>
        <v>Fall</v>
      </c>
      <c r="M723" s="5" t="str">
        <f ca="1">IFERROR(__xludf.DUMMYFUNCTION("""COMPUTED_VALUE"""),"New York")</f>
        <v>New York</v>
      </c>
      <c r="N723" s="5" t="str">
        <f ca="1">IFERROR(__xludf.DUMMYFUNCTION("""COMPUTED_VALUE"""),"NY")</f>
        <v>NY</v>
      </c>
      <c r="O723" s="5" t="str">
        <f ca="1">IFERROR(__xludf.DUMMYFUNCTION("""COMPUTED_VALUE"""),"Elementary")</f>
        <v>Elementary</v>
      </c>
      <c r="P723" s="5" t="str">
        <f ca="1">IFERROR(__xludf.DUMMYFUNCTION("""COMPUTED_VALUE"""),"Field (General)")</f>
        <v>Field (General)</v>
      </c>
      <c r="Q723" s="5" t="str">
        <f ca="1">IFERROR(__xludf.DUMMYFUNCTION("""COMPUTED_VALUE"""),"Outside on School Property")</f>
        <v>Outside on School Property</v>
      </c>
      <c r="R723" s="5" t="str">
        <f ca="1">IFERROR(__xludf.DUMMYFUNCTION("""COMPUTED_VALUE"""),"No")</f>
        <v>No</v>
      </c>
      <c r="S723" s="5" t="str">
        <f ca="1">IFERROR(__xludf.DUMMYFUNCTION("""COMPUTED_VALUE"""),"Evening")</f>
        <v>Evening</v>
      </c>
      <c r="T723" s="10">
        <f ca="1">IFERROR(__xludf.DUMMYFUNCTION("""COMPUTED_VALUE"""),0.888888888888888)</f>
        <v>0.88888888888888795</v>
      </c>
      <c r="U723" s="5">
        <f ca="1">IFERROR(__xludf.DUMMYFUNCTION("""COMPUTED_VALUE"""),1)</f>
        <v>1</v>
      </c>
      <c r="V723" s="5" t="str">
        <f ca="1">IFERROR(__xludf.DUMMYFUNCTION("""COMPUTED_VALUE"""),"Non-student killed during argument outside of school (closed for holiday)")</f>
        <v>Non-student killed during argument outside of school (closed for holiday)</v>
      </c>
      <c r="W723"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X723" s="5" t="str">
        <f ca="1">IFERROR(__xludf.DUMMYFUNCTION("""COMPUTED_VALUE"""),"Escalation of Dispute")</f>
        <v>Escalation of Dispute</v>
      </c>
      <c r="Y723" s="5" t="str">
        <f ca="1">IFERROR(__xludf.DUMMYFUNCTION("""COMPUTED_VALUE"""),"Victims Targeted")</f>
        <v>Victims Targeted</v>
      </c>
      <c r="Z723" s="5" t="str">
        <f ca="1">IFERROR(__xludf.DUMMYFUNCTION("""COMPUTED_VALUE"""),"No")</f>
        <v>No</v>
      </c>
      <c r="AA723" s="5"/>
      <c r="AB723" s="5" t="str">
        <f ca="1">IFERROR(__xludf.DUMMYFUNCTION("""COMPUTED_VALUE"""),"No")</f>
        <v>No</v>
      </c>
      <c r="AC723" s="5" t="str">
        <f ca="1">IFERROR(__xludf.DUMMYFUNCTION("""COMPUTED_VALUE"""),"No")</f>
        <v>No</v>
      </c>
      <c r="AD723" s="5" t="str">
        <f ca="1">IFERROR(__xludf.DUMMYFUNCTION("""COMPUTED_VALUE"""),"No")</f>
        <v>No</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row>
    <row r="724" spans="1:34" ht="12.75">
      <c r="A724" s="5" t="str">
        <f ca="1">IFERROR(__xludf.DUMMYFUNCTION("""COMPUTED_VALUE"""),"20180831IANOE")</f>
        <v>20180831IANOE</v>
      </c>
      <c r="B724" s="8">
        <f ca="1">IFERROR(__xludf.DUMMYFUNCTION("""COMPUTED_VALUE"""),43343)</f>
        <v>43343</v>
      </c>
      <c r="C724" s="5" t="str">
        <f ca="1">IFERROR(__xludf.DUMMYFUNCTION("""COMPUTED_VALUE"""),"North Scott Junior High School")</f>
        <v>North Scott Junior High School</v>
      </c>
      <c r="D724" s="5">
        <f ca="1">IFERROR(__xludf.DUMMYFUNCTION("""COMPUTED_VALUE"""),0)</f>
        <v>0</v>
      </c>
      <c r="E724" s="5">
        <f ca="1">IFERROR(__xludf.DUMMYFUNCTION("""COMPUTED_VALUE"""),0)</f>
        <v>0</v>
      </c>
      <c r="F724" s="5">
        <f ca="1">IFERROR(__xludf.DUMMYFUNCTION("""COMPUTED_VALUE"""),0)</f>
        <v>0</v>
      </c>
      <c r="G724" s="5">
        <f ca="1">IFERROR(__xludf.DUMMYFUNCTION("""COMPUTED_VALUE"""),0)</f>
        <v>0</v>
      </c>
      <c r="H724"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I724" s="5">
        <f ca="1">IFERROR(__xludf.DUMMYFUNCTION("""COMPUTED_VALUE"""),5)</f>
        <v>5</v>
      </c>
      <c r="J724" s="5" t="str">
        <f ca="1">IFERROR(__xludf.DUMMYFUNCTION("""COMPUTED_VALUE"""),"Local")</f>
        <v>Local</v>
      </c>
      <c r="K724" s="5">
        <f ca="1">IFERROR(__xludf.DUMMYFUNCTION("""COMPUTED_VALUE"""),3)</f>
        <v>3</v>
      </c>
      <c r="L724" s="5" t="str">
        <f ca="1">IFERROR(__xludf.DUMMYFUNCTION("""COMPUTED_VALUE"""),"Summer")</f>
        <v>Summer</v>
      </c>
      <c r="M724" s="5" t="str">
        <f ca="1">IFERROR(__xludf.DUMMYFUNCTION("""COMPUTED_VALUE"""),"Eldridge")</f>
        <v>Eldridge</v>
      </c>
      <c r="N724" s="5" t="str">
        <f ca="1">IFERROR(__xludf.DUMMYFUNCTION("""COMPUTED_VALUE"""),"IA")</f>
        <v>IA</v>
      </c>
      <c r="O724" s="5" t="str">
        <f ca="1">IFERROR(__xludf.DUMMYFUNCTION("""COMPUTED_VALUE"""),"Junior High")</f>
        <v>Junior High</v>
      </c>
      <c r="P724" s="5" t="str">
        <f ca="1">IFERROR(__xludf.DUMMYFUNCTION("""COMPUTED_VALUE"""),"Classroom")</f>
        <v>Classroom</v>
      </c>
      <c r="Q724" s="5" t="str">
        <f ca="1">IFERROR(__xludf.DUMMYFUNCTION("""COMPUTED_VALUE"""),"Inside School Building")</f>
        <v>Inside School Building</v>
      </c>
      <c r="R724" s="5" t="str">
        <f ca="1">IFERROR(__xludf.DUMMYFUNCTION("""COMPUTED_VALUE"""),"Yes")</f>
        <v>Yes</v>
      </c>
      <c r="S724" s="5" t="str">
        <f ca="1">IFERROR(__xludf.DUMMYFUNCTION("""COMPUTED_VALUE"""),"Morning Classes")</f>
        <v>Morning Classes</v>
      </c>
      <c r="T724" s="10">
        <f ca="1">IFERROR(__xludf.DUMMYFUNCTION("""COMPUTED_VALUE"""),0.354166666666666)</f>
        <v>0.35416666666666602</v>
      </c>
      <c r="U724" s="5">
        <f ca="1">IFERROR(__xludf.DUMMYFUNCTION("""COMPUTED_VALUE"""),1)</f>
        <v>1</v>
      </c>
      <c r="V724" s="5" t="str">
        <f ca="1">IFERROR(__xludf.DUMMYFUNCTION("""COMPUTED_VALUE"""),"Shooter was a student who attempted to shoot the teacher in class")</f>
        <v>Shooter was a student who attempted to shoot the teacher in class</v>
      </c>
      <c r="W724"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X724" s="5" t="str">
        <f ca="1">IFERROR(__xludf.DUMMYFUNCTION("""COMPUTED_VALUE"""),"Hostage/Standoff")</f>
        <v>Hostage/Standoff</v>
      </c>
      <c r="Y724" s="5" t="str">
        <f ca="1">IFERROR(__xludf.DUMMYFUNCTION("""COMPUTED_VALUE"""),"Victims Targeted")</f>
        <v>Victims Targeted</v>
      </c>
      <c r="Z724" s="5" t="str">
        <f ca="1">IFERROR(__xludf.DUMMYFUNCTION("""COMPUTED_VALUE"""),"No")</f>
        <v>No</v>
      </c>
      <c r="AA724" s="5"/>
      <c r="AB724" s="5" t="str">
        <f ca="1">IFERROR(__xludf.DUMMYFUNCTION("""COMPUTED_VALUE"""),"No")</f>
        <v>No</v>
      </c>
      <c r="AC724" s="5" t="str">
        <f ca="1">IFERROR(__xludf.DUMMYFUNCTION("""COMPUTED_VALUE"""),"No")</f>
        <v>No</v>
      </c>
      <c r="AD724" s="5" t="str">
        <f ca="1">IFERROR(__xludf.DUMMYFUNCTION("""COMPUTED_VALUE"""),"No")</f>
        <v>No</v>
      </c>
      <c r="AE724" s="5"/>
      <c r="AF724" s="5"/>
      <c r="AG724" s="5" t="str">
        <f ca="1">IFERROR(__xludf.DUMMYFUNCTION("""COMPUTED_VALUE"""),"No")</f>
        <v>No</v>
      </c>
      <c r="AH724" s="5" t="str">
        <f ca="1">IFERROR(__xludf.DUMMYFUNCTION("""COMPUTED_VALUE"""),"Yes")</f>
        <v>Yes</v>
      </c>
    </row>
    <row r="725" spans="1:34" ht="12.75">
      <c r="A725" s="5" t="str">
        <f ca="1">IFERROR(__xludf.DUMMYFUNCTION("""COMPUTED_VALUE"""),"20180831CABAS")</f>
        <v>20180831CABAS</v>
      </c>
      <c r="B725" s="8">
        <f ca="1">IFERROR(__xludf.DUMMYFUNCTION("""COMPUTED_VALUE"""),43343)</f>
        <v>43343</v>
      </c>
      <c r="C725" s="5" t="str">
        <f ca="1">IFERROR(__xludf.DUMMYFUNCTION("""COMPUTED_VALUE"""),"Balboa High School")</f>
        <v>Balboa High School</v>
      </c>
      <c r="D725" s="5">
        <f ca="1">IFERROR(__xludf.DUMMYFUNCTION("""COMPUTED_VALUE"""),0)</f>
        <v>0</v>
      </c>
      <c r="E725" s="5">
        <f ca="1">IFERROR(__xludf.DUMMYFUNCTION("""COMPUTED_VALUE"""),0)</f>
        <v>0</v>
      </c>
      <c r="F725" s="5">
        <f ca="1">IFERROR(__xludf.DUMMYFUNCTION("""COMPUTED_VALUE"""),0)</f>
        <v>0</v>
      </c>
      <c r="G725" s="5">
        <f ca="1">IFERROR(__xludf.DUMMYFUNCTION("""COMPUTED_VALUE"""),0)</f>
        <v>0</v>
      </c>
      <c r="H725" s="9" t="str">
        <f ca="1">IFERROR(__xludf.DUMMYFUNCTION("""COMPUTED_VALUE"""),"https://abc7news.com/3-students-in-custody-1-hurt-after-police-find-gun-on-sf-campus/4100641/")</f>
        <v>https://abc7news.com/3-students-in-custody-1-hurt-after-police-find-gun-on-sf-campus/4100641/</v>
      </c>
      <c r="I725" s="5"/>
      <c r="J725" s="5" t="str">
        <f ca="1">IFERROR(__xludf.DUMMYFUNCTION("""COMPUTED_VALUE"""),"Local")</f>
        <v>Local</v>
      </c>
      <c r="K725" s="5">
        <f ca="1">IFERROR(__xludf.DUMMYFUNCTION("""COMPUTED_VALUE"""),4)</f>
        <v>4</v>
      </c>
      <c r="L725" s="5" t="str">
        <f ca="1">IFERROR(__xludf.DUMMYFUNCTION("""COMPUTED_VALUE"""),"Summer")</f>
        <v>Summer</v>
      </c>
      <c r="M725" s="5" t="str">
        <f ca="1">IFERROR(__xludf.DUMMYFUNCTION("""COMPUTED_VALUE"""),"San Francisco")</f>
        <v>San Francisco</v>
      </c>
      <c r="N725" s="5" t="str">
        <f ca="1">IFERROR(__xludf.DUMMYFUNCTION("""COMPUTED_VALUE"""),"CA")</f>
        <v>CA</v>
      </c>
      <c r="O725" s="5" t="str">
        <f ca="1">IFERROR(__xludf.DUMMYFUNCTION("""COMPUTED_VALUE"""),"High")</f>
        <v>High</v>
      </c>
      <c r="P725" s="5" t="str">
        <f ca="1">IFERROR(__xludf.DUMMYFUNCTION("""COMPUTED_VALUE"""),"Classroom")</f>
        <v>Classroom</v>
      </c>
      <c r="Q725" s="5" t="str">
        <f ca="1">IFERROR(__xludf.DUMMYFUNCTION("""COMPUTED_VALUE"""),"Inside School Building")</f>
        <v>Inside School Building</v>
      </c>
      <c r="R725" s="5" t="str">
        <f ca="1">IFERROR(__xludf.DUMMYFUNCTION("""COMPUTED_VALUE"""),"Yes")</f>
        <v>Yes</v>
      </c>
      <c r="S725" s="5" t="str">
        <f ca="1">IFERROR(__xludf.DUMMYFUNCTION("""COMPUTED_VALUE"""),"Afternoon Classes")</f>
        <v>Afternoon Classes</v>
      </c>
      <c r="T725" s="10">
        <f ca="1">IFERROR(__xludf.DUMMYFUNCTION("""COMPUTED_VALUE"""),0.632638888888888)</f>
        <v>0.63263888888888797</v>
      </c>
      <c r="U725" s="5">
        <f ca="1">IFERROR(__xludf.DUMMYFUNCTION("""COMPUTED_VALUE"""),1)</f>
        <v>1</v>
      </c>
      <c r="V725" s="5" t="str">
        <f ca="1">IFERROR(__xludf.DUMMYFUNCTION("""COMPUTED_VALUE"""),"Accidental discharge in classroom, student with gun fled")</f>
        <v>Accidental discharge in classroom, student with gun fled</v>
      </c>
      <c r="W725"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X725" s="5" t="str">
        <f ca="1">IFERROR(__xludf.DUMMYFUNCTION("""COMPUTED_VALUE"""),"Accidental")</f>
        <v>Accidental</v>
      </c>
      <c r="Y725" s="5" t="str">
        <f ca="1">IFERROR(__xludf.DUMMYFUNCTION("""COMPUTED_VALUE"""),"Neither")</f>
        <v>Neither</v>
      </c>
      <c r="Z725" s="5" t="str">
        <f ca="1">IFERROR(__xludf.DUMMYFUNCTION("""COMPUTED_VALUE"""),"Yes")</f>
        <v>Yes</v>
      </c>
      <c r="AA725" s="5" t="str">
        <f ca="1">IFERROR(__xludf.DUMMYFUNCTION("""COMPUTED_VALUE"""),"2 other students charged")</f>
        <v>2 other students charged</v>
      </c>
      <c r="AB725" s="5" t="str">
        <f ca="1">IFERROR(__xludf.DUMMYFUNCTION("""COMPUTED_VALUE"""),"No")</f>
        <v>No</v>
      </c>
      <c r="AC725" s="5" t="str">
        <f ca="1">IFERROR(__xludf.DUMMYFUNCTION("""COMPUTED_VALUE"""),"No")</f>
        <v>No</v>
      </c>
      <c r="AD725" s="5" t="str">
        <f ca="1">IFERROR(__xludf.DUMMYFUNCTION("""COMPUTED_VALUE"""),"No")</f>
        <v>No</v>
      </c>
      <c r="AE725" s="5" t="str">
        <f ca="1">IFERROR(__xludf.DUMMYFUNCTION("""COMPUTED_VALUE"""),"No")</f>
        <v>No</v>
      </c>
      <c r="AF725" s="5" t="str">
        <f ca="1">IFERROR(__xludf.DUMMYFUNCTION("""COMPUTED_VALUE"""),"No")</f>
        <v>No</v>
      </c>
      <c r="AG725" s="5"/>
      <c r="AH725" s="5" t="str">
        <f ca="1">IFERROR(__xludf.DUMMYFUNCTION("""COMPUTED_VALUE"""),"No")</f>
        <v>No</v>
      </c>
    </row>
    <row r="726" spans="1:34" ht="12.75">
      <c r="A726" s="5" t="str">
        <f ca="1">IFERROR(__xludf.DUMMYFUNCTION("""COMPUTED_VALUE"""),"20180830NCVIC")</f>
        <v>20180830NCVIC</v>
      </c>
      <c r="B726" s="8">
        <f ca="1">IFERROR(__xludf.DUMMYFUNCTION("""COMPUTED_VALUE"""),43342)</f>
        <v>43342</v>
      </c>
      <c r="C726" s="5" t="str">
        <f ca="1">IFERROR(__xludf.DUMMYFUNCTION("""COMPUTED_VALUE"""),"Villa Heights Elementary School")</f>
        <v>Villa Heights Elementary School</v>
      </c>
      <c r="D726" s="5">
        <f ca="1">IFERROR(__xludf.DUMMYFUNCTION("""COMPUTED_VALUE"""),0)</f>
        <v>0</v>
      </c>
      <c r="E726" s="5">
        <f ca="1">IFERROR(__xludf.DUMMYFUNCTION("""COMPUTED_VALUE"""),0)</f>
        <v>0</v>
      </c>
      <c r="F726" s="5">
        <f ca="1">IFERROR(__xludf.DUMMYFUNCTION("""COMPUTED_VALUE"""),0)</f>
        <v>0</v>
      </c>
      <c r="G726" s="5">
        <f ca="1">IFERROR(__xludf.DUMMYFUNCTION("""COMPUTED_VALUE"""),0)</f>
        <v>0</v>
      </c>
      <c r="H726"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I726" s="5">
        <f ca="1">IFERROR(__xludf.DUMMYFUNCTION("""COMPUTED_VALUE"""),5)</f>
        <v>5</v>
      </c>
      <c r="J726" s="5" t="str">
        <f ca="1">IFERROR(__xludf.DUMMYFUNCTION("""COMPUTED_VALUE"""),"Local")</f>
        <v>Local</v>
      </c>
      <c r="K726" s="5">
        <f ca="1">IFERROR(__xludf.DUMMYFUNCTION("""COMPUTED_VALUE"""),4)</f>
        <v>4</v>
      </c>
      <c r="L726" s="5" t="str">
        <f ca="1">IFERROR(__xludf.DUMMYFUNCTION("""COMPUTED_VALUE"""),"Summer")</f>
        <v>Summer</v>
      </c>
      <c r="M726" s="5" t="str">
        <f ca="1">IFERROR(__xludf.DUMMYFUNCTION("""COMPUTED_VALUE"""),"Charlotte")</f>
        <v>Charlotte</v>
      </c>
      <c r="N726" s="5" t="str">
        <f ca="1">IFERROR(__xludf.DUMMYFUNCTION("""COMPUTED_VALUE"""),"NC")</f>
        <v>NC</v>
      </c>
      <c r="O726" s="5" t="str">
        <f ca="1">IFERROR(__xludf.DUMMYFUNCTION("""COMPUTED_VALUE"""),"Elementary")</f>
        <v>Elementary</v>
      </c>
      <c r="P726" s="5" t="str">
        <f ca="1">IFERROR(__xludf.DUMMYFUNCTION("""COMPUTED_VALUE"""),"Parking Lot")</f>
        <v>Parking Lot</v>
      </c>
      <c r="Q726" s="5" t="str">
        <f ca="1">IFERROR(__xludf.DUMMYFUNCTION("""COMPUTED_VALUE"""),"Outside on School Property")</f>
        <v>Outside on School Property</v>
      </c>
      <c r="R726" s="5" t="str">
        <f ca="1">IFERROR(__xludf.DUMMYFUNCTION("""COMPUTED_VALUE"""),"Yes")</f>
        <v>Yes</v>
      </c>
      <c r="S726" s="5" t="str">
        <f ca="1">IFERROR(__xludf.DUMMYFUNCTION("""COMPUTED_VALUE"""),"School Start")</f>
        <v>School Start</v>
      </c>
      <c r="T726" s="10">
        <f ca="1">IFERROR(__xludf.DUMMYFUNCTION("""COMPUTED_VALUE"""),0.354166666666666)</f>
        <v>0.35416666666666602</v>
      </c>
      <c r="U726" s="5">
        <f ca="1">IFERROR(__xludf.DUMMYFUNCTION("""COMPUTED_VALUE"""),1)</f>
        <v>1</v>
      </c>
      <c r="V726" s="5" t="str">
        <f ca="1">IFERROR(__xludf.DUMMYFUNCTION("""COMPUTED_VALUE"""),"Woman shot at in parking lot by ex-boyfriend while dropping off child")</f>
        <v>Woman shot at in parking lot by ex-boyfriend while dropping off child</v>
      </c>
      <c r="W726"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X726" s="5" t="str">
        <f ca="1">IFERROR(__xludf.DUMMYFUNCTION("""COMPUTED_VALUE"""),"Domestic w/ Targeted Victim")</f>
        <v>Domestic w/ Targeted Victim</v>
      </c>
      <c r="Y726" s="5" t="str">
        <f ca="1">IFERROR(__xludf.DUMMYFUNCTION("""COMPUTED_VALUE"""),"Victims Targeted")</f>
        <v>Victims Targeted</v>
      </c>
      <c r="Z726" s="5" t="str">
        <f ca="1">IFERROR(__xludf.DUMMYFUNCTION("""COMPUTED_VALUE"""),"No")</f>
        <v>No</v>
      </c>
      <c r="AA726" s="5"/>
      <c r="AB726" s="5" t="str">
        <f ca="1">IFERROR(__xludf.DUMMYFUNCTION("""COMPUTED_VALUE"""),"No")</f>
        <v>No</v>
      </c>
      <c r="AC726" s="5" t="str">
        <f ca="1">IFERROR(__xludf.DUMMYFUNCTION("""COMPUTED_VALUE"""),"No")</f>
        <v>No</v>
      </c>
      <c r="AD726" s="5" t="str">
        <f ca="1">IFERROR(__xludf.DUMMYFUNCTION("""COMPUTED_VALUE"""),"No")</f>
        <v>No</v>
      </c>
      <c r="AE726" s="5" t="str">
        <f ca="1">IFERROR(__xludf.DUMMYFUNCTION("""COMPUTED_VALUE"""),"No")</f>
        <v>No</v>
      </c>
      <c r="AF726" s="5" t="str">
        <f ca="1">IFERROR(__xludf.DUMMYFUNCTION("""COMPUTED_VALUE"""),"Yes")</f>
        <v>Yes</v>
      </c>
      <c r="AG726" s="5" t="str">
        <f ca="1">IFERROR(__xludf.DUMMYFUNCTION("""COMPUTED_VALUE"""),"No")</f>
        <v>No</v>
      </c>
      <c r="AH726" s="5" t="str">
        <f ca="1">IFERROR(__xludf.DUMMYFUNCTION("""COMPUTED_VALUE"""),"No")</f>
        <v>No</v>
      </c>
    </row>
    <row r="727" spans="1:34" ht="12.75">
      <c r="A727" s="5" t="str">
        <f ca="1">IFERROR(__xludf.DUMMYFUNCTION("""COMPUTED_VALUE"""),"20180830MIOTG")</f>
        <v>20180830MIOTG</v>
      </c>
      <c r="B727" s="8">
        <f ca="1">IFERROR(__xludf.DUMMYFUNCTION("""COMPUTED_VALUE"""),43342)</f>
        <v>43342</v>
      </c>
      <c r="C727" s="5" t="str">
        <f ca="1">IFERROR(__xludf.DUMMYFUNCTION("""COMPUTED_VALUE"""),"Ottawa Hills High School")</f>
        <v>Ottawa Hills High School</v>
      </c>
      <c r="D727" s="5">
        <f ca="1">IFERROR(__xludf.DUMMYFUNCTION("""COMPUTED_VALUE"""),0)</f>
        <v>0</v>
      </c>
      <c r="E727" s="5">
        <f ca="1">IFERROR(__xludf.DUMMYFUNCTION("""COMPUTED_VALUE"""),1)</f>
        <v>1</v>
      </c>
      <c r="F727" s="5">
        <f ca="1">IFERROR(__xludf.DUMMYFUNCTION("""COMPUTED_VALUE"""),1)</f>
        <v>1</v>
      </c>
      <c r="G727" s="5">
        <f ca="1">IFERROR(__xludf.DUMMYFUNCTION("""COMPUTED_VALUE"""),0)</f>
        <v>0</v>
      </c>
      <c r="H727" s="9" t="str">
        <f ca="1">IFERROR(__xludf.DUMMYFUNCTION("""COMPUTED_VALUE"""),"https://www.woodtv.com/news/grand-rapids/shooting-outside-ottawa-hills-hs-leads-to-lockdowns/1406788527")</f>
        <v>https://www.woodtv.com/news/grand-rapids/shooting-outside-ottawa-hills-hs-leads-to-lockdowns/1406788527</v>
      </c>
      <c r="I727" s="5">
        <f ca="1">IFERROR(__xludf.DUMMYFUNCTION("""COMPUTED_VALUE"""),5)</f>
        <v>5</v>
      </c>
      <c r="J727" s="5" t="str">
        <f ca="1">IFERROR(__xludf.DUMMYFUNCTION("""COMPUTED_VALUE"""),"Local")</f>
        <v>Local</v>
      </c>
      <c r="K727" s="5">
        <f ca="1">IFERROR(__xludf.DUMMYFUNCTION("""COMPUTED_VALUE"""),3)</f>
        <v>3</v>
      </c>
      <c r="L727" s="5" t="str">
        <f ca="1">IFERROR(__xludf.DUMMYFUNCTION("""COMPUTED_VALUE"""),"Summer")</f>
        <v>Summer</v>
      </c>
      <c r="M727" s="5" t="str">
        <f ca="1">IFERROR(__xludf.DUMMYFUNCTION("""COMPUTED_VALUE"""),"Grand Rapids")</f>
        <v>Grand Rapids</v>
      </c>
      <c r="N727" s="5" t="str">
        <f ca="1">IFERROR(__xludf.DUMMYFUNCTION("""COMPUTED_VALUE"""),"MI")</f>
        <v>MI</v>
      </c>
      <c r="O727" s="5" t="str">
        <f ca="1">IFERROR(__xludf.DUMMYFUNCTION("""COMPUTED_VALUE"""),"High")</f>
        <v>High</v>
      </c>
      <c r="P727" s="5" t="str">
        <f ca="1">IFERROR(__xludf.DUMMYFUNCTION("""COMPUTED_VALUE"""),"Other")</f>
        <v>Other</v>
      </c>
      <c r="Q727" s="5" t="str">
        <f ca="1">IFERROR(__xludf.DUMMYFUNCTION("""COMPUTED_VALUE"""),"Outside on School Property")</f>
        <v>Outside on School Property</v>
      </c>
      <c r="R727" s="5" t="str">
        <f ca="1">IFERROR(__xludf.DUMMYFUNCTION("""COMPUTED_VALUE"""),"Yes")</f>
        <v>Yes</v>
      </c>
      <c r="S727" s="5" t="str">
        <f ca="1">IFERROR(__xludf.DUMMYFUNCTION("""COMPUTED_VALUE"""),"Morning Classes")</f>
        <v>Morning Classes</v>
      </c>
      <c r="T727" s="10">
        <f ca="1">IFERROR(__xludf.DUMMYFUNCTION("""COMPUTED_VALUE"""),0.4375)</f>
        <v>0.4375</v>
      </c>
      <c r="U727" s="5">
        <f ca="1">IFERROR(__xludf.DUMMYFUNCTION("""COMPUTED_VALUE"""),1)</f>
        <v>1</v>
      </c>
      <c r="V727" s="5" t="str">
        <f ca="1">IFERROR(__xludf.DUMMYFUNCTION("""COMPUTED_VALUE"""),"Two non-student teens shot at during drive-by outside of school")</f>
        <v>Two non-student teens shot at during drive-by outside of school</v>
      </c>
      <c r="W727"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X727" s="5" t="str">
        <f ca="1">IFERROR(__xludf.DUMMYFUNCTION("""COMPUTED_VALUE"""),"Drive-by Shooting")</f>
        <v>Drive-by Shooting</v>
      </c>
      <c r="Y727" s="5" t="str">
        <f ca="1">IFERROR(__xludf.DUMMYFUNCTION("""COMPUTED_VALUE"""),"Victims Targeted")</f>
        <v>Victims Targeted</v>
      </c>
      <c r="Z727" s="5"/>
      <c r="AA727" s="5"/>
      <c r="AB727" s="5" t="str">
        <f ca="1">IFERROR(__xludf.DUMMYFUNCTION("""COMPUTED_VALUE"""),"No")</f>
        <v>No</v>
      </c>
      <c r="AC727" s="5" t="str">
        <f ca="1">IFERROR(__xludf.DUMMYFUNCTION("""COMPUTED_VALUE"""),"No")</f>
        <v>No</v>
      </c>
      <c r="AD727" s="5" t="str">
        <f ca="1">IFERROR(__xludf.DUMMYFUNCTION("""COMPUTED_VALUE"""),"No")</f>
        <v>No</v>
      </c>
      <c r="AE727" s="5" t="str">
        <f ca="1">IFERROR(__xludf.DUMMYFUNCTION("""COMPUTED_VALUE"""),"No")</f>
        <v>No</v>
      </c>
      <c r="AF727" s="5" t="str">
        <f ca="1">IFERROR(__xludf.DUMMYFUNCTION("""COMPUTED_VALUE"""),"No")</f>
        <v>No</v>
      </c>
      <c r="AG727" s="5" t="str">
        <f ca="1">IFERROR(__xludf.DUMMYFUNCTION("""COMPUTED_VALUE"""),"Yes")</f>
        <v>Yes</v>
      </c>
      <c r="AH727" s="5" t="str">
        <f ca="1">IFERROR(__xludf.DUMMYFUNCTION("""COMPUTED_VALUE"""),"No")</f>
        <v>No</v>
      </c>
    </row>
    <row r="728" spans="1:34" ht="12.75">
      <c r="A728" s="5" t="str">
        <f ca="1">IFERROR(__xludf.DUMMYFUNCTION("""COMPUTED_VALUE"""),"20180829DETOD")</f>
        <v>20180829DETOD</v>
      </c>
      <c r="B728" s="8">
        <f ca="1">IFERROR(__xludf.DUMMYFUNCTION("""COMPUTED_VALUE"""),43341)</f>
        <v>43341</v>
      </c>
      <c r="C728" s="5" t="str">
        <f ca="1">IFERROR(__xludf.DUMMYFUNCTION("""COMPUTED_VALUE"""),"Towne Point Elementary School")</f>
        <v>Towne Point Elementary School</v>
      </c>
      <c r="D728" s="5">
        <f ca="1">IFERROR(__xludf.DUMMYFUNCTION("""COMPUTED_VALUE"""),1)</f>
        <v>1</v>
      </c>
      <c r="E728" s="5">
        <f ca="1">IFERROR(__xludf.DUMMYFUNCTION("""COMPUTED_VALUE"""),0)</f>
        <v>0</v>
      </c>
      <c r="F728" s="5">
        <f ca="1">IFERROR(__xludf.DUMMYFUNCTION("""COMPUTED_VALUE"""),1)</f>
        <v>1</v>
      </c>
      <c r="G728" s="5">
        <f ca="1">IFERROR(__xludf.DUMMYFUNCTION("""COMPUTED_VALUE"""),0)</f>
        <v>0</v>
      </c>
      <c r="H728" s="9" t="str">
        <f ca="1">IFERROR(__xludf.DUMMYFUNCTION("""COMPUTED_VALUE"""),"https://www.nbcphiladelphia.com/news/local/Towne-Point-Elementary-School-Dover-Deadly-Shooting-491979251.html")</f>
        <v>https://www.nbcphiladelphia.com/news/local/Towne-Point-Elementary-School-Dover-Deadly-Shooting-491979251.html</v>
      </c>
      <c r="I728" s="5">
        <f ca="1">IFERROR(__xludf.DUMMYFUNCTION("""COMPUTED_VALUE"""),11)</f>
        <v>11</v>
      </c>
      <c r="J728" s="5" t="str">
        <f ca="1">IFERROR(__xludf.DUMMYFUNCTION("""COMPUTED_VALUE"""),"Local")</f>
        <v>Local</v>
      </c>
      <c r="K728" s="5">
        <f ca="1">IFERROR(__xludf.DUMMYFUNCTION("""COMPUTED_VALUE"""),3)</f>
        <v>3</v>
      </c>
      <c r="L728" s="5" t="str">
        <f ca="1">IFERROR(__xludf.DUMMYFUNCTION("""COMPUTED_VALUE"""),"Summer")</f>
        <v>Summer</v>
      </c>
      <c r="M728" s="5" t="str">
        <f ca="1">IFERROR(__xludf.DUMMYFUNCTION("""COMPUTED_VALUE"""),"Dover")</f>
        <v>Dover</v>
      </c>
      <c r="N728" s="5" t="str">
        <f ca="1">IFERROR(__xludf.DUMMYFUNCTION("""COMPUTED_VALUE"""),"DE")</f>
        <v>DE</v>
      </c>
      <c r="O728" s="5" t="str">
        <f ca="1">IFERROR(__xludf.DUMMYFUNCTION("""COMPUTED_VALUE"""),"Elementary")</f>
        <v>Elementary</v>
      </c>
      <c r="P728" s="5" t="str">
        <f ca="1">IFERROR(__xludf.DUMMYFUNCTION("""COMPUTED_VALUE"""),"Parking Lot")</f>
        <v>Parking Lot</v>
      </c>
      <c r="Q728" s="5" t="str">
        <f ca="1">IFERROR(__xludf.DUMMYFUNCTION("""COMPUTED_VALUE"""),"Outside on School Property")</f>
        <v>Outside on School Property</v>
      </c>
      <c r="R728" s="5" t="str">
        <f ca="1">IFERROR(__xludf.DUMMYFUNCTION("""COMPUTED_VALUE"""),"No")</f>
        <v>No</v>
      </c>
      <c r="S728" s="5" t="str">
        <f ca="1">IFERROR(__xludf.DUMMYFUNCTION("""COMPUTED_VALUE"""),"Evening")</f>
        <v>Evening</v>
      </c>
      <c r="T728" s="10">
        <f ca="1">IFERROR(__xludf.DUMMYFUNCTION("""COMPUTED_VALUE"""),0.916666666666666)</f>
        <v>0.91666666666666596</v>
      </c>
      <c r="U728" s="5">
        <f ca="1">IFERROR(__xludf.DUMMYFUNCTION("""COMPUTED_VALUE"""),1)</f>
        <v>1</v>
      </c>
      <c r="V728" s="5" t="str">
        <f ca="1">IFERROR(__xludf.DUMMYFUNCTION("""COMPUTED_VALUE"""),"Adult male found shot dead outside of school, killed by school janitor")</f>
        <v>Adult male found shot dead outside of school, killed by school janitor</v>
      </c>
      <c r="W728"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X728" s="5" t="str">
        <f ca="1">IFERROR(__xludf.DUMMYFUNCTION("""COMPUTED_VALUE"""),"Domestic w/ Targeted Victim")</f>
        <v>Domestic w/ Targeted Victim</v>
      </c>
      <c r="Y728" s="5" t="str">
        <f ca="1">IFERROR(__xludf.DUMMYFUNCTION("""COMPUTED_VALUE"""),"Victims Targeted")</f>
        <v>Victims Targeted</v>
      </c>
      <c r="Z728" s="5" t="str">
        <f ca="1">IFERROR(__xludf.DUMMYFUNCTION("""COMPUTED_VALUE"""),"No")</f>
        <v>No</v>
      </c>
      <c r="AA728" s="5"/>
      <c r="AB728" s="5" t="str">
        <f ca="1">IFERROR(__xludf.DUMMYFUNCTION("""COMPUTED_VALUE"""),"No")</f>
        <v>No</v>
      </c>
      <c r="AC728" s="5" t="str">
        <f ca="1">IFERROR(__xludf.DUMMYFUNCTION("""COMPUTED_VALUE"""),"No")</f>
        <v>No</v>
      </c>
      <c r="AD728" s="5" t="str">
        <f ca="1">IFERROR(__xludf.DUMMYFUNCTION("""COMPUTED_VALUE"""),"No")</f>
        <v>No</v>
      </c>
      <c r="AE728" s="5" t="str">
        <f ca="1">IFERROR(__xludf.DUMMYFUNCTION("""COMPUTED_VALUE"""),"No")</f>
        <v>No</v>
      </c>
      <c r="AF728" s="5" t="str">
        <f ca="1">IFERROR(__xludf.DUMMYFUNCTION("""COMPUTED_VALUE"""),"Yes")</f>
        <v>Yes</v>
      </c>
      <c r="AG728" s="5" t="str">
        <f ca="1">IFERROR(__xludf.DUMMYFUNCTION("""COMPUTED_VALUE"""),"No")</f>
        <v>No</v>
      </c>
      <c r="AH728" s="5" t="str">
        <f ca="1">IFERROR(__xludf.DUMMYFUNCTION("""COMPUTED_VALUE"""),"No")</f>
        <v>No</v>
      </c>
    </row>
    <row r="729" spans="1:34" ht="12.75">
      <c r="A729" s="5" t="str">
        <f ca="1">IFERROR(__xludf.DUMMYFUNCTION("""COMPUTED_VALUE"""),"20180828COCOD")</f>
        <v>20180828COCOD</v>
      </c>
      <c r="B729" s="8">
        <f ca="1">IFERROR(__xludf.DUMMYFUNCTION("""COMPUTED_VALUE"""),43340)</f>
        <v>43340</v>
      </c>
      <c r="C729" s="5" t="str">
        <f ca="1">IFERROR(__xludf.DUMMYFUNCTION("""COMPUTED_VALUE"""),"Cole Middle School")</f>
        <v>Cole Middle School</v>
      </c>
      <c r="D729" s="5">
        <f ca="1">IFERROR(__xludf.DUMMYFUNCTION("""COMPUTED_VALUE"""),0)</f>
        <v>0</v>
      </c>
      <c r="E729" s="5">
        <f ca="1">IFERROR(__xludf.DUMMYFUNCTION("""COMPUTED_VALUE"""),1)</f>
        <v>1</v>
      </c>
      <c r="F729" s="5">
        <f ca="1">IFERROR(__xludf.DUMMYFUNCTION("""COMPUTED_VALUE"""),1)</f>
        <v>1</v>
      </c>
      <c r="G729" s="5">
        <f ca="1">IFERROR(__xludf.DUMMYFUNCTION("""COMPUTED_VALUE"""),0)</f>
        <v>0</v>
      </c>
      <c r="H729"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I729" s="5"/>
      <c r="J729" s="5"/>
      <c r="K729" s="5">
        <f ca="1">IFERROR(__xludf.DUMMYFUNCTION("""COMPUTED_VALUE"""),3)</f>
        <v>3</v>
      </c>
      <c r="L729" s="5" t="str">
        <f ca="1">IFERROR(__xludf.DUMMYFUNCTION("""COMPUTED_VALUE"""),"Summer")</f>
        <v>Summer</v>
      </c>
      <c r="M729" s="5" t="str">
        <f ca="1">IFERROR(__xludf.DUMMYFUNCTION("""COMPUTED_VALUE"""),"Denver")</f>
        <v>Denver</v>
      </c>
      <c r="N729" s="5" t="str">
        <f ca="1">IFERROR(__xludf.DUMMYFUNCTION("""COMPUTED_VALUE"""),"CO")</f>
        <v>CO</v>
      </c>
      <c r="O729" s="5" t="str">
        <f ca="1">IFERROR(__xludf.DUMMYFUNCTION("""COMPUTED_VALUE"""),"Middle")</f>
        <v>Middle</v>
      </c>
      <c r="P729" s="5" t="str">
        <f ca="1">IFERROR(__xludf.DUMMYFUNCTION("""COMPUTED_VALUE"""),"Outside on School Property")</f>
        <v>Outside on School Property</v>
      </c>
      <c r="Q729" s="5" t="str">
        <f ca="1">IFERROR(__xludf.DUMMYFUNCTION("""COMPUTED_VALUE"""),"Outside on School Property")</f>
        <v>Outside on School Property</v>
      </c>
      <c r="R729" s="5" t="str">
        <f ca="1">IFERROR(__xludf.DUMMYFUNCTION("""COMPUTED_VALUE"""),"Yes")</f>
        <v>Yes</v>
      </c>
      <c r="S729" s="5" t="str">
        <f ca="1">IFERROR(__xludf.DUMMYFUNCTION("""COMPUTED_VALUE"""),"Afternoon Classes")</f>
        <v>Afternoon Classes</v>
      </c>
      <c r="T729" s="10">
        <f ca="1">IFERROR(__xludf.DUMMYFUNCTION("""COMPUTED_VALUE"""),0.583333333333333)</f>
        <v>0.58333333333333304</v>
      </c>
      <c r="U729" s="5">
        <f ca="1">IFERROR(__xludf.DUMMYFUNCTION("""COMPUTED_VALUE"""),1)</f>
        <v>1</v>
      </c>
      <c r="V729" s="5" t="str">
        <f ca="1">IFERROR(__xludf.DUMMYFUNCTION("""COMPUTED_VALUE"""),"Shooting outside of school, school locked down")</f>
        <v>Shooting outside of school, school locked down</v>
      </c>
      <c r="W729"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X729" s="5" t="str">
        <f ca="1">IFERROR(__xludf.DUMMYFUNCTION("""COMPUTED_VALUE"""),"Escalation of Dispute")</f>
        <v>Escalation of Dispute</v>
      </c>
      <c r="Y729" s="5"/>
      <c r="Z729" s="5" t="str">
        <f ca="1">IFERROR(__xludf.DUMMYFUNCTION("""COMPUTED_VALUE"""),"No")</f>
        <v>No</v>
      </c>
      <c r="AA729" s="5"/>
      <c r="AB729" s="5" t="str">
        <f ca="1">IFERROR(__xludf.DUMMYFUNCTION("""COMPUTED_VALUE"""),"No")</f>
        <v>No</v>
      </c>
      <c r="AC729" s="5" t="str">
        <f ca="1">IFERROR(__xludf.DUMMYFUNCTION("""COMPUTED_VALUE"""),"No")</f>
        <v>No</v>
      </c>
      <c r="AD729" s="5" t="str">
        <f ca="1">IFERROR(__xludf.DUMMYFUNCTION("""COMPUTED_VALUE"""),"No")</f>
        <v>No</v>
      </c>
      <c r="AE729" s="5" t="str">
        <f ca="1">IFERROR(__xludf.DUMMYFUNCTION("""COMPUTED_VALUE"""),"No")</f>
        <v>No</v>
      </c>
      <c r="AF729" s="5" t="str">
        <f ca="1">IFERROR(__xludf.DUMMYFUNCTION("""COMPUTED_VALUE"""),"No")</f>
        <v>No</v>
      </c>
      <c r="AG729" s="5" t="str">
        <f ca="1">IFERROR(__xludf.DUMMYFUNCTION("""COMPUTED_VALUE"""),"Yes")</f>
        <v>Yes</v>
      </c>
      <c r="AH729" s="5" t="str">
        <f ca="1">IFERROR(__xludf.DUMMYFUNCTION("""COMPUTED_VALUE"""),"No")</f>
        <v>No</v>
      </c>
    </row>
    <row r="730" spans="1:34" ht="12.75">
      <c r="A730" s="5" t="str">
        <f ca="1">IFERROR(__xludf.DUMMYFUNCTION("""COMPUTED_VALUE"""),"20180824ILMEC")</f>
        <v>20180824ILMEC</v>
      </c>
      <c r="B730" s="8">
        <f ca="1">IFERROR(__xludf.DUMMYFUNCTION("""COMPUTED_VALUE"""),43336)</f>
        <v>43336</v>
      </c>
      <c r="C730" s="5" t="str">
        <f ca="1">IFERROR(__xludf.DUMMYFUNCTION("""COMPUTED_VALUE"""),"Metro East Lutheran High School")</f>
        <v>Metro East Lutheran High School</v>
      </c>
      <c r="D730" s="5">
        <f ca="1">IFERROR(__xludf.DUMMYFUNCTION("""COMPUTED_VALUE"""),0)</f>
        <v>0</v>
      </c>
      <c r="E730" s="5">
        <f ca="1">IFERROR(__xludf.DUMMYFUNCTION("""COMPUTED_VALUE"""),3)</f>
        <v>3</v>
      </c>
      <c r="F730" s="5">
        <f ca="1">IFERROR(__xludf.DUMMYFUNCTION("""COMPUTED_VALUE"""),3)</f>
        <v>3</v>
      </c>
      <c r="G730" s="5">
        <f ca="1">IFERROR(__xludf.DUMMYFUNCTION("""COMPUTED_VALUE"""),0)</f>
        <v>0</v>
      </c>
      <c r="H730" s="9" t="str">
        <f ca="1">IFERROR(__xludf.DUMMYFUNCTION("""COMPUTED_VALUE"""),"https://www.ksdk.com/article/news/local/metro-east-football-team-forced-to-cancel-game-after-shooting-in-chicago/63-587675552")</f>
        <v>https://www.ksdk.com/article/news/local/metro-east-football-team-forced-to-cancel-game-after-shooting-in-chicago/63-587675552</v>
      </c>
      <c r="I730" s="5"/>
      <c r="J730" s="5"/>
      <c r="K730" s="5">
        <f ca="1">IFERROR(__xludf.DUMMYFUNCTION("""COMPUTED_VALUE"""),2)</f>
        <v>2</v>
      </c>
      <c r="L730" s="5" t="str">
        <f ca="1">IFERROR(__xludf.DUMMYFUNCTION("""COMPUTED_VALUE"""),"Summer")</f>
        <v>Summer</v>
      </c>
      <c r="M730" s="5" t="str">
        <f ca="1">IFERROR(__xludf.DUMMYFUNCTION("""COMPUTED_VALUE"""),"Chicago")</f>
        <v>Chicago</v>
      </c>
      <c r="N730" s="5" t="str">
        <f ca="1">IFERROR(__xludf.DUMMYFUNCTION("""COMPUTED_VALUE"""),"IL")</f>
        <v>IL</v>
      </c>
      <c r="O730" s="5" t="str">
        <f ca="1">IFERROR(__xludf.DUMMYFUNCTION("""COMPUTED_VALUE"""),"High")</f>
        <v>High</v>
      </c>
      <c r="P730" s="5" t="str">
        <f ca="1">IFERROR(__xludf.DUMMYFUNCTION("""COMPUTED_VALUE"""),"Football Field/Track")</f>
        <v>Football Field/Track</v>
      </c>
      <c r="Q730" s="5" t="str">
        <f ca="1">IFERROR(__xludf.DUMMYFUNCTION("""COMPUTED_VALUE"""),"Outside on School Property")</f>
        <v>Outside on School Property</v>
      </c>
      <c r="R730" s="5" t="str">
        <f ca="1">IFERROR(__xludf.DUMMYFUNCTION("""COMPUTED_VALUE"""),"No")</f>
        <v>No</v>
      </c>
      <c r="S730" s="5" t="str">
        <f ca="1">IFERROR(__xludf.DUMMYFUNCTION("""COMPUTED_VALUE"""),"Sport Event")</f>
        <v>Sport Event</v>
      </c>
      <c r="T730" s="5"/>
      <c r="U730" s="5">
        <f ca="1">IFERROR(__xludf.DUMMYFUNCTION("""COMPUTED_VALUE"""),1)</f>
        <v>1</v>
      </c>
      <c r="V730" s="5" t="str">
        <f ca="1">IFERROR(__xludf.DUMMYFUNCTION("""COMPUTED_VALUE"""),"Gang related shooting outside stadium gate prior to football game, 30-50 shots fired, game cancelled")</f>
        <v>Gang related shooting outside stadium gate prior to football game, 30-50 shots fired, game cancelled</v>
      </c>
      <c r="W730"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X730" s="5" t="str">
        <f ca="1">IFERROR(__xludf.DUMMYFUNCTION("""COMPUTED_VALUE"""),"Escalation of Dispute")</f>
        <v>Escalation of Dispute</v>
      </c>
      <c r="Y730" s="5" t="str">
        <f ca="1">IFERROR(__xludf.DUMMYFUNCTION("""COMPUTED_VALUE"""),"Victims Targeted")</f>
        <v>Victims Targeted</v>
      </c>
      <c r="Z730" s="5" t="str">
        <f ca="1">IFERROR(__xludf.DUMMYFUNCTION("""COMPUTED_VALUE"""),"Yes")</f>
        <v>Yes</v>
      </c>
      <c r="AA730" s="5" t="str">
        <f ca="1">IFERROR(__xludf.DUMMYFUNCTION("""COMPUTED_VALUE"""),"Multiple gang members involved")</f>
        <v>Multiple gang members involved</v>
      </c>
      <c r="AB730" s="5" t="str">
        <f ca="1">IFERROR(__xludf.DUMMYFUNCTION("""COMPUTED_VALUE"""),"No")</f>
        <v>No</v>
      </c>
      <c r="AC730" s="5" t="str">
        <f ca="1">IFERROR(__xludf.DUMMYFUNCTION("""COMPUTED_VALUE"""),"No")</f>
        <v>No</v>
      </c>
      <c r="AD730" s="5" t="str">
        <f ca="1">IFERROR(__xludf.DUMMYFUNCTION("""COMPUTED_VALUE"""),"No")</f>
        <v>No</v>
      </c>
      <c r="AE730" s="5" t="str">
        <f ca="1">IFERROR(__xludf.DUMMYFUNCTION("""COMPUTED_VALUE"""),"No")</f>
        <v>No</v>
      </c>
      <c r="AF730" s="5" t="str">
        <f ca="1">IFERROR(__xludf.DUMMYFUNCTION("""COMPUTED_VALUE"""),"No")</f>
        <v>No</v>
      </c>
      <c r="AG730" s="5" t="str">
        <f ca="1">IFERROR(__xludf.DUMMYFUNCTION("""COMPUTED_VALUE"""),"Yes")</f>
        <v>Yes</v>
      </c>
      <c r="AH730" s="5" t="str">
        <f ca="1">IFERROR(__xludf.DUMMYFUNCTION("""COMPUTED_VALUE"""),"No")</f>
        <v>No</v>
      </c>
    </row>
    <row r="731" spans="1:34" ht="12.75">
      <c r="A731" s="5" t="str">
        <f ca="1">IFERROR(__xludf.DUMMYFUNCTION("""COMPUTED_VALUE"""),"20180824FLRAJ")</f>
        <v>20180824FLRAJ</v>
      </c>
      <c r="B731" s="8">
        <f ca="1">IFERROR(__xludf.DUMMYFUNCTION("""COMPUTED_VALUE"""),43336)</f>
        <v>43336</v>
      </c>
      <c r="C731" s="5" t="str">
        <f ca="1">IFERROR(__xludf.DUMMYFUNCTION("""COMPUTED_VALUE"""),"Raines High School")</f>
        <v>Raines High School</v>
      </c>
      <c r="D731" s="5">
        <f ca="1">IFERROR(__xludf.DUMMYFUNCTION("""COMPUTED_VALUE"""),1)</f>
        <v>1</v>
      </c>
      <c r="E731" s="5">
        <f ca="1">IFERROR(__xludf.DUMMYFUNCTION("""COMPUTED_VALUE"""),2)</f>
        <v>2</v>
      </c>
      <c r="F731" s="5">
        <f ca="1">IFERROR(__xludf.DUMMYFUNCTION("""COMPUTED_VALUE"""),3)</f>
        <v>3</v>
      </c>
      <c r="G731" s="5">
        <f ca="1">IFERROR(__xludf.DUMMYFUNCTION("""COMPUTED_VALUE"""),0)</f>
        <v>0</v>
      </c>
      <c r="H731" s="9" t="str">
        <f ca="1">IFERROR(__xludf.DUMMYFUNCTION("""COMPUTED_VALUE"""),"https://www.news4jax.com/news/2018/08/25/police-gang-shooting-after-raines-high-school-football-game-kills-1-injures-2/")</f>
        <v>https://www.news4jax.com/news/2018/08/25/police-gang-shooting-after-raines-high-school-football-game-kills-1-injures-2/</v>
      </c>
      <c r="I731" s="5"/>
      <c r="J731" s="5"/>
      <c r="K731" s="5">
        <f ca="1">IFERROR(__xludf.DUMMYFUNCTION("""COMPUTED_VALUE"""),4)</f>
        <v>4</v>
      </c>
      <c r="L731" s="5" t="str">
        <f ca="1">IFERROR(__xludf.DUMMYFUNCTION("""COMPUTED_VALUE"""),"Summer")</f>
        <v>Summer</v>
      </c>
      <c r="M731" s="5" t="str">
        <f ca="1">IFERROR(__xludf.DUMMYFUNCTION("""COMPUTED_VALUE"""),"Jacksonville")</f>
        <v>Jacksonville</v>
      </c>
      <c r="N731" s="5" t="str">
        <f ca="1">IFERROR(__xludf.DUMMYFUNCTION("""COMPUTED_VALUE"""),"FL")</f>
        <v>FL</v>
      </c>
      <c r="O731" s="5" t="str">
        <f ca="1">IFERROR(__xludf.DUMMYFUNCTION("""COMPUTED_VALUE"""),"High")</f>
        <v>High</v>
      </c>
      <c r="P731" s="5" t="str">
        <f ca="1">IFERROR(__xludf.DUMMYFUNCTION("""COMPUTED_VALUE"""),"Football Field/Track")</f>
        <v>Football Field/Track</v>
      </c>
      <c r="Q731" s="5" t="str">
        <f ca="1">IFERROR(__xludf.DUMMYFUNCTION("""COMPUTED_VALUE"""),"Outside on School Property")</f>
        <v>Outside on School Property</v>
      </c>
      <c r="R731" s="5" t="str">
        <f ca="1">IFERROR(__xludf.DUMMYFUNCTION("""COMPUTED_VALUE"""),"No")</f>
        <v>No</v>
      </c>
      <c r="S731" s="5" t="str">
        <f ca="1">IFERROR(__xludf.DUMMYFUNCTION("""COMPUTED_VALUE"""),"Sport Event")</f>
        <v>Sport Event</v>
      </c>
      <c r="T731" s="10">
        <f ca="1">IFERROR(__xludf.DUMMYFUNCTION("""COMPUTED_VALUE"""),0.916666666666666)</f>
        <v>0.91666666666666596</v>
      </c>
      <c r="U731" s="5">
        <f ca="1">IFERROR(__xludf.DUMMYFUNCTION("""COMPUTED_VALUE"""),1)</f>
        <v>1</v>
      </c>
      <c r="V731" s="5" t="str">
        <f ca="1">IFERROR(__xludf.DUMMYFUNCTION("""COMPUTED_VALUE"""),"Two students from rival school and former student shot after football game")</f>
        <v>Two students from rival school and former student shot after football game</v>
      </c>
      <c r="W731"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X731" s="5" t="str">
        <f ca="1">IFERROR(__xludf.DUMMYFUNCTION("""COMPUTED_VALUE"""),"Escalation of Dispute")</f>
        <v>Escalation of Dispute</v>
      </c>
      <c r="Y731" s="5" t="str">
        <f ca="1">IFERROR(__xludf.DUMMYFUNCTION("""COMPUTED_VALUE"""),"Both")</f>
        <v>Both</v>
      </c>
      <c r="Z731" s="5"/>
      <c r="AA731" s="5"/>
      <c r="AB731" s="5" t="str">
        <f ca="1">IFERROR(__xludf.DUMMYFUNCTION("""COMPUTED_VALUE"""),"No")</f>
        <v>No</v>
      </c>
      <c r="AC731" s="5" t="str">
        <f ca="1">IFERROR(__xludf.DUMMYFUNCTION("""COMPUTED_VALUE"""),"No")</f>
        <v>No</v>
      </c>
      <c r="AD731" s="5" t="str">
        <f ca="1">IFERROR(__xludf.DUMMYFUNCTION("""COMPUTED_VALUE"""),"No")</f>
        <v>No</v>
      </c>
      <c r="AE731" s="5" t="str">
        <f ca="1">IFERROR(__xludf.DUMMYFUNCTION("""COMPUTED_VALUE"""),"No")</f>
        <v>No</v>
      </c>
      <c r="AF731" s="5" t="str">
        <f ca="1">IFERROR(__xludf.DUMMYFUNCTION("""COMPUTED_VALUE"""),"No")</f>
        <v>No</v>
      </c>
      <c r="AG731" s="5" t="str">
        <f ca="1">IFERROR(__xludf.DUMMYFUNCTION("""COMPUTED_VALUE"""),"Yes")</f>
        <v>Yes</v>
      </c>
      <c r="AH731" s="5" t="str">
        <f ca="1">IFERROR(__xludf.DUMMYFUNCTION("""COMPUTED_VALUE"""),"No")</f>
        <v>No</v>
      </c>
    </row>
    <row r="732" spans="1:34" ht="12.75">
      <c r="A732" s="5" t="str">
        <f ca="1">IFERROR(__xludf.DUMMYFUNCTION("""COMPUTED_VALUE"""),"20180823ALALM")</f>
        <v>20180823ALALM</v>
      </c>
      <c r="B732" s="8">
        <f ca="1">IFERROR(__xludf.DUMMYFUNCTION("""COMPUTED_VALUE"""),43335)</f>
        <v>43335</v>
      </c>
      <c r="C732" s="5" t="str">
        <f ca="1">IFERROR(__xludf.DUMMYFUNCTION("""COMPUTED_VALUE"""),"Alabama State University Stadium (high school game)")</f>
        <v>Alabama State University Stadium (high school game)</v>
      </c>
      <c r="D732" s="5">
        <f ca="1">IFERROR(__xludf.DUMMYFUNCTION("""COMPUTED_VALUE"""),0)</f>
        <v>0</v>
      </c>
      <c r="E732" s="5">
        <f ca="1">IFERROR(__xludf.DUMMYFUNCTION("""COMPUTED_VALUE"""),0)</f>
        <v>0</v>
      </c>
      <c r="F732" s="5">
        <f ca="1">IFERROR(__xludf.DUMMYFUNCTION("""COMPUTED_VALUE"""),0)</f>
        <v>0</v>
      </c>
      <c r="G732" s="5">
        <f ca="1">IFERROR(__xludf.DUMMYFUNCTION("""COMPUTED_VALUE"""),0)</f>
        <v>0</v>
      </c>
      <c r="H732"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I732" s="5"/>
      <c r="J732" s="5"/>
      <c r="K732" s="5">
        <f ca="1">IFERROR(__xludf.DUMMYFUNCTION("""COMPUTED_VALUE"""),4)</f>
        <v>4</v>
      </c>
      <c r="L732" s="5" t="str">
        <f ca="1">IFERROR(__xludf.DUMMYFUNCTION("""COMPUTED_VALUE"""),"Summer")</f>
        <v>Summer</v>
      </c>
      <c r="M732" s="5" t="str">
        <f ca="1">IFERROR(__xludf.DUMMYFUNCTION("""COMPUTED_VALUE"""),"Montgomery")</f>
        <v>Montgomery</v>
      </c>
      <c r="N732" s="5" t="str">
        <f ca="1">IFERROR(__xludf.DUMMYFUNCTION("""COMPUTED_VALUE"""),"AL")</f>
        <v>AL</v>
      </c>
      <c r="O732" s="5" t="str">
        <f ca="1">IFERROR(__xludf.DUMMYFUNCTION("""COMPUTED_VALUE"""),"High")</f>
        <v>High</v>
      </c>
      <c r="P732" s="5" t="str">
        <f ca="1">IFERROR(__xludf.DUMMYFUNCTION("""COMPUTED_VALUE"""),"Football Field/Track")</f>
        <v>Football Field/Track</v>
      </c>
      <c r="Q732" s="5" t="str">
        <f ca="1">IFERROR(__xludf.DUMMYFUNCTION("""COMPUTED_VALUE"""),"Outside on School Property")</f>
        <v>Outside on School Property</v>
      </c>
      <c r="R732" s="5" t="str">
        <f ca="1">IFERROR(__xludf.DUMMYFUNCTION("""COMPUTED_VALUE"""),"No")</f>
        <v>No</v>
      </c>
      <c r="S732" s="5" t="str">
        <f ca="1">IFERROR(__xludf.DUMMYFUNCTION("""COMPUTED_VALUE"""),"Sport Event")</f>
        <v>Sport Event</v>
      </c>
      <c r="T732" s="10">
        <f ca="1">IFERROR(__xludf.DUMMYFUNCTION("""COMPUTED_VALUE"""),0.895833333333333)</f>
        <v>0.89583333333333304</v>
      </c>
      <c r="U732" s="5">
        <f ca="1">IFERROR(__xludf.DUMMYFUNCTION("""COMPUTED_VALUE"""),1)</f>
        <v>1</v>
      </c>
      <c r="V732" s="5" t="str">
        <f ca="1">IFERROR(__xludf.DUMMYFUNCTION("""COMPUTED_VALUE"""),"Shots fired in walkway of stadium during high school football game")</f>
        <v>Shots fired in walkway of stadium during high school football game</v>
      </c>
      <c r="W732"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X732" s="5" t="str">
        <f ca="1">IFERROR(__xludf.DUMMYFUNCTION("""COMPUTED_VALUE"""),"Escalation of Dispute")</f>
        <v>Escalation of Dispute</v>
      </c>
      <c r="Y732" s="5"/>
      <c r="Z732" s="5"/>
      <c r="AA732" s="5"/>
      <c r="AB732" s="5" t="str">
        <f ca="1">IFERROR(__xludf.DUMMYFUNCTION("""COMPUTED_VALUE"""),"No")</f>
        <v>No</v>
      </c>
      <c r="AC732" s="5" t="str">
        <f ca="1">IFERROR(__xludf.DUMMYFUNCTION("""COMPUTED_VALUE"""),"No")</f>
        <v>No</v>
      </c>
      <c r="AD732" s="5" t="str">
        <f ca="1">IFERROR(__xludf.DUMMYFUNCTION("""COMPUTED_VALUE"""),"No")</f>
        <v>No</v>
      </c>
      <c r="AE732" s="5" t="str">
        <f ca="1">IFERROR(__xludf.DUMMYFUNCTION("""COMPUTED_VALUE"""),"No")</f>
        <v>No</v>
      </c>
      <c r="AF732" s="5" t="str">
        <f ca="1">IFERROR(__xludf.DUMMYFUNCTION("""COMPUTED_VALUE"""),"No")</f>
        <v>No</v>
      </c>
      <c r="AG732" s="5"/>
      <c r="AH732" s="5" t="str">
        <f ca="1">IFERROR(__xludf.DUMMYFUNCTION("""COMPUTED_VALUE"""),"No")</f>
        <v>No</v>
      </c>
    </row>
    <row r="733" spans="1:34" ht="12.75">
      <c r="A733" s="5" t="str">
        <f ca="1">IFERROR(__xludf.DUMMYFUNCTION("""COMPUTED_VALUE"""),"20180817FLPAW")</f>
        <v>20180817FLPAW</v>
      </c>
      <c r="B733" s="8">
        <f ca="1">IFERROR(__xludf.DUMMYFUNCTION("""COMPUTED_VALUE"""),43329)</f>
        <v>43329</v>
      </c>
      <c r="C733" s="5" t="str">
        <f ca="1">IFERROR(__xludf.DUMMYFUNCTION("""COMPUTED_VALUE"""),"Palm Beach Central High School")</f>
        <v>Palm Beach Central High School</v>
      </c>
      <c r="D733" s="5">
        <f ca="1">IFERROR(__xludf.DUMMYFUNCTION("""COMPUTED_VALUE"""),0)</f>
        <v>0</v>
      </c>
      <c r="E733" s="5">
        <f ca="1">IFERROR(__xludf.DUMMYFUNCTION("""COMPUTED_VALUE"""),2)</f>
        <v>2</v>
      </c>
      <c r="F733" s="5">
        <f ca="1">IFERROR(__xludf.DUMMYFUNCTION("""COMPUTED_VALUE"""),2)</f>
        <v>2</v>
      </c>
      <c r="G733" s="5">
        <f ca="1">IFERROR(__xludf.DUMMYFUNCTION("""COMPUTED_VALUE"""),0)</f>
        <v>0</v>
      </c>
      <c r="H733"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I733" s="5">
        <f ca="1">IFERROR(__xludf.DUMMYFUNCTION("""COMPUTED_VALUE"""),11)</f>
        <v>11</v>
      </c>
      <c r="J733" s="5" t="str">
        <f ca="1">IFERROR(__xludf.DUMMYFUNCTION("""COMPUTED_VALUE"""),"National")</f>
        <v>National</v>
      </c>
      <c r="K733" s="5">
        <f ca="1">IFERROR(__xludf.DUMMYFUNCTION("""COMPUTED_VALUE"""),3)</f>
        <v>3</v>
      </c>
      <c r="L733" s="5" t="str">
        <f ca="1">IFERROR(__xludf.DUMMYFUNCTION("""COMPUTED_VALUE"""),"Summer")</f>
        <v>Summer</v>
      </c>
      <c r="M733" s="5" t="str">
        <f ca="1">IFERROR(__xludf.DUMMYFUNCTION("""COMPUTED_VALUE"""),"Wellington")</f>
        <v>Wellington</v>
      </c>
      <c r="N733" s="5" t="str">
        <f ca="1">IFERROR(__xludf.DUMMYFUNCTION("""COMPUTED_VALUE"""),"FL")</f>
        <v>FL</v>
      </c>
      <c r="O733" s="5" t="str">
        <f ca="1">IFERROR(__xludf.DUMMYFUNCTION("""COMPUTED_VALUE"""),"High")</f>
        <v>High</v>
      </c>
      <c r="P733" s="5" t="str">
        <f ca="1">IFERROR(__xludf.DUMMYFUNCTION("""COMPUTED_VALUE"""),"Football Field/Track")</f>
        <v>Football Field/Track</v>
      </c>
      <c r="Q733" s="5" t="str">
        <f ca="1">IFERROR(__xludf.DUMMYFUNCTION("""COMPUTED_VALUE"""),"Outside on School Property")</f>
        <v>Outside on School Property</v>
      </c>
      <c r="R733" s="5" t="str">
        <f ca="1">IFERROR(__xludf.DUMMYFUNCTION("""COMPUTED_VALUE"""),"No")</f>
        <v>No</v>
      </c>
      <c r="S733" s="5" t="str">
        <f ca="1">IFERROR(__xludf.DUMMYFUNCTION("""COMPUTED_VALUE"""),"Sport Event")</f>
        <v>Sport Event</v>
      </c>
      <c r="T733" s="10">
        <f ca="1">IFERROR(__xludf.DUMMYFUNCTION("""COMPUTED_VALUE"""),0.90625)</f>
        <v>0.90625</v>
      </c>
      <c r="U733" s="5">
        <f ca="1">IFERROR(__xludf.DUMMYFUNCTION("""COMPUTED_VALUE"""),1)</f>
        <v>1</v>
      </c>
      <c r="V733" s="5" t="str">
        <f ca="1">IFERROR(__xludf.DUMMYFUNCTION("""COMPUTED_VALUE"""),"4 shots fired during fight at football game under bleachers")</f>
        <v>4 shots fired during fight at football game under bleachers</v>
      </c>
      <c r="W733"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X733" s="5" t="str">
        <f ca="1">IFERROR(__xludf.DUMMYFUNCTION("""COMPUTED_VALUE"""),"Escalation of Dispute")</f>
        <v>Escalation of Dispute</v>
      </c>
      <c r="Y733" s="5" t="str">
        <f ca="1">IFERROR(__xludf.DUMMYFUNCTION("""COMPUTED_VALUE"""),"Victims Targeted")</f>
        <v>Victims Targeted</v>
      </c>
      <c r="Z733" s="5"/>
      <c r="AA733" s="5"/>
      <c r="AB733" s="5" t="str">
        <f ca="1">IFERROR(__xludf.DUMMYFUNCTION("""COMPUTED_VALUE"""),"No")</f>
        <v>No</v>
      </c>
      <c r="AC733" s="5" t="str">
        <f ca="1">IFERROR(__xludf.DUMMYFUNCTION("""COMPUTED_VALUE"""),"No")</f>
        <v>No</v>
      </c>
      <c r="AD733" s="5" t="str">
        <f ca="1">IFERROR(__xludf.DUMMYFUNCTION("""COMPUTED_VALUE"""),"No")</f>
        <v>No</v>
      </c>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row>
    <row r="734" spans="1:34" ht="12.75">
      <c r="A734" s="5" t="str">
        <f ca="1">IFERROR(__xludf.DUMMYFUNCTION("""COMPUTED_VALUE"""),"20180811TNANN")</f>
        <v>20180811TNANN</v>
      </c>
      <c r="B734" s="8">
        <f ca="1">IFERROR(__xludf.DUMMYFUNCTION("""COMPUTED_VALUE"""),43323)</f>
        <v>43323</v>
      </c>
      <c r="C734" s="5" t="str">
        <f ca="1">IFERROR(__xludf.DUMMYFUNCTION("""COMPUTED_VALUE"""),"Antioch High School")</f>
        <v>Antioch High School</v>
      </c>
      <c r="D734" s="5">
        <f ca="1">IFERROR(__xludf.DUMMYFUNCTION("""COMPUTED_VALUE"""),0)</f>
        <v>0</v>
      </c>
      <c r="E734" s="5">
        <f ca="1">IFERROR(__xludf.DUMMYFUNCTION("""COMPUTED_VALUE"""),1)</f>
        <v>1</v>
      </c>
      <c r="F734" s="5">
        <f ca="1">IFERROR(__xludf.DUMMYFUNCTION("""COMPUTED_VALUE"""),1)</f>
        <v>1</v>
      </c>
      <c r="G734" s="5">
        <f ca="1">IFERROR(__xludf.DUMMYFUNCTION("""COMPUTED_VALUE"""),0)</f>
        <v>0</v>
      </c>
      <c r="H734"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I734" s="5"/>
      <c r="J734" s="5"/>
      <c r="K734" s="5">
        <f ca="1">IFERROR(__xludf.DUMMYFUNCTION("""COMPUTED_VALUE"""),4)</f>
        <v>4</v>
      </c>
      <c r="L734" s="5" t="str">
        <f ca="1">IFERROR(__xludf.DUMMYFUNCTION("""COMPUTED_VALUE"""),"Summer")</f>
        <v>Summer</v>
      </c>
      <c r="M734" s="5" t="str">
        <f ca="1">IFERROR(__xludf.DUMMYFUNCTION("""COMPUTED_VALUE"""),"Nashville")</f>
        <v>Nashville</v>
      </c>
      <c r="N734" s="5" t="str">
        <f ca="1">IFERROR(__xludf.DUMMYFUNCTION("""COMPUTED_VALUE"""),"TN")</f>
        <v>TN</v>
      </c>
      <c r="O734" s="5" t="str">
        <f ca="1">IFERROR(__xludf.DUMMYFUNCTION("""COMPUTED_VALUE"""),"High")</f>
        <v>High</v>
      </c>
      <c r="P734" s="5" t="str">
        <f ca="1">IFERROR(__xludf.DUMMYFUNCTION("""COMPUTED_VALUE"""),"Football Field/Track")</f>
        <v>Football Field/Track</v>
      </c>
      <c r="Q734" s="5" t="str">
        <f ca="1">IFERROR(__xludf.DUMMYFUNCTION("""COMPUTED_VALUE"""),"Outside on School Property")</f>
        <v>Outside on School Property</v>
      </c>
      <c r="R734" s="5" t="str">
        <f ca="1">IFERROR(__xludf.DUMMYFUNCTION("""COMPUTED_VALUE"""),"No")</f>
        <v>No</v>
      </c>
      <c r="S734" s="5" t="str">
        <f ca="1">IFERROR(__xludf.DUMMYFUNCTION("""COMPUTED_VALUE"""),"Sport Event")</f>
        <v>Sport Event</v>
      </c>
      <c r="T734" s="10">
        <f ca="1">IFERROR(__xludf.DUMMYFUNCTION("""COMPUTED_VALUE"""),0.75)</f>
        <v>0.75</v>
      </c>
      <c r="U734" s="5">
        <f ca="1">IFERROR(__xludf.DUMMYFUNCTION("""COMPUTED_VALUE"""),1)</f>
        <v>1</v>
      </c>
      <c r="V734" s="5" t="str">
        <f ca="1">IFERROR(__xludf.DUMMYFUNCTION("""COMPUTED_VALUE"""),"Parent shot football coach during fight with other parent")</f>
        <v>Parent shot football coach during fight with other parent</v>
      </c>
      <c r="W734"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X734" s="5" t="str">
        <f ca="1">IFERROR(__xludf.DUMMYFUNCTION("""COMPUTED_VALUE"""),"Escalation of Dispute")</f>
        <v>Escalation of Dispute</v>
      </c>
      <c r="Y734" s="5" t="str">
        <f ca="1">IFERROR(__xludf.DUMMYFUNCTION("""COMPUTED_VALUE"""),"Both")</f>
        <v>Both</v>
      </c>
      <c r="Z734" s="5" t="str">
        <f ca="1">IFERROR(__xludf.DUMMYFUNCTION("""COMPUTED_VALUE"""),"No")</f>
        <v>No</v>
      </c>
      <c r="AA734" s="5"/>
      <c r="AB734" s="5" t="str">
        <f ca="1">IFERROR(__xludf.DUMMYFUNCTION("""COMPUTED_VALUE"""),"No")</f>
        <v>No</v>
      </c>
      <c r="AC734" s="5" t="str">
        <f ca="1">IFERROR(__xludf.DUMMYFUNCTION("""COMPUTED_VALUE"""),"No")</f>
        <v>No</v>
      </c>
      <c r="AD734" s="5" t="str">
        <f ca="1">IFERROR(__xludf.DUMMYFUNCTION("""COMPUTED_VALUE"""),"No")</f>
        <v>No</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row>
    <row r="735" spans="1:34" ht="12.75">
      <c r="A735" s="5" t="str">
        <f ca="1">IFERROR(__xludf.DUMMYFUNCTION("""COMPUTED_VALUE"""),"20180809NJLAM")</f>
        <v>20180809NJLAM</v>
      </c>
      <c r="B735" s="8">
        <f ca="1">IFERROR(__xludf.DUMMYFUNCTION("""COMPUTED_VALUE"""),43321)</f>
        <v>43321</v>
      </c>
      <c r="C735" s="5" t="str">
        <f ca="1">IFERROR(__xludf.DUMMYFUNCTION("""COMPUTED_VALUE"""),"Lakeside Middle School")</f>
        <v>Lakeside Middle School</v>
      </c>
      <c r="D735" s="5">
        <f ca="1">IFERROR(__xludf.DUMMYFUNCTION("""COMPUTED_VALUE"""),1)</f>
        <v>1</v>
      </c>
      <c r="E735" s="5">
        <f ca="1">IFERROR(__xludf.DUMMYFUNCTION("""COMPUTED_VALUE"""),0)</f>
        <v>0</v>
      </c>
      <c r="F735" s="5">
        <f ca="1">IFERROR(__xludf.DUMMYFUNCTION("""COMPUTED_VALUE"""),1)</f>
        <v>1</v>
      </c>
      <c r="G735" s="5">
        <f ca="1">IFERROR(__xludf.DUMMYFUNCTION("""COMPUTED_VALUE"""),0)</f>
        <v>0</v>
      </c>
      <c r="H735"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I735" s="5"/>
      <c r="J735" s="5"/>
      <c r="K735" s="5">
        <f ca="1">IFERROR(__xludf.DUMMYFUNCTION("""COMPUTED_VALUE"""),4)</f>
        <v>4</v>
      </c>
      <c r="L735" s="5" t="str">
        <f ca="1">IFERROR(__xludf.DUMMYFUNCTION("""COMPUTED_VALUE"""),"Summer")</f>
        <v>Summer</v>
      </c>
      <c r="M735" s="5" t="str">
        <f ca="1">IFERROR(__xludf.DUMMYFUNCTION("""COMPUTED_VALUE"""),"Millville")</f>
        <v>Millville</v>
      </c>
      <c r="N735" s="5" t="str">
        <f ca="1">IFERROR(__xludf.DUMMYFUNCTION("""COMPUTED_VALUE"""),"NJ")</f>
        <v>NJ</v>
      </c>
      <c r="O735" s="5" t="str">
        <f ca="1">IFERROR(__xludf.DUMMYFUNCTION("""COMPUTED_VALUE"""),"Middle")</f>
        <v>Middle</v>
      </c>
      <c r="P735" s="5" t="str">
        <f ca="1">IFERROR(__xludf.DUMMYFUNCTION("""COMPUTED_VALUE"""),"Parking Lot")</f>
        <v>Parking Lot</v>
      </c>
      <c r="Q735" s="5" t="str">
        <f ca="1">IFERROR(__xludf.DUMMYFUNCTION("""COMPUTED_VALUE"""),"Outside on School Property")</f>
        <v>Outside on School Property</v>
      </c>
      <c r="R735" s="5" t="str">
        <f ca="1">IFERROR(__xludf.DUMMYFUNCTION("""COMPUTED_VALUE"""),"No")</f>
        <v>No</v>
      </c>
      <c r="S735" s="5" t="str">
        <f ca="1">IFERROR(__xludf.DUMMYFUNCTION("""COMPUTED_VALUE"""),"Sport Event")</f>
        <v>Sport Event</v>
      </c>
      <c r="T735" s="10">
        <f ca="1">IFERROR(__xludf.DUMMYFUNCTION("""COMPUTED_VALUE"""),0.84375)</f>
        <v>0.84375</v>
      </c>
      <c r="U735" s="5">
        <f ca="1">IFERROR(__xludf.DUMMYFUNCTION("""COMPUTED_VALUE"""),1)</f>
        <v>1</v>
      </c>
      <c r="V735" s="5" t="str">
        <f ca="1">IFERROR(__xludf.DUMMYFUNCTION("""COMPUTED_VALUE"""),"Masked gunman shot football coach in school parking lot")</f>
        <v>Masked gunman shot football coach in school parking lot</v>
      </c>
      <c r="W735"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X735" s="5" t="str">
        <f ca="1">IFERROR(__xludf.DUMMYFUNCTION("""COMPUTED_VALUE"""),"Unknown")</f>
        <v>Unknown</v>
      </c>
      <c r="Y735" s="5" t="str">
        <f ca="1">IFERROR(__xludf.DUMMYFUNCTION("""COMPUTED_VALUE"""),"Victims Targeted")</f>
        <v>Victims Targeted</v>
      </c>
      <c r="Z735" s="5"/>
      <c r="AA735" s="5"/>
      <c r="AB735" s="5" t="str">
        <f ca="1">IFERROR(__xludf.DUMMYFUNCTION("""COMPUTED_VALUE"""),"No")</f>
        <v>No</v>
      </c>
      <c r="AC735" s="5" t="str">
        <f ca="1">IFERROR(__xludf.DUMMYFUNCTION("""COMPUTED_VALUE"""),"No")</f>
        <v>No</v>
      </c>
      <c r="AD735" s="5" t="str">
        <f ca="1">IFERROR(__xludf.DUMMYFUNCTION("""COMPUTED_VALUE"""),"No")</f>
        <v>No</v>
      </c>
      <c r="AE735" s="5" t="str">
        <f ca="1">IFERROR(__xludf.DUMMYFUNCTION("""COMPUTED_VALUE"""),"No")</f>
        <v>No</v>
      </c>
      <c r="AF735" s="5" t="str">
        <f ca="1">IFERROR(__xludf.DUMMYFUNCTION("""COMPUTED_VALUE"""),"No")</f>
        <v>No</v>
      </c>
      <c r="AG735" s="5"/>
      <c r="AH735" s="5" t="str">
        <f ca="1">IFERROR(__xludf.DUMMYFUNCTION("""COMPUTED_VALUE"""),"No")</f>
        <v>No</v>
      </c>
    </row>
    <row r="736" spans="1:34" ht="12.75">
      <c r="A736" s="5" t="str">
        <f ca="1">IFERROR(__xludf.DUMMYFUNCTION("""COMPUTED_VALUE"""),"20180804MDEDE")</f>
        <v>20180804MDEDE</v>
      </c>
      <c r="B736" s="8">
        <f ca="1">IFERROR(__xludf.DUMMYFUNCTION("""COMPUTED_VALUE"""),43316)</f>
        <v>43316</v>
      </c>
      <c r="C736" s="5" t="str">
        <f ca="1">IFERROR(__xludf.DUMMYFUNCTION("""COMPUTED_VALUE"""),"Edgewood High School")</f>
        <v>Edgewood High School</v>
      </c>
      <c r="D736" s="5">
        <f ca="1">IFERROR(__xludf.DUMMYFUNCTION("""COMPUTED_VALUE"""),1)</f>
        <v>1</v>
      </c>
      <c r="E736" s="5">
        <f ca="1">IFERROR(__xludf.DUMMYFUNCTION("""COMPUTED_VALUE"""),0)</f>
        <v>0</v>
      </c>
      <c r="F736" s="5">
        <f ca="1">IFERROR(__xludf.DUMMYFUNCTION("""COMPUTED_VALUE"""),1)</f>
        <v>1</v>
      </c>
      <c r="G736" s="5">
        <f ca="1">IFERROR(__xludf.DUMMYFUNCTION("""COMPUTED_VALUE"""),0)</f>
        <v>0</v>
      </c>
      <c r="H736" s="9" t="str">
        <f ca="1">IFERROR(__xludf.DUMMYFUNCTION("""COMPUTED_VALUE"""),"https://foxbaltimore.com/news/local/teen-fatally-shot-in-edgewood-high-school-parking-lot")</f>
        <v>https://foxbaltimore.com/news/local/teen-fatally-shot-in-edgewood-high-school-parking-lot</v>
      </c>
      <c r="I736" s="5"/>
      <c r="J736" s="5"/>
      <c r="K736" s="5">
        <f ca="1">IFERROR(__xludf.DUMMYFUNCTION("""COMPUTED_VALUE"""),2)</f>
        <v>2</v>
      </c>
      <c r="L736" s="5" t="str">
        <f ca="1">IFERROR(__xludf.DUMMYFUNCTION("""COMPUTED_VALUE"""),"Summer")</f>
        <v>Summer</v>
      </c>
      <c r="M736" s="5" t="str">
        <f ca="1">IFERROR(__xludf.DUMMYFUNCTION("""COMPUTED_VALUE"""),"Edgewood")</f>
        <v>Edgewood</v>
      </c>
      <c r="N736" s="5" t="str">
        <f ca="1">IFERROR(__xludf.DUMMYFUNCTION("""COMPUTED_VALUE"""),"MD")</f>
        <v>MD</v>
      </c>
      <c r="O736" s="5" t="str">
        <f ca="1">IFERROR(__xludf.DUMMYFUNCTION("""COMPUTED_VALUE"""),"High")</f>
        <v>High</v>
      </c>
      <c r="P736" s="5" t="str">
        <f ca="1">IFERROR(__xludf.DUMMYFUNCTION("""COMPUTED_VALUE"""),"Parking Lot")</f>
        <v>Parking Lot</v>
      </c>
      <c r="Q736" s="5" t="str">
        <f ca="1">IFERROR(__xludf.DUMMYFUNCTION("""COMPUTED_VALUE"""),"Outside on School Property")</f>
        <v>Outside on School Property</v>
      </c>
      <c r="R736" s="5" t="str">
        <f ca="1">IFERROR(__xludf.DUMMYFUNCTION("""COMPUTED_VALUE"""),"No")</f>
        <v>No</v>
      </c>
      <c r="S736" s="5" t="str">
        <f ca="1">IFERROR(__xludf.DUMMYFUNCTION("""COMPUTED_VALUE"""),"Not a School Day")</f>
        <v>Not a School Day</v>
      </c>
      <c r="T736" s="10">
        <f ca="1">IFERROR(__xludf.DUMMYFUNCTION("""COMPUTED_VALUE"""),0.888194444444444)</f>
        <v>0.88819444444444395</v>
      </c>
      <c r="U736" s="5">
        <f ca="1">IFERROR(__xludf.DUMMYFUNCTION("""COMPUTED_VALUE"""),1)</f>
        <v>1</v>
      </c>
      <c r="V736" s="5" t="str">
        <f ca="1">IFERROR(__xludf.DUMMYFUNCTION("""COMPUTED_VALUE"""),"Man found dead in vehicle in school parking lot (GSW)")</f>
        <v>Man found dead in vehicle in school parking lot (GSW)</v>
      </c>
      <c r="W736" s="5" t="str">
        <f ca="1">IFERROR(__xludf.DUMMYFUNCTION("""COMPUTED_VALUE"""),"19YOM was found shot in a car in the school parking lot.")</f>
        <v>19YOM was found shot in a car in the school parking lot.</v>
      </c>
      <c r="X736" s="5" t="str">
        <f ca="1">IFERROR(__xludf.DUMMYFUNCTION("""COMPUTED_VALUE"""),"Unknown")</f>
        <v>Unknown</v>
      </c>
      <c r="Y736" s="5"/>
      <c r="Z736" s="5"/>
      <c r="AA736" s="5"/>
      <c r="AB736" s="5" t="str">
        <f ca="1">IFERROR(__xludf.DUMMYFUNCTION("""COMPUTED_VALUE"""),"No")</f>
        <v>No</v>
      </c>
      <c r="AC736" s="5" t="str">
        <f ca="1">IFERROR(__xludf.DUMMYFUNCTION("""COMPUTED_VALUE"""),"No")</f>
        <v>No</v>
      </c>
      <c r="AD736" s="5" t="str">
        <f ca="1">IFERROR(__xludf.DUMMYFUNCTION("""COMPUTED_VALUE"""),"No")</f>
        <v>No</v>
      </c>
      <c r="AE736" s="5"/>
      <c r="AF736" s="5"/>
      <c r="AG736" s="5"/>
      <c r="AH736" s="5" t="str">
        <f ca="1">IFERROR(__xludf.DUMMYFUNCTION("""COMPUTED_VALUE"""),"No")</f>
        <v>No</v>
      </c>
    </row>
    <row r="737" spans="1:34" ht="12.75">
      <c r="A737" s="5" t="str">
        <f ca="1">IFERROR(__xludf.DUMMYFUNCTION("""COMPUTED_VALUE"""),"20180803IALIO")</f>
        <v>20180803IALIO</v>
      </c>
      <c r="B737" s="8">
        <f ca="1">IFERROR(__xludf.DUMMYFUNCTION("""COMPUTED_VALUE"""),43315)</f>
        <v>43315</v>
      </c>
      <c r="C737" s="5" t="str">
        <f ca="1">IFERROR(__xludf.DUMMYFUNCTION("""COMPUTED_VALUE"""),"Liberty Elementary School")</f>
        <v>Liberty Elementary School</v>
      </c>
      <c r="D737" s="5">
        <f ca="1">IFERROR(__xludf.DUMMYFUNCTION("""COMPUTED_VALUE"""),0)</f>
        <v>0</v>
      </c>
      <c r="E737" s="5">
        <f ca="1">IFERROR(__xludf.DUMMYFUNCTION("""COMPUTED_VALUE"""),0)</f>
        <v>0</v>
      </c>
      <c r="F737" s="5">
        <f ca="1">IFERROR(__xludf.DUMMYFUNCTION("""COMPUTED_VALUE"""),0)</f>
        <v>0</v>
      </c>
      <c r="G737" s="5">
        <f ca="1">IFERROR(__xludf.DUMMYFUNCTION("""COMPUTED_VALUE"""),1)</f>
        <v>1</v>
      </c>
      <c r="H737"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I737" s="5">
        <f ca="1">IFERROR(__xludf.DUMMYFUNCTION("""COMPUTED_VALUE"""),2)</f>
        <v>2</v>
      </c>
      <c r="J737" s="5" t="str">
        <f ca="1">IFERROR(__xludf.DUMMYFUNCTION("""COMPUTED_VALUE"""),"Local")</f>
        <v>Local</v>
      </c>
      <c r="K737" s="5">
        <f ca="1">IFERROR(__xludf.DUMMYFUNCTION("""COMPUTED_VALUE"""),3)</f>
        <v>3</v>
      </c>
      <c r="L737" s="5" t="str">
        <f ca="1">IFERROR(__xludf.DUMMYFUNCTION("""COMPUTED_VALUE"""),"Summer")</f>
        <v>Summer</v>
      </c>
      <c r="M737" s="5" t="str">
        <f ca="1">IFERROR(__xludf.DUMMYFUNCTION("""COMPUTED_VALUE"""),"Ottumwa")</f>
        <v>Ottumwa</v>
      </c>
      <c r="N737" s="5" t="str">
        <f ca="1">IFERROR(__xludf.DUMMYFUNCTION("""COMPUTED_VALUE"""),"IA")</f>
        <v>IA</v>
      </c>
      <c r="O737" s="5" t="str">
        <f ca="1">IFERROR(__xludf.DUMMYFUNCTION("""COMPUTED_VALUE"""),"Elementary")</f>
        <v>Elementary</v>
      </c>
      <c r="P737" s="5" t="str">
        <f ca="1">IFERROR(__xludf.DUMMYFUNCTION("""COMPUTED_VALUE"""),"Parking Lot")</f>
        <v>Parking Lot</v>
      </c>
      <c r="Q737" s="5" t="str">
        <f ca="1">IFERROR(__xludf.DUMMYFUNCTION("""COMPUTED_VALUE"""),"Off School Property")</f>
        <v>Off School Property</v>
      </c>
      <c r="R737" s="5" t="str">
        <f ca="1">IFERROR(__xludf.DUMMYFUNCTION("""COMPUTED_VALUE"""),"No")</f>
        <v>No</v>
      </c>
      <c r="S737" s="5" t="str">
        <f ca="1">IFERROR(__xludf.DUMMYFUNCTION("""COMPUTED_VALUE"""),"Afternoon Classes")</f>
        <v>Afternoon Classes</v>
      </c>
      <c r="T737" s="10">
        <f ca="1">IFERROR(__xludf.DUMMYFUNCTION("""COMPUTED_VALUE"""),0.583333333333333)</f>
        <v>0.58333333333333304</v>
      </c>
      <c r="U737" s="5">
        <f ca="1">IFERROR(__xludf.DUMMYFUNCTION("""COMPUTED_VALUE"""),15)</f>
        <v>15</v>
      </c>
      <c r="V737" s="5" t="str">
        <f ca="1">IFERROR(__xludf.DUMMYFUNCTION("""COMPUTED_VALUE"""),"3 men involved with robbery fired shot at police in the school parking lot while class was in session")</f>
        <v>3 men involved with robbery fired shot at police in the school parking lot while class was in session</v>
      </c>
      <c r="W737"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X737" s="5" t="str">
        <f ca="1">IFERROR(__xludf.DUMMYFUNCTION("""COMPUTED_VALUE"""),"Illegal Activity")</f>
        <v>Illegal Activity</v>
      </c>
      <c r="Y737" s="5" t="str">
        <f ca="1">IFERROR(__xludf.DUMMYFUNCTION("""COMPUTED_VALUE"""),"Random Shooting")</f>
        <v>Random Shooting</v>
      </c>
      <c r="Z737" s="5" t="str">
        <f ca="1">IFERROR(__xludf.DUMMYFUNCTION("""COMPUTED_VALUE"""),"Yes")</f>
        <v>Yes</v>
      </c>
      <c r="AA737" s="5" t="str">
        <f ca="1">IFERROR(__xludf.DUMMYFUNCTION("""COMPUTED_VALUE"""),"3 men arrested")</f>
        <v>3 men arrested</v>
      </c>
      <c r="AB737" s="5" t="str">
        <f ca="1">IFERROR(__xludf.DUMMYFUNCTION("""COMPUTED_VALUE"""),"No")</f>
        <v>No</v>
      </c>
      <c r="AC737" s="5" t="str">
        <f ca="1">IFERROR(__xludf.DUMMYFUNCTION("""COMPUTED_VALUE"""),"No")</f>
        <v>No</v>
      </c>
      <c r="AD737" s="5" t="str">
        <f ca="1">IFERROR(__xludf.DUMMYFUNCTION("""COMPUTED_VALUE"""),"No")</f>
        <v>No</v>
      </c>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row>
    <row r="738" spans="1:34" ht="12.75">
      <c r="A738" s="5" t="str">
        <f ca="1">IFERROR(__xludf.DUMMYFUNCTION("""COMPUTED_VALUE"""),"20180719WAWEY")</f>
        <v>20180719WAWEY</v>
      </c>
      <c r="B738" s="8">
        <f ca="1">IFERROR(__xludf.DUMMYFUNCTION("""COMPUTED_VALUE"""),43300)</f>
        <v>43300</v>
      </c>
      <c r="C738" s="5" t="str">
        <f ca="1">IFERROR(__xludf.DUMMYFUNCTION("""COMPUTED_VALUE"""),"West Valley Middle School")</f>
        <v>West Valley Middle School</v>
      </c>
      <c r="D738" s="5">
        <f ca="1">IFERROR(__xludf.DUMMYFUNCTION("""COMPUTED_VALUE"""),1)</f>
        <v>1</v>
      </c>
      <c r="E738" s="5">
        <f ca="1">IFERROR(__xludf.DUMMYFUNCTION("""COMPUTED_VALUE"""),0)</f>
        <v>0</v>
      </c>
      <c r="F738" s="5">
        <f ca="1">IFERROR(__xludf.DUMMYFUNCTION("""COMPUTED_VALUE"""),1)</f>
        <v>1</v>
      </c>
      <c r="G738" s="5">
        <f ca="1">IFERROR(__xludf.DUMMYFUNCTION("""COMPUTED_VALUE"""),0)</f>
        <v>0</v>
      </c>
      <c r="H738"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I738" s="5"/>
      <c r="J738" s="5"/>
      <c r="K738" s="5">
        <f ca="1">IFERROR(__xludf.DUMMYFUNCTION("""COMPUTED_VALUE"""),2)</f>
        <v>2</v>
      </c>
      <c r="L738" s="5" t="str">
        <f ca="1">IFERROR(__xludf.DUMMYFUNCTION("""COMPUTED_VALUE"""),"Summer")</f>
        <v>Summer</v>
      </c>
      <c r="M738" s="5" t="str">
        <f ca="1">IFERROR(__xludf.DUMMYFUNCTION("""COMPUTED_VALUE"""),"Yakima")</f>
        <v>Yakima</v>
      </c>
      <c r="N738" s="5" t="str">
        <f ca="1">IFERROR(__xludf.DUMMYFUNCTION("""COMPUTED_VALUE"""),"WA")</f>
        <v>WA</v>
      </c>
      <c r="O738" s="5" t="str">
        <f ca="1">IFERROR(__xludf.DUMMYFUNCTION("""COMPUTED_VALUE"""),"Middle")</f>
        <v>Middle</v>
      </c>
      <c r="P738" s="5" t="str">
        <f ca="1">IFERROR(__xludf.DUMMYFUNCTION("""COMPUTED_VALUE"""),"Beside Building")</f>
        <v>Beside Building</v>
      </c>
      <c r="Q738" s="5" t="str">
        <f ca="1">IFERROR(__xludf.DUMMYFUNCTION("""COMPUTED_VALUE"""),"Outside on School Property")</f>
        <v>Outside on School Property</v>
      </c>
      <c r="R738" s="5" t="str">
        <f ca="1">IFERROR(__xludf.DUMMYFUNCTION("""COMPUTED_VALUE"""),"No")</f>
        <v>No</v>
      </c>
      <c r="S738" s="5" t="str">
        <f ca="1">IFERROR(__xludf.DUMMYFUNCTION("""COMPUTED_VALUE"""),"Evening")</f>
        <v>Evening</v>
      </c>
      <c r="T738" s="10">
        <f ca="1">IFERROR(__xludf.DUMMYFUNCTION("""COMPUTED_VALUE"""),0.71875)</f>
        <v>0.71875</v>
      </c>
      <c r="U738" s="5">
        <f ca="1">IFERROR(__xludf.DUMMYFUNCTION("""COMPUTED_VALUE"""),1)</f>
        <v>1</v>
      </c>
      <c r="V738" s="5" t="str">
        <f ca="1">IFERROR(__xludf.DUMMYFUNCTION("""COMPUTED_VALUE"""),"Man found dead from GSW in vehicle outside of school")</f>
        <v>Man found dead from GSW in vehicle outside of school</v>
      </c>
      <c r="W738" s="5" t="str">
        <f ca="1">IFERROR(__xludf.DUMMYFUNCTION("""COMPUTED_VALUE"""),"18YOM found dead from a gunshot wound in a crashed vehicle outside of the school.")</f>
        <v>18YOM found dead from a gunshot wound in a crashed vehicle outside of the school.</v>
      </c>
      <c r="X738" s="5" t="str">
        <f ca="1">IFERROR(__xludf.DUMMYFUNCTION("""COMPUTED_VALUE"""),"Unknown")</f>
        <v>Unknown</v>
      </c>
      <c r="Y738" s="5"/>
      <c r="Z738" s="5"/>
      <c r="AA738" s="5"/>
      <c r="AB738" s="5" t="str">
        <f ca="1">IFERROR(__xludf.DUMMYFUNCTION("""COMPUTED_VALUE"""),"No")</f>
        <v>No</v>
      </c>
      <c r="AC738" s="5" t="str">
        <f ca="1">IFERROR(__xludf.DUMMYFUNCTION("""COMPUTED_VALUE"""),"No")</f>
        <v>No</v>
      </c>
      <c r="AD738" s="5" t="str">
        <f ca="1">IFERROR(__xludf.DUMMYFUNCTION("""COMPUTED_VALUE"""),"No")</f>
        <v>No</v>
      </c>
      <c r="AE738" s="5"/>
      <c r="AF738" s="5"/>
      <c r="AG738" s="5"/>
      <c r="AH738" s="5" t="str">
        <f ca="1">IFERROR(__xludf.DUMMYFUNCTION("""COMPUTED_VALUE"""),"No")</f>
        <v>No</v>
      </c>
    </row>
    <row r="739" spans="1:34" ht="12.75">
      <c r="A739" s="5" t="str">
        <f ca="1">IFERROR(__xludf.DUMMYFUNCTION("""COMPUTED_VALUE"""),"20180717WVHUH")</f>
        <v>20180717WVHUH</v>
      </c>
      <c r="B739" s="8">
        <f ca="1">IFERROR(__xludf.DUMMYFUNCTION("""COMPUTED_VALUE"""),43298)</f>
        <v>43298</v>
      </c>
      <c r="C739" s="5" t="str">
        <f ca="1">IFERROR(__xludf.DUMMYFUNCTION("""COMPUTED_VALUE"""),"Hurricane High School")</f>
        <v>Hurricane High School</v>
      </c>
      <c r="D739" s="5">
        <f ca="1">IFERROR(__xludf.DUMMYFUNCTION("""COMPUTED_VALUE"""),0)</f>
        <v>0</v>
      </c>
      <c r="E739" s="5">
        <f ca="1">IFERROR(__xludf.DUMMYFUNCTION("""COMPUTED_VALUE"""),0)</f>
        <v>0</v>
      </c>
      <c r="F739" s="5">
        <f ca="1">IFERROR(__xludf.DUMMYFUNCTION("""COMPUTED_VALUE"""),0)</f>
        <v>0</v>
      </c>
      <c r="G739" s="5">
        <f ca="1">IFERROR(__xludf.DUMMYFUNCTION("""COMPUTED_VALUE"""),0)</f>
        <v>0</v>
      </c>
      <c r="H739" s="9" t="str">
        <f ca="1">IFERROR(__xludf.DUMMYFUNCTION("""COMPUTED_VALUE"""),"https://wchstv.com/news/local/man-accused-of-firing-gun-at-hurricane-high-school-during-agrument")</f>
        <v>https://wchstv.com/news/local/man-accused-of-firing-gun-at-hurricane-high-school-during-agrument</v>
      </c>
      <c r="I739" s="5"/>
      <c r="J739" s="5"/>
      <c r="K739" s="5">
        <f ca="1">IFERROR(__xludf.DUMMYFUNCTION("""COMPUTED_VALUE"""),2)</f>
        <v>2</v>
      </c>
      <c r="L739" s="5" t="str">
        <f ca="1">IFERROR(__xludf.DUMMYFUNCTION("""COMPUTED_VALUE"""),"Summer")</f>
        <v>Summer</v>
      </c>
      <c r="M739" s="5" t="str">
        <f ca="1">IFERROR(__xludf.DUMMYFUNCTION("""COMPUTED_VALUE"""),"Hurricane")</f>
        <v>Hurricane</v>
      </c>
      <c r="N739" s="5" t="str">
        <f ca="1">IFERROR(__xludf.DUMMYFUNCTION("""COMPUTED_VALUE"""),"WV")</f>
        <v>WV</v>
      </c>
      <c r="O739" s="5" t="str">
        <f ca="1">IFERROR(__xludf.DUMMYFUNCTION("""COMPUTED_VALUE"""),"High")</f>
        <v>High</v>
      </c>
      <c r="P739" s="5" t="str">
        <f ca="1">IFERROR(__xludf.DUMMYFUNCTION("""COMPUTED_VALUE"""),"Parking Lot")</f>
        <v>Parking Lot</v>
      </c>
      <c r="Q739" s="5" t="str">
        <f ca="1">IFERROR(__xludf.DUMMYFUNCTION("""COMPUTED_VALUE"""),"Outside on School Property")</f>
        <v>Outside on School Property</v>
      </c>
      <c r="R739" s="5" t="str">
        <f ca="1">IFERROR(__xludf.DUMMYFUNCTION("""COMPUTED_VALUE"""),"No")</f>
        <v>No</v>
      </c>
      <c r="S739" s="5" t="str">
        <f ca="1">IFERROR(__xludf.DUMMYFUNCTION("""COMPUTED_VALUE"""),"After School")</f>
        <v>After School</v>
      </c>
      <c r="T739" s="10">
        <f ca="1">IFERROR(__xludf.DUMMYFUNCTION("""COMPUTED_VALUE"""),0.75)</f>
        <v>0.75</v>
      </c>
      <c r="U739" s="5">
        <f ca="1">IFERROR(__xludf.DUMMYFUNCTION("""COMPUTED_VALUE"""),1)</f>
        <v>1</v>
      </c>
      <c r="V739" s="5" t="str">
        <f ca="1">IFERROR(__xludf.DUMMYFUNCTION("""COMPUTED_VALUE"""),"Shot fired during argument behind the school")</f>
        <v>Shot fired during argument behind the school</v>
      </c>
      <c r="W739"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X739" s="5" t="str">
        <f ca="1">IFERROR(__xludf.DUMMYFUNCTION("""COMPUTED_VALUE"""),"Escalation of Dispute")</f>
        <v>Escalation of Dispute</v>
      </c>
      <c r="Y739" s="5" t="str">
        <f ca="1">IFERROR(__xludf.DUMMYFUNCTION("""COMPUTED_VALUE"""),"NA")</f>
        <v>NA</v>
      </c>
      <c r="Z739" s="5" t="str">
        <f ca="1">IFERROR(__xludf.DUMMYFUNCTION("""COMPUTED_VALUE"""),"No")</f>
        <v>No</v>
      </c>
      <c r="AA739" s="5"/>
      <c r="AB739" s="5" t="str">
        <f ca="1">IFERROR(__xludf.DUMMYFUNCTION("""COMPUTED_VALUE"""),"No")</f>
        <v>No</v>
      </c>
      <c r="AC739" s="5" t="str">
        <f ca="1">IFERROR(__xludf.DUMMYFUNCTION("""COMPUTED_VALUE"""),"No")</f>
        <v>No</v>
      </c>
      <c r="AD739" s="5" t="str">
        <f ca="1">IFERROR(__xludf.DUMMYFUNCTION("""COMPUTED_VALUE"""),"No")</f>
        <v>No</v>
      </c>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row>
    <row r="740" spans="1:34" ht="12.75">
      <c r="A740" s="5" t="str">
        <f ca="1">IFERROR(__xludf.DUMMYFUNCTION("""COMPUTED_VALUE"""),"20180711OHMIM")</f>
        <v>20180711OHMIM</v>
      </c>
      <c r="B740" s="8">
        <f ca="1">IFERROR(__xludf.DUMMYFUNCTION("""COMPUTED_VALUE"""),43292)</f>
        <v>43292</v>
      </c>
      <c r="C740" s="5" t="str">
        <f ca="1">IFERROR(__xludf.DUMMYFUNCTION("""COMPUTED_VALUE"""),"Milkovich Middle School")</f>
        <v>Milkovich Middle School</v>
      </c>
      <c r="D740" s="5">
        <f ca="1">IFERROR(__xludf.DUMMYFUNCTION("""COMPUTED_VALUE"""),1)</f>
        <v>1</v>
      </c>
      <c r="E740" s="5">
        <f ca="1">IFERROR(__xludf.DUMMYFUNCTION("""COMPUTED_VALUE"""),0)</f>
        <v>0</v>
      </c>
      <c r="F740" s="5">
        <f ca="1">IFERROR(__xludf.DUMMYFUNCTION("""COMPUTED_VALUE"""),1)</f>
        <v>1</v>
      </c>
      <c r="G740" s="5">
        <f ca="1">IFERROR(__xludf.DUMMYFUNCTION("""COMPUTED_VALUE"""),0)</f>
        <v>0</v>
      </c>
      <c r="H740"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I740" s="5"/>
      <c r="J740" s="5"/>
      <c r="K740" s="5">
        <f ca="1">IFERROR(__xludf.DUMMYFUNCTION("""COMPUTED_VALUE"""),3)</f>
        <v>3</v>
      </c>
      <c r="L740" s="5" t="str">
        <f ca="1">IFERROR(__xludf.DUMMYFUNCTION("""COMPUTED_VALUE"""),"Summer")</f>
        <v>Summer</v>
      </c>
      <c r="M740" s="5" t="str">
        <f ca="1">IFERROR(__xludf.DUMMYFUNCTION("""COMPUTED_VALUE"""),"Maple Heights")</f>
        <v>Maple Heights</v>
      </c>
      <c r="N740" s="5" t="str">
        <f ca="1">IFERROR(__xludf.DUMMYFUNCTION("""COMPUTED_VALUE"""),"OH")</f>
        <v>OH</v>
      </c>
      <c r="O740" s="5" t="str">
        <f ca="1">IFERROR(__xludf.DUMMYFUNCTION("""COMPUTED_VALUE"""),"Middle")</f>
        <v>Middle</v>
      </c>
      <c r="P740" s="5" t="str">
        <f ca="1">IFERROR(__xludf.DUMMYFUNCTION("""COMPUTED_VALUE"""),"Parking Lot")</f>
        <v>Parking Lot</v>
      </c>
      <c r="Q740" s="5" t="str">
        <f ca="1">IFERROR(__xludf.DUMMYFUNCTION("""COMPUTED_VALUE"""),"Outside on School Property")</f>
        <v>Outside on School Property</v>
      </c>
      <c r="R740" s="5" t="str">
        <f ca="1">IFERROR(__xludf.DUMMYFUNCTION("""COMPUTED_VALUE"""),"No")</f>
        <v>No</v>
      </c>
      <c r="S740" s="5" t="str">
        <f ca="1">IFERROR(__xludf.DUMMYFUNCTION("""COMPUTED_VALUE"""),"Not a School Day")</f>
        <v>Not a School Day</v>
      </c>
      <c r="T740" s="10">
        <f ca="1">IFERROR(__xludf.DUMMYFUNCTION("""COMPUTED_VALUE"""),0.854166666666666)</f>
        <v>0.85416666666666596</v>
      </c>
      <c r="U740" s="5">
        <f ca="1">IFERROR(__xludf.DUMMYFUNCTION("""COMPUTED_VALUE"""),1)</f>
        <v>1</v>
      </c>
      <c r="V740" s="5" t="str">
        <f ca="1">IFERROR(__xludf.DUMMYFUNCTION("""COMPUTED_VALUE"""),"Shots fired during large fight between teens")</f>
        <v>Shots fired during large fight between teens</v>
      </c>
      <c r="W740"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X740" s="5" t="str">
        <f ca="1">IFERROR(__xludf.DUMMYFUNCTION("""COMPUTED_VALUE"""),"Escalation of Dispute")</f>
        <v>Escalation of Dispute</v>
      </c>
      <c r="Y740" s="5"/>
      <c r="Z740" s="5"/>
      <c r="AA740" s="5"/>
      <c r="AB740" s="5" t="str">
        <f ca="1">IFERROR(__xludf.DUMMYFUNCTION("""COMPUTED_VALUE"""),"No")</f>
        <v>No</v>
      </c>
      <c r="AC740" s="5" t="str">
        <f ca="1">IFERROR(__xludf.DUMMYFUNCTION("""COMPUTED_VALUE"""),"No")</f>
        <v>No</v>
      </c>
      <c r="AD740" s="5" t="str">
        <f ca="1">IFERROR(__xludf.DUMMYFUNCTION("""COMPUTED_VALUE"""),"No")</f>
        <v>No</v>
      </c>
      <c r="AE740" s="5"/>
      <c r="AF740" s="5"/>
      <c r="AG740" s="5" t="str">
        <f ca="1">IFERROR(__xludf.DUMMYFUNCTION("""COMPUTED_VALUE"""),"No")</f>
        <v>No</v>
      </c>
      <c r="AH740" s="5" t="str">
        <f ca="1">IFERROR(__xludf.DUMMYFUNCTION("""COMPUTED_VALUE"""),"No")</f>
        <v>No</v>
      </c>
    </row>
    <row r="741" spans="1:34" ht="12.75">
      <c r="A741" s="5" t="str">
        <f ca="1">IFERROR(__xludf.DUMMYFUNCTION("""COMPUTED_VALUE"""),"20180703KSSUO")</f>
        <v>20180703KSSUO</v>
      </c>
      <c r="B741" s="8">
        <f ca="1">IFERROR(__xludf.DUMMYFUNCTION("""COMPUTED_VALUE"""),43284)</f>
        <v>43284</v>
      </c>
      <c r="C741" s="5" t="str">
        <f ca="1">IFERROR(__xludf.DUMMYFUNCTION("""COMPUTED_VALUE"""),"Sunrise Point Elementary School")</f>
        <v>Sunrise Point Elementary School</v>
      </c>
      <c r="D741" s="5">
        <f ca="1">IFERROR(__xludf.DUMMYFUNCTION("""COMPUTED_VALUE"""),1)</f>
        <v>1</v>
      </c>
      <c r="E741" s="5">
        <f ca="1">IFERROR(__xludf.DUMMYFUNCTION("""COMPUTED_VALUE"""),1)</f>
        <v>1</v>
      </c>
      <c r="F741" s="5">
        <f ca="1">IFERROR(__xludf.DUMMYFUNCTION("""COMPUTED_VALUE"""),2)</f>
        <v>2</v>
      </c>
      <c r="G741" s="5">
        <f ca="1">IFERROR(__xludf.DUMMYFUNCTION("""COMPUTED_VALUE"""),0)</f>
        <v>0</v>
      </c>
      <c r="H741" s="9" t="str">
        <f ca="1">IFERROR(__xludf.DUMMYFUNCTION("""COMPUTED_VALUE"""),"https://abcnews.go.com/US/critical-condition-shooting-kansas-elementary-school-police/story?id=56340440")</f>
        <v>https://abcnews.go.com/US/critical-condition-shooting-kansas-elementary-school-police/story?id=56340440</v>
      </c>
      <c r="I741" s="5">
        <f ca="1">IFERROR(__xludf.DUMMYFUNCTION("""COMPUTED_VALUE"""),5)</f>
        <v>5</v>
      </c>
      <c r="J741" s="5" t="str">
        <f ca="1">IFERROR(__xludf.DUMMYFUNCTION("""COMPUTED_VALUE"""),"Local")</f>
        <v>Local</v>
      </c>
      <c r="K741" s="5">
        <f ca="1">IFERROR(__xludf.DUMMYFUNCTION("""COMPUTED_VALUE"""),2)</f>
        <v>2</v>
      </c>
      <c r="L741" s="5" t="str">
        <f ca="1">IFERROR(__xludf.DUMMYFUNCTION("""COMPUTED_VALUE"""),"Summer")</f>
        <v>Summer</v>
      </c>
      <c r="M741" s="5" t="str">
        <f ca="1">IFERROR(__xludf.DUMMYFUNCTION("""COMPUTED_VALUE"""),"Overland")</f>
        <v>Overland</v>
      </c>
      <c r="N741" s="5" t="str">
        <f ca="1">IFERROR(__xludf.DUMMYFUNCTION("""COMPUTED_VALUE"""),"KS")</f>
        <v>KS</v>
      </c>
      <c r="O741" s="5" t="str">
        <f ca="1">IFERROR(__xludf.DUMMYFUNCTION("""COMPUTED_VALUE"""),"Elementary")</f>
        <v>Elementary</v>
      </c>
      <c r="P741" s="5" t="str">
        <f ca="1">IFERROR(__xludf.DUMMYFUNCTION("""COMPUTED_VALUE"""),"Beside Building")</f>
        <v>Beside Building</v>
      </c>
      <c r="Q741" s="5" t="str">
        <f ca="1">IFERROR(__xludf.DUMMYFUNCTION("""COMPUTED_VALUE"""),"Outside on School Property")</f>
        <v>Outside on School Property</v>
      </c>
      <c r="R741" s="5" t="str">
        <f ca="1">IFERROR(__xludf.DUMMYFUNCTION("""COMPUTED_VALUE"""),"No")</f>
        <v>No</v>
      </c>
      <c r="S741" s="5" t="str">
        <f ca="1">IFERROR(__xludf.DUMMYFUNCTION("""COMPUTED_VALUE"""),"Not a School Day")</f>
        <v>Not a School Day</v>
      </c>
      <c r="T741" s="10">
        <f ca="1">IFERROR(__xludf.DUMMYFUNCTION("""COMPUTED_VALUE"""),0.375)</f>
        <v>0.375</v>
      </c>
      <c r="U741" s="5">
        <f ca="1">IFERROR(__xludf.DUMMYFUNCTION("""COMPUTED_VALUE"""),1)</f>
        <v>1</v>
      </c>
      <c r="V741" s="5" t="str">
        <f ca="1">IFERROR(__xludf.DUMMYFUNCTION("""COMPUTED_VALUE"""),"Two construction contractors shot by coworker during argument at school")</f>
        <v>Two construction contractors shot by coworker during argument at school</v>
      </c>
      <c r="W741"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X741" s="5" t="str">
        <f ca="1">IFERROR(__xludf.DUMMYFUNCTION("""COMPUTED_VALUE"""),"Escalation of Dispute")</f>
        <v>Escalation of Dispute</v>
      </c>
      <c r="Y741" s="5" t="str">
        <f ca="1">IFERROR(__xludf.DUMMYFUNCTION("""COMPUTED_VALUE"""),"Victims Targeted")</f>
        <v>Victims Targeted</v>
      </c>
      <c r="Z741" s="5"/>
      <c r="AA741" s="5"/>
      <c r="AB741" s="5" t="str">
        <f ca="1">IFERROR(__xludf.DUMMYFUNCTION("""COMPUTED_VALUE"""),"No")</f>
        <v>No</v>
      </c>
      <c r="AC741" s="5" t="str">
        <f ca="1">IFERROR(__xludf.DUMMYFUNCTION("""COMPUTED_VALUE"""),"No")</f>
        <v>No</v>
      </c>
      <c r="AD741" s="5" t="str">
        <f ca="1">IFERROR(__xludf.DUMMYFUNCTION("""COMPUTED_VALUE"""),"No")</f>
        <v>No</v>
      </c>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row>
    <row r="742" spans="1:34" ht="12.75">
      <c r="A742" s="5" t="str">
        <f ca="1">IFERROR(__xludf.DUMMYFUNCTION("""COMPUTED_VALUE"""),"20180701TNRAM")</f>
        <v>20180701TNRAM</v>
      </c>
      <c r="B742" s="8">
        <f ca="1">IFERROR(__xludf.DUMMYFUNCTION("""COMPUTED_VALUE"""),43282)</f>
        <v>43282</v>
      </c>
      <c r="C742" s="5" t="str">
        <f ca="1">IFERROR(__xludf.DUMMYFUNCTION("""COMPUTED_VALUE"""),"Raineshaven Elementary School")</f>
        <v>Raineshaven Elementary School</v>
      </c>
      <c r="D742" s="5">
        <f ca="1">IFERROR(__xludf.DUMMYFUNCTION("""COMPUTED_VALUE"""),1)</f>
        <v>1</v>
      </c>
      <c r="E742" s="5">
        <f ca="1">IFERROR(__xludf.DUMMYFUNCTION("""COMPUTED_VALUE"""),0)</f>
        <v>0</v>
      </c>
      <c r="F742" s="5">
        <f ca="1">IFERROR(__xludf.DUMMYFUNCTION("""COMPUTED_VALUE"""),1)</f>
        <v>1</v>
      </c>
      <c r="G742" s="5">
        <f ca="1">IFERROR(__xludf.DUMMYFUNCTION("""COMPUTED_VALUE"""),0)</f>
        <v>0</v>
      </c>
      <c r="H742" s="9" t="str">
        <f ca="1">IFERROR(__xludf.DUMMYFUNCTION("""COMPUTED_VALUE"""),"https://wreg.com/2018/07/02/man-slams-car-into-boarded-up-school-building-after-being-shot/")</f>
        <v>https://wreg.com/2018/07/02/man-slams-car-into-boarded-up-school-building-after-being-shot/</v>
      </c>
      <c r="I742" s="5">
        <f ca="1">IFERROR(__xludf.DUMMYFUNCTION("""COMPUTED_VALUE"""),5)</f>
        <v>5</v>
      </c>
      <c r="J742" s="5" t="str">
        <f ca="1">IFERROR(__xludf.DUMMYFUNCTION("""COMPUTED_VALUE"""),"Local")</f>
        <v>Local</v>
      </c>
      <c r="K742" s="5">
        <f ca="1">IFERROR(__xludf.DUMMYFUNCTION("""COMPUTED_VALUE"""),2)</f>
        <v>2</v>
      </c>
      <c r="L742" s="5" t="str">
        <f ca="1">IFERROR(__xludf.DUMMYFUNCTION("""COMPUTED_VALUE"""),"Summer")</f>
        <v>Summer</v>
      </c>
      <c r="M742" s="5" t="str">
        <f ca="1">IFERROR(__xludf.DUMMYFUNCTION("""COMPUTED_VALUE"""),"Memphis")</f>
        <v>Memphis</v>
      </c>
      <c r="N742" s="5" t="str">
        <f ca="1">IFERROR(__xludf.DUMMYFUNCTION("""COMPUTED_VALUE"""),"TN")</f>
        <v>TN</v>
      </c>
      <c r="O742" s="5" t="str">
        <f ca="1">IFERROR(__xludf.DUMMYFUNCTION("""COMPUTED_VALUE"""),"Elementary")</f>
        <v>Elementary</v>
      </c>
      <c r="P742" s="5" t="str">
        <f ca="1">IFERROR(__xludf.DUMMYFUNCTION("""COMPUTED_VALUE"""),"Beside Building")</f>
        <v>Beside Building</v>
      </c>
      <c r="Q742" s="5" t="str">
        <f ca="1">IFERROR(__xludf.DUMMYFUNCTION("""COMPUTED_VALUE"""),"Outside on School Property")</f>
        <v>Outside on School Property</v>
      </c>
      <c r="R742" s="5" t="str">
        <f ca="1">IFERROR(__xludf.DUMMYFUNCTION("""COMPUTED_VALUE"""),"No")</f>
        <v>No</v>
      </c>
      <c r="S742" s="5" t="str">
        <f ca="1">IFERROR(__xludf.DUMMYFUNCTION("""COMPUTED_VALUE"""),"Night")</f>
        <v>Night</v>
      </c>
      <c r="T742" s="10">
        <f ca="1">IFERROR(__xludf.DUMMYFUNCTION("""COMPUTED_VALUE"""),0.875)</f>
        <v>0.875</v>
      </c>
      <c r="U742" s="5">
        <f ca="1">IFERROR(__xludf.DUMMYFUNCTION("""COMPUTED_VALUE"""),1)</f>
        <v>1</v>
      </c>
      <c r="V742" s="5" t="str">
        <f ca="1">IFERROR(__xludf.DUMMYFUNCTION("""COMPUTED_VALUE"""),"Victim shot in vehicle and crashed into school building")</f>
        <v>Victim shot in vehicle and crashed into school building</v>
      </c>
      <c r="W742" s="5" t="str">
        <f ca="1">IFERROR(__xludf.DUMMYFUNCTION("""COMPUTED_VALUE"""),"Victim was shot in vehicle and then crashed into the school building.")</f>
        <v>Victim was shot in vehicle and then crashed into the school building.</v>
      </c>
      <c r="X742" s="5" t="str">
        <f ca="1">IFERROR(__xludf.DUMMYFUNCTION("""COMPUTED_VALUE"""),"Unknown")</f>
        <v>Unknown</v>
      </c>
      <c r="Y742" s="5"/>
      <c r="Z742" s="5"/>
      <c r="AA742" s="5"/>
      <c r="AB742" s="5" t="str">
        <f ca="1">IFERROR(__xludf.DUMMYFUNCTION("""COMPUTED_VALUE"""),"No")</f>
        <v>No</v>
      </c>
      <c r="AC742" s="5" t="str">
        <f ca="1">IFERROR(__xludf.DUMMYFUNCTION("""COMPUTED_VALUE"""),"No")</f>
        <v>No</v>
      </c>
      <c r="AD742" s="5" t="str">
        <f ca="1">IFERROR(__xludf.DUMMYFUNCTION("""COMPUTED_VALUE"""),"No")</f>
        <v>No</v>
      </c>
      <c r="AE742" s="5" t="str">
        <f ca="1">IFERROR(__xludf.DUMMYFUNCTION("""COMPUTED_VALUE"""),"No")</f>
        <v>No</v>
      </c>
      <c r="AF742" s="5"/>
      <c r="AG742" s="5"/>
      <c r="AH742" s="5" t="str">
        <f ca="1">IFERROR(__xludf.DUMMYFUNCTION("""COMPUTED_VALUE"""),"No")</f>
        <v>No</v>
      </c>
    </row>
    <row r="743" spans="1:34" ht="12.75">
      <c r="A743" s="5" t="str">
        <f ca="1">IFERROR(__xludf.DUMMYFUNCTION("""COMPUTED_VALUE"""),"20180625OHFUS")</f>
        <v>20180625OHFUS</v>
      </c>
      <c r="B743" s="8">
        <f ca="1">IFERROR(__xludf.DUMMYFUNCTION("""COMPUTED_VALUE"""),43276)</f>
        <v>43276</v>
      </c>
      <c r="C743" s="5" t="str">
        <f ca="1">IFERROR(__xludf.DUMMYFUNCTION("""COMPUTED_VALUE"""),"Fulton Elementary School")</f>
        <v>Fulton Elementary School</v>
      </c>
      <c r="D743" s="5">
        <f ca="1">IFERROR(__xludf.DUMMYFUNCTION("""COMPUTED_VALUE"""),0)</f>
        <v>0</v>
      </c>
      <c r="E743" s="5">
        <f ca="1">IFERROR(__xludf.DUMMYFUNCTION("""COMPUTED_VALUE"""),1)</f>
        <v>1</v>
      </c>
      <c r="F743" s="5">
        <f ca="1">IFERROR(__xludf.DUMMYFUNCTION("""COMPUTED_VALUE"""),1)</f>
        <v>1</v>
      </c>
      <c r="G743" s="5">
        <f ca="1">IFERROR(__xludf.DUMMYFUNCTION("""COMPUTED_VALUE"""),0)</f>
        <v>0</v>
      </c>
      <c r="H743"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I743" s="5">
        <f ca="1">IFERROR(__xludf.DUMMYFUNCTION("""COMPUTED_VALUE"""),1)</f>
        <v>1</v>
      </c>
      <c r="J743" s="5" t="str">
        <f ca="1">IFERROR(__xludf.DUMMYFUNCTION("""COMPUTED_VALUE"""),"Local")</f>
        <v>Local</v>
      </c>
      <c r="K743" s="5">
        <f ca="1">IFERROR(__xludf.DUMMYFUNCTION("""COMPUTED_VALUE"""),2)</f>
        <v>2</v>
      </c>
      <c r="L743" s="5" t="str">
        <f ca="1">IFERROR(__xludf.DUMMYFUNCTION("""COMPUTED_VALUE"""),"Summer")</f>
        <v>Summer</v>
      </c>
      <c r="M743" s="5" t="str">
        <f ca="1">IFERROR(__xludf.DUMMYFUNCTION("""COMPUTED_VALUE"""),"Springfield")</f>
        <v>Springfield</v>
      </c>
      <c r="N743" s="5" t="str">
        <f ca="1">IFERROR(__xludf.DUMMYFUNCTION("""COMPUTED_VALUE"""),"OH")</f>
        <v>OH</v>
      </c>
      <c r="O743" s="5" t="str">
        <f ca="1">IFERROR(__xludf.DUMMYFUNCTION("""COMPUTED_VALUE"""),"Elementary")</f>
        <v>Elementary</v>
      </c>
      <c r="P743" s="5" t="str">
        <f ca="1">IFERROR(__xludf.DUMMYFUNCTION("""COMPUTED_VALUE"""),"Parking Lot")</f>
        <v>Parking Lot</v>
      </c>
      <c r="Q743" s="5" t="str">
        <f ca="1">IFERROR(__xludf.DUMMYFUNCTION("""COMPUTED_VALUE"""),"Outside on School Property")</f>
        <v>Outside on School Property</v>
      </c>
      <c r="R743" s="5" t="str">
        <f ca="1">IFERROR(__xludf.DUMMYFUNCTION("""COMPUTED_VALUE"""),"No")</f>
        <v>No</v>
      </c>
      <c r="S743" s="5" t="str">
        <f ca="1">IFERROR(__xludf.DUMMYFUNCTION("""COMPUTED_VALUE"""),"After School")</f>
        <v>After School</v>
      </c>
      <c r="T743" s="10">
        <f ca="1">IFERROR(__xludf.DUMMYFUNCTION("""COMPUTED_VALUE"""),0.625)</f>
        <v>0.625</v>
      </c>
      <c r="U743" s="5">
        <f ca="1">IFERROR(__xludf.DUMMYFUNCTION("""COMPUTED_VALUE"""),1)</f>
        <v>1</v>
      </c>
      <c r="V743" s="5" t="str">
        <f ca="1">IFERROR(__xludf.DUMMYFUNCTION("""COMPUTED_VALUE"""),"Attempted robbery in school parking lot, gun jammed when shooter fired, victim ran over shooter with car")</f>
        <v>Attempted robbery in school parking lot, gun jammed when shooter fired, victim ran over shooter with car</v>
      </c>
      <c r="W743"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X743" s="5" t="str">
        <f ca="1">IFERROR(__xludf.DUMMYFUNCTION("""COMPUTED_VALUE"""),"Illegal Activity")</f>
        <v>Illegal Activity</v>
      </c>
      <c r="Y743" s="5" t="str">
        <f ca="1">IFERROR(__xludf.DUMMYFUNCTION("""COMPUTED_VALUE"""),"Victims Targeted")</f>
        <v>Victims Targeted</v>
      </c>
      <c r="Z743" s="5"/>
      <c r="AA743" s="5"/>
      <c r="AB743" s="5" t="str">
        <f ca="1">IFERROR(__xludf.DUMMYFUNCTION("""COMPUTED_VALUE"""),"No")</f>
        <v>No</v>
      </c>
      <c r="AC743" s="5" t="str">
        <f ca="1">IFERROR(__xludf.DUMMYFUNCTION("""COMPUTED_VALUE"""),"No")</f>
        <v>No</v>
      </c>
      <c r="AD743" s="5" t="str">
        <f ca="1">IFERROR(__xludf.DUMMYFUNCTION("""COMPUTED_VALUE"""),"No")</f>
        <v>No</v>
      </c>
      <c r="AE743" s="5" t="str">
        <f ca="1">IFERROR(__xludf.DUMMYFUNCTION("""COMPUTED_VALUE"""),"No")</f>
        <v>No</v>
      </c>
      <c r="AF743" s="5" t="str">
        <f ca="1">IFERROR(__xludf.DUMMYFUNCTION("""COMPUTED_VALUE"""),"No")</f>
        <v>No</v>
      </c>
      <c r="AG743" s="5" t="str">
        <f ca="1">IFERROR(__xludf.DUMMYFUNCTION("""COMPUTED_VALUE"""),"No")</f>
        <v>No</v>
      </c>
      <c r="AH743" s="5" t="str">
        <f ca="1">IFERROR(__xludf.DUMMYFUNCTION("""COMPUTED_VALUE"""),"No")</f>
        <v>No</v>
      </c>
    </row>
    <row r="744" spans="1:34" ht="12.75">
      <c r="A744" s="5" t="str">
        <f ca="1">IFERROR(__xludf.DUMMYFUNCTION("""COMPUTED_VALUE"""),"20180624MTSEM")</f>
        <v>20180624MTSEM</v>
      </c>
      <c r="B744" s="8">
        <f ca="1">IFERROR(__xludf.DUMMYFUNCTION("""COMPUTED_VALUE"""),43275)</f>
        <v>43275</v>
      </c>
      <c r="C744" s="5" t="str">
        <f ca="1">IFERROR(__xludf.DUMMYFUNCTION("""COMPUTED_VALUE"""),"Sentinel High School")</f>
        <v>Sentinel High School</v>
      </c>
      <c r="D744" s="5">
        <f ca="1">IFERROR(__xludf.DUMMYFUNCTION("""COMPUTED_VALUE"""),0)</f>
        <v>0</v>
      </c>
      <c r="E744" s="5">
        <f ca="1">IFERROR(__xludf.DUMMYFUNCTION("""COMPUTED_VALUE"""),2)</f>
        <v>2</v>
      </c>
      <c r="F744" s="5">
        <f ca="1">IFERROR(__xludf.DUMMYFUNCTION("""COMPUTED_VALUE"""),2)</f>
        <v>2</v>
      </c>
      <c r="G744" s="5">
        <f ca="1">IFERROR(__xludf.DUMMYFUNCTION("""COMPUTED_VALUE"""),0)</f>
        <v>0</v>
      </c>
      <c r="H744"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I744" s="5">
        <f ca="1">IFERROR(__xludf.DUMMYFUNCTION("""COMPUTED_VALUE"""),1)</f>
        <v>1</v>
      </c>
      <c r="J744" s="5" t="str">
        <f ca="1">IFERROR(__xludf.DUMMYFUNCTION("""COMPUTED_VALUE"""),"Local")</f>
        <v>Local</v>
      </c>
      <c r="K744" s="5">
        <f ca="1">IFERROR(__xludf.DUMMYFUNCTION("""COMPUTED_VALUE"""),3)</f>
        <v>3</v>
      </c>
      <c r="L744" s="5" t="str">
        <f ca="1">IFERROR(__xludf.DUMMYFUNCTION("""COMPUTED_VALUE"""),"Summer")</f>
        <v>Summer</v>
      </c>
      <c r="M744" s="5" t="str">
        <f ca="1">IFERROR(__xludf.DUMMYFUNCTION("""COMPUTED_VALUE"""),"Missoula")</f>
        <v>Missoula</v>
      </c>
      <c r="N744" s="5" t="str">
        <f ca="1">IFERROR(__xludf.DUMMYFUNCTION("""COMPUTED_VALUE"""),"MT")</f>
        <v>MT</v>
      </c>
      <c r="O744" s="5" t="str">
        <f ca="1">IFERROR(__xludf.DUMMYFUNCTION("""COMPUTED_VALUE"""),"High")</f>
        <v>High</v>
      </c>
      <c r="P744" s="5" t="str">
        <f ca="1">IFERROR(__xludf.DUMMYFUNCTION("""COMPUTED_VALUE"""),"Field (General)")</f>
        <v>Field (General)</v>
      </c>
      <c r="Q744" s="5" t="str">
        <f ca="1">IFERROR(__xludf.DUMMYFUNCTION("""COMPUTED_VALUE"""),"Outside on School Property")</f>
        <v>Outside on School Property</v>
      </c>
      <c r="R744" s="5" t="str">
        <f ca="1">IFERROR(__xludf.DUMMYFUNCTION("""COMPUTED_VALUE"""),"No")</f>
        <v>No</v>
      </c>
      <c r="S744" s="5" t="str">
        <f ca="1">IFERROR(__xludf.DUMMYFUNCTION("""COMPUTED_VALUE"""),"Sport Event")</f>
        <v>Sport Event</v>
      </c>
      <c r="T744" s="10">
        <f ca="1">IFERROR(__xludf.DUMMYFUNCTION("""COMPUTED_VALUE"""),0.770833333333333)</f>
        <v>0.77083333333333304</v>
      </c>
      <c r="U744" s="5">
        <f ca="1">IFERROR(__xludf.DUMMYFUNCTION("""COMPUTED_VALUE"""),1)</f>
        <v>1</v>
      </c>
      <c r="V744"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W744"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X744" s="5" t="str">
        <f ca="1">IFERROR(__xludf.DUMMYFUNCTION("""COMPUTED_VALUE"""),"Illegal Activity")</f>
        <v>Illegal Activity</v>
      </c>
      <c r="Y744" s="5" t="str">
        <f ca="1">IFERROR(__xludf.DUMMYFUNCTION("""COMPUTED_VALUE"""),"Victims Targeted")</f>
        <v>Victims Targeted</v>
      </c>
      <c r="Z744" s="5" t="str">
        <f ca="1">IFERROR(__xludf.DUMMYFUNCTION("""COMPUTED_VALUE"""),"No")</f>
        <v>No</v>
      </c>
      <c r="AA744" s="5"/>
      <c r="AB744" s="5" t="str">
        <f ca="1">IFERROR(__xludf.DUMMYFUNCTION("""COMPUTED_VALUE"""),"No")</f>
        <v>No</v>
      </c>
      <c r="AC744" s="5" t="str">
        <f ca="1">IFERROR(__xludf.DUMMYFUNCTION("""COMPUTED_VALUE"""),"No")</f>
        <v>No</v>
      </c>
      <c r="AD744" s="5" t="str">
        <f ca="1">IFERROR(__xludf.DUMMYFUNCTION("""COMPUTED_VALUE"""),"No")</f>
        <v>No</v>
      </c>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row>
    <row r="745" spans="1:34" ht="12.75">
      <c r="A745" s="5" t="str">
        <f ca="1">IFERROR(__xludf.DUMMYFUNCTION("""COMPUTED_VALUE"""),"20180621TXSKD")</f>
        <v>20180621TXSKD</v>
      </c>
      <c r="B745" s="8">
        <f ca="1">IFERROR(__xludf.DUMMYFUNCTION("""COMPUTED_VALUE"""),43272)</f>
        <v>43272</v>
      </c>
      <c r="C745" s="5" t="str">
        <f ca="1">IFERROR(__xludf.DUMMYFUNCTION("""COMPUTED_VALUE"""),"Skyline High School")</f>
        <v>Skyline High School</v>
      </c>
      <c r="D745" s="5">
        <f ca="1">IFERROR(__xludf.DUMMYFUNCTION("""COMPUTED_VALUE"""),0)</f>
        <v>0</v>
      </c>
      <c r="E745" s="5">
        <f ca="1">IFERROR(__xludf.DUMMYFUNCTION("""COMPUTED_VALUE"""),1)</f>
        <v>1</v>
      </c>
      <c r="F745" s="5">
        <f ca="1">IFERROR(__xludf.DUMMYFUNCTION("""COMPUTED_VALUE"""),1)</f>
        <v>1</v>
      </c>
      <c r="G745" s="5">
        <f ca="1">IFERROR(__xludf.DUMMYFUNCTION("""COMPUTED_VALUE"""),0)</f>
        <v>0</v>
      </c>
      <c r="H745" s="9" t="str">
        <f ca="1">IFERROR(__xludf.DUMMYFUNCTION("""COMPUTED_VALUE"""),"https://krld.radio.com/articles/suspect-arrested-after-16-yr-old-found-shot-near-skyline-high-school")</f>
        <v>https://krld.radio.com/articles/suspect-arrested-after-16-yr-old-found-shot-near-skyline-high-school</v>
      </c>
      <c r="I745" s="5">
        <f ca="1">IFERROR(__xludf.DUMMYFUNCTION("""COMPUTED_VALUE"""),1)</f>
        <v>1</v>
      </c>
      <c r="J745" s="5" t="str">
        <f ca="1">IFERROR(__xludf.DUMMYFUNCTION("""COMPUTED_VALUE"""),"Local")</f>
        <v>Local</v>
      </c>
      <c r="K745" s="5">
        <f ca="1">IFERROR(__xludf.DUMMYFUNCTION("""COMPUTED_VALUE"""),2)</f>
        <v>2</v>
      </c>
      <c r="L745" s="5" t="str">
        <f ca="1">IFERROR(__xludf.DUMMYFUNCTION("""COMPUTED_VALUE"""),"Summer")</f>
        <v>Summer</v>
      </c>
      <c r="M745" s="5" t="str">
        <f ca="1">IFERROR(__xludf.DUMMYFUNCTION("""COMPUTED_VALUE"""),"Dallas")</f>
        <v>Dallas</v>
      </c>
      <c r="N745" s="5" t="str">
        <f ca="1">IFERROR(__xludf.DUMMYFUNCTION("""COMPUTED_VALUE"""),"TX")</f>
        <v>TX</v>
      </c>
      <c r="O745" s="5" t="str">
        <f ca="1">IFERROR(__xludf.DUMMYFUNCTION("""COMPUTED_VALUE"""),"High")</f>
        <v>High</v>
      </c>
      <c r="P745" s="5" t="str">
        <f ca="1">IFERROR(__xludf.DUMMYFUNCTION("""COMPUTED_VALUE"""),"Football Field/Track")</f>
        <v>Football Field/Track</v>
      </c>
      <c r="Q745" s="5" t="str">
        <f ca="1">IFERROR(__xludf.DUMMYFUNCTION("""COMPUTED_VALUE"""),"Outside on School Property")</f>
        <v>Outside on School Property</v>
      </c>
      <c r="R745" s="5" t="str">
        <f ca="1">IFERROR(__xludf.DUMMYFUNCTION("""COMPUTED_VALUE"""),"No")</f>
        <v>No</v>
      </c>
      <c r="S745" s="5" t="str">
        <f ca="1">IFERROR(__xludf.DUMMYFUNCTION("""COMPUTED_VALUE"""),"Before School")</f>
        <v>Before School</v>
      </c>
      <c r="T745" s="10">
        <f ca="1">IFERROR(__xludf.DUMMYFUNCTION("""COMPUTED_VALUE"""),0.208333333333333)</f>
        <v>0.20833333333333301</v>
      </c>
      <c r="U745" s="5">
        <f ca="1">IFERROR(__xludf.DUMMYFUNCTION("""COMPUTED_VALUE"""),1)</f>
        <v>1</v>
      </c>
      <c r="V745" s="5" t="str">
        <f ca="1">IFERROR(__xludf.DUMMYFUNCTION("""COMPUTED_VALUE"""),"Victim shot while walking around track at school football field")</f>
        <v>Victim shot while walking around track at school football field</v>
      </c>
      <c r="W745"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X745" s="5" t="str">
        <f ca="1">IFERROR(__xludf.DUMMYFUNCTION("""COMPUTED_VALUE"""),"Unknown")</f>
        <v>Unknown</v>
      </c>
      <c r="Y745" s="5"/>
      <c r="Z745" s="5"/>
      <c r="AA745" s="5"/>
      <c r="AB745" s="5" t="str">
        <f ca="1">IFERROR(__xludf.DUMMYFUNCTION("""COMPUTED_VALUE"""),"No")</f>
        <v>No</v>
      </c>
      <c r="AC745" s="5" t="str">
        <f ca="1">IFERROR(__xludf.DUMMYFUNCTION("""COMPUTED_VALUE"""),"No")</f>
        <v>No</v>
      </c>
      <c r="AD745" s="5" t="str">
        <f ca="1">IFERROR(__xludf.DUMMYFUNCTION("""COMPUTED_VALUE"""),"No")</f>
        <v>No</v>
      </c>
      <c r="AE745" s="5" t="str">
        <f ca="1">IFERROR(__xludf.DUMMYFUNCTION("""COMPUTED_VALUE"""),"No")</f>
        <v>No</v>
      </c>
      <c r="AF745" s="5" t="str">
        <f ca="1">IFERROR(__xludf.DUMMYFUNCTION("""COMPUTED_VALUE"""),"No")</f>
        <v>No</v>
      </c>
      <c r="AG745" s="5"/>
      <c r="AH745" s="5" t="str">
        <f ca="1">IFERROR(__xludf.DUMMYFUNCTION("""COMPUTED_VALUE"""),"No")</f>
        <v>No</v>
      </c>
    </row>
    <row r="746" spans="1:34" ht="12.75">
      <c r="A746" s="5" t="str">
        <f ca="1">IFERROR(__xludf.DUMMYFUNCTION("""COMPUTED_VALUE"""),"20180617ORGRP")</f>
        <v>20180617ORGRP</v>
      </c>
      <c r="B746" s="8">
        <f ca="1">IFERROR(__xludf.DUMMYFUNCTION("""COMPUTED_VALUE"""),43268)</f>
        <v>43268</v>
      </c>
      <c r="C746" s="5" t="str">
        <f ca="1">IFERROR(__xludf.DUMMYFUNCTION("""COMPUTED_VALUE"""),"Grant High School")</f>
        <v>Grant High School</v>
      </c>
      <c r="D746" s="5">
        <f ca="1">IFERROR(__xludf.DUMMYFUNCTION("""COMPUTED_VALUE"""),1)</f>
        <v>1</v>
      </c>
      <c r="E746" s="5">
        <f ca="1">IFERROR(__xludf.DUMMYFUNCTION("""COMPUTED_VALUE"""),0)</f>
        <v>0</v>
      </c>
      <c r="F746" s="5">
        <f ca="1">IFERROR(__xludf.DUMMYFUNCTION("""COMPUTED_VALUE"""),1)</f>
        <v>1</v>
      </c>
      <c r="G746" s="5">
        <f ca="1">IFERROR(__xludf.DUMMYFUNCTION("""COMPUTED_VALUE"""),0)</f>
        <v>0</v>
      </c>
      <c r="H746" s="9" t="str">
        <f ca="1">IFERROR(__xludf.DUMMYFUNCTION("""COMPUTED_VALUE"""),"http://katu.com/news/local/police-man-found-shot-killed-on-se-portland-grant-high-school-track")</f>
        <v>http://katu.com/news/local/police-man-found-shot-killed-on-se-portland-grant-high-school-track</v>
      </c>
      <c r="I746" s="5"/>
      <c r="J746" s="5"/>
      <c r="K746" s="5">
        <f ca="1">IFERROR(__xludf.DUMMYFUNCTION("""COMPUTED_VALUE"""),2)</f>
        <v>2</v>
      </c>
      <c r="L746" s="5" t="str">
        <f ca="1">IFERROR(__xludf.DUMMYFUNCTION("""COMPUTED_VALUE"""),"Summer")</f>
        <v>Summer</v>
      </c>
      <c r="M746" s="5" t="str">
        <f ca="1">IFERROR(__xludf.DUMMYFUNCTION("""COMPUTED_VALUE"""),"Portland")</f>
        <v>Portland</v>
      </c>
      <c r="N746" s="5" t="str">
        <f ca="1">IFERROR(__xludf.DUMMYFUNCTION("""COMPUTED_VALUE"""),"OR")</f>
        <v>OR</v>
      </c>
      <c r="O746" s="5" t="str">
        <f ca="1">IFERROR(__xludf.DUMMYFUNCTION("""COMPUTED_VALUE"""),"High")</f>
        <v>High</v>
      </c>
      <c r="P746" s="5" t="str">
        <f ca="1">IFERROR(__xludf.DUMMYFUNCTION("""COMPUTED_VALUE"""),"Football Field/Track")</f>
        <v>Football Field/Track</v>
      </c>
      <c r="Q746" s="5" t="str">
        <f ca="1">IFERROR(__xludf.DUMMYFUNCTION("""COMPUTED_VALUE"""),"Outside on School Property")</f>
        <v>Outside on School Property</v>
      </c>
      <c r="R746" s="5" t="str">
        <f ca="1">IFERROR(__xludf.DUMMYFUNCTION("""COMPUTED_VALUE"""),"No")</f>
        <v>No</v>
      </c>
      <c r="S746" s="5" t="str">
        <f ca="1">IFERROR(__xludf.DUMMYFUNCTION("""COMPUTED_VALUE"""),"Night")</f>
        <v>Night</v>
      </c>
      <c r="T746" s="10">
        <f ca="1">IFERROR(__xludf.DUMMYFUNCTION("""COMPUTED_VALUE"""),0.197916666666666)</f>
        <v>0.19791666666666599</v>
      </c>
      <c r="U746" s="5">
        <f ca="1">IFERROR(__xludf.DUMMYFUNCTION("""COMPUTED_VALUE"""),1)</f>
        <v>1</v>
      </c>
      <c r="V746" s="5" t="str">
        <f ca="1">IFERROR(__xludf.DUMMYFUNCTION("""COMPUTED_VALUE"""),"Man found dead from GSW on the outdoor track")</f>
        <v>Man found dead from GSW on the outdoor track</v>
      </c>
      <c r="W746" s="5" t="str">
        <f ca="1">IFERROR(__xludf.DUMMYFUNCTION("""COMPUTED_VALUE"""),"Portland police say a man was found shot to death on a high school track.")</f>
        <v>Portland police say a man was found shot to death on a high school track.</v>
      </c>
      <c r="X746" s="5" t="str">
        <f ca="1">IFERROR(__xludf.DUMMYFUNCTION("""COMPUTED_VALUE"""),"Unknown")</f>
        <v>Unknown</v>
      </c>
      <c r="Y746" s="5"/>
      <c r="Z746" s="5"/>
      <c r="AA746" s="5"/>
      <c r="AB746" s="5" t="str">
        <f ca="1">IFERROR(__xludf.DUMMYFUNCTION("""COMPUTED_VALUE"""),"No")</f>
        <v>No</v>
      </c>
      <c r="AC746" s="5" t="str">
        <f ca="1">IFERROR(__xludf.DUMMYFUNCTION("""COMPUTED_VALUE"""),"No")</f>
        <v>No</v>
      </c>
      <c r="AD746" s="5" t="str">
        <f ca="1">IFERROR(__xludf.DUMMYFUNCTION("""COMPUTED_VALUE"""),"No")</f>
        <v>No</v>
      </c>
      <c r="AE746" s="5" t="str">
        <f ca="1">IFERROR(__xludf.DUMMYFUNCTION("""COMPUTED_VALUE"""),"No")</f>
        <v>No</v>
      </c>
      <c r="AF746" s="5" t="str">
        <f ca="1">IFERROR(__xludf.DUMMYFUNCTION("""COMPUTED_VALUE"""),"No")</f>
        <v>No</v>
      </c>
      <c r="AG746" s="5"/>
      <c r="AH746" s="5" t="str">
        <f ca="1">IFERROR(__xludf.DUMMYFUNCTION("""COMPUTED_VALUE"""),"No")</f>
        <v>No</v>
      </c>
    </row>
    <row r="747" spans="1:34" ht="12.75">
      <c r="A747" s="5" t="str">
        <f ca="1">IFERROR(__xludf.DUMMYFUNCTION("""COMPUTED_VALUE"""),"20180615OHVAB")</f>
        <v>20180615OHVAB</v>
      </c>
      <c r="B747" s="8">
        <f ca="1">IFERROR(__xludf.DUMMYFUNCTION("""COMPUTED_VALUE"""),43266)</f>
        <v>43266</v>
      </c>
      <c r="C747" s="5" t="str">
        <f ca="1">IFERROR(__xludf.DUMMYFUNCTION("""COMPUTED_VALUE"""),"Valley Elementary School")</f>
        <v>Valley Elementary School</v>
      </c>
      <c r="D747" s="5">
        <f ca="1">IFERROR(__xludf.DUMMYFUNCTION("""COMPUTED_VALUE"""),0)</f>
        <v>0</v>
      </c>
      <c r="E747" s="5">
        <f ca="1">IFERROR(__xludf.DUMMYFUNCTION("""COMPUTED_VALUE"""),0)</f>
        <v>0</v>
      </c>
      <c r="F747" s="5">
        <f ca="1">IFERROR(__xludf.DUMMYFUNCTION("""COMPUTED_VALUE"""),0)</f>
        <v>0</v>
      </c>
      <c r="G747" s="5">
        <f ca="1">IFERROR(__xludf.DUMMYFUNCTION("""COMPUTED_VALUE"""),0)</f>
        <v>0</v>
      </c>
      <c r="H747"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I747" s="5"/>
      <c r="J747" s="5"/>
      <c r="K747" s="5">
        <f ca="1">IFERROR(__xludf.DUMMYFUNCTION("""COMPUTED_VALUE"""),2)</f>
        <v>2</v>
      </c>
      <c r="L747" s="5" t="str">
        <f ca="1">IFERROR(__xludf.DUMMYFUNCTION("""COMPUTED_VALUE"""),"Summer")</f>
        <v>Summer</v>
      </c>
      <c r="M747" s="5" t="str">
        <f ca="1">IFERROR(__xludf.DUMMYFUNCTION("""COMPUTED_VALUE"""),"Beaver Creek")</f>
        <v>Beaver Creek</v>
      </c>
      <c r="N747" s="5" t="str">
        <f ca="1">IFERROR(__xludf.DUMMYFUNCTION("""COMPUTED_VALUE"""),"OH")</f>
        <v>OH</v>
      </c>
      <c r="O747" s="5" t="str">
        <f ca="1">IFERROR(__xludf.DUMMYFUNCTION("""COMPUTED_VALUE"""),"Elementary")</f>
        <v>Elementary</v>
      </c>
      <c r="P747" s="5" t="str">
        <f ca="1">IFERROR(__xludf.DUMMYFUNCTION("""COMPUTED_VALUE"""),"Basketball Court")</f>
        <v>Basketball Court</v>
      </c>
      <c r="Q747" s="5" t="str">
        <f ca="1">IFERROR(__xludf.DUMMYFUNCTION("""COMPUTED_VALUE"""),"Outside on School Property")</f>
        <v>Outside on School Property</v>
      </c>
      <c r="R747" s="5" t="str">
        <f ca="1">IFERROR(__xludf.DUMMYFUNCTION("""COMPUTED_VALUE"""),"No")</f>
        <v>No</v>
      </c>
      <c r="S747" s="5" t="str">
        <f ca="1">IFERROR(__xludf.DUMMYFUNCTION("""COMPUTED_VALUE"""),"Night")</f>
        <v>Night</v>
      </c>
      <c r="T747" s="10">
        <f ca="1">IFERROR(__xludf.DUMMYFUNCTION("""COMPUTED_VALUE"""),0.166666666666666)</f>
        <v>0.16666666666666599</v>
      </c>
      <c r="U747" s="5">
        <f ca="1">IFERROR(__xludf.DUMMYFUNCTION("""COMPUTED_VALUE"""),1)</f>
        <v>1</v>
      </c>
      <c r="V747" s="5" t="str">
        <f ca="1">IFERROR(__xludf.DUMMYFUNCTION("""COMPUTED_VALUE"""),"Shot fired during domestic dispute on basketball court")</f>
        <v>Shot fired during domestic dispute on basketball court</v>
      </c>
      <c r="W747"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X747" s="5" t="str">
        <f ca="1">IFERROR(__xludf.DUMMYFUNCTION("""COMPUTED_VALUE"""),"Domestic w/ Targeted Victim")</f>
        <v>Domestic w/ Targeted Victim</v>
      </c>
      <c r="Y747" s="5" t="str">
        <f ca="1">IFERROR(__xludf.DUMMYFUNCTION("""COMPUTED_VALUE"""),"Victims Targeted")</f>
        <v>Victims Targeted</v>
      </c>
      <c r="Z747" s="5"/>
      <c r="AA747" s="5"/>
      <c r="AB747" s="5" t="str">
        <f ca="1">IFERROR(__xludf.DUMMYFUNCTION("""COMPUTED_VALUE"""),"No")</f>
        <v>No</v>
      </c>
      <c r="AC747" s="5" t="str">
        <f ca="1">IFERROR(__xludf.DUMMYFUNCTION("""COMPUTED_VALUE"""),"No")</f>
        <v>No</v>
      </c>
      <c r="AD747" s="5" t="str">
        <f ca="1">IFERROR(__xludf.DUMMYFUNCTION("""COMPUTED_VALUE"""),"No")</f>
        <v>No</v>
      </c>
      <c r="AE747" s="5" t="str">
        <f ca="1">IFERROR(__xludf.DUMMYFUNCTION("""COMPUTED_VALUE"""),"No")</f>
        <v>No</v>
      </c>
      <c r="AF747" s="5" t="str">
        <f ca="1">IFERROR(__xludf.DUMMYFUNCTION("""COMPUTED_VALUE"""),"Yes")</f>
        <v>Yes</v>
      </c>
      <c r="AG747" s="5" t="str">
        <f ca="1">IFERROR(__xludf.DUMMYFUNCTION("""COMPUTED_VALUE"""),"No")</f>
        <v>No</v>
      </c>
      <c r="AH747" s="5" t="str">
        <f ca="1">IFERROR(__xludf.DUMMYFUNCTION("""COMPUTED_VALUE"""),"No")</f>
        <v>No</v>
      </c>
    </row>
    <row r="748" spans="1:34" ht="12.75">
      <c r="A748" s="5" t="str">
        <f ca="1">IFERROR(__xludf.DUMMYFUNCTION("""COMPUTED_VALUE"""),"20180601TXMCM")</f>
        <v>20180601TXMCM</v>
      </c>
      <c r="B748" s="8">
        <f ca="1">IFERROR(__xludf.DUMMYFUNCTION("""COMPUTED_VALUE"""),43252)</f>
        <v>43252</v>
      </c>
      <c r="C748" s="5" t="str">
        <f ca="1">IFERROR(__xludf.DUMMYFUNCTION("""COMPUTED_VALUE"""),"McKinney North High School")</f>
        <v>McKinney North High School</v>
      </c>
      <c r="D748" s="5">
        <f ca="1">IFERROR(__xludf.DUMMYFUNCTION("""COMPUTED_VALUE"""),0)</f>
        <v>0</v>
      </c>
      <c r="E748" s="5">
        <f ca="1">IFERROR(__xludf.DUMMYFUNCTION("""COMPUTED_VALUE"""),0)</f>
        <v>0</v>
      </c>
      <c r="F748" s="5">
        <f ca="1">IFERROR(__xludf.DUMMYFUNCTION("""COMPUTED_VALUE"""),0)</f>
        <v>0</v>
      </c>
      <c r="G748" s="5">
        <f ca="1">IFERROR(__xludf.DUMMYFUNCTION("""COMPUTED_VALUE"""),1)</f>
        <v>1</v>
      </c>
      <c r="H748"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I748" s="5"/>
      <c r="J748" s="5" t="str">
        <f ca="1">IFERROR(__xludf.DUMMYFUNCTION("""COMPUTED_VALUE"""),"Local")</f>
        <v>Local</v>
      </c>
      <c r="K748" s="5">
        <f ca="1">IFERROR(__xludf.DUMMYFUNCTION("""COMPUTED_VALUE"""),4)</f>
        <v>4</v>
      </c>
      <c r="L748" s="5" t="str">
        <f ca="1">IFERROR(__xludf.DUMMYFUNCTION("""COMPUTED_VALUE"""),"Summer")</f>
        <v>Summer</v>
      </c>
      <c r="M748" s="5" t="str">
        <f ca="1">IFERROR(__xludf.DUMMYFUNCTION("""COMPUTED_VALUE"""),"McKinney")</f>
        <v>McKinney</v>
      </c>
      <c r="N748" s="5" t="str">
        <f ca="1">IFERROR(__xludf.DUMMYFUNCTION("""COMPUTED_VALUE"""),"TX")</f>
        <v>TX</v>
      </c>
      <c r="O748" s="5" t="str">
        <f ca="1">IFERROR(__xludf.DUMMYFUNCTION("""COMPUTED_VALUE"""),"High")</f>
        <v>High</v>
      </c>
      <c r="P748" s="5" t="str">
        <f ca="1">IFERROR(__xludf.DUMMYFUNCTION("""COMPUTED_VALUE"""),"Classroom")</f>
        <v>Classroom</v>
      </c>
      <c r="Q748" s="5" t="str">
        <f ca="1">IFERROR(__xludf.DUMMYFUNCTION("""COMPUTED_VALUE"""),"Inside School Building")</f>
        <v>Inside School Building</v>
      </c>
      <c r="R748" s="5" t="str">
        <f ca="1">IFERROR(__xludf.DUMMYFUNCTION("""COMPUTED_VALUE"""),"Yes")</f>
        <v>Yes</v>
      </c>
      <c r="S748" s="5" t="str">
        <f ca="1">IFERROR(__xludf.DUMMYFUNCTION("""COMPUTED_VALUE"""),"Morning Classes")</f>
        <v>Morning Classes</v>
      </c>
      <c r="T748" s="5"/>
      <c r="U748" s="5">
        <f ca="1">IFERROR(__xludf.DUMMYFUNCTION("""COMPUTED_VALUE"""),1)</f>
        <v>1</v>
      </c>
      <c r="V748" s="5" t="str">
        <f ca="1">IFERROR(__xludf.DUMMYFUNCTION("""COMPUTED_VALUE"""),"Student commit suicide in classroom")</f>
        <v>Student commit suicide in classroom</v>
      </c>
      <c r="W748"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X748" s="5" t="str">
        <f ca="1">IFERROR(__xludf.DUMMYFUNCTION("""COMPUTED_VALUE"""),"Suicide/Attempted")</f>
        <v>Suicide/Attempted</v>
      </c>
      <c r="Y748" s="5" t="str">
        <f ca="1">IFERROR(__xludf.DUMMYFUNCTION("""COMPUTED_VALUE"""),"Victims Targeted")</f>
        <v>Victims Targeted</v>
      </c>
      <c r="Z748" s="5" t="str">
        <f ca="1">IFERROR(__xludf.DUMMYFUNCTION("""COMPUTED_VALUE"""),"No")</f>
        <v>No</v>
      </c>
      <c r="AA748" s="5"/>
      <c r="AB748" s="5" t="str">
        <f ca="1">IFERROR(__xludf.DUMMYFUNCTION("""COMPUTED_VALUE"""),"No")</f>
        <v>No</v>
      </c>
      <c r="AC748" s="5" t="str">
        <f ca="1">IFERROR(__xludf.DUMMYFUNCTION("""COMPUTED_VALUE"""),"No")</f>
        <v>No</v>
      </c>
      <c r="AD748" s="5" t="str">
        <f ca="1">IFERROR(__xludf.DUMMYFUNCTION("""COMPUTED_VALUE"""),"No")</f>
        <v>No</v>
      </c>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row>
    <row r="749" spans="1:34" ht="12.75">
      <c r="A749" s="5" t="str">
        <f ca="1">IFERROR(__xludf.DUMMYFUNCTION("""COMPUTED_VALUE"""),"20180525INNON")</f>
        <v>20180525INNON</v>
      </c>
      <c r="B749" s="8">
        <f ca="1">IFERROR(__xludf.DUMMYFUNCTION("""COMPUTED_VALUE"""),43245)</f>
        <v>43245</v>
      </c>
      <c r="C749" s="5" t="str">
        <f ca="1">IFERROR(__xludf.DUMMYFUNCTION("""COMPUTED_VALUE"""),"Noblesville West Middle School")</f>
        <v>Noblesville West Middle School</v>
      </c>
      <c r="D749" s="5">
        <f ca="1">IFERROR(__xludf.DUMMYFUNCTION("""COMPUTED_VALUE"""),0)</f>
        <v>0</v>
      </c>
      <c r="E749" s="5">
        <f ca="1">IFERROR(__xludf.DUMMYFUNCTION("""COMPUTED_VALUE"""),2)</f>
        <v>2</v>
      </c>
      <c r="F749" s="5">
        <f ca="1">IFERROR(__xludf.DUMMYFUNCTION("""COMPUTED_VALUE"""),2)</f>
        <v>2</v>
      </c>
      <c r="G749" s="5">
        <f ca="1">IFERROR(__xludf.DUMMYFUNCTION("""COMPUTED_VALUE"""),0)</f>
        <v>0</v>
      </c>
      <c r="H749" s="9" t="str">
        <f ca="1">IFERROR(__xludf.DUMMYFUNCTION("""COMPUTED_VALUE"""),"https://www.indystar.com/story/news/crime/2018/05/29/noblesville-indiana-middle-school-shooting-unanswered-questions-shooter-weapons-victims/650866002/")</f>
        <v>https://www.indystar.com/story/news/crime/2018/05/29/noblesville-indiana-middle-school-shooting-unanswered-questions-shooter-weapons-victims/650866002/</v>
      </c>
      <c r="I749" s="5">
        <f ca="1">IFERROR(__xludf.DUMMYFUNCTION("""COMPUTED_VALUE"""),100)</f>
        <v>100</v>
      </c>
      <c r="J749" s="5" t="str">
        <f ca="1">IFERROR(__xludf.DUMMYFUNCTION("""COMPUTED_VALUE"""),"National")</f>
        <v>National</v>
      </c>
      <c r="K749" s="5">
        <f ca="1">IFERROR(__xludf.DUMMYFUNCTION("""COMPUTED_VALUE"""),4)</f>
        <v>4</v>
      </c>
      <c r="L749" s="5" t="str">
        <f ca="1">IFERROR(__xludf.DUMMYFUNCTION("""COMPUTED_VALUE"""),"Spring")</f>
        <v>Spring</v>
      </c>
      <c r="M749" s="5" t="str">
        <f ca="1">IFERROR(__xludf.DUMMYFUNCTION("""COMPUTED_VALUE"""),"Noblesville")</f>
        <v>Noblesville</v>
      </c>
      <c r="N749" s="5" t="str">
        <f ca="1">IFERROR(__xludf.DUMMYFUNCTION("""COMPUTED_VALUE"""),"IN")</f>
        <v>IN</v>
      </c>
      <c r="O749" s="5" t="str">
        <f ca="1">IFERROR(__xludf.DUMMYFUNCTION("""COMPUTED_VALUE"""),"Middle")</f>
        <v>Middle</v>
      </c>
      <c r="P749" s="5" t="str">
        <f ca="1">IFERROR(__xludf.DUMMYFUNCTION("""COMPUTED_VALUE"""),"Classroom")</f>
        <v>Classroom</v>
      </c>
      <c r="Q749" s="5" t="str">
        <f ca="1">IFERROR(__xludf.DUMMYFUNCTION("""COMPUTED_VALUE"""),"Inside School Building")</f>
        <v>Inside School Building</v>
      </c>
      <c r="R749" s="5" t="str">
        <f ca="1">IFERROR(__xludf.DUMMYFUNCTION("""COMPUTED_VALUE"""),"Yes")</f>
        <v>Yes</v>
      </c>
      <c r="S749" s="5" t="str">
        <f ca="1">IFERROR(__xludf.DUMMYFUNCTION("""COMPUTED_VALUE"""),"Morning Classes")</f>
        <v>Morning Classes</v>
      </c>
      <c r="T749" s="10">
        <f ca="1">IFERROR(__xludf.DUMMYFUNCTION("""COMPUTED_VALUE"""),0.375)</f>
        <v>0.375</v>
      </c>
      <c r="U749" s="5">
        <f ca="1">IFERROR(__xludf.DUMMYFUNCTION("""COMPUTED_VALUE"""),1)</f>
        <v>1</v>
      </c>
      <c r="V749" s="5" t="str">
        <f ca="1">IFERROR(__xludf.DUMMYFUNCTION("""COMPUTED_VALUE"""),"Planned attack by student, stopped by teacher")</f>
        <v>Planned attack by student, stopped by teacher</v>
      </c>
      <c r="W749"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X749" s="5" t="str">
        <f ca="1">IFERROR(__xludf.DUMMYFUNCTION("""COMPUTED_VALUE"""),"Indiscriminate Shooting")</f>
        <v>Indiscriminate Shooting</v>
      </c>
      <c r="Y749" s="5" t="str">
        <f ca="1">IFERROR(__xludf.DUMMYFUNCTION("""COMPUTED_VALUE"""),"Victims Targeted")</f>
        <v>Victims Targeted</v>
      </c>
      <c r="Z749" s="5" t="str">
        <f ca="1">IFERROR(__xludf.DUMMYFUNCTION("""COMPUTED_VALUE"""),"No")</f>
        <v>No</v>
      </c>
      <c r="AA749" s="5"/>
      <c r="AB749" s="5" t="str">
        <f ca="1">IFERROR(__xludf.DUMMYFUNCTION("""COMPUTED_VALUE"""),"No")</f>
        <v>No</v>
      </c>
      <c r="AC749" s="5" t="str">
        <f ca="1">IFERROR(__xludf.DUMMYFUNCTION("""COMPUTED_VALUE"""),"No")</f>
        <v>No</v>
      </c>
      <c r="AD749" s="5" t="str">
        <f ca="1">IFERROR(__xludf.DUMMYFUNCTION("""COMPUTED_VALUE"""),"No")</f>
        <v>No</v>
      </c>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IFERROR(__xludf.DUMMYFUNCTION("""COMPUTED_VALUE"""),"Yes")</f>
        <v>Yes</v>
      </c>
    </row>
    <row r="750" spans="1:34" ht="12.75">
      <c r="A750" s="5" t="str">
        <f ca="1">IFERROR(__xludf.DUMMYFUNCTION("""COMPUTED_VALUE"""),"20180521GABEG")</f>
        <v>20180521GABEG</v>
      </c>
      <c r="B750" s="8">
        <f ca="1">IFERROR(__xludf.DUMMYFUNCTION("""COMPUTED_VALUE"""),43241)</f>
        <v>43241</v>
      </c>
      <c r="C750" s="5" t="str">
        <f ca="1">IFERROR(__xludf.DUMMYFUNCTION("""COMPUTED_VALUE"""),"Beaverbrook Elementary School")</f>
        <v>Beaverbrook Elementary School</v>
      </c>
      <c r="D750" s="5">
        <f ca="1">IFERROR(__xludf.DUMMYFUNCTION("""COMPUTED_VALUE"""),0)</f>
        <v>0</v>
      </c>
      <c r="E750" s="5">
        <f ca="1">IFERROR(__xludf.DUMMYFUNCTION("""COMPUTED_VALUE"""),1)</f>
        <v>1</v>
      </c>
      <c r="F750" s="5">
        <f ca="1">IFERROR(__xludf.DUMMYFUNCTION("""COMPUTED_VALUE"""),1)</f>
        <v>1</v>
      </c>
      <c r="G750" s="5">
        <f ca="1">IFERROR(__xludf.DUMMYFUNCTION("""COMPUTED_VALUE"""),0)</f>
        <v>0</v>
      </c>
      <c r="H750" s="9" t="str">
        <f ca="1">IFERROR(__xludf.DUMMYFUNCTION("""COMPUTED_VALUE"""),"https://www.wsbtv.com/news/local/breaking-personshot-in-elementary-school-parking-lot/753941792")</f>
        <v>https://www.wsbtv.com/news/local/breaking-personshot-in-elementary-school-parking-lot/753941792</v>
      </c>
      <c r="I750" s="5"/>
      <c r="J750" s="5"/>
      <c r="K750" s="5">
        <f ca="1">IFERROR(__xludf.DUMMYFUNCTION("""COMPUTED_VALUE"""),2)</f>
        <v>2</v>
      </c>
      <c r="L750" s="5" t="str">
        <f ca="1">IFERROR(__xludf.DUMMYFUNCTION("""COMPUTED_VALUE"""),"Spring")</f>
        <v>Spring</v>
      </c>
      <c r="M750" s="5" t="str">
        <f ca="1">IFERROR(__xludf.DUMMYFUNCTION("""COMPUTED_VALUE"""),"Griffin")</f>
        <v>Griffin</v>
      </c>
      <c r="N750" s="5" t="str">
        <f ca="1">IFERROR(__xludf.DUMMYFUNCTION("""COMPUTED_VALUE"""),"GA")</f>
        <v>GA</v>
      </c>
      <c r="O750" s="5" t="str">
        <f ca="1">IFERROR(__xludf.DUMMYFUNCTION("""COMPUTED_VALUE"""),"High")</f>
        <v>High</v>
      </c>
      <c r="P750" s="5" t="str">
        <f ca="1">IFERROR(__xludf.DUMMYFUNCTION("""COMPUTED_VALUE"""),"Parking Lot")</f>
        <v>Parking Lot</v>
      </c>
      <c r="Q750" s="5" t="str">
        <f ca="1">IFERROR(__xludf.DUMMYFUNCTION("""COMPUTED_VALUE"""),"Outside on School Property")</f>
        <v>Outside on School Property</v>
      </c>
      <c r="R750" s="5" t="str">
        <f ca="1">IFERROR(__xludf.DUMMYFUNCTION("""COMPUTED_VALUE"""),"Yes")</f>
        <v>Yes</v>
      </c>
      <c r="S750" s="5" t="str">
        <f ca="1">IFERROR(__xludf.DUMMYFUNCTION("""COMPUTED_VALUE"""),"Afternoon Classes")</f>
        <v>Afternoon Classes</v>
      </c>
      <c r="T750" s="5"/>
      <c r="U750" s="5">
        <f ca="1">IFERROR(__xludf.DUMMYFUNCTION("""COMPUTED_VALUE"""),1)</f>
        <v>1</v>
      </c>
      <c r="V750" s="5" t="str">
        <f ca="1">IFERROR(__xludf.DUMMYFUNCTION("""COMPUTED_VALUE"""),"Woman shot in school parking lot")</f>
        <v>Woman shot in school parking lot</v>
      </c>
      <c r="W750"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X750" s="5" t="str">
        <f ca="1">IFERROR(__xludf.DUMMYFUNCTION("""COMPUTED_VALUE"""),"Unknown")</f>
        <v>Unknown</v>
      </c>
      <c r="Y750" s="5" t="str">
        <f ca="1">IFERROR(__xludf.DUMMYFUNCTION("""COMPUTED_VALUE"""),"Random Shooting")</f>
        <v>Random Shooting</v>
      </c>
      <c r="Z750" s="5"/>
      <c r="AA750" s="5"/>
      <c r="AB750" s="5" t="str">
        <f ca="1">IFERROR(__xludf.DUMMYFUNCTION("""COMPUTED_VALUE"""),"No")</f>
        <v>No</v>
      </c>
      <c r="AC750" s="5" t="str">
        <f ca="1">IFERROR(__xludf.DUMMYFUNCTION("""COMPUTED_VALUE"""),"No")</f>
        <v>No</v>
      </c>
      <c r="AD750" s="5" t="str">
        <f ca="1">IFERROR(__xludf.DUMMYFUNCTION("""COMPUTED_VALUE"""),"No")</f>
        <v>No</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row>
    <row r="751" spans="1:34" ht="12.75">
      <c r="A751" s="5" t="str">
        <f ca="1">IFERROR(__xludf.DUMMYFUNCTION("""COMPUTED_VALUE"""),"20180518TXSAS")</f>
        <v>20180518TXSAS</v>
      </c>
      <c r="B751" s="8">
        <f ca="1">IFERROR(__xludf.DUMMYFUNCTION("""COMPUTED_VALUE"""),43238)</f>
        <v>43238</v>
      </c>
      <c r="C751" s="5" t="str">
        <f ca="1">IFERROR(__xludf.DUMMYFUNCTION("""COMPUTED_VALUE"""),"Santa Fe High School")</f>
        <v>Santa Fe High School</v>
      </c>
      <c r="D751" s="5">
        <f ca="1">IFERROR(__xludf.DUMMYFUNCTION("""COMPUTED_VALUE"""),10)</f>
        <v>10</v>
      </c>
      <c r="E751" s="5">
        <f ca="1">IFERROR(__xludf.DUMMYFUNCTION("""COMPUTED_VALUE"""),13)</f>
        <v>13</v>
      </c>
      <c r="F751" s="5">
        <f ca="1">IFERROR(__xludf.DUMMYFUNCTION("""COMPUTED_VALUE"""),23)</f>
        <v>23</v>
      </c>
      <c r="G751" s="5">
        <f ca="1">IFERROR(__xludf.DUMMYFUNCTION("""COMPUTED_VALUE"""),0)</f>
        <v>0</v>
      </c>
      <c r="H751"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I751" s="5"/>
      <c r="J751" s="5" t="str">
        <f ca="1">IFERROR(__xludf.DUMMYFUNCTION("""COMPUTED_VALUE"""),"National")</f>
        <v>National</v>
      </c>
      <c r="K751" s="5">
        <f ca="1">IFERROR(__xludf.DUMMYFUNCTION("""COMPUTED_VALUE"""),5)</f>
        <v>5</v>
      </c>
      <c r="L751" s="5" t="str">
        <f ca="1">IFERROR(__xludf.DUMMYFUNCTION("""COMPUTED_VALUE"""),"Spring")</f>
        <v>Spring</v>
      </c>
      <c r="M751" s="5" t="str">
        <f ca="1">IFERROR(__xludf.DUMMYFUNCTION("""COMPUTED_VALUE"""),"Santa Fe")</f>
        <v>Santa Fe</v>
      </c>
      <c r="N751" s="5" t="str">
        <f ca="1">IFERROR(__xludf.DUMMYFUNCTION("""COMPUTED_VALUE"""),"TX")</f>
        <v>TX</v>
      </c>
      <c r="O751" s="5" t="str">
        <f ca="1">IFERROR(__xludf.DUMMYFUNCTION("""COMPUTED_VALUE"""),"High")</f>
        <v>High</v>
      </c>
      <c r="P751" s="5" t="str">
        <f ca="1">IFERROR(__xludf.DUMMYFUNCTION("""COMPUTED_VALUE"""),"Classroom")</f>
        <v>Classroom</v>
      </c>
      <c r="Q751" s="5" t="str">
        <f ca="1">IFERROR(__xludf.DUMMYFUNCTION("""COMPUTED_VALUE"""),"Inside School Building")</f>
        <v>Inside School Building</v>
      </c>
      <c r="R751" s="5" t="str">
        <f ca="1">IFERROR(__xludf.DUMMYFUNCTION("""COMPUTED_VALUE"""),"Yes")</f>
        <v>Yes</v>
      </c>
      <c r="S751" s="5" t="str">
        <f ca="1">IFERROR(__xludf.DUMMYFUNCTION("""COMPUTED_VALUE"""),"Morning Classes")</f>
        <v>Morning Classes</v>
      </c>
      <c r="T751" s="10">
        <f ca="1">IFERROR(__xludf.DUMMYFUNCTION("""COMPUTED_VALUE"""),0.322916666666666)</f>
        <v>0.32291666666666602</v>
      </c>
      <c r="U751" s="5">
        <f ca="1">IFERROR(__xludf.DUMMYFUNCTION("""COMPUTED_VALUE"""),32)</f>
        <v>32</v>
      </c>
      <c r="V751" s="5" t="str">
        <f ca="1">IFERROR(__xludf.DUMMYFUNCTION("""COMPUTED_VALUE"""),"Planned attack after bullying, 30 minute standoff with police before surrendering")</f>
        <v>Planned attack after bullying, 30 minute standoff with police before surrendering</v>
      </c>
      <c r="W751"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X751" s="5" t="str">
        <f ca="1">IFERROR(__xludf.DUMMYFUNCTION("""COMPUTED_VALUE"""),"Indiscriminate Shooting")</f>
        <v>Indiscriminate Shooting</v>
      </c>
      <c r="Y751" s="5" t="str">
        <f ca="1">IFERROR(__xludf.DUMMYFUNCTION("""COMPUTED_VALUE"""),"Both")</f>
        <v>Both</v>
      </c>
      <c r="Z751" s="5" t="str">
        <f ca="1">IFERROR(__xludf.DUMMYFUNCTION("""COMPUTED_VALUE"""),"No")</f>
        <v>No</v>
      </c>
      <c r="AA751" s="5"/>
      <c r="AB751" s="5" t="str">
        <f ca="1">IFERROR(__xludf.DUMMYFUNCTION("""COMPUTED_VALUE"""),"No")</f>
        <v>No</v>
      </c>
      <c r="AC751" s="5" t="str">
        <f ca="1">IFERROR(__xludf.DUMMYFUNCTION("""COMPUTED_VALUE"""),"Yes")</f>
        <v>Yes</v>
      </c>
      <c r="AD751" s="5" t="str">
        <f ca="1">IFERROR(__xludf.DUMMYFUNCTION("""COMPUTED_VALUE"""),"No")</f>
        <v>No</v>
      </c>
      <c r="AE751" s="5" t="str">
        <f ca="1">IFERROR(__xludf.DUMMYFUNCTION("""COMPUTED_VALUE"""),"Yes")</f>
        <v>Yes</v>
      </c>
      <c r="AF751" s="5" t="str">
        <f ca="1">IFERROR(__xludf.DUMMYFUNCTION("""COMPUTED_VALUE"""),"No")</f>
        <v>No</v>
      </c>
      <c r="AG751" s="5" t="str">
        <f ca="1">IFERROR(__xludf.DUMMYFUNCTION("""COMPUTED_VALUE"""),"No")</f>
        <v>No</v>
      </c>
      <c r="AH751" s="5" t="str">
        <f ca="1">IFERROR(__xludf.DUMMYFUNCTION("""COMPUTED_VALUE"""),"Yes")</f>
        <v>Yes</v>
      </c>
    </row>
    <row r="752" spans="1:34" ht="12.75">
      <c r="A752" s="5" t="str">
        <f ca="1">IFERROR(__xludf.DUMMYFUNCTION("""COMPUTED_VALUE"""),"20180518GAMOA")</f>
        <v>20180518GAMOA</v>
      </c>
      <c r="B752" s="8">
        <f ca="1">IFERROR(__xludf.DUMMYFUNCTION("""COMPUTED_VALUE"""),43238)</f>
        <v>43238</v>
      </c>
      <c r="C752" s="5" t="str">
        <f ca="1">IFERROR(__xludf.DUMMYFUNCTION("""COMPUTED_VALUE"""),"Mount Zion High School")</f>
        <v>Mount Zion High School</v>
      </c>
      <c r="D752" s="5">
        <f ca="1">IFERROR(__xludf.DUMMYFUNCTION("""COMPUTED_VALUE"""),1)</f>
        <v>1</v>
      </c>
      <c r="E752" s="5">
        <f ca="1">IFERROR(__xludf.DUMMYFUNCTION("""COMPUTED_VALUE"""),2)</f>
        <v>2</v>
      </c>
      <c r="F752" s="5">
        <f ca="1">IFERROR(__xludf.DUMMYFUNCTION("""COMPUTED_VALUE"""),3)</f>
        <v>3</v>
      </c>
      <c r="G752" s="5">
        <f ca="1">IFERROR(__xludf.DUMMYFUNCTION("""COMPUTED_VALUE"""),0)</f>
        <v>0</v>
      </c>
      <c r="H752"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I752" s="5"/>
      <c r="J752" s="5"/>
      <c r="K752" s="5">
        <f ca="1">IFERROR(__xludf.DUMMYFUNCTION("""COMPUTED_VALUE"""),2)</f>
        <v>2</v>
      </c>
      <c r="L752" s="5" t="str">
        <f ca="1">IFERROR(__xludf.DUMMYFUNCTION("""COMPUTED_VALUE"""),"Spring")</f>
        <v>Spring</v>
      </c>
      <c r="M752" s="5" t="str">
        <f ca="1">IFERROR(__xludf.DUMMYFUNCTION("""COMPUTED_VALUE"""),"Atlanta")</f>
        <v>Atlanta</v>
      </c>
      <c r="N752" s="5" t="str">
        <f ca="1">IFERROR(__xludf.DUMMYFUNCTION("""COMPUTED_VALUE"""),"GA")</f>
        <v>GA</v>
      </c>
      <c r="O752" s="5" t="str">
        <f ca="1">IFERROR(__xludf.DUMMYFUNCTION("""COMPUTED_VALUE"""),"High")</f>
        <v>High</v>
      </c>
      <c r="P752" s="5" t="str">
        <f ca="1">IFERROR(__xludf.DUMMYFUNCTION("""COMPUTED_VALUE"""),"Parking Lot")</f>
        <v>Parking Lot</v>
      </c>
      <c r="Q752" s="5" t="str">
        <f ca="1">IFERROR(__xludf.DUMMYFUNCTION("""COMPUTED_VALUE"""),"Outside on School Property")</f>
        <v>Outside on School Property</v>
      </c>
      <c r="R752" s="5" t="str">
        <f ca="1">IFERROR(__xludf.DUMMYFUNCTION("""COMPUTED_VALUE"""),"No")</f>
        <v>No</v>
      </c>
      <c r="S752" s="5" t="str">
        <f ca="1">IFERROR(__xludf.DUMMYFUNCTION("""COMPUTED_VALUE"""),"School Event")</f>
        <v>School Event</v>
      </c>
      <c r="T752" s="5"/>
      <c r="U752" s="5">
        <f ca="1">IFERROR(__xludf.DUMMYFUNCTION("""COMPUTED_VALUE"""),1)</f>
        <v>1</v>
      </c>
      <c r="V752" s="5" t="str">
        <f ca="1">IFERROR(__xludf.DUMMYFUNCTION("""COMPUTED_VALUE"""),"Shots fired during argument in school parking lot")</f>
        <v>Shots fired during argument in school parking lot</v>
      </c>
      <c r="W752"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X752" s="5" t="str">
        <f ca="1">IFERROR(__xludf.DUMMYFUNCTION("""COMPUTED_VALUE"""),"Escalation of Dispute")</f>
        <v>Escalation of Dispute</v>
      </c>
      <c r="Y752" s="5" t="str">
        <f ca="1">IFERROR(__xludf.DUMMYFUNCTION("""COMPUTED_VALUE"""),"Both")</f>
        <v>Both</v>
      </c>
      <c r="Z752" s="5"/>
      <c r="AA752" s="5"/>
      <c r="AB752" s="5" t="str">
        <f ca="1">IFERROR(__xludf.DUMMYFUNCTION("""COMPUTED_VALUE"""),"No")</f>
        <v>No</v>
      </c>
      <c r="AC752" s="5" t="str">
        <f ca="1">IFERROR(__xludf.DUMMYFUNCTION("""COMPUTED_VALUE"""),"No")</f>
        <v>No</v>
      </c>
      <c r="AD752" s="5" t="str">
        <f ca="1">IFERROR(__xludf.DUMMYFUNCTION("""COMPUTED_VALUE"""),"No")</f>
        <v>No</v>
      </c>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row>
    <row r="753" spans="1:34" ht="12.75">
      <c r="A753" s="5" t="str">
        <f ca="1">IFERROR(__xludf.DUMMYFUNCTION("""COMPUTED_VALUE"""),"20180517MOCEK")</f>
        <v>20180517MOCEK</v>
      </c>
      <c r="B753" s="8">
        <f ca="1">IFERROR(__xludf.DUMMYFUNCTION("""COMPUTED_VALUE"""),43237)</f>
        <v>43237</v>
      </c>
      <c r="C753" s="5" t="str">
        <f ca="1">IFERROR(__xludf.DUMMYFUNCTION("""COMPUTED_VALUE"""),"Central High School")</f>
        <v>Central High School</v>
      </c>
      <c r="D753" s="5">
        <f ca="1">IFERROR(__xludf.DUMMYFUNCTION("""COMPUTED_VALUE"""),0)</f>
        <v>0</v>
      </c>
      <c r="E753" s="5">
        <f ca="1">IFERROR(__xludf.DUMMYFUNCTION("""COMPUTED_VALUE"""),2)</f>
        <v>2</v>
      </c>
      <c r="F753" s="5">
        <f ca="1">IFERROR(__xludf.DUMMYFUNCTION("""COMPUTED_VALUE"""),2)</f>
        <v>2</v>
      </c>
      <c r="G753" s="5">
        <f ca="1">IFERROR(__xludf.DUMMYFUNCTION("""COMPUTED_VALUE"""),0)</f>
        <v>0</v>
      </c>
      <c r="H753" s="9" t="str">
        <f ca="1">IFERROR(__xludf.DUMMYFUNCTION("""COMPUTED_VALUE"""),"https://www.kshb.com/news/crime/man-charged-in-shooting-at-center-high-school-graduation")</f>
        <v>https://www.kshb.com/news/crime/man-charged-in-shooting-at-center-high-school-graduation</v>
      </c>
      <c r="I753" s="5"/>
      <c r="J753" s="5"/>
      <c r="K753" s="5">
        <f ca="1">IFERROR(__xludf.DUMMYFUNCTION("""COMPUTED_VALUE"""),2)</f>
        <v>2</v>
      </c>
      <c r="L753" s="5" t="str">
        <f ca="1">IFERROR(__xludf.DUMMYFUNCTION("""COMPUTED_VALUE"""),"Spring")</f>
        <v>Spring</v>
      </c>
      <c r="M753" s="5" t="str">
        <f ca="1">IFERROR(__xludf.DUMMYFUNCTION("""COMPUTED_VALUE"""),"Kansas City")</f>
        <v>Kansas City</v>
      </c>
      <c r="N753" s="5" t="str">
        <f ca="1">IFERROR(__xludf.DUMMYFUNCTION("""COMPUTED_VALUE"""),"MO")</f>
        <v>MO</v>
      </c>
      <c r="O753" s="5" t="str">
        <f ca="1">IFERROR(__xludf.DUMMYFUNCTION("""COMPUTED_VALUE"""),"High")</f>
        <v>High</v>
      </c>
      <c r="P753" s="5" t="str">
        <f ca="1">IFERROR(__xludf.DUMMYFUNCTION("""COMPUTED_VALUE"""),"Off School Property")</f>
        <v>Off School Property</v>
      </c>
      <c r="Q753" s="5" t="str">
        <f ca="1">IFERROR(__xludf.DUMMYFUNCTION("""COMPUTED_VALUE"""),"Off School Property")</f>
        <v>Off School Property</v>
      </c>
      <c r="R753" s="5" t="str">
        <f ca="1">IFERROR(__xludf.DUMMYFUNCTION("""COMPUTED_VALUE"""),"No")</f>
        <v>No</v>
      </c>
      <c r="S753" s="5" t="str">
        <f ca="1">IFERROR(__xludf.DUMMYFUNCTION("""COMPUTED_VALUE"""),"School Event")</f>
        <v>School Event</v>
      </c>
      <c r="T753" s="10">
        <f ca="1">IFERROR(__xludf.DUMMYFUNCTION("""COMPUTED_VALUE"""),0.854166666666666)</f>
        <v>0.85416666666666596</v>
      </c>
      <c r="U753" s="5">
        <f ca="1">IFERROR(__xludf.DUMMYFUNCTION("""COMPUTED_VALUE"""),1)</f>
        <v>1</v>
      </c>
      <c r="V753" s="5" t="str">
        <f ca="1">IFERROR(__xludf.DUMMYFUNCTION("""COMPUTED_VALUE"""),"Shooting during fight at school graduation")</f>
        <v>Shooting during fight at school graduation</v>
      </c>
      <c r="W753"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X753" s="5" t="str">
        <f ca="1">IFERROR(__xludf.DUMMYFUNCTION("""COMPUTED_VALUE"""),"Escalation of Dispute")</f>
        <v>Escalation of Dispute</v>
      </c>
      <c r="Y753" s="5"/>
      <c r="Z753" s="5" t="str">
        <f ca="1">IFERROR(__xludf.DUMMYFUNCTION("""COMPUTED_VALUE"""),"Yes")</f>
        <v>Yes</v>
      </c>
      <c r="AA753" s="5" t="str">
        <f ca="1">IFERROR(__xludf.DUMMYFUNCTION("""COMPUTED_VALUE"""),"Rasheed Henderson charged with fleeing a LEO")</f>
        <v>Rasheed Henderson charged with fleeing a LEO</v>
      </c>
      <c r="AB753" s="5" t="str">
        <f ca="1">IFERROR(__xludf.DUMMYFUNCTION("""COMPUTED_VALUE"""),"No")</f>
        <v>No</v>
      </c>
      <c r="AC753" s="5" t="str">
        <f ca="1">IFERROR(__xludf.DUMMYFUNCTION("""COMPUTED_VALUE"""),"No")</f>
        <v>No</v>
      </c>
      <c r="AD753" s="5" t="str">
        <f ca="1">IFERROR(__xludf.DUMMYFUNCTION("""COMPUTED_VALUE"""),"No")</f>
        <v>No</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row>
    <row r="754" spans="1:34" ht="12.75">
      <c r="A754" s="5" t="str">
        <f ca="1">IFERROR(__xludf.DUMMYFUNCTION("""COMPUTED_VALUE"""),"20180516ILDID")</f>
        <v>20180516ILDID</v>
      </c>
      <c r="B754" s="8">
        <f ca="1">IFERROR(__xludf.DUMMYFUNCTION("""COMPUTED_VALUE"""),43236)</f>
        <v>43236</v>
      </c>
      <c r="C754" s="5" t="str">
        <f ca="1">IFERROR(__xludf.DUMMYFUNCTION("""COMPUTED_VALUE"""),"Dixon High School")</f>
        <v>Dixon High School</v>
      </c>
      <c r="D754" s="5">
        <f ca="1">IFERROR(__xludf.DUMMYFUNCTION("""COMPUTED_VALUE"""),0)</f>
        <v>0</v>
      </c>
      <c r="E754" s="5">
        <f ca="1">IFERROR(__xludf.DUMMYFUNCTION("""COMPUTED_VALUE"""),1)</f>
        <v>1</v>
      </c>
      <c r="F754" s="5">
        <f ca="1">IFERROR(__xludf.DUMMYFUNCTION("""COMPUTED_VALUE"""),1)</f>
        <v>1</v>
      </c>
      <c r="G754" s="5">
        <f ca="1">IFERROR(__xludf.DUMMYFUNCTION("""COMPUTED_VALUE"""),0)</f>
        <v>0</v>
      </c>
      <c r="H754"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I754" s="5"/>
      <c r="J754" s="5"/>
      <c r="K754" s="5">
        <f ca="1">IFERROR(__xludf.DUMMYFUNCTION("""COMPUTED_VALUE"""),5)</f>
        <v>5</v>
      </c>
      <c r="L754" s="5" t="str">
        <f ca="1">IFERROR(__xludf.DUMMYFUNCTION("""COMPUTED_VALUE"""),"Spring")</f>
        <v>Spring</v>
      </c>
      <c r="M754" s="5" t="str">
        <f ca="1">IFERROR(__xludf.DUMMYFUNCTION("""COMPUTED_VALUE"""),"Dixon")</f>
        <v>Dixon</v>
      </c>
      <c r="N754" s="5" t="str">
        <f ca="1">IFERROR(__xludf.DUMMYFUNCTION("""COMPUTED_VALUE"""),"IL")</f>
        <v>IL</v>
      </c>
      <c r="O754" s="5" t="str">
        <f ca="1">IFERROR(__xludf.DUMMYFUNCTION("""COMPUTED_VALUE"""),"High")</f>
        <v>High</v>
      </c>
      <c r="P754" s="5" t="str">
        <f ca="1">IFERROR(__xludf.DUMMYFUNCTION("""COMPUTED_VALUE"""),"Gym")</f>
        <v>Gym</v>
      </c>
      <c r="Q754" s="5" t="str">
        <f ca="1">IFERROR(__xludf.DUMMYFUNCTION("""COMPUTED_VALUE"""),"Inside School Building")</f>
        <v>Inside School Building</v>
      </c>
      <c r="R754" s="5" t="str">
        <f ca="1">IFERROR(__xludf.DUMMYFUNCTION("""COMPUTED_VALUE"""),"Yes")</f>
        <v>Yes</v>
      </c>
      <c r="S754" s="5" t="str">
        <f ca="1">IFERROR(__xludf.DUMMYFUNCTION("""COMPUTED_VALUE"""),"Morning Classes")</f>
        <v>Morning Classes</v>
      </c>
      <c r="T754" s="10">
        <f ca="1">IFERROR(__xludf.DUMMYFUNCTION("""COMPUTED_VALUE"""),0.333333333333333)</f>
        <v>0.33333333333333298</v>
      </c>
      <c r="U754" s="5">
        <f ca="1">IFERROR(__xludf.DUMMYFUNCTION("""COMPUTED_VALUE"""),2)</f>
        <v>2</v>
      </c>
      <c r="V754" s="5" t="str">
        <f ca="1">IFERROR(__xludf.DUMMYFUNCTION("""COMPUTED_VALUE"""),"Shots fired during graduation rehearsal by shooter who was bullied")</f>
        <v>Shots fired during graduation rehearsal by shooter who was bullied</v>
      </c>
      <c r="W754"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X754" s="5" t="str">
        <f ca="1">IFERROR(__xludf.DUMMYFUNCTION("""COMPUTED_VALUE"""),"Indiscriminate Shooting")</f>
        <v>Indiscriminate Shooting</v>
      </c>
      <c r="Y754" s="5" t="str">
        <f ca="1">IFERROR(__xludf.DUMMYFUNCTION("""COMPUTED_VALUE"""),"Random Shooting")</f>
        <v>Random Shooting</v>
      </c>
      <c r="Z754" s="5" t="str">
        <f ca="1">IFERROR(__xludf.DUMMYFUNCTION("""COMPUTED_VALUE"""),"No")</f>
        <v>No</v>
      </c>
      <c r="AA754" s="5"/>
      <c r="AB754" s="5" t="str">
        <f ca="1">IFERROR(__xludf.DUMMYFUNCTION("""COMPUTED_VALUE"""),"No")</f>
        <v>No</v>
      </c>
      <c r="AC754" s="5" t="str">
        <f ca="1">IFERROR(__xludf.DUMMYFUNCTION("""COMPUTED_VALUE"""),"No")</f>
        <v>No</v>
      </c>
      <c r="AD754" s="5" t="str">
        <f ca="1">IFERROR(__xludf.DUMMYFUNCTION("""COMPUTED_VALUE"""),"No")</f>
        <v>No</v>
      </c>
      <c r="AE754" s="5" t="str">
        <f ca="1">IFERROR(__xludf.DUMMYFUNCTION("""COMPUTED_VALUE"""),"Yes")</f>
        <v>Yes</v>
      </c>
      <c r="AF754" s="5" t="str">
        <f ca="1">IFERROR(__xludf.DUMMYFUNCTION("""COMPUTED_VALUE"""),"No")</f>
        <v>No</v>
      </c>
      <c r="AG754" s="5" t="str">
        <f ca="1">IFERROR(__xludf.DUMMYFUNCTION("""COMPUTED_VALUE"""),"No")</f>
        <v>No</v>
      </c>
      <c r="AH754" s="5" t="str">
        <f ca="1">IFERROR(__xludf.DUMMYFUNCTION("""COMPUTED_VALUE"""),"Yes")</f>
        <v>Yes</v>
      </c>
    </row>
    <row r="755" spans="1:34" ht="12.75">
      <c r="A755" s="5" t="str">
        <f ca="1">IFERROR(__xludf.DUMMYFUNCTION("""COMPUTED_VALUE"""),"20180511CAHIP")</f>
        <v>20180511CAHIP</v>
      </c>
      <c r="B755" s="8">
        <f ca="1">IFERROR(__xludf.DUMMYFUNCTION("""COMPUTED_VALUE"""),43231)</f>
        <v>43231</v>
      </c>
      <c r="C755" s="5" t="str">
        <f ca="1">IFERROR(__xludf.DUMMYFUNCTION("""COMPUTED_VALUE"""),"Highland High School")</f>
        <v>Highland High School</v>
      </c>
      <c r="D755" s="5">
        <f ca="1">IFERROR(__xludf.DUMMYFUNCTION("""COMPUTED_VALUE"""),0)</f>
        <v>0</v>
      </c>
      <c r="E755" s="5">
        <f ca="1">IFERROR(__xludf.DUMMYFUNCTION("""COMPUTED_VALUE"""),1)</f>
        <v>1</v>
      </c>
      <c r="F755" s="5">
        <f ca="1">IFERROR(__xludf.DUMMYFUNCTION("""COMPUTED_VALUE"""),1)</f>
        <v>1</v>
      </c>
      <c r="G755" s="5">
        <f ca="1">IFERROR(__xludf.DUMMYFUNCTION("""COMPUTED_VALUE"""),0)</f>
        <v>0</v>
      </c>
      <c r="H755"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I755" s="5"/>
      <c r="J755" s="5"/>
      <c r="K755" s="5">
        <f ca="1">IFERROR(__xludf.DUMMYFUNCTION("""COMPUTED_VALUE"""),4)</f>
        <v>4</v>
      </c>
      <c r="L755" s="5" t="str">
        <f ca="1">IFERROR(__xludf.DUMMYFUNCTION("""COMPUTED_VALUE"""),"Spring")</f>
        <v>Spring</v>
      </c>
      <c r="M755" s="5" t="str">
        <f ca="1">IFERROR(__xludf.DUMMYFUNCTION("""COMPUTED_VALUE"""),"Palmdale")</f>
        <v>Palmdale</v>
      </c>
      <c r="N755" s="5" t="str">
        <f ca="1">IFERROR(__xludf.DUMMYFUNCTION("""COMPUTED_VALUE"""),"CA")</f>
        <v>CA</v>
      </c>
      <c r="O755" s="5" t="str">
        <f ca="1">IFERROR(__xludf.DUMMYFUNCTION("""COMPUTED_VALUE"""),"High")</f>
        <v>High</v>
      </c>
      <c r="P755" s="5" t="str">
        <f ca="1">IFERROR(__xludf.DUMMYFUNCTION("""COMPUTED_VALUE"""),"Bathroom")</f>
        <v>Bathroom</v>
      </c>
      <c r="Q755" s="5" t="str">
        <f ca="1">IFERROR(__xludf.DUMMYFUNCTION("""COMPUTED_VALUE"""),"Inside School Building")</f>
        <v>Inside School Building</v>
      </c>
      <c r="R755" s="5" t="str">
        <f ca="1">IFERROR(__xludf.DUMMYFUNCTION("""COMPUTED_VALUE"""),"No")</f>
        <v>No</v>
      </c>
      <c r="S755" s="5" t="str">
        <f ca="1">IFERROR(__xludf.DUMMYFUNCTION("""COMPUTED_VALUE"""),"Before School")</f>
        <v>Before School</v>
      </c>
      <c r="T755" s="10">
        <f ca="1">IFERROR(__xludf.DUMMYFUNCTION("""COMPUTED_VALUE"""),0.295138888888888)</f>
        <v>0.29513888888888801</v>
      </c>
      <c r="U755" s="5">
        <f ca="1">IFERROR(__xludf.DUMMYFUNCTION("""COMPUTED_VALUE"""),1)</f>
        <v>1</v>
      </c>
      <c r="V755"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W755"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X755" s="5" t="str">
        <f ca="1">IFERROR(__xludf.DUMMYFUNCTION("""COMPUTED_VALUE"""),"Indiscriminate Shooting")</f>
        <v>Indiscriminate Shooting</v>
      </c>
      <c r="Y755" s="5" t="str">
        <f ca="1">IFERROR(__xludf.DUMMYFUNCTION("""COMPUTED_VALUE"""),"Random Shooting")</f>
        <v>Random Shooting</v>
      </c>
      <c r="Z755" s="5" t="str">
        <f ca="1">IFERROR(__xludf.DUMMYFUNCTION("""COMPUTED_VALUE"""),"No")</f>
        <v>No</v>
      </c>
      <c r="AA755" s="5"/>
      <c r="AB755" s="5" t="str">
        <f ca="1">IFERROR(__xludf.DUMMYFUNCTION("""COMPUTED_VALUE"""),"No")</f>
        <v>No</v>
      </c>
      <c r="AC755" s="5" t="str">
        <f ca="1">IFERROR(__xludf.DUMMYFUNCTION("""COMPUTED_VALUE"""),"No")</f>
        <v>No</v>
      </c>
      <c r="AD755" s="5" t="str">
        <f ca="1">IFERROR(__xludf.DUMMYFUNCTION("""COMPUTED_VALUE"""),"No")</f>
        <v>No</v>
      </c>
      <c r="AE755" s="5"/>
      <c r="AF755" s="5" t="str">
        <f ca="1">IFERROR(__xludf.DUMMYFUNCTION("""COMPUTED_VALUE"""),"No")</f>
        <v>No</v>
      </c>
      <c r="AG755" s="5" t="str">
        <f ca="1">IFERROR(__xludf.DUMMYFUNCTION("""COMPUTED_VALUE"""),"No")</f>
        <v>No</v>
      </c>
      <c r="AH755" s="5" t="str">
        <f ca="1">IFERROR(__xludf.DUMMYFUNCTION("""COMPUTED_VALUE"""),"Yes")</f>
        <v>Yes</v>
      </c>
    </row>
    <row r="756" spans="1:34" ht="12.75">
      <c r="A756" s="5" t="str">
        <f ca="1">IFERROR(__xludf.DUMMYFUNCTION("""COMPUTED_VALUE"""),"20180505MIFOF")</f>
        <v>20180505MIFOF</v>
      </c>
      <c r="B756" s="8">
        <f ca="1">IFERROR(__xludf.DUMMYFUNCTION("""COMPUTED_VALUE"""),43225)</f>
        <v>43225</v>
      </c>
      <c r="C756" s="5" t="str">
        <f ca="1">IFERROR(__xludf.DUMMYFUNCTION("""COMPUTED_VALUE"""),"Fowlerville High School")</f>
        <v>Fowlerville High School</v>
      </c>
      <c r="D756" s="5">
        <f ca="1">IFERROR(__xludf.DUMMYFUNCTION("""COMPUTED_VALUE"""),0)</f>
        <v>0</v>
      </c>
      <c r="E756" s="5">
        <f ca="1">IFERROR(__xludf.DUMMYFUNCTION("""COMPUTED_VALUE"""),0)</f>
        <v>0</v>
      </c>
      <c r="F756" s="5">
        <f ca="1">IFERROR(__xludf.DUMMYFUNCTION("""COMPUTED_VALUE"""),0)</f>
        <v>0</v>
      </c>
      <c r="G756" s="5">
        <f ca="1">IFERROR(__xludf.DUMMYFUNCTION("""COMPUTED_VALUE"""),0)</f>
        <v>0</v>
      </c>
      <c r="H756" s="9" t="str">
        <f ca="1">IFERROR(__xludf.DUMMYFUNCTION("""COMPUTED_VALUE"""),"https://www.wxyz.com/news/off-duty-officer-accidentally-discharges-gun-during-wrestling-meet-at-michigan-high-school")</f>
        <v>https://www.wxyz.com/news/off-duty-officer-accidentally-discharges-gun-during-wrestling-meet-at-michigan-high-school</v>
      </c>
      <c r="I756" s="5"/>
      <c r="J756" s="5"/>
      <c r="K756" s="5">
        <f ca="1">IFERROR(__xludf.DUMMYFUNCTION("""COMPUTED_VALUE"""),3)</f>
        <v>3</v>
      </c>
      <c r="L756" s="5" t="str">
        <f ca="1">IFERROR(__xludf.DUMMYFUNCTION("""COMPUTED_VALUE"""),"Spring")</f>
        <v>Spring</v>
      </c>
      <c r="M756" s="5" t="str">
        <f ca="1">IFERROR(__xludf.DUMMYFUNCTION("""COMPUTED_VALUE"""),"Fowlerville")</f>
        <v>Fowlerville</v>
      </c>
      <c r="N756" s="5" t="str">
        <f ca="1">IFERROR(__xludf.DUMMYFUNCTION("""COMPUTED_VALUE"""),"MI")</f>
        <v>MI</v>
      </c>
      <c r="O756" s="5" t="str">
        <f ca="1">IFERROR(__xludf.DUMMYFUNCTION("""COMPUTED_VALUE"""),"High")</f>
        <v>High</v>
      </c>
      <c r="P756" s="5" t="str">
        <f ca="1">IFERROR(__xludf.DUMMYFUNCTION("""COMPUTED_VALUE"""),"Gym")</f>
        <v>Gym</v>
      </c>
      <c r="Q756" s="5" t="str">
        <f ca="1">IFERROR(__xludf.DUMMYFUNCTION("""COMPUTED_VALUE"""),"Inside School Building")</f>
        <v>Inside School Building</v>
      </c>
      <c r="R756" s="5" t="str">
        <f ca="1">IFERROR(__xludf.DUMMYFUNCTION("""COMPUTED_VALUE"""),"No")</f>
        <v>No</v>
      </c>
      <c r="S756" s="5" t="str">
        <f ca="1">IFERROR(__xludf.DUMMYFUNCTION("""COMPUTED_VALUE"""),"Sport Event")</f>
        <v>Sport Event</v>
      </c>
      <c r="T756" s="10">
        <f ca="1">IFERROR(__xludf.DUMMYFUNCTION("""COMPUTED_VALUE"""),0.625)</f>
        <v>0.625</v>
      </c>
      <c r="U756" s="5">
        <f ca="1">IFERROR(__xludf.DUMMYFUNCTION("""COMPUTED_VALUE"""),1)</f>
        <v>1</v>
      </c>
      <c r="V756" s="5" t="str">
        <f ca="1">IFERROR(__xludf.DUMMYFUNCTION("""COMPUTED_VALUE"""),"Off duty officers gun discharged at wrestling meet in school gym")</f>
        <v>Off duty officers gun discharged at wrestling meet in school gym</v>
      </c>
      <c r="W756" s="5" t="str">
        <f ca="1">IFERROR(__xludf.DUMMYFUNCTION("""COMPUTED_VALUE"""),"Off duty police officers firearm discharged striking gym floor during a wrestling meet. No injuries.")</f>
        <v>Off duty police officers firearm discharged striking gym floor during a wrestling meet. No injuries.</v>
      </c>
      <c r="X756" s="5" t="str">
        <f ca="1">IFERROR(__xludf.DUMMYFUNCTION("""COMPUTED_VALUE"""),"Accidental")</f>
        <v>Accidental</v>
      </c>
      <c r="Y756" s="5" t="str">
        <f ca="1">IFERROR(__xludf.DUMMYFUNCTION("""COMPUTED_VALUE"""),"Neither")</f>
        <v>Neither</v>
      </c>
      <c r="Z756" s="5" t="str">
        <f ca="1">IFERROR(__xludf.DUMMYFUNCTION("""COMPUTED_VALUE"""),"No")</f>
        <v>No</v>
      </c>
      <c r="AA756" s="5"/>
      <c r="AB756" s="5" t="str">
        <f ca="1">IFERROR(__xludf.DUMMYFUNCTION("""COMPUTED_VALUE"""),"No")</f>
        <v>No</v>
      </c>
      <c r="AC756" s="5" t="str">
        <f ca="1">IFERROR(__xludf.DUMMYFUNCTION("""COMPUTED_VALUE"""),"No")</f>
        <v>No</v>
      </c>
      <c r="AD756" s="5" t="str">
        <f ca="1">IFERROR(__xludf.DUMMYFUNCTION("""COMPUTED_VALUE"""),"Yes")</f>
        <v>Yes</v>
      </c>
      <c r="AE756" s="5" t="str">
        <f ca="1">IFERROR(__xludf.DUMMYFUNCTION("""COMPUTED_VALUE"""),"N/A")</f>
        <v>N/A</v>
      </c>
      <c r="AF756" s="5" t="str">
        <f ca="1">IFERROR(__xludf.DUMMYFUNCTION("""COMPUTED_VALUE"""),"N/A")</f>
        <v>N/A</v>
      </c>
      <c r="AG756" s="5" t="str">
        <f ca="1">IFERROR(__xludf.DUMMYFUNCTION("""COMPUTED_VALUE"""),"N/A")</f>
        <v>N/A</v>
      </c>
      <c r="AH756" s="5" t="str">
        <f ca="1">IFERROR(__xludf.DUMMYFUNCTION("""COMPUTED_VALUE"""),"N/A")</f>
        <v>N/A</v>
      </c>
    </row>
    <row r="757" spans="1:34" ht="12.75">
      <c r="A757" s="5" t="str">
        <f ca="1">IFERROR(__xludf.DUMMYFUNCTION("""COMPUTED_VALUE"""),"20180503TNWAW")</f>
        <v>20180503TNWAW</v>
      </c>
      <c r="B757" s="8">
        <f ca="1">IFERROR(__xludf.DUMMYFUNCTION("""COMPUTED_VALUE"""),43223)</f>
        <v>43223</v>
      </c>
      <c r="C757" s="5" t="str">
        <f ca="1">IFERROR(__xludf.DUMMYFUNCTION("""COMPUTED_VALUE"""),"Waynesboro Elementary School")</f>
        <v>Waynesboro Elementary School</v>
      </c>
      <c r="D757" s="5">
        <f ca="1">IFERROR(__xludf.DUMMYFUNCTION("""COMPUTED_VALUE"""),0)</f>
        <v>0</v>
      </c>
      <c r="E757" s="5">
        <f ca="1">IFERROR(__xludf.DUMMYFUNCTION("""COMPUTED_VALUE"""),0)</f>
        <v>0</v>
      </c>
      <c r="F757" s="5">
        <f ca="1">IFERROR(__xludf.DUMMYFUNCTION("""COMPUTED_VALUE"""),0)</f>
        <v>0</v>
      </c>
      <c r="G757" s="5">
        <f ca="1">IFERROR(__xludf.DUMMYFUNCTION("""COMPUTED_VALUE"""),0)</f>
        <v>0</v>
      </c>
      <c r="H757" s="9" t="str">
        <f ca="1">IFERROR(__xludf.DUMMYFUNCTION("""COMPUTED_VALUE"""),"https://www.mlive.com/news/jackson/index.ssf/2018/04/no_arrests_made_yet_after_jack.html")</f>
        <v>https://www.mlive.com/news/jackson/index.ssf/2018/04/no_arrests_made_yet_after_jack.html</v>
      </c>
      <c r="I757" s="5"/>
      <c r="J757" s="5"/>
      <c r="K757" s="5">
        <f ca="1">IFERROR(__xludf.DUMMYFUNCTION("""COMPUTED_VALUE"""),2)</f>
        <v>2</v>
      </c>
      <c r="L757" s="5" t="str">
        <f ca="1">IFERROR(__xludf.DUMMYFUNCTION("""COMPUTED_VALUE"""),"Spring")</f>
        <v>Spring</v>
      </c>
      <c r="M757" s="5" t="str">
        <f ca="1">IFERROR(__xludf.DUMMYFUNCTION("""COMPUTED_VALUE"""),"Waynesboro")</f>
        <v>Waynesboro</v>
      </c>
      <c r="N757" s="5" t="str">
        <f ca="1">IFERROR(__xludf.DUMMYFUNCTION("""COMPUTED_VALUE"""),"TN")</f>
        <v>TN</v>
      </c>
      <c r="O757" s="5" t="str">
        <f ca="1">IFERROR(__xludf.DUMMYFUNCTION("""COMPUTED_VALUE"""),"High")</f>
        <v>High</v>
      </c>
      <c r="P757" s="5" t="str">
        <f ca="1">IFERROR(__xludf.DUMMYFUNCTION("""COMPUTED_VALUE"""),"Bathroom")</f>
        <v>Bathroom</v>
      </c>
      <c r="Q757" s="5" t="str">
        <f ca="1">IFERROR(__xludf.DUMMYFUNCTION("""COMPUTED_VALUE"""),"Inside School Building")</f>
        <v>Inside School Building</v>
      </c>
      <c r="R757" s="5" t="str">
        <f ca="1">IFERROR(__xludf.DUMMYFUNCTION("""COMPUTED_VALUE"""),"Yes")</f>
        <v>Yes</v>
      </c>
      <c r="S757" s="5" t="str">
        <f ca="1">IFERROR(__xludf.DUMMYFUNCTION("""COMPUTED_VALUE"""),"Morning Classes")</f>
        <v>Morning Classes</v>
      </c>
      <c r="T757" s="5"/>
      <c r="U757" s="5">
        <f ca="1">IFERROR(__xludf.DUMMYFUNCTION("""COMPUTED_VALUE"""),1)</f>
        <v>1</v>
      </c>
      <c r="V757" s="5" t="str">
        <f ca="1">IFERROR(__xludf.DUMMYFUNCTION("""COMPUTED_VALUE"""),"Gun accidentally fired in the bathroom")</f>
        <v>Gun accidentally fired in the bathroom</v>
      </c>
      <c r="W757" s="5" t="str">
        <f ca="1">IFERROR(__xludf.DUMMYFUNCTION("""COMPUTED_VALUE"""),"Student fired a single shot in the bathroom. No injuries. School was locked down.")</f>
        <v>Student fired a single shot in the bathroom. No injuries. School was locked down.</v>
      </c>
      <c r="X757" s="5" t="str">
        <f ca="1">IFERROR(__xludf.DUMMYFUNCTION("""COMPUTED_VALUE"""),"Accidental")</f>
        <v>Accidental</v>
      </c>
      <c r="Y757" s="5" t="str">
        <f ca="1">IFERROR(__xludf.DUMMYFUNCTION("""COMPUTED_VALUE"""),"Neither")</f>
        <v>Neither</v>
      </c>
      <c r="Z757" s="5" t="str">
        <f ca="1">IFERROR(__xludf.DUMMYFUNCTION("""COMPUTED_VALUE"""),"No")</f>
        <v>No</v>
      </c>
      <c r="AA757" s="5"/>
      <c r="AB757" s="5" t="str">
        <f ca="1">IFERROR(__xludf.DUMMYFUNCTION("""COMPUTED_VALUE"""),"No")</f>
        <v>No</v>
      </c>
      <c r="AC757" s="5" t="str">
        <f ca="1">IFERROR(__xludf.DUMMYFUNCTION("""COMPUTED_VALUE"""),"No")</f>
        <v>No</v>
      </c>
      <c r="AD757" s="5" t="str">
        <f ca="1">IFERROR(__xludf.DUMMYFUNCTION("""COMPUTED_VALUE"""),"No")</f>
        <v>No</v>
      </c>
      <c r="AE757" s="5" t="str">
        <f ca="1">IFERROR(__xludf.DUMMYFUNCTION("""COMPUTED_VALUE"""),"No")</f>
        <v>No</v>
      </c>
      <c r="AF757" s="5" t="str">
        <f ca="1">IFERROR(__xludf.DUMMYFUNCTION("""COMPUTED_VALUE"""),"No")</f>
        <v>No</v>
      </c>
      <c r="AG757" s="5" t="str">
        <f ca="1">IFERROR(__xludf.DUMMYFUNCTION("""COMPUTED_VALUE"""),"No")</f>
        <v>No</v>
      </c>
      <c r="AH757" s="5" t="str">
        <f ca="1">IFERROR(__xludf.DUMMYFUNCTION("""COMPUTED_VALUE"""),"No")</f>
        <v>No</v>
      </c>
    </row>
    <row r="758" spans="1:34" ht="12.75">
      <c r="A758" s="5" t="str">
        <f ca="1">IFERROR(__xludf.DUMMYFUNCTION("""COMPUTED_VALUE"""),"20180503SDENW")</f>
        <v>20180503SDENW</v>
      </c>
      <c r="B758" s="8">
        <f ca="1">IFERROR(__xludf.DUMMYFUNCTION("""COMPUTED_VALUE"""),43223)</f>
        <v>43223</v>
      </c>
      <c r="C758" s="5" t="str">
        <f ca="1">IFERROR(__xludf.DUMMYFUNCTION("""COMPUTED_VALUE"""),"Enemy Swim Day School")</f>
        <v>Enemy Swim Day School</v>
      </c>
      <c r="D758" s="5">
        <f ca="1">IFERROR(__xludf.DUMMYFUNCTION("""COMPUTED_VALUE"""),0)</f>
        <v>0</v>
      </c>
      <c r="E758" s="5">
        <f ca="1">IFERROR(__xludf.DUMMYFUNCTION("""COMPUTED_VALUE"""),1)</f>
        <v>1</v>
      </c>
      <c r="F758" s="5">
        <f ca="1">IFERROR(__xludf.DUMMYFUNCTION("""COMPUTED_VALUE"""),1)</f>
        <v>1</v>
      </c>
      <c r="G758" s="5">
        <f ca="1">IFERROR(__xludf.DUMMYFUNCTION("""COMPUTED_VALUE"""),0)</f>
        <v>0</v>
      </c>
      <c r="H758"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I758" s="5"/>
      <c r="J758" s="5"/>
      <c r="K758" s="5">
        <f ca="1">IFERROR(__xludf.DUMMYFUNCTION("""COMPUTED_VALUE"""),3)</f>
        <v>3</v>
      </c>
      <c r="L758" s="5" t="str">
        <f ca="1">IFERROR(__xludf.DUMMYFUNCTION("""COMPUTED_VALUE"""),"Spring")</f>
        <v>Spring</v>
      </c>
      <c r="M758" s="5" t="str">
        <f ca="1">IFERROR(__xludf.DUMMYFUNCTION("""COMPUTED_VALUE"""),"Waubay")</f>
        <v>Waubay</v>
      </c>
      <c r="N758" s="5" t="str">
        <f ca="1">IFERROR(__xludf.DUMMYFUNCTION("""COMPUTED_VALUE"""),"SD")</f>
        <v>SD</v>
      </c>
      <c r="O758" s="5" t="str">
        <f ca="1">IFERROR(__xludf.DUMMYFUNCTION("""COMPUTED_VALUE"""),"K-8")</f>
        <v>K-8</v>
      </c>
      <c r="P758" s="5" t="str">
        <f ca="1">IFERROR(__xludf.DUMMYFUNCTION("""COMPUTED_VALUE"""),"Field (General)")</f>
        <v>Field (General)</v>
      </c>
      <c r="Q758" s="5" t="str">
        <f ca="1">IFERROR(__xludf.DUMMYFUNCTION("""COMPUTED_VALUE"""),"Outside on School Property")</f>
        <v>Outside on School Property</v>
      </c>
      <c r="R758" s="5" t="str">
        <f ca="1">IFERROR(__xludf.DUMMYFUNCTION("""COMPUTED_VALUE"""),"No")</f>
        <v>No</v>
      </c>
      <c r="S758" s="5" t="str">
        <f ca="1">IFERROR(__xludf.DUMMYFUNCTION("""COMPUTED_VALUE"""),"Evening")</f>
        <v>Evening</v>
      </c>
      <c r="T758" s="10">
        <f ca="1">IFERROR(__xludf.DUMMYFUNCTION("""COMPUTED_VALUE"""),0.913194444444444)</f>
        <v>0.91319444444444398</v>
      </c>
      <c r="U758" s="5">
        <f ca="1">IFERROR(__xludf.DUMMYFUNCTION("""COMPUTED_VALUE"""),1)</f>
        <v>1</v>
      </c>
      <c r="V758" s="5" t="str">
        <f ca="1">IFERROR(__xludf.DUMMYFUNCTION("""COMPUTED_VALUE"""),"School employee shot while walking around property, motive unknown")</f>
        <v>School employee shot while walking around property, motive unknown</v>
      </c>
      <c r="W758"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X758" s="5" t="str">
        <f ca="1">IFERROR(__xludf.DUMMYFUNCTION("""COMPUTED_VALUE"""),"Unknown")</f>
        <v>Unknown</v>
      </c>
      <c r="Y758" s="5"/>
      <c r="Z758" s="5"/>
      <c r="AA758" s="5"/>
      <c r="AB758" s="5" t="str">
        <f ca="1">IFERROR(__xludf.DUMMYFUNCTION("""COMPUTED_VALUE"""),"No")</f>
        <v>No</v>
      </c>
      <c r="AC758" s="5" t="str">
        <f ca="1">IFERROR(__xludf.DUMMYFUNCTION("""COMPUTED_VALUE"""),"No")</f>
        <v>No</v>
      </c>
      <c r="AD758" s="5" t="str">
        <f ca="1">IFERROR(__xludf.DUMMYFUNCTION("""COMPUTED_VALUE"""),"No")</f>
        <v>No</v>
      </c>
      <c r="AE758" s="5"/>
      <c r="AF758" s="5"/>
      <c r="AG758" s="5" t="str">
        <f ca="1">IFERROR(__xludf.DUMMYFUNCTION("""COMPUTED_VALUE"""),"No")</f>
        <v>No</v>
      </c>
      <c r="AH758" s="5" t="str">
        <f ca="1">IFERROR(__xludf.DUMMYFUNCTION("""COMPUTED_VALUE"""),"No")</f>
        <v>No</v>
      </c>
    </row>
    <row r="759" spans="1:34" ht="12.75">
      <c r="A759" s="5" t="str">
        <f ca="1">IFERROR(__xludf.DUMMYFUNCTION("""COMPUTED_VALUE"""),"20180425NMHIA")</f>
        <v>20180425NMHIA</v>
      </c>
      <c r="B759" s="8">
        <f ca="1">IFERROR(__xludf.DUMMYFUNCTION("""COMPUTED_VALUE"""),43215)</f>
        <v>43215</v>
      </c>
      <c r="C759" s="5" t="str">
        <f ca="1">IFERROR(__xludf.DUMMYFUNCTION("""COMPUTED_VALUE"""),"Highland High School")</f>
        <v>Highland High School</v>
      </c>
      <c r="D759" s="5">
        <f ca="1">IFERROR(__xludf.DUMMYFUNCTION("""COMPUTED_VALUE"""),0)</f>
        <v>0</v>
      </c>
      <c r="E759" s="5">
        <f ca="1">IFERROR(__xludf.DUMMYFUNCTION("""COMPUTED_VALUE"""),1)</f>
        <v>1</v>
      </c>
      <c r="F759" s="5">
        <f ca="1">IFERROR(__xludf.DUMMYFUNCTION("""COMPUTED_VALUE"""),1)</f>
        <v>1</v>
      </c>
      <c r="G759" s="5">
        <f ca="1">IFERROR(__xludf.DUMMYFUNCTION("""COMPUTED_VALUE"""),0)</f>
        <v>0</v>
      </c>
      <c r="H759"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I759" s="5">
        <f ca="1">IFERROR(__xludf.DUMMYFUNCTION("""COMPUTED_VALUE"""),3)</f>
        <v>3</v>
      </c>
      <c r="J759" s="5" t="str">
        <f ca="1">IFERROR(__xludf.DUMMYFUNCTION("""COMPUTED_VALUE"""),"Local")</f>
        <v>Local</v>
      </c>
      <c r="K759" s="5">
        <f ca="1">IFERROR(__xludf.DUMMYFUNCTION("""COMPUTED_VALUE"""),4)</f>
        <v>4</v>
      </c>
      <c r="L759" s="5" t="str">
        <f ca="1">IFERROR(__xludf.DUMMYFUNCTION("""COMPUTED_VALUE"""),"Spring")</f>
        <v>Spring</v>
      </c>
      <c r="M759" s="5" t="str">
        <f ca="1">IFERROR(__xludf.DUMMYFUNCTION("""COMPUTED_VALUE"""),"Albuquerque")</f>
        <v>Albuquerque</v>
      </c>
      <c r="N759" s="5" t="str">
        <f ca="1">IFERROR(__xludf.DUMMYFUNCTION("""COMPUTED_VALUE"""),"NM")</f>
        <v>NM</v>
      </c>
      <c r="O759" s="5" t="str">
        <f ca="1">IFERROR(__xludf.DUMMYFUNCTION("""COMPUTED_VALUE"""),"High")</f>
        <v>High</v>
      </c>
      <c r="P759" s="5" t="str">
        <f ca="1">IFERROR(__xludf.DUMMYFUNCTION("""COMPUTED_VALUE"""),"Front of School")</f>
        <v>Front of School</v>
      </c>
      <c r="Q759" s="5" t="str">
        <f ca="1">IFERROR(__xludf.DUMMYFUNCTION("""COMPUTED_VALUE"""),"Outside on School Property")</f>
        <v>Outside on School Property</v>
      </c>
      <c r="R759" s="5" t="str">
        <f ca="1">IFERROR(__xludf.DUMMYFUNCTION("""COMPUTED_VALUE"""),"Yes")</f>
        <v>Yes</v>
      </c>
      <c r="S759" s="5" t="str">
        <f ca="1">IFERROR(__xludf.DUMMYFUNCTION("""COMPUTED_VALUE"""),"Dismissal")</f>
        <v>Dismissal</v>
      </c>
      <c r="T759" s="10">
        <f ca="1">IFERROR(__xludf.DUMMYFUNCTION("""COMPUTED_VALUE"""),0.604166666666666)</f>
        <v>0.60416666666666596</v>
      </c>
      <c r="U759" s="5">
        <f ca="1">IFERROR(__xludf.DUMMYFUNCTION("""COMPUTED_VALUE"""),1)</f>
        <v>1</v>
      </c>
      <c r="V759" s="5" t="str">
        <f ca="1">IFERROR(__xludf.DUMMYFUNCTION("""COMPUTED_VALUE"""),"Parent shot another parent during argument in pick-up line")</f>
        <v>Parent shot another parent during argument in pick-up line</v>
      </c>
      <c r="W759"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X759" s="5" t="str">
        <f ca="1">IFERROR(__xludf.DUMMYFUNCTION("""COMPUTED_VALUE"""),"Escalation of Dispute")</f>
        <v>Escalation of Dispute</v>
      </c>
      <c r="Y759" s="5" t="str">
        <f ca="1">IFERROR(__xludf.DUMMYFUNCTION("""COMPUTED_VALUE"""),"Victims Targeted")</f>
        <v>Victims Targeted</v>
      </c>
      <c r="Z759" s="5" t="str">
        <f ca="1">IFERROR(__xludf.DUMMYFUNCTION("""COMPUTED_VALUE"""),"No")</f>
        <v>No</v>
      </c>
      <c r="AA759" s="5"/>
      <c r="AB759" s="5" t="str">
        <f ca="1">IFERROR(__xludf.DUMMYFUNCTION("""COMPUTED_VALUE"""),"No")</f>
        <v>No</v>
      </c>
      <c r="AC759" s="5" t="str">
        <f ca="1">IFERROR(__xludf.DUMMYFUNCTION("""COMPUTED_VALUE"""),"No")</f>
        <v>No</v>
      </c>
      <c r="AD759" s="5" t="str">
        <f ca="1">IFERROR(__xludf.DUMMYFUNCTION("""COMPUTED_VALUE"""),"No")</f>
        <v>No</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row>
    <row r="760" spans="1:34" ht="12.75">
      <c r="A760" s="5" t="str">
        <f ca="1">IFERROR(__xludf.DUMMYFUNCTION("""COMPUTED_VALUE"""),"20180423GABEA")</f>
        <v>20180423GABEA</v>
      </c>
      <c r="B760" s="8">
        <f ca="1">IFERROR(__xludf.DUMMYFUNCTION("""COMPUTED_VALUE"""),43213)</f>
        <v>43213</v>
      </c>
      <c r="C760" s="5" t="str">
        <f ca="1">IFERROR(__xludf.DUMMYFUNCTION("""COMPUTED_VALUE"""),"Benjamin E. Mays High School")</f>
        <v>Benjamin E. Mays High School</v>
      </c>
      <c r="D760" s="5">
        <f ca="1">IFERROR(__xludf.DUMMYFUNCTION("""COMPUTED_VALUE"""),0)</f>
        <v>0</v>
      </c>
      <c r="E760" s="5">
        <f ca="1">IFERROR(__xludf.DUMMYFUNCTION("""COMPUTED_VALUE"""),0)</f>
        <v>0</v>
      </c>
      <c r="F760" s="5">
        <f ca="1">IFERROR(__xludf.DUMMYFUNCTION("""COMPUTED_VALUE"""),0)</f>
        <v>0</v>
      </c>
      <c r="G760" s="5">
        <f ca="1">IFERROR(__xludf.DUMMYFUNCTION("""COMPUTED_VALUE"""),0)</f>
        <v>0</v>
      </c>
      <c r="H760" s="9" t="str">
        <f ca="1">IFERROR(__xludf.DUMMYFUNCTION("""COMPUTED_VALUE"""),"http://www.cbs46.com/story/38020869/us-marshals-suspect-involved-in-mays-high-school-shooting-apprehended")</f>
        <v>http://www.cbs46.com/story/38020869/us-marshals-suspect-involved-in-mays-high-school-shooting-apprehended</v>
      </c>
      <c r="I760" s="5">
        <f ca="1">IFERROR(__xludf.DUMMYFUNCTION("""COMPUTED_VALUE"""),1)</f>
        <v>1</v>
      </c>
      <c r="J760" s="5" t="str">
        <f ca="1">IFERROR(__xludf.DUMMYFUNCTION("""COMPUTED_VALUE"""),"Local")</f>
        <v>Local</v>
      </c>
      <c r="K760" s="5">
        <f ca="1">IFERROR(__xludf.DUMMYFUNCTION("""COMPUTED_VALUE"""),2)</f>
        <v>2</v>
      </c>
      <c r="L760" s="5" t="str">
        <f ca="1">IFERROR(__xludf.DUMMYFUNCTION("""COMPUTED_VALUE"""),"Spring")</f>
        <v>Spring</v>
      </c>
      <c r="M760" s="5" t="str">
        <f ca="1">IFERROR(__xludf.DUMMYFUNCTION("""COMPUTED_VALUE"""),"Atlanta")</f>
        <v>Atlanta</v>
      </c>
      <c r="N760" s="5" t="str">
        <f ca="1">IFERROR(__xludf.DUMMYFUNCTION("""COMPUTED_VALUE"""),"GA")</f>
        <v>GA</v>
      </c>
      <c r="O760" s="5" t="str">
        <f ca="1">IFERROR(__xludf.DUMMYFUNCTION("""COMPUTED_VALUE"""),"High")</f>
        <v>High</v>
      </c>
      <c r="P760" s="5" t="str">
        <f ca="1">IFERROR(__xludf.DUMMYFUNCTION("""COMPUTED_VALUE"""),"Parking Lot")</f>
        <v>Parking Lot</v>
      </c>
      <c r="Q760" s="5" t="str">
        <f ca="1">IFERROR(__xludf.DUMMYFUNCTION("""COMPUTED_VALUE"""),"Outside on School Property")</f>
        <v>Outside on School Property</v>
      </c>
      <c r="R760" s="5" t="str">
        <f ca="1">IFERROR(__xludf.DUMMYFUNCTION("""COMPUTED_VALUE"""),"Yes")</f>
        <v>Yes</v>
      </c>
      <c r="S760" s="5" t="str">
        <f ca="1">IFERROR(__xludf.DUMMYFUNCTION("""COMPUTED_VALUE"""),"Lunch")</f>
        <v>Lunch</v>
      </c>
      <c r="T760" s="10">
        <f ca="1">IFERROR(__xludf.DUMMYFUNCTION("""COMPUTED_VALUE"""),0.541666666666666)</f>
        <v>0.54166666666666596</v>
      </c>
      <c r="U760" s="5">
        <f ca="1">IFERROR(__xludf.DUMMYFUNCTION("""COMPUTED_VALUE"""),1)</f>
        <v>1</v>
      </c>
      <c r="V760" s="5" t="str">
        <f ca="1">IFERROR(__xludf.DUMMYFUNCTION("""COMPUTED_VALUE"""),"Shot fired into air during a verbal argument between male and female students")</f>
        <v>Shot fired into air during a verbal argument between male and female students</v>
      </c>
      <c r="W760"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X760" s="5" t="str">
        <f ca="1">IFERROR(__xludf.DUMMYFUNCTION("""COMPUTED_VALUE"""),"Escalation of Dispute")</f>
        <v>Escalation of Dispute</v>
      </c>
      <c r="Y760" s="5" t="str">
        <f ca="1">IFERROR(__xludf.DUMMYFUNCTION("""COMPUTED_VALUE"""),"Victims Targeted")</f>
        <v>Victims Targeted</v>
      </c>
      <c r="Z760" s="5"/>
      <c r="AA760" s="5"/>
      <c r="AB760" s="5" t="str">
        <f ca="1">IFERROR(__xludf.DUMMYFUNCTION("""COMPUTED_VALUE"""),"No")</f>
        <v>No</v>
      </c>
      <c r="AC760" s="5" t="str">
        <f ca="1">IFERROR(__xludf.DUMMYFUNCTION("""COMPUTED_VALUE"""),"No")</f>
        <v>No</v>
      </c>
      <c r="AD760" s="5" t="str">
        <f ca="1">IFERROR(__xludf.DUMMYFUNCTION("""COMPUTED_VALUE"""),"No")</f>
        <v>No</v>
      </c>
      <c r="AE760" s="5" t="str">
        <f ca="1">IFERROR(__xludf.DUMMYFUNCTION("""COMPUTED_VALUE"""),"No")</f>
        <v>No</v>
      </c>
      <c r="AF760" s="5" t="str">
        <f ca="1">IFERROR(__xludf.DUMMYFUNCTION("""COMPUTED_VALUE"""),"Yes")</f>
        <v>Yes</v>
      </c>
      <c r="AG760" s="5" t="str">
        <f ca="1">IFERROR(__xludf.DUMMYFUNCTION("""COMPUTED_VALUE"""),"No")</f>
        <v>No</v>
      </c>
      <c r="AH760" s="5" t="str">
        <f ca="1">IFERROR(__xludf.DUMMYFUNCTION("""COMPUTED_VALUE"""),"No")</f>
        <v>No</v>
      </c>
    </row>
    <row r="761" spans="1:34" ht="12.75">
      <c r="A761" s="5" t="str">
        <f ca="1">IFERROR(__xludf.DUMMYFUNCTION("""COMPUTED_VALUE"""),"20180420FLFOO")</f>
        <v>20180420FLFOO</v>
      </c>
      <c r="B761" s="8">
        <f ca="1">IFERROR(__xludf.DUMMYFUNCTION("""COMPUTED_VALUE"""),43210)</f>
        <v>43210</v>
      </c>
      <c r="C761" s="5" t="str">
        <f ca="1">IFERROR(__xludf.DUMMYFUNCTION("""COMPUTED_VALUE"""),"Forest High School")</f>
        <v>Forest High School</v>
      </c>
      <c r="D761" s="5">
        <f ca="1">IFERROR(__xludf.DUMMYFUNCTION("""COMPUTED_VALUE"""),0)</f>
        <v>0</v>
      </c>
      <c r="E761" s="5">
        <f ca="1">IFERROR(__xludf.DUMMYFUNCTION("""COMPUTED_VALUE"""),1)</f>
        <v>1</v>
      </c>
      <c r="F761" s="5">
        <f ca="1">IFERROR(__xludf.DUMMYFUNCTION("""COMPUTED_VALUE"""),1)</f>
        <v>1</v>
      </c>
      <c r="G761" s="5">
        <f ca="1">IFERROR(__xludf.DUMMYFUNCTION("""COMPUTED_VALUE"""),0)</f>
        <v>0</v>
      </c>
      <c r="H761"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I761" s="5">
        <f ca="1">IFERROR(__xludf.DUMMYFUNCTION("""COMPUTED_VALUE"""),999)</f>
        <v>999</v>
      </c>
      <c r="J761" s="5" t="str">
        <f ca="1">IFERROR(__xludf.DUMMYFUNCTION("""COMPUTED_VALUE"""),"National")</f>
        <v>National</v>
      </c>
      <c r="K761" s="5">
        <f ca="1">IFERROR(__xludf.DUMMYFUNCTION("""COMPUTED_VALUE"""),5)</f>
        <v>5</v>
      </c>
      <c r="L761" s="5" t="str">
        <f ca="1">IFERROR(__xludf.DUMMYFUNCTION("""COMPUTED_VALUE"""),"Spring")</f>
        <v>Spring</v>
      </c>
      <c r="M761" s="5" t="str">
        <f ca="1">IFERROR(__xludf.DUMMYFUNCTION("""COMPUTED_VALUE"""),"Ocala")</f>
        <v>Ocala</v>
      </c>
      <c r="N761" s="5" t="str">
        <f ca="1">IFERROR(__xludf.DUMMYFUNCTION("""COMPUTED_VALUE"""),"FL")</f>
        <v>FL</v>
      </c>
      <c r="O761" s="5" t="str">
        <f ca="1">IFERROR(__xludf.DUMMYFUNCTION("""COMPUTED_VALUE"""),"High")</f>
        <v>High</v>
      </c>
      <c r="P761" s="5" t="str">
        <f ca="1">IFERROR(__xludf.DUMMYFUNCTION("""COMPUTED_VALUE"""),"Classroom")</f>
        <v>Classroom</v>
      </c>
      <c r="Q761" s="5" t="str">
        <f ca="1">IFERROR(__xludf.DUMMYFUNCTION("""COMPUTED_VALUE"""),"Inside School Building")</f>
        <v>Inside School Building</v>
      </c>
      <c r="R761" s="5" t="str">
        <f ca="1">IFERROR(__xludf.DUMMYFUNCTION("""COMPUTED_VALUE"""),"Yes")</f>
        <v>Yes</v>
      </c>
      <c r="S761" s="5" t="str">
        <f ca="1">IFERROR(__xludf.DUMMYFUNCTION("""COMPUTED_VALUE"""),"Morning Classes")</f>
        <v>Morning Classes</v>
      </c>
      <c r="T761" s="10">
        <f ca="1">IFERROR(__xludf.DUMMYFUNCTION("""COMPUTED_VALUE"""),0.360416666666666)</f>
        <v>0.360416666666666</v>
      </c>
      <c r="U761" s="5">
        <f ca="1">IFERROR(__xludf.DUMMYFUNCTION("""COMPUTED_VALUE"""),1)</f>
        <v>1</v>
      </c>
      <c r="V761" s="5" t="str">
        <f ca="1">IFERROR(__xludf.DUMMYFUNCTION("""COMPUTED_VALUE"""),"Planned attack on school by heavily armed shooter")</f>
        <v>Planned attack on school by heavily armed shooter</v>
      </c>
      <c r="W761" s="5" t="str">
        <f ca="1">IFERROR(__xludf.DUMMYFUNCTION("""COMPUTED_VALUE"""),"Shooter walked into Forest High School carrying a guitar case, according to the Marion County Sheriff's Office. Inside of the case was a sawed-off shotgun.Shooter fired the shotgun through a door, injuring a student, according to the sheriff's office. Aft"&amp;"er injuring the student, he stopped shooting and was taken into custody.")</f>
        <v>Shooter walked into Forest High School carrying a guitar case, according to the Marion County Sheriff's Office. Inside of the case was a sawed-off shotgun.Shooter fired the shotgun through a door, injuring a student, according to the sheriff's office. After injuring the student, he stopped shooting and was taken into custody.</v>
      </c>
      <c r="X761" s="5" t="str">
        <f ca="1">IFERROR(__xludf.DUMMYFUNCTION("""COMPUTED_VALUE"""),"Indiscriminate Shooting")</f>
        <v>Indiscriminate Shooting</v>
      </c>
      <c r="Y761" s="5" t="str">
        <f ca="1">IFERROR(__xludf.DUMMYFUNCTION("""COMPUTED_VALUE"""),"Random Shooting")</f>
        <v>Random Shooting</v>
      </c>
      <c r="Z761" s="5" t="str">
        <f ca="1">IFERROR(__xludf.DUMMYFUNCTION("""COMPUTED_VALUE"""),"No")</f>
        <v>No</v>
      </c>
      <c r="AA761" s="5"/>
      <c r="AB761" s="5" t="str">
        <f ca="1">IFERROR(__xludf.DUMMYFUNCTION("""COMPUTED_VALUE"""),"No")</f>
        <v>No</v>
      </c>
      <c r="AC761" s="5" t="str">
        <f ca="1">IFERROR(__xludf.DUMMYFUNCTION("""COMPUTED_VALUE"""),"No")</f>
        <v>No</v>
      </c>
      <c r="AD761" s="5" t="str">
        <f ca="1">IFERROR(__xludf.DUMMYFUNCTION("""COMPUTED_VALUE"""),"No")</f>
        <v>No</v>
      </c>
      <c r="AE761" s="5" t="str">
        <f ca="1">IFERROR(__xludf.DUMMYFUNCTION("""COMPUTED_VALUE"""),"No")</f>
        <v>No</v>
      </c>
      <c r="AF761" s="5" t="str">
        <f ca="1">IFERROR(__xludf.DUMMYFUNCTION("""COMPUTED_VALUE"""),"No")</f>
        <v>No</v>
      </c>
      <c r="AG761" s="5" t="str">
        <f ca="1">IFERROR(__xludf.DUMMYFUNCTION("""COMPUTED_VALUE"""),"No")</f>
        <v>No</v>
      </c>
      <c r="AH761" s="5" t="str">
        <f ca="1">IFERROR(__xludf.DUMMYFUNCTION("""COMPUTED_VALUE"""),"Yes")</f>
        <v>Yes</v>
      </c>
    </row>
    <row r="762" spans="1:34" ht="12.75">
      <c r="A762" s="5" t="str">
        <f ca="1">IFERROR(__xludf.DUMMYFUNCTION("""COMPUTED_VALUE"""),"20180419MIJAJ")</f>
        <v>20180419MIJAJ</v>
      </c>
      <c r="B762" s="8">
        <f ca="1">IFERROR(__xludf.DUMMYFUNCTION("""COMPUTED_VALUE"""),43209)</f>
        <v>43209</v>
      </c>
      <c r="C762" s="5" t="str">
        <f ca="1">IFERROR(__xludf.DUMMYFUNCTION("""COMPUTED_VALUE"""),"Jackson High School")</f>
        <v>Jackson High School</v>
      </c>
      <c r="D762" s="5">
        <f ca="1">IFERROR(__xludf.DUMMYFUNCTION("""COMPUTED_VALUE"""),0)</f>
        <v>0</v>
      </c>
      <c r="E762" s="5">
        <f ca="1">IFERROR(__xludf.DUMMYFUNCTION("""COMPUTED_VALUE"""),0)</f>
        <v>0</v>
      </c>
      <c r="F762" s="5">
        <f ca="1">IFERROR(__xludf.DUMMYFUNCTION("""COMPUTED_VALUE"""),0)</f>
        <v>0</v>
      </c>
      <c r="G762" s="5">
        <f ca="1">IFERROR(__xludf.DUMMYFUNCTION("""COMPUTED_VALUE"""),0)</f>
        <v>0</v>
      </c>
      <c r="H762" s="9" t="str">
        <f ca="1">IFERROR(__xludf.DUMMYFUNCTION("""COMPUTED_VALUE"""),"https://www.mlive.com/news/jackson/index.ssf/2018/04/no_arrests_made_yet_after_jack.html")</f>
        <v>https://www.mlive.com/news/jackson/index.ssf/2018/04/no_arrests_made_yet_after_jack.html</v>
      </c>
      <c r="I762" s="5"/>
      <c r="J762" s="5"/>
      <c r="K762" s="5">
        <f ca="1">IFERROR(__xludf.DUMMYFUNCTION("""COMPUTED_VALUE"""),2)</f>
        <v>2</v>
      </c>
      <c r="L762" s="5" t="str">
        <f ca="1">IFERROR(__xludf.DUMMYFUNCTION("""COMPUTED_VALUE"""),"Spring")</f>
        <v>Spring</v>
      </c>
      <c r="M762" s="5" t="str">
        <f ca="1">IFERROR(__xludf.DUMMYFUNCTION("""COMPUTED_VALUE"""),"Jackson")</f>
        <v>Jackson</v>
      </c>
      <c r="N762" s="5" t="str">
        <f ca="1">IFERROR(__xludf.DUMMYFUNCTION("""COMPUTED_VALUE"""),"MI")</f>
        <v>MI</v>
      </c>
      <c r="O762" s="5" t="str">
        <f ca="1">IFERROR(__xludf.DUMMYFUNCTION("""COMPUTED_VALUE"""),"High")</f>
        <v>High</v>
      </c>
      <c r="P762" s="5" t="str">
        <f ca="1">IFERROR(__xludf.DUMMYFUNCTION("""COMPUTED_VALUE"""),"Off School Property")</f>
        <v>Off School Property</v>
      </c>
      <c r="Q762" s="5" t="str">
        <f ca="1">IFERROR(__xludf.DUMMYFUNCTION("""COMPUTED_VALUE"""),"Off School Property")</f>
        <v>Off School Property</v>
      </c>
      <c r="R762" s="5" t="str">
        <f ca="1">IFERROR(__xludf.DUMMYFUNCTION("""COMPUTED_VALUE"""),"Yes")</f>
        <v>Yes</v>
      </c>
      <c r="S762" s="5" t="str">
        <f ca="1">IFERROR(__xludf.DUMMYFUNCTION("""COMPUTED_VALUE"""),"Afternoon Classes")</f>
        <v>Afternoon Classes</v>
      </c>
      <c r="T762" s="10">
        <f ca="1">IFERROR(__xludf.DUMMYFUNCTION("""COMPUTED_VALUE"""),0.572222222222222)</f>
        <v>0.57222222222222197</v>
      </c>
      <c r="U762" s="5">
        <f ca="1">IFERROR(__xludf.DUMMYFUNCTION("""COMPUTED_VALUE"""),1)</f>
        <v>1</v>
      </c>
      <c r="V762" s="5" t="str">
        <f ca="1">IFERROR(__xludf.DUMMYFUNCTION("""COMPUTED_VALUE"""),"Two shots struck windows of occupied classroom")</f>
        <v>Two shots struck windows of occupied classroom</v>
      </c>
      <c r="W762"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X762" s="5" t="str">
        <f ca="1">IFERROR(__xludf.DUMMYFUNCTION("""COMPUTED_VALUE"""),"Unknown")</f>
        <v>Unknown</v>
      </c>
      <c r="Y762" s="5" t="str">
        <f ca="1">IFERROR(__xludf.DUMMYFUNCTION("""COMPUTED_VALUE"""),"Neither")</f>
        <v>Neither</v>
      </c>
      <c r="Z762" s="5" t="str">
        <f ca="1">IFERROR(__xludf.DUMMYFUNCTION("""COMPUTED_VALUE"""),"Unknown")</f>
        <v>Unknown</v>
      </c>
      <c r="AA762" s="5"/>
      <c r="AB762" s="5" t="str">
        <f ca="1">IFERROR(__xludf.DUMMYFUNCTION("""COMPUTED_VALUE"""),"No")</f>
        <v>No</v>
      </c>
      <c r="AC762" s="5" t="str">
        <f ca="1">IFERROR(__xludf.DUMMYFUNCTION("""COMPUTED_VALUE"""),"No")</f>
        <v>No</v>
      </c>
      <c r="AD762" s="5" t="str">
        <f ca="1">IFERROR(__xludf.DUMMYFUNCTION("""COMPUTED_VALUE"""),"No")</f>
        <v>No</v>
      </c>
      <c r="AE762" s="5" t="str">
        <f ca="1">IFERROR(__xludf.DUMMYFUNCTION("""COMPUTED_VALUE"""),"No")</f>
        <v>No</v>
      </c>
      <c r="AF762" s="5" t="str">
        <f ca="1">IFERROR(__xludf.DUMMYFUNCTION("""COMPUTED_VALUE"""),"No")</f>
        <v>No</v>
      </c>
      <c r="AG762" s="5"/>
      <c r="AH762" s="5" t="str">
        <f ca="1">IFERROR(__xludf.DUMMYFUNCTION("""COMPUTED_VALUE"""),"No")</f>
        <v>No</v>
      </c>
    </row>
    <row r="763" spans="1:34" ht="12.75">
      <c r="A763" s="5" t="str">
        <f ca="1">IFERROR(__xludf.DUMMYFUNCTION("""COMPUTED_VALUE"""),"20180412MORAR")</f>
        <v>20180412MORAR</v>
      </c>
      <c r="B763" s="8">
        <f ca="1">IFERROR(__xludf.DUMMYFUNCTION("""COMPUTED_VALUE"""),43202)</f>
        <v>43202</v>
      </c>
      <c r="C763" s="5" t="str">
        <f ca="1">IFERROR(__xludf.DUMMYFUNCTION("""COMPUTED_VALUE"""),"Rayton South Middle School")</f>
        <v>Rayton South Middle School</v>
      </c>
      <c r="D763" s="5">
        <f ca="1">IFERROR(__xludf.DUMMYFUNCTION("""COMPUTED_VALUE"""),0)</f>
        <v>0</v>
      </c>
      <c r="E763" s="5">
        <f ca="1">IFERROR(__xludf.DUMMYFUNCTION("""COMPUTED_VALUE"""),1)</f>
        <v>1</v>
      </c>
      <c r="F763" s="5">
        <f ca="1">IFERROR(__xludf.DUMMYFUNCTION("""COMPUTED_VALUE"""),1)</f>
        <v>1</v>
      </c>
      <c r="G763" s="5">
        <f ca="1">IFERROR(__xludf.DUMMYFUNCTION("""COMPUTED_VALUE"""),0)</f>
        <v>0</v>
      </c>
      <c r="H763" s="9" t="str">
        <f ca="1">IFERROR(__xludf.DUMMYFUNCTION("""COMPUTED_VALUE"""),"http://www.kansascity.com/news/local/crime/article208770464.html")</f>
        <v>http://www.kansascity.com/news/local/crime/article208770464.html</v>
      </c>
      <c r="I763" s="5"/>
      <c r="J763" s="5"/>
      <c r="K763" s="5">
        <f ca="1">IFERROR(__xludf.DUMMYFUNCTION("""COMPUTED_VALUE"""),2)</f>
        <v>2</v>
      </c>
      <c r="L763" s="5" t="str">
        <f ca="1">IFERROR(__xludf.DUMMYFUNCTION("""COMPUTED_VALUE"""),"Spring")</f>
        <v>Spring</v>
      </c>
      <c r="M763" s="5" t="str">
        <f ca="1">IFERROR(__xludf.DUMMYFUNCTION("""COMPUTED_VALUE"""),"Rayton")</f>
        <v>Rayton</v>
      </c>
      <c r="N763" s="5" t="str">
        <f ca="1">IFERROR(__xludf.DUMMYFUNCTION("""COMPUTED_VALUE"""),"MO")</f>
        <v>MO</v>
      </c>
      <c r="O763" s="5" t="str">
        <f ca="1">IFERROR(__xludf.DUMMYFUNCTION("""COMPUTED_VALUE"""),"Middle")</f>
        <v>Middle</v>
      </c>
      <c r="P763" s="5" t="str">
        <f ca="1">IFERROR(__xludf.DUMMYFUNCTION("""COMPUTED_VALUE"""),"Parking Lot")</f>
        <v>Parking Lot</v>
      </c>
      <c r="Q763" s="5" t="str">
        <f ca="1">IFERROR(__xludf.DUMMYFUNCTION("""COMPUTED_VALUE"""),"Outside on School Property")</f>
        <v>Outside on School Property</v>
      </c>
      <c r="R763" s="5" t="str">
        <f ca="1">IFERROR(__xludf.DUMMYFUNCTION("""COMPUTED_VALUE"""),"No")</f>
        <v>No</v>
      </c>
      <c r="S763" s="5" t="str">
        <f ca="1">IFERROR(__xludf.DUMMYFUNCTION("""COMPUTED_VALUE"""),"Sport Event")</f>
        <v>Sport Event</v>
      </c>
      <c r="T763" s="10">
        <f ca="1">IFERROR(__xludf.DUMMYFUNCTION("""COMPUTED_VALUE"""),0.729166666666666)</f>
        <v>0.72916666666666596</v>
      </c>
      <c r="U763" s="5">
        <f ca="1">IFERROR(__xludf.DUMMYFUNCTION("""COMPUTED_VALUE"""),1)</f>
        <v>1</v>
      </c>
      <c r="V763" s="5" t="str">
        <f ca="1">IFERROR(__xludf.DUMMYFUNCTION("""COMPUTED_VALUE"""),"Parent shot in parking lot")</f>
        <v>Parent shot in parking lot</v>
      </c>
      <c r="W763"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X763" s="5" t="str">
        <f ca="1">IFERROR(__xludf.DUMMYFUNCTION("""COMPUTED_VALUE"""),"Escalation of Dispute")</f>
        <v>Escalation of Dispute</v>
      </c>
      <c r="Y763" s="5" t="str">
        <f ca="1">IFERROR(__xludf.DUMMYFUNCTION("""COMPUTED_VALUE"""),"Victims Targeted")</f>
        <v>Victims Targeted</v>
      </c>
      <c r="Z763" s="5"/>
      <c r="AA763" s="5"/>
      <c r="AB763" s="5" t="str">
        <f ca="1">IFERROR(__xludf.DUMMYFUNCTION("""COMPUTED_VALUE"""),"No")</f>
        <v>No</v>
      </c>
      <c r="AC763" s="5" t="str">
        <f ca="1">IFERROR(__xludf.DUMMYFUNCTION("""COMPUTED_VALUE"""),"No")</f>
        <v>No</v>
      </c>
      <c r="AD763" s="5" t="str">
        <f ca="1">IFERROR(__xludf.DUMMYFUNCTION("""COMPUTED_VALUE"""),"No")</f>
        <v>No</v>
      </c>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row>
    <row r="764" spans="1:34" ht="12.75">
      <c r="A764" s="5" t="str">
        <f ca="1">IFERROR(__xludf.DUMMYFUNCTION("""COMPUTED_VALUE"""),"20180409NYGLG")</f>
        <v>20180409NYGLG</v>
      </c>
      <c r="B764" s="8">
        <f ca="1">IFERROR(__xludf.DUMMYFUNCTION("""COMPUTED_VALUE"""),43199)</f>
        <v>43199</v>
      </c>
      <c r="C764" s="5" t="str">
        <f ca="1">IFERROR(__xludf.DUMMYFUNCTION("""COMPUTED_VALUE"""),"Gloversville Middle School")</f>
        <v>Gloversville Middle School</v>
      </c>
      <c r="D764" s="5">
        <f ca="1">IFERROR(__xludf.DUMMYFUNCTION("""COMPUTED_VALUE"""),0)</f>
        <v>0</v>
      </c>
      <c r="E764" s="5">
        <f ca="1">IFERROR(__xludf.DUMMYFUNCTION("""COMPUTED_VALUE"""),1)</f>
        <v>1</v>
      </c>
      <c r="F764" s="5">
        <f ca="1">IFERROR(__xludf.DUMMYFUNCTION("""COMPUTED_VALUE"""),1)</f>
        <v>1</v>
      </c>
      <c r="G764" s="5">
        <f ca="1">IFERROR(__xludf.DUMMYFUNCTION("""COMPUTED_VALUE"""),0)</f>
        <v>0</v>
      </c>
      <c r="H764" s="9" t="str">
        <f ca="1">IFERROR(__xludf.DUMMYFUNCTION("""COMPUTED_VALUE"""),"http://www.leaderherald.com/news/local-news/2018/04/student-shot-with-bb-gun-at-school/")</f>
        <v>http://www.leaderherald.com/news/local-news/2018/04/student-shot-with-bb-gun-at-school/</v>
      </c>
      <c r="I764" s="5"/>
      <c r="J764" s="5" t="str">
        <f ca="1">IFERROR(__xludf.DUMMYFUNCTION("""COMPUTED_VALUE"""),"Local")</f>
        <v>Local</v>
      </c>
      <c r="K764" s="5">
        <f ca="1">IFERROR(__xludf.DUMMYFUNCTION("""COMPUTED_VALUE"""),2)</f>
        <v>2</v>
      </c>
      <c r="L764" s="5" t="str">
        <f ca="1">IFERROR(__xludf.DUMMYFUNCTION("""COMPUTED_VALUE"""),"Spring")</f>
        <v>Spring</v>
      </c>
      <c r="M764" s="5" t="str">
        <f ca="1">IFERROR(__xludf.DUMMYFUNCTION("""COMPUTED_VALUE"""),"Gloversville")</f>
        <v>Gloversville</v>
      </c>
      <c r="N764" s="5" t="str">
        <f ca="1">IFERROR(__xludf.DUMMYFUNCTION("""COMPUTED_VALUE"""),"NY")</f>
        <v>NY</v>
      </c>
      <c r="O764" s="5" t="str">
        <f ca="1">IFERROR(__xludf.DUMMYFUNCTION("""COMPUTED_VALUE"""),"Middle")</f>
        <v>Middle</v>
      </c>
      <c r="P764" s="5" t="str">
        <f ca="1">IFERROR(__xludf.DUMMYFUNCTION("""COMPUTED_VALUE"""),"Hallway")</f>
        <v>Hallway</v>
      </c>
      <c r="Q764" s="5" t="str">
        <f ca="1">IFERROR(__xludf.DUMMYFUNCTION("""COMPUTED_VALUE"""),"Inside School Building")</f>
        <v>Inside School Building</v>
      </c>
      <c r="R764" s="5" t="str">
        <f ca="1">IFERROR(__xludf.DUMMYFUNCTION("""COMPUTED_VALUE"""),"Yes")</f>
        <v>Yes</v>
      </c>
      <c r="S764" s="5" t="str">
        <f ca="1">IFERROR(__xludf.DUMMYFUNCTION("""COMPUTED_VALUE"""),"Morning Classes")</f>
        <v>Morning Classes</v>
      </c>
      <c r="T764" s="10">
        <f ca="1">IFERROR(__xludf.DUMMYFUNCTION("""COMPUTED_VALUE"""),0.458333333333333)</f>
        <v>0.45833333333333298</v>
      </c>
      <c r="U764" s="5"/>
      <c r="V764" s="5" t="str">
        <f ca="1">IFERROR(__xludf.DUMMYFUNCTION("""COMPUTED_VALUE"""),"Shooter chased victim around school with BB gun")</f>
        <v>Shooter chased victim around school with BB gun</v>
      </c>
      <c r="W764"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X764" s="5" t="str">
        <f ca="1">IFERROR(__xludf.DUMMYFUNCTION("""COMPUTED_VALUE"""),"Escalation of Dispute")</f>
        <v>Escalation of Dispute</v>
      </c>
      <c r="Y764" s="5" t="str">
        <f ca="1">IFERROR(__xludf.DUMMYFUNCTION("""COMPUTED_VALUE"""),"Victims Targeted")</f>
        <v>Victims Targeted</v>
      </c>
      <c r="Z764" s="5"/>
      <c r="AA764" s="5"/>
      <c r="AB764" s="5" t="str">
        <f ca="1">IFERROR(__xludf.DUMMYFUNCTION("""COMPUTED_VALUE"""),"No")</f>
        <v>No</v>
      </c>
      <c r="AC764" s="5" t="str">
        <f ca="1">IFERROR(__xludf.DUMMYFUNCTION("""COMPUTED_VALUE"""),"No")</f>
        <v>No</v>
      </c>
      <c r="AD764" s="5" t="str">
        <f ca="1">IFERROR(__xludf.DUMMYFUNCTION("""COMPUTED_VALUE"""),"No")</f>
        <v>No</v>
      </c>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row>
    <row r="765" spans="1:34" ht="12.75">
      <c r="A765" s="5" t="str">
        <f ca="1">IFERROR(__xludf.DUMMYFUNCTION("""COMPUTED_VALUE"""),"20180329KYJOE")</f>
        <v>20180329KYJOE</v>
      </c>
      <c r="B765" s="8">
        <f ca="1">IFERROR(__xludf.DUMMYFUNCTION("""COMPUTED_VALUE"""),43188)</f>
        <v>43188</v>
      </c>
      <c r="C765" s="5" t="str">
        <f ca="1">IFERROR(__xludf.DUMMYFUNCTION("""COMPUTED_VALUE"""),"John Hardin High School")</f>
        <v>John Hardin High School</v>
      </c>
      <c r="D765" s="5">
        <f ca="1">IFERROR(__xludf.DUMMYFUNCTION("""COMPUTED_VALUE"""),0)</f>
        <v>0</v>
      </c>
      <c r="E765" s="5">
        <f ca="1">IFERROR(__xludf.DUMMYFUNCTION("""COMPUTED_VALUE"""),0)</f>
        <v>0</v>
      </c>
      <c r="F765" s="5">
        <f ca="1">IFERROR(__xludf.DUMMYFUNCTION("""COMPUTED_VALUE"""),0)</f>
        <v>0</v>
      </c>
      <c r="G765" s="5">
        <f ca="1">IFERROR(__xludf.DUMMYFUNCTION("""COMPUTED_VALUE"""),1)</f>
        <v>1</v>
      </c>
      <c r="H765" s="9" t="str">
        <f ca="1">IFERROR(__xludf.DUMMYFUNCTION("""COMPUTED_VALUE"""),"https://www.cbsnews.com/news/kentucky-police-suspect-in-wifes-death-shot-behind-school/")</f>
        <v>https://www.cbsnews.com/news/kentucky-police-suspect-in-wifes-death-shot-behind-school/</v>
      </c>
      <c r="I765" s="5"/>
      <c r="J765" s="5"/>
      <c r="K765" s="5">
        <f ca="1">IFERROR(__xludf.DUMMYFUNCTION("""COMPUTED_VALUE"""),4)</f>
        <v>4</v>
      </c>
      <c r="L765" s="5" t="str">
        <f ca="1">IFERROR(__xludf.DUMMYFUNCTION("""COMPUTED_VALUE"""),"Spring")</f>
        <v>Spring</v>
      </c>
      <c r="M765" s="5" t="str">
        <f ca="1">IFERROR(__xludf.DUMMYFUNCTION("""COMPUTED_VALUE"""),"Elizabethtown")</f>
        <v>Elizabethtown</v>
      </c>
      <c r="N765" s="5" t="str">
        <f ca="1">IFERROR(__xludf.DUMMYFUNCTION("""COMPUTED_VALUE"""),"KY")</f>
        <v>KY</v>
      </c>
      <c r="O765" s="5" t="str">
        <f ca="1">IFERROR(__xludf.DUMMYFUNCTION("""COMPUTED_VALUE"""),"High")</f>
        <v>High</v>
      </c>
      <c r="P765" s="5" t="str">
        <f ca="1">IFERROR(__xludf.DUMMYFUNCTION("""COMPUTED_VALUE"""),"Beside Building")</f>
        <v>Beside Building</v>
      </c>
      <c r="Q765" s="5" t="str">
        <f ca="1">IFERROR(__xludf.DUMMYFUNCTION("""COMPUTED_VALUE"""),"Outside on School Property")</f>
        <v>Outside on School Property</v>
      </c>
      <c r="R765" s="5" t="str">
        <f ca="1">IFERROR(__xludf.DUMMYFUNCTION("""COMPUTED_VALUE"""),"Yes")</f>
        <v>Yes</v>
      </c>
      <c r="S765" s="5" t="str">
        <f ca="1">IFERROR(__xludf.DUMMYFUNCTION("""COMPUTED_VALUE"""),"Afternoon Classes")</f>
        <v>Afternoon Classes</v>
      </c>
      <c r="T765" s="10">
        <f ca="1">IFERROR(__xludf.DUMMYFUNCTION("""COMPUTED_VALUE"""),0.541666666666666)</f>
        <v>0.54166666666666596</v>
      </c>
      <c r="U765" s="5">
        <f ca="1">IFERROR(__xludf.DUMMYFUNCTION("""COMPUTED_VALUE"""),1)</f>
        <v>1</v>
      </c>
      <c r="V765"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W765"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X765" s="5" t="str">
        <f ca="1">IFERROR(__xludf.DUMMYFUNCTION("""COMPUTED_VALUE"""),"Domestic w/ Targeted Victim")</f>
        <v>Domestic w/ Targeted Victim</v>
      </c>
      <c r="Y765" s="5"/>
      <c r="Z765" s="5" t="str">
        <f ca="1">IFERROR(__xludf.DUMMYFUNCTION("""COMPUTED_VALUE"""),"No")</f>
        <v>No</v>
      </c>
      <c r="AA765" s="5"/>
      <c r="AB765" s="5" t="str">
        <f ca="1">IFERROR(__xludf.DUMMYFUNCTION("""COMPUTED_VALUE"""),"No")</f>
        <v>No</v>
      </c>
      <c r="AC765" s="5" t="str">
        <f ca="1">IFERROR(__xludf.DUMMYFUNCTION("""COMPUTED_VALUE"""),"No")</f>
        <v>No</v>
      </c>
      <c r="AD765" s="5" t="str">
        <f ca="1">IFERROR(__xludf.DUMMYFUNCTION("""COMPUTED_VALUE"""),"No")</f>
        <v>No</v>
      </c>
      <c r="AE765" s="5" t="str">
        <f ca="1">IFERROR(__xludf.DUMMYFUNCTION("""COMPUTED_VALUE"""),"No")</f>
        <v>No</v>
      </c>
      <c r="AF765" s="5" t="str">
        <f ca="1">IFERROR(__xludf.DUMMYFUNCTION("""COMPUTED_VALUE"""),"Yes")</f>
        <v>Yes</v>
      </c>
      <c r="AG765" s="5" t="str">
        <f ca="1">IFERROR(__xludf.DUMMYFUNCTION("""COMPUTED_VALUE"""),"No")</f>
        <v>No</v>
      </c>
      <c r="AH765" s="5" t="str">
        <f ca="1">IFERROR(__xludf.DUMMYFUNCTION("""COMPUTED_VALUE"""),"No")</f>
        <v>No</v>
      </c>
    </row>
    <row r="766" spans="1:34" ht="12.75">
      <c r="A766" s="5" t="str">
        <f ca="1">IFERROR(__xludf.DUMMYFUNCTION("""COMPUTED_VALUE"""),"20180328MSEUE")</f>
        <v>20180328MSEUE</v>
      </c>
      <c r="B766" s="8">
        <f ca="1">IFERROR(__xludf.DUMMYFUNCTION("""COMPUTED_VALUE"""),43187)</f>
        <v>43187</v>
      </c>
      <c r="C766" s="5" t="str">
        <f ca="1">IFERROR(__xludf.DUMMYFUNCTION("""COMPUTED_VALUE"""),"Eupora High School")</f>
        <v>Eupora High School</v>
      </c>
      <c r="D766" s="5">
        <f ca="1">IFERROR(__xludf.DUMMYFUNCTION("""COMPUTED_VALUE"""),0)</f>
        <v>0</v>
      </c>
      <c r="E766" s="5">
        <f ca="1">IFERROR(__xludf.DUMMYFUNCTION("""COMPUTED_VALUE"""),0)</f>
        <v>0</v>
      </c>
      <c r="F766" s="5">
        <f ca="1">IFERROR(__xludf.DUMMYFUNCTION("""COMPUTED_VALUE"""),0)</f>
        <v>0</v>
      </c>
      <c r="G766" s="5">
        <f ca="1">IFERROR(__xludf.DUMMYFUNCTION("""COMPUTED_VALUE"""),0)</f>
        <v>0</v>
      </c>
      <c r="H766"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I766" s="5">
        <f ca="1">IFERROR(__xludf.DUMMYFUNCTION("""COMPUTED_VALUE"""),2)</f>
        <v>2</v>
      </c>
      <c r="J766" s="5" t="str">
        <f ca="1">IFERROR(__xludf.DUMMYFUNCTION("""COMPUTED_VALUE"""),"Local")</f>
        <v>Local</v>
      </c>
      <c r="K766" s="5">
        <f ca="1">IFERROR(__xludf.DUMMYFUNCTION("""COMPUTED_VALUE"""),2)</f>
        <v>2</v>
      </c>
      <c r="L766" s="5" t="str">
        <f ca="1">IFERROR(__xludf.DUMMYFUNCTION("""COMPUTED_VALUE"""),"Spring")</f>
        <v>Spring</v>
      </c>
      <c r="M766" s="5" t="str">
        <f ca="1">IFERROR(__xludf.DUMMYFUNCTION("""COMPUTED_VALUE"""),"Eupora")</f>
        <v>Eupora</v>
      </c>
      <c r="N766" s="5" t="str">
        <f ca="1">IFERROR(__xludf.DUMMYFUNCTION("""COMPUTED_VALUE"""),"MS")</f>
        <v>MS</v>
      </c>
      <c r="O766" s="5" t="str">
        <f ca="1">IFERROR(__xludf.DUMMYFUNCTION("""COMPUTED_VALUE"""),"High")</f>
        <v>High</v>
      </c>
      <c r="P766" s="5" t="str">
        <f ca="1">IFERROR(__xludf.DUMMYFUNCTION("""COMPUTED_VALUE"""),"Field (General)")</f>
        <v>Field (General)</v>
      </c>
      <c r="Q766" s="5" t="str">
        <f ca="1">IFERROR(__xludf.DUMMYFUNCTION("""COMPUTED_VALUE"""),"Outside on School Property")</f>
        <v>Outside on School Property</v>
      </c>
      <c r="R766" s="5" t="str">
        <f ca="1">IFERROR(__xludf.DUMMYFUNCTION("""COMPUTED_VALUE"""),"No")</f>
        <v>No</v>
      </c>
      <c r="S766" s="5" t="str">
        <f ca="1">IFERROR(__xludf.DUMMYFUNCTION("""COMPUTED_VALUE"""),"After School")</f>
        <v>After School</v>
      </c>
      <c r="T766" s="10">
        <f ca="1">IFERROR(__xludf.DUMMYFUNCTION("""COMPUTED_VALUE"""),0.604166666666666)</f>
        <v>0.60416666666666596</v>
      </c>
      <c r="U766" s="5"/>
      <c r="V766" s="5" t="str">
        <f ca="1">IFERROR(__xludf.DUMMYFUNCTION("""COMPUTED_VALUE"""),"Fired shots from dirt bike at high school building")</f>
        <v>Fired shots from dirt bike at high school building</v>
      </c>
      <c r="W766"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X766" s="5" t="str">
        <f ca="1">IFERROR(__xludf.DUMMYFUNCTION("""COMPUTED_VALUE"""),"Illegal Activity")</f>
        <v>Illegal Activity</v>
      </c>
      <c r="Y766" s="5" t="str">
        <f ca="1">IFERROR(__xludf.DUMMYFUNCTION("""COMPUTED_VALUE"""),"Neither")</f>
        <v>Neither</v>
      </c>
      <c r="Z766" s="5"/>
      <c r="AA766" s="5"/>
      <c r="AB766" s="5" t="str">
        <f ca="1">IFERROR(__xludf.DUMMYFUNCTION("""COMPUTED_VALUE"""),"No")</f>
        <v>No</v>
      </c>
      <c r="AC766" s="5" t="str">
        <f ca="1">IFERROR(__xludf.DUMMYFUNCTION("""COMPUTED_VALUE"""),"No")</f>
        <v>No</v>
      </c>
      <c r="AD766" s="5" t="str">
        <f ca="1">IFERROR(__xludf.DUMMYFUNCTION("""COMPUTED_VALUE"""),"No")</f>
        <v>No</v>
      </c>
      <c r="AE766" s="5"/>
      <c r="AF766" s="5" t="str">
        <f ca="1">IFERROR(__xludf.DUMMYFUNCTION("""COMPUTED_VALUE"""),"No")</f>
        <v>No</v>
      </c>
      <c r="AG766" s="5" t="str">
        <f ca="1">IFERROR(__xludf.DUMMYFUNCTION("""COMPUTED_VALUE"""),"No")</f>
        <v>No</v>
      </c>
      <c r="AH766" s="5" t="str">
        <f ca="1">IFERROR(__xludf.DUMMYFUNCTION("""COMPUTED_VALUE"""),"No")</f>
        <v>No</v>
      </c>
    </row>
    <row r="767" spans="1:34" ht="12.75">
      <c r="A767" s="5" t="str">
        <f ca="1">IFERROR(__xludf.DUMMYFUNCTION("""COMPUTED_VALUE"""),"20180320MDGRG")</f>
        <v>20180320MDGRG</v>
      </c>
      <c r="B767" s="8">
        <f ca="1">IFERROR(__xludf.DUMMYFUNCTION("""COMPUTED_VALUE"""),43179)</f>
        <v>43179</v>
      </c>
      <c r="C767" s="5" t="str">
        <f ca="1">IFERROR(__xludf.DUMMYFUNCTION("""COMPUTED_VALUE"""),"Great Mills High School")</f>
        <v>Great Mills High School</v>
      </c>
      <c r="D767" s="5">
        <f ca="1">IFERROR(__xludf.DUMMYFUNCTION("""COMPUTED_VALUE"""),1)</f>
        <v>1</v>
      </c>
      <c r="E767" s="5">
        <f ca="1">IFERROR(__xludf.DUMMYFUNCTION("""COMPUTED_VALUE"""),1)</f>
        <v>1</v>
      </c>
      <c r="F767" s="5">
        <f ca="1">IFERROR(__xludf.DUMMYFUNCTION("""COMPUTED_VALUE"""),2)</f>
        <v>2</v>
      </c>
      <c r="G767" s="5">
        <f ca="1">IFERROR(__xludf.DUMMYFUNCTION("""COMPUTED_VALUE"""),1)</f>
        <v>1</v>
      </c>
      <c r="H767"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I767" s="5">
        <f ca="1">IFERROR(__xludf.DUMMYFUNCTION("""COMPUTED_VALUE"""),100)</f>
        <v>100</v>
      </c>
      <c r="J767" s="5" t="str">
        <f ca="1">IFERROR(__xludf.DUMMYFUNCTION("""COMPUTED_VALUE"""),"National")</f>
        <v>National</v>
      </c>
      <c r="K767" s="5">
        <f ca="1">IFERROR(__xludf.DUMMYFUNCTION("""COMPUTED_VALUE"""),4)</f>
        <v>4</v>
      </c>
      <c r="L767" s="5" t="str">
        <f ca="1">IFERROR(__xludf.DUMMYFUNCTION("""COMPUTED_VALUE"""),"Spring")</f>
        <v>Spring</v>
      </c>
      <c r="M767" s="5" t="str">
        <f ca="1">IFERROR(__xludf.DUMMYFUNCTION("""COMPUTED_VALUE"""),"Great Mills")</f>
        <v>Great Mills</v>
      </c>
      <c r="N767" s="5" t="str">
        <f ca="1">IFERROR(__xludf.DUMMYFUNCTION("""COMPUTED_VALUE"""),"MD")</f>
        <v>MD</v>
      </c>
      <c r="O767" s="5" t="str">
        <f ca="1">IFERROR(__xludf.DUMMYFUNCTION("""COMPUTED_VALUE"""),"High")</f>
        <v>High</v>
      </c>
      <c r="P767" s="5" t="str">
        <f ca="1">IFERROR(__xludf.DUMMYFUNCTION("""COMPUTED_VALUE"""),"Hallway")</f>
        <v>Hallway</v>
      </c>
      <c r="Q767" s="5" t="str">
        <f ca="1">IFERROR(__xludf.DUMMYFUNCTION("""COMPUTED_VALUE"""),"Inside School Building")</f>
        <v>Inside School Building</v>
      </c>
      <c r="R767" s="5" t="str">
        <f ca="1">IFERROR(__xludf.DUMMYFUNCTION("""COMPUTED_VALUE"""),"Yes")</f>
        <v>Yes</v>
      </c>
      <c r="S767" s="5" t="str">
        <f ca="1">IFERROR(__xludf.DUMMYFUNCTION("""COMPUTED_VALUE"""),"School Start")</f>
        <v>School Start</v>
      </c>
      <c r="T767" s="10">
        <f ca="1">IFERROR(__xludf.DUMMYFUNCTION("""COMPUTED_VALUE"""),0.329861111111111)</f>
        <v>0.32986111111111099</v>
      </c>
      <c r="U767" s="5">
        <f ca="1">IFERROR(__xludf.DUMMYFUNCTION("""COMPUTED_VALUE"""),1)</f>
        <v>1</v>
      </c>
      <c r="V767" s="5" t="str">
        <f ca="1">IFERROR(__xludf.DUMMYFUNCTION("""COMPUTED_VALUE"""),"Shot girlfriend then self in school hallway after recent break-up")</f>
        <v>Shot girlfriend then self in school hallway after recent break-up</v>
      </c>
      <c r="W767"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X767" s="5" t="str">
        <f ca="1">IFERROR(__xludf.DUMMYFUNCTION("""COMPUTED_VALUE"""),"Murder/Suicide")</f>
        <v>Murder/Suicide</v>
      </c>
      <c r="Y767" s="5" t="str">
        <f ca="1">IFERROR(__xludf.DUMMYFUNCTION("""COMPUTED_VALUE"""),"Both")</f>
        <v>Both</v>
      </c>
      <c r="Z767" s="5" t="str">
        <f ca="1">IFERROR(__xludf.DUMMYFUNCTION("""COMPUTED_VALUE"""),"No")</f>
        <v>No</v>
      </c>
      <c r="AA767" s="5"/>
      <c r="AB767" s="5" t="str">
        <f ca="1">IFERROR(__xludf.DUMMYFUNCTION("""COMPUTED_VALUE"""),"No")</f>
        <v>No</v>
      </c>
      <c r="AC767" s="5" t="str">
        <f ca="1">IFERROR(__xludf.DUMMYFUNCTION("""COMPUTED_VALUE"""),"No")</f>
        <v>No</v>
      </c>
      <c r="AD767" s="5" t="str">
        <f ca="1">IFERROR(__xludf.DUMMYFUNCTION("""COMPUTED_VALUE"""),"No")</f>
        <v>No</v>
      </c>
      <c r="AE767" s="5" t="str">
        <f ca="1">IFERROR(__xludf.DUMMYFUNCTION("""COMPUTED_VALUE"""),"No")</f>
        <v>No</v>
      </c>
      <c r="AF767" s="5" t="str">
        <f ca="1">IFERROR(__xludf.DUMMYFUNCTION("""COMPUTED_VALUE"""),"Yes")</f>
        <v>Yes</v>
      </c>
      <c r="AG767" s="5" t="str">
        <f ca="1">IFERROR(__xludf.DUMMYFUNCTION("""COMPUTED_VALUE"""),"No")</f>
        <v>No</v>
      </c>
      <c r="AH767" s="5" t="str">
        <f ca="1">IFERROR(__xludf.DUMMYFUNCTION("""COMPUTED_VALUE"""),"No")</f>
        <v>No</v>
      </c>
    </row>
    <row r="768" spans="1:34" ht="12.75">
      <c r="A768" s="5" t="str">
        <f ca="1">IFERROR(__xludf.DUMMYFUNCTION("""COMPUTED_VALUE"""),"20180319VADOP")</f>
        <v>20180319VADOP</v>
      </c>
      <c r="B768" s="8">
        <f ca="1">IFERROR(__xludf.DUMMYFUNCTION("""COMPUTED_VALUE"""),43178)</f>
        <v>43178</v>
      </c>
      <c r="C768" s="5" t="str">
        <f ca="1">IFERROR(__xludf.DUMMYFUNCTION("""COMPUTED_VALUE"""),"Douglass Park Elementary School")</f>
        <v>Douglass Park Elementary School</v>
      </c>
      <c r="D768" s="5">
        <f ca="1">IFERROR(__xludf.DUMMYFUNCTION("""COMPUTED_VALUE"""),0)</f>
        <v>0</v>
      </c>
      <c r="E768" s="5">
        <f ca="1">IFERROR(__xludf.DUMMYFUNCTION("""COMPUTED_VALUE"""),1)</f>
        <v>1</v>
      </c>
      <c r="F768" s="5">
        <f ca="1">IFERROR(__xludf.DUMMYFUNCTION("""COMPUTED_VALUE"""),1)</f>
        <v>1</v>
      </c>
      <c r="G768" s="5">
        <f ca="1">IFERROR(__xludf.DUMMYFUNCTION("""COMPUTED_VALUE"""),0)</f>
        <v>0</v>
      </c>
      <c r="H768" s="9" t="str">
        <f ca="1">IFERROR(__xludf.DUMMYFUNCTION("""COMPUTED_VALUE"""),"https://pilotonline.com/news/local/crime/article_32543292-2bcc-11e8-a262-877b86c9daad.html")</f>
        <v>https://pilotonline.com/news/local/crime/article_32543292-2bcc-11e8-a262-877b86c9daad.html</v>
      </c>
      <c r="I768" s="5"/>
      <c r="J768" s="5"/>
      <c r="K768" s="5">
        <f ca="1">IFERROR(__xludf.DUMMYFUNCTION("""COMPUTED_VALUE"""),2)</f>
        <v>2</v>
      </c>
      <c r="L768" s="5" t="str">
        <f ca="1">IFERROR(__xludf.DUMMYFUNCTION("""COMPUTED_VALUE"""),"Spring")</f>
        <v>Spring</v>
      </c>
      <c r="M768" s="5" t="str">
        <f ca="1">IFERROR(__xludf.DUMMYFUNCTION("""COMPUTED_VALUE"""),"Portsmouth")</f>
        <v>Portsmouth</v>
      </c>
      <c r="N768" s="5" t="str">
        <f ca="1">IFERROR(__xludf.DUMMYFUNCTION("""COMPUTED_VALUE"""),"VA")</f>
        <v>VA</v>
      </c>
      <c r="O768" s="5" t="str">
        <f ca="1">IFERROR(__xludf.DUMMYFUNCTION("""COMPUTED_VALUE"""),"Elementary")</f>
        <v>Elementary</v>
      </c>
      <c r="P768" s="5" t="str">
        <f ca="1">IFERROR(__xludf.DUMMYFUNCTION("""COMPUTED_VALUE"""),"Parking Lot")</f>
        <v>Parking Lot</v>
      </c>
      <c r="Q768" s="5" t="str">
        <f ca="1">IFERROR(__xludf.DUMMYFUNCTION("""COMPUTED_VALUE"""),"Off School Property")</f>
        <v>Off School Property</v>
      </c>
      <c r="R768" s="5" t="str">
        <f ca="1">IFERROR(__xludf.DUMMYFUNCTION("""COMPUTED_VALUE"""),"No")</f>
        <v>No</v>
      </c>
      <c r="S768" s="5" t="str">
        <f ca="1">IFERROR(__xludf.DUMMYFUNCTION("""COMPUTED_VALUE"""),"After School")</f>
        <v>After School</v>
      </c>
      <c r="T768" s="10">
        <f ca="1">IFERROR(__xludf.DUMMYFUNCTION("""COMPUTED_VALUE"""),0.682638888888888)</f>
        <v>0.68263888888888802</v>
      </c>
      <c r="U768" s="5">
        <f ca="1">IFERROR(__xludf.DUMMYFUNCTION("""COMPUTED_VALUE"""),1)</f>
        <v>1</v>
      </c>
      <c r="V768" s="5" t="str">
        <f ca="1">IFERROR(__xludf.DUMMYFUNCTION("""COMPUTED_VALUE"""),"Adult shot outside of school picking up student")</f>
        <v>Adult shot outside of school picking up student</v>
      </c>
      <c r="W768"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X768" s="5" t="str">
        <f ca="1">IFERROR(__xludf.DUMMYFUNCTION("""COMPUTED_VALUE"""),"Accidental")</f>
        <v>Accidental</v>
      </c>
      <c r="Y768" s="5" t="str">
        <f ca="1">IFERROR(__xludf.DUMMYFUNCTION("""COMPUTED_VALUE"""),"Random Shooting")</f>
        <v>Random Shooting</v>
      </c>
      <c r="Z768" s="5"/>
      <c r="AA768" s="5"/>
      <c r="AB768" s="5" t="str">
        <f ca="1">IFERROR(__xludf.DUMMYFUNCTION("""COMPUTED_VALUE"""),"No")</f>
        <v>No</v>
      </c>
      <c r="AC768" s="5" t="str">
        <f ca="1">IFERROR(__xludf.DUMMYFUNCTION("""COMPUTED_VALUE"""),"No")</f>
        <v>No</v>
      </c>
      <c r="AD768" s="5" t="str">
        <f ca="1">IFERROR(__xludf.DUMMYFUNCTION("""COMPUTED_VALUE"""),"No")</f>
        <v>No</v>
      </c>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IFERROR(__xludf.DUMMYFUNCTION("""COMPUTED_VALUE"""),"No")</f>
        <v>No</v>
      </c>
    </row>
    <row r="769" spans="1:34" ht="12.75">
      <c r="A769" s="5" t="str">
        <f ca="1">IFERROR(__xludf.DUMMYFUNCTION("""COMPUTED_VALUE"""),"20180316MTBIM")</f>
        <v>20180316MTBIM</v>
      </c>
      <c r="B769" s="8">
        <f ca="1">IFERROR(__xludf.DUMMYFUNCTION("""COMPUTED_VALUE"""),43175)</f>
        <v>43175</v>
      </c>
      <c r="C769" s="5" t="str">
        <f ca="1">IFERROR(__xludf.DUMMYFUNCTION("""COMPUTED_VALUE"""),"Big Sky High School")</f>
        <v>Big Sky High School</v>
      </c>
      <c r="D769" s="5">
        <f ca="1">IFERROR(__xludf.DUMMYFUNCTION("""COMPUTED_VALUE"""),0)</f>
        <v>0</v>
      </c>
      <c r="E769" s="5">
        <f ca="1">IFERROR(__xludf.DUMMYFUNCTION("""COMPUTED_VALUE"""),0)</f>
        <v>0</v>
      </c>
      <c r="F769" s="5">
        <f ca="1">IFERROR(__xludf.DUMMYFUNCTION("""COMPUTED_VALUE"""),0)</f>
        <v>0</v>
      </c>
      <c r="G769" s="5">
        <f ca="1">IFERROR(__xludf.DUMMYFUNCTION("""COMPUTED_VALUE"""),0)</f>
        <v>0</v>
      </c>
      <c r="H769"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I769" s="5">
        <f ca="1">IFERROR(__xludf.DUMMYFUNCTION("""COMPUTED_VALUE"""),5)</f>
        <v>5</v>
      </c>
      <c r="J769" s="5" t="str">
        <f ca="1">IFERROR(__xludf.DUMMYFUNCTION("""COMPUTED_VALUE"""),"Local")</f>
        <v>Local</v>
      </c>
      <c r="K769" s="5">
        <f ca="1">IFERROR(__xludf.DUMMYFUNCTION("""COMPUTED_VALUE"""),2)</f>
        <v>2</v>
      </c>
      <c r="L769" s="5" t="str">
        <f ca="1">IFERROR(__xludf.DUMMYFUNCTION("""COMPUTED_VALUE"""),"Spring")</f>
        <v>Spring</v>
      </c>
      <c r="M769" s="5" t="str">
        <f ca="1">IFERROR(__xludf.DUMMYFUNCTION("""COMPUTED_VALUE"""),"Missoula")</f>
        <v>Missoula</v>
      </c>
      <c r="N769" s="5" t="str">
        <f ca="1">IFERROR(__xludf.DUMMYFUNCTION("""COMPUTED_VALUE"""),"MT")</f>
        <v>MT</v>
      </c>
      <c r="O769" s="5" t="str">
        <f ca="1">IFERROR(__xludf.DUMMYFUNCTION("""COMPUTED_VALUE"""),"High")</f>
        <v>High</v>
      </c>
      <c r="P769" s="5" t="str">
        <f ca="1">IFERROR(__xludf.DUMMYFUNCTION("""COMPUTED_VALUE"""),"Parking Lot")</f>
        <v>Parking Lot</v>
      </c>
      <c r="Q769" s="5" t="str">
        <f ca="1">IFERROR(__xludf.DUMMYFUNCTION("""COMPUTED_VALUE"""),"Outside on School Property")</f>
        <v>Outside on School Property</v>
      </c>
      <c r="R769" s="5" t="str">
        <f ca="1">IFERROR(__xludf.DUMMYFUNCTION("""COMPUTED_VALUE"""),"Yes")</f>
        <v>Yes</v>
      </c>
      <c r="S769" s="5" t="str">
        <f ca="1">IFERROR(__xludf.DUMMYFUNCTION("""COMPUTED_VALUE"""),"Lunch")</f>
        <v>Lunch</v>
      </c>
      <c r="T769" s="10">
        <f ca="1">IFERROR(__xludf.DUMMYFUNCTION("""COMPUTED_VALUE"""),0.53125)</f>
        <v>0.53125</v>
      </c>
      <c r="U769" s="5">
        <f ca="1">IFERROR(__xludf.DUMMYFUNCTION("""COMPUTED_VALUE"""),1)</f>
        <v>1</v>
      </c>
      <c r="V769" s="5" t="str">
        <f ca="1">IFERROR(__xludf.DUMMYFUNCTION("""COMPUTED_VALUE"""),"SRO firing at student in vehicle in the parking lot")</f>
        <v>SRO firing at student in vehicle in the parking lot</v>
      </c>
      <c r="W769"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X769" s="5" t="str">
        <f ca="1">IFERROR(__xludf.DUMMYFUNCTION("""COMPUTED_VALUE"""),"Self-defense")</f>
        <v>Self-defense</v>
      </c>
      <c r="Y769" s="5" t="str">
        <f ca="1">IFERROR(__xludf.DUMMYFUNCTION("""COMPUTED_VALUE"""),"Victims Targeted")</f>
        <v>Victims Targeted</v>
      </c>
      <c r="Z769" s="5" t="str">
        <f ca="1">IFERROR(__xludf.DUMMYFUNCTION("""COMPUTED_VALUE"""),"No")</f>
        <v>No</v>
      </c>
      <c r="AA769" s="5"/>
      <c r="AB769" s="5" t="str">
        <f ca="1">IFERROR(__xludf.DUMMYFUNCTION("""COMPUTED_VALUE"""),"No")</f>
        <v>No</v>
      </c>
      <c r="AC769" s="5" t="str">
        <f ca="1">IFERROR(__xludf.DUMMYFUNCTION("""COMPUTED_VALUE"""),"No")</f>
        <v>No</v>
      </c>
      <c r="AD769" s="5" t="str">
        <f ca="1">IFERROR(__xludf.DUMMYFUNCTION("""COMPUTED_VALUE"""),"Yes")</f>
        <v>Yes</v>
      </c>
      <c r="AE769" s="5" t="str">
        <f ca="1">IFERROR(__xludf.DUMMYFUNCTION("""COMPUTED_VALUE"""),"N/A")</f>
        <v>N/A</v>
      </c>
      <c r="AF769" s="5" t="str">
        <f ca="1">IFERROR(__xludf.DUMMYFUNCTION("""COMPUTED_VALUE"""),"N/A")</f>
        <v>N/A</v>
      </c>
      <c r="AG769" s="5" t="str">
        <f ca="1">IFERROR(__xludf.DUMMYFUNCTION("""COMPUTED_VALUE"""),"N/A")</f>
        <v>N/A</v>
      </c>
      <c r="AH769" s="5" t="str">
        <f ca="1">IFERROR(__xludf.DUMMYFUNCTION("""COMPUTED_VALUE"""),"N/A")</f>
        <v>N/A</v>
      </c>
    </row>
    <row r="770" spans="1:34" ht="12.75">
      <c r="A770" s="5" t="str">
        <f ca="1">IFERROR(__xludf.DUMMYFUNCTION("""COMPUTED_VALUE"""),"20180313VAGEA")</f>
        <v>20180313VAGEA</v>
      </c>
      <c r="B770" s="8">
        <f ca="1">IFERROR(__xludf.DUMMYFUNCTION("""COMPUTED_VALUE"""),43172)</f>
        <v>43172</v>
      </c>
      <c r="C770" s="5" t="str">
        <f ca="1">IFERROR(__xludf.DUMMYFUNCTION("""COMPUTED_VALUE"""),"George Washington Middle School")</f>
        <v>George Washington Middle School</v>
      </c>
      <c r="D770" s="5">
        <f ca="1">IFERROR(__xludf.DUMMYFUNCTION("""COMPUTED_VALUE"""),0)</f>
        <v>0</v>
      </c>
      <c r="E770" s="5">
        <f ca="1">IFERROR(__xludf.DUMMYFUNCTION("""COMPUTED_VALUE"""),0)</f>
        <v>0</v>
      </c>
      <c r="F770" s="5">
        <f ca="1">IFERROR(__xludf.DUMMYFUNCTION("""COMPUTED_VALUE"""),0)</f>
        <v>0</v>
      </c>
      <c r="G770" s="5">
        <f ca="1">IFERROR(__xludf.DUMMYFUNCTION("""COMPUTED_VALUE"""),0)</f>
        <v>0</v>
      </c>
      <c r="H770" s="9" t="str">
        <f ca="1">IFERROR(__xludf.DUMMYFUNCTION("""COMPUTED_VALUE"""),"http://www.alexandrianews.org/2018/05/gw-school-resource-officer-charged-after-discharge-of-weapon/")</f>
        <v>http://www.alexandrianews.org/2018/05/gw-school-resource-officer-charged-after-discharge-of-weapon/</v>
      </c>
      <c r="I770" s="5"/>
      <c r="J770" s="5" t="str">
        <f ca="1">IFERROR(__xludf.DUMMYFUNCTION("""COMPUTED_VALUE"""),"Regional")</f>
        <v>Regional</v>
      </c>
      <c r="K770" s="5">
        <f ca="1">IFERROR(__xludf.DUMMYFUNCTION("""COMPUTED_VALUE"""),2)</f>
        <v>2</v>
      </c>
      <c r="L770" s="5" t="str">
        <f ca="1">IFERROR(__xludf.DUMMYFUNCTION("""COMPUTED_VALUE"""),"Spring")</f>
        <v>Spring</v>
      </c>
      <c r="M770" s="5" t="str">
        <f ca="1">IFERROR(__xludf.DUMMYFUNCTION("""COMPUTED_VALUE"""),"Alexandria")</f>
        <v>Alexandria</v>
      </c>
      <c r="N770" s="5" t="str">
        <f ca="1">IFERROR(__xludf.DUMMYFUNCTION("""COMPUTED_VALUE"""),"VA")</f>
        <v>VA</v>
      </c>
      <c r="O770" s="5" t="str">
        <f ca="1">IFERROR(__xludf.DUMMYFUNCTION("""COMPUTED_VALUE"""),"Middle")</f>
        <v>Middle</v>
      </c>
      <c r="P770" s="5" t="str">
        <f ca="1">IFERROR(__xludf.DUMMYFUNCTION("""COMPUTED_VALUE"""),"Office")</f>
        <v>Office</v>
      </c>
      <c r="Q770" s="5" t="str">
        <f ca="1">IFERROR(__xludf.DUMMYFUNCTION("""COMPUTED_VALUE"""),"Inside School Building")</f>
        <v>Inside School Building</v>
      </c>
      <c r="R770" s="5" t="str">
        <f ca="1">IFERROR(__xludf.DUMMYFUNCTION("""COMPUTED_VALUE"""),"Yes")</f>
        <v>Yes</v>
      </c>
      <c r="S770" s="5" t="str">
        <f ca="1">IFERROR(__xludf.DUMMYFUNCTION("""COMPUTED_VALUE"""),"Morning Classes")</f>
        <v>Morning Classes</v>
      </c>
      <c r="T770" s="10">
        <f ca="1">IFERROR(__xludf.DUMMYFUNCTION("""COMPUTED_VALUE"""),0.381944444444444)</f>
        <v>0.38194444444444398</v>
      </c>
      <c r="U770" s="5">
        <f ca="1">IFERROR(__xludf.DUMMYFUNCTION("""COMPUTED_VALUE"""),1)</f>
        <v>1</v>
      </c>
      <c r="V770" s="5" t="str">
        <f ca="1">IFERROR(__xludf.DUMMYFUNCTION("""COMPUTED_VALUE"""),"Accidental discharge while SRO was cleaning weapon")</f>
        <v>Accidental discharge while SRO was cleaning weapon</v>
      </c>
      <c r="W770"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X770" s="5" t="str">
        <f ca="1">IFERROR(__xludf.DUMMYFUNCTION("""COMPUTED_VALUE"""),"Accidental")</f>
        <v>Accidental</v>
      </c>
      <c r="Y770" s="5" t="str">
        <f ca="1">IFERROR(__xludf.DUMMYFUNCTION("""COMPUTED_VALUE"""),"Neither")</f>
        <v>Neither</v>
      </c>
      <c r="Z770" s="5" t="str">
        <f ca="1">IFERROR(__xludf.DUMMYFUNCTION("""COMPUTED_VALUE"""),"No")</f>
        <v>No</v>
      </c>
      <c r="AA770" s="5"/>
      <c r="AB770" s="5" t="str">
        <f ca="1">IFERROR(__xludf.DUMMYFUNCTION("""COMPUTED_VALUE"""),"No")</f>
        <v>No</v>
      </c>
      <c r="AC770" s="5" t="str">
        <f ca="1">IFERROR(__xludf.DUMMYFUNCTION("""COMPUTED_VALUE"""),"No")</f>
        <v>No</v>
      </c>
      <c r="AD770" s="5" t="str">
        <f ca="1">IFERROR(__xludf.DUMMYFUNCTION("""COMPUTED_VALUE"""),"No")</f>
        <v>No</v>
      </c>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row>
    <row r="771" spans="1:34" ht="12.75">
      <c r="A771" s="5" t="str">
        <f ca="1">IFERROR(__xludf.DUMMYFUNCTION("""COMPUTED_VALUE"""),"20180313CASES")</f>
        <v>20180313CASES</v>
      </c>
      <c r="B771" s="8">
        <f ca="1">IFERROR(__xludf.DUMMYFUNCTION("""COMPUTED_VALUE"""),43172)</f>
        <v>43172</v>
      </c>
      <c r="C771" s="5" t="str">
        <f ca="1">IFERROR(__xludf.DUMMYFUNCTION("""COMPUTED_VALUE"""),"Seaside High School")</f>
        <v>Seaside High School</v>
      </c>
      <c r="D771" s="5">
        <f ca="1">IFERROR(__xludf.DUMMYFUNCTION("""COMPUTED_VALUE"""),0)</f>
        <v>0</v>
      </c>
      <c r="E771" s="5">
        <f ca="1">IFERROR(__xludf.DUMMYFUNCTION("""COMPUTED_VALUE"""),0)</f>
        <v>0</v>
      </c>
      <c r="F771" s="5">
        <f ca="1">IFERROR(__xludf.DUMMYFUNCTION("""COMPUTED_VALUE"""),0)</f>
        <v>0</v>
      </c>
      <c r="G771" s="5">
        <f ca="1">IFERROR(__xludf.DUMMYFUNCTION("""COMPUTED_VALUE"""),0)</f>
        <v>0</v>
      </c>
      <c r="H771" s="9" t="str">
        <f ca="1">IFERROR(__xludf.DUMMYFUNCTION("""COMPUTED_VALUE"""),"http://www.ksbw.com/article/seaside-high-teacher-accidentally-fires-gun-in-class/19426017")</f>
        <v>http://www.ksbw.com/article/seaside-high-teacher-accidentally-fires-gun-in-class/19426017</v>
      </c>
      <c r="I771" s="5"/>
      <c r="J771" s="5"/>
      <c r="K771" s="5">
        <f ca="1">IFERROR(__xludf.DUMMYFUNCTION("""COMPUTED_VALUE"""),2)</f>
        <v>2</v>
      </c>
      <c r="L771" s="5" t="str">
        <f ca="1">IFERROR(__xludf.DUMMYFUNCTION("""COMPUTED_VALUE"""),"Spring")</f>
        <v>Spring</v>
      </c>
      <c r="M771" s="5" t="str">
        <f ca="1">IFERROR(__xludf.DUMMYFUNCTION("""COMPUTED_VALUE"""),"Seaside")</f>
        <v>Seaside</v>
      </c>
      <c r="N771" s="5" t="str">
        <f ca="1">IFERROR(__xludf.DUMMYFUNCTION("""COMPUTED_VALUE"""),"CA")</f>
        <v>CA</v>
      </c>
      <c r="O771" s="5" t="str">
        <f ca="1">IFERROR(__xludf.DUMMYFUNCTION("""COMPUTED_VALUE"""),"High")</f>
        <v>High</v>
      </c>
      <c r="P771" s="5" t="str">
        <f ca="1">IFERROR(__xludf.DUMMYFUNCTION("""COMPUTED_VALUE"""),"Classroom")</f>
        <v>Classroom</v>
      </c>
      <c r="Q771" s="5" t="str">
        <f ca="1">IFERROR(__xludf.DUMMYFUNCTION("""COMPUTED_VALUE"""),"Inside School Building")</f>
        <v>Inside School Building</v>
      </c>
      <c r="R771" s="5" t="str">
        <f ca="1">IFERROR(__xludf.DUMMYFUNCTION("""COMPUTED_VALUE"""),"Yes")</f>
        <v>Yes</v>
      </c>
      <c r="S771" s="5" t="str">
        <f ca="1">IFERROR(__xludf.DUMMYFUNCTION("""COMPUTED_VALUE"""),"Morning Classes")</f>
        <v>Morning Classes</v>
      </c>
      <c r="T771" s="10">
        <f ca="1">IFERROR(__xludf.DUMMYFUNCTION("""COMPUTED_VALUE"""),0.555555555555555)</f>
        <v>0.55555555555555503</v>
      </c>
      <c r="U771" s="5">
        <f ca="1">IFERROR(__xludf.DUMMYFUNCTION("""COMPUTED_VALUE"""),1)</f>
        <v>1</v>
      </c>
      <c r="V771" s="5" t="str">
        <f ca="1">IFERROR(__xludf.DUMMYFUNCTION("""COMPUTED_VALUE"""),"Accidental discharge during teacher's gun safety demonstration")</f>
        <v>Accidental discharge during teacher's gun safety demonstration</v>
      </c>
      <c r="W771"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X771" s="5" t="str">
        <f ca="1">IFERROR(__xludf.DUMMYFUNCTION("""COMPUTED_VALUE"""),"Accidental")</f>
        <v>Accidental</v>
      </c>
      <c r="Y771" s="5" t="str">
        <f ca="1">IFERROR(__xludf.DUMMYFUNCTION("""COMPUTED_VALUE"""),"Random Shooting")</f>
        <v>Random Shooting</v>
      </c>
      <c r="Z771" s="5" t="str">
        <f ca="1">IFERROR(__xludf.DUMMYFUNCTION("""COMPUTED_VALUE"""),"No")</f>
        <v>No</v>
      </c>
      <c r="AA771" s="5"/>
      <c r="AB771" s="5" t="str">
        <f ca="1">IFERROR(__xludf.DUMMYFUNCTION("""COMPUTED_VALUE"""),"No")</f>
        <v>No</v>
      </c>
      <c r="AC771" s="5" t="str">
        <f ca="1">IFERROR(__xludf.DUMMYFUNCTION("""COMPUTED_VALUE"""),"No")</f>
        <v>No</v>
      </c>
      <c r="AD771" s="5" t="str">
        <f ca="1">IFERROR(__xludf.DUMMYFUNCTION("""COMPUTED_VALUE"""),"No")</f>
        <v>No</v>
      </c>
      <c r="AE771" s="5" t="str">
        <f ca="1">IFERROR(__xludf.DUMMYFUNCTION("""COMPUTED_VALUE"""),"No")</f>
        <v>No</v>
      </c>
      <c r="AF771" s="5" t="str">
        <f ca="1">IFERROR(__xludf.DUMMYFUNCTION("""COMPUTED_VALUE"""),"No")</f>
        <v>No</v>
      </c>
      <c r="AG771" s="5" t="str">
        <f ca="1">IFERROR(__xludf.DUMMYFUNCTION("""COMPUTED_VALUE"""),"No")</f>
        <v>No</v>
      </c>
      <c r="AH771" s="5" t="str">
        <f ca="1">IFERROR(__xludf.DUMMYFUNCTION("""COMPUTED_VALUE"""),"No")</f>
        <v>No</v>
      </c>
    </row>
    <row r="772" spans="1:34" ht="12.75">
      <c r="A772" s="5" t="str">
        <f ca="1">IFERROR(__xludf.DUMMYFUNCTION("""COMPUTED_VALUE"""),"20180309KYFRL")</f>
        <v>20180309KYFRL</v>
      </c>
      <c r="B772" s="8">
        <f ca="1">IFERROR(__xludf.DUMMYFUNCTION("""COMPUTED_VALUE"""),43168)</f>
        <v>43168</v>
      </c>
      <c r="C772" s="5" t="str">
        <f ca="1">IFERROR(__xludf.DUMMYFUNCTION("""COMPUTED_VALUE"""),"Frederick Douglass High School")</f>
        <v>Frederick Douglass High School</v>
      </c>
      <c r="D772" s="5">
        <f ca="1">IFERROR(__xludf.DUMMYFUNCTION("""COMPUTED_VALUE"""),0)</f>
        <v>0</v>
      </c>
      <c r="E772" s="5">
        <f ca="1">IFERROR(__xludf.DUMMYFUNCTION("""COMPUTED_VALUE"""),0)</f>
        <v>0</v>
      </c>
      <c r="F772" s="5">
        <f ca="1">IFERROR(__xludf.DUMMYFUNCTION("""COMPUTED_VALUE"""),0)</f>
        <v>0</v>
      </c>
      <c r="G772" s="5">
        <f ca="1">IFERROR(__xludf.DUMMYFUNCTION("""COMPUTED_VALUE"""),0)</f>
        <v>0</v>
      </c>
      <c r="H772" s="9" t="str">
        <f ca="1">IFERROR(__xludf.DUMMYFUNCTION("""COMPUTED_VALUE"""),"http://www.wsaz.com/content/news/Reported-gunfire-at-Frederick-Douglas-High-School-in-Lexington-476375083.html")</f>
        <v>http://www.wsaz.com/content/news/Reported-gunfire-at-Frederick-Douglas-High-School-in-Lexington-476375083.html</v>
      </c>
      <c r="I772" s="5"/>
      <c r="J772" s="5"/>
      <c r="K772" s="5">
        <f ca="1">IFERROR(__xludf.DUMMYFUNCTION("""COMPUTED_VALUE"""),2)</f>
        <v>2</v>
      </c>
      <c r="L772" s="5" t="str">
        <f ca="1">IFERROR(__xludf.DUMMYFUNCTION("""COMPUTED_VALUE"""),"Spring")</f>
        <v>Spring</v>
      </c>
      <c r="M772" s="5" t="str">
        <f ca="1">IFERROR(__xludf.DUMMYFUNCTION("""COMPUTED_VALUE"""),"Lexington")</f>
        <v>Lexington</v>
      </c>
      <c r="N772" s="5" t="str">
        <f ca="1">IFERROR(__xludf.DUMMYFUNCTION("""COMPUTED_VALUE"""),"KY")</f>
        <v>KY</v>
      </c>
      <c r="O772" s="5" t="str">
        <f ca="1">IFERROR(__xludf.DUMMYFUNCTION("""COMPUTED_VALUE"""),"High")</f>
        <v>High</v>
      </c>
      <c r="P772" s="5" t="str">
        <f ca="1">IFERROR(__xludf.DUMMYFUNCTION("""COMPUTED_VALUE"""),"Classroom")</f>
        <v>Classroom</v>
      </c>
      <c r="Q772" s="5" t="str">
        <f ca="1">IFERROR(__xludf.DUMMYFUNCTION("""COMPUTED_VALUE"""),"Inside School Building")</f>
        <v>Inside School Building</v>
      </c>
      <c r="R772" s="5" t="str">
        <f ca="1">IFERROR(__xludf.DUMMYFUNCTION("""COMPUTED_VALUE"""),"Yes")</f>
        <v>Yes</v>
      </c>
      <c r="S772" s="5" t="str">
        <f ca="1">IFERROR(__xludf.DUMMYFUNCTION("""COMPUTED_VALUE"""),"Morning Classes")</f>
        <v>Morning Classes</v>
      </c>
      <c r="T772" s="5"/>
      <c r="U772" s="5">
        <f ca="1">IFERROR(__xludf.DUMMYFUNCTION("""COMPUTED_VALUE"""),1)</f>
        <v>1</v>
      </c>
      <c r="V772" s="5" t="str">
        <f ca="1">IFERROR(__xludf.DUMMYFUNCTION("""COMPUTED_VALUE"""),"Student shot self in hand with firearm in classroom")</f>
        <v>Student shot self in hand with firearm in classroom</v>
      </c>
      <c r="W772"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X772" s="5" t="str">
        <f ca="1">IFERROR(__xludf.DUMMYFUNCTION("""COMPUTED_VALUE"""),"Accidental")</f>
        <v>Accidental</v>
      </c>
      <c r="Y772" s="5" t="str">
        <f ca="1">IFERROR(__xludf.DUMMYFUNCTION("""COMPUTED_VALUE"""),"Random Shooting")</f>
        <v>Random Shooting</v>
      </c>
      <c r="Z772" s="5" t="str">
        <f ca="1">IFERROR(__xludf.DUMMYFUNCTION("""COMPUTED_VALUE"""),"No")</f>
        <v>No</v>
      </c>
      <c r="AA772" s="5"/>
      <c r="AB772" s="5" t="str">
        <f ca="1">IFERROR(__xludf.DUMMYFUNCTION("""COMPUTED_VALUE"""),"No")</f>
        <v>No</v>
      </c>
      <c r="AC772" s="5" t="str">
        <f ca="1">IFERROR(__xludf.DUMMYFUNCTION("""COMPUTED_VALUE"""),"No")</f>
        <v>No</v>
      </c>
      <c r="AD772" s="5" t="str">
        <f ca="1">IFERROR(__xludf.DUMMYFUNCTION("""COMPUTED_VALUE"""),"No")</f>
        <v>No</v>
      </c>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row>
    <row r="773" spans="1:34" ht="12.75">
      <c r="A773" s="5" t="str">
        <f ca="1">IFERROR(__xludf.DUMMYFUNCTION("""COMPUTED_VALUE"""),"20180307ALHUB")</f>
        <v>20180307ALHUB</v>
      </c>
      <c r="B773" s="8">
        <f ca="1">IFERROR(__xludf.DUMMYFUNCTION("""COMPUTED_VALUE"""),43166)</f>
        <v>43166</v>
      </c>
      <c r="C773" s="5" t="str">
        <f ca="1">IFERROR(__xludf.DUMMYFUNCTION("""COMPUTED_VALUE"""),"Huffman High School")</f>
        <v>Huffman High School</v>
      </c>
      <c r="D773" s="5">
        <f ca="1">IFERROR(__xludf.DUMMYFUNCTION("""COMPUTED_VALUE"""),1)</f>
        <v>1</v>
      </c>
      <c r="E773" s="5">
        <f ca="1">IFERROR(__xludf.DUMMYFUNCTION("""COMPUTED_VALUE"""),0)</f>
        <v>0</v>
      </c>
      <c r="F773" s="5">
        <f ca="1">IFERROR(__xludf.DUMMYFUNCTION("""COMPUTED_VALUE"""),1)</f>
        <v>1</v>
      </c>
      <c r="G773" s="5">
        <f ca="1">IFERROR(__xludf.DUMMYFUNCTION("""COMPUTED_VALUE"""),0)</f>
        <v>0</v>
      </c>
      <c r="H773"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I773" s="5"/>
      <c r="J773" s="5"/>
      <c r="K773" s="5">
        <f ca="1">IFERROR(__xludf.DUMMYFUNCTION("""COMPUTED_VALUE"""),4)</f>
        <v>4</v>
      </c>
      <c r="L773" s="5" t="str">
        <f ca="1">IFERROR(__xludf.DUMMYFUNCTION("""COMPUTED_VALUE"""),"Spring")</f>
        <v>Spring</v>
      </c>
      <c r="M773" s="5" t="str">
        <f ca="1">IFERROR(__xludf.DUMMYFUNCTION("""COMPUTED_VALUE"""),"Birmingham")</f>
        <v>Birmingham</v>
      </c>
      <c r="N773" s="5" t="str">
        <f ca="1">IFERROR(__xludf.DUMMYFUNCTION("""COMPUTED_VALUE"""),"AL")</f>
        <v>AL</v>
      </c>
      <c r="O773" s="5" t="str">
        <f ca="1">IFERROR(__xludf.DUMMYFUNCTION("""COMPUTED_VALUE"""),"High")</f>
        <v>High</v>
      </c>
      <c r="P773" s="5" t="str">
        <f ca="1">IFERROR(__xludf.DUMMYFUNCTION("""COMPUTED_VALUE"""),"Inside School Building")</f>
        <v>Inside School Building</v>
      </c>
      <c r="Q773" s="5" t="str">
        <f ca="1">IFERROR(__xludf.DUMMYFUNCTION("""COMPUTED_VALUE"""),"Inside School Building")</f>
        <v>Inside School Building</v>
      </c>
      <c r="R773" s="5" t="str">
        <f ca="1">IFERROR(__xludf.DUMMYFUNCTION("""COMPUTED_VALUE"""),"Yes")</f>
        <v>Yes</v>
      </c>
      <c r="S773" s="5" t="str">
        <f ca="1">IFERROR(__xludf.DUMMYFUNCTION("""COMPUTED_VALUE"""),"After School")</f>
        <v>After School</v>
      </c>
      <c r="T773" s="10">
        <f ca="1">IFERROR(__xludf.DUMMYFUNCTION("""COMPUTED_VALUE"""),0.65625)</f>
        <v>0.65625</v>
      </c>
      <c r="U773" s="5">
        <f ca="1">IFERROR(__xludf.DUMMYFUNCTION("""COMPUTED_VALUE"""),1)</f>
        <v>1</v>
      </c>
      <c r="V773" s="5" t="str">
        <f ca="1">IFERROR(__xludf.DUMMYFUNCTION("""COMPUTED_VALUE"""),"Accidental discharge while showing off gun")</f>
        <v>Accidental discharge while showing off gun</v>
      </c>
      <c r="W773"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X773" s="5" t="str">
        <f ca="1">IFERROR(__xludf.DUMMYFUNCTION("""COMPUTED_VALUE"""),"Accidental")</f>
        <v>Accidental</v>
      </c>
      <c r="Y773" s="5" t="str">
        <f ca="1">IFERROR(__xludf.DUMMYFUNCTION("""COMPUTED_VALUE"""),"Random Shooting")</f>
        <v>Random Shooting</v>
      </c>
      <c r="Z773" s="5"/>
      <c r="AA773" s="5"/>
      <c r="AB773" s="5" t="str">
        <f ca="1">IFERROR(__xludf.DUMMYFUNCTION("""COMPUTED_VALUE"""),"No")</f>
        <v>No</v>
      </c>
      <c r="AC773" s="5" t="str">
        <f ca="1">IFERROR(__xludf.DUMMYFUNCTION("""COMPUTED_VALUE"""),"No")</f>
        <v>No</v>
      </c>
      <c r="AD773" s="5" t="str">
        <f ca="1">IFERROR(__xludf.DUMMYFUNCTION("""COMPUTED_VALUE"""),"No")</f>
        <v>No</v>
      </c>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row>
    <row r="774" spans="1:34" ht="12.75">
      <c r="A774" s="5" t="str">
        <f ca="1">IFERROR(__xludf.DUMMYFUNCTION("""COMPUTED_VALUE"""),"20180305MOKIC")</f>
        <v>20180305MOKIC</v>
      </c>
      <c r="B774" s="8">
        <f ca="1">IFERROR(__xludf.DUMMYFUNCTION("""COMPUTED_VALUE"""),43164)</f>
        <v>43164</v>
      </c>
      <c r="C774" s="5" t="str">
        <f ca="1">IFERROR(__xludf.DUMMYFUNCTION("""COMPUTED_VALUE"""),"Kingston High School")</f>
        <v>Kingston High School</v>
      </c>
      <c r="D774" s="5">
        <f ca="1">IFERROR(__xludf.DUMMYFUNCTION("""COMPUTED_VALUE"""),0)</f>
        <v>0</v>
      </c>
      <c r="E774" s="5">
        <f ca="1">IFERROR(__xludf.DUMMYFUNCTION("""COMPUTED_VALUE"""),0)</f>
        <v>0</v>
      </c>
      <c r="F774" s="5">
        <f ca="1">IFERROR(__xludf.DUMMYFUNCTION("""COMPUTED_VALUE"""),0)</f>
        <v>0</v>
      </c>
      <c r="G774" s="5">
        <f ca="1">IFERROR(__xludf.DUMMYFUNCTION("""COMPUTED_VALUE"""),1)</f>
        <v>1</v>
      </c>
      <c r="H774" s="9" t="str">
        <f ca="1">IFERROR(__xludf.DUMMYFUNCTION("""COMPUTED_VALUE"""),"https://fox2now.com/2018/03/05/students-sent-home-after-suicide-at-washington-county-school/")</f>
        <v>https://fox2now.com/2018/03/05/students-sent-home-after-suicide-at-washington-county-school/</v>
      </c>
      <c r="I774" s="5"/>
      <c r="J774" s="5"/>
      <c r="K774" s="5">
        <f ca="1">IFERROR(__xludf.DUMMYFUNCTION("""COMPUTED_VALUE"""),2)</f>
        <v>2</v>
      </c>
      <c r="L774" s="5" t="str">
        <f ca="1">IFERROR(__xludf.DUMMYFUNCTION("""COMPUTED_VALUE"""),"Spring")</f>
        <v>Spring</v>
      </c>
      <c r="M774" s="5" t="str">
        <f ca="1">IFERROR(__xludf.DUMMYFUNCTION("""COMPUTED_VALUE"""),"Cadet")</f>
        <v>Cadet</v>
      </c>
      <c r="N774" s="5" t="str">
        <f ca="1">IFERROR(__xludf.DUMMYFUNCTION("""COMPUTED_VALUE"""),"MO")</f>
        <v>MO</v>
      </c>
      <c r="O774" s="5" t="str">
        <f ca="1">IFERROR(__xludf.DUMMYFUNCTION("""COMPUTED_VALUE"""),"K-12")</f>
        <v>K-12</v>
      </c>
      <c r="P774" s="5" t="str">
        <f ca="1">IFERROR(__xludf.DUMMYFUNCTION("""COMPUTED_VALUE"""),"Classroom")</f>
        <v>Classroom</v>
      </c>
      <c r="Q774" s="5" t="str">
        <f ca="1">IFERROR(__xludf.DUMMYFUNCTION("""COMPUTED_VALUE"""),"Inside School Building")</f>
        <v>Inside School Building</v>
      </c>
      <c r="R774" s="5" t="str">
        <f ca="1">IFERROR(__xludf.DUMMYFUNCTION("""COMPUTED_VALUE"""),"Yes")</f>
        <v>Yes</v>
      </c>
      <c r="S774" s="5" t="str">
        <f ca="1">IFERROR(__xludf.DUMMYFUNCTION("""COMPUTED_VALUE"""),"School Start")</f>
        <v>School Start</v>
      </c>
      <c r="T774" s="10">
        <f ca="1">IFERROR(__xludf.DUMMYFUNCTION("""COMPUTED_VALUE"""),0.319444444444444)</f>
        <v>0.31944444444444398</v>
      </c>
      <c r="U774" s="5">
        <f ca="1">IFERROR(__xludf.DUMMYFUNCTION("""COMPUTED_VALUE"""),1)</f>
        <v>1</v>
      </c>
      <c r="V774" s="5" t="str">
        <f ca="1">IFERROR(__xludf.DUMMYFUNCTION("""COMPUTED_VALUE"""),"Student shot self in bathroom")</f>
        <v>Student shot self in bathroom</v>
      </c>
      <c r="W774"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X774" s="5" t="str">
        <f ca="1">IFERROR(__xludf.DUMMYFUNCTION("""COMPUTED_VALUE"""),"Suicide/Attempted")</f>
        <v>Suicide/Attempted</v>
      </c>
      <c r="Y774" s="5" t="str">
        <f ca="1">IFERROR(__xludf.DUMMYFUNCTION("""COMPUTED_VALUE"""),"Victims Targeted")</f>
        <v>Victims Targeted</v>
      </c>
      <c r="Z774" s="5" t="str">
        <f ca="1">IFERROR(__xludf.DUMMYFUNCTION("""COMPUTED_VALUE"""),"No")</f>
        <v>No</v>
      </c>
      <c r="AA774" s="5"/>
      <c r="AB774" s="5" t="str">
        <f ca="1">IFERROR(__xludf.DUMMYFUNCTION("""COMPUTED_VALUE"""),"No")</f>
        <v>No</v>
      </c>
      <c r="AC774" s="5" t="str">
        <f ca="1">IFERROR(__xludf.DUMMYFUNCTION("""COMPUTED_VALUE"""),"No")</f>
        <v>No</v>
      </c>
      <c r="AD774" s="5" t="str">
        <f ca="1">IFERROR(__xludf.DUMMYFUNCTION("""COMPUTED_VALUE"""),"No")</f>
        <v>No</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row>
    <row r="775" spans="1:34" ht="12.75">
      <c r="A775" s="5" t="str">
        <f ca="1">IFERROR(__xludf.DUMMYFUNCTION("""COMPUTED_VALUE"""),"20180228GADAD")</f>
        <v>20180228GADAD</v>
      </c>
      <c r="B775" s="8">
        <f ca="1">IFERROR(__xludf.DUMMYFUNCTION("""COMPUTED_VALUE"""),43159)</f>
        <v>43159</v>
      </c>
      <c r="C775" s="5" t="str">
        <f ca="1">IFERROR(__xludf.DUMMYFUNCTION("""COMPUTED_VALUE"""),"Dalton High School")</f>
        <v>Dalton High School</v>
      </c>
      <c r="D775" s="5">
        <f ca="1">IFERROR(__xludf.DUMMYFUNCTION("""COMPUTED_VALUE"""),0)</f>
        <v>0</v>
      </c>
      <c r="E775" s="5">
        <f ca="1">IFERROR(__xludf.DUMMYFUNCTION("""COMPUTED_VALUE"""),0)</f>
        <v>0</v>
      </c>
      <c r="F775" s="5">
        <f ca="1">IFERROR(__xludf.DUMMYFUNCTION("""COMPUTED_VALUE"""),0)</f>
        <v>0</v>
      </c>
      <c r="G775" s="5">
        <f ca="1">IFERROR(__xludf.DUMMYFUNCTION("""COMPUTED_VALUE"""),0)</f>
        <v>0</v>
      </c>
      <c r="H775"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I775" s="5"/>
      <c r="J775" s="5" t="str">
        <f ca="1">IFERROR(__xludf.DUMMYFUNCTION("""COMPUTED_VALUE"""),"National")</f>
        <v>National</v>
      </c>
      <c r="K775" s="5">
        <f ca="1">IFERROR(__xludf.DUMMYFUNCTION("""COMPUTED_VALUE"""),4)</f>
        <v>4</v>
      </c>
      <c r="L775" s="5" t="str">
        <f ca="1">IFERROR(__xludf.DUMMYFUNCTION("""COMPUTED_VALUE"""),"Winter")</f>
        <v>Winter</v>
      </c>
      <c r="M775" s="5" t="str">
        <f ca="1">IFERROR(__xludf.DUMMYFUNCTION("""COMPUTED_VALUE"""),"Dalton")</f>
        <v>Dalton</v>
      </c>
      <c r="N775" s="5" t="str">
        <f ca="1">IFERROR(__xludf.DUMMYFUNCTION("""COMPUTED_VALUE"""),"GA")</f>
        <v>GA</v>
      </c>
      <c r="O775" s="5" t="str">
        <f ca="1">IFERROR(__xludf.DUMMYFUNCTION("""COMPUTED_VALUE"""),"High")</f>
        <v>High</v>
      </c>
      <c r="P775" s="5" t="str">
        <f ca="1">IFERROR(__xludf.DUMMYFUNCTION("""COMPUTED_VALUE"""),"Classroom")</f>
        <v>Classroom</v>
      </c>
      <c r="Q775" s="5" t="str">
        <f ca="1">IFERROR(__xludf.DUMMYFUNCTION("""COMPUTED_VALUE"""),"Inside School Building")</f>
        <v>Inside School Building</v>
      </c>
      <c r="R775" s="5" t="str">
        <f ca="1">IFERROR(__xludf.DUMMYFUNCTION("""COMPUTED_VALUE"""),"Yes")</f>
        <v>Yes</v>
      </c>
      <c r="S775" s="5" t="str">
        <f ca="1">IFERROR(__xludf.DUMMYFUNCTION("""COMPUTED_VALUE"""),"Morning Classes")</f>
        <v>Morning Classes</v>
      </c>
      <c r="T775" s="10">
        <f ca="1">IFERROR(__xludf.DUMMYFUNCTION("""COMPUTED_VALUE"""),0.479166666666666)</f>
        <v>0.47916666666666602</v>
      </c>
      <c r="U775" s="5"/>
      <c r="V775" s="5" t="str">
        <f ca="1">IFERROR(__xludf.DUMMYFUNCTION("""COMPUTED_VALUE"""),"Teacher with gun barricaded in classroom, surrendered to SRO after being talked down")</f>
        <v>Teacher with gun barricaded in classroom, surrendered to SRO after being talked down</v>
      </c>
      <c r="W775"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X775" s="5" t="str">
        <f ca="1">IFERROR(__xludf.DUMMYFUNCTION("""COMPUTED_VALUE"""),"Psychosis")</f>
        <v>Psychosis</v>
      </c>
      <c r="Y775" s="5" t="str">
        <f ca="1">IFERROR(__xludf.DUMMYFUNCTION("""COMPUTED_VALUE"""),"Neither")</f>
        <v>Neither</v>
      </c>
      <c r="Z775" s="5" t="str">
        <f ca="1">IFERROR(__xludf.DUMMYFUNCTION("""COMPUTED_VALUE"""),"No")</f>
        <v>No</v>
      </c>
      <c r="AA775" s="5"/>
      <c r="AB775" s="5" t="str">
        <f ca="1">IFERROR(__xludf.DUMMYFUNCTION("""COMPUTED_VALUE"""),"No")</f>
        <v>No</v>
      </c>
      <c r="AC775" s="5" t="str">
        <f ca="1">IFERROR(__xludf.DUMMYFUNCTION("""COMPUTED_VALUE"""),"Yes")</f>
        <v>Yes</v>
      </c>
      <c r="AD775" s="5" t="str">
        <f ca="1">IFERROR(__xludf.DUMMYFUNCTION("""COMPUTED_VALUE"""),"No")</f>
        <v>No</v>
      </c>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IFERROR(__xludf.DUMMYFUNCTION("""COMPUTED_VALUE"""),"Yes")</f>
        <v>Yes</v>
      </c>
    </row>
    <row r="776" spans="1:34" ht="12.75">
      <c r="A776" s="5" t="str">
        <f ca="1">IFERROR(__xludf.DUMMYFUNCTION("""COMPUTED_VALUE"""),"20180226WAOAT")</f>
        <v>20180226WAOAT</v>
      </c>
      <c r="B776" s="8">
        <f ca="1">IFERROR(__xludf.DUMMYFUNCTION("""COMPUTED_VALUE"""),43157)</f>
        <v>43157</v>
      </c>
      <c r="C776" s="5" t="str">
        <f ca="1">IFERROR(__xludf.DUMMYFUNCTION("""COMPUTED_VALUE"""),"Oakland High School")</f>
        <v>Oakland High School</v>
      </c>
      <c r="D776" s="5">
        <f ca="1">IFERROR(__xludf.DUMMYFUNCTION("""COMPUTED_VALUE"""),0)</f>
        <v>0</v>
      </c>
      <c r="E776" s="5">
        <f ca="1">IFERROR(__xludf.DUMMYFUNCTION("""COMPUTED_VALUE"""),0)</f>
        <v>0</v>
      </c>
      <c r="F776" s="5">
        <f ca="1">IFERROR(__xludf.DUMMYFUNCTION("""COMPUTED_VALUE"""),0)</f>
        <v>0</v>
      </c>
      <c r="G776" s="5">
        <f ca="1">IFERROR(__xludf.DUMMYFUNCTION("""COMPUTED_VALUE"""),0)</f>
        <v>0</v>
      </c>
      <c r="H776" s="9" t="str">
        <f ca="1">IFERROR(__xludf.DUMMYFUNCTION("""COMPUTED_VALUE"""),"https://www.thenewstribune.com/news/local/crime/article202366859.html")</f>
        <v>https://www.thenewstribune.com/news/local/crime/article202366859.html</v>
      </c>
      <c r="I776" s="5"/>
      <c r="J776" s="5"/>
      <c r="K776" s="5">
        <f ca="1">IFERROR(__xludf.DUMMYFUNCTION("""COMPUTED_VALUE"""),2)</f>
        <v>2</v>
      </c>
      <c r="L776" s="5" t="str">
        <f ca="1">IFERROR(__xludf.DUMMYFUNCTION("""COMPUTED_VALUE"""),"Winter")</f>
        <v>Winter</v>
      </c>
      <c r="M776" s="5" t="str">
        <f ca="1">IFERROR(__xludf.DUMMYFUNCTION("""COMPUTED_VALUE"""),"Tacoma")</f>
        <v>Tacoma</v>
      </c>
      <c r="N776" s="5" t="str">
        <f ca="1">IFERROR(__xludf.DUMMYFUNCTION("""COMPUTED_VALUE"""),"WA")</f>
        <v>WA</v>
      </c>
      <c r="O776" s="5" t="str">
        <f ca="1">IFERROR(__xludf.DUMMYFUNCTION("""COMPUTED_VALUE"""),"High")</f>
        <v>High</v>
      </c>
      <c r="P776" s="5" t="str">
        <f ca="1">IFERROR(__xludf.DUMMYFUNCTION("""COMPUTED_VALUE"""),"Bathroom")</f>
        <v>Bathroom</v>
      </c>
      <c r="Q776" s="5" t="str">
        <f ca="1">IFERROR(__xludf.DUMMYFUNCTION("""COMPUTED_VALUE"""),"Inside School Building")</f>
        <v>Inside School Building</v>
      </c>
      <c r="R776" s="5" t="str">
        <f ca="1">IFERROR(__xludf.DUMMYFUNCTION("""COMPUTED_VALUE"""),"Yes")</f>
        <v>Yes</v>
      </c>
      <c r="S776" s="5" t="str">
        <f ca="1">IFERROR(__xludf.DUMMYFUNCTION("""COMPUTED_VALUE"""),"Lunch")</f>
        <v>Lunch</v>
      </c>
      <c r="T776" s="5"/>
      <c r="U776" s="5">
        <f ca="1">IFERROR(__xludf.DUMMYFUNCTION("""COMPUTED_VALUE"""),1)</f>
        <v>1</v>
      </c>
      <c r="V776" s="5" t="str">
        <f ca="1">IFERROR(__xludf.DUMMYFUNCTION("""COMPUTED_VALUE"""),"Gun discharged in bathroom striking floor, students fled")</f>
        <v>Gun discharged in bathroom striking floor, students fled</v>
      </c>
      <c r="W776"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X776" s="5" t="str">
        <f ca="1">IFERROR(__xludf.DUMMYFUNCTION("""COMPUTED_VALUE"""),"Accidental")</f>
        <v>Accidental</v>
      </c>
      <c r="Y776" s="5" t="str">
        <f ca="1">IFERROR(__xludf.DUMMYFUNCTION("""COMPUTED_VALUE"""),"Neither")</f>
        <v>Neither</v>
      </c>
      <c r="Z776" s="5" t="str">
        <f ca="1">IFERROR(__xludf.DUMMYFUNCTION("""COMPUTED_VALUE"""),"Yes")</f>
        <v>Yes</v>
      </c>
      <c r="AA776" s="5" t="str">
        <f ca="1">IFERROR(__xludf.DUMMYFUNCTION("""COMPUTED_VALUE"""),"Two fled after shooting and arrested")</f>
        <v>Two fled after shooting and arrested</v>
      </c>
      <c r="AB776" s="5" t="str">
        <f ca="1">IFERROR(__xludf.DUMMYFUNCTION("""COMPUTED_VALUE"""),"No")</f>
        <v>No</v>
      </c>
      <c r="AC776" s="5" t="str">
        <f ca="1">IFERROR(__xludf.DUMMYFUNCTION("""COMPUTED_VALUE"""),"No")</f>
        <v>No</v>
      </c>
      <c r="AD776" s="5" t="str">
        <f ca="1">IFERROR(__xludf.DUMMYFUNCTION("""COMPUTED_VALUE"""),"No")</f>
        <v>No</v>
      </c>
      <c r="AE776" s="5" t="str">
        <f ca="1">IFERROR(__xludf.DUMMYFUNCTION("""COMPUTED_VALUE"""),"No")</f>
        <v>No</v>
      </c>
      <c r="AF776" s="5" t="str">
        <f ca="1">IFERROR(__xludf.DUMMYFUNCTION("""COMPUTED_VALUE"""),"No")</f>
        <v>No</v>
      </c>
      <c r="AG776" s="5" t="str">
        <f ca="1">IFERROR(__xludf.DUMMYFUNCTION("""COMPUTED_VALUE"""),"No")</f>
        <v>No</v>
      </c>
      <c r="AH776" s="5" t="str">
        <f ca="1">IFERROR(__xludf.DUMMYFUNCTION("""COMPUTED_VALUE"""),"No")</f>
        <v>No</v>
      </c>
    </row>
    <row r="777" spans="1:34" ht="12.75">
      <c r="A777" s="5" t="str">
        <f ca="1">IFERROR(__xludf.DUMMYFUNCTION("""COMPUTED_VALUE"""),"20180220OHJAM")</f>
        <v>20180220OHJAM</v>
      </c>
      <c r="B777" s="8">
        <f ca="1">IFERROR(__xludf.DUMMYFUNCTION("""COMPUTED_VALUE"""),43151)</f>
        <v>43151</v>
      </c>
      <c r="C777" s="5" t="str">
        <f ca="1">IFERROR(__xludf.DUMMYFUNCTION("""COMPUTED_VALUE"""),"Jackson Memorial Middle School")</f>
        <v>Jackson Memorial Middle School</v>
      </c>
      <c r="D777" s="5">
        <f ca="1">IFERROR(__xludf.DUMMYFUNCTION("""COMPUTED_VALUE"""),0)</f>
        <v>0</v>
      </c>
      <c r="E777" s="5">
        <f ca="1">IFERROR(__xludf.DUMMYFUNCTION("""COMPUTED_VALUE"""),0)</f>
        <v>0</v>
      </c>
      <c r="F777" s="5">
        <f ca="1">IFERROR(__xludf.DUMMYFUNCTION("""COMPUTED_VALUE"""),0)</f>
        <v>0</v>
      </c>
      <c r="G777" s="5">
        <f ca="1">IFERROR(__xludf.DUMMYFUNCTION("""COMPUTED_VALUE"""),1)</f>
        <v>1</v>
      </c>
      <c r="H777"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I777" s="5"/>
      <c r="J777" s="5"/>
      <c r="K777" s="5">
        <f ca="1">IFERROR(__xludf.DUMMYFUNCTION("""COMPUTED_VALUE"""),4)</f>
        <v>4</v>
      </c>
      <c r="L777" s="5" t="str">
        <f ca="1">IFERROR(__xludf.DUMMYFUNCTION("""COMPUTED_VALUE"""),"Winter")</f>
        <v>Winter</v>
      </c>
      <c r="M777" s="5" t="str">
        <f ca="1">IFERROR(__xludf.DUMMYFUNCTION("""COMPUTED_VALUE"""),"Massillon")</f>
        <v>Massillon</v>
      </c>
      <c r="N777" s="5" t="str">
        <f ca="1">IFERROR(__xludf.DUMMYFUNCTION("""COMPUTED_VALUE"""),"OH")</f>
        <v>OH</v>
      </c>
      <c r="O777" s="5" t="str">
        <f ca="1">IFERROR(__xludf.DUMMYFUNCTION("""COMPUTED_VALUE"""),"Middle")</f>
        <v>Middle</v>
      </c>
      <c r="P777" s="5" t="str">
        <f ca="1">IFERROR(__xludf.DUMMYFUNCTION("""COMPUTED_VALUE"""),"Bathroom")</f>
        <v>Bathroom</v>
      </c>
      <c r="Q777" s="5" t="str">
        <f ca="1">IFERROR(__xludf.DUMMYFUNCTION("""COMPUTED_VALUE"""),"Inside School Building")</f>
        <v>Inside School Building</v>
      </c>
      <c r="R777" s="5" t="str">
        <f ca="1">IFERROR(__xludf.DUMMYFUNCTION("""COMPUTED_VALUE"""),"Yes")</f>
        <v>Yes</v>
      </c>
      <c r="S777" s="5" t="str">
        <f ca="1">IFERROR(__xludf.DUMMYFUNCTION("""COMPUTED_VALUE"""),"School Start")</f>
        <v>School Start</v>
      </c>
      <c r="T777" s="5"/>
      <c r="U777" s="5">
        <f ca="1">IFERROR(__xludf.DUMMYFUNCTION("""COMPUTED_VALUE"""),1)</f>
        <v>1</v>
      </c>
      <c r="V777" s="5" t="str">
        <f ca="1">IFERROR(__xludf.DUMMYFUNCTION("""COMPUTED_VALUE"""),"Planned attack, walked out of bathroom then immediately back in, shot himself in head")</f>
        <v>Planned attack, walked out of bathroom then immediately back in, shot himself in head</v>
      </c>
      <c r="W777"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X777" s="5" t="str">
        <f ca="1">IFERROR(__xludf.DUMMYFUNCTION("""COMPUTED_VALUE"""),"Indiscriminate Shooting")</f>
        <v>Indiscriminate Shooting</v>
      </c>
      <c r="Y777" s="5" t="str">
        <f ca="1">IFERROR(__xludf.DUMMYFUNCTION("""COMPUTED_VALUE"""),"Victims Targeted")</f>
        <v>Victims Targeted</v>
      </c>
      <c r="Z777" s="5" t="str">
        <f ca="1">IFERROR(__xludf.DUMMYFUNCTION("""COMPUTED_VALUE"""),"No")</f>
        <v>No</v>
      </c>
      <c r="AA777" s="5"/>
      <c r="AB777" s="5" t="str">
        <f ca="1">IFERROR(__xludf.DUMMYFUNCTION("""COMPUTED_VALUE"""),"No")</f>
        <v>No</v>
      </c>
      <c r="AC777" s="5" t="str">
        <f ca="1">IFERROR(__xludf.DUMMYFUNCTION("""COMPUTED_VALUE"""),"No")</f>
        <v>No</v>
      </c>
      <c r="AD777" s="5" t="str">
        <f ca="1">IFERROR(__xludf.DUMMYFUNCTION("""COMPUTED_VALUE"""),"No")</f>
        <v>No</v>
      </c>
      <c r="AE777" s="5"/>
      <c r="AF777" s="5" t="str">
        <f ca="1">IFERROR(__xludf.DUMMYFUNCTION("""COMPUTED_VALUE"""),"No")</f>
        <v>No</v>
      </c>
      <c r="AG777" s="5" t="str">
        <f ca="1">IFERROR(__xludf.DUMMYFUNCTION("""COMPUTED_VALUE"""),"No")</f>
        <v>No</v>
      </c>
      <c r="AH777" s="5" t="str">
        <f ca="1">IFERROR(__xludf.DUMMYFUNCTION("""COMPUTED_VALUE"""),"No")</f>
        <v>No</v>
      </c>
    </row>
    <row r="778" spans="1:34" ht="12.75">
      <c r="A778" s="5" t="str">
        <f ca="1">IFERROR(__xludf.DUMMYFUNCTION("""COMPUTED_VALUE"""),"20180215FLNOC")</f>
        <v>20180215FLNOC</v>
      </c>
      <c r="B778" s="8">
        <f ca="1">IFERROR(__xludf.DUMMYFUNCTION("""COMPUTED_VALUE"""),43146)</f>
        <v>43146</v>
      </c>
      <c r="C778" s="5" t="str">
        <f ca="1">IFERROR(__xludf.DUMMYFUNCTION("""COMPUTED_VALUE"""),"North Broward Preparatory School")</f>
        <v>North Broward Preparatory School</v>
      </c>
      <c r="D778" s="5">
        <f ca="1">IFERROR(__xludf.DUMMYFUNCTION("""COMPUTED_VALUE"""),0)</f>
        <v>0</v>
      </c>
      <c r="E778" s="5">
        <f ca="1">IFERROR(__xludf.DUMMYFUNCTION("""COMPUTED_VALUE"""),0)</f>
        <v>0</v>
      </c>
      <c r="F778" s="5">
        <f ca="1">IFERROR(__xludf.DUMMYFUNCTION("""COMPUTED_VALUE"""),0)</f>
        <v>0</v>
      </c>
      <c r="G778" s="5">
        <f ca="1">IFERROR(__xludf.DUMMYFUNCTION("""COMPUTED_VALUE"""),0)</f>
        <v>0</v>
      </c>
      <c r="H778"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I778" s="5"/>
      <c r="J778" s="5"/>
      <c r="K778" s="5">
        <f ca="1">IFERROR(__xludf.DUMMYFUNCTION("""COMPUTED_VALUE"""),3)</f>
        <v>3</v>
      </c>
      <c r="L778" s="5" t="str">
        <f ca="1">IFERROR(__xludf.DUMMYFUNCTION("""COMPUTED_VALUE"""),"Winter")</f>
        <v>Winter</v>
      </c>
      <c r="M778" s="5" t="str">
        <f ca="1">IFERROR(__xludf.DUMMYFUNCTION("""COMPUTED_VALUE"""),"Coconut Creek")</f>
        <v>Coconut Creek</v>
      </c>
      <c r="N778" s="5" t="str">
        <f ca="1">IFERROR(__xludf.DUMMYFUNCTION("""COMPUTED_VALUE"""),"FL")</f>
        <v>FL</v>
      </c>
      <c r="O778" s="5" t="str">
        <f ca="1">IFERROR(__xludf.DUMMYFUNCTION("""COMPUTED_VALUE"""),"K-12")</f>
        <v>K-12</v>
      </c>
      <c r="P778" s="5" t="str">
        <f ca="1">IFERROR(__xludf.DUMMYFUNCTION("""COMPUTED_VALUE"""),"Hallway")</f>
        <v>Hallway</v>
      </c>
      <c r="Q778" s="5" t="str">
        <f ca="1">IFERROR(__xludf.DUMMYFUNCTION("""COMPUTED_VALUE"""),"Inside School Building")</f>
        <v>Inside School Building</v>
      </c>
      <c r="R778" s="5" t="str">
        <f ca="1">IFERROR(__xludf.DUMMYFUNCTION("""COMPUTED_VALUE"""),"Yes")</f>
        <v>Yes</v>
      </c>
      <c r="S778" s="5" t="str">
        <f ca="1">IFERROR(__xludf.DUMMYFUNCTION("""COMPUTED_VALUE"""),"Morning Classes")</f>
        <v>Morning Classes</v>
      </c>
      <c r="T778" s="10">
        <f ca="1">IFERROR(__xludf.DUMMYFUNCTION("""COMPUTED_VALUE"""),0.395833333333333)</f>
        <v>0.39583333333333298</v>
      </c>
      <c r="U778" s="5">
        <f ca="1">IFERROR(__xludf.DUMMYFUNCTION("""COMPUTED_VALUE"""),1)</f>
        <v>1</v>
      </c>
      <c r="V778" s="5" t="str">
        <f ca="1">IFERROR(__xludf.DUMMYFUNCTION("""COMPUTED_VALUE"""),"Officer accidentally fired while responding to a call at the school")</f>
        <v>Officer accidentally fired while responding to a call at the school</v>
      </c>
      <c r="W778"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X778" s="5" t="str">
        <f ca="1">IFERROR(__xludf.DUMMYFUNCTION("""COMPUTED_VALUE"""),"Accidental")</f>
        <v>Accidental</v>
      </c>
      <c r="Y778" s="5" t="str">
        <f ca="1">IFERROR(__xludf.DUMMYFUNCTION("""COMPUTED_VALUE"""),"Random Shooting")</f>
        <v>Random Shooting</v>
      </c>
      <c r="Z778" s="5" t="str">
        <f ca="1">IFERROR(__xludf.DUMMYFUNCTION("""COMPUTED_VALUE"""),"No")</f>
        <v>No</v>
      </c>
      <c r="AA778" s="5"/>
      <c r="AB778" s="5" t="str">
        <f ca="1">IFERROR(__xludf.DUMMYFUNCTION("""COMPUTED_VALUE"""),"No")</f>
        <v>No</v>
      </c>
      <c r="AC778" s="5" t="str">
        <f ca="1">IFERROR(__xludf.DUMMYFUNCTION("""COMPUTED_VALUE"""),"No")</f>
        <v>No</v>
      </c>
      <c r="AD778" s="5" t="str">
        <f ca="1">IFERROR(__xludf.DUMMYFUNCTION("""COMPUTED_VALUE"""),"Yes")</f>
        <v>Yes</v>
      </c>
      <c r="AE778" s="5" t="str">
        <f ca="1">IFERROR(__xludf.DUMMYFUNCTION("""COMPUTED_VALUE"""),"N/A")</f>
        <v>N/A</v>
      </c>
      <c r="AF778" s="5" t="str">
        <f ca="1">IFERROR(__xludf.DUMMYFUNCTION("""COMPUTED_VALUE"""),"N/A")</f>
        <v>N/A</v>
      </c>
      <c r="AG778" s="5" t="str">
        <f ca="1">IFERROR(__xludf.DUMMYFUNCTION("""COMPUTED_VALUE"""),"N/A")</f>
        <v>N/A</v>
      </c>
      <c r="AH778" s="5" t="str">
        <f ca="1">IFERROR(__xludf.DUMMYFUNCTION("""COMPUTED_VALUE"""),"No")</f>
        <v>No</v>
      </c>
    </row>
    <row r="779" spans="1:34" ht="12.75">
      <c r="A779" s="5" t="str">
        <f ca="1">IFERROR(__xludf.DUMMYFUNCTION("""COMPUTED_VALUE"""),"20180214FLMAP")</f>
        <v>20180214FLMAP</v>
      </c>
      <c r="B779" s="8">
        <f ca="1">IFERROR(__xludf.DUMMYFUNCTION("""COMPUTED_VALUE"""),43145)</f>
        <v>43145</v>
      </c>
      <c r="C779" s="5" t="str">
        <f ca="1">IFERROR(__xludf.DUMMYFUNCTION("""COMPUTED_VALUE"""),"Marjory Stoneman Douglas High School")</f>
        <v>Marjory Stoneman Douglas High School</v>
      </c>
      <c r="D779" s="5">
        <f ca="1">IFERROR(__xludf.DUMMYFUNCTION("""COMPUTED_VALUE"""),17)</f>
        <v>17</v>
      </c>
      <c r="E779" s="5">
        <f ca="1">IFERROR(__xludf.DUMMYFUNCTION("""COMPUTED_VALUE"""),17)</f>
        <v>17</v>
      </c>
      <c r="F779" s="5">
        <f ca="1">IFERROR(__xludf.DUMMYFUNCTION("""COMPUTED_VALUE"""),34)</f>
        <v>34</v>
      </c>
      <c r="G779" s="5">
        <f ca="1">IFERROR(__xludf.DUMMYFUNCTION("""COMPUTED_VALUE"""),0)</f>
        <v>0</v>
      </c>
      <c r="H779"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I779" s="5">
        <f ca="1">IFERROR(__xludf.DUMMYFUNCTION("""COMPUTED_VALUE"""),999)</f>
        <v>999</v>
      </c>
      <c r="J779" s="5" t="str">
        <f ca="1">IFERROR(__xludf.DUMMYFUNCTION("""COMPUTED_VALUE"""),"International")</f>
        <v>International</v>
      </c>
      <c r="K779" s="5">
        <f ca="1">IFERROR(__xludf.DUMMYFUNCTION("""COMPUTED_VALUE"""),4)</f>
        <v>4</v>
      </c>
      <c r="L779" s="5" t="str">
        <f ca="1">IFERROR(__xludf.DUMMYFUNCTION("""COMPUTED_VALUE"""),"Winter")</f>
        <v>Winter</v>
      </c>
      <c r="M779" s="5" t="str">
        <f ca="1">IFERROR(__xludf.DUMMYFUNCTION("""COMPUTED_VALUE"""),"Parkland")</f>
        <v>Parkland</v>
      </c>
      <c r="N779" s="5" t="str">
        <f ca="1">IFERROR(__xludf.DUMMYFUNCTION("""COMPUTED_VALUE"""),"FL")</f>
        <v>FL</v>
      </c>
      <c r="O779" s="5" t="str">
        <f ca="1">IFERROR(__xludf.DUMMYFUNCTION("""COMPUTED_VALUE"""),"High")</f>
        <v>High</v>
      </c>
      <c r="P779" s="5" t="str">
        <f ca="1">IFERROR(__xludf.DUMMYFUNCTION("""COMPUTED_VALUE"""),"Hallway")</f>
        <v>Hallway</v>
      </c>
      <c r="Q779" s="5" t="str">
        <f ca="1">IFERROR(__xludf.DUMMYFUNCTION("""COMPUTED_VALUE"""),"Inside School Building")</f>
        <v>Inside School Building</v>
      </c>
      <c r="R779" s="5" t="str">
        <f ca="1">IFERROR(__xludf.DUMMYFUNCTION("""COMPUTED_VALUE"""),"Yes")</f>
        <v>Yes</v>
      </c>
      <c r="S779" s="5" t="str">
        <f ca="1">IFERROR(__xludf.DUMMYFUNCTION("""COMPUTED_VALUE"""),"Afternoon Classes")</f>
        <v>Afternoon Classes</v>
      </c>
      <c r="T779" s="10">
        <f ca="1">IFERROR(__xludf.DUMMYFUNCTION("""COMPUTED_VALUE"""),0.597916666666666)</f>
        <v>0.59791666666666599</v>
      </c>
      <c r="U779" s="5">
        <f ca="1">IFERROR(__xludf.DUMMYFUNCTION("""COMPUTED_VALUE"""),7)</f>
        <v>7</v>
      </c>
      <c r="V779" s="5" t="str">
        <f ca="1">IFERROR(__xludf.DUMMYFUNCTION("""COMPUTED_VALUE"""),"Planned attack by former student")</f>
        <v>Planned attack by former student</v>
      </c>
      <c r="W779"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X779" s="5" t="str">
        <f ca="1">IFERROR(__xludf.DUMMYFUNCTION("""COMPUTED_VALUE"""),"Indiscriminate Shooting")</f>
        <v>Indiscriminate Shooting</v>
      </c>
      <c r="Y779" s="5" t="str">
        <f ca="1">IFERROR(__xludf.DUMMYFUNCTION("""COMPUTED_VALUE"""),"Random Shooting")</f>
        <v>Random Shooting</v>
      </c>
      <c r="Z779" s="5" t="str">
        <f ca="1">IFERROR(__xludf.DUMMYFUNCTION("""COMPUTED_VALUE"""),"No")</f>
        <v>No</v>
      </c>
      <c r="AA779" s="5"/>
      <c r="AB779" s="5" t="str">
        <f ca="1">IFERROR(__xludf.DUMMYFUNCTION("""COMPUTED_VALUE"""),"No")</f>
        <v>No</v>
      </c>
      <c r="AC779" s="5" t="str">
        <f ca="1">IFERROR(__xludf.DUMMYFUNCTION("""COMPUTED_VALUE"""),"No")</f>
        <v>No</v>
      </c>
      <c r="AD779" s="5" t="str">
        <f ca="1">IFERROR(__xludf.DUMMYFUNCTION("""COMPUTED_VALUE"""),"No")</f>
        <v>No</v>
      </c>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IFERROR(__xludf.DUMMYFUNCTION("""COMPUTED_VALUE"""),"Yes")</f>
        <v>Yes</v>
      </c>
    </row>
    <row r="780" spans="1:34" ht="12.75">
      <c r="A780" s="5" t="str">
        <f ca="1">IFERROR(__xludf.DUMMYFUNCTION("""COMPUTED_VALUE"""),"20180209TNPEN")</f>
        <v>20180209TNPEN</v>
      </c>
      <c r="B780" s="8">
        <f ca="1">IFERROR(__xludf.DUMMYFUNCTION("""COMPUTED_VALUE"""),43140)</f>
        <v>43140</v>
      </c>
      <c r="C780" s="5" t="str">
        <f ca="1">IFERROR(__xludf.DUMMYFUNCTION("""COMPUTED_VALUE"""),"Peal-Cohn High School")</f>
        <v>Peal-Cohn High School</v>
      </c>
      <c r="D780" s="5">
        <f ca="1">IFERROR(__xludf.DUMMYFUNCTION("""COMPUTED_VALUE"""),0)</f>
        <v>0</v>
      </c>
      <c r="E780" s="5">
        <f ca="1">IFERROR(__xludf.DUMMYFUNCTION("""COMPUTED_VALUE"""),1)</f>
        <v>1</v>
      </c>
      <c r="F780" s="5">
        <f ca="1">IFERROR(__xludf.DUMMYFUNCTION("""COMPUTED_VALUE"""),1)</f>
        <v>1</v>
      </c>
      <c r="G780" s="5">
        <f ca="1">IFERROR(__xludf.DUMMYFUNCTION("""COMPUTED_VALUE"""),0)</f>
        <v>0</v>
      </c>
      <c r="H780" s="9" t="str">
        <f ca="1">IFERROR(__xludf.DUMMYFUNCTION("""COMPUTED_VALUE"""),"http://www.wsmv.com/story/37500077/14-year-old-suspect-wanted-in-shooting-outside-pearl-cohn-high-school")</f>
        <v>http://www.wsmv.com/story/37500077/14-year-old-suspect-wanted-in-shooting-outside-pearl-cohn-high-school</v>
      </c>
      <c r="I780" s="5">
        <f ca="1">IFERROR(__xludf.DUMMYFUNCTION("""COMPUTED_VALUE"""),5)</f>
        <v>5</v>
      </c>
      <c r="J780" s="5" t="str">
        <f ca="1">IFERROR(__xludf.DUMMYFUNCTION("""COMPUTED_VALUE"""),"Regional")</f>
        <v>Regional</v>
      </c>
      <c r="K780" s="5">
        <f ca="1">IFERROR(__xludf.DUMMYFUNCTION("""COMPUTED_VALUE"""),2)</f>
        <v>2</v>
      </c>
      <c r="L780" s="5" t="str">
        <f ca="1">IFERROR(__xludf.DUMMYFUNCTION("""COMPUTED_VALUE"""),"Winter")</f>
        <v>Winter</v>
      </c>
      <c r="M780" s="5" t="str">
        <f ca="1">IFERROR(__xludf.DUMMYFUNCTION("""COMPUTED_VALUE"""),"Nashville")</f>
        <v>Nashville</v>
      </c>
      <c r="N780" s="5" t="str">
        <f ca="1">IFERROR(__xludf.DUMMYFUNCTION("""COMPUTED_VALUE"""),"TN")</f>
        <v>TN</v>
      </c>
      <c r="O780" s="5" t="str">
        <f ca="1">IFERROR(__xludf.DUMMYFUNCTION("""COMPUTED_VALUE"""),"High")</f>
        <v>High</v>
      </c>
      <c r="P780" s="5" t="str">
        <f ca="1">IFERROR(__xludf.DUMMYFUNCTION("""COMPUTED_VALUE"""),"Parking Lot")</f>
        <v>Parking Lot</v>
      </c>
      <c r="Q780" s="5" t="str">
        <f ca="1">IFERROR(__xludf.DUMMYFUNCTION("""COMPUTED_VALUE"""),"Outside on School Property")</f>
        <v>Outside on School Property</v>
      </c>
      <c r="R780" s="5" t="str">
        <f ca="1">IFERROR(__xludf.DUMMYFUNCTION("""COMPUTED_VALUE"""),"No")</f>
        <v>No</v>
      </c>
      <c r="S780" s="5" t="str">
        <f ca="1">IFERROR(__xludf.DUMMYFUNCTION("""COMPUTED_VALUE"""),"Dismissal")</f>
        <v>Dismissal</v>
      </c>
      <c r="T780" s="5"/>
      <c r="U780" s="5">
        <f ca="1">IFERROR(__xludf.DUMMYFUNCTION("""COMPUTED_VALUE"""),1)</f>
        <v>1</v>
      </c>
      <c r="V780" s="5" t="str">
        <f ca="1">IFERROR(__xludf.DUMMYFUNCTION("""COMPUTED_VALUE"""),"Gang related shooting in parking lot")</f>
        <v>Gang related shooting in parking lot</v>
      </c>
      <c r="W780"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X780" s="5" t="str">
        <f ca="1">IFERROR(__xludf.DUMMYFUNCTION("""COMPUTED_VALUE"""),"Escalation of Dispute")</f>
        <v>Escalation of Dispute</v>
      </c>
      <c r="Y780" s="5" t="str">
        <f ca="1">IFERROR(__xludf.DUMMYFUNCTION("""COMPUTED_VALUE"""),"Victims Targeted")</f>
        <v>Victims Targeted</v>
      </c>
      <c r="Z780" s="5"/>
      <c r="AA780" s="5"/>
      <c r="AB780" s="5" t="str">
        <f ca="1">IFERROR(__xludf.DUMMYFUNCTION("""COMPUTED_VALUE"""),"No")</f>
        <v>No</v>
      </c>
      <c r="AC780" s="5" t="str">
        <f ca="1">IFERROR(__xludf.DUMMYFUNCTION("""COMPUTED_VALUE"""),"No")</f>
        <v>No</v>
      </c>
      <c r="AD780" s="5" t="str">
        <f ca="1">IFERROR(__xludf.DUMMYFUNCTION("""COMPUTED_VALUE"""),"No")</f>
        <v>No</v>
      </c>
      <c r="AE780" s="5"/>
      <c r="AF780" s="5" t="str">
        <f ca="1">IFERROR(__xludf.DUMMYFUNCTION("""COMPUTED_VALUE"""),"No")</f>
        <v>No</v>
      </c>
      <c r="AG780" s="5" t="str">
        <f ca="1">IFERROR(__xludf.DUMMYFUNCTION("""COMPUTED_VALUE"""),"Yes")</f>
        <v>Yes</v>
      </c>
      <c r="AH780" s="5" t="str">
        <f ca="1">IFERROR(__xludf.DUMMYFUNCTION("""COMPUTED_VALUE"""),"No")</f>
        <v>No</v>
      </c>
    </row>
    <row r="781" spans="1:34" ht="12.75">
      <c r="A781" s="5" t="str">
        <f ca="1">IFERROR(__xludf.DUMMYFUNCTION("""COMPUTED_VALUE"""),"20180208NYTHN")</f>
        <v>20180208NYTHN</v>
      </c>
      <c r="B781" s="8">
        <f ca="1">IFERROR(__xludf.DUMMYFUNCTION("""COMPUTED_VALUE"""),43139)</f>
        <v>43139</v>
      </c>
      <c r="C781" s="5" t="str">
        <f ca="1">IFERROR(__xludf.DUMMYFUNCTION("""COMPUTED_VALUE"""),"The Metropolitan High School")</f>
        <v>The Metropolitan High School</v>
      </c>
      <c r="D781" s="5">
        <f ca="1">IFERROR(__xludf.DUMMYFUNCTION("""COMPUTED_VALUE"""),0)</f>
        <v>0</v>
      </c>
      <c r="E781" s="5">
        <f ca="1">IFERROR(__xludf.DUMMYFUNCTION("""COMPUTED_VALUE"""),0)</f>
        <v>0</v>
      </c>
      <c r="F781" s="5">
        <f ca="1">IFERROR(__xludf.DUMMYFUNCTION("""COMPUTED_VALUE"""),0)</f>
        <v>0</v>
      </c>
      <c r="G781" s="5">
        <f ca="1">IFERROR(__xludf.DUMMYFUNCTION("""COMPUTED_VALUE"""),0)</f>
        <v>0</v>
      </c>
      <c r="H781" s="9" t="str">
        <f ca="1">IFERROR(__xludf.DUMMYFUNCTION("""COMPUTED_VALUE"""),"https://abc7ny.com/teen-in-custody-after-shot-fired-inside-bronx-high-school/3054112/")</f>
        <v>https://abc7ny.com/teen-in-custody-after-shot-fired-inside-bronx-high-school/3054112/</v>
      </c>
      <c r="I781" s="5"/>
      <c r="J781" s="5"/>
      <c r="K781" s="5">
        <f ca="1">IFERROR(__xludf.DUMMYFUNCTION("""COMPUTED_VALUE"""),2)</f>
        <v>2</v>
      </c>
      <c r="L781" s="5" t="str">
        <f ca="1">IFERROR(__xludf.DUMMYFUNCTION("""COMPUTED_VALUE"""),"Winter")</f>
        <v>Winter</v>
      </c>
      <c r="M781" s="5" t="str">
        <f ca="1">IFERROR(__xludf.DUMMYFUNCTION("""COMPUTED_VALUE"""),"New York")</f>
        <v>New York</v>
      </c>
      <c r="N781" s="5" t="str">
        <f ca="1">IFERROR(__xludf.DUMMYFUNCTION("""COMPUTED_VALUE"""),"NY")</f>
        <v>NY</v>
      </c>
      <c r="O781" s="5" t="str">
        <f ca="1">IFERROR(__xludf.DUMMYFUNCTION("""COMPUTED_VALUE"""),"High")</f>
        <v>High</v>
      </c>
      <c r="P781" s="5" t="str">
        <f ca="1">IFERROR(__xludf.DUMMYFUNCTION("""COMPUTED_VALUE"""),"Classroom")</f>
        <v>Classroom</v>
      </c>
      <c r="Q781" s="5" t="str">
        <f ca="1">IFERROR(__xludf.DUMMYFUNCTION("""COMPUTED_VALUE"""),"Inside School Building")</f>
        <v>Inside School Building</v>
      </c>
      <c r="R781" s="5" t="str">
        <f ca="1">IFERROR(__xludf.DUMMYFUNCTION("""COMPUTED_VALUE"""),"Yes")</f>
        <v>Yes</v>
      </c>
      <c r="S781" s="5" t="str">
        <f ca="1">IFERROR(__xludf.DUMMYFUNCTION("""COMPUTED_VALUE"""),"Afternoon Classes")</f>
        <v>Afternoon Classes</v>
      </c>
      <c r="T781" s="10">
        <f ca="1">IFERROR(__xludf.DUMMYFUNCTION("""COMPUTED_VALUE"""),0.638888888888888)</f>
        <v>0.63888888888888795</v>
      </c>
      <c r="U781" s="5">
        <f ca="1">IFERROR(__xludf.DUMMYFUNCTION("""COMPUTED_VALUE"""),1)</f>
        <v>1</v>
      </c>
      <c r="V781" s="5" t="str">
        <f ca="1">IFERROR(__xludf.DUMMYFUNCTION("""COMPUTED_VALUE"""),"Single gun shot struck floor of classroom, student arrested")</f>
        <v>Single gun shot struck floor of classroom, student arrested</v>
      </c>
      <c r="W781" s="5" t="str">
        <f ca="1">IFERROR(__xludf.DUMMYFUNCTION("""COMPUTED_VALUE"""),"Single gunshot struck floor of classroom. No injuries. 17YOM student arrested. Circumstances unknown.")</f>
        <v>Single gunshot struck floor of classroom. No injuries. 17YOM student arrested. Circumstances unknown.</v>
      </c>
      <c r="X781" s="5" t="str">
        <f ca="1">IFERROR(__xludf.DUMMYFUNCTION("""COMPUTED_VALUE"""),"Accidental")</f>
        <v>Accidental</v>
      </c>
      <c r="Y781" s="5"/>
      <c r="Z781" s="5" t="str">
        <f ca="1">IFERROR(__xludf.DUMMYFUNCTION("""COMPUTED_VALUE"""),"No")</f>
        <v>No</v>
      </c>
      <c r="AA781" s="5"/>
      <c r="AB781" s="5" t="str">
        <f ca="1">IFERROR(__xludf.DUMMYFUNCTION("""COMPUTED_VALUE"""),"No")</f>
        <v>No</v>
      </c>
      <c r="AC781" s="5" t="str">
        <f ca="1">IFERROR(__xludf.DUMMYFUNCTION("""COMPUTED_VALUE"""),"No")</f>
        <v>No</v>
      </c>
      <c r="AD781" s="5" t="str">
        <f ca="1">IFERROR(__xludf.DUMMYFUNCTION("""COMPUTED_VALUE"""),"No")</f>
        <v>No</v>
      </c>
      <c r="AE781" s="5"/>
      <c r="AF781" s="5"/>
      <c r="AG781" s="5"/>
      <c r="AH781" s="5" t="str">
        <f ca="1">IFERROR(__xludf.DUMMYFUNCTION("""COMPUTED_VALUE"""),"No")</f>
        <v>No</v>
      </c>
    </row>
    <row r="782" spans="1:34" ht="12.75">
      <c r="A782" s="5" t="str">
        <f ca="1">IFERROR(__xludf.DUMMYFUNCTION("""COMPUTED_VALUE"""),"20180205MNHAM")</f>
        <v>20180205MNHAM</v>
      </c>
      <c r="B782" s="8">
        <f ca="1">IFERROR(__xludf.DUMMYFUNCTION("""COMPUTED_VALUE"""),43136)</f>
        <v>43136</v>
      </c>
      <c r="C782" s="5" t="str">
        <f ca="1">IFERROR(__xludf.DUMMYFUNCTION("""COMPUTED_VALUE"""),"Harmony Learning Center")</f>
        <v>Harmony Learning Center</v>
      </c>
      <c r="D782" s="5">
        <f ca="1">IFERROR(__xludf.DUMMYFUNCTION("""COMPUTED_VALUE"""),0)</f>
        <v>0</v>
      </c>
      <c r="E782" s="5">
        <f ca="1">IFERROR(__xludf.DUMMYFUNCTION("""COMPUTED_VALUE"""),0)</f>
        <v>0</v>
      </c>
      <c r="F782" s="5">
        <f ca="1">IFERROR(__xludf.DUMMYFUNCTION("""COMPUTED_VALUE"""),0)</f>
        <v>0</v>
      </c>
      <c r="G782" s="5">
        <f ca="1">IFERROR(__xludf.DUMMYFUNCTION("""COMPUTED_VALUE"""),0)</f>
        <v>0</v>
      </c>
      <c r="H782" s="9" t="str">
        <f ca="1">IFERROR(__xludf.DUMMYFUNCTION("""COMPUTED_VALUE"""),"https://www.twincities.com/2018/02/05/maplewood-police-officers-gun-fires-at-school-no-injuries-reported/")</f>
        <v>https://www.twincities.com/2018/02/05/maplewood-police-officers-gun-fires-at-school-no-injuries-reported/</v>
      </c>
      <c r="I782" s="5"/>
      <c r="J782" s="5"/>
      <c r="K782" s="5">
        <f ca="1">IFERROR(__xludf.DUMMYFUNCTION("""COMPUTED_VALUE"""),2)</f>
        <v>2</v>
      </c>
      <c r="L782" s="5" t="str">
        <f ca="1">IFERROR(__xludf.DUMMYFUNCTION("""COMPUTED_VALUE"""),"Winter")</f>
        <v>Winter</v>
      </c>
      <c r="M782" s="5" t="str">
        <f ca="1">IFERROR(__xludf.DUMMYFUNCTION("""COMPUTED_VALUE"""),"Maplewood")</f>
        <v>Maplewood</v>
      </c>
      <c r="N782" s="5" t="str">
        <f ca="1">IFERROR(__xludf.DUMMYFUNCTION("""COMPUTED_VALUE"""),"MN")</f>
        <v>MN</v>
      </c>
      <c r="O782" s="5" t="str">
        <f ca="1">IFERROR(__xludf.DUMMYFUNCTION("""COMPUTED_VALUE"""),"Elementary")</f>
        <v>Elementary</v>
      </c>
      <c r="P782" s="5" t="str">
        <f ca="1">IFERROR(__xludf.DUMMYFUNCTION("""COMPUTED_VALUE"""),"Front of School")</f>
        <v>Front of School</v>
      </c>
      <c r="Q782" s="5" t="str">
        <f ca="1">IFERROR(__xludf.DUMMYFUNCTION("""COMPUTED_VALUE"""),"Outside on School Property")</f>
        <v>Outside on School Property</v>
      </c>
      <c r="R782" s="5" t="str">
        <f ca="1">IFERROR(__xludf.DUMMYFUNCTION("""COMPUTED_VALUE"""),"Yes")</f>
        <v>Yes</v>
      </c>
      <c r="S782" s="5" t="str">
        <f ca="1">IFERROR(__xludf.DUMMYFUNCTION("""COMPUTED_VALUE"""),"Afternoon Classes")</f>
        <v>Afternoon Classes</v>
      </c>
      <c r="T782" s="10">
        <f ca="1">IFERROR(__xludf.DUMMYFUNCTION("""COMPUTED_VALUE"""),0.572916666666666)</f>
        <v>0.57291666666666596</v>
      </c>
      <c r="U782" s="5">
        <f ca="1">IFERROR(__xludf.DUMMYFUNCTION("""COMPUTED_VALUE"""),1)</f>
        <v>1</v>
      </c>
      <c r="V782" s="5" t="str">
        <f ca="1">IFERROR(__xludf.DUMMYFUNCTION("""COMPUTED_VALUE"""),"Student pulled trigger on gun in officer's holster")</f>
        <v>Student pulled trigger on gun in officer's holster</v>
      </c>
      <c r="W782"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X782" s="5" t="str">
        <f ca="1">IFERROR(__xludf.DUMMYFUNCTION("""COMPUTED_VALUE"""),"Accidental")</f>
        <v>Accidental</v>
      </c>
      <c r="Y782" s="5" t="str">
        <f ca="1">IFERROR(__xludf.DUMMYFUNCTION("""COMPUTED_VALUE"""),"Neither")</f>
        <v>Neither</v>
      </c>
      <c r="Z782" s="5" t="str">
        <f ca="1">IFERROR(__xludf.DUMMYFUNCTION("""COMPUTED_VALUE"""),"No")</f>
        <v>No</v>
      </c>
      <c r="AA782" s="5"/>
      <c r="AB782" s="5" t="str">
        <f ca="1">IFERROR(__xludf.DUMMYFUNCTION("""COMPUTED_VALUE"""),"No")</f>
        <v>No</v>
      </c>
      <c r="AC782" s="5" t="str">
        <f ca="1">IFERROR(__xludf.DUMMYFUNCTION("""COMPUTED_VALUE"""),"No")</f>
        <v>No</v>
      </c>
      <c r="AD782" s="5" t="str">
        <f ca="1">IFERROR(__xludf.DUMMYFUNCTION("""COMPUTED_VALUE"""),"No")</f>
        <v>No</v>
      </c>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row>
    <row r="783" spans="1:34" ht="12.75">
      <c r="A783" s="5" t="str">
        <f ca="1">IFERROR(__xludf.DUMMYFUNCTION("""COMPUTED_VALUE"""),"20180205MDOXO")</f>
        <v>20180205MDOXO</v>
      </c>
      <c r="B783" s="8">
        <f ca="1">IFERROR(__xludf.DUMMYFUNCTION("""COMPUTED_VALUE"""),43136)</f>
        <v>43136</v>
      </c>
      <c r="C783" s="5" t="str">
        <f ca="1">IFERROR(__xludf.DUMMYFUNCTION("""COMPUTED_VALUE"""),"Oxon Hill High School")</f>
        <v>Oxon Hill High School</v>
      </c>
      <c r="D783" s="5">
        <f ca="1">IFERROR(__xludf.DUMMYFUNCTION("""COMPUTED_VALUE"""),0)</f>
        <v>0</v>
      </c>
      <c r="E783" s="5">
        <f ca="1">IFERROR(__xludf.DUMMYFUNCTION("""COMPUTED_VALUE"""),1)</f>
        <v>1</v>
      </c>
      <c r="F783" s="5">
        <f ca="1">IFERROR(__xludf.DUMMYFUNCTION("""COMPUTED_VALUE"""),1)</f>
        <v>1</v>
      </c>
      <c r="G783" s="5">
        <f ca="1">IFERROR(__xludf.DUMMYFUNCTION("""COMPUTED_VALUE"""),0)</f>
        <v>0</v>
      </c>
      <c r="H783" s="9" t="str">
        <f ca="1">IFERROR(__xludf.DUMMYFUNCTION("""COMPUTED_VALUE"""),"http://pgpolice.blogspot.ca/2018/02/two-teenage-suspects-in-custody-for-non.html")</f>
        <v>http://pgpolice.blogspot.ca/2018/02/two-teenage-suspects-in-custody-for-non.html</v>
      </c>
      <c r="I783" s="5">
        <f ca="1">IFERROR(__xludf.DUMMYFUNCTION("""COMPUTED_VALUE"""),5)</f>
        <v>5</v>
      </c>
      <c r="J783" s="5" t="str">
        <f ca="1">IFERROR(__xludf.DUMMYFUNCTION("""COMPUTED_VALUE"""),"International")</f>
        <v>International</v>
      </c>
      <c r="K783" s="5">
        <f ca="1">IFERROR(__xludf.DUMMYFUNCTION("""COMPUTED_VALUE"""),4)</f>
        <v>4</v>
      </c>
      <c r="L783" s="5" t="str">
        <f ca="1">IFERROR(__xludf.DUMMYFUNCTION("""COMPUTED_VALUE"""),"Winter")</f>
        <v>Winter</v>
      </c>
      <c r="M783" s="5" t="str">
        <f ca="1">IFERROR(__xludf.DUMMYFUNCTION("""COMPUTED_VALUE"""),"Oxon Hill")</f>
        <v>Oxon Hill</v>
      </c>
      <c r="N783" s="5" t="str">
        <f ca="1">IFERROR(__xludf.DUMMYFUNCTION("""COMPUTED_VALUE"""),"MD")</f>
        <v>MD</v>
      </c>
      <c r="O783" s="5" t="str">
        <f ca="1">IFERROR(__xludf.DUMMYFUNCTION("""COMPUTED_VALUE"""),"High")</f>
        <v>High</v>
      </c>
      <c r="P783" s="5" t="str">
        <f ca="1">IFERROR(__xludf.DUMMYFUNCTION("""COMPUTED_VALUE"""),"Parking Lot")</f>
        <v>Parking Lot</v>
      </c>
      <c r="Q783" s="5" t="str">
        <f ca="1">IFERROR(__xludf.DUMMYFUNCTION("""COMPUTED_VALUE"""),"Outside on School Property")</f>
        <v>Outside on School Property</v>
      </c>
      <c r="R783" s="5" t="str">
        <f ca="1">IFERROR(__xludf.DUMMYFUNCTION("""COMPUTED_VALUE"""),"No")</f>
        <v>No</v>
      </c>
      <c r="S783" s="5" t="str">
        <f ca="1">IFERROR(__xludf.DUMMYFUNCTION("""COMPUTED_VALUE"""),"Evening")</f>
        <v>Evening</v>
      </c>
      <c r="T783" s="5"/>
      <c r="U783" s="5">
        <f ca="1">IFERROR(__xludf.DUMMYFUNCTION("""COMPUTED_VALUE"""),1)</f>
        <v>1</v>
      </c>
      <c r="V783" s="5" t="str">
        <f ca="1">IFERROR(__xludf.DUMMYFUNCTION("""COMPUTED_VALUE"""),"Robbery in school parking lot")</f>
        <v>Robbery in school parking lot</v>
      </c>
      <c r="W783"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X783" s="5" t="str">
        <f ca="1">IFERROR(__xludf.DUMMYFUNCTION("""COMPUTED_VALUE"""),"Illegal Activity")</f>
        <v>Illegal Activity</v>
      </c>
      <c r="Y783" s="5" t="str">
        <f ca="1">IFERROR(__xludf.DUMMYFUNCTION("""COMPUTED_VALUE"""),"Victims Targeted")</f>
        <v>Victims Targeted</v>
      </c>
      <c r="Z783" s="5"/>
      <c r="AA783" s="5"/>
      <c r="AB783" s="5" t="str">
        <f ca="1">IFERROR(__xludf.DUMMYFUNCTION("""COMPUTED_VALUE"""),"No")</f>
        <v>No</v>
      </c>
      <c r="AC783" s="5" t="str">
        <f ca="1">IFERROR(__xludf.DUMMYFUNCTION("""COMPUTED_VALUE"""),"No")</f>
        <v>No</v>
      </c>
      <c r="AD783" s="5" t="str">
        <f ca="1">IFERROR(__xludf.DUMMYFUNCTION("""COMPUTED_VALUE"""),"No")</f>
        <v>No</v>
      </c>
      <c r="AE783" s="5"/>
      <c r="AF783" s="5" t="str">
        <f ca="1">IFERROR(__xludf.DUMMYFUNCTION("""COMPUTED_VALUE"""),"No")</f>
        <v>No</v>
      </c>
      <c r="AG783" s="5" t="str">
        <f ca="1">IFERROR(__xludf.DUMMYFUNCTION("""COMPUTED_VALUE"""),"No")</f>
        <v>No</v>
      </c>
      <c r="AH783" s="5" t="str">
        <f ca="1">IFERROR(__xludf.DUMMYFUNCTION("""COMPUTED_VALUE"""),"No")</f>
        <v>No</v>
      </c>
    </row>
    <row r="784" spans="1:34" ht="12.75">
      <c r="A784" s="5" t="str">
        <f ca="1">IFERROR(__xludf.DUMMYFUNCTION("""COMPUTED_VALUE"""),"20180201CASAL")</f>
        <v>20180201CASAL</v>
      </c>
      <c r="B784" s="8">
        <f ca="1">IFERROR(__xludf.DUMMYFUNCTION("""COMPUTED_VALUE"""),43132)</f>
        <v>43132</v>
      </c>
      <c r="C784" s="5" t="str">
        <f ca="1">IFERROR(__xludf.DUMMYFUNCTION("""COMPUTED_VALUE"""),"Salvador B. Castro Middle School")</f>
        <v>Salvador B. Castro Middle School</v>
      </c>
      <c r="D784" s="5">
        <f ca="1">IFERROR(__xludf.DUMMYFUNCTION("""COMPUTED_VALUE"""),0)</f>
        <v>0</v>
      </c>
      <c r="E784" s="5">
        <f ca="1">IFERROR(__xludf.DUMMYFUNCTION("""COMPUTED_VALUE"""),2)</f>
        <v>2</v>
      </c>
      <c r="F784" s="5">
        <f ca="1">IFERROR(__xludf.DUMMYFUNCTION("""COMPUTED_VALUE"""),2)</f>
        <v>2</v>
      </c>
      <c r="G784" s="5">
        <f ca="1">IFERROR(__xludf.DUMMYFUNCTION("""COMPUTED_VALUE"""),0)</f>
        <v>0</v>
      </c>
      <c r="H784" s="9" t="str">
        <f ca="1">IFERROR(__xludf.DUMMYFUNCTION("""COMPUTED_VALUE"""),"http://abc7.com/charges-filed-against-12-year-old-girl-in-westlake-school-shooting/3023846/")</f>
        <v>http://abc7.com/charges-filed-against-12-year-old-girl-in-westlake-school-shooting/3023846/</v>
      </c>
      <c r="I784" s="5">
        <f ca="1">IFERROR(__xludf.DUMMYFUNCTION("""COMPUTED_VALUE"""),11)</f>
        <v>11</v>
      </c>
      <c r="J784" s="5" t="str">
        <f ca="1">IFERROR(__xludf.DUMMYFUNCTION("""COMPUTED_VALUE"""),"Regional")</f>
        <v>Regional</v>
      </c>
      <c r="K784" s="5">
        <f ca="1">IFERROR(__xludf.DUMMYFUNCTION("""COMPUTED_VALUE"""),2)</f>
        <v>2</v>
      </c>
      <c r="L784" s="5" t="str">
        <f ca="1">IFERROR(__xludf.DUMMYFUNCTION("""COMPUTED_VALUE"""),"Winter")</f>
        <v>Winter</v>
      </c>
      <c r="M784" s="5" t="str">
        <f ca="1">IFERROR(__xludf.DUMMYFUNCTION("""COMPUTED_VALUE"""),"Los Angeles")</f>
        <v>Los Angeles</v>
      </c>
      <c r="N784" s="5" t="str">
        <f ca="1">IFERROR(__xludf.DUMMYFUNCTION("""COMPUTED_VALUE"""),"CA")</f>
        <v>CA</v>
      </c>
      <c r="O784" s="5" t="str">
        <f ca="1">IFERROR(__xludf.DUMMYFUNCTION("""COMPUTED_VALUE"""),"Middle")</f>
        <v>Middle</v>
      </c>
      <c r="P784" s="5" t="str">
        <f ca="1">IFERROR(__xludf.DUMMYFUNCTION("""COMPUTED_VALUE"""),"Classroom")</f>
        <v>Classroom</v>
      </c>
      <c r="Q784" s="5" t="str">
        <f ca="1">IFERROR(__xludf.DUMMYFUNCTION("""COMPUTED_VALUE"""),"Inside School Building")</f>
        <v>Inside School Building</v>
      </c>
      <c r="R784" s="5" t="str">
        <f ca="1">IFERROR(__xludf.DUMMYFUNCTION("""COMPUTED_VALUE"""),"Yes")</f>
        <v>Yes</v>
      </c>
      <c r="S784" s="5" t="str">
        <f ca="1">IFERROR(__xludf.DUMMYFUNCTION("""COMPUTED_VALUE"""),"Morning Classes")</f>
        <v>Morning Classes</v>
      </c>
      <c r="T784" s="10">
        <f ca="1">IFERROR(__xludf.DUMMYFUNCTION("""COMPUTED_VALUE"""),0.371527777777777)</f>
        <v>0.37152777777777701</v>
      </c>
      <c r="U784" s="5">
        <f ca="1">IFERROR(__xludf.DUMMYFUNCTION("""COMPUTED_VALUE"""),1)</f>
        <v>1</v>
      </c>
      <c r="V784" s="5" t="str">
        <f ca="1">IFERROR(__xludf.DUMMYFUNCTION("""COMPUTED_VALUE"""),"Accidental Discharge Inside of Backpack; possible bullying")</f>
        <v>Accidental Discharge Inside of Backpack; possible bullying</v>
      </c>
      <c r="W784"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X784" s="5" t="str">
        <f ca="1">IFERROR(__xludf.DUMMYFUNCTION("""COMPUTED_VALUE"""),"Accidental")</f>
        <v>Accidental</v>
      </c>
      <c r="Y784" s="5" t="str">
        <f ca="1">IFERROR(__xludf.DUMMYFUNCTION("""COMPUTED_VALUE"""),"Random Shooting")</f>
        <v>Random Shooting</v>
      </c>
      <c r="Z784" s="5" t="str">
        <f ca="1">IFERROR(__xludf.DUMMYFUNCTION("""COMPUTED_VALUE"""),"No")</f>
        <v>No</v>
      </c>
      <c r="AA784" s="5"/>
      <c r="AB784" s="5" t="str">
        <f ca="1">IFERROR(__xludf.DUMMYFUNCTION("""COMPUTED_VALUE"""),"No")</f>
        <v>No</v>
      </c>
      <c r="AC784" s="5" t="str">
        <f ca="1">IFERROR(__xludf.DUMMYFUNCTION("""COMPUTED_VALUE"""),"No")</f>
        <v>No</v>
      </c>
      <c r="AD784" s="5" t="str">
        <f ca="1">IFERROR(__xludf.DUMMYFUNCTION("""COMPUTED_VALUE"""),"No")</f>
        <v>No</v>
      </c>
      <c r="AE784" s="5" t="str">
        <f ca="1">IFERROR(__xludf.DUMMYFUNCTION("""COMPUTED_VALUE"""),"Yes")</f>
        <v>Yes</v>
      </c>
      <c r="AF784" s="5" t="str">
        <f ca="1">IFERROR(__xludf.DUMMYFUNCTION("""COMPUTED_VALUE"""),"No")</f>
        <v>No</v>
      </c>
      <c r="AG784" s="5" t="str">
        <f ca="1">IFERROR(__xludf.DUMMYFUNCTION("""COMPUTED_VALUE"""),"No")</f>
        <v>No</v>
      </c>
      <c r="AH784" s="5" t="str">
        <f ca="1">IFERROR(__xludf.DUMMYFUNCTION("""COMPUTED_VALUE"""),"No")</f>
        <v>No</v>
      </c>
    </row>
    <row r="785" spans="1:34" ht="12.75">
      <c r="A785" s="5" t="str">
        <f ca="1">IFERROR(__xludf.DUMMYFUNCTION("""COMPUTED_VALUE"""),"20180131PALIP")</f>
        <v>20180131PALIP</v>
      </c>
      <c r="B785" s="8">
        <f ca="1">IFERROR(__xludf.DUMMYFUNCTION("""COMPUTED_VALUE"""),43131)</f>
        <v>43131</v>
      </c>
      <c r="C785" s="5" t="str">
        <f ca="1">IFERROR(__xludf.DUMMYFUNCTION("""COMPUTED_VALUE"""),"Lincoln High School")</f>
        <v>Lincoln High School</v>
      </c>
      <c r="D785" s="5">
        <f ca="1">IFERROR(__xludf.DUMMYFUNCTION("""COMPUTED_VALUE"""),1)</f>
        <v>1</v>
      </c>
      <c r="E785" s="5">
        <f ca="1">IFERROR(__xludf.DUMMYFUNCTION("""COMPUTED_VALUE"""),0)</f>
        <v>0</v>
      </c>
      <c r="F785" s="5">
        <f ca="1">IFERROR(__xludf.DUMMYFUNCTION("""COMPUTED_VALUE"""),1)</f>
        <v>1</v>
      </c>
      <c r="G785" s="5">
        <f ca="1">IFERROR(__xludf.DUMMYFUNCTION("""COMPUTED_VALUE"""),0)</f>
        <v>0</v>
      </c>
      <c r="H785" s="9" t="str">
        <f ca="1">IFERROR(__xludf.DUMMYFUNCTION("""COMPUTED_VALUE"""),"http://6abc.com/man-32-killed-outside-lincoln-high-school-in-mayfair-idd/3013312/")</f>
        <v>http://6abc.com/man-32-killed-outside-lincoln-high-school-in-mayfair-idd/3013312/</v>
      </c>
      <c r="I785" s="5">
        <f ca="1">IFERROR(__xludf.DUMMYFUNCTION("""COMPUTED_VALUE"""),5)</f>
        <v>5</v>
      </c>
      <c r="J785" s="5" t="str">
        <f ca="1">IFERROR(__xludf.DUMMYFUNCTION("""COMPUTED_VALUE"""),"Local")</f>
        <v>Local</v>
      </c>
      <c r="K785" s="5">
        <f ca="1">IFERROR(__xludf.DUMMYFUNCTION("""COMPUTED_VALUE"""),2)</f>
        <v>2</v>
      </c>
      <c r="L785" s="5" t="str">
        <f ca="1">IFERROR(__xludf.DUMMYFUNCTION("""COMPUTED_VALUE"""),"Winter")</f>
        <v>Winter</v>
      </c>
      <c r="M785" s="5" t="str">
        <f ca="1">IFERROR(__xludf.DUMMYFUNCTION("""COMPUTED_VALUE"""),"Philadelphia")</f>
        <v>Philadelphia</v>
      </c>
      <c r="N785" s="5" t="str">
        <f ca="1">IFERROR(__xludf.DUMMYFUNCTION("""COMPUTED_VALUE"""),"PA")</f>
        <v>PA</v>
      </c>
      <c r="O785" s="5" t="str">
        <f ca="1">IFERROR(__xludf.DUMMYFUNCTION("""COMPUTED_VALUE"""),"High")</f>
        <v>High</v>
      </c>
      <c r="P785" s="5" t="str">
        <f ca="1">IFERROR(__xludf.DUMMYFUNCTION("""COMPUTED_VALUE"""),"Parking Lot")</f>
        <v>Parking Lot</v>
      </c>
      <c r="Q785" s="5" t="str">
        <f ca="1">IFERROR(__xludf.DUMMYFUNCTION("""COMPUTED_VALUE"""),"Outside on School Property")</f>
        <v>Outside on School Property</v>
      </c>
      <c r="R785" s="5" t="str">
        <f ca="1">IFERROR(__xludf.DUMMYFUNCTION("""COMPUTED_VALUE"""),"No")</f>
        <v>No</v>
      </c>
      <c r="S785" s="5" t="str">
        <f ca="1">IFERROR(__xludf.DUMMYFUNCTION("""COMPUTED_VALUE"""),"Sport Event")</f>
        <v>Sport Event</v>
      </c>
      <c r="T785" s="10">
        <f ca="1">IFERROR(__xludf.DUMMYFUNCTION("""COMPUTED_VALUE"""),0.660416666666666)</f>
        <v>0.66041666666666599</v>
      </c>
      <c r="U785" s="5">
        <f ca="1">IFERROR(__xludf.DUMMYFUNCTION("""COMPUTED_VALUE"""),1)</f>
        <v>1</v>
      </c>
      <c r="V785" s="5" t="str">
        <f ca="1">IFERROR(__xludf.DUMMYFUNCTION("""COMPUTED_VALUE"""),"Fight in parking lot after basketball game")</f>
        <v>Fight in parking lot after basketball game</v>
      </c>
      <c r="W785"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X785" s="5" t="str">
        <f ca="1">IFERROR(__xludf.DUMMYFUNCTION("""COMPUTED_VALUE"""),"Escalation of Dispute")</f>
        <v>Escalation of Dispute</v>
      </c>
      <c r="Y785" s="5" t="str">
        <f ca="1">IFERROR(__xludf.DUMMYFUNCTION("""COMPUTED_VALUE"""),"Random Shooting")</f>
        <v>Random Shooting</v>
      </c>
      <c r="Z785" s="5"/>
      <c r="AA785" s="5"/>
      <c r="AB785" s="5" t="str">
        <f ca="1">IFERROR(__xludf.DUMMYFUNCTION("""COMPUTED_VALUE"""),"No")</f>
        <v>No</v>
      </c>
      <c r="AC785" s="5" t="str">
        <f ca="1">IFERROR(__xludf.DUMMYFUNCTION("""COMPUTED_VALUE"""),"No")</f>
        <v>No</v>
      </c>
      <c r="AD785" s="5" t="str">
        <f ca="1">IFERROR(__xludf.DUMMYFUNCTION("""COMPUTED_VALUE"""),"No")</f>
        <v>No</v>
      </c>
      <c r="AE785" s="5"/>
      <c r="AF785" s="5" t="str">
        <f ca="1">IFERROR(__xludf.DUMMYFUNCTION("""COMPUTED_VALUE"""),"No")</f>
        <v>No</v>
      </c>
      <c r="AG785" s="5" t="str">
        <f ca="1">IFERROR(__xludf.DUMMYFUNCTION("""COMPUTED_VALUE"""),"Yes")</f>
        <v>Yes</v>
      </c>
      <c r="AH785" s="5" t="str">
        <f ca="1">IFERROR(__xludf.DUMMYFUNCTION("""COMPUTED_VALUE"""),"No")</f>
        <v>No</v>
      </c>
    </row>
    <row r="786" spans="1:34" ht="12.75">
      <c r="A786" s="5" t="str">
        <f ca="1">IFERROR(__xludf.DUMMYFUNCTION("""COMPUTED_VALUE"""),"20180126MIDED")</f>
        <v>20180126MIDED</v>
      </c>
      <c r="B786" s="8">
        <f ca="1">IFERROR(__xludf.DUMMYFUNCTION("""COMPUTED_VALUE"""),43126)</f>
        <v>43126</v>
      </c>
      <c r="C786" s="5" t="str">
        <f ca="1">IFERROR(__xludf.DUMMYFUNCTION("""COMPUTED_VALUE"""),"Dearborn High School")</f>
        <v>Dearborn High School</v>
      </c>
      <c r="D786" s="5">
        <f ca="1">IFERROR(__xludf.DUMMYFUNCTION("""COMPUTED_VALUE"""),0)</f>
        <v>0</v>
      </c>
      <c r="E786" s="5">
        <f ca="1">IFERROR(__xludf.DUMMYFUNCTION("""COMPUTED_VALUE"""),0)</f>
        <v>0</v>
      </c>
      <c r="F786" s="5">
        <f ca="1">IFERROR(__xludf.DUMMYFUNCTION("""COMPUTED_VALUE"""),0)</f>
        <v>0</v>
      </c>
      <c r="G786" s="5">
        <f ca="1">IFERROR(__xludf.DUMMYFUNCTION("""COMPUTED_VALUE"""),0)</f>
        <v>0</v>
      </c>
      <c r="H786" s="9" t="str">
        <f ca="1">IFERROR(__xludf.DUMMYFUNCTION("""COMPUTED_VALUE"""),"https://www.freep.com/story/news/local/michigan/wayne/2018/01/27/dearborn-high-school-shooting/1071836001/")</f>
        <v>https://www.freep.com/story/news/local/michigan/wayne/2018/01/27/dearborn-high-school-shooting/1071836001/</v>
      </c>
      <c r="I786" s="5"/>
      <c r="J786" s="5"/>
      <c r="K786" s="5">
        <f ca="1">IFERROR(__xludf.DUMMYFUNCTION("""COMPUTED_VALUE"""),2)</f>
        <v>2</v>
      </c>
      <c r="L786" s="5" t="str">
        <f ca="1">IFERROR(__xludf.DUMMYFUNCTION("""COMPUTED_VALUE"""),"Winter")</f>
        <v>Winter</v>
      </c>
      <c r="M786" s="5" t="str">
        <f ca="1">IFERROR(__xludf.DUMMYFUNCTION("""COMPUTED_VALUE"""),"Dearborn")</f>
        <v>Dearborn</v>
      </c>
      <c r="N786" s="5" t="str">
        <f ca="1">IFERROR(__xludf.DUMMYFUNCTION("""COMPUTED_VALUE"""),"MI")</f>
        <v>MI</v>
      </c>
      <c r="O786" s="5" t="str">
        <f ca="1">IFERROR(__xludf.DUMMYFUNCTION("""COMPUTED_VALUE"""),"High")</f>
        <v>High</v>
      </c>
      <c r="P786" s="5" t="str">
        <f ca="1">IFERROR(__xludf.DUMMYFUNCTION("""COMPUTED_VALUE"""),"Parking Lot")</f>
        <v>Parking Lot</v>
      </c>
      <c r="Q786" s="5" t="str">
        <f ca="1">IFERROR(__xludf.DUMMYFUNCTION("""COMPUTED_VALUE"""),"Outside on School Property")</f>
        <v>Outside on School Property</v>
      </c>
      <c r="R786" s="5" t="str">
        <f ca="1">IFERROR(__xludf.DUMMYFUNCTION("""COMPUTED_VALUE"""),"No")</f>
        <v>No</v>
      </c>
      <c r="S786" s="5" t="str">
        <f ca="1">IFERROR(__xludf.DUMMYFUNCTION("""COMPUTED_VALUE"""),"Sport Event")</f>
        <v>Sport Event</v>
      </c>
      <c r="T786" s="10">
        <f ca="1">IFERROR(__xludf.DUMMYFUNCTION("""COMPUTED_VALUE"""),0.833333333333333)</f>
        <v>0.83333333333333304</v>
      </c>
      <c r="U786" s="5">
        <f ca="1">IFERROR(__xludf.DUMMYFUNCTION("""COMPUTED_VALUE"""),1)</f>
        <v>1</v>
      </c>
      <c r="V786" s="5" t="str">
        <f ca="1">IFERROR(__xludf.DUMMYFUNCTION("""COMPUTED_VALUE"""),"Fight in the hallway between students resulted in shooting in the parking lot")</f>
        <v>Fight in the hallway between students resulted in shooting in the parking lot</v>
      </c>
      <c r="W786"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X786" s="5" t="str">
        <f ca="1">IFERROR(__xludf.DUMMYFUNCTION("""COMPUTED_VALUE"""),"Escalation of Dispute")</f>
        <v>Escalation of Dispute</v>
      </c>
      <c r="Y786" s="5"/>
      <c r="Z786" s="5" t="str">
        <f ca="1">IFERROR(__xludf.DUMMYFUNCTION("""COMPUTED_VALUE"""),"Yes")</f>
        <v>Yes</v>
      </c>
      <c r="AA786" s="5" t="str">
        <f ca="1">IFERROR(__xludf.DUMMYFUNCTION("""COMPUTED_VALUE"""),"Group of students")</f>
        <v>Group of students</v>
      </c>
      <c r="AB786" s="5" t="str">
        <f ca="1">IFERROR(__xludf.DUMMYFUNCTION("""COMPUTED_VALUE"""),"No")</f>
        <v>No</v>
      </c>
      <c r="AC786" s="5" t="str">
        <f ca="1">IFERROR(__xludf.DUMMYFUNCTION("""COMPUTED_VALUE"""),"No")</f>
        <v>No</v>
      </c>
      <c r="AD786" s="5" t="str">
        <f ca="1">IFERROR(__xludf.DUMMYFUNCTION("""COMPUTED_VALUE"""),"No")</f>
        <v>No</v>
      </c>
      <c r="AE786" s="5" t="str">
        <f ca="1">IFERROR(__xludf.DUMMYFUNCTION("""COMPUTED_VALUE"""),"No")</f>
        <v>No</v>
      </c>
      <c r="AF786" s="5" t="str">
        <f ca="1">IFERROR(__xludf.DUMMYFUNCTION("""COMPUTED_VALUE"""),"No")</f>
        <v>No</v>
      </c>
      <c r="AG786" s="5" t="str">
        <f ca="1">IFERROR(__xludf.DUMMYFUNCTION("""COMPUTED_VALUE"""),"Yes")</f>
        <v>Yes</v>
      </c>
      <c r="AH786" s="5" t="str">
        <f ca="1">IFERROR(__xludf.DUMMYFUNCTION("""COMPUTED_VALUE"""),"No")</f>
        <v>No</v>
      </c>
    </row>
    <row r="787" spans="1:34" ht="12.75">
      <c r="A787" s="5" t="str">
        <f ca="1">IFERROR(__xludf.DUMMYFUNCTION("""COMPUTED_VALUE"""),"20180125ALMUM")</f>
        <v>20180125ALMUM</v>
      </c>
      <c r="B787" s="8">
        <f ca="1">IFERROR(__xludf.DUMMYFUNCTION("""COMPUTED_VALUE"""),43125)</f>
        <v>43125</v>
      </c>
      <c r="C787" s="5" t="str">
        <f ca="1">IFERROR(__xludf.DUMMYFUNCTION("""COMPUTED_VALUE"""),"Murphy High School")</f>
        <v>Murphy High School</v>
      </c>
      <c r="D787" s="5">
        <f ca="1">IFERROR(__xludf.DUMMYFUNCTION("""COMPUTED_VALUE"""),0)</f>
        <v>0</v>
      </c>
      <c r="E787" s="5">
        <f ca="1">IFERROR(__xludf.DUMMYFUNCTION("""COMPUTED_VALUE"""),0)</f>
        <v>0</v>
      </c>
      <c r="F787" s="5">
        <f ca="1">IFERROR(__xludf.DUMMYFUNCTION("""COMPUTED_VALUE"""),0)</f>
        <v>0</v>
      </c>
      <c r="G787" s="5">
        <f ca="1">IFERROR(__xludf.DUMMYFUNCTION("""COMPUTED_VALUE"""),0)</f>
        <v>0</v>
      </c>
      <c r="H787" s="9" t="str">
        <f ca="1">IFERROR(__xludf.DUMMYFUNCTION("""COMPUTED_VALUE"""),"https://lagniappemobile.com/police-student-fired-weapon-indiscriminately-campus/")</f>
        <v>https://lagniappemobile.com/police-student-fired-weapon-indiscriminately-campus/</v>
      </c>
      <c r="I787" s="5">
        <f ca="1">IFERROR(__xludf.DUMMYFUNCTION("""COMPUTED_VALUE"""),5)</f>
        <v>5</v>
      </c>
      <c r="J787" s="5" t="str">
        <f ca="1">IFERROR(__xludf.DUMMYFUNCTION("""COMPUTED_VALUE"""),"Local")</f>
        <v>Local</v>
      </c>
      <c r="K787" s="5">
        <f ca="1">IFERROR(__xludf.DUMMYFUNCTION("""COMPUTED_VALUE"""),2)</f>
        <v>2</v>
      </c>
      <c r="L787" s="5" t="str">
        <f ca="1">IFERROR(__xludf.DUMMYFUNCTION("""COMPUTED_VALUE"""),"Winter")</f>
        <v>Winter</v>
      </c>
      <c r="M787" s="5" t="str">
        <f ca="1">IFERROR(__xludf.DUMMYFUNCTION("""COMPUTED_VALUE"""),"Mobile")</f>
        <v>Mobile</v>
      </c>
      <c r="N787" s="5" t="str">
        <f ca="1">IFERROR(__xludf.DUMMYFUNCTION("""COMPUTED_VALUE"""),"AL")</f>
        <v>AL</v>
      </c>
      <c r="O787" s="5" t="str">
        <f ca="1">IFERROR(__xludf.DUMMYFUNCTION("""COMPUTED_VALUE"""),"High")</f>
        <v>High</v>
      </c>
      <c r="P787" s="5" t="str">
        <f ca="1">IFERROR(__xludf.DUMMYFUNCTION("""COMPUTED_VALUE"""),"Beside Building")</f>
        <v>Beside Building</v>
      </c>
      <c r="Q787" s="5" t="str">
        <f ca="1">IFERROR(__xludf.DUMMYFUNCTION("""COMPUTED_VALUE"""),"Outside on School Property")</f>
        <v>Outside on School Property</v>
      </c>
      <c r="R787" s="5" t="str">
        <f ca="1">IFERROR(__xludf.DUMMYFUNCTION("""COMPUTED_VALUE"""),"Yes")</f>
        <v>Yes</v>
      </c>
      <c r="S787" s="5" t="str">
        <f ca="1">IFERROR(__xludf.DUMMYFUNCTION("""COMPUTED_VALUE"""),"Morning Classes")</f>
        <v>Morning Classes</v>
      </c>
      <c r="T787" s="10">
        <f ca="1">IFERROR(__xludf.DUMMYFUNCTION("""COMPUTED_VALUE"""),0.472222222222222)</f>
        <v>0.47222222222222199</v>
      </c>
      <c r="U787" s="5">
        <f ca="1">IFERROR(__xludf.DUMMYFUNCTION("""COMPUTED_VALUE"""),1)</f>
        <v>1</v>
      </c>
      <c r="V787" s="5" t="str">
        <f ca="1">IFERROR(__xludf.DUMMYFUNCTION("""COMPUTED_VALUE"""),"Argument escalated")</f>
        <v>Argument escalated</v>
      </c>
      <c r="W787"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X787" s="5" t="str">
        <f ca="1">IFERROR(__xludf.DUMMYFUNCTION("""COMPUTED_VALUE"""),"Escalation of Dispute")</f>
        <v>Escalation of Dispute</v>
      </c>
      <c r="Y787" s="5" t="str">
        <f ca="1">IFERROR(__xludf.DUMMYFUNCTION("""COMPUTED_VALUE"""),"Victims Targeted")</f>
        <v>Victims Targeted</v>
      </c>
      <c r="Z787" s="5" t="str">
        <f ca="1">IFERROR(__xludf.DUMMYFUNCTION("""COMPUTED_VALUE"""),"No")</f>
        <v>No</v>
      </c>
      <c r="AA787" s="5"/>
      <c r="AB787" s="5" t="str">
        <f ca="1">IFERROR(__xludf.DUMMYFUNCTION("""COMPUTED_VALUE"""),"No")</f>
        <v>No</v>
      </c>
      <c r="AC787" s="5" t="str">
        <f ca="1">IFERROR(__xludf.DUMMYFUNCTION("""COMPUTED_VALUE"""),"No")</f>
        <v>No</v>
      </c>
      <c r="AD787" s="5" t="str">
        <f ca="1">IFERROR(__xludf.DUMMYFUNCTION("""COMPUTED_VALUE"""),"No")</f>
        <v>No</v>
      </c>
      <c r="AE787" s="5"/>
      <c r="AF787" s="5" t="str">
        <f ca="1">IFERROR(__xludf.DUMMYFUNCTION("""COMPUTED_VALUE"""),"No")</f>
        <v>No</v>
      </c>
      <c r="AG787" s="5" t="str">
        <f ca="1">IFERROR(__xludf.DUMMYFUNCTION("""COMPUTED_VALUE"""),"No")</f>
        <v>No</v>
      </c>
      <c r="AH787" s="5" t="str">
        <f ca="1">IFERROR(__xludf.DUMMYFUNCTION("""COMPUTED_VALUE"""),"No")</f>
        <v>No</v>
      </c>
    </row>
    <row r="788" spans="1:34" ht="12.75">
      <c r="A788" s="5" t="str">
        <f ca="1">IFERROR(__xludf.DUMMYFUNCTION("""COMPUTED_VALUE"""),"20180123KYMAB")</f>
        <v>20180123KYMAB</v>
      </c>
      <c r="B788" s="8">
        <f ca="1">IFERROR(__xludf.DUMMYFUNCTION("""COMPUTED_VALUE"""),43123)</f>
        <v>43123</v>
      </c>
      <c r="C788" s="5" t="str">
        <f ca="1">IFERROR(__xludf.DUMMYFUNCTION("""COMPUTED_VALUE"""),"Marshall County High School")</f>
        <v>Marshall County High School</v>
      </c>
      <c r="D788" s="5">
        <f ca="1">IFERROR(__xludf.DUMMYFUNCTION("""COMPUTED_VALUE"""),2)</f>
        <v>2</v>
      </c>
      <c r="E788" s="5">
        <f ca="1">IFERROR(__xludf.DUMMYFUNCTION("""COMPUTED_VALUE"""),18)</f>
        <v>18</v>
      </c>
      <c r="F788" s="5">
        <f ca="1">IFERROR(__xludf.DUMMYFUNCTION("""COMPUTED_VALUE"""),20)</f>
        <v>20</v>
      </c>
      <c r="G788" s="5">
        <f ca="1">IFERROR(__xludf.DUMMYFUNCTION("""COMPUTED_VALUE"""),0)</f>
        <v>0</v>
      </c>
      <c r="H788"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I788" s="5">
        <f ca="1">IFERROR(__xludf.DUMMYFUNCTION("""COMPUTED_VALUE"""),11)</f>
        <v>11</v>
      </c>
      <c r="J788" s="5" t="str">
        <f ca="1">IFERROR(__xludf.DUMMYFUNCTION("""COMPUTED_VALUE"""),"National")</f>
        <v>National</v>
      </c>
      <c r="K788" s="5">
        <f ca="1">IFERROR(__xludf.DUMMYFUNCTION("""COMPUTED_VALUE"""),4)</f>
        <v>4</v>
      </c>
      <c r="L788" s="5" t="str">
        <f ca="1">IFERROR(__xludf.DUMMYFUNCTION("""COMPUTED_VALUE"""),"Winter")</f>
        <v>Winter</v>
      </c>
      <c r="M788" s="5" t="str">
        <f ca="1">IFERROR(__xludf.DUMMYFUNCTION("""COMPUTED_VALUE"""),"Benton")</f>
        <v>Benton</v>
      </c>
      <c r="N788" s="5" t="str">
        <f ca="1">IFERROR(__xludf.DUMMYFUNCTION("""COMPUTED_VALUE"""),"KY")</f>
        <v>KY</v>
      </c>
      <c r="O788" s="5" t="str">
        <f ca="1">IFERROR(__xludf.DUMMYFUNCTION("""COMPUTED_VALUE"""),"High")</f>
        <v>High</v>
      </c>
      <c r="P788" s="5" t="str">
        <f ca="1">IFERROR(__xludf.DUMMYFUNCTION("""COMPUTED_VALUE"""),"Hallway")</f>
        <v>Hallway</v>
      </c>
      <c r="Q788" s="5" t="str">
        <f ca="1">IFERROR(__xludf.DUMMYFUNCTION("""COMPUTED_VALUE"""),"Inside School Building")</f>
        <v>Inside School Building</v>
      </c>
      <c r="R788" s="5" t="str">
        <f ca="1">IFERROR(__xludf.DUMMYFUNCTION("""COMPUTED_VALUE"""),"Yes")</f>
        <v>Yes</v>
      </c>
      <c r="S788" s="5" t="str">
        <f ca="1">IFERROR(__xludf.DUMMYFUNCTION("""COMPUTED_VALUE"""),"Morning Classes")</f>
        <v>Morning Classes</v>
      </c>
      <c r="T788" s="10">
        <f ca="1">IFERROR(__xludf.DUMMYFUNCTION("""COMPUTED_VALUE"""),0.33125)</f>
        <v>0.33124999999999999</v>
      </c>
      <c r="U788" s="5">
        <f ca="1">IFERROR(__xludf.DUMMYFUNCTION("""COMPUTED_VALUE"""),3)</f>
        <v>3</v>
      </c>
      <c r="V788" s="5" t="str">
        <f ca="1">IFERROR(__xludf.DUMMYFUNCTION("""COMPUTED_VALUE"""),"Planned attack. Shooting was science experiment to see how people reacted; belief human life has no purpose.")</f>
        <v>Planned attack. Shooting was science experiment to see how people reacted; belief human life has no purpose.</v>
      </c>
      <c r="W788" s="5" t="str">
        <f ca="1">IFERROR(__xludf.DUMMYFUNCTION("""COMPUTED_VALUE"""),"Shooter brought a gun, 2 mags, and a hunting knife to school to defend self from students after he ran out of bullets. Started shooting inside the building.Told police he had been thinking about shooting for week. Did not have specific victims but made su"&amp;"re his fellow musicians at school were safe. After he stopped shooting, he told them there was a shooter and was evacuated with the other students then surrendered without fighting. Thought about suicide but didn't want additional trauma to his family. Pl"&amp;"ayed games related to WW2. Interested in science and thought of the shooting as an experiment to test reactions, and was curious about prison life. Step-sister claims he was bullied.")</f>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X788" s="5" t="str">
        <f ca="1">IFERROR(__xludf.DUMMYFUNCTION("""COMPUTED_VALUE"""),"Indiscriminate Shooting")</f>
        <v>Indiscriminate Shooting</v>
      </c>
      <c r="Y788" s="5" t="str">
        <f ca="1">IFERROR(__xludf.DUMMYFUNCTION("""COMPUTED_VALUE"""),"Random Shooting")</f>
        <v>Random Shooting</v>
      </c>
      <c r="Z788" s="5" t="str">
        <f ca="1">IFERROR(__xludf.DUMMYFUNCTION("""COMPUTED_VALUE"""),"No")</f>
        <v>No</v>
      </c>
      <c r="AA788" s="5"/>
      <c r="AB788" s="5" t="str">
        <f ca="1">IFERROR(__xludf.DUMMYFUNCTION("""COMPUTED_VALUE"""),"No")</f>
        <v>No</v>
      </c>
      <c r="AC788" s="5" t="str">
        <f ca="1">IFERROR(__xludf.DUMMYFUNCTION("""COMPUTED_VALUE"""),"No")</f>
        <v>No</v>
      </c>
      <c r="AD788" s="5" t="str">
        <f ca="1">IFERROR(__xludf.DUMMYFUNCTION("""COMPUTED_VALUE"""),"No")</f>
        <v>No</v>
      </c>
      <c r="AE788" s="5"/>
      <c r="AF788" s="5" t="str">
        <f ca="1">IFERROR(__xludf.DUMMYFUNCTION("""COMPUTED_VALUE"""),"No")</f>
        <v>No</v>
      </c>
      <c r="AG788" s="5" t="str">
        <f ca="1">IFERROR(__xludf.DUMMYFUNCTION("""COMPUTED_VALUE"""),"No")</f>
        <v>No</v>
      </c>
      <c r="AH788" s="5" t="str">
        <f ca="1">IFERROR(__xludf.DUMMYFUNCTION("""COMPUTED_VALUE"""),"Yes")</f>
        <v>Yes</v>
      </c>
    </row>
    <row r="789" spans="1:34" ht="12.75">
      <c r="A789" s="5" t="str">
        <f ca="1">IFERROR(__xludf.DUMMYFUNCTION("""COMPUTED_VALUE"""),"20180122TXITI")</f>
        <v>20180122TXITI</v>
      </c>
      <c r="B789" s="8">
        <f ca="1">IFERROR(__xludf.DUMMYFUNCTION("""COMPUTED_VALUE"""),43122)</f>
        <v>43122</v>
      </c>
      <c r="C789" s="5" t="str">
        <f ca="1">IFERROR(__xludf.DUMMYFUNCTION("""COMPUTED_VALUE"""),"Italy High School")</f>
        <v>Italy High School</v>
      </c>
      <c r="D789" s="5">
        <f ca="1">IFERROR(__xludf.DUMMYFUNCTION("""COMPUTED_VALUE"""),0)</f>
        <v>0</v>
      </c>
      <c r="E789" s="5">
        <f ca="1">IFERROR(__xludf.DUMMYFUNCTION("""COMPUTED_VALUE"""),1)</f>
        <v>1</v>
      </c>
      <c r="F789" s="5">
        <f ca="1">IFERROR(__xludf.DUMMYFUNCTION("""COMPUTED_VALUE"""),1)</f>
        <v>1</v>
      </c>
      <c r="G789" s="5">
        <f ca="1">IFERROR(__xludf.DUMMYFUNCTION("""COMPUTED_VALUE"""),0)</f>
        <v>0</v>
      </c>
      <c r="H789"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I789" s="5">
        <f ca="1">IFERROR(__xludf.DUMMYFUNCTION("""COMPUTED_VALUE"""),11)</f>
        <v>11</v>
      </c>
      <c r="J789" s="5" t="str">
        <f ca="1">IFERROR(__xludf.DUMMYFUNCTION("""COMPUTED_VALUE"""),"National")</f>
        <v>National</v>
      </c>
      <c r="K789" s="5">
        <f ca="1">IFERROR(__xludf.DUMMYFUNCTION("""COMPUTED_VALUE"""),4)</f>
        <v>4</v>
      </c>
      <c r="L789" s="5" t="str">
        <f ca="1">IFERROR(__xludf.DUMMYFUNCTION("""COMPUTED_VALUE"""),"Winter")</f>
        <v>Winter</v>
      </c>
      <c r="M789" s="5" t="str">
        <f ca="1">IFERROR(__xludf.DUMMYFUNCTION("""COMPUTED_VALUE"""),"Italy")</f>
        <v>Italy</v>
      </c>
      <c r="N789" s="5" t="str">
        <f ca="1">IFERROR(__xludf.DUMMYFUNCTION("""COMPUTED_VALUE"""),"TX")</f>
        <v>TX</v>
      </c>
      <c r="O789" s="5" t="str">
        <f ca="1">IFERROR(__xludf.DUMMYFUNCTION("""COMPUTED_VALUE"""),"High")</f>
        <v>High</v>
      </c>
      <c r="P789" s="5" t="str">
        <f ca="1">IFERROR(__xludf.DUMMYFUNCTION("""COMPUTED_VALUE"""),"Cafeteria")</f>
        <v>Cafeteria</v>
      </c>
      <c r="Q789" s="5" t="str">
        <f ca="1">IFERROR(__xludf.DUMMYFUNCTION("""COMPUTED_VALUE"""),"Inside School Building")</f>
        <v>Inside School Building</v>
      </c>
      <c r="R789" s="5" t="str">
        <f ca="1">IFERROR(__xludf.DUMMYFUNCTION("""COMPUTED_VALUE"""),"Yes")</f>
        <v>Yes</v>
      </c>
      <c r="S789" s="5" t="str">
        <f ca="1">IFERROR(__xludf.DUMMYFUNCTION("""COMPUTED_VALUE"""),"Before School")</f>
        <v>Before School</v>
      </c>
      <c r="T789" s="10">
        <f ca="1">IFERROR(__xludf.DUMMYFUNCTION("""COMPUTED_VALUE"""),0.328472222222222)</f>
        <v>0.328472222222222</v>
      </c>
      <c r="U789" s="5">
        <f ca="1">IFERROR(__xludf.DUMMYFUNCTION("""COMPUTED_VALUE"""),1)</f>
        <v>1</v>
      </c>
      <c r="V789" s="5" t="str">
        <f ca="1">IFERROR(__xludf.DUMMYFUNCTION("""COMPUTED_VALUE"""),"Shot ex-girlfriend after break-up")</f>
        <v>Shot ex-girlfriend after break-up</v>
      </c>
      <c r="W789"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X789" s="5" t="str">
        <f ca="1">IFERROR(__xludf.DUMMYFUNCTION("""COMPUTED_VALUE"""),"Domestic w/ Targeted Victim")</f>
        <v>Domestic w/ Targeted Victim</v>
      </c>
      <c r="Y789" s="5" t="str">
        <f ca="1">IFERROR(__xludf.DUMMYFUNCTION("""COMPUTED_VALUE"""),"Victims Targeted")</f>
        <v>Victims Targeted</v>
      </c>
      <c r="Z789" s="5"/>
      <c r="AA789" s="5"/>
      <c r="AB789" s="5" t="str">
        <f ca="1">IFERROR(__xludf.DUMMYFUNCTION("""COMPUTED_VALUE"""),"No")</f>
        <v>No</v>
      </c>
      <c r="AC789" s="5" t="str">
        <f ca="1">IFERROR(__xludf.DUMMYFUNCTION("""COMPUTED_VALUE"""),"No")</f>
        <v>No</v>
      </c>
      <c r="AD789" s="5" t="str">
        <f ca="1">IFERROR(__xludf.DUMMYFUNCTION("""COMPUTED_VALUE"""),"No")</f>
        <v>No</v>
      </c>
      <c r="AE789" s="5" t="str">
        <f ca="1">IFERROR(__xludf.DUMMYFUNCTION("""COMPUTED_VALUE"""),"No")</f>
        <v>No</v>
      </c>
      <c r="AF789" s="5" t="str">
        <f ca="1">IFERROR(__xludf.DUMMYFUNCTION("""COMPUTED_VALUE"""),"Yes")</f>
        <v>Yes</v>
      </c>
      <c r="AG789" s="5" t="str">
        <f ca="1">IFERROR(__xludf.DUMMYFUNCTION("""COMPUTED_VALUE"""),"No")</f>
        <v>No</v>
      </c>
      <c r="AH789" s="5" t="str">
        <f ca="1">IFERROR(__xludf.DUMMYFUNCTION("""COMPUTED_VALUE"""),"Yes")</f>
        <v>Yes</v>
      </c>
    </row>
    <row r="790" spans="1:34" ht="12.75">
      <c r="A790" s="5" t="str">
        <f ca="1">IFERROR(__xludf.DUMMYFUNCTION("""COMPUTED_VALUE"""),"20180122LANEN")</f>
        <v>20180122LANEN</v>
      </c>
      <c r="B790" s="8">
        <f ca="1">IFERROR(__xludf.DUMMYFUNCTION("""COMPUTED_VALUE"""),43122)</f>
        <v>43122</v>
      </c>
      <c r="C790" s="5" t="str">
        <f ca="1">IFERROR(__xludf.DUMMYFUNCTION("""COMPUTED_VALUE"""),"NET Charter High School")</f>
        <v>NET Charter High School</v>
      </c>
      <c r="D790" s="5">
        <f ca="1">IFERROR(__xludf.DUMMYFUNCTION("""COMPUTED_VALUE"""),0)</f>
        <v>0</v>
      </c>
      <c r="E790" s="5">
        <f ca="1">IFERROR(__xludf.DUMMYFUNCTION("""COMPUTED_VALUE"""),0)</f>
        <v>0</v>
      </c>
      <c r="F790" s="5">
        <f ca="1">IFERROR(__xludf.DUMMYFUNCTION("""COMPUTED_VALUE"""),0)</f>
        <v>0</v>
      </c>
      <c r="G790" s="5">
        <f ca="1">IFERROR(__xludf.DUMMYFUNCTION("""COMPUTED_VALUE"""),0)</f>
        <v>0</v>
      </c>
      <c r="H790" s="9" t="str">
        <f ca="1">IFERROR(__xludf.DUMMYFUNCTION("""COMPUTED_VALUE"""),"http://www.nola.com/crime/index.ssf/2018/02/how_many_school_shootings_2018.html")</f>
        <v>http://www.nola.com/crime/index.ssf/2018/02/how_many_school_shootings_2018.html</v>
      </c>
      <c r="I790" s="5">
        <f ca="1">IFERROR(__xludf.DUMMYFUNCTION("""COMPUTED_VALUE"""),5)</f>
        <v>5</v>
      </c>
      <c r="J790" s="5" t="str">
        <f ca="1">IFERROR(__xludf.DUMMYFUNCTION("""COMPUTED_VALUE"""),"Local")</f>
        <v>Local</v>
      </c>
      <c r="K790" s="5">
        <f ca="1">IFERROR(__xludf.DUMMYFUNCTION("""COMPUTED_VALUE"""),2)</f>
        <v>2</v>
      </c>
      <c r="L790" s="5" t="str">
        <f ca="1">IFERROR(__xludf.DUMMYFUNCTION("""COMPUTED_VALUE"""),"Winter")</f>
        <v>Winter</v>
      </c>
      <c r="M790" s="5" t="str">
        <f ca="1">IFERROR(__xludf.DUMMYFUNCTION("""COMPUTED_VALUE"""),"New Orleans")</f>
        <v>New Orleans</v>
      </c>
      <c r="N790" s="5" t="str">
        <f ca="1">IFERROR(__xludf.DUMMYFUNCTION("""COMPUTED_VALUE"""),"LA")</f>
        <v>LA</v>
      </c>
      <c r="O790" s="5" t="str">
        <f ca="1">IFERROR(__xludf.DUMMYFUNCTION("""COMPUTED_VALUE"""),"High")</f>
        <v>High</v>
      </c>
      <c r="P790" s="5" t="str">
        <f ca="1">IFERROR(__xludf.DUMMYFUNCTION("""COMPUTED_VALUE"""),"Front of School")</f>
        <v>Front of School</v>
      </c>
      <c r="Q790" s="5" t="str">
        <f ca="1">IFERROR(__xludf.DUMMYFUNCTION("""COMPUTED_VALUE"""),"Outside on School Property")</f>
        <v>Outside on School Property</v>
      </c>
      <c r="R790" s="5" t="str">
        <f ca="1">IFERROR(__xludf.DUMMYFUNCTION("""COMPUTED_VALUE"""),"Yes")</f>
        <v>Yes</v>
      </c>
      <c r="S790" s="5" t="str">
        <f ca="1">IFERROR(__xludf.DUMMYFUNCTION("""COMPUTED_VALUE"""),"Afternoon Classes")</f>
        <v>Afternoon Classes</v>
      </c>
      <c r="T790" s="10">
        <f ca="1">IFERROR(__xludf.DUMMYFUNCTION("""COMPUTED_VALUE"""),0.5625)</f>
        <v>0.5625</v>
      </c>
      <c r="U790" s="5">
        <f ca="1">IFERROR(__xludf.DUMMYFUNCTION("""COMPUTED_VALUE"""),1)</f>
        <v>1</v>
      </c>
      <c r="V790" s="5" t="str">
        <f ca="1">IFERROR(__xludf.DUMMYFUNCTION("""COMPUTED_VALUE"""),"Drive-by shooting in front of school")</f>
        <v>Drive-by shooting in front of school</v>
      </c>
      <c r="W790"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X790" s="5" t="str">
        <f ca="1">IFERROR(__xludf.DUMMYFUNCTION("""COMPUTED_VALUE"""),"Drive-by Shooting")</f>
        <v>Drive-by Shooting</v>
      </c>
      <c r="Y790" s="5" t="str">
        <f ca="1">IFERROR(__xludf.DUMMYFUNCTION("""COMPUTED_VALUE"""),"Victims Targeted")</f>
        <v>Victims Targeted</v>
      </c>
      <c r="Z790" s="5"/>
      <c r="AA790" s="5"/>
      <c r="AB790" s="5" t="str">
        <f ca="1">IFERROR(__xludf.DUMMYFUNCTION("""COMPUTED_VALUE"""),"No")</f>
        <v>No</v>
      </c>
      <c r="AC790" s="5" t="str">
        <f ca="1">IFERROR(__xludf.DUMMYFUNCTION("""COMPUTED_VALUE"""),"No")</f>
        <v>No</v>
      </c>
      <c r="AD790" s="5" t="str">
        <f ca="1">IFERROR(__xludf.DUMMYFUNCTION("""COMPUTED_VALUE"""),"No")</f>
        <v>No</v>
      </c>
      <c r="AE790" s="5" t="str">
        <f ca="1">IFERROR(__xludf.DUMMYFUNCTION("""COMPUTED_VALUE"""),"No")</f>
        <v>No</v>
      </c>
      <c r="AF790" s="5" t="str">
        <f ca="1">IFERROR(__xludf.DUMMYFUNCTION("""COMPUTED_VALUE"""),"No")</f>
        <v>No</v>
      </c>
      <c r="AG790" s="5" t="str">
        <f ca="1">IFERROR(__xludf.DUMMYFUNCTION("""COMPUTED_VALUE"""),"Yes")</f>
        <v>Yes</v>
      </c>
      <c r="AH790" s="5" t="str">
        <f ca="1">IFERROR(__xludf.DUMMYFUNCTION("""COMPUTED_VALUE"""),"No")</f>
        <v>No</v>
      </c>
    </row>
    <row r="791" spans="1:34" ht="12.75">
      <c r="A791" s="5" t="str">
        <f ca="1">IFERROR(__xludf.DUMMYFUNCTION("""COMPUTED_VALUE"""),"20180116VTMOM")</f>
        <v>20180116VTMOM</v>
      </c>
      <c r="B791" s="8">
        <f ca="1">IFERROR(__xludf.DUMMYFUNCTION("""COMPUTED_VALUE"""),43116)</f>
        <v>43116</v>
      </c>
      <c r="C791" s="5" t="str">
        <f ca="1">IFERROR(__xludf.DUMMYFUNCTION("""COMPUTED_VALUE"""),"Montpelier High School")</f>
        <v>Montpelier High School</v>
      </c>
      <c r="D791" s="5">
        <f ca="1">IFERROR(__xludf.DUMMYFUNCTION("""COMPUTED_VALUE"""),0)</f>
        <v>0</v>
      </c>
      <c r="E791" s="5">
        <f ca="1">IFERROR(__xludf.DUMMYFUNCTION("""COMPUTED_VALUE"""),0)</f>
        <v>0</v>
      </c>
      <c r="F791" s="5">
        <f ca="1">IFERROR(__xludf.DUMMYFUNCTION("""COMPUTED_VALUE"""),0)</f>
        <v>0</v>
      </c>
      <c r="G791" s="5">
        <f ca="1">IFERROR(__xludf.DUMMYFUNCTION("""COMPUTED_VALUE"""),1)</f>
        <v>1</v>
      </c>
      <c r="H791"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I791" s="5"/>
      <c r="J791" s="5"/>
      <c r="K791" s="5">
        <f ca="1">IFERROR(__xludf.DUMMYFUNCTION("""COMPUTED_VALUE"""),4)</f>
        <v>4</v>
      </c>
      <c r="L791" s="5" t="str">
        <f ca="1">IFERROR(__xludf.DUMMYFUNCTION("""COMPUTED_VALUE"""),"Winter")</f>
        <v>Winter</v>
      </c>
      <c r="M791" s="5" t="str">
        <f ca="1">IFERROR(__xludf.DUMMYFUNCTION("""COMPUTED_VALUE"""),"Montpelier")</f>
        <v>Montpelier</v>
      </c>
      <c r="N791" s="5" t="str">
        <f ca="1">IFERROR(__xludf.DUMMYFUNCTION("""COMPUTED_VALUE"""),"VT")</f>
        <v>VT</v>
      </c>
      <c r="O791" s="5" t="str">
        <f ca="1">IFERROR(__xludf.DUMMYFUNCTION("""COMPUTED_VALUE"""),"High")</f>
        <v>High</v>
      </c>
      <c r="P791" s="5" t="str">
        <f ca="1">IFERROR(__xludf.DUMMYFUNCTION("""COMPUTED_VALUE"""),"Outside on School Property")</f>
        <v>Outside on School Property</v>
      </c>
      <c r="Q791" s="5" t="str">
        <f ca="1">IFERROR(__xludf.DUMMYFUNCTION("""COMPUTED_VALUE"""),"Outside on School Property")</f>
        <v>Outside on School Property</v>
      </c>
      <c r="R791" s="5" t="str">
        <f ca="1">IFERROR(__xludf.DUMMYFUNCTION("""COMPUTED_VALUE"""),"Yes")</f>
        <v>Yes</v>
      </c>
      <c r="S791" s="5" t="str">
        <f ca="1">IFERROR(__xludf.DUMMYFUNCTION("""COMPUTED_VALUE"""),"Morning Classes")</f>
        <v>Morning Classes</v>
      </c>
      <c r="T791" s="10">
        <f ca="1">IFERROR(__xludf.DUMMYFUNCTION("""COMPUTED_VALUE"""),0.395833333333333)</f>
        <v>0.39583333333333298</v>
      </c>
      <c r="U791" s="5">
        <f ca="1">IFERROR(__xludf.DUMMYFUNCTION("""COMPUTED_VALUE"""),4)</f>
        <v>4</v>
      </c>
      <c r="V791" s="5" t="str">
        <f ca="1">IFERROR(__xludf.DUMMYFUNCTION("""COMPUTED_VALUE"""),"Armed bank robber shot by officers outside of school")</f>
        <v>Armed bank robber shot by officers outside of school</v>
      </c>
      <c r="W791"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X791" s="5" t="str">
        <f ca="1">IFERROR(__xludf.DUMMYFUNCTION("""COMPUTED_VALUE"""),"Illegal Activity")</f>
        <v>Illegal Activity</v>
      </c>
      <c r="Y791" s="5" t="str">
        <f ca="1">IFERROR(__xludf.DUMMYFUNCTION("""COMPUTED_VALUE"""),"Victims Targeted")</f>
        <v>Victims Targeted</v>
      </c>
      <c r="Z791" s="5" t="str">
        <f ca="1">IFERROR(__xludf.DUMMYFUNCTION("""COMPUTED_VALUE"""),"No")</f>
        <v>No</v>
      </c>
      <c r="AA791" s="5"/>
      <c r="AB791" s="5" t="str">
        <f ca="1">IFERROR(__xludf.DUMMYFUNCTION("""COMPUTED_VALUE"""),"No")</f>
        <v>No</v>
      </c>
      <c r="AC791" s="5" t="str">
        <f ca="1">IFERROR(__xludf.DUMMYFUNCTION("""COMPUTED_VALUE"""),"No")</f>
        <v>No</v>
      </c>
      <c r="AD791" s="5" t="str">
        <f ca="1">IFERROR(__xludf.DUMMYFUNCTION("""COMPUTED_VALUE"""),"Yes")</f>
        <v>Yes</v>
      </c>
      <c r="AE791" s="5" t="str">
        <f ca="1">IFERROR(__xludf.DUMMYFUNCTION("""COMPUTED_VALUE"""),"N/A")</f>
        <v>N/A</v>
      </c>
      <c r="AF791" s="5" t="str">
        <f ca="1">IFERROR(__xludf.DUMMYFUNCTION("""COMPUTED_VALUE"""),"N/A")</f>
        <v>N/A</v>
      </c>
      <c r="AG791" s="5" t="str">
        <f ca="1">IFERROR(__xludf.DUMMYFUNCTION("""COMPUTED_VALUE"""),"N/A")</f>
        <v>N/A</v>
      </c>
      <c r="AH791" s="5" t="str">
        <f ca="1">IFERROR(__xludf.DUMMYFUNCTION("""COMPUTED_VALUE"""),"No")</f>
        <v>No</v>
      </c>
    </row>
    <row r="792" spans="1:34" ht="12.75">
      <c r="A792" s="5" t="str">
        <f ca="1">IFERROR(__xludf.DUMMYFUNCTION("""COMPUTED_VALUE"""),"20180109AZCOS")</f>
        <v>20180109AZCOS</v>
      </c>
      <c r="B792" s="8">
        <f ca="1">IFERROR(__xludf.DUMMYFUNCTION("""COMPUTED_VALUE"""),43109)</f>
        <v>43109</v>
      </c>
      <c r="C792" s="5" t="str">
        <f ca="1">IFERROR(__xludf.DUMMYFUNCTION("""COMPUTED_VALUE"""),"Coronado Elementary School")</f>
        <v>Coronado Elementary School</v>
      </c>
      <c r="D792" s="5">
        <f ca="1">IFERROR(__xludf.DUMMYFUNCTION("""COMPUTED_VALUE"""),0)</f>
        <v>0</v>
      </c>
      <c r="E792" s="5">
        <f ca="1">IFERROR(__xludf.DUMMYFUNCTION("""COMPUTED_VALUE"""),0)</f>
        <v>0</v>
      </c>
      <c r="F792" s="5">
        <f ca="1">IFERROR(__xludf.DUMMYFUNCTION("""COMPUTED_VALUE"""),0)</f>
        <v>0</v>
      </c>
      <c r="G792" s="5">
        <f ca="1">IFERROR(__xludf.DUMMYFUNCTION("""COMPUTED_VALUE"""),1)</f>
        <v>1</v>
      </c>
      <c r="H792" s="9" t="str">
        <f ca="1">IFERROR(__xludf.DUMMYFUNCTION("""COMPUTED_VALUE"""),"http://www.tucsonnewsnow.com/story/37226015/school-shooting-cochise-county-coronado-elementary-lockdown-suicide-sierra-vista")</f>
        <v>http://www.tucsonnewsnow.com/story/37226015/school-shooting-cochise-county-coronado-elementary-lockdown-suicide-sierra-vista</v>
      </c>
      <c r="I792" s="5">
        <f ca="1">IFERROR(__xludf.DUMMYFUNCTION("""COMPUTED_VALUE"""),3)</f>
        <v>3</v>
      </c>
      <c r="J792" s="5" t="str">
        <f ca="1">IFERROR(__xludf.DUMMYFUNCTION("""COMPUTED_VALUE"""),"Local")</f>
        <v>Local</v>
      </c>
      <c r="K792" s="5">
        <f ca="1">IFERROR(__xludf.DUMMYFUNCTION("""COMPUTED_VALUE"""),2)</f>
        <v>2</v>
      </c>
      <c r="L792" s="5" t="str">
        <f ca="1">IFERROR(__xludf.DUMMYFUNCTION("""COMPUTED_VALUE"""),"Winter")</f>
        <v>Winter</v>
      </c>
      <c r="M792" s="5" t="str">
        <f ca="1">IFERROR(__xludf.DUMMYFUNCTION("""COMPUTED_VALUE"""),"Sierra Vista")</f>
        <v>Sierra Vista</v>
      </c>
      <c r="N792" s="5" t="str">
        <f ca="1">IFERROR(__xludf.DUMMYFUNCTION("""COMPUTED_VALUE"""),"AZ")</f>
        <v>AZ</v>
      </c>
      <c r="O792" s="5" t="str">
        <f ca="1">IFERROR(__xludf.DUMMYFUNCTION("""COMPUTED_VALUE"""),"Elementary")</f>
        <v>Elementary</v>
      </c>
      <c r="P792" s="5" t="str">
        <f ca="1">IFERROR(__xludf.DUMMYFUNCTION("""COMPUTED_VALUE"""),"Inside School Building")</f>
        <v>Inside School Building</v>
      </c>
      <c r="Q792" s="5" t="str">
        <f ca="1">IFERROR(__xludf.DUMMYFUNCTION("""COMPUTED_VALUE"""),"Inside School Building")</f>
        <v>Inside School Building</v>
      </c>
      <c r="R792" s="5" t="str">
        <f ca="1">IFERROR(__xludf.DUMMYFUNCTION("""COMPUTED_VALUE"""),"Yes")</f>
        <v>Yes</v>
      </c>
      <c r="S792" s="5" t="str">
        <f ca="1">IFERROR(__xludf.DUMMYFUNCTION("""COMPUTED_VALUE"""),"Morning Classes")</f>
        <v>Morning Classes</v>
      </c>
      <c r="T792" s="10">
        <f ca="1">IFERROR(__xludf.DUMMYFUNCTION("""COMPUTED_VALUE"""),0.388888888888888)</f>
        <v>0.38888888888888801</v>
      </c>
      <c r="U792" s="5">
        <f ca="1">IFERROR(__xludf.DUMMYFUNCTION("""COMPUTED_VALUE"""),1)</f>
        <v>1</v>
      </c>
      <c r="V792" s="5" t="str">
        <f ca="1">IFERROR(__xludf.DUMMYFUNCTION("""COMPUTED_VALUE"""),"Suicide inside of school")</f>
        <v>Suicide inside of school</v>
      </c>
      <c r="W792"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X792" s="5" t="str">
        <f ca="1">IFERROR(__xludf.DUMMYFUNCTION("""COMPUTED_VALUE"""),"Suicide/Attempted")</f>
        <v>Suicide/Attempted</v>
      </c>
      <c r="Y792" s="5" t="str">
        <f ca="1">IFERROR(__xludf.DUMMYFUNCTION("""COMPUTED_VALUE"""),"Victims Targeted")</f>
        <v>Victims Targeted</v>
      </c>
      <c r="Z792" s="5" t="str">
        <f ca="1">IFERROR(__xludf.DUMMYFUNCTION("""COMPUTED_VALUE"""),"No")</f>
        <v>No</v>
      </c>
      <c r="AA792" s="5"/>
      <c r="AB792" s="5" t="str">
        <f ca="1">IFERROR(__xludf.DUMMYFUNCTION("""COMPUTED_VALUE"""),"No")</f>
        <v>No</v>
      </c>
      <c r="AC792" s="5" t="str">
        <f ca="1">IFERROR(__xludf.DUMMYFUNCTION("""COMPUTED_VALUE"""),"No")</f>
        <v>No</v>
      </c>
      <c r="AD792" s="5" t="str">
        <f ca="1">IFERROR(__xludf.DUMMYFUNCTION("""COMPUTED_VALUE"""),"No")</f>
        <v>No</v>
      </c>
      <c r="AE792" s="5"/>
      <c r="AF792" s="5" t="str">
        <f ca="1">IFERROR(__xludf.DUMMYFUNCTION("""COMPUTED_VALUE"""),"No")</f>
        <v>No</v>
      </c>
      <c r="AG792" s="5" t="str">
        <f ca="1">IFERROR(__xludf.DUMMYFUNCTION("""COMPUTED_VALUE"""),"No")</f>
        <v>No</v>
      </c>
      <c r="AH792" s="5" t="str">
        <f ca="1">IFERROR(__xludf.DUMMYFUNCTION("""COMPUTED_VALUE"""),"No")</f>
        <v>No</v>
      </c>
    </row>
    <row r="793" spans="1:34" ht="12.75">
      <c r="A793" s="5" t="str">
        <f ca="1">IFERROR(__xludf.DUMMYFUNCTION("""COMPUTED_VALUE"""),"20180105IAFOF")</f>
        <v>20180105IAFOF</v>
      </c>
      <c r="B793" s="8">
        <f ca="1">IFERROR(__xludf.DUMMYFUNCTION("""COMPUTED_VALUE"""),43105)</f>
        <v>43105</v>
      </c>
      <c r="C793" s="5" t="str">
        <f ca="1">IFERROR(__xludf.DUMMYFUNCTION("""COMPUTED_VALUE"""),"Forest City School Bus")</f>
        <v>Forest City School Bus</v>
      </c>
      <c r="D793" s="5">
        <f ca="1">IFERROR(__xludf.DUMMYFUNCTION("""COMPUTED_VALUE"""),0)</f>
        <v>0</v>
      </c>
      <c r="E793" s="5">
        <f ca="1">IFERROR(__xludf.DUMMYFUNCTION("""COMPUTED_VALUE"""),0)</f>
        <v>0</v>
      </c>
      <c r="F793" s="5">
        <f ca="1">IFERROR(__xludf.DUMMYFUNCTION("""COMPUTED_VALUE"""),0)</f>
        <v>0</v>
      </c>
      <c r="G793" s="5">
        <f ca="1">IFERROR(__xludf.DUMMYFUNCTION("""COMPUTED_VALUE"""),0)</f>
        <v>0</v>
      </c>
      <c r="H793"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I793" s="5"/>
      <c r="J793" s="5"/>
      <c r="K793" s="5">
        <f ca="1">IFERROR(__xludf.DUMMYFUNCTION("""COMPUTED_VALUE"""),4)</f>
        <v>4</v>
      </c>
      <c r="L793" s="5" t="str">
        <f ca="1">IFERROR(__xludf.DUMMYFUNCTION("""COMPUTED_VALUE"""),"Winter")</f>
        <v>Winter</v>
      </c>
      <c r="M793" s="5" t="str">
        <f ca="1">IFERROR(__xludf.DUMMYFUNCTION("""COMPUTED_VALUE"""),"Forest City")</f>
        <v>Forest City</v>
      </c>
      <c r="N793" s="5" t="str">
        <f ca="1">IFERROR(__xludf.DUMMYFUNCTION("""COMPUTED_VALUE"""),"IA")</f>
        <v>IA</v>
      </c>
      <c r="O793" s="5"/>
      <c r="P793" s="5" t="str">
        <f ca="1">IFERROR(__xludf.DUMMYFUNCTION("""COMPUTED_VALUE"""),"School Bus")</f>
        <v>School Bus</v>
      </c>
      <c r="Q793" s="5" t="str">
        <f ca="1">IFERROR(__xludf.DUMMYFUNCTION("""COMPUTED_VALUE"""),"School Bus")</f>
        <v>School Bus</v>
      </c>
      <c r="R793" s="5" t="str">
        <f ca="1">IFERROR(__xludf.DUMMYFUNCTION("""COMPUTED_VALUE"""),"Yes")</f>
        <v>Yes</v>
      </c>
      <c r="S793" s="5" t="str">
        <f ca="1">IFERROR(__xludf.DUMMYFUNCTION("""COMPUTED_VALUE"""),"Before School")</f>
        <v>Before School</v>
      </c>
      <c r="T793" s="5"/>
      <c r="U793" s="5">
        <f ca="1">IFERROR(__xludf.DUMMYFUNCTION("""COMPUTED_VALUE"""),1)</f>
        <v>1</v>
      </c>
      <c r="V793" s="5" t="str">
        <f ca="1">IFERROR(__xludf.DUMMYFUNCTION("""COMPUTED_VALUE"""),"Shot occupied school bus with high-powered air rifle breaking window")</f>
        <v>Shot occupied school bus with high-powered air rifle breaking window</v>
      </c>
      <c r="W793" s="5" t="str">
        <f ca="1">IFERROR(__xludf.DUMMYFUNCTION("""COMPUTED_VALUE"""),"33YOM fired high powered air-rifle at occupied school bus breaking a window. No injuries.")</f>
        <v>33YOM fired high powered air-rifle at occupied school bus breaking a window. No injuries.</v>
      </c>
      <c r="X793" s="5" t="str">
        <f ca="1">IFERROR(__xludf.DUMMYFUNCTION("""COMPUTED_VALUE"""),"Intentional Property Damage")</f>
        <v>Intentional Property Damage</v>
      </c>
      <c r="Y793" s="5" t="str">
        <f ca="1">IFERROR(__xludf.DUMMYFUNCTION("""COMPUTED_VALUE"""),"Neither")</f>
        <v>Neither</v>
      </c>
      <c r="Z793" s="5" t="str">
        <f ca="1">IFERROR(__xludf.DUMMYFUNCTION("""COMPUTED_VALUE"""),"No")</f>
        <v>No</v>
      </c>
      <c r="AA793" s="5"/>
      <c r="AB793" s="5" t="str">
        <f ca="1">IFERROR(__xludf.DUMMYFUNCTION("""COMPUTED_VALUE"""),"No")</f>
        <v>No</v>
      </c>
      <c r="AC793" s="5" t="str">
        <f ca="1">IFERROR(__xludf.DUMMYFUNCTION("""COMPUTED_VALUE"""),"No")</f>
        <v>No</v>
      </c>
      <c r="AD793" s="5" t="str">
        <f ca="1">IFERROR(__xludf.DUMMYFUNCTION("""COMPUTED_VALUE"""),"No")</f>
        <v>No</v>
      </c>
      <c r="AE793" s="5" t="str">
        <f ca="1">IFERROR(__xludf.DUMMYFUNCTION("""COMPUTED_VALUE"""),"No")</f>
        <v>No</v>
      </c>
      <c r="AF793" s="5" t="str">
        <f ca="1">IFERROR(__xludf.DUMMYFUNCTION("""COMPUTED_VALUE"""),"No")</f>
        <v>No</v>
      </c>
      <c r="AG793" s="5" t="str">
        <f ca="1">IFERROR(__xludf.DUMMYFUNCTION("""COMPUTED_VALUE"""),"No")</f>
        <v>No</v>
      </c>
      <c r="AH793" s="5" t="str">
        <f ca="1">IFERROR(__xludf.DUMMYFUNCTION("""COMPUTED_VALUE"""),"No")</f>
        <v>No</v>
      </c>
    </row>
    <row r="794" spans="1:34" ht="12.75">
      <c r="A794" s="5" t="str">
        <f ca="1">IFERROR(__xludf.DUMMYFUNCTION("""COMPUTED_VALUE"""),"20180104WANES")</f>
        <v>20180104WANES</v>
      </c>
      <c r="B794" s="8">
        <f ca="1">IFERROR(__xludf.DUMMYFUNCTION("""COMPUTED_VALUE"""),43104)</f>
        <v>43104</v>
      </c>
      <c r="C794" s="5" t="str">
        <f ca="1">IFERROR(__xludf.DUMMYFUNCTION("""COMPUTED_VALUE"""),"New Start High School")</f>
        <v>New Start High School</v>
      </c>
      <c r="D794" s="5">
        <f ca="1">IFERROR(__xludf.DUMMYFUNCTION("""COMPUTED_VALUE"""),0)</f>
        <v>0</v>
      </c>
      <c r="E794" s="5">
        <f ca="1">IFERROR(__xludf.DUMMYFUNCTION("""COMPUTED_VALUE"""),0)</f>
        <v>0</v>
      </c>
      <c r="F794" s="5">
        <f ca="1">IFERROR(__xludf.DUMMYFUNCTION("""COMPUTED_VALUE"""),0)</f>
        <v>0</v>
      </c>
      <c r="G794" s="5">
        <f ca="1">IFERROR(__xludf.DUMMYFUNCTION("""COMPUTED_VALUE"""),0)</f>
        <v>0</v>
      </c>
      <c r="H794" s="9" t="str">
        <f ca="1">IFERROR(__xludf.DUMMYFUNCTION("""COMPUTED_VALUE"""),"https://q13fox.com/2018/01/04/bullet-fired-into-window-at-highlines-new-start-high-school-but-no-injuries/")</f>
        <v>https://q13fox.com/2018/01/04/bullet-fired-into-window-at-highlines-new-start-high-school-but-no-injuries/</v>
      </c>
      <c r="I794" s="5"/>
      <c r="J794" s="5"/>
      <c r="K794" s="5">
        <f ca="1">IFERROR(__xludf.DUMMYFUNCTION("""COMPUTED_VALUE"""),2)</f>
        <v>2</v>
      </c>
      <c r="L794" s="5" t="str">
        <f ca="1">IFERROR(__xludf.DUMMYFUNCTION("""COMPUTED_VALUE"""),"Winter")</f>
        <v>Winter</v>
      </c>
      <c r="M794" s="5" t="str">
        <f ca="1">IFERROR(__xludf.DUMMYFUNCTION("""COMPUTED_VALUE"""),"Seattle")</f>
        <v>Seattle</v>
      </c>
      <c r="N794" s="5" t="str">
        <f ca="1">IFERROR(__xludf.DUMMYFUNCTION("""COMPUTED_VALUE"""),"WA")</f>
        <v>WA</v>
      </c>
      <c r="O794" s="5" t="str">
        <f ca="1">IFERROR(__xludf.DUMMYFUNCTION("""COMPUTED_VALUE"""),"High")</f>
        <v>High</v>
      </c>
      <c r="P794" s="5" t="str">
        <f ca="1">IFERROR(__xludf.DUMMYFUNCTION("""COMPUTED_VALUE"""),"Front of School")</f>
        <v>Front of School</v>
      </c>
      <c r="Q794" s="5" t="str">
        <f ca="1">IFERROR(__xludf.DUMMYFUNCTION("""COMPUTED_VALUE"""),"Outside on School Property")</f>
        <v>Outside on School Property</v>
      </c>
      <c r="R794" s="5" t="str">
        <f ca="1">IFERROR(__xludf.DUMMYFUNCTION("""COMPUTED_VALUE"""),"Yes")</f>
        <v>Yes</v>
      </c>
      <c r="S794" s="5" t="str">
        <f ca="1">IFERROR(__xludf.DUMMYFUNCTION("""COMPUTED_VALUE"""),"Afternoon Classes")</f>
        <v>Afternoon Classes</v>
      </c>
      <c r="T794" s="10">
        <f ca="1">IFERROR(__xludf.DUMMYFUNCTION("""COMPUTED_VALUE"""),0.5625)</f>
        <v>0.5625</v>
      </c>
      <c r="U794" s="5">
        <f ca="1">IFERROR(__xludf.DUMMYFUNCTION("""COMPUTED_VALUE"""),1)</f>
        <v>1</v>
      </c>
      <c r="V794" s="5" t="str">
        <f ca="1">IFERROR(__xludf.DUMMYFUNCTION("""COMPUTED_VALUE"""),"Damage to school property")</f>
        <v>Damage to school property</v>
      </c>
      <c r="W794" s="5" t="str">
        <f ca="1">IFERROR(__xludf.DUMMYFUNCTION("""COMPUTED_VALUE"""),"Shots fired outside high school during the school day. One round struck the school's admin office.")</f>
        <v>Shots fired outside high school during the school day. One round struck the school's admin office.</v>
      </c>
      <c r="X794" s="5" t="str">
        <f ca="1">IFERROR(__xludf.DUMMYFUNCTION("""COMPUTED_VALUE"""),"Intentional Property Damage")</f>
        <v>Intentional Property Damage</v>
      </c>
      <c r="Y794" s="5" t="str">
        <f ca="1">IFERROR(__xludf.DUMMYFUNCTION("""COMPUTED_VALUE"""),"NA")</f>
        <v>NA</v>
      </c>
      <c r="Z794" s="5"/>
      <c r="AA794" s="5"/>
      <c r="AB794" s="5" t="str">
        <f ca="1">IFERROR(__xludf.DUMMYFUNCTION("""COMPUTED_VALUE"""),"No")</f>
        <v>No</v>
      </c>
      <c r="AC794" s="5" t="str">
        <f ca="1">IFERROR(__xludf.DUMMYFUNCTION("""COMPUTED_VALUE"""),"No")</f>
        <v>No</v>
      </c>
      <c r="AD794" s="5" t="str">
        <f ca="1">IFERROR(__xludf.DUMMYFUNCTION("""COMPUTED_VALUE"""),"No")</f>
        <v>No</v>
      </c>
      <c r="AE794" s="5" t="str">
        <f ca="1">IFERROR(__xludf.DUMMYFUNCTION("""COMPUTED_VALUE"""),"N/A")</f>
        <v>N/A</v>
      </c>
      <c r="AF794" s="5" t="str">
        <f ca="1">IFERROR(__xludf.DUMMYFUNCTION("""COMPUTED_VALUE"""),"N/A")</f>
        <v>N/A</v>
      </c>
      <c r="AG794" s="5"/>
      <c r="AH794" s="5" t="str">
        <f ca="1">IFERROR(__xludf.DUMMYFUNCTION("""COMPUTED_VALUE"""),"No")</f>
        <v>No</v>
      </c>
    </row>
    <row r="795" spans="1:34" ht="12.75">
      <c r="A795" s="5" t="str">
        <f ca="1">IFERROR(__xludf.DUMMYFUNCTION("""COMPUTED_VALUE"""),"20171231WAPIM")</f>
        <v>20171231WAPIM</v>
      </c>
      <c r="B795" s="8">
        <f ca="1">IFERROR(__xludf.DUMMYFUNCTION("""COMPUTED_VALUE"""),43100)</f>
        <v>43100</v>
      </c>
      <c r="C795" s="5" t="str">
        <f ca="1">IFERROR(__xludf.DUMMYFUNCTION("""COMPUTED_VALUE"""),"Pinewood Elementary School")</f>
        <v>Pinewood Elementary School</v>
      </c>
      <c r="D795" s="5">
        <f ca="1">IFERROR(__xludf.DUMMYFUNCTION("""COMPUTED_VALUE"""),0)</f>
        <v>0</v>
      </c>
      <c r="E795" s="5">
        <f ca="1">IFERROR(__xludf.DUMMYFUNCTION("""COMPUTED_VALUE"""),0)</f>
        <v>0</v>
      </c>
      <c r="F795" s="5">
        <f ca="1">IFERROR(__xludf.DUMMYFUNCTION("""COMPUTED_VALUE"""),0)</f>
        <v>0</v>
      </c>
      <c r="G795" s="5">
        <f ca="1">IFERROR(__xludf.DUMMYFUNCTION("""COMPUTED_VALUE"""),0)</f>
        <v>0</v>
      </c>
      <c r="H795" s="9" t="str">
        <f ca="1">IFERROR(__xludf.DUMMYFUNCTION("""COMPUTED_VALUE"""),"https://www.heraldnet.com/news/police-say-they-shot-up-the-school-then-bragged-about-it/")</f>
        <v>https://www.heraldnet.com/news/police-say-they-shot-up-the-school-then-bragged-about-it/</v>
      </c>
      <c r="I795" s="5"/>
      <c r="J795" s="5"/>
      <c r="K795" s="5">
        <f ca="1">IFERROR(__xludf.DUMMYFUNCTION("""COMPUTED_VALUE"""),2)</f>
        <v>2</v>
      </c>
      <c r="L795" s="5" t="str">
        <f ca="1">IFERROR(__xludf.DUMMYFUNCTION("""COMPUTED_VALUE"""),"Winter")</f>
        <v>Winter</v>
      </c>
      <c r="M795" s="5" t="str">
        <f ca="1">IFERROR(__xludf.DUMMYFUNCTION("""COMPUTED_VALUE"""),"Marysville")</f>
        <v>Marysville</v>
      </c>
      <c r="N795" s="5" t="str">
        <f ca="1">IFERROR(__xludf.DUMMYFUNCTION("""COMPUTED_VALUE"""),"WA")</f>
        <v>WA</v>
      </c>
      <c r="O795" s="5" t="str">
        <f ca="1">IFERROR(__xludf.DUMMYFUNCTION("""COMPUTED_VALUE"""),"Elementary")</f>
        <v>Elementary</v>
      </c>
      <c r="P795" s="5" t="str">
        <f ca="1">IFERROR(__xludf.DUMMYFUNCTION("""COMPUTED_VALUE"""),"Beside Building")</f>
        <v>Beside Building</v>
      </c>
      <c r="Q795" s="5" t="str">
        <f ca="1">IFERROR(__xludf.DUMMYFUNCTION("""COMPUTED_VALUE"""),"Outside on School Property")</f>
        <v>Outside on School Property</v>
      </c>
      <c r="R795" s="5" t="str">
        <f ca="1">IFERROR(__xludf.DUMMYFUNCTION("""COMPUTED_VALUE"""),"No")</f>
        <v>No</v>
      </c>
      <c r="S795" s="5" t="str">
        <f ca="1">IFERROR(__xludf.DUMMYFUNCTION("""COMPUTED_VALUE"""),"Not a School Day")</f>
        <v>Not a School Day</v>
      </c>
      <c r="T795" s="10">
        <f ca="1">IFERROR(__xludf.DUMMYFUNCTION("""COMPUTED_VALUE"""),0.996527777777777)</f>
        <v>0.99652777777777701</v>
      </c>
      <c r="U795" s="5"/>
      <c r="V795" s="5" t="str">
        <f ca="1">IFERROR(__xludf.DUMMYFUNCTION("""COMPUTED_VALUE"""),"Two teens fired shots at school breaking windows")</f>
        <v>Two teens fired shots at school breaking windows</v>
      </c>
      <c r="W795"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X795" s="5" t="str">
        <f ca="1">IFERROR(__xludf.DUMMYFUNCTION("""COMPUTED_VALUE"""),"Intentional Property Damage")</f>
        <v>Intentional Property Damage</v>
      </c>
      <c r="Y795" s="5" t="str">
        <f ca="1">IFERROR(__xludf.DUMMYFUNCTION("""COMPUTED_VALUE"""),"Neither")</f>
        <v>Neither</v>
      </c>
      <c r="Z795" s="5" t="str">
        <f ca="1">IFERROR(__xludf.DUMMYFUNCTION("""COMPUTED_VALUE"""),"Yes")</f>
        <v>Yes</v>
      </c>
      <c r="AA795" s="5" t="str">
        <f ca="1">IFERROR(__xludf.DUMMYFUNCTION("""COMPUTED_VALUE"""),"Two shooters")</f>
        <v>Two shooters</v>
      </c>
      <c r="AB795" s="5" t="str">
        <f ca="1">IFERROR(__xludf.DUMMYFUNCTION("""COMPUTED_VALUE"""),"No")</f>
        <v>No</v>
      </c>
      <c r="AC795" s="5" t="str">
        <f ca="1">IFERROR(__xludf.DUMMYFUNCTION("""COMPUTED_VALUE"""),"No")</f>
        <v>No</v>
      </c>
      <c r="AD795" s="5" t="str">
        <f ca="1">IFERROR(__xludf.DUMMYFUNCTION("""COMPUTED_VALUE"""),"No")</f>
        <v>No</v>
      </c>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row>
    <row r="796" spans="1:34" ht="12.75">
      <c r="A796" s="5" t="str">
        <f ca="1">IFERROR(__xludf.DUMMYFUNCTION("""COMPUTED_VALUE"""),"20171231LAEDA")</f>
        <v>20171231LAEDA</v>
      </c>
      <c r="B796" s="8">
        <f ca="1">IFERROR(__xludf.DUMMYFUNCTION("""COMPUTED_VALUE"""),43100)</f>
        <v>43100</v>
      </c>
      <c r="C796" s="5" t="str">
        <f ca="1">IFERROR(__xludf.DUMMYFUNCTION("""COMPUTED_VALUE"""),"Edna Karr High School")</f>
        <v>Edna Karr High School</v>
      </c>
      <c r="D796" s="5">
        <f ca="1">IFERROR(__xludf.DUMMYFUNCTION("""COMPUTED_VALUE"""),2)</f>
        <v>2</v>
      </c>
      <c r="E796" s="5">
        <f ca="1">IFERROR(__xludf.DUMMYFUNCTION("""COMPUTED_VALUE"""),0)</f>
        <v>0</v>
      </c>
      <c r="F796" s="5">
        <f ca="1">IFERROR(__xludf.DUMMYFUNCTION("""COMPUTED_VALUE"""),2)</f>
        <v>2</v>
      </c>
      <c r="G796" s="5">
        <f ca="1">IFERROR(__xludf.DUMMYFUNCTION("""COMPUTED_VALUE"""),0)</f>
        <v>0</v>
      </c>
      <c r="H796" s="9" t="str">
        <f ca="1">IFERROR(__xludf.DUMMYFUNCTION("""COMPUTED_VALUE"""),"https://www.nola.com/crime/index.ssf/2017/01/algiers_double_shooting.html")</f>
        <v>https://www.nola.com/crime/index.ssf/2017/01/algiers_double_shooting.html</v>
      </c>
      <c r="I796" s="5"/>
      <c r="J796" s="5"/>
      <c r="K796" s="5">
        <f ca="1">IFERROR(__xludf.DUMMYFUNCTION("""COMPUTED_VALUE"""),2)</f>
        <v>2</v>
      </c>
      <c r="L796" s="5" t="str">
        <f ca="1">IFERROR(__xludf.DUMMYFUNCTION("""COMPUTED_VALUE"""),"Winter")</f>
        <v>Winter</v>
      </c>
      <c r="M796" s="5" t="str">
        <f ca="1">IFERROR(__xludf.DUMMYFUNCTION("""COMPUTED_VALUE"""),"Algiers")</f>
        <v>Algiers</v>
      </c>
      <c r="N796" s="5" t="str">
        <f ca="1">IFERROR(__xludf.DUMMYFUNCTION("""COMPUTED_VALUE"""),"LA")</f>
        <v>LA</v>
      </c>
      <c r="O796" s="5" t="str">
        <f ca="1">IFERROR(__xludf.DUMMYFUNCTION("""COMPUTED_VALUE"""),"High")</f>
        <v>High</v>
      </c>
      <c r="P796" s="5" t="str">
        <f ca="1">IFERROR(__xludf.DUMMYFUNCTION("""COMPUTED_VALUE"""),"Parking Lot")</f>
        <v>Parking Lot</v>
      </c>
      <c r="Q796" s="5" t="str">
        <f ca="1">IFERROR(__xludf.DUMMYFUNCTION("""COMPUTED_VALUE"""),"Outside on School Property")</f>
        <v>Outside on School Property</v>
      </c>
      <c r="R796" s="5" t="str">
        <f ca="1">IFERROR(__xludf.DUMMYFUNCTION("""COMPUTED_VALUE"""),"No")</f>
        <v>No</v>
      </c>
      <c r="S796" s="5" t="str">
        <f ca="1">IFERROR(__xludf.DUMMYFUNCTION("""COMPUTED_VALUE"""),"Sport Event")</f>
        <v>Sport Event</v>
      </c>
      <c r="T796" s="10">
        <f ca="1">IFERROR(__xludf.DUMMYFUNCTION("""COMPUTED_VALUE"""),0.833333333333333)</f>
        <v>0.83333333333333304</v>
      </c>
      <c r="U796" s="5">
        <f ca="1">IFERROR(__xludf.DUMMYFUNCTION("""COMPUTED_VALUE"""),1)</f>
        <v>1</v>
      </c>
      <c r="V796" s="5" t="str">
        <f ca="1">IFERROR(__xludf.DUMMYFUNCTION("""COMPUTED_VALUE"""),"Drive-by in parking lot outside of school during basketball game")</f>
        <v>Drive-by in parking lot outside of school during basketball game</v>
      </c>
      <c r="W796"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X796" s="5" t="str">
        <f ca="1">IFERROR(__xludf.DUMMYFUNCTION("""COMPUTED_VALUE"""),"Drive-by Shooting")</f>
        <v>Drive-by Shooting</v>
      </c>
      <c r="Y796" s="5" t="str">
        <f ca="1">IFERROR(__xludf.DUMMYFUNCTION("""COMPUTED_VALUE"""),"Victims Targeted")</f>
        <v>Victims Targeted</v>
      </c>
      <c r="Z796" s="5" t="str">
        <f ca="1">IFERROR(__xludf.DUMMYFUNCTION("""COMPUTED_VALUE"""),"Yes")</f>
        <v>Yes</v>
      </c>
      <c r="AA796" s="5" t="str">
        <f ca="1">IFERROR(__xludf.DUMMYFUNCTION("""COMPUTED_VALUE"""),"Multiple in car")</f>
        <v>Multiple in car</v>
      </c>
      <c r="AB796" s="5" t="str">
        <f ca="1">IFERROR(__xludf.DUMMYFUNCTION("""COMPUTED_VALUE"""),"No")</f>
        <v>No</v>
      </c>
      <c r="AC796" s="5" t="str">
        <f ca="1">IFERROR(__xludf.DUMMYFUNCTION("""COMPUTED_VALUE"""),"No")</f>
        <v>No</v>
      </c>
      <c r="AD796" s="5" t="str">
        <f ca="1">IFERROR(__xludf.DUMMYFUNCTION("""COMPUTED_VALUE"""),"No")</f>
        <v>No</v>
      </c>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row>
    <row r="797" spans="1:34" ht="12.75">
      <c r="A797" s="5" t="str">
        <f ca="1">IFERROR(__xludf.DUMMYFUNCTION("""COMPUTED_VALUE"""),"20171227CALIL")</f>
        <v>20171227CALIL</v>
      </c>
      <c r="B797" s="8">
        <f ca="1">IFERROR(__xludf.DUMMYFUNCTION("""COMPUTED_VALUE"""),43096)</f>
        <v>43096</v>
      </c>
      <c r="C797" s="5" t="str">
        <f ca="1">IFERROR(__xludf.DUMMYFUNCTION("""COMPUTED_VALUE"""),"Lincoln Elementary School")</f>
        <v>Lincoln Elementary School</v>
      </c>
      <c r="D797" s="5">
        <f ca="1">IFERROR(__xludf.DUMMYFUNCTION("""COMPUTED_VALUE"""),0)</f>
        <v>0</v>
      </c>
      <c r="E797" s="5">
        <f ca="1">IFERROR(__xludf.DUMMYFUNCTION("""COMPUTED_VALUE"""),1)</f>
        <v>1</v>
      </c>
      <c r="F797" s="5">
        <f ca="1">IFERROR(__xludf.DUMMYFUNCTION("""COMPUTED_VALUE"""),1)</f>
        <v>1</v>
      </c>
      <c r="G797" s="5">
        <f ca="1">IFERROR(__xludf.DUMMYFUNCTION("""COMPUTED_VALUE"""),0)</f>
        <v>0</v>
      </c>
      <c r="H797" s="9" t="str">
        <f ca="1">IFERROR(__xludf.DUMMYFUNCTION("""COMPUTED_VALUE"""),"https://www.dailynews.com/2017/12/28/man-arguing-with-girlfriend-in-lancaster-school-parking-lot-is-shot-by-another-man/")</f>
        <v>https://www.dailynews.com/2017/12/28/man-arguing-with-girlfriend-in-lancaster-school-parking-lot-is-shot-by-another-man/</v>
      </c>
      <c r="I797" s="5"/>
      <c r="J797" s="5"/>
      <c r="K797" s="5">
        <f ca="1">IFERROR(__xludf.DUMMYFUNCTION("""COMPUTED_VALUE"""),2)</f>
        <v>2</v>
      </c>
      <c r="L797" s="5" t="str">
        <f ca="1">IFERROR(__xludf.DUMMYFUNCTION("""COMPUTED_VALUE"""),"Winter")</f>
        <v>Winter</v>
      </c>
      <c r="M797" s="5" t="str">
        <f ca="1">IFERROR(__xludf.DUMMYFUNCTION("""COMPUTED_VALUE"""),"Lancaster")</f>
        <v>Lancaster</v>
      </c>
      <c r="N797" s="5" t="str">
        <f ca="1">IFERROR(__xludf.DUMMYFUNCTION("""COMPUTED_VALUE"""),"CA")</f>
        <v>CA</v>
      </c>
      <c r="O797" s="5" t="str">
        <f ca="1">IFERROR(__xludf.DUMMYFUNCTION("""COMPUTED_VALUE"""),"Elementary")</f>
        <v>Elementary</v>
      </c>
      <c r="P797" s="5" t="str">
        <f ca="1">IFERROR(__xludf.DUMMYFUNCTION("""COMPUTED_VALUE"""),"Parking Lot")</f>
        <v>Parking Lot</v>
      </c>
      <c r="Q797" s="5" t="str">
        <f ca="1">IFERROR(__xludf.DUMMYFUNCTION("""COMPUTED_VALUE"""),"Outside on School Property")</f>
        <v>Outside on School Property</v>
      </c>
      <c r="R797" s="5" t="str">
        <f ca="1">IFERROR(__xludf.DUMMYFUNCTION("""COMPUTED_VALUE"""),"No")</f>
        <v>No</v>
      </c>
      <c r="S797" s="5" t="str">
        <f ca="1">IFERROR(__xludf.DUMMYFUNCTION("""COMPUTED_VALUE"""),"Evening")</f>
        <v>Evening</v>
      </c>
      <c r="T797" s="10">
        <f ca="1">IFERROR(__xludf.DUMMYFUNCTION("""COMPUTED_VALUE"""),0.944444444444444)</f>
        <v>0.94444444444444398</v>
      </c>
      <c r="U797" s="5">
        <f ca="1">IFERROR(__xludf.DUMMYFUNCTION("""COMPUTED_VALUE"""),1)</f>
        <v>1</v>
      </c>
      <c r="V797" s="5" t="str">
        <f ca="1">IFERROR(__xludf.DUMMYFUNCTION("""COMPUTED_VALUE"""),"Attempted to stop domestic then fled scene")</f>
        <v>Attempted to stop domestic then fled scene</v>
      </c>
      <c r="W797"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X797" s="5" t="str">
        <f ca="1">IFERROR(__xludf.DUMMYFUNCTION("""COMPUTED_VALUE"""),"Domestic w/ Targeted Victim")</f>
        <v>Domestic w/ Targeted Victim</v>
      </c>
      <c r="Y797" s="5" t="str">
        <f ca="1">IFERROR(__xludf.DUMMYFUNCTION("""COMPUTED_VALUE"""),"Victims Targeted")</f>
        <v>Victims Targeted</v>
      </c>
      <c r="Z797" s="5"/>
      <c r="AA797" s="5"/>
      <c r="AB797" s="5" t="str">
        <f ca="1">IFERROR(__xludf.DUMMYFUNCTION("""COMPUTED_VALUE"""),"No")</f>
        <v>No</v>
      </c>
      <c r="AC797" s="5" t="str">
        <f ca="1">IFERROR(__xludf.DUMMYFUNCTION("""COMPUTED_VALUE"""),"No")</f>
        <v>No</v>
      </c>
      <c r="AD797" s="5" t="str">
        <f ca="1">IFERROR(__xludf.DUMMYFUNCTION("""COMPUTED_VALUE"""),"No")</f>
        <v>No</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row>
    <row r="798" spans="1:34" ht="12.75">
      <c r="A798" s="5" t="str">
        <f ca="1">IFERROR(__xludf.DUMMYFUNCTION("""COMPUTED_VALUE"""),"20171219MIBEB")</f>
        <v>20171219MIBEB</v>
      </c>
      <c r="B798" s="8">
        <f ca="1">IFERROR(__xludf.DUMMYFUNCTION("""COMPUTED_VALUE"""),43088)</f>
        <v>43088</v>
      </c>
      <c r="C798" s="5" t="str">
        <f ca="1">IFERROR(__xludf.DUMMYFUNCTION("""COMPUTED_VALUE"""),"Beecher High School")</f>
        <v>Beecher High School</v>
      </c>
      <c r="D798" s="5">
        <f ca="1">IFERROR(__xludf.DUMMYFUNCTION("""COMPUTED_VALUE"""),0)</f>
        <v>0</v>
      </c>
      <c r="E798" s="5">
        <f ca="1">IFERROR(__xludf.DUMMYFUNCTION("""COMPUTED_VALUE"""),1)</f>
        <v>1</v>
      </c>
      <c r="F798" s="5">
        <f ca="1">IFERROR(__xludf.DUMMYFUNCTION("""COMPUTED_VALUE"""),1)</f>
        <v>1</v>
      </c>
      <c r="G798" s="5">
        <f ca="1">IFERROR(__xludf.DUMMYFUNCTION("""COMPUTED_VALUE"""),0)</f>
        <v>0</v>
      </c>
      <c r="H798" s="9" t="str">
        <f ca="1">IFERROR(__xludf.DUMMYFUNCTION("""COMPUTED_VALUE"""),"http://www.wnem.com/story/37105109/breaking-police-investigate-shooting-at-beecher-high-school")</f>
        <v>http://www.wnem.com/story/37105109/breaking-police-investigate-shooting-at-beecher-high-school</v>
      </c>
      <c r="I798" s="5"/>
      <c r="J798" s="5"/>
      <c r="K798" s="5">
        <f ca="1">IFERROR(__xludf.DUMMYFUNCTION("""COMPUTED_VALUE"""),2)</f>
        <v>2</v>
      </c>
      <c r="L798" s="5" t="str">
        <f ca="1">IFERROR(__xludf.DUMMYFUNCTION("""COMPUTED_VALUE"""),"Winter")</f>
        <v>Winter</v>
      </c>
      <c r="M798" s="5" t="str">
        <f ca="1">IFERROR(__xludf.DUMMYFUNCTION("""COMPUTED_VALUE"""),"Beecher")</f>
        <v>Beecher</v>
      </c>
      <c r="N798" s="5" t="str">
        <f ca="1">IFERROR(__xludf.DUMMYFUNCTION("""COMPUTED_VALUE"""),"MI")</f>
        <v>MI</v>
      </c>
      <c r="O798" s="5" t="str">
        <f ca="1">IFERROR(__xludf.DUMMYFUNCTION("""COMPUTED_VALUE"""),"High")</f>
        <v>High</v>
      </c>
      <c r="P798" s="5" t="str">
        <f ca="1">IFERROR(__xludf.DUMMYFUNCTION("""COMPUTED_VALUE"""),"Parking Lot")</f>
        <v>Parking Lot</v>
      </c>
      <c r="Q798" s="5" t="str">
        <f ca="1">IFERROR(__xludf.DUMMYFUNCTION("""COMPUTED_VALUE"""),"Outside on School Property")</f>
        <v>Outside on School Property</v>
      </c>
      <c r="R798" s="5" t="str">
        <f ca="1">IFERROR(__xludf.DUMMYFUNCTION("""COMPUTED_VALUE"""),"No")</f>
        <v>No</v>
      </c>
      <c r="S798" s="5" t="str">
        <f ca="1">IFERROR(__xludf.DUMMYFUNCTION("""COMPUTED_VALUE"""),"Sport Event")</f>
        <v>Sport Event</v>
      </c>
      <c r="T798" s="5"/>
      <c r="U798" s="5">
        <f ca="1">IFERROR(__xludf.DUMMYFUNCTION("""COMPUTED_VALUE"""),1)</f>
        <v>1</v>
      </c>
      <c r="V798" s="5" t="str">
        <f ca="1">IFERROR(__xludf.DUMMYFUNCTION("""COMPUTED_VALUE"""),"Student shot in parking lot after basketball game")</f>
        <v>Student shot in parking lot after basketball game</v>
      </c>
      <c r="W798"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X798" s="5" t="str">
        <f ca="1">IFERROR(__xludf.DUMMYFUNCTION("""COMPUTED_VALUE"""),"Escalation of Dispute")</f>
        <v>Escalation of Dispute</v>
      </c>
      <c r="Y798" s="5" t="str">
        <f ca="1">IFERROR(__xludf.DUMMYFUNCTION("""COMPUTED_VALUE"""),"Victims Targeted")</f>
        <v>Victims Targeted</v>
      </c>
      <c r="Z798" s="5" t="str">
        <f ca="1">IFERROR(__xludf.DUMMYFUNCTION("""COMPUTED_VALUE"""),"Yes")</f>
        <v>Yes</v>
      </c>
      <c r="AA798" s="5" t="str">
        <f ca="1">IFERROR(__xludf.DUMMYFUNCTION("""COMPUTED_VALUE"""),"Multiple involved in fight")</f>
        <v>Multiple involved in fight</v>
      </c>
      <c r="AB798" s="5" t="str">
        <f ca="1">IFERROR(__xludf.DUMMYFUNCTION("""COMPUTED_VALUE"""),"No")</f>
        <v>No</v>
      </c>
      <c r="AC798" s="5" t="str">
        <f ca="1">IFERROR(__xludf.DUMMYFUNCTION("""COMPUTED_VALUE"""),"No")</f>
        <v>No</v>
      </c>
      <c r="AD798" s="5" t="str">
        <f ca="1">IFERROR(__xludf.DUMMYFUNCTION("""COMPUTED_VALUE"""),"No")</f>
        <v>No</v>
      </c>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row>
    <row r="799" spans="1:34" ht="12.75">
      <c r="A799" s="5" t="str">
        <f ca="1">IFERROR(__xludf.DUMMYFUNCTION("""COMPUTED_VALUE"""),"20171214TXELD")</f>
        <v>20171214TXELD</v>
      </c>
      <c r="B799" s="8">
        <f ca="1">IFERROR(__xludf.DUMMYFUNCTION("""COMPUTED_VALUE"""),43083)</f>
        <v>43083</v>
      </c>
      <c r="C799" s="5" t="str">
        <f ca="1">IFERROR(__xludf.DUMMYFUNCTION("""COMPUTED_VALUE"""),"Elisha M. Pease Elementary School")</f>
        <v>Elisha M. Pease Elementary School</v>
      </c>
      <c r="D799" s="5">
        <f ca="1">IFERROR(__xludf.DUMMYFUNCTION("""COMPUTED_VALUE"""),0)</f>
        <v>0</v>
      </c>
      <c r="E799" s="5">
        <f ca="1">IFERROR(__xludf.DUMMYFUNCTION("""COMPUTED_VALUE"""),0)</f>
        <v>0</v>
      </c>
      <c r="F799" s="5">
        <f ca="1">IFERROR(__xludf.DUMMYFUNCTION("""COMPUTED_VALUE"""),0)</f>
        <v>0</v>
      </c>
      <c r="G799" s="5">
        <f ca="1">IFERROR(__xludf.DUMMYFUNCTION("""COMPUTED_VALUE"""),0)</f>
        <v>0</v>
      </c>
      <c r="H799" s="9" t="str">
        <f ca="1">IFERROR(__xludf.DUMMYFUNCTION("""COMPUTED_VALUE"""),"https://www.nbcdfw.com/news/local/Dallas-ISD-Gun-Accidentally-Goes-Off-in-3rd-Grade-Classroom-464473823.html")</f>
        <v>https://www.nbcdfw.com/news/local/Dallas-ISD-Gun-Accidentally-Goes-Off-in-3rd-Grade-Classroom-464473823.html</v>
      </c>
      <c r="I799" s="5"/>
      <c r="J799" s="5"/>
      <c r="K799" s="5">
        <f ca="1">IFERROR(__xludf.DUMMYFUNCTION("""COMPUTED_VALUE"""),2)</f>
        <v>2</v>
      </c>
      <c r="L799" s="5" t="str">
        <f ca="1">IFERROR(__xludf.DUMMYFUNCTION("""COMPUTED_VALUE"""),"Winter")</f>
        <v>Winter</v>
      </c>
      <c r="M799" s="5" t="str">
        <f ca="1">IFERROR(__xludf.DUMMYFUNCTION("""COMPUTED_VALUE"""),"Dallas")</f>
        <v>Dallas</v>
      </c>
      <c r="N799" s="5" t="str">
        <f ca="1">IFERROR(__xludf.DUMMYFUNCTION("""COMPUTED_VALUE"""),"TX")</f>
        <v>TX</v>
      </c>
      <c r="O799" s="5" t="str">
        <f ca="1">IFERROR(__xludf.DUMMYFUNCTION("""COMPUTED_VALUE"""),"Elementary")</f>
        <v>Elementary</v>
      </c>
      <c r="P799" s="5" t="str">
        <f ca="1">IFERROR(__xludf.DUMMYFUNCTION("""COMPUTED_VALUE"""),"Classroom")</f>
        <v>Classroom</v>
      </c>
      <c r="Q799" s="5" t="str">
        <f ca="1">IFERROR(__xludf.DUMMYFUNCTION("""COMPUTED_VALUE"""),"Inside School Building")</f>
        <v>Inside School Building</v>
      </c>
      <c r="R799" s="5" t="str">
        <f ca="1">IFERROR(__xludf.DUMMYFUNCTION("""COMPUTED_VALUE"""),"Yes")</f>
        <v>Yes</v>
      </c>
      <c r="S799" s="5" t="str">
        <f ca="1">IFERROR(__xludf.DUMMYFUNCTION("""COMPUTED_VALUE"""),"Dismissal")</f>
        <v>Dismissal</v>
      </c>
      <c r="T799" s="5"/>
      <c r="U799" s="5">
        <f ca="1">IFERROR(__xludf.DUMMYFUNCTION("""COMPUTED_VALUE"""),1)</f>
        <v>1</v>
      </c>
      <c r="V799" s="5" t="str">
        <f ca="1">IFERROR(__xludf.DUMMYFUNCTION("""COMPUTED_VALUE"""),"Gun in backpack of 3rd grader discharged")</f>
        <v>Gun in backpack of 3rd grader discharged</v>
      </c>
      <c r="W799" s="5" t="str">
        <f ca="1">IFERROR(__xludf.DUMMYFUNCTION("""COMPUTED_VALUE"""),"Gun in backpack of 3rd grader discharged in classroom. No injuries.")</f>
        <v>Gun in backpack of 3rd grader discharged in classroom. No injuries.</v>
      </c>
      <c r="X799" s="5" t="str">
        <f ca="1">IFERROR(__xludf.DUMMYFUNCTION("""COMPUTED_VALUE"""),"Accidental")</f>
        <v>Accidental</v>
      </c>
      <c r="Y799" s="5" t="str">
        <f ca="1">IFERROR(__xludf.DUMMYFUNCTION("""COMPUTED_VALUE"""),"Neither")</f>
        <v>Neither</v>
      </c>
      <c r="Z799" s="5" t="str">
        <f ca="1">IFERROR(__xludf.DUMMYFUNCTION("""COMPUTED_VALUE"""),"No")</f>
        <v>No</v>
      </c>
      <c r="AA799" s="5"/>
      <c r="AB799" s="5" t="str">
        <f ca="1">IFERROR(__xludf.DUMMYFUNCTION("""COMPUTED_VALUE"""),"No")</f>
        <v>No</v>
      </c>
      <c r="AC799" s="5" t="str">
        <f ca="1">IFERROR(__xludf.DUMMYFUNCTION("""COMPUTED_VALUE"""),"No")</f>
        <v>No</v>
      </c>
      <c r="AD799" s="5" t="str">
        <f ca="1">IFERROR(__xludf.DUMMYFUNCTION("""COMPUTED_VALUE"""),"No")</f>
        <v>No</v>
      </c>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row>
    <row r="800" spans="1:34" ht="12.75">
      <c r="A800" s="5" t="str">
        <f ca="1">IFERROR(__xludf.DUMMYFUNCTION("""COMPUTED_VALUE"""),"20171212TXSAP")</f>
        <v>20171212TXSAP</v>
      </c>
      <c r="B800" s="8">
        <f ca="1">IFERROR(__xludf.DUMMYFUNCTION("""COMPUTED_VALUE"""),43081)</f>
        <v>43081</v>
      </c>
      <c r="C800" s="5" t="str">
        <f ca="1">IFERROR(__xludf.DUMMYFUNCTION("""COMPUTED_VALUE"""),"Sam Rayburn High School")</f>
        <v>Sam Rayburn High School</v>
      </c>
      <c r="D800" s="5">
        <f ca="1">IFERROR(__xludf.DUMMYFUNCTION("""COMPUTED_VALUE"""),0)</f>
        <v>0</v>
      </c>
      <c r="E800" s="5">
        <f ca="1">IFERROR(__xludf.DUMMYFUNCTION("""COMPUTED_VALUE"""),2)</f>
        <v>2</v>
      </c>
      <c r="F800" s="5">
        <f ca="1">IFERROR(__xludf.DUMMYFUNCTION("""COMPUTED_VALUE"""),2)</f>
        <v>2</v>
      </c>
      <c r="G800" s="5">
        <f ca="1">IFERROR(__xludf.DUMMYFUNCTION("""COMPUTED_VALUE"""),0)</f>
        <v>0</v>
      </c>
      <c r="H800" s="9" t="str">
        <f ca="1">IFERROR(__xludf.DUMMYFUNCTION("""COMPUTED_VALUE"""),"https://abc13.com/2-wounded-when-gun-goes-off-in-car-at-sam-rayburn-hs/2774679/")</f>
        <v>https://abc13.com/2-wounded-when-gun-goes-off-in-car-at-sam-rayburn-hs/2774679/</v>
      </c>
      <c r="I800" s="5"/>
      <c r="J800" s="5"/>
      <c r="K800" s="5">
        <f ca="1">IFERROR(__xludf.DUMMYFUNCTION("""COMPUTED_VALUE"""),2)</f>
        <v>2</v>
      </c>
      <c r="L800" s="5" t="str">
        <f ca="1">IFERROR(__xludf.DUMMYFUNCTION("""COMPUTED_VALUE"""),"Winter")</f>
        <v>Winter</v>
      </c>
      <c r="M800" s="5" t="str">
        <f ca="1">IFERROR(__xludf.DUMMYFUNCTION("""COMPUTED_VALUE"""),"Pasadena")</f>
        <v>Pasadena</v>
      </c>
      <c r="N800" s="5" t="str">
        <f ca="1">IFERROR(__xludf.DUMMYFUNCTION("""COMPUTED_VALUE"""),"TX")</f>
        <v>TX</v>
      </c>
      <c r="O800" s="5" t="str">
        <f ca="1">IFERROR(__xludf.DUMMYFUNCTION("""COMPUTED_VALUE"""),"High")</f>
        <v>High</v>
      </c>
      <c r="P800" s="5" t="str">
        <f ca="1">IFERROR(__xludf.DUMMYFUNCTION("""COMPUTED_VALUE"""),"Parking Lot")</f>
        <v>Parking Lot</v>
      </c>
      <c r="Q800" s="5" t="str">
        <f ca="1">IFERROR(__xludf.DUMMYFUNCTION("""COMPUTED_VALUE"""),"Outside on School Property")</f>
        <v>Outside on School Property</v>
      </c>
      <c r="R800" s="5" t="str">
        <f ca="1">IFERROR(__xludf.DUMMYFUNCTION("""COMPUTED_VALUE"""),"No")</f>
        <v>No</v>
      </c>
      <c r="S800" s="5" t="str">
        <f ca="1">IFERROR(__xludf.DUMMYFUNCTION("""COMPUTED_VALUE"""),"School Event")</f>
        <v>School Event</v>
      </c>
      <c r="T800" s="10">
        <f ca="1">IFERROR(__xludf.DUMMYFUNCTION("""COMPUTED_VALUE"""),0.75)</f>
        <v>0.75</v>
      </c>
      <c r="U800" s="5">
        <f ca="1">IFERROR(__xludf.DUMMYFUNCTION("""COMPUTED_VALUE"""),1)</f>
        <v>1</v>
      </c>
      <c r="V800" s="5" t="str">
        <f ca="1">IFERROR(__xludf.DUMMYFUNCTION("""COMPUTED_VALUE"""),"Accidental discharge in car striking both occupants")</f>
        <v>Accidental discharge in car striking both occupants</v>
      </c>
      <c r="W800"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X800" s="5" t="str">
        <f ca="1">IFERROR(__xludf.DUMMYFUNCTION("""COMPUTED_VALUE"""),"Accidental")</f>
        <v>Accidental</v>
      </c>
      <c r="Y800" s="5" t="str">
        <f ca="1">IFERROR(__xludf.DUMMYFUNCTION("""COMPUTED_VALUE"""),"Random Shooting")</f>
        <v>Random Shooting</v>
      </c>
      <c r="Z800" s="5" t="str">
        <f ca="1">IFERROR(__xludf.DUMMYFUNCTION("""COMPUTED_VALUE"""),"Yes")</f>
        <v>Yes</v>
      </c>
      <c r="AA800" s="5" t="str">
        <f ca="1">IFERROR(__xludf.DUMMYFUNCTION("""COMPUTED_VALUE"""),"Two men in car when discharged")</f>
        <v>Two men in car when discharged</v>
      </c>
      <c r="AB800" s="5" t="str">
        <f ca="1">IFERROR(__xludf.DUMMYFUNCTION("""COMPUTED_VALUE"""),"No")</f>
        <v>No</v>
      </c>
      <c r="AC800" s="5" t="str">
        <f ca="1">IFERROR(__xludf.DUMMYFUNCTION("""COMPUTED_VALUE"""),"No")</f>
        <v>No</v>
      </c>
      <c r="AD800" s="5" t="str">
        <f ca="1">IFERROR(__xludf.DUMMYFUNCTION("""COMPUTED_VALUE"""),"No")</f>
        <v>No</v>
      </c>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row>
    <row r="801" spans="1:34" ht="12.75">
      <c r="A801" s="5" t="str">
        <f ca="1">IFERROR(__xludf.DUMMYFUNCTION("""COMPUTED_VALUE"""),"20171211NCHIH")</f>
        <v>20171211NCHIH</v>
      </c>
      <c r="B801" s="8">
        <f ca="1">IFERROR(__xludf.DUMMYFUNCTION("""COMPUTED_VALUE"""),43080)</f>
        <v>43080</v>
      </c>
      <c r="C801" s="5" t="str">
        <f ca="1">IFERROR(__xludf.DUMMYFUNCTION("""COMPUTED_VALUE"""),"High Point Central High School")</f>
        <v>High Point Central High School</v>
      </c>
      <c r="D801" s="5">
        <f ca="1">IFERROR(__xludf.DUMMYFUNCTION("""COMPUTED_VALUE"""),0)</f>
        <v>0</v>
      </c>
      <c r="E801" s="5">
        <f ca="1">IFERROR(__xludf.DUMMYFUNCTION("""COMPUTED_VALUE"""),0)</f>
        <v>0</v>
      </c>
      <c r="F801" s="5">
        <f ca="1">IFERROR(__xludf.DUMMYFUNCTION("""COMPUTED_VALUE"""),0)</f>
        <v>0</v>
      </c>
      <c r="G801" s="5">
        <f ca="1">IFERROR(__xludf.DUMMYFUNCTION("""COMPUTED_VALUE"""),0)</f>
        <v>0</v>
      </c>
      <c r="H801" s="9" t="str">
        <f ca="1">IFERROR(__xludf.DUMMYFUNCTION("""COMPUTED_VALUE"""),"http://www.hpenews.com/free/shot-fired-at-central-high-school-no-one-injured/article_574ce5ba-dea8-11e7-b849-5ffd746bf19a.html")</f>
        <v>http://www.hpenews.com/free/shot-fired-at-central-high-school-no-one-injured/article_574ce5ba-dea8-11e7-b849-5ffd746bf19a.html</v>
      </c>
      <c r="I801" s="5">
        <f ca="1">IFERROR(__xludf.DUMMYFUNCTION("""COMPUTED_VALUE"""),5)</f>
        <v>5</v>
      </c>
      <c r="J801" s="5" t="str">
        <f ca="1">IFERROR(__xludf.DUMMYFUNCTION("""COMPUTED_VALUE"""),"Regional")</f>
        <v>Regional</v>
      </c>
      <c r="K801" s="5">
        <f ca="1">IFERROR(__xludf.DUMMYFUNCTION("""COMPUTED_VALUE"""),2)</f>
        <v>2</v>
      </c>
      <c r="L801" s="5" t="str">
        <f ca="1">IFERROR(__xludf.DUMMYFUNCTION("""COMPUTED_VALUE"""),"Winter")</f>
        <v>Winter</v>
      </c>
      <c r="M801" s="5" t="str">
        <f ca="1">IFERROR(__xludf.DUMMYFUNCTION("""COMPUTED_VALUE"""),"High Point")</f>
        <v>High Point</v>
      </c>
      <c r="N801" s="5" t="str">
        <f ca="1">IFERROR(__xludf.DUMMYFUNCTION("""COMPUTED_VALUE"""),"NC")</f>
        <v>NC</v>
      </c>
      <c r="O801" s="5" t="str">
        <f ca="1">IFERROR(__xludf.DUMMYFUNCTION("""COMPUTED_VALUE"""),"High")</f>
        <v>High</v>
      </c>
      <c r="P801" s="5" t="str">
        <f ca="1">IFERROR(__xludf.DUMMYFUNCTION("""COMPUTED_VALUE"""),"Cafeteria")</f>
        <v>Cafeteria</v>
      </c>
      <c r="Q801" s="5" t="str">
        <f ca="1">IFERROR(__xludf.DUMMYFUNCTION("""COMPUTED_VALUE"""),"Inside School Building")</f>
        <v>Inside School Building</v>
      </c>
      <c r="R801" s="5" t="str">
        <f ca="1">IFERROR(__xludf.DUMMYFUNCTION("""COMPUTED_VALUE"""),"Yes")</f>
        <v>Yes</v>
      </c>
      <c r="S801" s="5" t="str">
        <f ca="1">IFERROR(__xludf.DUMMYFUNCTION("""COMPUTED_VALUE"""),"Afternoon Classes")</f>
        <v>Afternoon Classes</v>
      </c>
      <c r="T801" s="10">
        <f ca="1">IFERROR(__xludf.DUMMYFUNCTION("""COMPUTED_VALUE"""),0.588888888888888)</f>
        <v>0.58888888888888802</v>
      </c>
      <c r="U801" s="5">
        <f ca="1">IFERROR(__xludf.DUMMYFUNCTION("""COMPUTED_VALUE"""),1)</f>
        <v>1</v>
      </c>
      <c r="V801" s="5" t="str">
        <f ca="1">IFERROR(__xludf.DUMMYFUNCTION("""COMPUTED_VALUE"""),"Gang-related shooting near cafeteria")</f>
        <v>Gang-related shooting near cafeteria</v>
      </c>
      <c r="W801"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X801" s="5" t="str">
        <f ca="1">IFERROR(__xludf.DUMMYFUNCTION("""COMPUTED_VALUE"""),"Escalation of Dispute")</f>
        <v>Escalation of Dispute</v>
      </c>
      <c r="Y801" s="5" t="str">
        <f ca="1">IFERROR(__xludf.DUMMYFUNCTION("""COMPUTED_VALUE"""),"Victims Targeted")</f>
        <v>Victims Targeted</v>
      </c>
      <c r="Z801" s="5"/>
      <c r="AA801" s="5"/>
      <c r="AB801" s="5" t="str">
        <f ca="1">IFERROR(__xludf.DUMMYFUNCTION("""COMPUTED_VALUE"""),"No")</f>
        <v>No</v>
      </c>
      <c r="AC801" s="5" t="str">
        <f ca="1">IFERROR(__xludf.DUMMYFUNCTION("""COMPUTED_VALUE"""),"No")</f>
        <v>No</v>
      </c>
      <c r="AD801" s="5" t="str">
        <f ca="1">IFERROR(__xludf.DUMMYFUNCTION("""COMPUTED_VALUE"""),"No")</f>
        <v>No</v>
      </c>
      <c r="AE801" s="5" t="str">
        <f ca="1">IFERROR(__xludf.DUMMYFUNCTION("""COMPUTED_VALUE"""),"No")</f>
        <v>No</v>
      </c>
      <c r="AF801" s="5" t="str">
        <f ca="1">IFERROR(__xludf.DUMMYFUNCTION("""COMPUTED_VALUE"""),"No")</f>
        <v>No</v>
      </c>
      <c r="AG801" s="5" t="str">
        <f ca="1">IFERROR(__xludf.DUMMYFUNCTION("""COMPUTED_VALUE"""),"Yes")</f>
        <v>Yes</v>
      </c>
      <c r="AH801" s="5" t="str">
        <f ca="1">IFERROR(__xludf.DUMMYFUNCTION("""COMPUTED_VALUE"""),"No")</f>
        <v>No</v>
      </c>
    </row>
    <row r="802" spans="1:34" ht="12.75">
      <c r="A802" s="5" t="str">
        <f ca="1">IFERROR(__xludf.DUMMYFUNCTION("""COMPUTED_VALUE"""),"20171209ILCHC")</f>
        <v>20171209ILCHC</v>
      </c>
      <c r="B802" s="8">
        <f ca="1">IFERROR(__xludf.DUMMYFUNCTION("""COMPUTED_VALUE"""),43078)</f>
        <v>43078</v>
      </c>
      <c r="C802" s="5" t="str">
        <f ca="1">IFERROR(__xludf.DUMMYFUNCTION("""COMPUTED_VALUE"""),"Champaign Central High School")</f>
        <v>Champaign Central High School</v>
      </c>
      <c r="D802" s="5">
        <f ca="1">IFERROR(__xludf.DUMMYFUNCTION("""COMPUTED_VALUE"""),0)</f>
        <v>0</v>
      </c>
      <c r="E802" s="5">
        <f ca="1">IFERROR(__xludf.DUMMYFUNCTION("""COMPUTED_VALUE"""),3)</f>
        <v>3</v>
      </c>
      <c r="F802" s="5">
        <f ca="1">IFERROR(__xludf.DUMMYFUNCTION("""COMPUTED_VALUE"""),3)</f>
        <v>3</v>
      </c>
      <c r="G802" s="5">
        <f ca="1">IFERROR(__xludf.DUMMYFUNCTION("""COMPUTED_VALUE"""),0)</f>
        <v>0</v>
      </c>
      <c r="H802"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I802" s="5"/>
      <c r="J802" s="5"/>
      <c r="K802" s="5">
        <f ca="1">IFERROR(__xludf.DUMMYFUNCTION("""COMPUTED_VALUE"""),4)</f>
        <v>4</v>
      </c>
      <c r="L802" s="5" t="str">
        <f ca="1">IFERROR(__xludf.DUMMYFUNCTION("""COMPUTED_VALUE"""),"Winter")</f>
        <v>Winter</v>
      </c>
      <c r="M802" s="5" t="str">
        <f ca="1">IFERROR(__xludf.DUMMYFUNCTION("""COMPUTED_VALUE"""),"Champaign")</f>
        <v>Champaign</v>
      </c>
      <c r="N802" s="5" t="str">
        <f ca="1">IFERROR(__xludf.DUMMYFUNCTION("""COMPUTED_VALUE"""),"IL")</f>
        <v>IL</v>
      </c>
      <c r="O802" s="5" t="str">
        <f ca="1">IFERROR(__xludf.DUMMYFUNCTION("""COMPUTED_VALUE"""),"High")</f>
        <v>High</v>
      </c>
      <c r="P802" s="5" t="str">
        <f ca="1">IFERROR(__xludf.DUMMYFUNCTION("""COMPUTED_VALUE"""),"Parking Lot")</f>
        <v>Parking Lot</v>
      </c>
      <c r="Q802" s="5" t="str">
        <f ca="1">IFERROR(__xludf.DUMMYFUNCTION("""COMPUTED_VALUE"""),"Outside on School Property")</f>
        <v>Outside on School Property</v>
      </c>
      <c r="R802" s="5" t="str">
        <f ca="1">IFERROR(__xludf.DUMMYFUNCTION("""COMPUTED_VALUE"""),"No")</f>
        <v>No</v>
      </c>
      <c r="S802" s="5" t="str">
        <f ca="1">IFERROR(__xludf.DUMMYFUNCTION("""COMPUTED_VALUE"""),"Sport Event")</f>
        <v>Sport Event</v>
      </c>
      <c r="T802" s="10">
        <f ca="1">IFERROR(__xludf.DUMMYFUNCTION("""COMPUTED_VALUE"""),0.888888888888888)</f>
        <v>0.88888888888888795</v>
      </c>
      <c r="U802" s="5">
        <f ca="1">IFERROR(__xludf.DUMMYFUNCTION("""COMPUTED_VALUE"""),1)</f>
        <v>1</v>
      </c>
      <c r="V802" s="5" t="str">
        <f ca="1">IFERROR(__xludf.DUMMYFUNCTION("""COMPUTED_VALUE"""),"Shots fired during fight after basketball game")</f>
        <v>Shots fired during fight after basketball game</v>
      </c>
      <c r="W802"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X802" s="5" t="str">
        <f ca="1">IFERROR(__xludf.DUMMYFUNCTION("""COMPUTED_VALUE"""),"Escalation of Dispute")</f>
        <v>Escalation of Dispute</v>
      </c>
      <c r="Y802" s="5" t="str">
        <f ca="1">IFERROR(__xludf.DUMMYFUNCTION("""COMPUTED_VALUE"""),"Both")</f>
        <v>Both</v>
      </c>
      <c r="Z802" s="5"/>
      <c r="AA802" s="5"/>
      <c r="AB802" s="5" t="str">
        <f ca="1">IFERROR(__xludf.DUMMYFUNCTION("""COMPUTED_VALUE"""),"No")</f>
        <v>No</v>
      </c>
      <c r="AC802" s="5" t="str">
        <f ca="1">IFERROR(__xludf.DUMMYFUNCTION("""COMPUTED_VALUE"""),"No")</f>
        <v>No</v>
      </c>
      <c r="AD802" s="5" t="str">
        <f ca="1">IFERROR(__xludf.DUMMYFUNCTION("""COMPUTED_VALUE"""),"No")</f>
        <v>No</v>
      </c>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row>
    <row r="803" spans="1:34" ht="12.75">
      <c r="A803" s="5" t="str">
        <f ca="1">IFERROR(__xludf.DUMMYFUNCTION("""COMPUTED_VALUE"""),"20171207NMAZA")</f>
        <v>20171207NMAZA</v>
      </c>
      <c r="B803" s="8">
        <f ca="1">IFERROR(__xludf.DUMMYFUNCTION("""COMPUTED_VALUE"""),43076)</f>
        <v>43076</v>
      </c>
      <c r="C803" s="5" t="str">
        <f ca="1">IFERROR(__xludf.DUMMYFUNCTION("""COMPUTED_VALUE"""),"Aztec High School")</f>
        <v>Aztec High School</v>
      </c>
      <c r="D803" s="5">
        <f ca="1">IFERROR(__xludf.DUMMYFUNCTION("""COMPUTED_VALUE"""),2)</f>
        <v>2</v>
      </c>
      <c r="E803" s="5">
        <f ca="1">IFERROR(__xludf.DUMMYFUNCTION("""COMPUTED_VALUE"""),0)</f>
        <v>0</v>
      </c>
      <c r="F803" s="5">
        <f ca="1">IFERROR(__xludf.DUMMYFUNCTION("""COMPUTED_VALUE"""),2)</f>
        <v>2</v>
      </c>
      <c r="G803" s="5">
        <f ca="1">IFERROR(__xludf.DUMMYFUNCTION("""COMPUTED_VALUE"""),1)</f>
        <v>1</v>
      </c>
      <c r="H803"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I803" s="5">
        <f ca="1">IFERROR(__xludf.DUMMYFUNCTION("""COMPUTED_VALUE"""),100)</f>
        <v>100</v>
      </c>
      <c r="J803" s="5" t="str">
        <f ca="1">IFERROR(__xludf.DUMMYFUNCTION("""COMPUTED_VALUE"""),"National")</f>
        <v>National</v>
      </c>
      <c r="K803" s="5">
        <f ca="1">IFERROR(__xludf.DUMMYFUNCTION("""COMPUTED_VALUE"""),5)</f>
        <v>5</v>
      </c>
      <c r="L803" s="5" t="str">
        <f ca="1">IFERROR(__xludf.DUMMYFUNCTION("""COMPUTED_VALUE"""),"Winter")</f>
        <v>Winter</v>
      </c>
      <c r="M803" s="5" t="str">
        <f ca="1">IFERROR(__xludf.DUMMYFUNCTION("""COMPUTED_VALUE"""),"Aztec")</f>
        <v>Aztec</v>
      </c>
      <c r="N803" s="5" t="str">
        <f ca="1">IFERROR(__xludf.DUMMYFUNCTION("""COMPUTED_VALUE"""),"NM")</f>
        <v>NM</v>
      </c>
      <c r="O803" s="5" t="str">
        <f ca="1">IFERROR(__xludf.DUMMYFUNCTION("""COMPUTED_VALUE"""),"High")</f>
        <v>High</v>
      </c>
      <c r="P803" s="5" t="str">
        <f ca="1">IFERROR(__xludf.DUMMYFUNCTION("""COMPUTED_VALUE"""),"Classroom")</f>
        <v>Classroom</v>
      </c>
      <c r="Q803" s="5" t="str">
        <f ca="1">IFERROR(__xludf.DUMMYFUNCTION("""COMPUTED_VALUE"""),"Inside School Building")</f>
        <v>Inside School Building</v>
      </c>
      <c r="R803" s="5" t="str">
        <f ca="1">IFERROR(__xludf.DUMMYFUNCTION("""COMPUTED_VALUE"""),"Yes")</f>
        <v>Yes</v>
      </c>
      <c r="S803" s="5" t="str">
        <f ca="1">IFERROR(__xludf.DUMMYFUNCTION("""COMPUTED_VALUE"""),"Morning Classes")</f>
        <v>Morning Classes</v>
      </c>
      <c r="T803" s="10">
        <f ca="1">IFERROR(__xludf.DUMMYFUNCTION("""COMPUTED_VALUE"""),0.336111111111111)</f>
        <v>0.33611111111111103</v>
      </c>
      <c r="U803" s="5">
        <f ca="1">IFERROR(__xludf.DUMMYFUNCTION("""COMPUTED_VALUE"""),6)</f>
        <v>6</v>
      </c>
      <c r="V803" s="5" t="str">
        <f ca="1">IFERROR(__xludf.DUMMYFUNCTION("""COMPUTED_VALUE"""),"Planned mass shooting attack by former student")</f>
        <v>Planned mass shooting attack by former student</v>
      </c>
      <c r="W803"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X803" s="5" t="str">
        <f ca="1">IFERROR(__xludf.DUMMYFUNCTION("""COMPUTED_VALUE"""),"Indiscriminate Shooting")</f>
        <v>Indiscriminate Shooting</v>
      </c>
      <c r="Y803" s="5" t="str">
        <f ca="1">IFERROR(__xludf.DUMMYFUNCTION("""COMPUTED_VALUE"""),"Random Shooting")</f>
        <v>Random Shooting</v>
      </c>
      <c r="Z803" s="5" t="str">
        <f ca="1">IFERROR(__xludf.DUMMYFUNCTION("""COMPUTED_VALUE"""),"No")</f>
        <v>No</v>
      </c>
      <c r="AA803" s="5"/>
      <c r="AB803" s="5" t="str">
        <f ca="1">IFERROR(__xludf.DUMMYFUNCTION("""COMPUTED_VALUE"""),"No")</f>
        <v>No</v>
      </c>
      <c r="AC803" s="5" t="str">
        <f ca="1">IFERROR(__xludf.DUMMYFUNCTION("""COMPUTED_VALUE"""),"No")</f>
        <v>No</v>
      </c>
      <c r="AD803" s="5" t="str">
        <f ca="1">IFERROR(__xludf.DUMMYFUNCTION("""COMPUTED_VALUE"""),"No")</f>
        <v>No</v>
      </c>
      <c r="AE803" s="5" t="str">
        <f ca="1">IFERROR(__xludf.DUMMYFUNCTION("""COMPUTED_VALUE"""),"Yes")</f>
        <v>Yes</v>
      </c>
      <c r="AF803" s="5" t="str">
        <f ca="1">IFERROR(__xludf.DUMMYFUNCTION("""COMPUTED_VALUE"""),"No")</f>
        <v>No</v>
      </c>
      <c r="AG803" s="5" t="str">
        <f ca="1">IFERROR(__xludf.DUMMYFUNCTION("""COMPUTED_VALUE"""),"No")</f>
        <v>No</v>
      </c>
      <c r="AH803" s="5" t="str">
        <f ca="1">IFERROR(__xludf.DUMMYFUNCTION("""COMPUTED_VALUE"""),"Yes")</f>
        <v>Yes</v>
      </c>
    </row>
    <row r="804" spans="1:34" ht="12.75">
      <c r="A804" s="5" t="str">
        <f ca="1">IFERROR(__xludf.DUMMYFUNCTION("""COMPUTED_VALUE"""),"20171130VASAV")</f>
        <v>20171130VASAV</v>
      </c>
      <c r="B804" s="8">
        <f ca="1">IFERROR(__xludf.DUMMYFUNCTION("""COMPUTED_VALUE"""),43069)</f>
        <v>43069</v>
      </c>
      <c r="C804" s="5" t="str">
        <f ca="1">IFERROR(__xludf.DUMMYFUNCTION("""COMPUTED_VALUE"""),"Salem High School")</f>
        <v>Salem High School</v>
      </c>
      <c r="D804" s="5">
        <f ca="1">IFERROR(__xludf.DUMMYFUNCTION("""COMPUTED_VALUE"""),0)</f>
        <v>0</v>
      </c>
      <c r="E804" s="5">
        <f ca="1">IFERROR(__xludf.DUMMYFUNCTION("""COMPUTED_VALUE"""),0)</f>
        <v>0</v>
      </c>
      <c r="F804" s="5">
        <f ca="1">IFERROR(__xludf.DUMMYFUNCTION("""COMPUTED_VALUE"""),0)</f>
        <v>0</v>
      </c>
      <c r="G804" s="5">
        <f ca="1">IFERROR(__xludf.DUMMYFUNCTION("""COMPUTED_VALUE"""),1)</f>
        <v>1</v>
      </c>
      <c r="H804"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I804" s="5"/>
      <c r="J804" s="5"/>
      <c r="K804" s="5">
        <f ca="1">IFERROR(__xludf.DUMMYFUNCTION("""COMPUTED_VALUE"""),3)</f>
        <v>3</v>
      </c>
      <c r="L804" s="5" t="str">
        <f ca="1">IFERROR(__xludf.DUMMYFUNCTION("""COMPUTED_VALUE"""),"Fall")</f>
        <v>Fall</v>
      </c>
      <c r="M804" s="5" t="str">
        <f ca="1">IFERROR(__xludf.DUMMYFUNCTION("""COMPUTED_VALUE"""),"Virginia Beach")</f>
        <v>Virginia Beach</v>
      </c>
      <c r="N804" s="5" t="str">
        <f ca="1">IFERROR(__xludf.DUMMYFUNCTION("""COMPUTED_VALUE"""),"VA")</f>
        <v>VA</v>
      </c>
      <c r="O804" s="5" t="str">
        <f ca="1">IFERROR(__xludf.DUMMYFUNCTION("""COMPUTED_VALUE"""),"High")</f>
        <v>High</v>
      </c>
      <c r="P804" s="5" t="str">
        <f ca="1">IFERROR(__xludf.DUMMYFUNCTION("""COMPUTED_VALUE"""),"Inside School Building")</f>
        <v>Inside School Building</v>
      </c>
      <c r="Q804" s="5" t="str">
        <f ca="1">IFERROR(__xludf.DUMMYFUNCTION("""COMPUTED_VALUE"""),"Inside School Building")</f>
        <v>Inside School Building</v>
      </c>
      <c r="R804" s="5" t="str">
        <f ca="1">IFERROR(__xludf.DUMMYFUNCTION("""COMPUTED_VALUE"""),"Yes")</f>
        <v>Yes</v>
      </c>
      <c r="S804" s="5" t="str">
        <f ca="1">IFERROR(__xludf.DUMMYFUNCTION("""COMPUTED_VALUE"""),"School Start")</f>
        <v>School Start</v>
      </c>
      <c r="T804" s="10">
        <f ca="1">IFERROR(__xludf.DUMMYFUNCTION("""COMPUTED_VALUE"""),0.340277777777777)</f>
        <v>0.34027777777777701</v>
      </c>
      <c r="U804" s="5">
        <f ca="1">IFERROR(__xludf.DUMMYFUNCTION("""COMPUTED_VALUE"""),1)</f>
        <v>1</v>
      </c>
      <c r="V804" s="5" t="str">
        <f ca="1">IFERROR(__xludf.DUMMYFUNCTION("""COMPUTED_VALUE"""),"Student commit suicide in school")</f>
        <v>Student commit suicide in school</v>
      </c>
      <c r="W804" s="5" t="str">
        <f ca="1">IFERROR(__xludf.DUMMYFUNCTION("""COMPUTED_VALUE"""),"Student commit suicide inside school. Details unknown.")</f>
        <v>Student commit suicide inside school. Details unknown.</v>
      </c>
      <c r="X804" s="5" t="str">
        <f ca="1">IFERROR(__xludf.DUMMYFUNCTION("""COMPUTED_VALUE"""),"Suicide/Attempted")</f>
        <v>Suicide/Attempted</v>
      </c>
      <c r="Y804" s="5" t="str">
        <f ca="1">IFERROR(__xludf.DUMMYFUNCTION("""COMPUTED_VALUE"""),"Victims Targeted")</f>
        <v>Victims Targeted</v>
      </c>
      <c r="Z804" s="5" t="str">
        <f ca="1">IFERROR(__xludf.DUMMYFUNCTION("""COMPUTED_VALUE"""),"No")</f>
        <v>No</v>
      </c>
      <c r="AA804" s="5"/>
      <c r="AB804" s="5" t="str">
        <f ca="1">IFERROR(__xludf.DUMMYFUNCTION("""COMPUTED_VALUE"""),"No")</f>
        <v>No</v>
      </c>
      <c r="AC804" s="5" t="str">
        <f ca="1">IFERROR(__xludf.DUMMYFUNCTION("""COMPUTED_VALUE"""),"No")</f>
        <v>No</v>
      </c>
      <c r="AD804" s="5" t="str">
        <f ca="1">IFERROR(__xludf.DUMMYFUNCTION("""COMPUTED_VALUE"""),"No")</f>
        <v>No</v>
      </c>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row>
    <row r="805" spans="1:34" ht="12.75">
      <c r="A805" s="5" t="str">
        <f ca="1">IFERROR(__xludf.DUMMYFUNCTION("""COMPUTED_VALUE"""),"20171129OHBAL")</f>
        <v>20171129OHBAL</v>
      </c>
      <c r="B805" s="8">
        <f ca="1">IFERROR(__xludf.DUMMYFUNCTION("""COMPUTED_VALUE"""),43068)</f>
        <v>43068</v>
      </c>
      <c r="C805" s="5" t="str">
        <f ca="1">IFERROR(__xludf.DUMMYFUNCTION("""COMPUTED_VALUE"""),"Bath High School")</f>
        <v>Bath High School</v>
      </c>
      <c r="D805" s="5">
        <f ca="1">IFERROR(__xludf.DUMMYFUNCTION("""COMPUTED_VALUE"""),0)</f>
        <v>0</v>
      </c>
      <c r="E805" s="5">
        <f ca="1">IFERROR(__xludf.DUMMYFUNCTION("""COMPUTED_VALUE"""),0)</f>
        <v>0</v>
      </c>
      <c r="F805" s="5">
        <f ca="1">IFERROR(__xludf.DUMMYFUNCTION("""COMPUTED_VALUE"""),0)</f>
        <v>0</v>
      </c>
      <c r="G805" s="5">
        <f ca="1">IFERROR(__xludf.DUMMYFUNCTION("""COMPUTED_VALUE"""),0)</f>
        <v>0</v>
      </c>
      <c r="H805" s="9" t="str">
        <f ca="1">IFERROR(__xludf.DUMMYFUNCTION("""COMPUTED_VALUE"""),"https://www.limaohio.com/news/273390/lima-man-arrested-after-gun-goes-off-accidentally-at-bath-high-school")</f>
        <v>https://www.limaohio.com/news/273390/lima-man-arrested-after-gun-goes-off-accidentally-at-bath-high-school</v>
      </c>
      <c r="I805" s="5"/>
      <c r="J805" s="5"/>
      <c r="K805" s="5">
        <f ca="1">IFERROR(__xludf.DUMMYFUNCTION("""COMPUTED_VALUE"""),2)</f>
        <v>2</v>
      </c>
      <c r="L805" s="5" t="str">
        <f ca="1">IFERROR(__xludf.DUMMYFUNCTION("""COMPUTED_VALUE"""),"Fall")</f>
        <v>Fall</v>
      </c>
      <c r="M805" s="5" t="str">
        <f ca="1">IFERROR(__xludf.DUMMYFUNCTION("""COMPUTED_VALUE"""),"Lima")</f>
        <v>Lima</v>
      </c>
      <c r="N805" s="5" t="str">
        <f ca="1">IFERROR(__xludf.DUMMYFUNCTION("""COMPUTED_VALUE"""),"OH")</f>
        <v>OH</v>
      </c>
      <c r="O805" s="5" t="str">
        <f ca="1">IFERROR(__xludf.DUMMYFUNCTION("""COMPUTED_VALUE"""),"High")</f>
        <v>High</v>
      </c>
      <c r="P805" s="5" t="str">
        <f ca="1">IFERROR(__xludf.DUMMYFUNCTION("""COMPUTED_VALUE"""),"Gym")</f>
        <v>Gym</v>
      </c>
      <c r="Q805" s="5" t="str">
        <f ca="1">IFERROR(__xludf.DUMMYFUNCTION("""COMPUTED_VALUE"""),"Inside School Building")</f>
        <v>Inside School Building</v>
      </c>
      <c r="R805" s="5" t="str">
        <f ca="1">IFERROR(__xludf.DUMMYFUNCTION("""COMPUTED_VALUE"""),"No")</f>
        <v>No</v>
      </c>
      <c r="S805" s="5" t="str">
        <f ca="1">IFERROR(__xludf.DUMMYFUNCTION("""COMPUTED_VALUE"""),"Evening")</f>
        <v>Evening</v>
      </c>
      <c r="T805" s="10">
        <f ca="1">IFERROR(__xludf.DUMMYFUNCTION("""COMPUTED_VALUE"""),0.791666666666666)</f>
        <v>0.79166666666666596</v>
      </c>
      <c r="U805" s="5">
        <f ca="1">IFERROR(__xludf.DUMMYFUNCTION("""COMPUTED_VALUE"""),1)</f>
        <v>1</v>
      </c>
      <c r="V805" s="5" t="str">
        <f ca="1">IFERROR(__xludf.DUMMYFUNCTION("""COMPUTED_VALUE"""),"Gun discharged in man's pocket while at basketball referees' meeting")</f>
        <v>Gun discharged in man's pocket while at basketball referees' meeting</v>
      </c>
      <c r="W805"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X805" s="5" t="str">
        <f ca="1">IFERROR(__xludf.DUMMYFUNCTION("""COMPUTED_VALUE"""),"Accidental")</f>
        <v>Accidental</v>
      </c>
      <c r="Y805" s="5" t="str">
        <f ca="1">IFERROR(__xludf.DUMMYFUNCTION("""COMPUTED_VALUE"""),"Neither")</f>
        <v>Neither</v>
      </c>
      <c r="Z805" s="5" t="str">
        <f ca="1">IFERROR(__xludf.DUMMYFUNCTION("""COMPUTED_VALUE"""),"No")</f>
        <v>No</v>
      </c>
      <c r="AA805" s="5"/>
      <c r="AB805" s="5" t="str">
        <f ca="1">IFERROR(__xludf.DUMMYFUNCTION("""COMPUTED_VALUE"""),"No")</f>
        <v>No</v>
      </c>
      <c r="AC805" s="5" t="str">
        <f ca="1">IFERROR(__xludf.DUMMYFUNCTION("""COMPUTED_VALUE"""),"No")</f>
        <v>No</v>
      </c>
      <c r="AD805" s="5" t="str">
        <f ca="1">IFERROR(__xludf.DUMMYFUNCTION("""COMPUTED_VALUE"""),"No")</f>
        <v>No</v>
      </c>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row>
    <row r="806" spans="1:34" ht="12.75">
      <c r="A806" s="5" t="str">
        <f ca="1">IFERROR(__xludf.DUMMYFUNCTION("""COMPUTED_VALUE"""),"20171128CABOS")</f>
        <v>20171128CABOS</v>
      </c>
      <c r="B806" s="8">
        <f ca="1">IFERROR(__xludf.DUMMYFUNCTION("""COMPUTED_VALUE"""),43067)</f>
        <v>43067</v>
      </c>
      <c r="C806" s="5" t="str">
        <f ca="1">IFERROR(__xludf.DUMMYFUNCTION("""COMPUTED_VALUE"""),"Booksin Elementary School")</f>
        <v>Booksin Elementary School</v>
      </c>
      <c r="D806" s="5">
        <f ca="1">IFERROR(__xludf.DUMMYFUNCTION("""COMPUTED_VALUE"""),0)</f>
        <v>0</v>
      </c>
      <c r="E806" s="5">
        <f ca="1">IFERROR(__xludf.DUMMYFUNCTION("""COMPUTED_VALUE"""),0)</f>
        <v>0</v>
      </c>
      <c r="F806" s="5">
        <f ca="1">IFERROR(__xludf.DUMMYFUNCTION("""COMPUTED_VALUE"""),0)</f>
        <v>0</v>
      </c>
      <c r="G806" s="5">
        <f ca="1">IFERROR(__xludf.DUMMYFUNCTION("""COMPUTED_VALUE"""),0)</f>
        <v>0</v>
      </c>
      <c r="H806"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I806" s="5"/>
      <c r="J806" s="5"/>
      <c r="K806" s="5">
        <f ca="1">IFERROR(__xludf.DUMMYFUNCTION("""COMPUTED_VALUE"""),3)</f>
        <v>3</v>
      </c>
      <c r="L806" s="5" t="str">
        <f ca="1">IFERROR(__xludf.DUMMYFUNCTION("""COMPUTED_VALUE"""),"Fall")</f>
        <v>Fall</v>
      </c>
      <c r="M806" s="5" t="str">
        <f ca="1">IFERROR(__xludf.DUMMYFUNCTION("""COMPUTED_VALUE"""),"San Jose")</f>
        <v>San Jose</v>
      </c>
      <c r="N806" s="5" t="str">
        <f ca="1">IFERROR(__xludf.DUMMYFUNCTION("""COMPUTED_VALUE"""),"CA")</f>
        <v>CA</v>
      </c>
      <c r="O806" s="5" t="str">
        <f ca="1">IFERROR(__xludf.DUMMYFUNCTION("""COMPUTED_VALUE"""),"Elementary")</f>
        <v>Elementary</v>
      </c>
      <c r="P806" s="5" t="str">
        <f ca="1">IFERROR(__xludf.DUMMYFUNCTION("""COMPUTED_VALUE"""),"Beside Building")</f>
        <v>Beside Building</v>
      </c>
      <c r="Q806" s="5" t="str">
        <f ca="1">IFERROR(__xludf.DUMMYFUNCTION("""COMPUTED_VALUE"""),"Outside on School Property")</f>
        <v>Outside on School Property</v>
      </c>
      <c r="R806" s="5" t="str">
        <f ca="1">IFERROR(__xludf.DUMMYFUNCTION("""COMPUTED_VALUE"""),"No")</f>
        <v>No</v>
      </c>
      <c r="S806" s="5" t="str">
        <f ca="1">IFERROR(__xludf.DUMMYFUNCTION("""COMPUTED_VALUE"""),"Night")</f>
        <v>Night</v>
      </c>
      <c r="T806" s="10">
        <f ca="1">IFERROR(__xludf.DUMMYFUNCTION("""COMPUTED_VALUE"""),0.166666666666666)</f>
        <v>0.16666666666666599</v>
      </c>
      <c r="U806" s="5">
        <f ca="1">IFERROR(__xludf.DUMMYFUNCTION("""COMPUTED_VALUE"""),1)</f>
        <v>1</v>
      </c>
      <c r="V806" s="5" t="str">
        <f ca="1">IFERROR(__xludf.DUMMYFUNCTION("""COMPUTED_VALUE"""),"Shot school security cameras")</f>
        <v>Shot school security cameras</v>
      </c>
      <c r="W806" s="5" t="str">
        <f ca="1">IFERROR(__xludf.DUMMYFUNCTION("""COMPUTED_VALUE"""),"Shooter shot two school security cameras. Later arrested at his home. Unknown motive.")</f>
        <v>Shooter shot two school security cameras. Later arrested at his home. Unknown motive.</v>
      </c>
      <c r="X806" s="5" t="str">
        <f ca="1">IFERROR(__xludf.DUMMYFUNCTION("""COMPUTED_VALUE"""),"Intentional Property Damage")</f>
        <v>Intentional Property Damage</v>
      </c>
      <c r="Y806" s="5" t="str">
        <f ca="1">IFERROR(__xludf.DUMMYFUNCTION("""COMPUTED_VALUE"""),"NA")</f>
        <v>NA</v>
      </c>
      <c r="Z806" s="5"/>
      <c r="AA806" s="5"/>
      <c r="AB806" s="5" t="str">
        <f ca="1">IFERROR(__xludf.DUMMYFUNCTION("""COMPUTED_VALUE"""),"No")</f>
        <v>No</v>
      </c>
      <c r="AC806" s="5" t="str">
        <f ca="1">IFERROR(__xludf.DUMMYFUNCTION("""COMPUTED_VALUE"""),"No")</f>
        <v>No</v>
      </c>
      <c r="AD806" s="5" t="str">
        <f ca="1">IFERROR(__xludf.DUMMYFUNCTION("""COMPUTED_VALUE"""),"No")</f>
        <v>No</v>
      </c>
      <c r="AE806" s="5" t="str">
        <f ca="1">IFERROR(__xludf.DUMMYFUNCTION("""COMPUTED_VALUE"""),"N/A")</f>
        <v>N/A</v>
      </c>
      <c r="AF806" s="5" t="str">
        <f ca="1">IFERROR(__xludf.DUMMYFUNCTION("""COMPUTED_VALUE"""),"N/A")</f>
        <v>N/A</v>
      </c>
      <c r="AG806" s="5" t="str">
        <f ca="1">IFERROR(__xludf.DUMMYFUNCTION("""COMPUTED_VALUE"""),"No")</f>
        <v>No</v>
      </c>
      <c r="AH806" s="5" t="str">
        <f ca="1">IFERROR(__xludf.DUMMYFUNCTION("""COMPUTED_VALUE"""),"No")</f>
        <v>No</v>
      </c>
    </row>
    <row r="807" spans="1:34" ht="12.75">
      <c r="A807" s="5" t="str">
        <f ca="1">IFERROR(__xludf.DUMMYFUNCTION("""COMPUTED_VALUE"""),"20171123COMAD")</f>
        <v>20171123COMAD</v>
      </c>
      <c r="B807" s="8">
        <f ca="1">IFERROR(__xludf.DUMMYFUNCTION("""COMPUTED_VALUE"""),43062)</f>
        <v>43062</v>
      </c>
      <c r="C807" s="5" t="str">
        <f ca="1">IFERROR(__xludf.DUMMYFUNCTION("""COMPUTED_VALUE"""),"Manual High School")</f>
        <v>Manual High School</v>
      </c>
      <c r="D807" s="5">
        <f ca="1">IFERROR(__xludf.DUMMYFUNCTION("""COMPUTED_VALUE"""),0)</f>
        <v>0</v>
      </c>
      <c r="E807" s="5">
        <f ca="1">IFERROR(__xludf.DUMMYFUNCTION("""COMPUTED_VALUE"""),3)</f>
        <v>3</v>
      </c>
      <c r="F807" s="5">
        <f ca="1">IFERROR(__xludf.DUMMYFUNCTION("""COMPUTED_VALUE"""),3)</f>
        <v>3</v>
      </c>
      <c r="G807" s="5">
        <f ca="1">IFERROR(__xludf.DUMMYFUNCTION("""COMPUTED_VALUE"""),0)</f>
        <v>0</v>
      </c>
      <c r="H807" s="9" t="str">
        <f ca="1">IFERROR(__xludf.DUMMYFUNCTION("""COMPUTED_VALUE"""),"https://www.denverpost.com/2017/11/23/shooting-near-manual-high-school-denver/")</f>
        <v>https://www.denverpost.com/2017/11/23/shooting-near-manual-high-school-denver/</v>
      </c>
      <c r="I807" s="5"/>
      <c r="J807" s="5"/>
      <c r="K807" s="5">
        <f ca="1">IFERROR(__xludf.DUMMYFUNCTION("""COMPUTED_VALUE"""),2)</f>
        <v>2</v>
      </c>
      <c r="L807" s="5" t="str">
        <f ca="1">IFERROR(__xludf.DUMMYFUNCTION("""COMPUTED_VALUE"""),"Fall")</f>
        <v>Fall</v>
      </c>
      <c r="M807" s="5" t="str">
        <f ca="1">IFERROR(__xludf.DUMMYFUNCTION("""COMPUTED_VALUE"""),"Denver")</f>
        <v>Denver</v>
      </c>
      <c r="N807" s="5" t="str">
        <f ca="1">IFERROR(__xludf.DUMMYFUNCTION("""COMPUTED_VALUE"""),"CO")</f>
        <v>CO</v>
      </c>
      <c r="O807" s="5" t="str">
        <f ca="1">IFERROR(__xludf.DUMMYFUNCTION("""COMPUTED_VALUE"""),"High")</f>
        <v>High</v>
      </c>
      <c r="P807" s="5" t="str">
        <f ca="1">IFERROR(__xludf.DUMMYFUNCTION("""COMPUTED_VALUE"""),"Parking Lot")</f>
        <v>Parking Lot</v>
      </c>
      <c r="Q807" s="5" t="str">
        <f ca="1">IFERROR(__xludf.DUMMYFUNCTION("""COMPUTED_VALUE"""),"Outside on School Property")</f>
        <v>Outside on School Property</v>
      </c>
      <c r="R807" s="5" t="str">
        <f ca="1">IFERROR(__xludf.DUMMYFUNCTION("""COMPUTED_VALUE"""),"No")</f>
        <v>No</v>
      </c>
      <c r="S807" s="5" t="str">
        <f ca="1">IFERROR(__xludf.DUMMYFUNCTION("""COMPUTED_VALUE"""),"Not a School Day")</f>
        <v>Not a School Day</v>
      </c>
      <c r="T807" s="10">
        <f ca="1">IFERROR(__xludf.DUMMYFUNCTION("""COMPUTED_VALUE"""),0.504166666666666)</f>
        <v>0.50416666666666599</v>
      </c>
      <c r="U807" s="5">
        <f ca="1">IFERROR(__xludf.DUMMYFUNCTION("""COMPUTED_VALUE"""),1)</f>
        <v>1</v>
      </c>
      <c r="V807" s="5" t="str">
        <f ca="1">IFERROR(__xludf.DUMMYFUNCTION("""COMPUTED_VALUE"""),"Three gunman fired multiple shots at 3 victims inside of car in school parking lot")</f>
        <v>Three gunman fired multiple shots at 3 victims inside of car in school parking lot</v>
      </c>
      <c r="W807"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X807" s="5" t="str">
        <f ca="1">IFERROR(__xludf.DUMMYFUNCTION("""COMPUTED_VALUE"""),"Escalation of Dispute")</f>
        <v>Escalation of Dispute</v>
      </c>
      <c r="Y807" s="5"/>
      <c r="Z807" s="5" t="str">
        <f ca="1">IFERROR(__xludf.DUMMYFUNCTION("""COMPUTED_VALUE"""),"Yes")</f>
        <v>Yes</v>
      </c>
      <c r="AA807" s="5" t="str">
        <f ca="1">IFERROR(__xludf.DUMMYFUNCTION("""COMPUTED_VALUE"""),"Three gunmen")</f>
        <v>Three gunmen</v>
      </c>
      <c r="AB807" s="5" t="str">
        <f ca="1">IFERROR(__xludf.DUMMYFUNCTION("""COMPUTED_VALUE"""),"No")</f>
        <v>No</v>
      </c>
      <c r="AC807" s="5" t="str">
        <f ca="1">IFERROR(__xludf.DUMMYFUNCTION("""COMPUTED_VALUE"""),"No")</f>
        <v>No</v>
      </c>
      <c r="AD807" s="5" t="str">
        <f ca="1">IFERROR(__xludf.DUMMYFUNCTION("""COMPUTED_VALUE"""),"No")</f>
        <v>No</v>
      </c>
      <c r="AE807" s="5" t="str">
        <f ca="1">IFERROR(__xludf.DUMMYFUNCTION("""COMPUTED_VALUE"""),"No")</f>
        <v>No</v>
      </c>
      <c r="AF807" s="5" t="str">
        <f ca="1">IFERROR(__xludf.DUMMYFUNCTION("""COMPUTED_VALUE"""),"No")</f>
        <v>No</v>
      </c>
      <c r="AG807" s="5" t="str">
        <f ca="1">IFERROR(__xludf.DUMMYFUNCTION("""COMPUTED_VALUE"""),"Yes")</f>
        <v>Yes</v>
      </c>
      <c r="AH807" s="5" t="str">
        <f ca="1">IFERROR(__xludf.DUMMYFUNCTION("""COMPUTED_VALUE"""),"No")</f>
        <v>No</v>
      </c>
    </row>
    <row r="808" spans="1:34" ht="12.75">
      <c r="A808" s="5" t="str">
        <f ca="1">IFERROR(__xludf.DUMMYFUNCTION("""COMPUTED_VALUE"""),"20171117TNNOJ")</f>
        <v>20171117TNNOJ</v>
      </c>
      <c r="B808" s="8">
        <f ca="1">IFERROR(__xludf.DUMMYFUNCTION("""COMPUTED_VALUE"""),43056)</f>
        <v>43056</v>
      </c>
      <c r="C808" s="5" t="str">
        <f ca="1">IFERROR(__xludf.DUMMYFUNCTION("""COMPUTED_VALUE"""),"North Side High School")</f>
        <v>North Side High School</v>
      </c>
      <c r="D808" s="5">
        <f ca="1">IFERROR(__xludf.DUMMYFUNCTION("""COMPUTED_VALUE"""),0)</f>
        <v>0</v>
      </c>
      <c r="E808" s="5">
        <f ca="1">IFERROR(__xludf.DUMMYFUNCTION("""COMPUTED_VALUE"""),0)</f>
        <v>0</v>
      </c>
      <c r="F808" s="5">
        <f ca="1">IFERROR(__xludf.DUMMYFUNCTION("""COMPUTED_VALUE"""),0)</f>
        <v>0</v>
      </c>
      <c r="G808" s="5">
        <f ca="1">IFERROR(__xludf.DUMMYFUNCTION("""COMPUTED_VALUE"""),0)</f>
        <v>0</v>
      </c>
      <c r="H808" s="9" t="str">
        <f ca="1">IFERROR(__xludf.DUMMYFUNCTION("""COMPUTED_VALUE"""),"https://www.wbbjtv.com/2017/11/18/shots-fired-north-side-high-school-school-placed-brief-lockdown/")</f>
        <v>https://www.wbbjtv.com/2017/11/18/shots-fired-north-side-high-school-school-placed-brief-lockdown/</v>
      </c>
      <c r="I808" s="5"/>
      <c r="J808" s="5"/>
      <c r="K808" s="5">
        <f ca="1">IFERROR(__xludf.DUMMYFUNCTION("""COMPUTED_VALUE"""),2)</f>
        <v>2</v>
      </c>
      <c r="L808" s="5" t="str">
        <f ca="1">IFERROR(__xludf.DUMMYFUNCTION("""COMPUTED_VALUE"""),"Fall")</f>
        <v>Fall</v>
      </c>
      <c r="M808" s="5" t="str">
        <f ca="1">IFERROR(__xludf.DUMMYFUNCTION("""COMPUTED_VALUE"""),"Jackson")</f>
        <v>Jackson</v>
      </c>
      <c r="N808" s="5" t="str">
        <f ca="1">IFERROR(__xludf.DUMMYFUNCTION("""COMPUTED_VALUE"""),"TN")</f>
        <v>TN</v>
      </c>
      <c r="O808" s="5" t="str">
        <f ca="1">IFERROR(__xludf.DUMMYFUNCTION("""COMPUTED_VALUE"""),"High")</f>
        <v>High</v>
      </c>
      <c r="P808" s="5" t="str">
        <f ca="1">IFERROR(__xludf.DUMMYFUNCTION("""COMPUTED_VALUE"""),"Parking Lot")</f>
        <v>Parking Lot</v>
      </c>
      <c r="Q808" s="5" t="str">
        <f ca="1">IFERROR(__xludf.DUMMYFUNCTION("""COMPUTED_VALUE"""),"Outside on School Property")</f>
        <v>Outside on School Property</v>
      </c>
      <c r="R808" s="5" t="str">
        <f ca="1">IFERROR(__xludf.DUMMYFUNCTION("""COMPUTED_VALUE"""),"No")</f>
        <v>No</v>
      </c>
      <c r="S808" s="5" t="str">
        <f ca="1">IFERROR(__xludf.DUMMYFUNCTION("""COMPUTED_VALUE"""),"Evening")</f>
        <v>Evening</v>
      </c>
      <c r="T808" s="10">
        <f ca="1">IFERROR(__xludf.DUMMYFUNCTION("""COMPUTED_VALUE"""),0.895833333333333)</f>
        <v>0.89583333333333304</v>
      </c>
      <c r="U808" s="5">
        <f ca="1">IFERROR(__xludf.DUMMYFUNCTION("""COMPUTED_VALUE"""),1)</f>
        <v>1</v>
      </c>
      <c r="V808" s="5" t="str">
        <f ca="1">IFERROR(__xludf.DUMMYFUNCTION("""COMPUTED_VALUE"""),"Shots fired in parking lot of school, school locked down, no injuries or suspect")</f>
        <v>Shots fired in parking lot of school, school locked down, no injuries or suspect</v>
      </c>
      <c r="W808" s="5" t="str">
        <f ca="1">IFERROR(__xludf.DUMMYFUNCTION("""COMPUTED_VALUE"""),"Multiple shots were fired in the parking lot of the school by an unknown gunman. No injuries or suspects.")</f>
        <v>Multiple shots were fired in the parking lot of the school by an unknown gunman. No injuries or suspects.</v>
      </c>
      <c r="X808" s="5" t="str">
        <f ca="1">IFERROR(__xludf.DUMMYFUNCTION("""COMPUTED_VALUE"""),"Escalation of Dispute")</f>
        <v>Escalation of Dispute</v>
      </c>
      <c r="Y808" s="5"/>
      <c r="Z808" s="5" t="str">
        <f ca="1">IFERROR(__xludf.DUMMYFUNCTION("""COMPUTED_VALUE"""),"Unknown")</f>
        <v>Unknown</v>
      </c>
      <c r="AA808" s="5"/>
      <c r="AB808" s="5" t="str">
        <f ca="1">IFERROR(__xludf.DUMMYFUNCTION("""COMPUTED_VALUE"""),"No")</f>
        <v>No</v>
      </c>
      <c r="AC808" s="5" t="str">
        <f ca="1">IFERROR(__xludf.DUMMYFUNCTION("""COMPUTED_VALUE"""),"No")</f>
        <v>No</v>
      </c>
      <c r="AD808" s="5" t="str">
        <f ca="1">IFERROR(__xludf.DUMMYFUNCTION("""COMPUTED_VALUE"""),"No")</f>
        <v>No</v>
      </c>
      <c r="AE808" s="5" t="str">
        <f ca="1">IFERROR(__xludf.DUMMYFUNCTION("""COMPUTED_VALUE"""),"No")</f>
        <v>No</v>
      </c>
      <c r="AF808" s="5" t="str">
        <f ca="1">IFERROR(__xludf.DUMMYFUNCTION("""COMPUTED_VALUE"""),"No")</f>
        <v>No</v>
      </c>
      <c r="AG808" s="5"/>
      <c r="AH808" s="5" t="str">
        <f ca="1">IFERROR(__xludf.DUMMYFUNCTION("""COMPUTED_VALUE"""),"No")</f>
        <v>No</v>
      </c>
    </row>
    <row r="809" spans="1:34" ht="12.75">
      <c r="A809" s="5" t="str">
        <f ca="1">IFERROR(__xludf.DUMMYFUNCTION("""COMPUTED_VALUE"""),"20171114FLLAM")</f>
        <v>20171114FLLAM</v>
      </c>
      <c r="B809" s="8">
        <f ca="1">IFERROR(__xludf.DUMMYFUNCTION("""COMPUTED_VALUE"""),43053)</f>
        <v>43053</v>
      </c>
      <c r="C809" s="5" t="str">
        <f ca="1">IFERROR(__xludf.DUMMYFUNCTION("""COMPUTED_VALUE"""),"Lake Minneola High School")</f>
        <v>Lake Minneola High School</v>
      </c>
      <c r="D809" s="5">
        <f ca="1">IFERROR(__xludf.DUMMYFUNCTION("""COMPUTED_VALUE"""),0)</f>
        <v>0</v>
      </c>
      <c r="E809" s="5">
        <f ca="1">IFERROR(__xludf.DUMMYFUNCTION("""COMPUTED_VALUE"""),0)</f>
        <v>0</v>
      </c>
      <c r="F809" s="5">
        <f ca="1">IFERROR(__xludf.DUMMYFUNCTION("""COMPUTED_VALUE"""),0)</f>
        <v>0</v>
      </c>
      <c r="G809" s="5">
        <f ca="1">IFERROR(__xludf.DUMMYFUNCTION("""COMPUTED_VALUE"""),1)</f>
        <v>1</v>
      </c>
      <c r="H809"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I809" s="5"/>
      <c r="J809" s="5"/>
      <c r="K809" s="5">
        <f ca="1">IFERROR(__xludf.DUMMYFUNCTION("""COMPUTED_VALUE"""),3)</f>
        <v>3</v>
      </c>
      <c r="L809" s="5" t="str">
        <f ca="1">IFERROR(__xludf.DUMMYFUNCTION("""COMPUTED_VALUE"""),"Fall")</f>
        <v>Fall</v>
      </c>
      <c r="M809" s="5" t="str">
        <f ca="1">IFERROR(__xludf.DUMMYFUNCTION("""COMPUTED_VALUE"""),"Minneola")</f>
        <v>Minneola</v>
      </c>
      <c r="N809" s="5" t="str">
        <f ca="1">IFERROR(__xludf.DUMMYFUNCTION("""COMPUTED_VALUE"""),"FL")</f>
        <v>FL</v>
      </c>
      <c r="O809" s="5" t="str">
        <f ca="1">IFERROR(__xludf.DUMMYFUNCTION("""COMPUTED_VALUE"""),"High")</f>
        <v>High</v>
      </c>
      <c r="P809" s="5" t="str">
        <f ca="1">IFERROR(__xludf.DUMMYFUNCTION("""COMPUTED_VALUE"""),"Parking Lot")</f>
        <v>Parking Lot</v>
      </c>
      <c r="Q809" s="5" t="str">
        <f ca="1">IFERROR(__xludf.DUMMYFUNCTION("""COMPUTED_VALUE"""),"Outside on School Property")</f>
        <v>Outside on School Property</v>
      </c>
      <c r="R809" s="5" t="str">
        <f ca="1">IFERROR(__xludf.DUMMYFUNCTION("""COMPUTED_VALUE"""),"Yes")</f>
        <v>Yes</v>
      </c>
      <c r="S809" s="5" t="str">
        <f ca="1">IFERROR(__xludf.DUMMYFUNCTION("""COMPUTED_VALUE"""),"Morning Classes")</f>
        <v>Morning Classes</v>
      </c>
      <c r="T809" s="5"/>
      <c r="U809" s="5">
        <f ca="1">IFERROR(__xludf.DUMMYFUNCTION("""COMPUTED_VALUE"""),1)</f>
        <v>1</v>
      </c>
      <c r="V809" s="5" t="str">
        <f ca="1">IFERROR(__xludf.DUMMYFUNCTION("""COMPUTED_VALUE"""),"Suicide outside of school building")</f>
        <v>Suicide outside of school building</v>
      </c>
      <c r="W809"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X809" s="5" t="str">
        <f ca="1">IFERROR(__xludf.DUMMYFUNCTION("""COMPUTED_VALUE"""),"Suicide/Attempted")</f>
        <v>Suicide/Attempted</v>
      </c>
      <c r="Y809" s="5" t="str">
        <f ca="1">IFERROR(__xludf.DUMMYFUNCTION("""COMPUTED_VALUE"""),"Victims Targeted")</f>
        <v>Victims Targeted</v>
      </c>
      <c r="Z809" s="5" t="str">
        <f ca="1">IFERROR(__xludf.DUMMYFUNCTION("""COMPUTED_VALUE"""),"No")</f>
        <v>No</v>
      </c>
      <c r="AA809" s="5"/>
      <c r="AB809" s="5" t="str">
        <f ca="1">IFERROR(__xludf.DUMMYFUNCTION("""COMPUTED_VALUE"""),"No")</f>
        <v>No</v>
      </c>
      <c r="AC809" s="5" t="str">
        <f ca="1">IFERROR(__xludf.DUMMYFUNCTION("""COMPUTED_VALUE"""),"No")</f>
        <v>No</v>
      </c>
      <c r="AD809" s="5" t="str">
        <f ca="1">IFERROR(__xludf.DUMMYFUNCTION("""COMPUTED_VALUE"""),"No")</f>
        <v>No</v>
      </c>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row>
    <row r="810" spans="1:34" ht="12.75">
      <c r="A810" s="5" t="str">
        <f ca="1">IFERROR(__xludf.DUMMYFUNCTION("""COMPUTED_VALUE"""),"20171114CARAR")</f>
        <v>20171114CARAR</v>
      </c>
      <c r="B810" s="8">
        <f ca="1">IFERROR(__xludf.DUMMYFUNCTION("""COMPUTED_VALUE"""),43053)</f>
        <v>43053</v>
      </c>
      <c r="C810" s="5" t="str">
        <f ca="1">IFERROR(__xludf.DUMMYFUNCTION("""COMPUTED_VALUE"""),"Rancho Tehama Elementary School")</f>
        <v>Rancho Tehama Elementary School</v>
      </c>
      <c r="D810" s="5">
        <f ca="1">IFERROR(__xludf.DUMMYFUNCTION("""COMPUTED_VALUE"""),0)</f>
        <v>0</v>
      </c>
      <c r="E810" s="5">
        <f ca="1">IFERROR(__xludf.DUMMYFUNCTION("""COMPUTED_VALUE"""),18)</f>
        <v>18</v>
      </c>
      <c r="F810" s="5">
        <f ca="1">IFERROR(__xludf.DUMMYFUNCTION("""COMPUTED_VALUE"""),18)</f>
        <v>18</v>
      </c>
      <c r="G810" s="5">
        <f ca="1">IFERROR(__xludf.DUMMYFUNCTION("""COMPUTED_VALUE"""),1)</f>
        <v>1</v>
      </c>
      <c r="H810"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I810" s="5">
        <f ca="1">IFERROR(__xludf.DUMMYFUNCTION("""COMPUTED_VALUE"""),100)</f>
        <v>100</v>
      </c>
      <c r="J810" s="5" t="str">
        <f ca="1">IFERROR(__xludf.DUMMYFUNCTION("""COMPUTED_VALUE"""),"National")</f>
        <v>National</v>
      </c>
      <c r="K810" s="5">
        <f ca="1">IFERROR(__xludf.DUMMYFUNCTION("""COMPUTED_VALUE"""),5)</f>
        <v>5</v>
      </c>
      <c r="L810" s="5" t="str">
        <f ca="1">IFERROR(__xludf.DUMMYFUNCTION("""COMPUTED_VALUE"""),"Fall")</f>
        <v>Fall</v>
      </c>
      <c r="M810" s="5" t="str">
        <f ca="1">IFERROR(__xludf.DUMMYFUNCTION("""COMPUTED_VALUE"""),"Rancho Tehama Reserve")</f>
        <v>Rancho Tehama Reserve</v>
      </c>
      <c r="N810" s="5" t="str">
        <f ca="1">IFERROR(__xludf.DUMMYFUNCTION("""COMPUTED_VALUE"""),"CA")</f>
        <v>CA</v>
      </c>
      <c r="O810" s="5" t="str">
        <f ca="1">IFERROR(__xludf.DUMMYFUNCTION("""COMPUTED_VALUE"""),"Elementary")</f>
        <v>Elementary</v>
      </c>
      <c r="P810" s="5" t="str">
        <f ca="1">IFERROR(__xludf.DUMMYFUNCTION("""COMPUTED_VALUE"""),"Beside Building")</f>
        <v>Beside Building</v>
      </c>
      <c r="Q810" s="5" t="str">
        <f ca="1">IFERROR(__xludf.DUMMYFUNCTION("""COMPUTED_VALUE"""),"Outside on School Property")</f>
        <v>Outside on School Property</v>
      </c>
      <c r="R810" s="5" t="str">
        <f ca="1">IFERROR(__xludf.DUMMYFUNCTION("""COMPUTED_VALUE"""),"Yes")</f>
        <v>Yes</v>
      </c>
      <c r="S810" s="5" t="str">
        <f ca="1">IFERROR(__xludf.DUMMYFUNCTION("""COMPUTED_VALUE"""),"Morning Classes")</f>
        <v>Morning Classes</v>
      </c>
      <c r="T810" s="10">
        <f ca="1">IFERROR(__xludf.DUMMYFUNCTION("""COMPUTED_VALUE"""),0.326388888888888)</f>
        <v>0.32638888888888801</v>
      </c>
      <c r="U810" s="5"/>
      <c r="V810" s="5" t="str">
        <f ca="1">IFERROR(__xludf.DUMMYFUNCTION("""COMPUTED_VALUE"""),"Man on methamphetamine was denied entry to school and fired shots at the building wounding 5 students")</f>
        <v>Man on methamphetamine was denied entry to school and fired shots at the building wounding 5 students</v>
      </c>
      <c r="W810"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X810" s="5" t="str">
        <f ca="1">IFERROR(__xludf.DUMMYFUNCTION("""COMPUTED_VALUE"""),"Indiscriminate Shooting")</f>
        <v>Indiscriminate Shooting</v>
      </c>
      <c r="Y810" s="5" t="str">
        <f ca="1">IFERROR(__xludf.DUMMYFUNCTION("""COMPUTED_VALUE"""),"Random Shooting")</f>
        <v>Random Shooting</v>
      </c>
      <c r="Z810" s="5" t="str">
        <f ca="1">IFERROR(__xludf.DUMMYFUNCTION("""COMPUTED_VALUE"""),"No")</f>
        <v>No</v>
      </c>
      <c r="AA810" s="5"/>
      <c r="AB810" s="5" t="str">
        <f ca="1">IFERROR(__xludf.DUMMYFUNCTION("""COMPUTED_VALUE"""),"No")</f>
        <v>No</v>
      </c>
      <c r="AC810" s="5" t="str">
        <f ca="1">IFERROR(__xludf.DUMMYFUNCTION("""COMPUTED_VALUE"""),"No")</f>
        <v>No</v>
      </c>
      <c r="AD810" s="5" t="str">
        <f ca="1">IFERROR(__xludf.DUMMYFUNCTION("""COMPUTED_VALUE"""),"No")</f>
        <v>No</v>
      </c>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IFERROR(__xludf.DUMMYFUNCTION("""COMPUTED_VALUE"""),"Yes")</f>
        <v>Yes</v>
      </c>
    </row>
    <row r="811" spans="1:34" ht="12.75">
      <c r="A811" s="5" t="str">
        <f ca="1">IFERROR(__xludf.DUMMYFUNCTION("""COMPUTED_VALUE"""),"20171110GALAM")</f>
        <v>20171110GALAM</v>
      </c>
      <c r="B811" s="8">
        <f ca="1">IFERROR(__xludf.DUMMYFUNCTION("""COMPUTED_VALUE"""),43049)</f>
        <v>43049</v>
      </c>
      <c r="C811" s="5" t="str">
        <f ca="1">IFERROR(__xludf.DUMMYFUNCTION("""COMPUTED_VALUE"""),"Lakeview Academy")</f>
        <v>Lakeview Academy</v>
      </c>
      <c r="D811" s="5">
        <f ca="1">IFERROR(__xludf.DUMMYFUNCTION("""COMPUTED_VALUE"""),0)</f>
        <v>0</v>
      </c>
      <c r="E811" s="5">
        <f ca="1">IFERROR(__xludf.DUMMYFUNCTION("""COMPUTED_VALUE"""),0)</f>
        <v>0</v>
      </c>
      <c r="F811" s="5">
        <f ca="1">IFERROR(__xludf.DUMMYFUNCTION("""COMPUTED_VALUE"""),0)</f>
        <v>0</v>
      </c>
      <c r="G811" s="5">
        <f ca="1">IFERROR(__xludf.DUMMYFUNCTION("""COMPUTED_VALUE"""),0)</f>
        <v>0</v>
      </c>
      <c r="H811"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I811" s="5"/>
      <c r="J811" s="5"/>
      <c r="K811" s="5">
        <f ca="1">IFERROR(__xludf.DUMMYFUNCTION("""COMPUTED_VALUE"""),2)</f>
        <v>2</v>
      </c>
      <c r="L811" s="5" t="str">
        <f ca="1">IFERROR(__xludf.DUMMYFUNCTION("""COMPUTED_VALUE"""),"Fall")</f>
        <v>Fall</v>
      </c>
      <c r="M811" s="5" t="str">
        <f ca="1">IFERROR(__xludf.DUMMYFUNCTION("""COMPUTED_VALUE"""),"Milledgeville")</f>
        <v>Milledgeville</v>
      </c>
      <c r="N811" s="5" t="str">
        <f ca="1">IFERROR(__xludf.DUMMYFUNCTION("""COMPUTED_VALUE"""),"GA")</f>
        <v>GA</v>
      </c>
      <c r="O811" s="5" t="str">
        <f ca="1">IFERROR(__xludf.DUMMYFUNCTION("""COMPUTED_VALUE"""),"Elementary")</f>
        <v>Elementary</v>
      </c>
      <c r="P811" s="5" t="str">
        <f ca="1">IFERROR(__xludf.DUMMYFUNCTION("""COMPUTED_VALUE"""),"Classroom")</f>
        <v>Classroom</v>
      </c>
      <c r="Q811" s="5" t="str">
        <f ca="1">IFERROR(__xludf.DUMMYFUNCTION("""COMPUTED_VALUE"""),"Inside School Building")</f>
        <v>Inside School Building</v>
      </c>
      <c r="R811" s="5" t="str">
        <f ca="1">IFERROR(__xludf.DUMMYFUNCTION("""COMPUTED_VALUE"""),"Yes")</f>
        <v>Yes</v>
      </c>
      <c r="S811" s="5" t="str">
        <f ca="1">IFERROR(__xludf.DUMMYFUNCTION("""COMPUTED_VALUE"""),"Morning Classes")</f>
        <v>Morning Classes</v>
      </c>
      <c r="T811" s="10">
        <f ca="1">IFERROR(__xludf.DUMMYFUNCTION("""COMPUTED_VALUE"""),0.354166666666666)</f>
        <v>0.35416666666666602</v>
      </c>
      <c r="U811" s="5">
        <f ca="1">IFERROR(__xludf.DUMMYFUNCTION("""COMPUTED_VALUE"""),1)</f>
        <v>1</v>
      </c>
      <c r="V811" s="5" t="str">
        <f ca="1">IFERROR(__xludf.DUMMYFUNCTION("""COMPUTED_VALUE"""),"Gun in backpack discharged when student got book out")</f>
        <v>Gun in backpack discharged when student got book out</v>
      </c>
      <c r="W811"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X811" s="5" t="str">
        <f ca="1">IFERROR(__xludf.DUMMYFUNCTION("""COMPUTED_VALUE"""),"Accidental")</f>
        <v>Accidental</v>
      </c>
      <c r="Y811" s="5" t="str">
        <f ca="1">IFERROR(__xludf.DUMMYFUNCTION("""COMPUTED_VALUE"""),"Neither")</f>
        <v>Neither</v>
      </c>
      <c r="Z811" s="5" t="str">
        <f ca="1">IFERROR(__xludf.DUMMYFUNCTION("""COMPUTED_VALUE"""),"No")</f>
        <v>No</v>
      </c>
      <c r="AA811" s="5"/>
      <c r="AB811" s="5" t="str">
        <f ca="1">IFERROR(__xludf.DUMMYFUNCTION("""COMPUTED_VALUE"""),"No")</f>
        <v>No</v>
      </c>
      <c r="AC811" s="5" t="str">
        <f ca="1">IFERROR(__xludf.DUMMYFUNCTION("""COMPUTED_VALUE"""),"No")</f>
        <v>No</v>
      </c>
      <c r="AD811" s="5" t="str">
        <f ca="1">IFERROR(__xludf.DUMMYFUNCTION("""COMPUTED_VALUE"""),"No")</f>
        <v>No</v>
      </c>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row>
    <row r="812" spans="1:34" ht="12.75">
      <c r="A812" s="5" t="str">
        <f ca="1">IFERROR(__xludf.DUMMYFUNCTION("""COMPUTED_VALUE"""),"20171109GABEC")</f>
        <v>20171109GABEC</v>
      </c>
      <c r="B812" s="8">
        <f ca="1">IFERROR(__xludf.DUMMYFUNCTION("""COMPUTED_VALUE"""),43048)</f>
        <v>43048</v>
      </c>
      <c r="C812" s="5" t="str">
        <f ca="1">IFERROR(__xludf.DUMMYFUNCTION("""COMPUTED_VALUE"""),"Benjamin Banneker High School")</f>
        <v>Benjamin Banneker High School</v>
      </c>
      <c r="D812" s="5">
        <f ca="1">IFERROR(__xludf.DUMMYFUNCTION("""COMPUTED_VALUE"""),0)</f>
        <v>0</v>
      </c>
      <c r="E812" s="5">
        <f ca="1">IFERROR(__xludf.DUMMYFUNCTION("""COMPUTED_VALUE"""),2)</f>
        <v>2</v>
      </c>
      <c r="F812" s="5">
        <f ca="1">IFERROR(__xludf.DUMMYFUNCTION("""COMPUTED_VALUE"""),2)</f>
        <v>2</v>
      </c>
      <c r="G812" s="5">
        <f ca="1">IFERROR(__xludf.DUMMYFUNCTION("""COMPUTED_VALUE"""),0)</f>
        <v>0</v>
      </c>
      <c r="H812" s="9" t="str">
        <f ca="1">IFERROR(__xludf.DUMMYFUNCTION("""COMPUTED_VALUE"""),"http://www.fox5atlanta.com/news/two-students-accidentally-shot-at-banneker-high-school-according-to-principal#/")</f>
        <v>http://www.fox5atlanta.com/news/two-students-accidentally-shot-at-banneker-high-school-according-to-principal#/</v>
      </c>
      <c r="I812" s="5">
        <f ca="1">IFERROR(__xludf.DUMMYFUNCTION("""COMPUTED_VALUE"""),11)</f>
        <v>11</v>
      </c>
      <c r="J812" s="5" t="str">
        <f ca="1">IFERROR(__xludf.DUMMYFUNCTION("""COMPUTED_VALUE"""),"National")</f>
        <v>National</v>
      </c>
      <c r="K812" s="5">
        <f ca="1">IFERROR(__xludf.DUMMYFUNCTION("""COMPUTED_VALUE"""),2)</f>
        <v>2</v>
      </c>
      <c r="L812" s="5" t="str">
        <f ca="1">IFERROR(__xludf.DUMMYFUNCTION("""COMPUTED_VALUE"""),"Fall")</f>
        <v>Fall</v>
      </c>
      <c r="M812" s="5" t="str">
        <f ca="1">IFERROR(__xludf.DUMMYFUNCTION("""COMPUTED_VALUE"""),"College Park")</f>
        <v>College Park</v>
      </c>
      <c r="N812" s="5" t="str">
        <f ca="1">IFERROR(__xludf.DUMMYFUNCTION("""COMPUTED_VALUE"""),"GA")</f>
        <v>GA</v>
      </c>
      <c r="O812" s="5" t="str">
        <f ca="1">IFERROR(__xludf.DUMMYFUNCTION("""COMPUTED_VALUE"""),"High")</f>
        <v>High</v>
      </c>
      <c r="P812" s="5" t="str">
        <f ca="1">IFERROR(__xludf.DUMMYFUNCTION("""COMPUTED_VALUE"""),"Classroom")</f>
        <v>Classroom</v>
      </c>
      <c r="Q812" s="5" t="str">
        <f ca="1">IFERROR(__xludf.DUMMYFUNCTION("""COMPUTED_VALUE"""),"Inside School Building")</f>
        <v>Inside School Building</v>
      </c>
      <c r="R812" s="5" t="str">
        <f ca="1">IFERROR(__xludf.DUMMYFUNCTION("""COMPUTED_VALUE"""),"Yes")</f>
        <v>Yes</v>
      </c>
      <c r="S812" s="5" t="str">
        <f ca="1">IFERROR(__xludf.DUMMYFUNCTION("""COMPUTED_VALUE"""),"Afternoon Classes")</f>
        <v>Afternoon Classes</v>
      </c>
      <c r="T812" s="10">
        <f ca="1">IFERROR(__xludf.DUMMYFUNCTION("""COMPUTED_VALUE"""),0.642361111111111)</f>
        <v>0.64236111111111105</v>
      </c>
      <c r="U812" s="5">
        <f ca="1">IFERROR(__xludf.DUMMYFUNCTION("""COMPUTED_VALUE"""),1)</f>
        <v>1</v>
      </c>
      <c r="V812" s="5" t="str">
        <f ca="1">IFERROR(__xludf.DUMMYFUNCTION("""COMPUTED_VALUE"""),"Accidental discharge while showing off gun in classroom")</f>
        <v>Accidental discharge while showing off gun in classroom</v>
      </c>
      <c r="W812"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X812" s="5" t="str">
        <f ca="1">IFERROR(__xludf.DUMMYFUNCTION("""COMPUTED_VALUE"""),"Accidental")</f>
        <v>Accidental</v>
      </c>
      <c r="Y812" s="5" t="str">
        <f ca="1">IFERROR(__xludf.DUMMYFUNCTION("""COMPUTED_VALUE"""),"Neither")</f>
        <v>Neither</v>
      </c>
      <c r="Z812" s="5" t="str">
        <f ca="1">IFERROR(__xludf.DUMMYFUNCTION("""COMPUTED_VALUE"""),"No")</f>
        <v>No</v>
      </c>
      <c r="AA812" s="5"/>
      <c r="AB812" s="5" t="str">
        <f ca="1">IFERROR(__xludf.DUMMYFUNCTION("""COMPUTED_VALUE"""),"No")</f>
        <v>No</v>
      </c>
      <c r="AC812" s="5" t="str">
        <f ca="1">IFERROR(__xludf.DUMMYFUNCTION("""COMPUTED_VALUE"""),"No")</f>
        <v>No</v>
      </c>
      <c r="AD812" s="5" t="str">
        <f ca="1">IFERROR(__xludf.DUMMYFUNCTION("""COMPUTED_VALUE"""),"No")</f>
        <v>No</v>
      </c>
      <c r="AE812" s="5" t="str">
        <f ca="1">IFERROR(__xludf.DUMMYFUNCTION("""COMPUTED_VALUE"""),"No")</f>
        <v>No</v>
      </c>
      <c r="AF812" s="5" t="str">
        <f ca="1">IFERROR(__xludf.DUMMYFUNCTION("""COMPUTED_VALUE"""),"No")</f>
        <v>No</v>
      </c>
      <c r="AG812" s="5" t="str">
        <f ca="1">IFERROR(__xludf.DUMMYFUNCTION("""COMPUTED_VALUE"""),"No")</f>
        <v>No</v>
      </c>
      <c r="AH812" s="5" t="str">
        <f ca="1">IFERROR(__xludf.DUMMYFUNCTION("""COMPUTED_VALUE"""),"No")</f>
        <v>No</v>
      </c>
    </row>
    <row r="813" spans="1:34" ht="12.75">
      <c r="A813" s="5" t="str">
        <f ca="1">IFERROR(__xludf.DUMMYFUNCTION("""COMPUTED_VALUE"""),"20171103MIPAL")</f>
        <v>20171103MIPAL</v>
      </c>
      <c r="B813" s="8">
        <f ca="1">IFERROR(__xludf.DUMMYFUNCTION("""COMPUTED_VALUE"""),43042)</f>
        <v>43042</v>
      </c>
      <c r="C813" s="5" t="str">
        <f ca="1">IFERROR(__xludf.DUMMYFUNCTION("""COMPUTED_VALUE"""),"Pattengill Academy")</f>
        <v>Pattengill Academy</v>
      </c>
      <c r="D813" s="5">
        <f ca="1">IFERROR(__xludf.DUMMYFUNCTION("""COMPUTED_VALUE"""),0)</f>
        <v>0</v>
      </c>
      <c r="E813" s="5">
        <f ca="1">IFERROR(__xludf.DUMMYFUNCTION("""COMPUTED_VALUE"""),1)</f>
        <v>1</v>
      </c>
      <c r="F813" s="5">
        <f ca="1">IFERROR(__xludf.DUMMYFUNCTION("""COMPUTED_VALUE"""),1)</f>
        <v>1</v>
      </c>
      <c r="G813" s="5">
        <f ca="1">IFERROR(__xludf.DUMMYFUNCTION("""COMPUTED_VALUE"""),0)</f>
        <v>0</v>
      </c>
      <c r="H813" s="9" t="str">
        <f ca="1">IFERROR(__xludf.DUMMYFUNCTION("""COMPUTED_VALUE"""),"https://rumble.com/v3x6k9-documents-reveal-what-police-think-happened-outside-pattengill-academy.html")</f>
        <v>https://rumble.com/v3x6k9-documents-reveal-what-police-think-happened-outside-pattengill-academy.html</v>
      </c>
      <c r="I813" s="5">
        <f ca="1">IFERROR(__xludf.DUMMYFUNCTION("""COMPUTED_VALUE"""),5)</f>
        <v>5</v>
      </c>
      <c r="J813" s="5" t="str">
        <f ca="1">IFERROR(__xludf.DUMMYFUNCTION("""COMPUTED_VALUE"""),"Regional")</f>
        <v>Regional</v>
      </c>
      <c r="K813" s="5">
        <f ca="1">IFERROR(__xludf.DUMMYFUNCTION("""COMPUTED_VALUE"""),2)</f>
        <v>2</v>
      </c>
      <c r="L813" s="5" t="str">
        <f ca="1">IFERROR(__xludf.DUMMYFUNCTION("""COMPUTED_VALUE"""),"Fall")</f>
        <v>Fall</v>
      </c>
      <c r="M813" s="5" t="str">
        <f ca="1">IFERROR(__xludf.DUMMYFUNCTION("""COMPUTED_VALUE"""),"Lansing")</f>
        <v>Lansing</v>
      </c>
      <c r="N813" s="5" t="str">
        <f ca="1">IFERROR(__xludf.DUMMYFUNCTION("""COMPUTED_VALUE"""),"MI")</f>
        <v>MI</v>
      </c>
      <c r="O813" s="5" t="str">
        <f ca="1">IFERROR(__xludf.DUMMYFUNCTION("""COMPUTED_VALUE"""),"Middle")</f>
        <v>Middle</v>
      </c>
      <c r="P813" s="5" t="str">
        <f ca="1">IFERROR(__xludf.DUMMYFUNCTION("""COMPUTED_VALUE"""),"Parking Lot")</f>
        <v>Parking Lot</v>
      </c>
      <c r="Q813" s="5" t="str">
        <f ca="1">IFERROR(__xludf.DUMMYFUNCTION("""COMPUTED_VALUE"""),"Outside on School Property")</f>
        <v>Outside on School Property</v>
      </c>
      <c r="R813" s="5" t="str">
        <f ca="1">IFERROR(__xludf.DUMMYFUNCTION("""COMPUTED_VALUE"""),"Yes")</f>
        <v>Yes</v>
      </c>
      <c r="S813" s="5" t="str">
        <f ca="1">IFERROR(__xludf.DUMMYFUNCTION("""COMPUTED_VALUE"""),"Dismissal")</f>
        <v>Dismissal</v>
      </c>
      <c r="T813" s="10">
        <f ca="1">IFERROR(__xludf.DUMMYFUNCTION("""COMPUTED_VALUE"""),0.6875)</f>
        <v>0.6875</v>
      </c>
      <c r="U813" s="5">
        <f ca="1">IFERROR(__xludf.DUMMYFUNCTION("""COMPUTED_VALUE"""),1)</f>
        <v>1</v>
      </c>
      <c r="V813" s="5" t="str">
        <f ca="1">IFERROR(__xludf.DUMMYFUNCTION("""COMPUTED_VALUE"""),"Accidental discharge handling gun in school parking lot")</f>
        <v>Accidental discharge handling gun in school parking lot</v>
      </c>
      <c r="W813"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X813" s="5" t="str">
        <f ca="1">IFERROR(__xludf.DUMMYFUNCTION("""COMPUTED_VALUE"""),"Accidental")</f>
        <v>Accidental</v>
      </c>
      <c r="Y813" s="5" t="str">
        <f ca="1">IFERROR(__xludf.DUMMYFUNCTION("""COMPUTED_VALUE"""),"Neither")</f>
        <v>Neither</v>
      </c>
      <c r="Z813" s="5"/>
      <c r="AA813" s="5"/>
      <c r="AB813" s="5" t="str">
        <f ca="1">IFERROR(__xludf.DUMMYFUNCTION("""COMPUTED_VALUE"""),"No")</f>
        <v>No</v>
      </c>
      <c r="AC813" s="5" t="str">
        <f ca="1">IFERROR(__xludf.DUMMYFUNCTION("""COMPUTED_VALUE"""),"No")</f>
        <v>No</v>
      </c>
      <c r="AD813" s="5" t="str">
        <f ca="1">IFERROR(__xludf.DUMMYFUNCTION("""COMPUTED_VALUE"""),"No")</f>
        <v>No</v>
      </c>
      <c r="AE813" s="5" t="str">
        <f ca="1">IFERROR(__xludf.DUMMYFUNCTION("""COMPUTED_VALUE"""),"No")</f>
        <v>No</v>
      </c>
      <c r="AF813" s="5" t="str">
        <f ca="1">IFERROR(__xludf.DUMMYFUNCTION("""COMPUTED_VALUE"""),"No")</f>
        <v>No</v>
      </c>
      <c r="AG813" s="5"/>
      <c r="AH813" s="5" t="str">
        <f ca="1">IFERROR(__xludf.DUMMYFUNCTION("""COMPUTED_VALUE"""),"No")</f>
        <v>No</v>
      </c>
    </row>
    <row r="814" spans="1:34" ht="12.75">
      <c r="A814" s="5" t="str">
        <f ca="1">IFERROR(__xludf.DUMMYFUNCTION("""COMPUTED_VALUE"""),"20171027NYPRU")</f>
        <v>20171027NYPRU</v>
      </c>
      <c r="B814" s="8">
        <f ca="1">IFERROR(__xludf.DUMMYFUNCTION("""COMPUTED_VALUE"""),43035)</f>
        <v>43035</v>
      </c>
      <c r="C814" s="5" t="str">
        <f ca="1">IFERROR(__xludf.DUMMYFUNCTION("""COMPUTED_VALUE"""),"Proctor High School")</f>
        <v>Proctor High School</v>
      </c>
      <c r="D814" s="5">
        <f ca="1">IFERROR(__xludf.DUMMYFUNCTION("""COMPUTED_VALUE"""),0)</f>
        <v>0</v>
      </c>
      <c r="E814" s="5">
        <f ca="1">IFERROR(__xludf.DUMMYFUNCTION("""COMPUTED_VALUE"""),0)</f>
        <v>0</v>
      </c>
      <c r="F814" s="5">
        <f ca="1">IFERROR(__xludf.DUMMYFUNCTION("""COMPUTED_VALUE"""),0)</f>
        <v>0</v>
      </c>
      <c r="G814" s="5">
        <f ca="1">IFERROR(__xludf.DUMMYFUNCTION("""COMPUTED_VALUE"""),0)</f>
        <v>0</v>
      </c>
      <c r="H814" s="9" t="str">
        <f ca="1">IFERROR(__xludf.DUMMYFUNCTION("""COMPUTED_VALUE"""),"https://www.wktv.com/content/news/453482573.html")</f>
        <v>https://www.wktv.com/content/news/453482573.html</v>
      </c>
      <c r="I814" s="5"/>
      <c r="J814" s="5"/>
      <c r="K814" s="5">
        <f ca="1">IFERROR(__xludf.DUMMYFUNCTION("""COMPUTED_VALUE"""),4)</f>
        <v>4</v>
      </c>
      <c r="L814" s="5" t="str">
        <f ca="1">IFERROR(__xludf.DUMMYFUNCTION("""COMPUTED_VALUE"""),"Fall")</f>
        <v>Fall</v>
      </c>
      <c r="M814" s="5" t="str">
        <f ca="1">IFERROR(__xludf.DUMMYFUNCTION("""COMPUTED_VALUE"""),"Utica")</f>
        <v>Utica</v>
      </c>
      <c r="N814" s="5" t="str">
        <f ca="1">IFERROR(__xludf.DUMMYFUNCTION("""COMPUTED_VALUE"""),"NY")</f>
        <v>NY</v>
      </c>
      <c r="O814" s="5" t="str">
        <f ca="1">IFERROR(__xludf.DUMMYFUNCTION("""COMPUTED_VALUE"""),"High")</f>
        <v>High</v>
      </c>
      <c r="P814" s="5" t="str">
        <f ca="1">IFERROR(__xludf.DUMMYFUNCTION("""COMPUTED_VALUE"""),"Parking Lot (Bus)")</f>
        <v>Parking Lot (Bus)</v>
      </c>
      <c r="Q814" s="5" t="str">
        <f ca="1">IFERROR(__xludf.DUMMYFUNCTION("""COMPUTED_VALUE"""),"Outside on School Property")</f>
        <v>Outside on School Property</v>
      </c>
      <c r="R814" s="5" t="str">
        <f ca="1">IFERROR(__xludf.DUMMYFUNCTION("""COMPUTED_VALUE"""),"Yes")</f>
        <v>Yes</v>
      </c>
      <c r="S814" s="5" t="str">
        <f ca="1">IFERROR(__xludf.DUMMYFUNCTION("""COMPUTED_VALUE"""),"Dismissal")</f>
        <v>Dismissal</v>
      </c>
      <c r="T814" s="10">
        <f ca="1">IFERROR(__xludf.DUMMYFUNCTION("""COMPUTED_VALUE"""),0.604166666666666)</f>
        <v>0.60416666666666596</v>
      </c>
      <c r="U814" s="5">
        <f ca="1">IFERROR(__xludf.DUMMYFUNCTION("""COMPUTED_VALUE"""),1)</f>
        <v>1</v>
      </c>
      <c r="V814" s="5" t="str">
        <f ca="1">IFERROR(__xludf.DUMMYFUNCTION("""COMPUTED_VALUE"""),"Shots fired a person in school parking lot, missed and struck occupied school bus")</f>
        <v>Shots fired a person in school parking lot, missed and struck occupied school bus</v>
      </c>
      <c r="W814"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X814" s="5" t="str">
        <f ca="1">IFERROR(__xludf.DUMMYFUNCTION("""COMPUTED_VALUE"""),"Drive-by Shooting")</f>
        <v>Drive-by Shooting</v>
      </c>
      <c r="Y814" s="5" t="str">
        <f ca="1">IFERROR(__xludf.DUMMYFUNCTION("""COMPUTED_VALUE"""),"Victims Targeted")</f>
        <v>Victims Targeted</v>
      </c>
      <c r="Z814" s="5"/>
      <c r="AA814" s="5"/>
      <c r="AB814" s="5" t="str">
        <f ca="1">IFERROR(__xludf.DUMMYFUNCTION("""COMPUTED_VALUE"""),"No")</f>
        <v>No</v>
      </c>
      <c r="AC814" s="5" t="str">
        <f ca="1">IFERROR(__xludf.DUMMYFUNCTION("""COMPUTED_VALUE"""),"No")</f>
        <v>No</v>
      </c>
      <c r="AD814" s="5" t="str">
        <f ca="1">IFERROR(__xludf.DUMMYFUNCTION("""COMPUTED_VALUE"""),"No")</f>
        <v>No</v>
      </c>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row>
    <row r="815" spans="1:34" ht="12.75">
      <c r="A815" s="5" t="str">
        <f ca="1">IFERROR(__xludf.DUMMYFUNCTION("""COMPUTED_VALUE"""),"20171020OHSTT")</f>
        <v>20171020OHSTT</v>
      </c>
      <c r="B815" s="8">
        <f ca="1">IFERROR(__xludf.DUMMYFUNCTION("""COMPUTED_VALUE"""),43028)</f>
        <v>43028</v>
      </c>
      <c r="C815" s="5" t="str">
        <f ca="1">IFERROR(__xludf.DUMMYFUNCTION("""COMPUTED_VALUE"""),"Start High School")</f>
        <v>Start High School</v>
      </c>
      <c r="D815" s="5">
        <f ca="1">IFERROR(__xludf.DUMMYFUNCTION("""COMPUTED_VALUE"""),0)</f>
        <v>0</v>
      </c>
      <c r="E815" s="5">
        <f ca="1">IFERROR(__xludf.DUMMYFUNCTION("""COMPUTED_VALUE"""),0)</f>
        <v>0</v>
      </c>
      <c r="F815" s="5">
        <f ca="1">IFERROR(__xludf.DUMMYFUNCTION("""COMPUTED_VALUE"""),0)</f>
        <v>0</v>
      </c>
      <c r="G815" s="5">
        <f ca="1">IFERROR(__xludf.DUMMYFUNCTION("""COMPUTED_VALUE"""),0)</f>
        <v>0</v>
      </c>
      <c r="H815"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I815" s="5"/>
      <c r="J815" s="5"/>
      <c r="K815" s="5">
        <f ca="1">IFERROR(__xludf.DUMMYFUNCTION("""COMPUTED_VALUE"""),3)</f>
        <v>3</v>
      </c>
      <c r="L815" s="5" t="str">
        <f ca="1">IFERROR(__xludf.DUMMYFUNCTION("""COMPUTED_VALUE"""),"Fall")</f>
        <v>Fall</v>
      </c>
      <c r="M815" s="5" t="str">
        <f ca="1">IFERROR(__xludf.DUMMYFUNCTION("""COMPUTED_VALUE"""),"Toledo")</f>
        <v>Toledo</v>
      </c>
      <c r="N815" s="5" t="str">
        <f ca="1">IFERROR(__xludf.DUMMYFUNCTION("""COMPUTED_VALUE"""),"OH")</f>
        <v>OH</v>
      </c>
      <c r="O815" s="5" t="str">
        <f ca="1">IFERROR(__xludf.DUMMYFUNCTION("""COMPUTED_VALUE"""),"High")</f>
        <v>High</v>
      </c>
      <c r="P815" s="5" t="str">
        <f ca="1">IFERROR(__xludf.DUMMYFUNCTION("""COMPUTED_VALUE"""),"Parking Lot")</f>
        <v>Parking Lot</v>
      </c>
      <c r="Q815" s="5" t="str">
        <f ca="1">IFERROR(__xludf.DUMMYFUNCTION("""COMPUTED_VALUE"""),"Outside on School Property")</f>
        <v>Outside on School Property</v>
      </c>
      <c r="R815" s="5" t="str">
        <f ca="1">IFERROR(__xludf.DUMMYFUNCTION("""COMPUTED_VALUE"""),"No")</f>
        <v>No</v>
      </c>
      <c r="S815" s="5" t="str">
        <f ca="1">IFERROR(__xludf.DUMMYFUNCTION("""COMPUTED_VALUE"""),"Sport Event")</f>
        <v>Sport Event</v>
      </c>
      <c r="T815" s="10">
        <f ca="1">IFERROR(__xludf.DUMMYFUNCTION("""COMPUTED_VALUE"""),0.895833333333333)</f>
        <v>0.89583333333333304</v>
      </c>
      <c r="U815" s="5">
        <f ca="1">IFERROR(__xludf.DUMMYFUNCTION("""COMPUTED_VALUE"""),1)</f>
        <v>1</v>
      </c>
      <c r="V815" s="5" t="str">
        <f ca="1">IFERROR(__xludf.DUMMYFUNCTION("""COMPUTED_VALUE"""),"Shots fired in parking lot during football game")</f>
        <v>Shots fired in parking lot during football game</v>
      </c>
      <c r="W815"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X815" s="5" t="str">
        <f ca="1">IFERROR(__xludf.DUMMYFUNCTION("""COMPUTED_VALUE"""),"Escalation of Dispute")</f>
        <v>Escalation of Dispute</v>
      </c>
      <c r="Y815" s="5"/>
      <c r="Z815" s="5" t="str">
        <f ca="1">IFERROR(__xludf.DUMMYFUNCTION("""COMPUTED_VALUE"""),"No")</f>
        <v>No</v>
      </c>
      <c r="AA815" s="5"/>
      <c r="AB815" s="5" t="str">
        <f ca="1">IFERROR(__xludf.DUMMYFUNCTION("""COMPUTED_VALUE"""),"No")</f>
        <v>No</v>
      </c>
      <c r="AC815" s="5" t="str">
        <f ca="1">IFERROR(__xludf.DUMMYFUNCTION("""COMPUTED_VALUE"""),"No")</f>
        <v>No</v>
      </c>
      <c r="AD815" s="5" t="str">
        <f ca="1">IFERROR(__xludf.DUMMYFUNCTION("""COMPUTED_VALUE"""),"No")</f>
        <v>No</v>
      </c>
      <c r="AE815" s="5" t="str">
        <f ca="1">IFERROR(__xludf.DUMMYFUNCTION("""COMPUTED_VALUE"""),"No")</f>
        <v>No</v>
      </c>
      <c r="AF815" s="5" t="str">
        <f ca="1">IFERROR(__xludf.DUMMYFUNCTION("""COMPUTED_VALUE"""),"No")</f>
        <v>No</v>
      </c>
      <c r="AG815" s="5"/>
      <c r="AH815" s="5" t="str">
        <f ca="1">IFERROR(__xludf.DUMMYFUNCTION("""COMPUTED_VALUE"""),"No")</f>
        <v>No</v>
      </c>
    </row>
    <row r="816" spans="1:34" ht="12.75">
      <c r="A816" s="5" t="str">
        <f ca="1">IFERROR(__xludf.DUMMYFUNCTION("""COMPUTED_VALUE"""),"20171014NCKEK")</f>
        <v>20171014NCKEK</v>
      </c>
      <c r="B816" s="8">
        <f ca="1">IFERROR(__xludf.DUMMYFUNCTION("""COMPUTED_VALUE"""),43022)</f>
        <v>43022</v>
      </c>
      <c r="C816" s="5" t="str">
        <f ca="1">IFERROR(__xludf.DUMMYFUNCTION("""COMPUTED_VALUE"""),"Kernersville Elementary School")</f>
        <v>Kernersville Elementary School</v>
      </c>
      <c r="D816" s="5">
        <f ca="1">IFERROR(__xludf.DUMMYFUNCTION("""COMPUTED_VALUE"""),0)</f>
        <v>0</v>
      </c>
      <c r="E816" s="5">
        <f ca="1">IFERROR(__xludf.DUMMYFUNCTION("""COMPUTED_VALUE"""),0)</f>
        <v>0</v>
      </c>
      <c r="F816" s="5">
        <f ca="1">IFERROR(__xludf.DUMMYFUNCTION("""COMPUTED_VALUE"""),0)</f>
        <v>0</v>
      </c>
      <c r="G816" s="5">
        <f ca="1">IFERROR(__xludf.DUMMYFUNCTION("""COMPUTED_VALUE"""),0)</f>
        <v>0</v>
      </c>
      <c r="H816"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I816" s="5"/>
      <c r="J816" s="5"/>
      <c r="K816" s="5">
        <f ca="1">IFERROR(__xludf.DUMMYFUNCTION("""COMPUTED_VALUE"""),3)</f>
        <v>3</v>
      </c>
      <c r="L816" s="5" t="str">
        <f ca="1">IFERROR(__xludf.DUMMYFUNCTION("""COMPUTED_VALUE"""),"Fall")</f>
        <v>Fall</v>
      </c>
      <c r="M816" s="5" t="str">
        <f ca="1">IFERROR(__xludf.DUMMYFUNCTION("""COMPUTED_VALUE"""),"Kernersville")</f>
        <v>Kernersville</v>
      </c>
      <c r="N816" s="5" t="str">
        <f ca="1">IFERROR(__xludf.DUMMYFUNCTION("""COMPUTED_VALUE"""),"NC")</f>
        <v>NC</v>
      </c>
      <c r="O816" s="5" t="str">
        <f ca="1">IFERROR(__xludf.DUMMYFUNCTION("""COMPUTED_VALUE"""),"Elementary")</f>
        <v>Elementary</v>
      </c>
      <c r="P816" s="5" t="str">
        <f ca="1">IFERROR(__xludf.DUMMYFUNCTION("""COMPUTED_VALUE"""),"Football Field/Track")</f>
        <v>Football Field/Track</v>
      </c>
      <c r="Q816" s="5" t="str">
        <f ca="1">IFERROR(__xludf.DUMMYFUNCTION("""COMPUTED_VALUE"""),"Outside on School Property")</f>
        <v>Outside on School Property</v>
      </c>
      <c r="R816" s="5" t="str">
        <f ca="1">IFERROR(__xludf.DUMMYFUNCTION("""COMPUTED_VALUE"""),"No")</f>
        <v>No</v>
      </c>
      <c r="S816" s="5" t="str">
        <f ca="1">IFERROR(__xludf.DUMMYFUNCTION("""COMPUTED_VALUE"""),"Sport Event")</f>
        <v>Sport Event</v>
      </c>
      <c r="T816" s="10">
        <f ca="1">IFERROR(__xludf.DUMMYFUNCTION("""COMPUTED_VALUE"""),0.458333333333333)</f>
        <v>0.45833333333333298</v>
      </c>
      <c r="U816" s="5">
        <f ca="1">IFERROR(__xludf.DUMMYFUNCTION("""COMPUTED_VALUE"""),1)</f>
        <v>1</v>
      </c>
      <c r="V816" s="5" t="str">
        <f ca="1">IFERROR(__xludf.DUMMYFUNCTION("""COMPUTED_VALUE"""),"Shot fired by parent during struggle with police officer during youth football game")</f>
        <v>Shot fired by parent during struggle with police officer during youth football game</v>
      </c>
      <c r="W816"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X816" s="5" t="str">
        <f ca="1">IFERROR(__xludf.DUMMYFUNCTION("""COMPUTED_VALUE"""),"Escalation of Dispute")</f>
        <v>Escalation of Dispute</v>
      </c>
      <c r="Y816" s="5" t="str">
        <f ca="1">IFERROR(__xludf.DUMMYFUNCTION("""COMPUTED_VALUE"""),"Victims Targeted")</f>
        <v>Victims Targeted</v>
      </c>
      <c r="Z816" s="5" t="str">
        <f ca="1">IFERROR(__xludf.DUMMYFUNCTION("""COMPUTED_VALUE"""),"No")</f>
        <v>No</v>
      </c>
      <c r="AA816" s="5"/>
      <c r="AB816" s="5" t="str">
        <f ca="1">IFERROR(__xludf.DUMMYFUNCTION("""COMPUTED_VALUE"""),"No")</f>
        <v>No</v>
      </c>
      <c r="AC816" s="5" t="str">
        <f ca="1">IFERROR(__xludf.DUMMYFUNCTION("""COMPUTED_VALUE"""),"No")</f>
        <v>No</v>
      </c>
      <c r="AD816" s="5" t="str">
        <f ca="1">IFERROR(__xludf.DUMMYFUNCTION("""COMPUTED_VALUE"""),"No")</f>
        <v>No</v>
      </c>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row>
    <row r="817" spans="1:34" ht="12.75">
      <c r="A817" s="5" t="str">
        <f ca="1">IFERROR(__xludf.DUMMYFUNCTION("""COMPUTED_VALUE"""),"20171012NCCHC")</f>
        <v>20171012NCCHC</v>
      </c>
      <c r="B817" s="8">
        <f ca="1">IFERROR(__xludf.DUMMYFUNCTION("""COMPUTED_VALUE"""),43020)</f>
        <v>43020</v>
      </c>
      <c r="C817" s="5" t="str">
        <f ca="1">IFERROR(__xludf.DUMMYFUNCTION("""COMPUTED_VALUE"""),"Charlotte School Bus")</f>
        <v>Charlotte School Bus</v>
      </c>
      <c r="D817" s="5">
        <f ca="1">IFERROR(__xludf.DUMMYFUNCTION("""COMPUTED_VALUE"""),0)</f>
        <v>0</v>
      </c>
      <c r="E817" s="5">
        <f ca="1">IFERROR(__xludf.DUMMYFUNCTION("""COMPUTED_VALUE"""),0)</f>
        <v>0</v>
      </c>
      <c r="F817" s="5">
        <f ca="1">IFERROR(__xludf.DUMMYFUNCTION("""COMPUTED_VALUE"""),0)</f>
        <v>0</v>
      </c>
      <c r="G817" s="5">
        <f ca="1">IFERROR(__xludf.DUMMYFUNCTION("""COMPUTED_VALUE"""),0)</f>
        <v>0</v>
      </c>
      <c r="H817"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I817" s="5"/>
      <c r="J817" s="5"/>
      <c r="K817" s="5">
        <f ca="1">IFERROR(__xludf.DUMMYFUNCTION("""COMPUTED_VALUE"""),5)</f>
        <v>5</v>
      </c>
      <c r="L817" s="5" t="str">
        <f ca="1">IFERROR(__xludf.DUMMYFUNCTION("""COMPUTED_VALUE"""),"Fall")</f>
        <v>Fall</v>
      </c>
      <c r="M817" s="5" t="str">
        <f ca="1">IFERROR(__xludf.DUMMYFUNCTION("""COMPUTED_VALUE"""),"Charlotte")</f>
        <v>Charlotte</v>
      </c>
      <c r="N817" s="5" t="str">
        <f ca="1">IFERROR(__xludf.DUMMYFUNCTION("""COMPUTED_VALUE"""),"NC")</f>
        <v>NC</v>
      </c>
      <c r="O817" s="5"/>
      <c r="P817" s="5" t="str">
        <f ca="1">IFERROR(__xludf.DUMMYFUNCTION("""COMPUTED_VALUE"""),"School Bus")</f>
        <v>School Bus</v>
      </c>
      <c r="Q817" s="5" t="str">
        <f ca="1">IFERROR(__xludf.DUMMYFUNCTION("""COMPUTED_VALUE"""),"School Bus")</f>
        <v>School Bus</v>
      </c>
      <c r="R817" s="5" t="str">
        <f ca="1">IFERROR(__xludf.DUMMYFUNCTION("""COMPUTED_VALUE"""),"Yes")</f>
        <v>Yes</v>
      </c>
      <c r="S817" s="5" t="str">
        <f ca="1">IFERROR(__xludf.DUMMYFUNCTION("""COMPUTED_VALUE"""),"School Start")</f>
        <v>School Start</v>
      </c>
      <c r="T817" s="10">
        <f ca="1">IFERROR(__xludf.DUMMYFUNCTION("""COMPUTED_VALUE"""),0.3125)</f>
        <v>0.3125</v>
      </c>
      <c r="U817" s="5">
        <f ca="1">IFERROR(__xludf.DUMMYFUNCTION("""COMPUTED_VALUE"""),1)</f>
        <v>1</v>
      </c>
      <c r="V817" s="5" t="str">
        <f ca="1">IFERROR(__xludf.DUMMYFUNCTION("""COMPUTED_VALUE"""),"Bus with students struck by shots fired during drug dispute")</f>
        <v>Bus with students struck by shots fired during drug dispute</v>
      </c>
      <c r="W817"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X817" s="5" t="str">
        <f ca="1">IFERROR(__xludf.DUMMYFUNCTION("""COMPUTED_VALUE"""),"Escalation of Dispute")</f>
        <v>Escalation of Dispute</v>
      </c>
      <c r="Y817" s="5" t="str">
        <f ca="1">IFERROR(__xludf.DUMMYFUNCTION("""COMPUTED_VALUE"""),"Random Shooting")</f>
        <v>Random Shooting</v>
      </c>
      <c r="Z817" s="5" t="str">
        <f ca="1">IFERROR(__xludf.DUMMYFUNCTION("""COMPUTED_VALUE"""),"No")</f>
        <v>No</v>
      </c>
      <c r="AA817" s="5"/>
      <c r="AB817" s="5" t="str">
        <f ca="1">IFERROR(__xludf.DUMMYFUNCTION("""COMPUTED_VALUE"""),"No")</f>
        <v>No</v>
      </c>
      <c r="AC817" s="5" t="str">
        <f ca="1">IFERROR(__xludf.DUMMYFUNCTION("""COMPUTED_VALUE"""),"No")</f>
        <v>No</v>
      </c>
      <c r="AD817" s="5" t="str">
        <f ca="1">IFERROR(__xludf.DUMMYFUNCTION("""COMPUTED_VALUE"""),"No")</f>
        <v>No</v>
      </c>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row>
    <row r="818" spans="1:34" ht="12.75">
      <c r="A818" s="5" t="str">
        <f ca="1">IFERROR(__xludf.DUMMYFUNCTION("""COMPUTED_VALUE"""),"20170930PAPUC")</f>
        <v>20170930PAPUC</v>
      </c>
      <c r="B818" s="8">
        <f ca="1">IFERROR(__xludf.DUMMYFUNCTION("""COMPUTED_VALUE"""),43008)</f>
        <v>43008</v>
      </c>
      <c r="C818" s="5" t="str">
        <f ca="1">IFERROR(__xludf.DUMMYFUNCTION("""COMPUTED_VALUE"""),"Purchase Line Elementary School")</f>
        <v>Purchase Line Elementary School</v>
      </c>
      <c r="D818" s="5">
        <f ca="1">IFERROR(__xludf.DUMMYFUNCTION("""COMPUTED_VALUE"""),0)</f>
        <v>0</v>
      </c>
      <c r="E818" s="5">
        <f ca="1">IFERROR(__xludf.DUMMYFUNCTION("""COMPUTED_VALUE"""),1)</f>
        <v>1</v>
      </c>
      <c r="F818" s="5">
        <f ca="1">IFERROR(__xludf.DUMMYFUNCTION("""COMPUTED_VALUE"""),1)</f>
        <v>1</v>
      </c>
      <c r="G818" s="5">
        <f ca="1">IFERROR(__xludf.DUMMYFUNCTION("""COMPUTED_VALUE"""),0)</f>
        <v>0</v>
      </c>
      <c r="H818" s="9" t="str">
        <f ca="1">IFERROR(__xludf.DUMMYFUNCTION("""COMPUTED_VALUE"""),"https://triblive.com/local/regional/12794212-74/woman-shoots-boyfriend-in-indiana-county-school-parking-lot")</f>
        <v>https://triblive.com/local/regional/12794212-74/woman-shoots-boyfriend-in-indiana-county-school-parking-lot</v>
      </c>
      <c r="I818" s="5"/>
      <c r="J818" s="5"/>
      <c r="K818" s="5">
        <f ca="1">IFERROR(__xludf.DUMMYFUNCTION("""COMPUTED_VALUE"""),2)</f>
        <v>2</v>
      </c>
      <c r="L818" s="5" t="str">
        <f ca="1">IFERROR(__xludf.DUMMYFUNCTION("""COMPUTED_VALUE"""),"Fall")</f>
        <v>Fall</v>
      </c>
      <c r="M818" s="5" t="str">
        <f ca="1">IFERROR(__xludf.DUMMYFUNCTION("""COMPUTED_VALUE"""),"Commodore")</f>
        <v>Commodore</v>
      </c>
      <c r="N818" s="5" t="str">
        <f ca="1">IFERROR(__xludf.DUMMYFUNCTION("""COMPUTED_VALUE"""),"PA")</f>
        <v>PA</v>
      </c>
      <c r="O818" s="5" t="str">
        <f ca="1">IFERROR(__xludf.DUMMYFUNCTION("""COMPUTED_VALUE"""),"Elementary")</f>
        <v>Elementary</v>
      </c>
      <c r="P818" s="5" t="str">
        <f ca="1">IFERROR(__xludf.DUMMYFUNCTION("""COMPUTED_VALUE"""),"Parking Lot")</f>
        <v>Parking Lot</v>
      </c>
      <c r="Q818" s="5" t="str">
        <f ca="1">IFERROR(__xludf.DUMMYFUNCTION("""COMPUTED_VALUE"""),"Outside on School Property")</f>
        <v>Outside on School Property</v>
      </c>
      <c r="R818" s="5" t="str">
        <f ca="1">IFERROR(__xludf.DUMMYFUNCTION("""COMPUTED_VALUE"""),"No")</f>
        <v>No</v>
      </c>
      <c r="S818" s="5" t="str">
        <f ca="1">IFERROR(__xludf.DUMMYFUNCTION("""COMPUTED_VALUE"""),"Night")</f>
        <v>Night</v>
      </c>
      <c r="T818" s="10">
        <f ca="1">IFERROR(__xludf.DUMMYFUNCTION("""COMPUTED_VALUE"""),0.958333333333333)</f>
        <v>0.95833333333333304</v>
      </c>
      <c r="U818" s="5">
        <f ca="1">IFERROR(__xludf.DUMMYFUNCTION("""COMPUTED_VALUE"""),1)</f>
        <v>1</v>
      </c>
      <c r="V818" s="5" t="str">
        <f ca="1">IFERROR(__xludf.DUMMYFUNCTION("""COMPUTED_VALUE"""),"Domestic, shot boyfriend in parking lot - claimed it was accidental")</f>
        <v>Domestic, shot boyfriend in parking lot - claimed it was accidental</v>
      </c>
      <c r="W818"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X818" s="5" t="str">
        <f ca="1">IFERROR(__xludf.DUMMYFUNCTION("""COMPUTED_VALUE"""),"Domestic w/ Targeted Victim")</f>
        <v>Domestic w/ Targeted Victim</v>
      </c>
      <c r="Y818" s="5" t="str">
        <f ca="1">IFERROR(__xludf.DUMMYFUNCTION("""COMPUTED_VALUE"""),"Victims Targeted")</f>
        <v>Victims Targeted</v>
      </c>
      <c r="Z818" s="5" t="str">
        <f ca="1">IFERROR(__xludf.DUMMYFUNCTION("""COMPUTED_VALUE"""),"No")</f>
        <v>No</v>
      </c>
      <c r="AA818" s="5"/>
      <c r="AB818" s="5" t="str">
        <f ca="1">IFERROR(__xludf.DUMMYFUNCTION("""COMPUTED_VALUE"""),"No")</f>
        <v>No</v>
      </c>
      <c r="AC818" s="5" t="str">
        <f ca="1">IFERROR(__xludf.DUMMYFUNCTION("""COMPUTED_VALUE"""),"No")</f>
        <v>No</v>
      </c>
      <c r="AD818" s="5" t="str">
        <f ca="1">IFERROR(__xludf.DUMMYFUNCTION("""COMPUTED_VALUE"""),"No")</f>
        <v>No</v>
      </c>
      <c r="AE818" s="5" t="str">
        <f ca="1">IFERROR(__xludf.DUMMYFUNCTION("""COMPUTED_VALUE"""),"No")</f>
        <v>No</v>
      </c>
      <c r="AF818" s="5" t="str">
        <f ca="1">IFERROR(__xludf.DUMMYFUNCTION("""COMPUTED_VALUE"""),"Yes")</f>
        <v>Yes</v>
      </c>
      <c r="AG818" s="5" t="str">
        <f ca="1">IFERROR(__xludf.DUMMYFUNCTION("""COMPUTED_VALUE"""),"No")</f>
        <v>No</v>
      </c>
      <c r="AH818" s="5" t="str">
        <f ca="1">IFERROR(__xludf.DUMMYFUNCTION("""COMPUTED_VALUE"""),"No")</f>
        <v>No</v>
      </c>
    </row>
    <row r="819" spans="1:34" ht="12.75">
      <c r="A819" s="5" t="str">
        <f ca="1">IFERROR(__xludf.DUMMYFUNCTION("""COMPUTED_VALUE"""),"20170929MOLEL")</f>
        <v>20170929MOLEL</v>
      </c>
      <c r="B819" s="8">
        <f ca="1">IFERROR(__xludf.DUMMYFUNCTION("""COMPUTED_VALUE"""),43007)</f>
        <v>43007</v>
      </c>
      <c r="C819" s="5" t="str">
        <f ca="1">IFERROR(__xludf.DUMMYFUNCTION("""COMPUTED_VALUE"""),"Lees Summit North High School")</f>
        <v>Lees Summit North High School</v>
      </c>
      <c r="D819" s="5">
        <f ca="1">IFERROR(__xludf.DUMMYFUNCTION("""COMPUTED_VALUE"""),0)</f>
        <v>0</v>
      </c>
      <c r="E819" s="5">
        <f ca="1">IFERROR(__xludf.DUMMYFUNCTION("""COMPUTED_VALUE"""),0)</f>
        <v>0</v>
      </c>
      <c r="F819" s="5">
        <f ca="1">IFERROR(__xludf.DUMMYFUNCTION("""COMPUTED_VALUE"""),0)</f>
        <v>0</v>
      </c>
      <c r="G819" s="5">
        <f ca="1">IFERROR(__xludf.DUMMYFUNCTION("""COMPUTED_VALUE"""),1)</f>
        <v>1</v>
      </c>
      <c r="H819" s="9" t="str">
        <f ca="1">IFERROR(__xludf.DUMMYFUNCTION("""COMPUTED_VALUE"""),"https://fox4kc.com/2017/09/29/lees-summit-north-high-school-dismissing-students-early-due-to-an-incident/")</f>
        <v>https://fox4kc.com/2017/09/29/lees-summit-north-high-school-dismissing-students-early-due-to-an-incident/</v>
      </c>
      <c r="I819" s="5"/>
      <c r="J819" s="5"/>
      <c r="K819" s="5">
        <f ca="1">IFERROR(__xludf.DUMMYFUNCTION("""COMPUTED_VALUE"""),2)</f>
        <v>2</v>
      </c>
      <c r="L819" s="5" t="str">
        <f ca="1">IFERROR(__xludf.DUMMYFUNCTION("""COMPUTED_VALUE"""),"Fall")</f>
        <v>Fall</v>
      </c>
      <c r="M819" s="5" t="str">
        <f ca="1">IFERROR(__xludf.DUMMYFUNCTION("""COMPUTED_VALUE"""),"Lees Summit")</f>
        <v>Lees Summit</v>
      </c>
      <c r="N819" s="5" t="str">
        <f ca="1">IFERROR(__xludf.DUMMYFUNCTION("""COMPUTED_VALUE"""),"MO")</f>
        <v>MO</v>
      </c>
      <c r="O819" s="5" t="str">
        <f ca="1">IFERROR(__xludf.DUMMYFUNCTION("""COMPUTED_VALUE"""),"High")</f>
        <v>High</v>
      </c>
      <c r="P819" s="5" t="str">
        <f ca="1">IFERROR(__xludf.DUMMYFUNCTION("""COMPUTED_VALUE"""),"Inside School Building")</f>
        <v>Inside School Building</v>
      </c>
      <c r="Q819" s="5" t="str">
        <f ca="1">IFERROR(__xludf.DUMMYFUNCTION("""COMPUTED_VALUE"""),"Inside School Building")</f>
        <v>Inside School Building</v>
      </c>
      <c r="R819" s="5" t="str">
        <f ca="1">IFERROR(__xludf.DUMMYFUNCTION("""COMPUTED_VALUE"""),"Yes")</f>
        <v>Yes</v>
      </c>
      <c r="S819" s="5" t="str">
        <f ca="1">IFERROR(__xludf.DUMMYFUNCTION("""COMPUTED_VALUE"""),"Morning Classes")</f>
        <v>Morning Classes</v>
      </c>
      <c r="T819" s="10">
        <f ca="1">IFERROR(__xludf.DUMMYFUNCTION("""COMPUTED_VALUE"""),0.364583333333333)</f>
        <v>0.36458333333333298</v>
      </c>
      <c r="U819" s="5">
        <f ca="1">IFERROR(__xludf.DUMMYFUNCTION("""COMPUTED_VALUE"""),1)</f>
        <v>1</v>
      </c>
      <c r="V819" s="5" t="str">
        <f ca="1">IFERROR(__xludf.DUMMYFUNCTION("""COMPUTED_VALUE"""),"Female student shot herself inside the school")</f>
        <v>Female student shot herself inside the school</v>
      </c>
      <c r="W819"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X819" s="5" t="str">
        <f ca="1">IFERROR(__xludf.DUMMYFUNCTION("""COMPUTED_VALUE"""),"Suicide/Attempted")</f>
        <v>Suicide/Attempted</v>
      </c>
      <c r="Y819" s="5" t="str">
        <f ca="1">IFERROR(__xludf.DUMMYFUNCTION("""COMPUTED_VALUE"""),"Victims Targeted")</f>
        <v>Victims Targeted</v>
      </c>
      <c r="Z819" s="5" t="str">
        <f ca="1">IFERROR(__xludf.DUMMYFUNCTION("""COMPUTED_VALUE"""),"No")</f>
        <v>No</v>
      </c>
      <c r="AA819" s="5"/>
      <c r="AB819" s="5" t="str">
        <f ca="1">IFERROR(__xludf.DUMMYFUNCTION("""COMPUTED_VALUE"""),"No")</f>
        <v>No</v>
      </c>
      <c r="AC819" s="5" t="str">
        <f ca="1">IFERROR(__xludf.DUMMYFUNCTION("""COMPUTED_VALUE"""),"No")</f>
        <v>No</v>
      </c>
      <c r="AD819" s="5" t="str">
        <f ca="1">IFERROR(__xludf.DUMMYFUNCTION("""COMPUTED_VALUE"""),"No")</f>
        <v>No</v>
      </c>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row>
    <row r="820" spans="1:34" ht="12.75">
      <c r="A820" s="5" t="str">
        <f ca="1">IFERROR(__xludf.DUMMYFUNCTION("""COMPUTED_VALUE"""),"20170929CASUL")</f>
        <v>20170929CASUL</v>
      </c>
      <c r="B820" s="8">
        <f ca="1">IFERROR(__xludf.DUMMYFUNCTION("""COMPUTED_VALUE"""),43007)</f>
        <v>43007</v>
      </c>
      <c r="C820" s="5" t="str">
        <f ca="1">IFERROR(__xludf.DUMMYFUNCTION("""COMPUTED_VALUE"""),"Sun Valley High School")</f>
        <v>Sun Valley High School</v>
      </c>
      <c r="D820" s="5">
        <f ca="1">IFERROR(__xludf.DUMMYFUNCTION("""COMPUTED_VALUE"""),0)</f>
        <v>0</v>
      </c>
      <c r="E820" s="5">
        <f ca="1">IFERROR(__xludf.DUMMYFUNCTION("""COMPUTED_VALUE"""),5)</f>
        <v>5</v>
      </c>
      <c r="F820" s="5">
        <f ca="1">IFERROR(__xludf.DUMMYFUNCTION("""COMPUTED_VALUE"""),5)</f>
        <v>5</v>
      </c>
      <c r="G820" s="5">
        <f ca="1">IFERROR(__xludf.DUMMYFUNCTION("""COMPUTED_VALUE"""),0)</f>
        <v>0</v>
      </c>
      <c r="H820" s="9" t="str">
        <f ca="1">IFERROR(__xludf.DUMMYFUNCTION("""COMPUTED_VALUE"""),"http://abc7.com/5-injured-in-bb-gun-shooting-at-sun-valley-high-school/2469755/")</f>
        <v>http://abc7.com/5-injured-in-bb-gun-shooting-at-sun-valley-high-school/2469755/</v>
      </c>
      <c r="I820" s="5"/>
      <c r="J820" s="5"/>
      <c r="K820" s="5">
        <f ca="1">IFERROR(__xludf.DUMMYFUNCTION("""COMPUTED_VALUE"""),2)</f>
        <v>2</v>
      </c>
      <c r="L820" s="5" t="str">
        <f ca="1">IFERROR(__xludf.DUMMYFUNCTION("""COMPUTED_VALUE"""),"Fall")</f>
        <v>Fall</v>
      </c>
      <c r="M820" s="5" t="str">
        <f ca="1">IFERROR(__xludf.DUMMYFUNCTION("""COMPUTED_VALUE"""),"Los Angeles")</f>
        <v>Los Angeles</v>
      </c>
      <c r="N820" s="5" t="str">
        <f ca="1">IFERROR(__xludf.DUMMYFUNCTION("""COMPUTED_VALUE"""),"CA")</f>
        <v>CA</v>
      </c>
      <c r="O820" s="5" t="str">
        <f ca="1">IFERROR(__xludf.DUMMYFUNCTION("""COMPUTED_VALUE"""),"High")</f>
        <v>High</v>
      </c>
      <c r="P820" s="5" t="str">
        <f ca="1">IFERROR(__xludf.DUMMYFUNCTION("""COMPUTED_VALUE"""),"Off School Property")</f>
        <v>Off School Property</v>
      </c>
      <c r="Q820" s="5" t="str">
        <f ca="1">IFERROR(__xludf.DUMMYFUNCTION("""COMPUTED_VALUE"""),"Off School Property")</f>
        <v>Off School Property</v>
      </c>
      <c r="R820" s="5" t="str">
        <f ca="1">IFERROR(__xludf.DUMMYFUNCTION("""COMPUTED_VALUE"""),"Yes")</f>
        <v>Yes</v>
      </c>
      <c r="S820" s="5" t="str">
        <f ca="1">IFERROR(__xludf.DUMMYFUNCTION("""COMPUTED_VALUE"""),"Dismissal")</f>
        <v>Dismissal</v>
      </c>
      <c r="T820" s="10">
        <f ca="1">IFERROR(__xludf.DUMMYFUNCTION("""COMPUTED_VALUE"""),0.645138888888888)</f>
        <v>0.64513888888888804</v>
      </c>
      <c r="U820" s="5"/>
      <c r="V820" s="5" t="str">
        <f ca="1">IFERROR(__xludf.DUMMYFUNCTION("""COMPUTED_VALUE"""),"5 shot outside of school by BB fired from apartment building across the street")</f>
        <v>5 shot outside of school by BB fired from apartment building across the street</v>
      </c>
      <c r="W820"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X820" s="5" t="str">
        <f ca="1">IFERROR(__xludf.DUMMYFUNCTION("""COMPUTED_VALUE"""),"Unknown")</f>
        <v>Unknown</v>
      </c>
      <c r="Y820" s="5"/>
      <c r="Z820" s="5"/>
      <c r="AA820" s="5"/>
      <c r="AB820" s="5" t="str">
        <f ca="1">IFERROR(__xludf.DUMMYFUNCTION("""COMPUTED_VALUE"""),"No")</f>
        <v>No</v>
      </c>
      <c r="AC820" s="5" t="str">
        <f ca="1">IFERROR(__xludf.DUMMYFUNCTION("""COMPUTED_VALUE"""),"No")</f>
        <v>No</v>
      </c>
      <c r="AD820" s="5" t="str">
        <f ca="1">IFERROR(__xludf.DUMMYFUNCTION("""COMPUTED_VALUE"""),"No")</f>
        <v>No</v>
      </c>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row>
    <row r="821" spans="1:34" ht="12.75">
      <c r="A821" s="5" t="str">
        <f ca="1">IFERROR(__xludf.DUMMYFUNCTION("""COMPUTED_VALUE"""),"20170928KYSOL")</f>
        <v>20170928KYSOL</v>
      </c>
      <c r="B821" s="8">
        <f ca="1">IFERROR(__xludf.DUMMYFUNCTION("""COMPUTED_VALUE"""),43006)</f>
        <v>43006</v>
      </c>
      <c r="C821" s="5" t="str">
        <f ca="1">IFERROR(__xludf.DUMMYFUNCTION("""COMPUTED_VALUE"""),"Southern Middle School")</f>
        <v>Southern Middle School</v>
      </c>
      <c r="D821" s="5">
        <f ca="1">IFERROR(__xludf.DUMMYFUNCTION("""COMPUTED_VALUE"""),0)</f>
        <v>0</v>
      </c>
      <c r="E821" s="5">
        <f ca="1">IFERROR(__xludf.DUMMYFUNCTION("""COMPUTED_VALUE"""),0)</f>
        <v>0</v>
      </c>
      <c r="F821" s="5">
        <f ca="1">IFERROR(__xludf.DUMMYFUNCTION("""COMPUTED_VALUE"""),0)</f>
        <v>0</v>
      </c>
      <c r="G821" s="5">
        <f ca="1">IFERROR(__xludf.DUMMYFUNCTION("""COMPUTED_VALUE"""),0)</f>
        <v>0</v>
      </c>
      <c r="H821"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I821" s="5"/>
      <c r="J821" s="5"/>
      <c r="K821" s="5">
        <f ca="1">IFERROR(__xludf.DUMMYFUNCTION("""COMPUTED_VALUE"""),4)</f>
        <v>4</v>
      </c>
      <c r="L821" s="5" t="str">
        <f ca="1">IFERROR(__xludf.DUMMYFUNCTION("""COMPUTED_VALUE"""),"Fall")</f>
        <v>Fall</v>
      </c>
      <c r="M821" s="5" t="str">
        <f ca="1">IFERROR(__xludf.DUMMYFUNCTION("""COMPUTED_VALUE"""),"Lexington")</f>
        <v>Lexington</v>
      </c>
      <c r="N821" s="5" t="str">
        <f ca="1">IFERROR(__xludf.DUMMYFUNCTION("""COMPUTED_VALUE"""),"KY")</f>
        <v>KY</v>
      </c>
      <c r="O821" s="5" t="str">
        <f ca="1">IFERROR(__xludf.DUMMYFUNCTION("""COMPUTED_VALUE"""),"Middle")</f>
        <v>Middle</v>
      </c>
      <c r="P821" s="5" t="str">
        <f ca="1">IFERROR(__xludf.DUMMYFUNCTION("""COMPUTED_VALUE"""),"Football Field/Track")</f>
        <v>Football Field/Track</v>
      </c>
      <c r="Q821" s="5" t="str">
        <f ca="1">IFERROR(__xludf.DUMMYFUNCTION("""COMPUTED_VALUE"""),"Outside on School Property")</f>
        <v>Outside on School Property</v>
      </c>
      <c r="R821" s="5" t="str">
        <f ca="1">IFERROR(__xludf.DUMMYFUNCTION("""COMPUTED_VALUE"""),"No")</f>
        <v>No</v>
      </c>
      <c r="S821" s="5" t="str">
        <f ca="1">IFERROR(__xludf.DUMMYFUNCTION("""COMPUTED_VALUE"""),"Sport Event")</f>
        <v>Sport Event</v>
      </c>
      <c r="T821" s="10">
        <f ca="1">IFERROR(__xludf.DUMMYFUNCTION("""COMPUTED_VALUE"""),0.8125)</f>
        <v>0.8125</v>
      </c>
      <c r="U821" s="5">
        <f ca="1">IFERROR(__xludf.DUMMYFUNCTION("""COMPUTED_VALUE"""),1)</f>
        <v>1</v>
      </c>
      <c r="V821" s="5" t="str">
        <f ca="1">IFERROR(__xludf.DUMMYFUNCTION("""COMPUTED_VALUE"""),"Escalation of ongoing feud")</f>
        <v>Escalation of ongoing feud</v>
      </c>
      <c r="W821"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X821" s="5" t="str">
        <f ca="1">IFERROR(__xludf.DUMMYFUNCTION("""COMPUTED_VALUE"""),"Escalation of Dispute")</f>
        <v>Escalation of Dispute</v>
      </c>
      <c r="Y821" s="5"/>
      <c r="Z821" s="5"/>
      <c r="AA821" s="5"/>
      <c r="AB821" s="5" t="str">
        <f ca="1">IFERROR(__xludf.DUMMYFUNCTION("""COMPUTED_VALUE"""),"No")</f>
        <v>No</v>
      </c>
      <c r="AC821" s="5" t="str">
        <f ca="1">IFERROR(__xludf.DUMMYFUNCTION("""COMPUTED_VALUE"""),"No")</f>
        <v>No</v>
      </c>
      <c r="AD821" s="5" t="str">
        <f ca="1">IFERROR(__xludf.DUMMYFUNCTION("""COMPUTED_VALUE"""),"No")</f>
        <v>No</v>
      </c>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row>
    <row r="822" spans="1:34" ht="12.75">
      <c r="A822" s="5" t="str">
        <f ca="1">IFERROR(__xludf.DUMMYFUNCTION("""COMPUTED_VALUE"""),"20170920ILMAM")</f>
        <v>20170920ILMAM</v>
      </c>
      <c r="B822" s="8">
        <f ca="1">IFERROR(__xludf.DUMMYFUNCTION("""COMPUTED_VALUE"""),42998)</f>
        <v>42998</v>
      </c>
      <c r="C822" s="5" t="str">
        <f ca="1">IFERROR(__xludf.DUMMYFUNCTION("""COMPUTED_VALUE"""),"Mattoon High School")</f>
        <v>Mattoon High School</v>
      </c>
      <c r="D822" s="5">
        <f ca="1">IFERROR(__xludf.DUMMYFUNCTION("""COMPUTED_VALUE"""),0)</f>
        <v>0</v>
      </c>
      <c r="E822" s="5">
        <f ca="1">IFERROR(__xludf.DUMMYFUNCTION("""COMPUTED_VALUE"""),1)</f>
        <v>1</v>
      </c>
      <c r="F822" s="5">
        <f ca="1">IFERROR(__xludf.DUMMYFUNCTION("""COMPUTED_VALUE"""),1)</f>
        <v>1</v>
      </c>
      <c r="G822" s="5">
        <f ca="1">IFERROR(__xludf.DUMMYFUNCTION("""COMPUTED_VALUE"""),0)</f>
        <v>0</v>
      </c>
      <c r="H822" s="5" t="str">
        <f ca="1">IFERROR(__xludf.DUMMYFUNCTION("""COMPUTED_VALUE"""),"https://www.dailyeasternnews.com/2020/09/21/community-still-dealing-with-mattoon-high-school-shooting-3-years-later/ http://www.chicagotribune.com/news/local/breaking/ct-teen-evaluation-mattoon-school-shooting-20180216-story.html https://foxillinois.com/n"&amp;"ews/local/1-year-since-matton-high-school-shooting https://wrex.com/category/2018/10/11/high-school-shooting-suspect-sentence-to-juvenile-prison/")</f>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I822" s="5">
        <f ca="1">IFERROR(__xludf.DUMMYFUNCTION("""COMPUTED_VALUE"""),11)</f>
        <v>11</v>
      </c>
      <c r="J822" s="5" t="str">
        <f ca="1">IFERROR(__xludf.DUMMYFUNCTION("""COMPUTED_VALUE"""),"Regional")</f>
        <v>Regional</v>
      </c>
      <c r="K822" s="5">
        <f ca="1">IFERROR(__xludf.DUMMYFUNCTION("""COMPUTED_VALUE"""),4)</f>
        <v>4</v>
      </c>
      <c r="L822" s="5" t="str">
        <f ca="1">IFERROR(__xludf.DUMMYFUNCTION("""COMPUTED_VALUE"""),"Fall")</f>
        <v>Fall</v>
      </c>
      <c r="M822" s="5" t="str">
        <f ca="1">IFERROR(__xludf.DUMMYFUNCTION("""COMPUTED_VALUE"""),"Mattoon")</f>
        <v>Mattoon</v>
      </c>
      <c r="N822" s="5" t="str">
        <f ca="1">IFERROR(__xludf.DUMMYFUNCTION("""COMPUTED_VALUE"""),"IL")</f>
        <v>IL</v>
      </c>
      <c r="O822" s="5" t="str">
        <f ca="1">IFERROR(__xludf.DUMMYFUNCTION("""COMPUTED_VALUE"""),"High")</f>
        <v>High</v>
      </c>
      <c r="P822" s="5" t="str">
        <f ca="1">IFERROR(__xludf.DUMMYFUNCTION("""COMPUTED_VALUE"""),"Cafeteria")</f>
        <v>Cafeteria</v>
      </c>
      <c r="Q822" s="5" t="str">
        <f ca="1">IFERROR(__xludf.DUMMYFUNCTION("""COMPUTED_VALUE"""),"Inside School Building")</f>
        <v>Inside School Building</v>
      </c>
      <c r="R822" s="5" t="str">
        <f ca="1">IFERROR(__xludf.DUMMYFUNCTION("""COMPUTED_VALUE"""),"Yes")</f>
        <v>Yes</v>
      </c>
      <c r="S822" s="5" t="str">
        <f ca="1">IFERROR(__xludf.DUMMYFUNCTION("""COMPUTED_VALUE"""),"Lunch")</f>
        <v>Lunch</v>
      </c>
      <c r="T822" s="10">
        <f ca="1">IFERROR(__xludf.DUMMYFUNCTION("""COMPUTED_VALUE"""),0.479166666666666)</f>
        <v>0.47916666666666602</v>
      </c>
      <c r="U822" s="5">
        <f ca="1">IFERROR(__xludf.DUMMYFUNCTION("""COMPUTED_VALUE"""),1)</f>
        <v>1</v>
      </c>
      <c r="V822" s="5" t="str">
        <f ca="1">IFERROR(__xludf.DUMMYFUNCTION("""COMPUTED_VALUE"""),"Shooting in school cafeteria")</f>
        <v>Shooting in school cafeteria</v>
      </c>
      <c r="W822"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X822" s="5" t="str">
        <f ca="1">IFERROR(__xludf.DUMMYFUNCTION("""COMPUTED_VALUE"""),"Bullying")</f>
        <v>Bullying</v>
      </c>
      <c r="Y822" s="5" t="str">
        <f ca="1">IFERROR(__xludf.DUMMYFUNCTION("""COMPUTED_VALUE"""),"Both")</f>
        <v>Both</v>
      </c>
      <c r="Z822" s="5" t="str">
        <f ca="1">IFERROR(__xludf.DUMMYFUNCTION("""COMPUTED_VALUE"""),"No")</f>
        <v>No</v>
      </c>
      <c r="AA822" s="5"/>
      <c r="AB822" s="5" t="str">
        <f ca="1">IFERROR(__xludf.DUMMYFUNCTION("""COMPUTED_VALUE"""),"No")</f>
        <v>No</v>
      </c>
      <c r="AC822" s="5" t="str">
        <f ca="1">IFERROR(__xludf.DUMMYFUNCTION("""COMPUTED_VALUE"""),"No")</f>
        <v>No</v>
      </c>
      <c r="AD822" s="5" t="str">
        <f ca="1">IFERROR(__xludf.DUMMYFUNCTION("""COMPUTED_VALUE"""),"No")</f>
        <v>No</v>
      </c>
      <c r="AE822" s="5" t="str">
        <f ca="1">IFERROR(__xludf.DUMMYFUNCTION("""COMPUTED_VALUE"""),"Yes")</f>
        <v>Yes</v>
      </c>
      <c r="AF822" s="5" t="str">
        <f ca="1">IFERROR(__xludf.DUMMYFUNCTION("""COMPUTED_VALUE"""),"Yes")</f>
        <v>Yes</v>
      </c>
      <c r="AG822" s="5" t="str">
        <f ca="1">IFERROR(__xludf.DUMMYFUNCTION("""COMPUTED_VALUE"""),"No")</f>
        <v>No</v>
      </c>
      <c r="AH822" s="5" t="str">
        <f ca="1">IFERROR(__xludf.DUMMYFUNCTION("""COMPUTED_VALUE"""),"Yes")</f>
        <v>Yes</v>
      </c>
    </row>
    <row r="823" spans="1:34" ht="12.75">
      <c r="A823" s="5" t="str">
        <f ca="1">IFERROR(__xludf.DUMMYFUNCTION("""COMPUTED_VALUE"""),"20170913WAFRR")</f>
        <v>20170913WAFRR</v>
      </c>
      <c r="B823" s="8">
        <f ca="1">IFERROR(__xludf.DUMMYFUNCTION("""COMPUTED_VALUE"""),42991)</f>
        <v>42991</v>
      </c>
      <c r="C823" s="5" t="str">
        <f ca="1">IFERROR(__xludf.DUMMYFUNCTION("""COMPUTED_VALUE"""),"Freeman High School")</f>
        <v>Freeman High School</v>
      </c>
      <c r="D823" s="5">
        <f ca="1">IFERROR(__xludf.DUMMYFUNCTION("""COMPUTED_VALUE"""),1)</f>
        <v>1</v>
      </c>
      <c r="E823" s="5">
        <f ca="1">IFERROR(__xludf.DUMMYFUNCTION("""COMPUTED_VALUE"""),3)</f>
        <v>3</v>
      </c>
      <c r="F823" s="5">
        <f ca="1">IFERROR(__xludf.DUMMYFUNCTION("""COMPUTED_VALUE"""),4)</f>
        <v>4</v>
      </c>
      <c r="G823" s="5">
        <f ca="1">IFERROR(__xludf.DUMMYFUNCTION("""COMPUTED_VALUE"""),0)</f>
        <v>0</v>
      </c>
      <c r="H823"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I823" s="5">
        <f ca="1">IFERROR(__xludf.DUMMYFUNCTION("""COMPUTED_VALUE"""),100)</f>
        <v>100</v>
      </c>
      <c r="J823" s="5" t="str">
        <f ca="1">IFERROR(__xludf.DUMMYFUNCTION("""COMPUTED_VALUE"""),"National")</f>
        <v>National</v>
      </c>
      <c r="K823" s="5">
        <f ca="1">IFERROR(__xludf.DUMMYFUNCTION("""COMPUTED_VALUE"""),5)</f>
        <v>5</v>
      </c>
      <c r="L823" s="5" t="str">
        <f ca="1">IFERROR(__xludf.DUMMYFUNCTION("""COMPUTED_VALUE"""),"Fall")</f>
        <v>Fall</v>
      </c>
      <c r="M823" s="5" t="str">
        <f ca="1">IFERROR(__xludf.DUMMYFUNCTION("""COMPUTED_VALUE"""),"Rockford")</f>
        <v>Rockford</v>
      </c>
      <c r="N823" s="5" t="str">
        <f ca="1">IFERROR(__xludf.DUMMYFUNCTION("""COMPUTED_VALUE"""),"WA")</f>
        <v>WA</v>
      </c>
      <c r="O823" s="5" t="str">
        <f ca="1">IFERROR(__xludf.DUMMYFUNCTION("""COMPUTED_VALUE"""),"High")</f>
        <v>High</v>
      </c>
      <c r="P823" s="5" t="str">
        <f ca="1">IFERROR(__xludf.DUMMYFUNCTION("""COMPUTED_VALUE"""),"Hallway")</f>
        <v>Hallway</v>
      </c>
      <c r="Q823" s="5" t="str">
        <f ca="1">IFERROR(__xludf.DUMMYFUNCTION("""COMPUTED_VALUE"""),"Inside School Building")</f>
        <v>Inside School Building</v>
      </c>
      <c r="R823" s="5" t="str">
        <f ca="1">IFERROR(__xludf.DUMMYFUNCTION("""COMPUTED_VALUE"""),"Yes")</f>
        <v>Yes</v>
      </c>
      <c r="S823" s="5" t="str">
        <f ca="1">IFERROR(__xludf.DUMMYFUNCTION("""COMPUTED_VALUE"""),"Morning Classes")</f>
        <v>Morning Classes</v>
      </c>
      <c r="T823" s="10">
        <f ca="1">IFERROR(__xludf.DUMMYFUNCTION("""COMPUTED_VALUE"""),0.416666666666666)</f>
        <v>0.41666666666666602</v>
      </c>
      <c r="U823" s="5">
        <f ca="1">IFERROR(__xludf.DUMMYFUNCTION("""COMPUTED_VALUE"""),1)</f>
        <v>1</v>
      </c>
      <c r="V823" s="5" t="str">
        <f ca="1">IFERROR(__xludf.DUMMYFUNCTION("""COMPUTED_VALUE"""),"Bullied at school")</f>
        <v>Bullied at school</v>
      </c>
      <c r="W823"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X823" s="5" t="str">
        <f ca="1">IFERROR(__xludf.DUMMYFUNCTION("""COMPUTED_VALUE"""),"Indiscriminate Shooting")</f>
        <v>Indiscriminate Shooting</v>
      </c>
      <c r="Y823" s="5" t="str">
        <f ca="1">IFERROR(__xludf.DUMMYFUNCTION("""COMPUTED_VALUE"""),"Both")</f>
        <v>Both</v>
      </c>
      <c r="Z823" s="5" t="str">
        <f ca="1">IFERROR(__xludf.DUMMYFUNCTION("""COMPUTED_VALUE"""),"No")</f>
        <v>No</v>
      </c>
      <c r="AA823" s="5"/>
      <c r="AB823" s="5" t="str">
        <f ca="1">IFERROR(__xludf.DUMMYFUNCTION("""COMPUTED_VALUE"""),"No")</f>
        <v>No</v>
      </c>
      <c r="AC823" s="5" t="str">
        <f ca="1">IFERROR(__xludf.DUMMYFUNCTION("""COMPUTED_VALUE"""),"No")</f>
        <v>No</v>
      </c>
      <c r="AD823" s="5" t="str">
        <f ca="1">IFERROR(__xludf.DUMMYFUNCTION("""COMPUTED_VALUE"""),"No")</f>
        <v>No</v>
      </c>
      <c r="AE823" s="5" t="str">
        <f ca="1">IFERROR(__xludf.DUMMYFUNCTION("""COMPUTED_VALUE"""),"Yes")</f>
        <v>Yes</v>
      </c>
      <c r="AF823" s="5" t="str">
        <f ca="1">IFERROR(__xludf.DUMMYFUNCTION("""COMPUTED_VALUE"""),"No")</f>
        <v>No</v>
      </c>
      <c r="AG823" s="5" t="str">
        <f ca="1">IFERROR(__xludf.DUMMYFUNCTION("""COMPUTED_VALUE"""),"No")</f>
        <v>No</v>
      </c>
      <c r="AH823" s="5" t="str">
        <f ca="1">IFERROR(__xludf.DUMMYFUNCTION("""COMPUTED_VALUE"""),"Yes")</f>
        <v>Yes</v>
      </c>
    </row>
    <row r="824" spans="1:34" ht="12.75">
      <c r="A824" s="5" t="str">
        <f ca="1">IFERROR(__xludf.DUMMYFUNCTION("""COMPUTED_VALUE"""),"20170908OHCOC")</f>
        <v>20170908OHCOC</v>
      </c>
      <c r="B824" s="8">
        <f ca="1">IFERROR(__xludf.DUMMYFUNCTION("""COMPUTED_VALUE"""),42986)</f>
        <v>42986</v>
      </c>
      <c r="C824" s="5" t="str">
        <f ca="1">IFERROR(__xludf.DUMMYFUNCTION("""COMPUTED_VALUE"""),"Columbus Scioto 6-12")</f>
        <v>Columbus Scioto 6-12</v>
      </c>
      <c r="D824" s="5">
        <f ca="1">IFERROR(__xludf.DUMMYFUNCTION("""COMPUTED_VALUE"""),0)</f>
        <v>0</v>
      </c>
      <c r="E824" s="5">
        <f ca="1">IFERROR(__xludf.DUMMYFUNCTION("""COMPUTED_VALUE"""),0)</f>
        <v>0</v>
      </c>
      <c r="F824" s="5">
        <f ca="1">IFERROR(__xludf.DUMMYFUNCTION("""COMPUTED_VALUE"""),0)</f>
        <v>0</v>
      </c>
      <c r="G824" s="5">
        <f ca="1">IFERROR(__xludf.DUMMYFUNCTION("""COMPUTED_VALUE"""),0)</f>
        <v>0</v>
      </c>
      <c r="H824" s="9" t="str">
        <f ca="1">IFERROR(__xludf.DUMMYFUNCTION("""COMPUTED_VALUE"""),"http://www.dispatch.com/news/20170912/counselor-describes-how-he-defused-columbus-scioto-school-shooter")</f>
        <v>http://www.dispatch.com/news/20170912/counselor-describes-how-he-defused-columbus-scioto-school-shooter</v>
      </c>
      <c r="I824" s="5">
        <f ca="1">IFERROR(__xludf.DUMMYFUNCTION("""COMPUTED_VALUE"""),11)</f>
        <v>11</v>
      </c>
      <c r="J824" s="5" t="str">
        <f ca="1">IFERROR(__xludf.DUMMYFUNCTION("""COMPUTED_VALUE"""),"National")</f>
        <v>National</v>
      </c>
      <c r="K824" s="5">
        <f ca="1">IFERROR(__xludf.DUMMYFUNCTION("""COMPUTED_VALUE"""),2)</f>
        <v>2</v>
      </c>
      <c r="L824" s="5" t="str">
        <f ca="1">IFERROR(__xludf.DUMMYFUNCTION("""COMPUTED_VALUE"""),"Fall")</f>
        <v>Fall</v>
      </c>
      <c r="M824" s="5" t="str">
        <f ca="1">IFERROR(__xludf.DUMMYFUNCTION("""COMPUTED_VALUE"""),"Columbus")</f>
        <v>Columbus</v>
      </c>
      <c r="N824" s="5" t="str">
        <f ca="1">IFERROR(__xludf.DUMMYFUNCTION("""COMPUTED_VALUE"""),"OH")</f>
        <v>OH</v>
      </c>
      <c r="O824" s="11">
        <f ca="1">IFERROR(__xludf.DUMMYFUNCTION("""COMPUTED_VALUE"""),44724)</f>
        <v>44724</v>
      </c>
      <c r="P824" s="5" t="str">
        <f ca="1">IFERROR(__xludf.DUMMYFUNCTION("""COMPUTED_VALUE"""),"Hallway")</f>
        <v>Hallway</v>
      </c>
      <c r="Q824" s="5" t="str">
        <f ca="1">IFERROR(__xludf.DUMMYFUNCTION("""COMPUTED_VALUE"""),"Inside School Building")</f>
        <v>Inside School Building</v>
      </c>
      <c r="R824" s="5" t="str">
        <f ca="1">IFERROR(__xludf.DUMMYFUNCTION("""COMPUTED_VALUE"""),"Yes")</f>
        <v>Yes</v>
      </c>
      <c r="S824" s="5" t="str">
        <f ca="1">IFERROR(__xludf.DUMMYFUNCTION("""COMPUTED_VALUE"""),"Morning Classes")</f>
        <v>Morning Classes</v>
      </c>
      <c r="T824" s="10">
        <f ca="1">IFERROR(__xludf.DUMMYFUNCTION("""COMPUTED_VALUE"""),0.35625)</f>
        <v>0.35625000000000001</v>
      </c>
      <c r="U824" s="5"/>
      <c r="V824" s="5" t="str">
        <f ca="1">IFERROR(__xludf.DUMMYFUNCTION("""COMPUTED_VALUE"""),"Shooting by emotionally disturbed student")</f>
        <v>Shooting by emotionally disturbed student</v>
      </c>
      <c r="W824"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X824" s="5" t="str">
        <f ca="1">IFERROR(__xludf.DUMMYFUNCTION("""COMPUTED_VALUE"""),"Psychosis")</f>
        <v>Psychosis</v>
      </c>
      <c r="Y824" s="5" t="str">
        <f ca="1">IFERROR(__xludf.DUMMYFUNCTION("""COMPUTED_VALUE"""),"Neither")</f>
        <v>Neither</v>
      </c>
      <c r="Z824" s="5" t="str">
        <f ca="1">IFERROR(__xludf.DUMMYFUNCTION("""COMPUTED_VALUE"""),"No")</f>
        <v>No</v>
      </c>
      <c r="AA824" s="5"/>
      <c r="AB824" s="5" t="str">
        <f ca="1">IFERROR(__xludf.DUMMYFUNCTION("""COMPUTED_VALUE"""),"No")</f>
        <v>No</v>
      </c>
      <c r="AC824" s="5" t="str">
        <f ca="1">IFERROR(__xludf.DUMMYFUNCTION("""COMPUTED_VALUE"""),"No")</f>
        <v>No</v>
      </c>
      <c r="AD824" s="5" t="str">
        <f ca="1">IFERROR(__xludf.DUMMYFUNCTION("""COMPUTED_VALUE"""),"No")</f>
        <v>No</v>
      </c>
      <c r="AE824" s="5"/>
      <c r="AF824" s="5"/>
      <c r="AG824" s="5" t="str">
        <f ca="1">IFERROR(__xludf.DUMMYFUNCTION("""COMPUTED_VALUE"""),"No")</f>
        <v>No</v>
      </c>
      <c r="AH824" s="5" t="str">
        <f ca="1">IFERROR(__xludf.DUMMYFUNCTION("""COMPUTED_VALUE"""),"Yes")</f>
        <v>Yes</v>
      </c>
    </row>
    <row r="825" spans="1:34" ht="12.75">
      <c r="A825" s="5" t="str">
        <f ca="1">IFERROR(__xludf.DUMMYFUNCTION("""COMPUTED_VALUE"""),"20170908ARNON")</f>
        <v>20170908ARNON</v>
      </c>
      <c r="B825" s="8">
        <f ca="1">IFERROR(__xludf.DUMMYFUNCTION("""COMPUTED_VALUE"""),42986)</f>
        <v>42986</v>
      </c>
      <c r="C825" s="5" t="str">
        <f ca="1">IFERROR(__xludf.DUMMYFUNCTION("""COMPUTED_VALUE"""),"North Little Rock High School")</f>
        <v>North Little Rock High School</v>
      </c>
      <c r="D825" s="5">
        <f ca="1">IFERROR(__xludf.DUMMYFUNCTION("""COMPUTED_VALUE"""),0)</f>
        <v>0</v>
      </c>
      <c r="E825" s="5">
        <f ca="1">IFERROR(__xludf.DUMMYFUNCTION("""COMPUTED_VALUE"""),1)</f>
        <v>1</v>
      </c>
      <c r="F825" s="5">
        <f ca="1">IFERROR(__xludf.DUMMYFUNCTION("""COMPUTED_VALUE"""),1)</f>
        <v>1</v>
      </c>
      <c r="G825" s="5">
        <f ca="1">IFERROR(__xludf.DUMMYFUNCTION("""COMPUTED_VALUE"""),0)</f>
        <v>0</v>
      </c>
      <c r="H825" s="9" t="str">
        <f ca="1">IFERROR(__xludf.DUMMYFUNCTION("""COMPUTED_VALUE"""),"https://www.thv11.com/article/news/local/after-shooting-north-little-rock-high-to-increase-security-at-football-games/473815136")</f>
        <v>https://www.thv11.com/article/news/local/after-shooting-north-little-rock-high-to-increase-security-at-football-games/473815136</v>
      </c>
      <c r="I825" s="5"/>
      <c r="J825" s="5"/>
      <c r="K825" s="5">
        <f ca="1">IFERROR(__xludf.DUMMYFUNCTION("""COMPUTED_VALUE"""),2)</f>
        <v>2</v>
      </c>
      <c r="L825" s="5" t="str">
        <f ca="1">IFERROR(__xludf.DUMMYFUNCTION("""COMPUTED_VALUE"""),"Fall")</f>
        <v>Fall</v>
      </c>
      <c r="M825" s="5" t="str">
        <f ca="1">IFERROR(__xludf.DUMMYFUNCTION("""COMPUTED_VALUE"""),"North Little Rock")</f>
        <v>North Little Rock</v>
      </c>
      <c r="N825" s="5" t="str">
        <f ca="1">IFERROR(__xludf.DUMMYFUNCTION("""COMPUTED_VALUE"""),"AR")</f>
        <v>AR</v>
      </c>
      <c r="O825" s="5" t="str">
        <f ca="1">IFERROR(__xludf.DUMMYFUNCTION("""COMPUTED_VALUE"""),"High")</f>
        <v>High</v>
      </c>
      <c r="P825" s="5" t="str">
        <f ca="1">IFERROR(__xludf.DUMMYFUNCTION("""COMPUTED_VALUE"""),"Parking Lot")</f>
        <v>Parking Lot</v>
      </c>
      <c r="Q825" s="5" t="str">
        <f ca="1">IFERROR(__xludf.DUMMYFUNCTION("""COMPUTED_VALUE"""),"Outside on School Property")</f>
        <v>Outside on School Property</v>
      </c>
      <c r="R825" s="5" t="str">
        <f ca="1">IFERROR(__xludf.DUMMYFUNCTION("""COMPUTED_VALUE"""),"No")</f>
        <v>No</v>
      </c>
      <c r="S825" s="5" t="str">
        <f ca="1">IFERROR(__xludf.DUMMYFUNCTION("""COMPUTED_VALUE"""),"Sport Event")</f>
        <v>Sport Event</v>
      </c>
      <c r="T825" s="5"/>
      <c r="U825" s="5">
        <f ca="1">IFERROR(__xludf.DUMMYFUNCTION("""COMPUTED_VALUE"""),1)</f>
        <v>1</v>
      </c>
      <c r="V825" s="5" t="str">
        <f ca="1">IFERROR(__xludf.DUMMYFUNCTION("""COMPUTED_VALUE"""),"Teen shot in parking lot during football game")</f>
        <v>Teen shot in parking lot during football game</v>
      </c>
      <c r="W825"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X825" s="5" t="str">
        <f ca="1">IFERROR(__xludf.DUMMYFUNCTION("""COMPUTED_VALUE"""),"Escalation of Dispute")</f>
        <v>Escalation of Dispute</v>
      </c>
      <c r="Y825" s="5" t="str">
        <f ca="1">IFERROR(__xludf.DUMMYFUNCTION("""COMPUTED_VALUE"""),"Victims Targeted")</f>
        <v>Victims Targeted</v>
      </c>
      <c r="Z825" s="5" t="str">
        <f ca="1">IFERROR(__xludf.DUMMYFUNCTION("""COMPUTED_VALUE"""),"Unknown")</f>
        <v>Unknown</v>
      </c>
      <c r="AA825" s="5"/>
      <c r="AB825" s="5" t="str">
        <f ca="1">IFERROR(__xludf.DUMMYFUNCTION("""COMPUTED_VALUE"""),"No")</f>
        <v>No</v>
      </c>
      <c r="AC825" s="5" t="str">
        <f ca="1">IFERROR(__xludf.DUMMYFUNCTION("""COMPUTED_VALUE"""),"No")</f>
        <v>No</v>
      </c>
      <c r="AD825" s="5" t="str">
        <f ca="1">IFERROR(__xludf.DUMMYFUNCTION("""COMPUTED_VALUE"""),"No")</f>
        <v>No</v>
      </c>
      <c r="AE825" s="5" t="str">
        <f ca="1">IFERROR(__xludf.DUMMYFUNCTION("""COMPUTED_VALUE"""),"No")</f>
        <v>No</v>
      </c>
      <c r="AF825" s="5" t="str">
        <f ca="1">IFERROR(__xludf.DUMMYFUNCTION("""COMPUTED_VALUE"""),"No")</f>
        <v>No</v>
      </c>
      <c r="AG825" s="5"/>
      <c r="AH825" s="5" t="str">
        <f ca="1">IFERROR(__xludf.DUMMYFUNCTION("""COMPUTED_VALUE"""),"No")</f>
        <v>No</v>
      </c>
    </row>
    <row r="826" spans="1:34" ht="12.75">
      <c r="A826" s="5" t="str">
        <f ca="1">IFERROR(__xludf.DUMMYFUNCTION("""COMPUTED_VALUE"""),"20170831CAARS")</f>
        <v>20170831CAARS</v>
      </c>
      <c r="B826" s="8">
        <f ca="1">IFERROR(__xludf.DUMMYFUNCTION("""COMPUTED_VALUE"""),42978)</f>
        <v>42978</v>
      </c>
      <c r="C826" s="5" t="str">
        <f ca="1">IFERROR(__xludf.DUMMYFUNCTION("""COMPUTED_VALUE"""),"Arroyo Valley High School")</f>
        <v>Arroyo Valley High School</v>
      </c>
      <c r="D826" s="5">
        <f ca="1">IFERROR(__xludf.DUMMYFUNCTION("""COMPUTED_VALUE"""),0)</f>
        <v>0</v>
      </c>
      <c r="E826" s="5">
        <f ca="1">IFERROR(__xludf.DUMMYFUNCTION("""COMPUTED_VALUE"""),0)</f>
        <v>0</v>
      </c>
      <c r="F826" s="5">
        <f ca="1">IFERROR(__xludf.DUMMYFUNCTION("""COMPUTED_VALUE"""),0)</f>
        <v>0</v>
      </c>
      <c r="G826" s="5">
        <f ca="1">IFERROR(__xludf.DUMMYFUNCTION("""COMPUTED_VALUE"""),0)</f>
        <v>0</v>
      </c>
      <c r="H826" s="9" t="str">
        <f ca="1">IFERROR(__xludf.DUMMYFUNCTION("""COMPUTED_VALUE"""),"https://www.sbsun.com/2017/09/01/shooting-cuts-arroyo-valley-high-school-football-game-short/")</f>
        <v>https://www.sbsun.com/2017/09/01/shooting-cuts-arroyo-valley-high-school-football-game-short/</v>
      </c>
      <c r="I826" s="5"/>
      <c r="J826" s="5"/>
      <c r="K826" s="5">
        <f ca="1">IFERROR(__xludf.DUMMYFUNCTION("""COMPUTED_VALUE"""),3)</f>
        <v>3</v>
      </c>
      <c r="L826" s="5" t="str">
        <f ca="1">IFERROR(__xludf.DUMMYFUNCTION("""COMPUTED_VALUE"""),"Summer")</f>
        <v>Summer</v>
      </c>
      <c r="M826" s="5" t="str">
        <f ca="1">IFERROR(__xludf.DUMMYFUNCTION("""COMPUTED_VALUE"""),"San Bernardino")</f>
        <v>San Bernardino</v>
      </c>
      <c r="N826" s="5" t="str">
        <f ca="1">IFERROR(__xludf.DUMMYFUNCTION("""COMPUTED_VALUE"""),"CA")</f>
        <v>CA</v>
      </c>
      <c r="O826" s="5" t="str">
        <f ca="1">IFERROR(__xludf.DUMMYFUNCTION("""COMPUTED_VALUE"""),"High")</f>
        <v>High</v>
      </c>
      <c r="P826" s="5" t="str">
        <f ca="1">IFERROR(__xludf.DUMMYFUNCTION("""COMPUTED_VALUE"""),"Football Field/Track")</f>
        <v>Football Field/Track</v>
      </c>
      <c r="Q826" s="5" t="str">
        <f ca="1">IFERROR(__xludf.DUMMYFUNCTION("""COMPUTED_VALUE"""),"Outside on School Property")</f>
        <v>Outside on School Property</v>
      </c>
      <c r="R826" s="5" t="str">
        <f ca="1">IFERROR(__xludf.DUMMYFUNCTION("""COMPUTED_VALUE"""),"No")</f>
        <v>No</v>
      </c>
      <c r="S826" s="5" t="str">
        <f ca="1">IFERROR(__xludf.DUMMYFUNCTION("""COMPUTED_VALUE"""),"Sport Event")</f>
        <v>Sport Event</v>
      </c>
      <c r="T826" s="10">
        <f ca="1">IFERROR(__xludf.DUMMYFUNCTION("""COMPUTED_VALUE"""),0.875)</f>
        <v>0.875</v>
      </c>
      <c r="U826" s="5">
        <f ca="1">IFERROR(__xludf.DUMMYFUNCTION("""COMPUTED_VALUE"""),1)</f>
        <v>1</v>
      </c>
      <c r="V826" s="5" t="str">
        <f ca="1">IFERROR(__xludf.DUMMYFUNCTION("""COMPUTED_VALUE"""),"Shooting at football stadium following a fight inside")</f>
        <v>Shooting at football stadium following a fight inside</v>
      </c>
      <c r="W826"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X826" s="5" t="str">
        <f ca="1">IFERROR(__xludf.DUMMYFUNCTION("""COMPUTED_VALUE"""),"Escalation of Dispute")</f>
        <v>Escalation of Dispute</v>
      </c>
      <c r="Y826" s="5" t="str">
        <f ca="1">IFERROR(__xludf.DUMMYFUNCTION("""COMPUTED_VALUE"""),"Victims Targeted")</f>
        <v>Victims Targeted</v>
      </c>
      <c r="Z826" s="5" t="str">
        <f ca="1">IFERROR(__xludf.DUMMYFUNCTION("""COMPUTED_VALUE"""),"Yes")</f>
        <v>Yes</v>
      </c>
      <c r="AA826" s="5" t="str">
        <f ca="1">IFERROR(__xludf.DUMMYFUNCTION("""COMPUTED_VALUE"""),"Multiple men involved in fight")</f>
        <v>Multiple men involved in fight</v>
      </c>
      <c r="AB826" s="5" t="str">
        <f ca="1">IFERROR(__xludf.DUMMYFUNCTION("""COMPUTED_VALUE"""),"No")</f>
        <v>No</v>
      </c>
      <c r="AC826" s="5" t="str">
        <f ca="1">IFERROR(__xludf.DUMMYFUNCTION("""COMPUTED_VALUE"""),"No")</f>
        <v>No</v>
      </c>
      <c r="AD826" s="5" t="str">
        <f ca="1">IFERROR(__xludf.DUMMYFUNCTION("""COMPUTED_VALUE"""),"No")</f>
        <v>No</v>
      </c>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row>
    <row r="827" spans="1:34" ht="12.75">
      <c r="A827" s="5" t="str">
        <f ca="1">IFERROR(__xludf.DUMMYFUNCTION("""COMPUTED_VALUE"""),"20170817GALIL")</f>
        <v>20170817GALIL</v>
      </c>
      <c r="B827" s="8">
        <f ca="1">IFERROR(__xludf.DUMMYFUNCTION("""COMPUTED_VALUE"""),42964)</f>
        <v>42964</v>
      </c>
      <c r="C827" s="5" t="str">
        <f ca="1">IFERROR(__xludf.DUMMYFUNCTION("""COMPUTED_VALUE"""),"Lithia Spring High")</f>
        <v>Lithia Spring High</v>
      </c>
      <c r="D827" s="5">
        <f ca="1">IFERROR(__xludf.DUMMYFUNCTION("""COMPUTED_VALUE"""),0)</f>
        <v>0</v>
      </c>
      <c r="E827" s="5">
        <f ca="1">IFERROR(__xludf.DUMMYFUNCTION("""COMPUTED_VALUE"""),0)</f>
        <v>0</v>
      </c>
      <c r="F827" s="5">
        <f ca="1">IFERROR(__xludf.DUMMYFUNCTION("""COMPUTED_VALUE"""),0)</f>
        <v>0</v>
      </c>
      <c r="G827" s="5">
        <f ca="1">IFERROR(__xludf.DUMMYFUNCTION("""COMPUTED_VALUE"""),0)</f>
        <v>0</v>
      </c>
      <c r="H827"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I827" s="5"/>
      <c r="J827" s="5"/>
      <c r="K827" s="5">
        <f ca="1">IFERROR(__xludf.DUMMYFUNCTION("""COMPUTED_VALUE"""),2)</f>
        <v>2</v>
      </c>
      <c r="L827" s="5" t="str">
        <f ca="1">IFERROR(__xludf.DUMMYFUNCTION("""COMPUTED_VALUE"""),"Summer")</f>
        <v>Summer</v>
      </c>
      <c r="M827" s="5" t="str">
        <f ca="1">IFERROR(__xludf.DUMMYFUNCTION("""COMPUTED_VALUE"""),"Lithia Springs")</f>
        <v>Lithia Springs</v>
      </c>
      <c r="N827" s="5" t="str">
        <f ca="1">IFERROR(__xludf.DUMMYFUNCTION("""COMPUTED_VALUE"""),"GA")</f>
        <v>GA</v>
      </c>
      <c r="O827" s="5" t="str">
        <f ca="1">IFERROR(__xludf.DUMMYFUNCTION("""COMPUTED_VALUE"""),"High")</f>
        <v>High</v>
      </c>
      <c r="P827" s="5" t="str">
        <f ca="1">IFERROR(__xludf.DUMMYFUNCTION("""COMPUTED_VALUE"""),"Classroom")</f>
        <v>Classroom</v>
      </c>
      <c r="Q827" s="5" t="str">
        <f ca="1">IFERROR(__xludf.DUMMYFUNCTION("""COMPUTED_VALUE"""),"Inside School Building")</f>
        <v>Inside School Building</v>
      </c>
      <c r="R827" s="5" t="str">
        <f ca="1">IFERROR(__xludf.DUMMYFUNCTION("""COMPUTED_VALUE"""),"Yes")</f>
        <v>Yes</v>
      </c>
      <c r="S827" s="5" t="str">
        <f ca="1">IFERROR(__xludf.DUMMYFUNCTION("""COMPUTED_VALUE"""),"School Start")</f>
        <v>School Start</v>
      </c>
      <c r="T827" s="10">
        <f ca="1">IFERROR(__xludf.DUMMYFUNCTION("""COMPUTED_VALUE"""),0.302083333333333)</f>
        <v>0.30208333333333298</v>
      </c>
      <c r="U827" s="5">
        <f ca="1">IFERROR(__xludf.DUMMYFUNCTION("""COMPUTED_VALUE"""),1)</f>
        <v>1</v>
      </c>
      <c r="V827" s="5" t="str">
        <f ca="1">IFERROR(__xludf.DUMMYFUNCTION("""COMPUTED_VALUE"""),"Teacher attempted suicide inside school during school day")</f>
        <v>Teacher attempted suicide inside school during school day</v>
      </c>
      <c r="W827"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X827" s="5" t="str">
        <f ca="1">IFERROR(__xludf.DUMMYFUNCTION("""COMPUTED_VALUE"""),"Suicide/Attempted")</f>
        <v>Suicide/Attempted</v>
      </c>
      <c r="Y827" s="5" t="str">
        <f ca="1">IFERROR(__xludf.DUMMYFUNCTION("""COMPUTED_VALUE"""),"Victims Targeted")</f>
        <v>Victims Targeted</v>
      </c>
      <c r="Z827" s="5" t="str">
        <f ca="1">IFERROR(__xludf.DUMMYFUNCTION("""COMPUTED_VALUE"""),"No")</f>
        <v>No</v>
      </c>
      <c r="AA827" s="5"/>
      <c r="AB827" s="5" t="str">
        <f ca="1">IFERROR(__xludf.DUMMYFUNCTION("""COMPUTED_VALUE"""),"No")</f>
        <v>No</v>
      </c>
      <c r="AC827" s="5" t="str">
        <f ca="1">IFERROR(__xludf.DUMMYFUNCTION("""COMPUTED_VALUE"""),"No")</f>
        <v>No</v>
      </c>
      <c r="AD827" s="5" t="str">
        <f ca="1">IFERROR(__xludf.DUMMYFUNCTION("""COMPUTED_VALUE"""),"No")</f>
        <v>No</v>
      </c>
      <c r="AE827" s="5" t="str">
        <f ca="1">IFERROR(__xludf.DUMMYFUNCTION("""COMPUTED_VALUE"""),"No")</f>
        <v>No</v>
      </c>
      <c r="AF827" s="5" t="str">
        <f ca="1">IFERROR(__xludf.DUMMYFUNCTION("""COMPUTED_VALUE"""),"No")</f>
        <v>No</v>
      </c>
      <c r="AG827" s="5" t="str">
        <f ca="1">IFERROR(__xludf.DUMMYFUNCTION("""COMPUTED_VALUE"""),"No")</f>
        <v>No</v>
      </c>
      <c r="AH827" s="5" t="str">
        <f ca="1">IFERROR(__xludf.DUMMYFUNCTION("""COMPUTED_VALUE"""),"No")</f>
        <v>No</v>
      </c>
    </row>
    <row r="828" spans="1:34" ht="12.75">
      <c r="A828" s="5" t="str">
        <f ca="1">IFERROR(__xludf.DUMMYFUNCTION("""COMPUTED_VALUE"""),"20170813NYHUH")</f>
        <v>20170813NYHUH</v>
      </c>
      <c r="B828" s="8">
        <f ca="1">IFERROR(__xludf.DUMMYFUNCTION("""COMPUTED_VALUE"""),42960)</f>
        <v>42960</v>
      </c>
      <c r="C828" s="5" t="str">
        <f ca="1">IFERROR(__xludf.DUMMYFUNCTION("""COMPUTED_VALUE"""),"Hudson County School Bus")</f>
        <v>Hudson County School Bus</v>
      </c>
      <c r="D828" s="5">
        <f ca="1">IFERROR(__xludf.DUMMYFUNCTION("""COMPUTED_VALUE"""),0)</f>
        <v>0</v>
      </c>
      <c r="E828" s="5">
        <f ca="1">IFERROR(__xludf.DUMMYFUNCTION("""COMPUTED_VALUE"""),2)</f>
        <v>2</v>
      </c>
      <c r="F828" s="5">
        <f ca="1">IFERROR(__xludf.DUMMYFUNCTION("""COMPUTED_VALUE"""),2)</f>
        <v>2</v>
      </c>
      <c r="G828" s="5">
        <f ca="1">IFERROR(__xludf.DUMMYFUNCTION("""COMPUTED_VALUE"""),0)</f>
        <v>0</v>
      </c>
      <c r="H828"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I828" s="5">
        <f ca="1">IFERROR(__xludf.DUMMYFUNCTION("""COMPUTED_VALUE"""),2)</f>
        <v>2</v>
      </c>
      <c r="J828" s="5" t="str">
        <f ca="1">IFERROR(__xludf.DUMMYFUNCTION("""COMPUTED_VALUE"""),"Local")</f>
        <v>Local</v>
      </c>
      <c r="K828" s="5">
        <f ca="1">IFERROR(__xludf.DUMMYFUNCTION("""COMPUTED_VALUE"""),4)</f>
        <v>4</v>
      </c>
      <c r="L828" s="5" t="str">
        <f ca="1">IFERROR(__xludf.DUMMYFUNCTION("""COMPUTED_VALUE"""),"Summer")</f>
        <v>Summer</v>
      </c>
      <c r="M828" s="5" t="str">
        <f ca="1">IFERROR(__xludf.DUMMYFUNCTION("""COMPUTED_VALUE"""),"Hudson")</f>
        <v>Hudson</v>
      </c>
      <c r="N828" s="5" t="str">
        <f ca="1">IFERROR(__xludf.DUMMYFUNCTION("""COMPUTED_VALUE"""),"NY")</f>
        <v>NY</v>
      </c>
      <c r="O828" s="5"/>
      <c r="P828" s="5" t="str">
        <f ca="1">IFERROR(__xludf.DUMMYFUNCTION("""COMPUTED_VALUE"""),"School Bus")</f>
        <v>School Bus</v>
      </c>
      <c r="Q828" s="5" t="str">
        <f ca="1">IFERROR(__xludf.DUMMYFUNCTION("""COMPUTED_VALUE"""),"School Bus")</f>
        <v>School Bus</v>
      </c>
      <c r="R828" s="5"/>
      <c r="S828" s="5"/>
      <c r="T828" s="5"/>
      <c r="U828" s="5">
        <f ca="1">IFERROR(__xludf.DUMMYFUNCTION("""COMPUTED_VALUE"""),1)</f>
        <v>1</v>
      </c>
      <c r="V828" s="5" t="str">
        <f ca="1">IFERROR(__xludf.DUMMYFUNCTION("""COMPUTED_VALUE"""),"2 children shot on school bus")</f>
        <v>2 children shot on school bus</v>
      </c>
      <c r="W828"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X828" s="5"/>
      <c r="Y828" s="5" t="str">
        <f ca="1">IFERROR(__xludf.DUMMYFUNCTION("""COMPUTED_VALUE"""),"Both")</f>
        <v>Both</v>
      </c>
      <c r="Z828" s="5" t="str">
        <f ca="1">IFERROR(__xludf.DUMMYFUNCTION("""COMPUTED_VALUE"""),"No")</f>
        <v>No</v>
      </c>
      <c r="AA828" s="5"/>
      <c r="AB828" s="5" t="str">
        <f ca="1">IFERROR(__xludf.DUMMYFUNCTION("""COMPUTED_VALUE"""),"No")</f>
        <v>No</v>
      </c>
      <c r="AC828" s="5" t="str">
        <f ca="1">IFERROR(__xludf.DUMMYFUNCTION("""COMPUTED_VALUE"""),"No")</f>
        <v>No</v>
      </c>
      <c r="AD828" s="5" t="str">
        <f ca="1">IFERROR(__xludf.DUMMYFUNCTION("""COMPUTED_VALUE"""),"No")</f>
        <v>No</v>
      </c>
      <c r="AE828" s="5" t="str">
        <f ca="1">IFERROR(__xludf.DUMMYFUNCTION("""COMPUTED_VALUE"""),"No")</f>
        <v>No</v>
      </c>
      <c r="AF828" s="5" t="str">
        <f ca="1">IFERROR(__xludf.DUMMYFUNCTION("""COMPUTED_VALUE"""),"No")</f>
        <v>No</v>
      </c>
      <c r="AG828" s="5"/>
      <c r="AH828" s="5" t="str">
        <f ca="1">IFERROR(__xludf.DUMMYFUNCTION("""COMPUTED_VALUE"""),"No")</f>
        <v>No</v>
      </c>
    </row>
    <row r="829" spans="1:34" ht="12.75">
      <c r="A829" s="5" t="str">
        <f ca="1">IFERROR(__xludf.DUMMYFUNCTION("""COMPUTED_VALUE"""),"20170801GABAV")</f>
        <v>20170801GABAV</v>
      </c>
      <c r="B829" s="8">
        <f ca="1">IFERROR(__xludf.DUMMYFUNCTION("""COMPUTED_VALUE"""),42948)</f>
        <v>42948</v>
      </c>
      <c r="C829" s="5" t="str">
        <f ca="1">IFERROR(__xludf.DUMMYFUNCTION("""COMPUTED_VALUE"""),"Bazemore-Hyder Stadium (Valdosta High School)")</f>
        <v>Bazemore-Hyder Stadium (Valdosta High School)</v>
      </c>
      <c r="D829" s="5">
        <f ca="1">IFERROR(__xludf.DUMMYFUNCTION("""COMPUTED_VALUE"""),0)</f>
        <v>0</v>
      </c>
      <c r="E829" s="5">
        <f ca="1">IFERROR(__xludf.DUMMYFUNCTION("""COMPUTED_VALUE"""),1)</f>
        <v>1</v>
      </c>
      <c r="F829" s="5">
        <f ca="1">IFERROR(__xludf.DUMMYFUNCTION("""COMPUTED_VALUE"""),1)</f>
        <v>1</v>
      </c>
      <c r="G829" s="5">
        <f ca="1">IFERROR(__xludf.DUMMYFUNCTION("""COMPUTED_VALUE"""),0)</f>
        <v>0</v>
      </c>
      <c r="H829" s="9" t="str">
        <f ca="1">IFERROR(__xludf.DUMMYFUNCTION("""COMPUTED_VALUE"""),"https://www.wctv.tv/content/news/Shots-fired-during-Valdosta-Highs-Midnight-Madness-practice-437798503.html")</f>
        <v>https://www.wctv.tv/content/news/Shots-fired-during-Valdosta-Highs-Midnight-Madness-practice-437798503.html</v>
      </c>
      <c r="I829" s="5"/>
      <c r="J829" s="5"/>
      <c r="K829" s="5">
        <f ca="1">IFERROR(__xludf.DUMMYFUNCTION("""COMPUTED_VALUE"""),3)</f>
        <v>3</v>
      </c>
      <c r="L829" s="5" t="str">
        <f ca="1">IFERROR(__xludf.DUMMYFUNCTION("""COMPUTED_VALUE"""),"Summer")</f>
        <v>Summer</v>
      </c>
      <c r="M829" s="5" t="str">
        <f ca="1">IFERROR(__xludf.DUMMYFUNCTION("""COMPUTED_VALUE"""),"Valdosta")</f>
        <v>Valdosta</v>
      </c>
      <c r="N829" s="5" t="str">
        <f ca="1">IFERROR(__xludf.DUMMYFUNCTION("""COMPUTED_VALUE"""),"GA")</f>
        <v>GA</v>
      </c>
      <c r="O829" s="5" t="str">
        <f ca="1">IFERROR(__xludf.DUMMYFUNCTION("""COMPUTED_VALUE"""),"High")</f>
        <v>High</v>
      </c>
      <c r="P829" s="5" t="str">
        <f ca="1">IFERROR(__xludf.DUMMYFUNCTION("""COMPUTED_VALUE"""),"Football Field/Track")</f>
        <v>Football Field/Track</v>
      </c>
      <c r="Q829" s="5" t="str">
        <f ca="1">IFERROR(__xludf.DUMMYFUNCTION("""COMPUTED_VALUE"""),"Outside on School Property")</f>
        <v>Outside on School Property</v>
      </c>
      <c r="R829" s="5" t="str">
        <f ca="1">IFERROR(__xludf.DUMMYFUNCTION("""COMPUTED_VALUE"""),"No")</f>
        <v>No</v>
      </c>
      <c r="S829" s="5" t="str">
        <f ca="1">IFERROR(__xludf.DUMMYFUNCTION("""COMPUTED_VALUE"""),"Sport Event")</f>
        <v>Sport Event</v>
      </c>
      <c r="T829" s="10">
        <f ca="1">IFERROR(__xludf.DUMMYFUNCTION("""COMPUTED_VALUE"""),0.03125)</f>
        <v>3.125E-2</v>
      </c>
      <c r="U829" s="5">
        <f ca="1">IFERROR(__xludf.DUMMYFUNCTION("""COMPUTED_VALUE"""),1)</f>
        <v>1</v>
      </c>
      <c r="V829" s="5" t="str">
        <f ca="1">IFERROR(__xludf.DUMMYFUNCTION("""COMPUTED_VALUE"""),"Female students shot during high school football practice")</f>
        <v>Female students shot during high school football practice</v>
      </c>
      <c r="W829"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X829" s="5" t="str">
        <f ca="1">IFERROR(__xludf.DUMMYFUNCTION("""COMPUTED_VALUE"""),"Escalation of Dispute")</f>
        <v>Escalation of Dispute</v>
      </c>
      <c r="Y829" s="5" t="str">
        <f ca="1">IFERROR(__xludf.DUMMYFUNCTION("""COMPUTED_VALUE"""),"Both")</f>
        <v>Both</v>
      </c>
      <c r="Z829" s="5"/>
      <c r="AA829" s="5"/>
      <c r="AB829" s="5" t="str">
        <f ca="1">IFERROR(__xludf.DUMMYFUNCTION("""COMPUTED_VALUE"""),"No")</f>
        <v>No</v>
      </c>
      <c r="AC829" s="5" t="str">
        <f ca="1">IFERROR(__xludf.DUMMYFUNCTION("""COMPUTED_VALUE"""),"No")</f>
        <v>No</v>
      </c>
      <c r="AD829" s="5" t="str">
        <f ca="1">IFERROR(__xludf.DUMMYFUNCTION("""COMPUTED_VALUE"""),"No")</f>
        <v>No</v>
      </c>
      <c r="AE829" s="5" t="str">
        <f ca="1">IFERROR(__xludf.DUMMYFUNCTION("""COMPUTED_VALUE"""),"No")</f>
        <v>No</v>
      </c>
      <c r="AF829" s="5" t="str">
        <f ca="1">IFERROR(__xludf.DUMMYFUNCTION("""COMPUTED_VALUE"""),"No")</f>
        <v>No</v>
      </c>
      <c r="AG829" s="5" t="str">
        <f ca="1">IFERROR(__xludf.DUMMYFUNCTION("""COMPUTED_VALUE"""),"No")</f>
        <v>No</v>
      </c>
      <c r="AH829" s="5" t="str">
        <f ca="1">IFERROR(__xludf.DUMMYFUNCTION("""COMPUTED_VALUE"""),"No")</f>
        <v>No</v>
      </c>
    </row>
    <row r="830" spans="1:34" ht="12.75">
      <c r="A830" s="5" t="str">
        <f ca="1">IFERROR(__xludf.DUMMYFUNCTION("""COMPUTED_VALUE"""),"20170721UTSPS")</f>
        <v>20170721UTSPS</v>
      </c>
      <c r="B830" s="8">
        <f ca="1">IFERROR(__xludf.DUMMYFUNCTION("""COMPUTED_VALUE"""),42937)</f>
        <v>42937</v>
      </c>
      <c r="C830" s="5" t="str">
        <f ca="1">IFERROR(__xludf.DUMMYFUNCTION("""COMPUTED_VALUE"""),"Spanish Fork High School")</f>
        <v>Spanish Fork High School</v>
      </c>
      <c r="D830" s="5">
        <f ca="1">IFERROR(__xludf.DUMMYFUNCTION("""COMPUTED_VALUE"""),0)</f>
        <v>0</v>
      </c>
      <c r="E830" s="5">
        <f ca="1">IFERROR(__xludf.DUMMYFUNCTION("""COMPUTED_VALUE"""),1)</f>
        <v>1</v>
      </c>
      <c r="F830" s="5">
        <f ca="1">IFERROR(__xludf.DUMMYFUNCTION("""COMPUTED_VALUE"""),1)</f>
        <v>1</v>
      </c>
      <c r="G830" s="5">
        <f ca="1">IFERROR(__xludf.DUMMYFUNCTION("""COMPUTED_VALUE"""),1)</f>
        <v>1</v>
      </c>
      <c r="H830" s="9" t="str">
        <f ca="1">IFERROR(__xludf.DUMMYFUNCTION("""COMPUTED_VALUE"""),"https://fox13now.com/2017/07/21/19-year-old-shoots-teen-at-spanish-fork-high-before-taking-own-life/")</f>
        <v>https://fox13now.com/2017/07/21/19-year-old-shoots-teen-at-spanish-fork-high-before-taking-own-life/</v>
      </c>
      <c r="I830" s="5"/>
      <c r="J830" s="5"/>
      <c r="K830" s="5">
        <f ca="1">IFERROR(__xludf.DUMMYFUNCTION("""COMPUTED_VALUE"""),2)</f>
        <v>2</v>
      </c>
      <c r="L830" s="5" t="str">
        <f ca="1">IFERROR(__xludf.DUMMYFUNCTION("""COMPUTED_VALUE"""),"Summer")</f>
        <v>Summer</v>
      </c>
      <c r="M830" s="5" t="str">
        <f ca="1">IFERROR(__xludf.DUMMYFUNCTION("""COMPUTED_VALUE"""),"Spanish Fork")</f>
        <v>Spanish Fork</v>
      </c>
      <c r="N830" s="5" t="str">
        <f ca="1">IFERROR(__xludf.DUMMYFUNCTION("""COMPUTED_VALUE"""),"UT")</f>
        <v>UT</v>
      </c>
      <c r="O830" s="5" t="str">
        <f ca="1">IFERROR(__xludf.DUMMYFUNCTION("""COMPUTED_VALUE"""),"High")</f>
        <v>High</v>
      </c>
      <c r="P830" s="5" t="str">
        <f ca="1">IFERROR(__xludf.DUMMYFUNCTION("""COMPUTED_VALUE"""),"Parking Lot")</f>
        <v>Parking Lot</v>
      </c>
      <c r="Q830" s="5" t="str">
        <f ca="1">IFERROR(__xludf.DUMMYFUNCTION("""COMPUTED_VALUE"""),"Outside on School Property")</f>
        <v>Outside on School Property</v>
      </c>
      <c r="R830" s="5" t="str">
        <f ca="1">IFERROR(__xludf.DUMMYFUNCTION("""COMPUTED_VALUE"""),"No")</f>
        <v>No</v>
      </c>
      <c r="S830" s="5" t="str">
        <f ca="1">IFERROR(__xludf.DUMMYFUNCTION("""COMPUTED_VALUE"""),"Night")</f>
        <v>Night</v>
      </c>
      <c r="T830" s="10">
        <f ca="1">IFERROR(__xludf.DUMMYFUNCTION("""COMPUTED_VALUE"""),0.104166666666666)</f>
        <v>0.10416666666666601</v>
      </c>
      <c r="U830" s="5">
        <f ca="1">IFERROR(__xludf.DUMMYFUNCTION("""COMPUTED_VALUE"""),1)</f>
        <v>1</v>
      </c>
      <c r="V830" s="5" t="str">
        <f ca="1">IFERROR(__xludf.DUMMYFUNCTION("""COMPUTED_VALUE"""),"Shots fired during shooting in school parking lot, killed himself when confronted by police")</f>
        <v>Shots fired during shooting in school parking lot, killed himself when confronted by police</v>
      </c>
      <c r="W830"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X830" s="5" t="str">
        <f ca="1">IFERROR(__xludf.DUMMYFUNCTION("""COMPUTED_VALUE"""),"Escalation of Dispute")</f>
        <v>Escalation of Dispute</v>
      </c>
      <c r="Y830" s="5" t="str">
        <f ca="1">IFERROR(__xludf.DUMMYFUNCTION("""COMPUTED_VALUE"""),"Victims Targeted")</f>
        <v>Victims Targeted</v>
      </c>
      <c r="Z830" s="5" t="str">
        <f ca="1">IFERROR(__xludf.DUMMYFUNCTION("""COMPUTED_VALUE"""),"Yes")</f>
        <v>Yes</v>
      </c>
      <c r="AA830" s="5" t="str">
        <f ca="1">IFERROR(__xludf.DUMMYFUNCTION("""COMPUTED_VALUE"""),"Shooter was passenger in vehicle")</f>
        <v>Shooter was passenger in vehicle</v>
      </c>
      <c r="AB830" s="5" t="str">
        <f ca="1">IFERROR(__xludf.DUMMYFUNCTION("""COMPUTED_VALUE"""),"No")</f>
        <v>No</v>
      </c>
      <c r="AC830" s="5" t="str">
        <f ca="1">IFERROR(__xludf.DUMMYFUNCTION("""COMPUTED_VALUE"""),"No")</f>
        <v>No</v>
      </c>
      <c r="AD830" s="5" t="str">
        <f ca="1">IFERROR(__xludf.DUMMYFUNCTION("""COMPUTED_VALUE"""),"No")</f>
        <v>No</v>
      </c>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row>
    <row r="831" spans="1:34" ht="12.75">
      <c r="A831" s="5" t="str">
        <f ca="1">IFERROR(__xludf.DUMMYFUNCTION("""COMPUTED_VALUE"""),"20170719WIHIM")</f>
        <v>20170719WIHIM</v>
      </c>
      <c r="B831" s="8">
        <f ca="1">IFERROR(__xludf.DUMMYFUNCTION("""COMPUTED_VALUE"""),42935)</f>
        <v>42935</v>
      </c>
      <c r="C831" s="5" t="str">
        <f ca="1">IFERROR(__xludf.DUMMYFUNCTION("""COMPUTED_VALUE"""),"Hickman Academy Preparatory School")</f>
        <v>Hickman Academy Preparatory School</v>
      </c>
      <c r="D831" s="5">
        <f ca="1">IFERROR(__xludf.DUMMYFUNCTION("""COMPUTED_VALUE"""),0)</f>
        <v>0</v>
      </c>
      <c r="E831" s="5">
        <f ca="1">IFERROR(__xludf.DUMMYFUNCTION("""COMPUTED_VALUE"""),1)</f>
        <v>1</v>
      </c>
      <c r="F831" s="5">
        <f ca="1">IFERROR(__xludf.DUMMYFUNCTION("""COMPUTED_VALUE"""),1)</f>
        <v>1</v>
      </c>
      <c r="G831" s="5">
        <f ca="1">IFERROR(__xludf.DUMMYFUNCTION("""COMPUTED_VALUE"""),0)</f>
        <v>0</v>
      </c>
      <c r="H831" s="9" t="str">
        <f ca="1">IFERROR(__xludf.DUMMYFUNCTION("""COMPUTED_VALUE"""),"https://fox6now.com/2017/07/19/police-32-year-old-shot-multiple-times-inside-school-gym-in-milwaukee-during-basketball-game/")</f>
        <v>https://fox6now.com/2017/07/19/police-32-year-old-shot-multiple-times-inside-school-gym-in-milwaukee-during-basketball-game/</v>
      </c>
      <c r="I831" s="5"/>
      <c r="J831" s="5"/>
      <c r="K831" s="5">
        <f ca="1">IFERROR(__xludf.DUMMYFUNCTION("""COMPUTED_VALUE"""),2)</f>
        <v>2</v>
      </c>
      <c r="L831" s="5" t="str">
        <f ca="1">IFERROR(__xludf.DUMMYFUNCTION("""COMPUTED_VALUE"""),"Summer")</f>
        <v>Summer</v>
      </c>
      <c r="M831" s="5" t="str">
        <f ca="1">IFERROR(__xludf.DUMMYFUNCTION("""COMPUTED_VALUE"""),"Milwaukee")</f>
        <v>Milwaukee</v>
      </c>
      <c r="N831" s="5" t="str">
        <f ca="1">IFERROR(__xludf.DUMMYFUNCTION("""COMPUTED_VALUE"""),"WI")</f>
        <v>WI</v>
      </c>
      <c r="O831" s="5" t="str">
        <f ca="1">IFERROR(__xludf.DUMMYFUNCTION("""COMPUTED_VALUE"""),"High")</f>
        <v>High</v>
      </c>
      <c r="P831" s="5" t="str">
        <f ca="1">IFERROR(__xludf.DUMMYFUNCTION("""COMPUTED_VALUE"""),"Gym")</f>
        <v>Gym</v>
      </c>
      <c r="Q831" s="5" t="str">
        <f ca="1">IFERROR(__xludf.DUMMYFUNCTION("""COMPUTED_VALUE"""),"Inside School Building")</f>
        <v>Inside School Building</v>
      </c>
      <c r="R831" s="5" t="str">
        <f ca="1">IFERROR(__xludf.DUMMYFUNCTION("""COMPUTED_VALUE"""),"No")</f>
        <v>No</v>
      </c>
      <c r="S831" s="5" t="str">
        <f ca="1">IFERROR(__xludf.DUMMYFUNCTION("""COMPUTED_VALUE"""),"Sport Event")</f>
        <v>Sport Event</v>
      </c>
      <c r="T831" s="10">
        <f ca="1">IFERROR(__xludf.DUMMYFUNCTION("""COMPUTED_VALUE"""),0.875)</f>
        <v>0.875</v>
      </c>
      <c r="U831" s="5">
        <f ca="1">IFERROR(__xludf.DUMMYFUNCTION("""COMPUTED_VALUE"""),1)</f>
        <v>1</v>
      </c>
      <c r="V831" s="5" t="str">
        <f ca="1">IFERROR(__xludf.DUMMYFUNCTION("""COMPUTED_VALUE"""),"Shot multiple times inside the school gym during basketball game")</f>
        <v>Shot multiple times inside the school gym during basketball game</v>
      </c>
      <c r="W831"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X831" s="5" t="str">
        <f ca="1">IFERROR(__xludf.DUMMYFUNCTION("""COMPUTED_VALUE"""),"Escalation of Dispute")</f>
        <v>Escalation of Dispute</v>
      </c>
      <c r="Y831" s="5" t="str">
        <f ca="1">IFERROR(__xludf.DUMMYFUNCTION("""COMPUTED_VALUE"""),"Victims Targeted")</f>
        <v>Victims Targeted</v>
      </c>
      <c r="Z831" s="5"/>
      <c r="AA831" s="5"/>
      <c r="AB831" s="5" t="str">
        <f ca="1">IFERROR(__xludf.DUMMYFUNCTION("""COMPUTED_VALUE"""),"No")</f>
        <v>No</v>
      </c>
      <c r="AC831" s="5" t="str">
        <f ca="1">IFERROR(__xludf.DUMMYFUNCTION("""COMPUTED_VALUE"""),"No")</f>
        <v>No</v>
      </c>
      <c r="AD831" s="5" t="str">
        <f ca="1">IFERROR(__xludf.DUMMYFUNCTION("""COMPUTED_VALUE"""),"No")</f>
        <v>No</v>
      </c>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row>
    <row r="832" spans="1:34" ht="12.75">
      <c r="A832" s="5" t="str">
        <f ca="1">IFERROR(__xludf.DUMMYFUNCTION("""COMPUTED_VALUE"""),"20170622SCWIF")</f>
        <v>20170622SCWIF</v>
      </c>
      <c r="B832" s="8">
        <f ca="1">IFERROR(__xludf.DUMMYFUNCTION("""COMPUTED_VALUE"""),42908)</f>
        <v>42908</v>
      </c>
      <c r="C832" s="5" t="str">
        <f ca="1">IFERROR(__xludf.DUMMYFUNCTION("""COMPUTED_VALUE"""),"Wilson High School")</f>
        <v>Wilson High School</v>
      </c>
      <c r="D832" s="5">
        <f ca="1">IFERROR(__xludf.DUMMYFUNCTION("""COMPUTED_VALUE"""),0)</f>
        <v>0</v>
      </c>
      <c r="E832" s="5">
        <f ca="1">IFERROR(__xludf.DUMMYFUNCTION("""COMPUTED_VALUE"""),0)</f>
        <v>0</v>
      </c>
      <c r="F832" s="5">
        <f ca="1">IFERROR(__xludf.DUMMYFUNCTION("""COMPUTED_VALUE"""),0)</f>
        <v>0</v>
      </c>
      <c r="G832" s="5">
        <f ca="1">IFERROR(__xludf.DUMMYFUNCTION("""COMPUTED_VALUE"""),0)</f>
        <v>0</v>
      </c>
      <c r="H832" s="9" t="str">
        <f ca="1">IFERROR(__xludf.DUMMYFUNCTION("""COMPUTED_VALUE"""),"https://www.wbtw.com/news/1-arrested-hospitalized-after-accidental-shooting-at-wilson-high-school/868539676")</f>
        <v>https://www.wbtw.com/news/1-arrested-hospitalized-after-accidental-shooting-at-wilson-high-school/868539676</v>
      </c>
      <c r="I832" s="5"/>
      <c r="J832" s="5"/>
      <c r="K832" s="5">
        <f ca="1">IFERROR(__xludf.DUMMYFUNCTION("""COMPUTED_VALUE"""),2)</f>
        <v>2</v>
      </c>
      <c r="L832" s="5" t="str">
        <f ca="1">IFERROR(__xludf.DUMMYFUNCTION("""COMPUTED_VALUE"""),"Summer")</f>
        <v>Summer</v>
      </c>
      <c r="M832" s="5" t="str">
        <f ca="1">IFERROR(__xludf.DUMMYFUNCTION("""COMPUTED_VALUE"""),"Florence")</f>
        <v>Florence</v>
      </c>
      <c r="N832" s="5" t="str">
        <f ca="1">IFERROR(__xludf.DUMMYFUNCTION("""COMPUTED_VALUE"""),"SC")</f>
        <v>SC</v>
      </c>
      <c r="O832" s="5" t="str">
        <f ca="1">IFERROR(__xludf.DUMMYFUNCTION("""COMPUTED_VALUE"""),"High")</f>
        <v>High</v>
      </c>
      <c r="P832" s="5" t="str">
        <f ca="1">IFERROR(__xludf.DUMMYFUNCTION("""COMPUTED_VALUE"""),"Parking Lot")</f>
        <v>Parking Lot</v>
      </c>
      <c r="Q832" s="5" t="str">
        <f ca="1">IFERROR(__xludf.DUMMYFUNCTION("""COMPUTED_VALUE"""),"Outside on School Property")</f>
        <v>Outside on School Property</v>
      </c>
      <c r="R832" s="5" t="str">
        <f ca="1">IFERROR(__xludf.DUMMYFUNCTION("""COMPUTED_VALUE"""),"Yes")</f>
        <v>Yes</v>
      </c>
      <c r="S832" s="5" t="str">
        <f ca="1">IFERROR(__xludf.DUMMYFUNCTION("""COMPUTED_VALUE"""),"School Start")</f>
        <v>School Start</v>
      </c>
      <c r="T832" s="10">
        <f ca="1">IFERROR(__xludf.DUMMYFUNCTION("""COMPUTED_VALUE"""),0.333333333333333)</f>
        <v>0.33333333333333298</v>
      </c>
      <c r="U832" s="5">
        <f ca="1">IFERROR(__xludf.DUMMYFUNCTION("""COMPUTED_VALUE"""),1)</f>
        <v>1</v>
      </c>
      <c r="V832" s="5" t="str">
        <f ca="1">IFERROR(__xludf.DUMMYFUNCTION("""COMPUTED_VALUE"""),"Shot self in foot in car in parking lot")</f>
        <v>Shot self in foot in car in parking lot</v>
      </c>
      <c r="W832"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X832" s="5" t="str">
        <f ca="1">IFERROR(__xludf.DUMMYFUNCTION("""COMPUTED_VALUE"""),"Accidental")</f>
        <v>Accidental</v>
      </c>
      <c r="Y832" s="5" t="str">
        <f ca="1">IFERROR(__xludf.DUMMYFUNCTION("""COMPUTED_VALUE"""),"Neither")</f>
        <v>Neither</v>
      </c>
      <c r="Z832" s="5" t="str">
        <f ca="1">IFERROR(__xludf.DUMMYFUNCTION("""COMPUTED_VALUE"""),"Yes")</f>
        <v>Yes</v>
      </c>
      <c r="AA832" s="5" t="str">
        <f ca="1">IFERROR(__xludf.DUMMYFUNCTION("""COMPUTED_VALUE"""),"Multiple students in car")</f>
        <v>Multiple students in car</v>
      </c>
      <c r="AB832" s="5" t="str">
        <f ca="1">IFERROR(__xludf.DUMMYFUNCTION("""COMPUTED_VALUE"""),"No")</f>
        <v>No</v>
      </c>
      <c r="AC832" s="5" t="str">
        <f ca="1">IFERROR(__xludf.DUMMYFUNCTION("""COMPUTED_VALUE"""),"No")</f>
        <v>No</v>
      </c>
      <c r="AD832" s="5" t="str">
        <f ca="1">IFERROR(__xludf.DUMMYFUNCTION("""COMPUTED_VALUE"""),"No")</f>
        <v>No</v>
      </c>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row>
    <row r="833" spans="1:34" ht="12.75">
      <c r="A833" s="5" t="str">
        <f ca="1">IFERROR(__xludf.DUMMYFUNCTION("""COMPUTED_VALUE"""),"20170616ILWAC")</f>
        <v>20170616ILWAC</v>
      </c>
      <c r="B833" s="8">
        <f ca="1">IFERROR(__xludf.DUMMYFUNCTION("""COMPUTED_VALUE"""),42902)</f>
        <v>42902</v>
      </c>
      <c r="C833" s="5" t="str">
        <f ca="1">IFERROR(__xludf.DUMMYFUNCTION("""COMPUTED_VALUE"""),"Warren Elementary School")</f>
        <v>Warren Elementary School</v>
      </c>
      <c r="D833" s="5">
        <f ca="1">IFERROR(__xludf.DUMMYFUNCTION("""COMPUTED_VALUE"""),0)</f>
        <v>0</v>
      </c>
      <c r="E833" s="5">
        <f ca="1">IFERROR(__xludf.DUMMYFUNCTION("""COMPUTED_VALUE"""),2)</f>
        <v>2</v>
      </c>
      <c r="F833" s="5">
        <f ca="1">IFERROR(__xludf.DUMMYFUNCTION("""COMPUTED_VALUE"""),2)</f>
        <v>2</v>
      </c>
      <c r="G833" s="5">
        <f ca="1">IFERROR(__xludf.DUMMYFUNCTION("""COMPUTED_VALUE"""),0)</f>
        <v>0</v>
      </c>
      <c r="H833" s="9" t="str">
        <f ca="1">IFERROR(__xludf.DUMMYFUNCTION("""COMPUTED_VALUE"""),"https://chicago.suntimes.com/crime/2-boys-man-charged-with-warren-elementary-school-shooting/")</f>
        <v>https://chicago.suntimes.com/crime/2-boys-man-charged-with-warren-elementary-school-shooting/</v>
      </c>
      <c r="I833" s="5">
        <f ca="1">IFERROR(__xludf.DUMMYFUNCTION("""COMPUTED_VALUE"""),11)</f>
        <v>11</v>
      </c>
      <c r="J833" s="5" t="str">
        <f ca="1">IFERROR(__xludf.DUMMYFUNCTION("""COMPUTED_VALUE"""),"National")</f>
        <v>National</v>
      </c>
      <c r="K833" s="5">
        <f ca="1">IFERROR(__xludf.DUMMYFUNCTION("""COMPUTED_VALUE"""),2)</f>
        <v>2</v>
      </c>
      <c r="L833" s="5" t="str">
        <f ca="1">IFERROR(__xludf.DUMMYFUNCTION("""COMPUTED_VALUE"""),"Summer")</f>
        <v>Summer</v>
      </c>
      <c r="M833" s="5" t="str">
        <f ca="1">IFERROR(__xludf.DUMMYFUNCTION("""COMPUTED_VALUE"""),"Chicago")</f>
        <v>Chicago</v>
      </c>
      <c r="N833" s="5" t="str">
        <f ca="1">IFERROR(__xludf.DUMMYFUNCTION("""COMPUTED_VALUE"""),"IL")</f>
        <v>IL</v>
      </c>
      <c r="O833" s="5" t="str">
        <f ca="1">IFERROR(__xludf.DUMMYFUNCTION("""COMPUTED_VALUE"""),"Elementary")</f>
        <v>Elementary</v>
      </c>
      <c r="P833" s="5" t="str">
        <f ca="1">IFERROR(__xludf.DUMMYFUNCTION("""COMPUTED_VALUE"""),"Field (General)")</f>
        <v>Field (General)</v>
      </c>
      <c r="Q833" s="5" t="str">
        <f ca="1">IFERROR(__xludf.DUMMYFUNCTION("""COMPUTED_VALUE"""),"Outside on School Property")</f>
        <v>Outside on School Property</v>
      </c>
      <c r="R833" s="5" t="str">
        <f ca="1">IFERROR(__xludf.DUMMYFUNCTION("""COMPUTED_VALUE"""),"Yes")</f>
        <v>Yes</v>
      </c>
      <c r="S833" s="5" t="str">
        <f ca="1">IFERROR(__xludf.DUMMYFUNCTION("""COMPUTED_VALUE"""),"After School")</f>
        <v>After School</v>
      </c>
      <c r="T833" s="10">
        <f ca="1">IFERROR(__xludf.DUMMYFUNCTION("""COMPUTED_VALUE"""),0.577083333333333)</f>
        <v>0.57708333333333295</v>
      </c>
      <c r="U833" s="5">
        <f ca="1">IFERROR(__xludf.DUMMYFUNCTION("""COMPUTED_VALUE"""),1)</f>
        <v>1</v>
      </c>
      <c r="V833" s="5" t="str">
        <f ca="1">IFERROR(__xludf.DUMMYFUNCTION("""COMPUTED_VALUE"""),"Suspected gang attack on 2 former students; Victims were not the targets")</f>
        <v>Suspected gang attack on 2 former students; Victims were not the targets</v>
      </c>
      <c r="W833"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X833" s="5" t="str">
        <f ca="1">IFERROR(__xludf.DUMMYFUNCTION("""COMPUTED_VALUE"""),"Drive-by Shooting")</f>
        <v>Drive-by Shooting</v>
      </c>
      <c r="Y833" s="5" t="str">
        <f ca="1">IFERROR(__xludf.DUMMYFUNCTION("""COMPUTED_VALUE"""),"Both")</f>
        <v>Both</v>
      </c>
      <c r="Z833" s="5"/>
      <c r="AA833" s="5"/>
      <c r="AB833" s="5" t="str">
        <f ca="1">IFERROR(__xludf.DUMMYFUNCTION("""COMPUTED_VALUE"""),"No")</f>
        <v>No</v>
      </c>
      <c r="AC833" s="5" t="str">
        <f ca="1">IFERROR(__xludf.DUMMYFUNCTION("""COMPUTED_VALUE"""),"No")</f>
        <v>No</v>
      </c>
      <c r="AD833" s="5" t="str">
        <f ca="1">IFERROR(__xludf.DUMMYFUNCTION("""COMPUTED_VALUE"""),"No")</f>
        <v>No</v>
      </c>
      <c r="AE833" s="5" t="str">
        <f ca="1">IFERROR(__xludf.DUMMYFUNCTION("""COMPUTED_VALUE"""),"No")</f>
        <v>No</v>
      </c>
      <c r="AF833" s="5" t="str">
        <f ca="1">IFERROR(__xludf.DUMMYFUNCTION("""COMPUTED_VALUE"""),"No")</f>
        <v>No</v>
      </c>
      <c r="AG833" s="5" t="str">
        <f ca="1">IFERROR(__xludf.DUMMYFUNCTION("""COMPUTED_VALUE"""),"Yes")</f>
        <v>Yes</v>
      </c>
      <c r="AH833" s="5" t="str">
        <f ca="1">IFERROR(__xludf.DUMMYFUNCTION("""COMPUTED_VALUE"""),"No")</f>
        <v>No</v>
      </c>
    </row>
    <row r="834" spans="1:34" ht="12.75">
      <c r="A834" s="5" t="str">
        <f ca="1">IFERROR(__xludf.DUMMYFUNCTION("""COMPUTED_VALUE"""),"20170526OKMCT")</f>
        <v>20170526OKMCT</v>
      </c>
      <c r="B834" s="8">
        <f ca="1">IFERROR(__xludf.DUMMYFUNCTION("""COMPUTED_VALUE"""),42881)</f>
        <v>42881</v>
      </c>
      <c r="C834" s="5" t="str">
        <f ca="1">IFERROR(__xludf.DUMMYFUNCTION("""COMPUTED_VALUE"""),"McLain High School")</f>
        <v>McLain High School</v>
      </c>
      <c r="D834" s="5">
        <f ca="1">IFERROR(__xludf.DUMMYFUNCTION("""COMPUTED_VALUE"""),0)</f>
        <v>0</v>
      </c>
      <c r="E834" s="5">
        <f ca="1">IFERROR(__xludf.DUMMYFUNCTION("""COMPUTED_VALUE"""),1)</f>
        <v>1</v>
      </c>
      <c r="F834" s="5">
        <f ca="1">IFERROR(__xludf.DUMMYFUNCTION("""COMPUTED_VALUE"""),1)</f>
        <v>1</v>
      </c>
      <c r="G834" s="5">
        <f ca="1">IFERROR(__xludf.DUMMYFUNCTION("""COMPUTED_VALUE"""),0)</f>
        <v>0</v>
      </c>
      <c r="H834" s="9" t="str">
        <f ca="1">IFERROR(__xludf.DUMMYFUNCTION("""COMPUTED_VALUE"""),"https://www.fox23.com/news/tulsa-police-respond-to-reports-of-shots-fired-at-mcclain-high-school/436311154")</f>
        <v>https://www.fox23.com/news/tulsa-police-respond-to-reports-of-shots-fired-at-mcclain-high-school/436311154</v>
      </c>
      <c r="I834" s="5"/>
      <c r="J834" s="5"/>
      <c r="K834" s="5">
        <f ca="1">IFERROR(__xludf.DUMMYFUNCTION("""COMPUTED_VALUE"""),3)</f>
        <v>3</v>
      </c>
      <c r="L834" s="5" t="str">
        <f ca="1">IFERROR(__xludf.DUMMYFUNCTION("""COMPUTED_VALUE"""),"Spring")</f>
        <v>Spring</v>
      </c>
      <c r="M834" s="5" t="str">
        <f ca="1">IFERROR(__xludf.DUMMYFUNCTION("""COMPUTED_VALUE"""),"Tulsa")</f>
        <v>Tulsa</v>
      </c>
      <c r="N834" s="5" t="str">
        <f ca="1">IFERROR(__xludf.DUMMYFUNCTION("""COMPUTED_VALUE"""),"OK")</f>
        <v>OK</v>
      </c>
      <c r="O834" s="5" t="str">
        <f ca="1">IFERROR(__xludf.DUMMYFUNCTION("""COMPUTED_VALUE"""),"High")</f>
        <v>High</v>
      </c>
      <c r="P834" s="5" t="str">
        <f ca="1">IFERROR(__xludf.DUMMYFUNCTION("""COMPUTED_VALUE"""),"Football Field/Track")</f>
        <v>Football Field/Track</v>
      </c>
      <c r="Q834" s="5" t="str">
        <f ca="1">IFERROR(__xludf.DUMMYFUNCTION("""COMPUTED_VALUE"""),"Outside on School Property")</f>
        <v>Outside on School Property</v>
      </c>
      <c r="R834" s="5" t="str">
        <f ca="1">IFERROR(__xludf.DUMMYFUNCTION("""COMPUTED_VALUE"""),"No")</f>
        <v>No</v>
      </c>
      <c r="S834" s="5" t="str">
        <f ca="1">IFERROR(__xludf.DUMMYFUNCTION("""COMPUTED_VALUE"""),"Sport Event")</f>
        <v>Sport Event</v>
      </c>
      <c r="T834" s="5"/>
      <c r="U834" s="5">
        <f ca="1">IFERROR(__xludf.DUMMYFUNCTION("""COMPUTED_VALUE"""),1)</f>
        <v>1</v>
      </c>
      <c r="V834" s="5" t="str">
        <f ca="1">IFERROR(__xludf.DUMMYFUNCTION("""COMPUTED_VALUE"""),"Student shot another student during a football game inside the stadium")</f>
        <v>Student shot another student during a football game inside the stadium</v>
      </c>
      <c r="W834"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X834" s="5" t="str">
        <f ca="1">IFERROR(__xludf.DUMMYFUNCTION("""COMPUTED_VALUE"""),"Escalation of Dispute")</f>
        <v>Escalation of Dispute</v>
      </c>
      <c r="Y834" s="5" t="str">
        <f ca="1">IFERROR(__xludf.DUMMYFUNCTION("""COMPUTED_VALUE"""),"Victims Targeted")</f>
        <v>Victims Targeted</v>
      </c>
      <c r="Z834" s="5" t="str">
        <f ca="1">IFERROR(__xludf.DUMMYFUNCTION("""COMPUTED_VALUE"""),"No")</f>
        <v>No</v>
      </c>
      <c r="AA834" s="5"/>
      <c r="AB834" s="5" t="str">
        <f ca="1">IFERROR(__xludf.DUMMYFUNCTION("""COMPUTED_VALUE"""),"No")</f>
        <v>No</v>
      </c>
      <c r="AC834" s="5" t="str">
        <f ca="1">IFERROR(__xludf.DUMMYFUNCTION("""COMPUTED_VALUE"""),"No")</f>
        <v>No</v>
      </c>
      <c r="AD834" s="5" t="str">
        <f ca="1">IFERROR(__xludf.DUMMYFUNCTION("""COMPUTED_VALUE"""),"No")</f>
        <v>No</v>
      </c>
      <c r="AE834" s="5"/>
      <c r="AF834" s="5" t="str">
        <f ca="1">IFERROR(__xludf.DUMMYFUNCTION("""COMPUTED_VALUE"""),"No")</f>
        <v>No</v>
      </c>
      <c r="AG834" s="5"/>
      <c r="AH834" s="5" t="str">
        <f ca="1">IFERROR(__xludf.DUMMYFUNCTION("""COMPUTED_VALUE"""),"No")</f>
        <v>No</v>
      </c>
    </row>
    <row r="835" spans="1:34" ht="12.75">
      <c r="A835" s="5" t="str">
        <f ca="1">IFERROR(__xludf.DUMMYFUNCTION("""COMPUTED_VALUE"""),"20170524NEMCO")</f>
        <v>20170524NEMCO</v>
      </c>
      <c r="B835" s="8">
        <f ca="1">IFERROR(__xludf.DUMMYFUNCTION("""COMPUTED_VALUE"""),42879)</f>
        <v>42879</v>
      </c>
      <c r="C835" s="5" t="str">
        <f ca="1">IFERROR(__xludf.DUMMYFUNCTION("""COMPUTED_VALUE"""),"McMillan Middle School")</f>
        <v>McMillan Middle School</v>
      </c>
      <c r="D835" s="5">
        <f ca="1">IFERROR(__xludf.DUMMYFUNCTION("""COMPUTED_VALUE"""),1)</f>
        <v>1</v>
      </c>
      <c r="E835" s="5">
        <f ca="1">IFERROR(__xludf.DUMMYFUNCTION("""COMPUTED_VALUE"""),0)</f>
        <v>0</v>
      </c>
      <c r="F835" s="5">
        <f ca="1">IFERROR(__xludf.DUMMYFUNCTION("""COMPUTED_VALUE"""),1)</f>
        <v>1</v>
      </c>
      <c r="G835" s="5">
        <f ca="1">IFERROR(__xludf.DUMMYFUNCTION("""COMPUTED_VALUE"""),0)</f>
        <v>0</v>
      </c>
      <c r="H835"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I835" s="5"/>
      <c r="J835" s="5"/>
      <c r="K835" s="5">
        <f ca="1">IFERROR(__xludf.DUMMYFUNCTION("""COMPUTED_VALUE"""),3)</f>
        <v>3</v>
      </c>
      <c r="L835" s="5" t="str">
        <f ca="1">IFERROR(__xludf.DUMMYFUNCTION("""COMPUTED_VALUE"""),"Spring")</f>
        <v>Spring</v>
      </c>
      <c r="M835" s="5" t="str">
        <f ca="1">IFERROR(__xludf.DUMMYFUNCTION("""COMPUTED_VALUE"""),"Omaha")</f>
        <v>Omaha</v>
      </c>
      <c r="N835" s="5" t="str">
        <f ca="1">IFERROR(__xludf.DUMMYFUNCTION("""COMPUTED_VALUE"""),"NE")</f>
        <v>NE</v>
      </c>
      <c r="O835" s="5" t="str">
        <f ca="1">IFERROR(__xludf.DUMMYFUNCTION("""COMPUTED_VALUE"""),"Middle")</f>
        <v>Middle</v>
      </c>
      <c r="P835" s="5" t="str">
        <f ca="1">IFERROR(__xludf.DUMMYFUNCTION("""COMPUTED_VALUE"""),"Parking Lot")</f>
        <v>Parking Lot</v>
      </c>
      <c r="Q835" s="5" t="str">
        <f ca="1">IFERROR(__xludf.DUMMYFUNCTION("""COMPUTED_VALUE"""),"Outside on School Property")</f>
        <v>Outside on School Property</v>
      </c>
      <c r="R835" s="5" t="str">
        <f ca="1">IFERROR(__xludf.DUMMYFUNCTION("""COMPUTED_VALUE"""),"No")</f>
        <v>No</v>
      </c>
      <c r="S835" s="5" t="str">
        <f ca="1">IFERROR(__xludf.DUMMYFUNCTION("""COMPUTED_VALUE"""),"Evening")</f>
        <v>Evening</v>
      </c>
      <c r="T835" s="10">
        <f ca="1">IFERROR(__xludf.DUMMYFUNCTION("""COMPUTED_VALUE"""),0.833333333333333)</f>
        <v>0.83333333333333304</v>
      </c>
      <c r="U835" s="5">
        <f ca="1">IFERROR(__xludf.DUMMYFUNCTION("""COMPUTED_VALUE"""),1)</f>
        <v>1</v>
      </c>
      <c r="V835" s="5" t="str">
        <f ca="1">IFERROR(__xludf.DUMMYFUNCTION("""COMPUTED_VALUE"""),"Shot in chest in school parking lot during robbery")</f>
        <v>Shot in chest in school parking lot during robbery</v>
      </c>
      <c r="W835" s="5" t="str">
        <f ca="1">IFERROR(__xludf.DUMMYFUNCTION("""COMPUTED_VALUE"""),"21YOM shot in the parking lot during a robbery by a 51 YOM")</f>
        <v>21YOM shot in the parking lot during a robbery by a 51 YOM</v>
      </c>
      <c r="X835" s="5" t="str">
        <f ca="1">IFERROR(__xludf.DUMMYFUNCTION("""COMPUTED_VALUE"""),"Illegal Activity")</f>
        <v>Illegal Activity</v>
      </c>
      <c r="Y835" s="5" t="str">
        <f ca="1">IFERROR(__xludf.DUMMYFUNCTION("""COMPUTED_VALUE"""),"Victims Targeted")</f>
        <v>Victims Targeted</v>
      </c>
      <c r="Z835" s="5"/>
      <c r="AA835" s="5"/>
      <c r="AB835" s="5" t="str">
        <f ca="1">IFERROR(__xludf.DUMMYFUNCTION("""COMPUTED_VALUE"""),"No")</f>
        <v>No</v>
      </c>
      <c r="AC835" s="5" t="str">
        <f ca="1">IFERROR(__xludf.DUMMYFUNCTION("""COMPUTED_VALUE"""),"No")</f>
        <v>No</v>
      </c>
      <c r="AD835" s="5" t="str">
        <f ca="1">IFERROR(__xludf.DUMMYFUNCTION("""COMPUTED_VALUE"""),"No")</f>
        <v>No</v>
      </c>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row>
    <row r="836" spans="1:34" ht="12.75">
      <c r="A836" s="5" t="str">
        <f ca="1">IFERROR(__xludf.DUMMYFUNCTION("""COMPUTED_VALUE"""),"20170524ALGRG")</f>
        <v>20170524ALGRG</v>
      </c>
      <c r="B836" s="8">
        <f ca="1">IFERROR(__xludf.DUMMYFUNCTION("""COMPUTED_VALUE"""),42879)</f>
        <v>42879</v>
      </c>
      <c r="C836" s="5" t="str">
        <f ca="1">IFERROR(__xludf.DUMMYFUNCTION("""COMPUTED_VALUE"""),"Greensboro High School")</f>
        <v>Greensboro High School</v>
      </c>
      <c r="D836" s="5">
        <f ca="1">IFERROR(__xludf.DUMMYFUNCTION("""COMPUTED_VALUE"""),0)</f>
        <v>0</v>
      </c>
      <c r="E836" s="5">
        <f ca="1">IFERROR(__xludf.DUMMYFUNCTION("""COMPUTED_VALUE"""),0)</f>
        <v>0</v>
      </c>
      <c r="F836" s="5">
        <f ca="1">IFERROR(__xludf.DUMMYFUNCTION("""COMPUTED_VALUE"""),0)</f>
        <v>0</v>
      </c>
      <c r="G836" s="5">
        <f ca="1">IFERROR(__xludf.DUMMYFUNCTION("""COMPUTED_VALUE"""),0)</f>
        <v>0</v>
      </c>
      <c r="H836" s="9" t="str">
        <f ca="1">IFERROR(__xludf.DUMMYFUNCTION("""COMPUTED_VALUE"""),"http://abc3340.com/news/local/greensboro-hs-student-in-police-custody-after-shooting-at-another-student")</f>
        <v>http://abc3340.com/news/local/greensboro-hs-student-in-police-custody-after-shooting-at-another-student</v>
      </c>
      <c r="I836" s="5">
        <f ca="1">IFERROR(__xludf.DUMMYFUNCTION("""COMPUTED_VALUE"""),5)</f>
        <v>5</v>
      </c>
      <c r="J836" s="5" t="str">
        <f ca="1">IFERROR(__xludf.DUMMYFUNCTION("""COMPUTED_VALUE"""),"Local")</f>
        <v>Local</v>
      </c>
      <c r="K836" s="5">
        <f ca="1">IFERROR(__xludf.DUMMYFUNCTION("""COMPUTED_VALUE"""),2)</f>
        <v>2</v>
      </c>
      <c r="L836" s="5" t="str">
        <f ca="1">IFERROR(__xludf.DUMMYFUNCTION("""COMPUTED_VALUE"""),"Spring")</f>
        <v>Spring</v>
      </c>
      <c r="M836" s="5" t="str">
        <f ca="1">IFERROR(__xludf.DUMMYFUNCTION("""COMPUTED_VALUE"""),"Greensboro")</f>
        <v>Greensboro</v>
      </c>
      <c r="N836" s="5" t="str">
        <f ca="1">IFERROR(__xludf.DUMMYFUNCTION("""COMPUTED_VALUE"""),"AL")</f>
        <v>AL</v>
      </c>
      <c r="O836" s="5" t="str">
        <f ca="1">IFERROR(__xludf.DUMMYFUNCTION("""COMPUTED_VALUE"""),"High")</f>
        <v>High</v>
      </c>
      <c r="P836" s="5" t="str">
        <f ca="1">IFERROR(__xludf.DUMMYFUNCTION("""COMPUTED_VALUE"""),"Front of School")</f>
        <v>Front of School</v>
      </c>
      <c r="Q836" s="5" t="str">
        <f ca="1">IFERROR(__xludf.DUMMYFUNCTION("""COMPUTED_VALUE"""),"Outside on School Property")</f>
        <v>Outside on School Property</v>
      </c>
      <c r="R836" s="5" t="str">
        <f ca="1">IFERROR(__xludf.DUMMYFUNCTION("""COMPUTED_VALUE"""),"Yes")</f>
        <v>Yes</v>
      </c>
      <c r="S836" s="5" t="str">
        <f ca="1">IFERROR(__xludf.DUMMYFUNCTION("""COMPUTED_VALUE"""),"Morning Classes")</f>
        <v>Morning Classes</v>
      </c>
      <c r="T836" s="10">
        <f ca="1">IFERROR(__xludf.DUMMYFUNCTION("""COMPUTED_VALUE"""),0.479166666666666)</f>
        <v>0.47916666666666602</v>
      </c>
      <c r="U836" s="5">
        <f ca="1">IFERROR(__xludf.DUMMYFUNCTION("""COMPUTED_VALUE"""),1)</f>
        <v>1</v>
      </c>
      <c r="V836" s="5" t="str">
        <f ca="1">IFERROR(__xludf.DUMMYFUNCTION("""COMPUTED_VALUE"""),"Shot fired during argument outside of school")</f>
        <v>Shot fired during argument outside of school</v>
      </c>
      <c r="W836"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X836" s="5" t="str">
        <f ca="1">IFERROR(__xludf.DUMMYFUNCTION("""COMPUTED_VALUE"""),"Escalation of Dispute")</f>
        <v>Escalation of Dispute</v>
      </c>
      <c r="Y836" s="5" t="str">
        <f ca="1">IFERROR(__xludf.DUMMYFUNCTION("""COMPUTED_VALUE"""),"Victims Targeted")</f>
        <v>Victims Targeted</v>
      </c>
      <c r="Z836" s="5" t="str">
        <f ca="1">IFERROR(__xludf.DUMMYFUNCTION("""COMPUTED_VALUE"""),"No")</f>
        <v>No</v>
      </c>
      <c r="AA836" s="5"/>
      <c r="AB836" s="5" t="str">
        <f ca="1">IFERROR(__xludf.DUMMYFUNCTION("""COMPUTED_VALUE"""),"No")</f>
        <v>No</v>
      </c>
      <c r="AC836" s="5" t="str">
        <f ca="1">IFERROR(__xludf.DUMMYFUNCTION("""COMPUTED_VALUE"""),"No")</f>
        <v>No</v>
      </c>
      <c r="AD836" s="5" t="str">
        <f ca="1">IFERROR(__xludf.DUMMYFUNCTION("""COMPUTED_VALUE"""),"No")</f>
        <v>No</v>
      </c>
      <c r="AE836" s="5"/>
      <c r="AF836" s="5"/>
      <c r="AG836" s="5" t="str">
        <f ca="1">IFERROR(__xludf.DUMMYFUNCTION("""COMPUTED_VALUE"""),"No")</f>
        <v>No</v>
      </c>
      <c r="AH836" s="5" t="str">
        <f ca="1">IFERROR(__xludf.DUMMYFUNCTION("""COMPUTED_VALUE"""),"No")</f>
        <v>No</v>
      </c>
    </row>
    <row r="837" spans="1:34" ht="12.75">
      <c r="A837" s="5" t="str">
        <f ca="1">IFERROR(__xludf.DUMMYFUNCTION("""COMPUTED_VALUE"""),"20170523TXKEK")</f>
        <v>20170523TXKEK</v>
      </c>
      <c r="B837" s="8">
        <f ca="1">IFERROR(__xludf.DUMMYFUNCTION("""COMPUTED_VALUE"""),42878)</f>
        <v>42878</v>
      </c>
      <c r="C837" s="5" t="str">
        <f ca="1">IFERROR(__xludf.DUMMYFUNCTION("""COMPUTED_VALUE"""),"Kirbyville High School")</f>
        <v>Kirbyville High School</v>
      </c>
      <c r="D837" s="5">
        <f ca="1">IFERROR(__xludf.DUMMYFUNCTION("""COMPUTED_VALUE"""),0)</f>
        <v>0</v>
      </c>
      <c r="E837" s="5">
        <f ca="1">IFERROR(__xludf.DUMMYFUNCTION("""COMPUTED_VALUE"""),0)</f>
        <v>0</v>
      </c>
      <c r="F837" s="5">
        <f ca="1">IFERROR(__xludf.DUMMYFUNCTION("""COMPUTED_VALUE"""),0)</f>
        <v>0</v>
      </c>
      <c r="G837" s="5">
        <f ca="1">IFERROR(__xludf.DUMMYFUNCTION("""COMPUTED_VALUE"""),1)</f>
        <v>1</v>
      </c>
      <c r="H837" s="9" t="str">
        <f ca="1">IFERROR(__xludf.DUMMYFUNCTION("""COMPUTED_VALUE"""),"http://www.ktre.com/story/35506610/kirbyville-high-school-principal-resigns-then-shoots-kills-self-in-parking-lot")</f>
        <v>http://www.ktre.com/story/35506610/kirbyville-high-school-principal-resigns-then-shoots-kills-self-in-parking-lot</v>
      </c>
      <c r="I837" s="5"/>
      <c r="J837" s="5"/>
      <c r="K837" s="5">
        <f ca="1">IFERROR(__xludf.DUMMYFUNCTION("""COMPUTED_VALUE"""),4)</f>
        <v>4</v>
      </c>
      <c r="L837" s="5" t="str">
        <f ca="1">IFERROR(__xludf.DUMMYFUNCTION("""COMPUTED_VALUE"""),"Spring")</f>
        <v>Spring</v>
      </c>
      <c r="M837" s="5" t="str">
        <f ca="1">IFERROR(__xludf.DUMMYFUNCTION("""COMPUTED_VALUE"""),"Kirbyville")</f>
        <v>Kirbyville</v>
      </c>
      <c r="N837" s="5" t="str">
        <f ca="1">IFERROR(__xludf.DUMMYFUNCTION("""COMPUTED_VALUE"""),"TX")</f>
        <v>TX</v>
      </c>
      <c r="O837" s="5" t="str">
        <f ca="1">IFERROR(__xludf.DUMMYFUNCTION("""COMPUTED_VALUE"""),"High")</f>
        <v>High</v>
      </c>
      <c r="P837" s="5" t="str">
        <f ca="1">IFERROR(__xludf.DUMMYFUNCTION("""COMPUTED_VALUE"""),"Parking Lot")</f>
        <v>Parking Lot</v>
      </c>
      <c r="Q837" s="5" t="str">
        <f ca="1">IFERROR(__xludf.DUMMYFUNCTION("""COMPUTED_VALUE"""),"Outside on School Property")</f>
        <v>Outside on School Property</v>
      </c>
      <c r="R837" s="5" t="str">
        <f ca="1">IFERROR(__xludf.DUMMYFUNCTION("""COMPUTED_VALUE"""),"No")</f>
        <v>No</v>
      </c>
      <c r="S837" s="5" t="str">
        <f ca="1">IFERROR(__xludf.DUMMYFUNCTION("""COMPUTED_VALUE"""),"After School")</f>
        <v>After School</v>
      </c>
      <c r="T837" s="10">
        <f ca="1">IFERROR(__xludf.DUMMYFUNCTION("""COMPUTED_VALUE"""),0.666666666666666)</f>
        <v>0.66666666666666596</v>
      </c>
      <c r="U837" s="5">
        <f ca="1">IFERROR(__xludf.DUMMYFUNCTION("""COMPUTED_VALUE"""),1)</f>
        <v>1</v>
      </c>
      <c r="V837" s="5" t="str">
        <f ca="1">IFERROR(__xludf.DUMMYFUNCTION("""COMPUTED_VALUE"""),"Principal resigned and shot self in parking lot")</f>
        <v>Principal resigned and shot self in parking lot</v>
      </c>
      <c r="W837" s="5" t="str">
        <f ca="1">IFERROR(__xludf.DUMMYFUNCTION("""COMPUTED_VALUE"""),"Principal resigned, walked out to parking lot, and shot self in vehicle.")</f>
        <v>Principal resigned, walked out to parking lot, and shot self in vehicle.</v>
      </c>
      <c r="X837" s="5" t="str">
        <f ca="1">IFERROR(__xludf.DUMMYFUNCTION("""COMPUTED_VALUE"""),"Suicide/Attempted")</f>
        <v>Suicide/Attempted</v>
      </c>
      <c r="Y837" s="5" t="str">
        <f ca="1">IFERROR(__xludf.DUMMYFUNCTION("""COMPUTED_VALUE"""),"Victims Targeted")</f>
        <v>Victims Targeted</v>
      </c>
      <c r="Z837" s="5" t="str">
        <f ca="1">IFERROR(__xludf.DUMMYFUNCTION("""COMPUTED_VALUE"""),"No")</f>
        <v>No</v>
      </c>
      <c r="AA837" s="5"/>
      <c r="AB837" s="5" t="str">
        <f ca="1">IFERROR(__xludf.DUMMYFUNCTION("""COMPUTED_VALUE"""),"No")</f>
        <v>No</v>
      </c>
      <c r="AC837" s="5" t="str">
        <f ca="1">IFERROR(__xludf.DUMMYFUNCTION("""COMPUTED_VALUE"""),"No")</f>
        <v>No</v>
      </c>
      <c r="AD837" s="5" t="str">
        <f ca="1">IFERROR(__xludf.DUMMYFUNCTION("""COMPUTED_VALUE"""),"No")</f>
        <v>No</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row>
    <row r="838" spans="1:34" ht="12.75">
      <c r="A838" s="5" t="str">
        <f ca="1">IFERROR(__xludf.DUMMYFUNCTION("""COMPUTED_VALUE"""),"20170515LAMOL")</f>
        <v>20170515LAMOL</v>
      </c>
      <c r="B838" s="8">
        <f ca="1">IFERROR(__xludf.DUMMYFUNCTION("""COMPUTED_VALUE"""),42870)</f>
        <v>42870</v>
      </c>
      <c r="C838" s="5" t="str">
        <f ca="1">IFERROR(__xludf.DUMMYFUNCTION("""COMPUTED_VALUE"""),"Moss Bluff Elementary School")</f>
        <v>Moss Bluff Elementary School</v>
      </c>
      <c r="D838" s="5">
        <f ca="1">IFERROR(__xludf.DUMMYFUNCTION("""COMPUTED_VALUE"""),0)</f>
        <v>0</v>
      </c>
      <c r="E838" s="5">
        <f ca="1">IFERROR(__xludf.DUMMYFUNCTION("""COMPUTED_VALUE"""),1)</f>
        <v>1</v>
      </c>
      <c r="F838" s="5">
        <f ca="1">IFERROR(__xludf.DUMMYFUNCTION("""COMPUTED_VALUE"""),1)</f>
        <v>1</v>
      </c>
      <c r="G838" s="5">
        <f ca="1">IFERROR(__xludf.DUMMYFUNCTION("""COMPUTED_VALUE"""),0)</f>
        <v>0</v>
      </c>
      <c r="H838" s="9" t="str">
        <f ca="1">IFERROR(__xludf.DUMMYFUNCTION("""COMPUTED_VALUE"""),"http://www.americanpress.com/news/local/year-old-shot-at-moss-bluff-school/article_bf746d62-ee60-11e7-ad5c-7b6da485d0a4.html")</f>
        <v>http://www.americanpress.com/news/local/year-old-shot-at-moss-bluff-school/article_bf746d62-ee60-11e7-ad5c-7b6da485d0a4.html</v>
      </c>
      <c r="I838" s="5">
        <f ca="1">IFERROR(__xludf.DUMMYFUNCTION("""COMPUTED_VALUE"""),5)</f>
        <v>5</v>
      </c>
      <c r="J838" s="5" t="str">
        <f ca="1">IFERROR(__xludf.DUMMYFUNCTION("""COMPUTED_VALUE"""),"Local")</f>
        <v>Local</v>
      </c>
      <c r="K838" s="5">
        <f ca="1">IFERROR(__xludf.DUMMYFUNCTION("""COMPUTED_VALUE"""),2)</f>
        <v>2</v>
      </c>
      <c r="L838" s="5" t="str">
        <f ca="1">IFERROR(__xludf.DUMMYFUNCTION("""COMPUTED_VALUE"""),"Spring")</f>
        <v>Spring</v>
      </c>
      <c r="M838" s="5" t="str">
        <f ca="1">IFERROR(__xludf.DUMMYFUNCTION("""COMPUTED_VALUE"""),"Lake Charles")</f>
        <v>Lake Charles</v>
      </c>
      <c r="N838" s="5" t="str">
        <f ca="1">IFERROR(__xludf.DUMMYFUNCTION("""COMPUTED_VALUE"""),"LA")</f>
        <v>LA</v>
      </c>
      <c r="O838" s="5" t="str">
        <f ca="1">IFERROR(__xludf.DUMMYFUNCTION("""COMPUTED_VALUE"""),"Elementary")</f>
        <v>Elementary</v>
      </c>
      <c r="P838" s="5" t="str">
        <f ca="1">IFERROR(__xludf.DUMMYFUNCTION("""COMPUTED_VALUE"""),"Inside School Building")</f>
        <v>Inside School Building</v>
      </c>
      <c r="Q838" s="5" t="str">
        <f ca="1">IFERROR(__xludf.DUMMYFUNCTION("""COMPUTED_VALUE"""),"Inside School Building")</f>
        <v>Inside School Building</v>
      </c>
      <c r="R838" s="5" t="str">
        <f ca="1">IFERROR(__xludf.DUMMYFUNCTION("""COMPUTED_VALUE"""),"Yes")</f>
        <v>Yes</v>
      </c>
      <c r="S838" s="5" t="str">
        <f ca="1">IFERROR(__xludf.DUMMYFUNCTION("""COMPUTED_VALUE"""),"Morning Classes")</f>
        <v>Morning Classes</v>
      </c>
      <c r="T838" s="10">
        <f ca="1">IFERROR(__xludf.DUMMYFUNCTION("""COMPUTED_VALUE"""),0.326388888888888)</f>
        <v>0.32638888888888801</v>
      </c>
      <c r="U838" s="5">
        <f ca="1">IFERROR(__xludf.DUMMYFUNCTION("""COMPUTED_VALUE"""),1)</f>
        <v>1</v>
      </c>
      <c r="V838" s="5" t="str">
        <f ca="1">IFERROR(__xludf.DUMMYFUNCTION("""COMPUTED_VALUE"""),"Accidental discharge when gun fell out of backpack")</f>
        <v>Accidental discharge when gun fell out of backpack</v>
      </c>
      <c r="W838"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X838" s="5" t="str">
        <f ca="1">IFERROR(__xludf.DUMMYFUNCTION("""COMPUTED_VALUE"""),"Accidental")</f>
        <v>Accidental</v>
      </c>
      <c r="Y838" s="5" t="str">
        <f ca="1">IFERROR(__xludf.DUMMYFUNCTION("""COMPUTED_VALUE"""),"Neither")</f>
        <v>Neither</v>
      </c>
      <c r="Z838" s="5" t="str">
        <f ca="1">IFERROR(__xludf.DUMMYFUNCTION("""COMPUTED_VALUE"""),"No")</f>
        <v>No</v>
      </c>
      <c r="AA838" s="5"/>
      <c r="AB838" s="5" t="str">
        <f ca="1">IFERROR(__xludf.DUMMYFUNCTION("""COMPUTED_VALUE"""),"No")</f>
        <v>No</v>
      </c>
      <c r="AC838" s="5" t="str">
        <f ca="1">IFERROR(__xludf.DUMMYFUNCTION("""COMPUTED_VALUE"""),"No")</f>
        <v>No</v>
      </c>
      <c r="AD838" s="5" t="str">
        <f ca="1">IFERROR(__xludf.DUMMYFUNCTION("""COMPUTED_VALUE"""),"No")</f>
        <v>No</v>
      </c>
      <c r="AE838" s="5" t="str">
        <f ca="1">IFERROR(__xludf.DUMMYFUNCTION("""COMPUTED_VALUE"""),"No")</f>
        <v>No</v>
      </c>
      <c r="AF838" s="5" t="str">
        <f ca="1">IFERROR(__xludf.DUMMYFUNCTION("""COMPUTED_VALUE"""),"No")</f>
        <v>No</v>
      </c>
      <c r="AG838" s="5" t="str">
        <f ca="1">IFERROR(__xludf.DUMMYFUNCTION("""COMPUTED_VALUE"""),"No")</f>
        <v>No</v>
      </c>
      <c r="AH838" s="5" t="str">
        <f ca="1">IFERROR(__xludf.DUMMYFUNCTION("""COMPUTED_VALUE"""),"No")</f>
        <v>No</v>
      </c>
    </row>
    <row r="839" spans="1:34" ht="12.75">
      <c r="A839" s="5" t="str">
        <f ca="1">IFERROR(__xludf.DUMMYFUNCTION("""COMPUTED_VALUE"""),"20170415ORMEP")</f>
        <v>20170415ORMEP</v>
      </c>
      <c r="B839" s="8">
        <f ca="1">IFERROR(__xludf.DUMMYFUNCTION("""COMPUTED_VALUE"""),42840)</f>
        <v>42840</v>
      </c>
      <c r="C839" s="5" t="str">
        <f ca="1">IFERROR(__xludf.DUMMYFUNCTION("""COMPUTED_VALUE"""),"Menlo Park Elementary School")</f>
        <v>Menlo Park Elementary School</v>
      </c>
      <c r="D839" s="5">
        <f ca="1">IFERROR(__xludf.DUMMYFUNCTION("""COMPUTED_VALUE"""),1)</f>
        <v>1</v>
      </c>
      <c r="E839" s="5">
        <f ca="1">IFERROR(__xludf.DUMMYFUNCTION("""COMPUTED_VALUE"""),0)</f>
        <v>0</v>
      </c>
      <c r="F839" s="5">
        <f ca="1">IFERROR(__xludf.DUMMYFUNCTION("""COMPUTED_VALUE"""),1)</f>
        <v>1</v>
      </c>
      <c r="G839" s="5">
        <f ca="1">IFERROR(__xludf.DUMMYFUNCTION("""COMPUTED_VALUE"""),0)</f>
        <v>0</v>
      </c>
      <c r="H839"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I839" s="5">
        <f ca="1">IFERROR(__xludf.DUMMYFUNCTION("""COMPUTED_VALUE"""),1)</f>
        <v>1</v>
      </c>
      <c r="J839" s="5" t="str">
        <f ca="1">IFERROR(__xludf.DUMMYFUNCTION("""COMPUTED_VALUE"""),"Local")</f>
        <v>Local</v>
      </c>
      <c r="K839" s="5">
        <f ca="1">IFERROR(__xludf.DUMMYFUNCTION("""COMPUTED_VALUE"""),3)</f>
        <v>3</v>
      </c>
      <c r="L839" s="5" t="str">
        <f ca="1">IFERROR(__xludf.DUMMYFUNCTION("""COMPUTED_VALUE"""),"Spring")</f>
        <v>Spring</v>
      </c>
      <c r="M839" s="5" t="str">
        <f ca="1">IFERROR(__xludf.DUMMYFUNCTION("""COMPUTED_VALUE"""),"Portland")</f>
        <v>Portland</v>
      </c>
      <c r="N839" s="5" t="str">
        <f ca="1">IFERROR(__xludf.DUMMYFUNCTION("""COMPUTED_VALUE"""),"OR")</f>
        <v>OR</v>
      </c>
      <c r="O839" s="5" t="str">
        <f ca="1">IFERROR(__xludf.DUMMYFUNCTION("""COMPUTED_VALUE"""),"Elementary")</f>
        <v>Elementary</v>
      </c>
      <c r="P839" s="5" t="str">
        <f ca="1">IFERROR(__xludf.DUMMYFUNCTION("""COMPUTED_VALUE"""),"Field (General)")</f>
        <v>Field (General)</v>
      </c>
      <c r="Q839" s="5" t="str">
        <f ca="1">IFERROR(__xludf.DUMMYFUNCTION("""COMPUTED_VALUE"""),"Outside on School Property")</f>
        <v>Outside on School Property</v>
      </c>
      <c r="R839" s="5" t="str">
        <f ca="1">IFERROR(__xludf.DUMMYFUNCTION("""COMPUTED_VALUE"""),"No")</f>
        <v>No</v>
      </c>
      <c r="S839" s="5" t="str">
        <f ca="1">IFERROR(__xludf.DUMMYFUNCTION("""COMPUTED_VALUE"""),"Not a School Day")</f>
        <v>Not a School Day</v>
      </c>
      <c r="T839" s="10">
        <f ca="1">IFERROR(__xludf.DUMMYFUNCTION("""COMPUTED_VALUE"""),0.529166666666666)</f>
        <v>0.52916666666666601</v>
      </c>
      <c r="U839" s="5">
        <f ca="1">IFERROR(__xludf.DUMMYFUNCTION("""COMPUTED_VALUE"""),1)</f>
        <v>1</v>
      </c>
      <c r="V839" s="5" t="str">
        <f ca="1">IFERROR(__xludf.DUMMYFUNCTION("""COMPUTED_VALUE"""),"Man shot and killed on the recreation field of the school")</f>
        <v>Man shot and killed on the recreation field of the school</v>
      </c>
      <c r="W839"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X839" s="5"/>
      <c r="Y839" s="5" t="str">
        <f ca="1">IFERROR(__xludf.DUMMYFUNCTION("""COMPUTED_VALUE"""),"Victims Targeted")</f>
        <v>Victims Targeted</v>
      </c>
      <c r="Z839" s="5" t="str">
        <f ca="1">IFERROR(__xludf.DUMMYFUNCTION("""COMPUTED_VALUE"""),"Yes")</f>
        <v>Yes</v>
      </c>
      <c r="AA839" s="5" t="str">
        <f ca="1">IFERROR(__xludf.DUMMYFUNCTION("""COMPUTED_VALUE"""),"3 suspects fled")</f>
        <v>3 suspects fled</v>
      </c>
      <c r="AB839" s="5" t="str">
        <f ca="1">IFERROR(__xludf.DUMMYFUNCTION("""COMPUTED_VALUE"""),"No")</f>
        <v>No</v>
      </c>
      <c r="AC839" s="5" t="str">
        <f ca="1">IFERROR(__xludf.DUMMYFUNCTION("""COMPUTED_VALUE"""),"No")</f>
        <v>No</v>
      </c>
      <c r="AD839" s="5" t="str">
        <f ca="1">IFERROR(__xludf.DUMMYFUNCTION("""COMPUTED_VALUE"""),"No")</f>
        <v>No</v>
      </c>
      <c r="AE839" s="5" t="str">
        <f ca="1">IFERROR(__xludf.DUMMYFUNCTION("""COMPUTED_VALUE"""),"No")</f>
        <v>No</v>
      </c>
      <c r="AF839" s="5" t="str">
        <f ca="1">IFERROR(__xludf.DUMMYFUNCTION("""COMPUTED_VALUE"""),"No")</f>
        <v>No</v>
      </c>
      <c r="AG839" s="5"/>
      <c r="AH839" s="5" t="str">
        <f ca="1">IFERROR(__xludf.DUMMYFUNCTION("""COMPUTED_VALUE"""),"No")</f>
        <v>No</v>
      </c>
    </row>
    <row r="840" spans="1:34" ht="12.75">
      <c r="A840" s="5" t="str">
        <f ca="1">IFERROR(__xludf.DUMMYFUNCTION("""COMPUTED_VALUE"""),"20170415OKBOT")</f>
        <v>20170415OKBOT</v>
      </c>
      <c r="B840" s="8">
        <f ca="1">IFERROR(__xludf.DUMMYFUNCTION("""COMPUTED_VALUE"""),42840)</f>
        <v>42840</v>
      </c>
      <c r="C840" s="5" t="str">
        <f ca="1">IFERROR(__xludf.DUMMYFUNCTION("""COMPUTED_VALUE"""),"Booker T. Washington High School")</f>
        <v>Booker T. Washington High School</v>
      </c>
      <c r="D840" s="5">
        <f ca="1">IFERROR(__xludf.DUMMYFUNCTION("""COMPUTED_VALUE"""),0)</f>
        <v>0</v>
      </c>
      <c r="E840" s="5">
        <f ca="1">IFERROR(__xludf.DUMMYFUNCTION("""COMPUTED_VALUE"""),1)</f>
        <v>1</v>
      </c>
      <c r="F840" s="5">
        <f ca="1">IFERROR(__xludf.DUMMYFUNCTION("""COMPUTED_VALUE"""),1)</f>
        <v>1</v>
      </c>
      <c r="G840" s="5">
        <f ca="1">IFERROR(__xludf.DUMMYFUNCTION("""COMPUTED_VALUE"""),0)</f>
        <v>0</v>
      </c>
      <c r="H840"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I840" s="5"/>
      <c r="J840" s="5"/>
      <c r="K840" s="5">
        <f ca="1">IFERROR(__xludf.DUMMYFUNCTION("""COMPUTED_VALUE"""),2)</f>
        <v>2</v>
      </c>
      <c r="L840" s="5" t="str">
        <f ca="1">IFERROR(__xludf.DUMMYFUNCTION("""COMPUTED_VALUE"""),"Spring")</f>
        <v>Spring</v>
      </c>
      <c r="M840" s="5" t="str">
        <f ca="1">IFERROR(__xludf.DUMMYFUNCTION("""COMPUTED_VALUE"""),"Tulsa")</f>
        <v>Tulsa</v>
      </c>
      <c r="N840" s="5" t="str">
        <f ca="1">IFERROR(__xludf.DUMMYFUNCTION("""COMPUTED_VALUE"""),"OK")</f>
        <v>OK</v>
      </c>
      <c r="O840" s="5" t="str">
        <f ca="1">IFERROR(__xludf.DUMMYFUNCTION("""COMPUTED_VALUE"""),"High")</f>
        <v>High</v>
      </c>
      <c r="P840" s="5" t="str">
        <f ca="1">IFERROR(__xludf.DUMMYFUNCTION("""COMPUTED_VALUE"""),"Parking Lot")</f>
        <v>Parking Lot</v>
      </c>
      <c r="Q840" s="5" t="str">
        <f ca="1">IFERROR(__xludf.DUMMYFUNCTION("""COMPUTED_VALUE"""),"Outside on School Property")</f>
        <v>Outside on School Property</v>
      </c>
      <c r="R840" s="5" t="str">
        <f ca="1">IFERROR(__xludf.DUMMYFUNCTION("""COMPUTED_VALUE"""),"No")</f>
        <v>No</v>
      </c>
      <c r="S840" s="5" t="str">
        <f ca="1">IFERROR(__xludf.DUMMYFUNCTION("""COMPUTED_VALUE"""),"Not a School Day")</f>
        <v>Not a School Day</v>
      </c>
      <c r="T840" s="10">
        <f ca="1">IFERROR(__xludf.DUMMYFUNCTION("""COMPUTED_VALUE"""),0.878472222222222)</f>
        <v>0.87847222222222199</v>
      </c>
      <c r="U840" s="5">
        <f ca="1">IFERROR(__xludf.DUMMYFUNCTION("""COMPUTED_VALUE"""),1)</f>
        <v>1</v>
      </c>
      <c r="V840" s="5" t="str">
        <f ca="1">IFERROR(__xludf.DUMMYFUNCTION("""COMPUTED_VALUE"""),"Man shot in parking lot following basketball game for unknown reason")</f>
        <v>Man shot in parking lot following basketball game for unknown reason</v>
      </c>
      <c r="W840" s="5" t="str">
        <f ca="1">IFERROR(__xludf.DUMMYFUNCTION("""COMPUTED_VALUE"""),"52YOM shot and killed in parking lot of school following alumni basketball game. No shooter or motive known.")</f>
        <v>52YOM shot and killed in parking lot of school following alumni basketball game. No shooter or motive known.</v>
      </c>
      <c r="X840" s="5" t="str">
        <f ca="1">IFERROR(__xludf.DUMMYFUNCTION("""COMPUTED_VALUE"""),"Escalation of Dispute")</f>
        <v>Escalation of Dispute</v>
      </c>
      <c r="Y840" s="5"/>
      <c r="Z840" s="5" t="str">
        <f ca="1">IFERROR(__xludf.DUMMYFUNCTION("""COMPUTED_VALUE"""),"Unknown")</f>
        <v>Unknown</v>
      </c>
      <c r="AA840" s="5"/>
      <c r="AB840" s="5" t="str">
        <f ca="1">IFERROR(__xludf.DUMMYFUNCTION("""COMPUTED_VALUE"""),"No")</f>
        <v>No</v>
      </c>
      <c r="AC840" s="5" t="str">
        <f ca="1">IFERROR(__xludf.DUMMYFUNCTION("""COMPUTED_VALUE"""),"No")</f>
        <v>No</v>
      </c>
      <c r="AD840" s="5" t="str">
        <f ca="1">IFERROR(__xludf.DUMMYFUNCTION("""COMPUTED_VALUE"""),"No")</f>
        <v>No</v>
      </c>
      <c r="AE840" s="5" t="str">
        <f ca="1">IFERROR(__xludf.DUMMYFUNCTION("""COMPUTED_VALUE"""),"No")</f>
        <v>No</v>
      </c>
      <c r="AF840" s="5" t="str">
        <f ca="1">IFERROR(__xludf.DUMMYFUNCTION("""COMPUTED_VALUE"""),"No")</f>
        <v>No</v>
      </c>
      <c r="AG840" s="5"/>
      <c r="AH840" s="5" t="str">
        <f ca="1">IFERROR(__xludf.DUMMYFUNCTION("""COMPUTED_VALUE"""),"No")</f>
        <v>No</v>
      </c>
    </row>
    <row r="841" spans="1:34" ht="12.75">
      <c r="A841" s="5" t="str">
        <f ca="1">IFERROR(__xludf.DUMMYFUNCTION("""COMPUTED_VALUE"""),"20170410CANOS")</f>
        <v>20170410CANOS</v>
      </c>
      <c r="B841" s="8">
        <f ca="1">IFERROR(__xludf.DUMMYFUNCTION("""COMPUTED_VALUE"""),42835)</f>
        <v>42835</v>
      </c>
      <c r="C841" s="5" t="str">
        <f ca="1">IFERROR(__xludf.DUMMYFUNCTION("""COMPUTED_VALUE"""),"North Park Elementary School")</f>
        <v>North Park Elementary School</v>
      </c>
      <c r="D841" s="5">
        <f ca="1">IFERROR(__xludf.DUMMYFUNCTION("""COMPUTED_VALUE"""),1)</f>
        <v>1</v>
      </c>
      <c r="E841" s="5">
        <f ca="1">IFERROR(__xludf.DUMMYFUNCTION("""COMPUTED_VALUE"""),2)</f>
        <v>2</v>
      </c>
      <c r="F841" s="5">
        <f ca="1">IFERROR(__xludf.DUMMYFUNCTION("""COMPUTED_VALUE"""),3)</f>
        <v>3</v>
      </c>
      <c r="G841" s="5">
        <f ca="1">IFERROR(__xludf.DUMMYFUNCTION("""COMPUTED_VALUE"""),1)</f>
        <v>1</v>
      </c>
      <c r="H841" s="9" t="str">
        <f ca="1">IFERROR(__xludf.DUMMYFUNCTION("""COMPUTED_VALUE"""),"https://www.cnn.com/2017/04/10/us/san-bernardino-school-shooting/index.html")</f>
        <v>https://www.cnn.com/2017/04/10/us/san-bernardino-school-shooting/index.html</v>
      </c>
      <c r="I841" s="5">
        <f ca="1">IFERROR(__xludf.DUMMYFUNCTION("""COMPUTED_VALUE"""),11)</f>
        <v>11</v>
      </c>
      <c r="J841" s="5" t="str">
        <f ca="1">IFERROR(__xludf.DUMMYFUNCTION("""COMPUTED_VALUE"""),"National")</f>
        <v>National</v>
      </c>
      <c r="K841" s="5">
        <f ca="1">IFERROR(__xludf.DUMMYFUNCTION("""COMPUTED_VALUE"""),2)</f>
        <v>2</v>
      </c>
      <c r="L841" s="5" t="str">
        <f ca="1">IFERROR(__xludf.DUMMYFUNCTION("""COMPUTED_VALUE"""),"Spring")</f>
        <v>Spring</v>
      </c>
      <c r="M841" s="5" t="str">
        <f ca="1">IFERROR(__xludf.DUMMYFUNCTION("""COMPUTED_VALUE"""),"San Bernardino")</f>
        <v>San Bernardino</v>
      </c>
      <c r="N841" s="5" t="str">
        <f ca="1">IFERROR(__xludf.DUMMYFUNCTION("""COMPUTED_VALUE"""),"CA")</f>
        <v>CA</v>
      </c>
      <c r="O841" s="5" t="str">
        <f ca="1">IFERROR(__xludf.DUMMYFUNCTION("""COMPUTED_VALUE"""),"Elementary")</f>
        <v>Elementary</v>
      </c>
      <c r="P841" s="5" t="str">
        <f ca="1">IFERROR(__xludf.DUMMYFUNCTION("""COMPUTED_VALUE"""),"Classroom")</f>
        <v>Classroom</v>
      </c>
      <c r="Q841" s="5" t="str">
        <f ca="1">IFERROR(__xludf.DUMMYFUNCTION("""COMPUTED_VALUE"""),"Inside School Building")</f>
        <v>Inside School Building</v>
      </c>
      <c r="R841" s="5" t="str">
        <f ca="1">IFERROR(__xludf.DUMMYFUNCTION("""COMPUTED_VALUE"""),"Yes")</f>
        <v>Yes</v>
      </c>
      <c r="S841" s="5" t="str">
        <f ca="1">IFERROR(__xludf.DUMMYFUNCTION("""COMPUTED_VALUE"""),"Morning Classes")</f>
        <v>Morning Classes</v>
      </c>
      <c r="T841" s="10">
        <f ca="1">IFERROR(__xludf.DUMMYFUNCTION("""COMPUTED_VALUE"""),0.4375)</f>
        <v>0.4375</v>
      </c>
      <c r="U841" s="5">
        <f ca="1">IFERROR(__xludf.DUMMYFUNCTION("""COMPUTED_VALUE"""),1)</f>
        <v>1</v>
      </c>
      <c r="V841" s="5" t="str">
        <f ca="1">IFERROR(__xludf.DUMMYFUNCTION("""COMPUTED_VALUE"""),"Killed teacher (estranged wife) and then shot self in school classroom, two student struck")</f>
        <v>Killed teacher (estranged wife) and then shot self in school classroom, two student struck</v>
      </c>
      <c r="W841"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X841" s="5" t="str">
        <f ca="1">IFERROR(__xludf.DUMMYFUNCTION("""COMPUTED_VALUE"""),"Murder/Suicide")</f>
        <v>Murder/Suicide</v>
      </c>
      <c r="Y841" s="5" t="str">
        <f ca="1">IFERROR(__xludf.DUMMYFUNCTION("""COMPUTED_VALUE"""),"Both")</f>
        <v>Both</v>
      </c>
      <c r="Z841" s="5" t="str">
        <f ca="1">IFERROR(__xludf.DUMMYFUNCTION("""COMPUTED_VALUE"""),"No")</f>
        <v>No</v>
      </c>
      <c r="AA841" s="5"/>
      <c r="AB841" s="5" t="str">
        <f ca="1">IFERROR(__xludf.DUMMYFUNCTION("""COMPUTED_VALUE"""),"No")</f>
        <v>No</v>
      </c>
      <c r="AC841" s="5" t="str">
        <f ca="1">IFERROR(__xludf.DUMMYFUNCTION("""COMPUTED_VALUE"""),"No")</f>
        <v>No</v>
      </c>
      <c r="AD841" s="5" t="str">
        <f ca="1">IFERROR(__xludf.DUMMYFUNCTION("""COMPUTED_VALUE"""),"No")</f>
        <v>No</v>
      </c>
      <c r="AE841" s="5" t="str">
        <f ca="1">IFERROR(__xludf.DUMMYFUNCTION("""COMPUTED_VALUE"""),"No")</f>
        <v>No</v>
      </c>
      <c r="AF841" s="5" t="str">
        <f ca="1">IFERROR(__xludf.DUMMYFUNCTION("""COMPUTED_VALUE"""),"Yes")</f>
        <v>Yes</v>
      </c>
      <c r="AG841" s="5" t="str">
        <f ca="1">IFERROR(__xludf.DUMMYFUNCTION("""COMPUTED_VALUE"""),"No")</f>
        <v>No</v>
      </c>
      <c r="AH841" s="5" t="str">
        <f ca="1">IFERROR(__xludf.DUMMYFUNCTION("""COMPUTED_VALUE"""),"No")</f>
        <v>No</v>
      </c>
    </row>
    <row r="842" spans="1:34" ht="12.75">
      <c r="A842" s="5" t="str">
        <f ca="1">IFERROR(__xludf.DUMMYFUNCTION("""COMPUTED_VALUE"""),"20170328PALIP")</f>
        <v>20170328PALIP</v>
      </c>
      <c r="B842" s="8">
        <f ca="1">IFERROR(__xludf.DUMMYFUNCTION("""COMPUTED_VALUE"""),42822)</f>
        <v>42822</v>
      </c>
      <c r="C842" s="5" t="str">
        <f ca="1">IFERROR(__xludf.DUMMYFUNCTION("""COMPUTED_VALUE"""),"Linton Middle School")</f>
        <v>Linton Middle School</v>
      </c>
      <c r="D842" s="5">
        <f ca="1">IFERROR(__xludf.DUMMYFUNCTION("""COMPUTED_VALUE"""),0)</f>
        <v>0</v>
      </c>
      <c r="E842" s="5">
        <f ca="1">IFERROR(__xludf.DUMMYFUNCTION("""COMPUTED_VALUE"""),1)</f>
        <v>1</v>
      </c>
      <c r="F842" s="5">
        <f ca="1">IFERROR(__xludf.DUMMYFUNCTION("""COMPUTED_VALUE"""),1)</f>
        <v>1</v>
      </c>
      <c r="G842" s="5">
        <f ca="1">IFERROR(__xludf.DUMMYFUNCTION("""COMPUTED_VALUE"""),1)</f>
        <v>1</v>
      </c>
      <c r="H842"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I842" s="5"/>
      <c r="J842" s="5"/>
      <c r="K842" s="5">
        <f ca="1">IFERROR(__xludf.DUMMYFUNCTION("""COMPUTED_VALUE"""),3)</f>
        <v>3</v>
      </c>
      <c r="L842" s="5" t="str">
        <f ca="1">IFERROR(__xludf.DUMMYFUNCTION("""COMPUTED_VALUE"""),"Spring")</f>
        <v>Spring</v>
      </c>
      <c r="M842" s="5" t="str">
        <f ca="1">IFERROR(__xludf.DUMMYFUNCTION("""COMPUTED_VALUE"""),"Penn Hills")</f>
        <v>Penn Hills</v>
      </c>
      <c r="N842" s="5" t="str">
        <f ca="1">IFERROR(__xludf.DUMMYFUNCTION("""COMPUTED_VALUE"""),"PA")</f>
        <v>PA</v>
      </c>
      <c r="O842" s="5" t="str">
        <f ca="1">IFERROR(__xludf.DUMMYFUNCTION("""COMPUTED_VALUE"""),"Middle")</f>
        <v>Middle</v>
      </c>
      <c r="P842" s="5" t="str">
        <f ca="1">IFERROR(__xludf.DUMMYFUNCTION("""COMPUTED_VALUE"""),"Parking Lot")</f>
        <v>Parking Lot</v>
      </c>
      <c r="Q842" s="5" t="str">
        <f ca="1">IFERROR(__xludf.DUMMYFUNCTION("""COMPUTED_VALUE"""),"Outside on School Property")</f>
        <v>Outside on School Property</v>
      </c>
      <c r="R842" s="5" t="str">
        <f ca="1">IFERROR(__xludf.DUMMYFUNCTION("""COMPUTED_VALUE"""),"No")</f>
        <v>No</v>
      </c>
      <c r="S842" s="5" t="str">
        <f ca="1">IFERROR(__xludf.DUMMYFUNCTION("""COMPUTED_VALUE"""),"After School")</f>
        <v>After School</v>
      </c>
      <c r="T842" s="10">
        <f ca="1">IFERROR(__xludf.DUMMYFUNCTION("""COMPUTED_VALUE"""),0.6875)</f>
        <v>0.6875</v>
      </c>
      <c r="U842" s="5">
        <f ca="1">IFERROR(__xludf.DUMMYFUNCTION("""COMPUTED_VALUE"""),1)</f>
        <v>1</v>
      </c>
      <c r="V842" s="5" t="str">
        <f ca="1">IFERROR(__xludf.DUMMYFUNCTION("""COMPUTED_VALUE"""),"Attempted robbery gone wrong")</f>
        <v>Attempted robbery gone wrong</v>
      </c>
      <c r="W842"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X842" s="5" t="str">
        <f ca="1">IFERROR(__xludf.DUMMYFUNCTION("""COMPUTED_VALUE"""),"Self-defense")</f>
        <v>Self-defense</v>
      </c>
      <c r="Y842" s="5" t="str">
        <f ca="1">IFERROR(__xludf.DUMMYFUNCTION("""COMPUTED_VALUE"""),"Victims Targeted")</f>
        <v>Victims Targeted</v>
      </c>
      <c r="Z842" s="5" t="str">
        <f ca="1">IFERROR(__xludf.DUMMYFUNCTION("""COMPUTED_VALUE"""),"Yes")</f>
        <v>Yes</v>
      </c>
      <c r="AA842" s="5" t="str">
        <f ca="1">IFERROR(__xludf.DUMMYFUNCTION("""COMPUTED_VALUE"""),"three other men with shooter - were with him to play basketball - victims of attempted robbery.")</f>
        <v>three other men with shooter - were with him to play basketball - victims of attempted robbery.</v>
      </c>
      <c r="AB842" s="5" t="str">
        <f ca="1">IFERROR(__xludf.DUMMYFUNCTION("""COMPUTED_VALUE"""),"No")</f>
        <v>No</v>
      </c>
      <c r="AC842" s="5" t="str">
        <f ca="1">IFERROR(__xludf.DUMMYFUNCTION("""COMPUTED_VALUE"""),"No")</f>
        <v>No</v>
      </c>
      <c r="AD842" s="5" t="str">
        <f ca="1">IFERROR(__xludf.DUMMYFUNCTION("""COMPUTED_VALUE"""),"No")</f>
        <v>No</v>
      </c>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row>
    <row r="843" spans="1:34" ht="12.75">
      <c r="A843" s="5" t="str">
        <f ca="1">IFERROR(__xludf.DUMMYFUNCTION("""COMPUTED_VALUE"""),"20170321CAKIK")</f>
        <v>20170321CAKIK</v>
      </c>
      <c r="B843" s="8">
        <f ca="1">IFERROR(__xludf.DUMMYFUNCTION("""COMPUTED_VALUE"""),42815)</f>
        <v>42815</v>
      </c>
      <c r="C843" s="5" t="str">
        <f ca="1">IFERROR(__xludf.DUMMYFUNCTION("""COMPUTED_VALUE"""),"King City High School")</f>
        <v>King City High School</v>
      </c>
      <c r="D843" s="5">
        <f ca="1">IFERROR(__xludf.DUMMYFUNCTION("""COMPUTED_VALUE"""),0)</f>
        <v>0</v>
      </c>
      <c r="E843" s="5">
        <f ca="1">IFERROR(__xludf.DUMMYFUNCTION("""COMPUTED_VALUE"""),1)</f>
        <v>1</v>
      </c>
      <c r="F843" s="5">
        <f ca="1">IFERROR(__xludf.DUMMYFUNCTION("""COMPUTED_VALUE"""),1)</f>
        <v>1</v>
      </c>
      <c r="G843" s="5">
        <f ca="1">IFERROR(__xludf.DUMMYFUNCTION("""COMPUTED_VALUE"""),0)</f>
        <v>0</v>
      </c>
      <c r="H843" s="9" t="str">
        <f ca="1">IFERROR(__xludf.DUMMYFUNCTION("""COMPUTED_VALUE"""),"https://www.thecalifornian.com/story/news/my-safety/2017/03/21/authorities-hunt-king-city-school-shooting-suspect/99464446/")</f>
        <v>https://www.thecalifornian.com/story/news/my-safety/2017/03/21/authorities-hunt-king-city-school-shooting-suspect/99464446/</v>
      </c>
      <c r="I843" s="5">
        <f ca="1">IFERROR(__xludf.DUMMYFUNCTION("""COMPUTED_VALUE"""),11)</f>
        <v>11</v>
      </c>
      <c r="J843" s="5" t="str">
        <f ca="1">IFERROR(__xludf.DUMMYFUNCTION("""COMPUTED_VALUE"""),"Regional")</f>
        <v>Regional</v>
      </c>
      <c r="K843" s="5">
        <f ca="1">IFERROR(__xludf.DUMMYFUNCTION("""COMPUTED_VALUE"""),3)</f>
        <v>3</v>
      </c>
      <c r="L843" s="5" t="str">
        <f ca="1">IFERROR(__xludf.DUMMYFUNCTION("""COMPUTED_VALUE"""),"Spring")</f>
        <v>Spring</v>
      </c>
      <c r="M843" s="5" t="str">
        <f ca="1">IFERROR(__xludf.DUMMYFUNCTION("""COMPUTED_VALUE"""),"King City")</f>
        <v>King City</v>
      </c>
      <c r="N843" s="5" t="str">
        <f ca="1">IFERROR(__xludf.DUMMYFUNCTION("""COMPUTED_VALUE"""),"CA")</f>
        <v>CA</v>
      </c>
      <c r="O843" s="5" t="str">
        <f ca="1">IFERROR(__xludf.DUMMYFUNCTION("""COMPUTED_VALUE"""),"High")</f>
        <v>High</v>
      </c>
      <c r="P843" s="5" t="str">
        <f ca="1">IFERROR(__xludf.DUMMYFUNCTION("""COMPUTED_VALUE"""),"Parking Lot")</f>
        <v>Parking Lot</v>
      </c>
      <c r="Q843" s="5" t="str">
        <f ca="1">IFERROR(__xludf.DUMMYFUNCTION("""COMPUTED_VALUE"""),"Outside on School Property")</f>
        <v>Outside on School Property</v>
      </c>
      <c r="R843" s="5" t="str">
        <f ca="1">IFERROR(__xludf.DUMMYFUNCTION("""COMPUTED_VALUE"""),"Yes")</f>
        <v>Yes</v>
      </c>
      <c r="S843" s="5" t="str">
        <f ca="1">IFERROR(__xludf.DUMMYFUNCTION("""COMPUTED_VALUE"""),"Morning Classes")</f>
        <v>Morning Classes</v>
      </c>
      <c r="T843" s="10">
        <f ca="1">IFERROR(__xludf.DUMMYFUNCTION("""COMPUTED_VALUE"""),0.458333333333333)</f>
        <v>0.45833333333333298</v>
      </c>
      <c r="U843" s="5">
        <f ca="1">IFERROR(__xludf.DUMMYFUNCTION("""COMPUTED_VALUE"""),1)</f>
        <v>1</v>
      </c>
      <c r="V843" s="5" t="str">
        <f ca="1">IFERROR(__xludf.DUMMYFUNCTION("""COMPUTED_VALUE"""),"Drive-by outside of school")</f>
        <v>Drive-by outside of school</v>
      </c>
      <c r="W843"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X843" s="5" t="str">
        <f ca="1">IFERROR(__xludf.DUMMYFUNCTION("""COMPUTED_VALUE"""),"Drive-by Shooting")</f>
        <v>Drive-by Shooting</v>
      </c>
      <c r="Y843" s="5" t="str">
        <f ca="1">IFERROR(__xludf.DUMMYFUNCTION("""COMPUTED_VALUE"""),"Victims Targeted")</f>
        <v>Victims Targeted</v>
      </c>
      <c r="Z843" s="5" t="str">
        <f ca="1">IFERROR(__xludf.DUMMYFUNCTION("""COMPUTED_VALUE"""),"Yes")</f>
        <v>Yes</v>
      </c>
      <c r="AA843" s="5" t="str">
        <f ca="1">IFERROR(__xludf.DUMMYFUNCTION("""COMPUTED_VALUE"""),"two fled together")</f>
        <v>two fled together</v>
      </c>
      <c r="AB843" s="5" t="str">
        <f ca="1">IFERROR(__xludf.DUMMYFUNCTION("""COMPUTED_VALUE"""),"No")</f>
        <v>No</v>
      </c>
      <c r="AC843" s="5" t="str">
        <f ca="1">IFERROR(__xludf.DUMMYFUNCTION("""COMPUTED_VALUE"""),"No")</f>
        <v>No</v>
      </c>
      <c r="AD843" s="5" t="str">
        <f ca="1">IFERROR(__xludf.DUMMYFUNCTION("""COMPUTED_VALUE"""),"No")</f>
        <v>No</v>
      </c>
      <c r="AE843" s="5" t="str">
        <f ca="1">IFERROR(__xludf.DUMMYFUNCTION("""COMPUTED_VALUE"""),"No")</f>
        <v>No</v>
      </c>
      <c r="AF843" s="5" t="str">
        <f ca="1">IFERROR(__xludf.DUMMYFUNCTION("""COMPUTED_VALUE"""),"No")</f>
        <v>No</v>
      </c>
      <c r="AG843" s="5" t="str">
        <f ca="1">IFERROR(__xludf.DUMMYFUNCTION("""COMPUTED_VALUE"""),"Yes")</f>
        <v>Yes</v>
      </c>
      <c r="AH843" s="5" t="str">
        <f ca="1">IFERROR(__xludf.DUMMYFUNCTION("""COMPUTED_VALUE"""),"No")</f>
        <v>No</v>
      </c>
    </row>
    <row r="844" spans="1:34" ht="12.75">
      <c r="A844" s="5" t="str">
        <f ca="1">IFERROR(__xludf.DUMMYFUNCTION("""COMPUTED_VALUE"""),"20170316ALROM")</f>
        <v>20170316ALROM</v>
      </c>
      <c r="B844" s="8">
        <f ca="1">IFERROR(__xludf.DUMMYFUNCTION("""COMPUTED_VALUE"""),42810)</f>
        <v>42810</v>
      </c>
      <c r="C844" s="5" t="str">
        <f ca="1">IFERROR(__xludf.DUMMYFUNCTION("""COMPUTED_VALUE"""),"Robert E. Lee High School")</f>
        <v>Robert E. Lee High School</v>
      </c>
      <c r="D844" s="5">
        <f ca="1">IFERROR(__xludf.DUMMYFUNCTION("""COMPUTED_VALUE"""),0)</f>
        <v>0</v>
      </c>
      <c r="E844" s="5">
        <f ca="1">IFERROR(__xludf.DUMMYFUNCTION("""COMPUTED_VALUE"""),1)</f>
        <v>1</v>
      </c>
      <c r="F844" s="5">
        <f ca="1">IFERROR(__xludf.DUMMYFUNCTION("""COMPUTED_VALUE"""),1)</f>
        <v>1</v>
      </c>
      <c r="G844" s="5">
        <f ca="1">IFERROR(__xludf.DUMMYFUNCTION("""COMPUTED_VALUE"""),0)</f>
        <v>0</v>
      </c>
      <c r="H844"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I844" s="5"/>
      <c r="J844" s="5" t="str">
        <f ca="1">IFERROR(__xludf.DUMMYFUNCTION("""COMPUTED_VALUE"""),"Local")</f>
        <v>Local</v>
      </c>
      <c r="K844" s="5">
        <f ca="1">IFERROR(__xludf.DUMMYFUNCTION("""COMPUTED_VALUE"""),4)</f>
        <v>4</v>
      </c>
      <c r="L844" s="5" t="str">
        <f ca="1">IFERROR(__xludf.DUMMYFUNCTION("""COMPUTED_VALUE"""),"Spring")</f>
        <v>Spring</v>
      </c>
      <c r="M844" s="5" t="str">
        <f ca="1">IFERROR(__xludf.DUMMYFUNCTION("""COMPUTED_VALUE"""),"Montgomery")</f>
        <v>Montgomery</v>
      </c>
      <c r="N844" s="5" t="str">
        <f ca="1">IFERROR(__xludf.DUMMYFUNCTION("""COMPUTED_VALUE"""),"AL")</f>
        <v>AL</v>
      </c>
      <c r="O844" s="5" t="str">
        <f ca="1">IFERROR(__xludf.DUMMYFUNCTION("""COMPUTED_VALUE"""),"High")</f>
        <v>High</v>
      </c>
      <c r="P844" s="5" t="str">
        <f ca="1">IFERROR(__xludf.DUMMYFUNCTION("""COMPUTED_VALUE"""),"Parking Lot")</f>
        <v>Parking Lot</v>
      </c>
      <c r="Q844" s="5" t="str">
        <f ca="1">IFERROR(__xludf.DUMMYFUNCTION("""COMPUTED_VALUE"""),"Outside on School Property")</f>
        <v>Outside on School Property</v>
      </c>
      <c r="R844" s="5" t="str">
        <f ca="1">IFERROR(__xludf.DUMMYFUNCTION("""COMPUTED_VALUE"""),"Yes")</f>
        <v>Yes</v>
      </c>
      <c r="S844" s="5" t="str">
        <f ca="1">IFERROR(__xludf.DUMMYFUNCTION("""COMPUTED_VALUE"""),"Dismissal")</f>
        <v>Dismissal</v>
      </c>
      <c r="T844" s="10">
        <f ca="1">IFERROR(__xludf.DUMMYFUNCTION("""COMPUTED_VALUE"""),0.625)</f>
        <v>0.625</v>
      </c>
      <c r="U844" s="5">
        <f ca="1">IFERROR(__xludf.DUMMYFUNCTION("""COMPUTED_VALUE"""),1)</f>
        <v>1</v>
      </c>
      <c r="V844" s="5" t="str">
        <f ca="1">IFERROR(__xludf.DUMMYFUNCTION("""COMPUTED_VALUE"""),"Student fired shot at targeted student leaving school, missed and struck female student")</f>
        <v>Student fired shot at targeted student leaving school, missed and struck female student</v>
      </c>
      <c r="W844"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X844" s="5" t="str">
        <f ca="1">IFERROR(__xludf.DUMMYFUNCTION("""COMPUTED_VALUE"""),"Escalation of Dispute")</f>
        <v>Escalation of Dispute</v>
      </c>
      <c r="Y844" s="5" t="str">
        <f ca="1">IFERROR(__xludf.DUMMYFUNCTION("""COMPUTED_VALUE"""),"Both")</f>
        <v>Both</v>
      </c>
      <c r="Z844" s="5" t="str">
        <f ca="1">IFERROR(__xludf.DUMMYFUNCTION("""COMPUTED_VALUE"""),"No")</f>
        <v>No</v>
      </c>
      <c r="AA844" s="5"/>
      <c r="AB844" s="5" t="str">
        <f ca="1">IFERROR(__xludf.DUMMYFUNCTION("""COMPUTED_VALUE"""),"No")</f>
        <v>No</v>
      </c>
      <c r="AC844" s="5" t="str">
        <f ca="1">IFERROR(__xludf.DUMMYFUNCTION("""COMPUTED_VALUE"""),"No")</f>
        <v>No</v>
      </c>
      <c r="AD844" s="5" t="str">
        <f ca="1">IFERROR(__xludf.DUMMYFUNCTION("""COMPUTED_VALUE"""),"No")</f>
        <v>No</v>
      </c>
      <c r="AE844" s="5"/>
      <c r="AF844" s="5" t="str">
        <f ca="1">IFERROR(__xludf.DUMMYFUNCTION("""COMPUTED_VALUE"""),"No")</f>
        <v>No</v>
      </c>
      <c r="AG844" s="5" t="str">
        <f ca="1">IFERROR(__xludf.DUMMYFUNCTION("""COMPUTED_VALUE"""),"No")</f>
        <v>No</v>
      </c>
      <c r="AH844" s="5" t="str">
        <f ca="1">IFERROR(__xludf.DUMMYFUNCTION("""COMPUTED_VALUE"""),"No")</f>
        <v>No</v>
      </c>
    </row>
    <row r="845" spans="1:34" ht="12.75">
      <c r="A845" s="5" t="str">
        <f ca="1">IFERROR(__xludf.DUMMYFUNCTION("""COMPUTED_VALUE"""),"20170218MNMAM")</f>
        <v>20170218MNMAM</v>
      </c>
      <c r="B845" s="8">
        <f ca="1">IFERROR(__xludf.DUMMYFUNCTION("""COMPUTED_VALUE"""),42784)</f>
        <v>42784</v>
      </c>
      <c r="C845" s="5" t="str">
        <f ca="1">IFERROR(__xludf.DUMMYFUNCTION("""COMPUTED_VALUE"""),"Maplewood Middle School")</f>
        <v>Maplewood Middle School</v>
      </c>
      <c r="D845" s="5">
        <f ca="1">IFERROR(__xludf.DUMMYFUNCTION("""COMPUTED_VALUE"""),0)</f>
        <v>0</v>
      </c>
      <c r="E845" s="5">
        <f ca="1">IFERROR(__xludf.DUMMYFUNCTION("""COMPUTED_VALUE"""),0)</f>
        <v>0</v>
      </c>
      <c r="F845" s="5">
        <f ca="1">IFERROR(__xludf.DUMMYFUNCTION("""COMPUTED_VALUE"""),0)</f>
        <v>0</v>
      </c>
      <c r="G845" s="5">
        <f ca="1">IFERROR(__xludf.DUMMYFUNCTION("""COMPUTED_VALUE"""),1)</f>
        <v>1</v>
      </c>
      <c r="H845" s="9" t="str">
        <f ca="1">IFERROR(__xludf.DUMMYFUNCTION("""COMPUTED_VALUE"""),"https://www.twincities.com/2017/02/18/man-kidnaps-ex-fiancee-kills-himself-in-middle-school-parking-lot/")</f>
        <v>https://www.twincities.com/2017/02/18/man-kidnaps-ex-fiancee-kills-himself-in-middle-school-parking-lot/</v>
      </c>
      <c r="I845" s="5">
        <f ca="1">IFERROR(__xludf.DUMMYFUNCTION("""COMPUTED_VALUE"""),1)</f>
        <v>1</v>
      </c>
      <c r="J845" s="5" t="str">
        <f ca="1">IFERROR(__xludf.DUMMYFUNCTION("""COMPUTED_VALUE"""),"Local")</f>
        <v>Local</v>
      </c>
      <c r="K845" s="5">
        <f ca="1">IFERROR(__xludf.DUMMYFUNCTION("""COMPUTED_VALUE"""),2)</f>
        <v>2</v>
      </c>
      <c r="L845" s="5" t="str">
        <f ca="1">IFERROR(__xludf.DUMMYFUNCTION("""COMPUTED_VALUE"""),"Winter")</f>
        <v>Winter</v>
      </c>
      <c r="M845" s="5" t="str">
        <f ca="1">IFERROR(__xludf.DUMMYFUNCTION("""COMPUTED_VALUE"""),"Maplewood")</f>
        <v>Maplewood</v>
      </c>
      <c r="N845" s="5" t="str">
        <f ca="1">IFERROR(__xludf.DUMMYFUNCTION("""COMPUTED_VALUE"""),"MN")</f>
        <v>MN</v>
      </c>
      <c r="O845" s="5" t="str">
        <f ca="1">IFERROR(__xludf.DUMMYFUNCTION("""COMPUTED_VALUE"""),"Middle")</f>
        <v>Middle</v>
      </c>
      <c r="P845" s="5" t="str">
        <f ca="1">IFERROR(__xludf.DUMMYFUNCTION("""COMPUTED_VALUE"""),"Parking Lot")</f>
        <v>Parking Lot</v>
      </c>
      <c r="Q845" s="5" t="str">
        <f ca="1">IFERROR(__xludf.DUMMYFUNCTION("""COMPUTED_VALUE"""),"Outside on School Property")</f>
        <v>Outside on School Property</v>
      </c>
      <c r="R845" s="5" t="str">
        <f ca="1">IFERROR(__xludf.DUMMYFUNCTION("""COMPUTED_VALUE"""),"No")</f>
        <v>No</v>
      </c>
      <c r="S845" s="5" t="str">
        <f ca="1">IFERROR(__xludf.DUMMYFUNCTION("""COMPUTED_VALUE"""),"Not a School Day")</f>
        <v>Not a School Day</v>
      </c>
      <c r="T845" s="10">
        <f ca="1">IFERROR(__xludf.DUMMYFUNCTION("""COMPUTED_VALUE"""),0.25)</f>
        <v>0.25</v>
      </c>
      <c r="U845" s="5"/>
      <c r="V845"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W845"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X845" s="5" t="str">
        <f ca="1">IFERROR(__xludf.DUMMYFUNCTION("""COMPUTED_VALUE"""),"Suicide/Attempted")</f>
        <v>Suicide/Attempted</v>
      </c>
      <c r="Y845" s="5" t="str">
        <f ca="1">IFERROR(__xludf.DUMMYFUNCTION("""COMPUTED_VALUE"""),"Victims Targeted")</f>
        <v>Victims Targeted</v>
      </c>
      <c r="Z845" s="5" t="str">
        <f ca="1">IFERROR(__xludf.DUMMYFUNCTION("""COMPUTED_VALUE"""),"No")</f>
        <v>No</v>
      </c>
      <c r="AA845" s="5"/>
      <c r="AB845" s="5" t="str">
        <f ca="1">IFERROR(__xludf.DUMMYFUNCTION("""COMPUTED_VALUE"""),"Yes")</f>
        <v>Yes</v>
      </c>
      <c r="AC845" s="5" t="str">
        <f ca="1">IFERROR(__xludf.DUMMYFUNCTION("""COMPUTED_VALUE"""),"No")</f>
        <v>No</v>
      </c>
      <c r="AD845" s="5" t="str">
        <f ca="1">IFERROR(__xludf.DUMMYFUNCTION("""COMPUTED_VALUE"""),"No")</f>
        <v>No</v>
      </c>
      <c r="AE845" s="5" t="str">
        <f ca="1">IFERROR(__xludf.DUMMYFUNCTION("""COMPUTED_VALUE"""),"N/A")</f>
        <v>N/A</v>
      </c>
      <c r="AF845" s="5"/>
      <c r="AG845" s="5" t="str">
        <f ca="1">IFERROR(__xludf.DUMMYFUNCTION("""COMPUTED_VALUE"""),"No")</f>
        <v>No</v>
      </c>
      <c r="AH845" s="5" t="str">
        <f ca="1">IFERROR(__xludf.DUMMYFUNCTION("""COMPUTED_VALUE"""),"No")</f>
        <v>No</v>
      </c>
    </row>
    <row r="846" spans="1:34" ht="12.75">
      <c r="A846" s="5" t="str">
        <f ca="1">IFERROR(__xludf.DUMMYFUNCTION("""COMPUTED_VALUE"""),"20170206LASCB")</f>
        <v>20170206LASCB</v>
      </c>
      <c r="B846" s="8">
        <f ca="1">IFERROR(__xludf.DUMMYFUNCTION("""COMPUTED_VALUE"""),42772)</f>
        <v>42772</v>
      </c>
      <c r="C846" s="5" t="str">
        <f ca="1">IFERROR(__xludf.DUMMYFUNCTION("""COMPUTED_VALUE"""),"Scotlandville Magnet High School")</f>
        <v>Scotlandville Magnet High School</v>
      </c>
      <c r="D846" s="5">
        <f ca="1">IFERROR(__xludf.DUMMYFUNCTION("""COMPUTED_VALUE"""),0)</f>
        <v>0</v>
      </c>
      <c r="E846" s="5">
        <f ca="1">IFERROR(__xludf.DUMMYFUNCTION("""COMPUTED_VALUE"""),0)</f>
        <v>0</v>
      </c>
      <c r="F846" s="5">
        <f ca="1">IFERROR(__xludf.DUMMYFUNCTION("""COMPUTED_VALUE"""),0)</f>
        <v>0</v>
      </c>
      <c r="G846" s="5">
        <f ca="1">IFERROR(__xludf.DUMMYFUNCTION("""COMPUTED_VALUE"""),0)</f>
        <v>0</v>
      </c>
      <c r="H846" s="9" t="str">
        <f ca="1">IFERROR(__xludf.DUMMYFUNCTION("""COMPUTED_VALUE"""),"http://www.theadvocate.com/baton_rouge/news/crime_police/article_c0f86974-ed92-11e6-98ec-1fec7cb6253b.html")</f>
        <v>http://www.theadvocate.com/baton_rouge/news/crime_police/article_c0f86974-ed92-11e6-98ec-1fec7cb6253b.html</v>
      </c>
      <c r="I846" s="5"/>
      <c r="J846" s="5"/>
      <c r="K846" s="5">
        <f ca="1">IFERROR(__xludf.DUMMYFUNCTION("""COMPUTED_VALUE"""),2)</f>
        <v>2</v>
      </c>
      <c r="L846" s="5" t="str">
        <f ca="1">IFERROR(__xludf.DUMMYFUNCTION("""COMPUTED_VALUE"""),"Winter")</f>
        <v>Winter</v>
      </c>
      <c r="M846" s="5" t="str">
        <f ca="1">IFERROR(__xludf.DUMMYFUNCTION("""COMPUTED_VALUE"""),"Baton Rouge")</f>
        <v>Baton Rouge</v>
      </c>
      <c r="N846" s="5" t="str">
        <f ca="1">IFERROR(__xludf.DUMMYFUNCTION("""COMPUTED_VALUE"""),"LA")</f>
        <v>LA</v>
      </c>
      <c r="O846" s="5" t="str">
        <f ca="1">IFERROR(__xludf.DUMMYFUNCTION("""COMPUTED_VALUE"""),"High")</f>
        <v>High</v>
      </c>
      <c r="P846" s="5" t="str">
        <f ca="1">IFERROR(__xludf.DUMMYFUNCTION("""COMPUTED_VALUE"""),"Outside on School Property")</f>
        <v>Outside on School Property</v>
      </c>
      <c r="Q846" s="5" t="str">
        <f ca="1">IFERROR(__xludf.DUMMYFUNCTION("""COMPUTED_VALUE"""),"Outside on School Property")</f>
        <v>Outside on School Property</v>
      </c>
      <c r="R846" s="5" t="str">
        <f ca="1">IFERROR(__xludf.DUMMYFUNCTION("""COMPUTED_VALUE"""),"Yes")</f>
        <v>Yes</v>
      </c>
      <c r="S846" s="5" t="str">
        <f ca="1">IFERROR(__xludf.DUMMYFUNCTION("""COMPUTED_VALUE"""),"Lunch")</f>
        <v>Lunch</v>
      </c>
      <c r="T846" s="10">
        <f ca="1">IFERROR(__xludf.DUMMYFUNCTION("""COMPUTED_VALUE"""),0.5)</f>
        <v>0.5</v>
      </c>
      <c r="U846" s="5">
        <f ca="1">IFERROR(__xludf.DUMMYFUNCTION("""COMPUTED_VALUE"""),1)</f>
        <v>1</v>
      </c>
      <c r="V846" s="5" t="str">
        <f ca="1">IFERROR(__xludf.DUMMYFUNCTION("""COMPUTED_VALUE"""),"Shots fired (all missed) during argument")</f>
        <v>Shots fired (all missed) during argument</v>
      </c>
      <c r="W846"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X846" s="5" t="str">
        <f ca="1">IFERROR(__xludf.DUMMYFUNCTION("""COMPUTED_VALUE"""),"Escalation of Dispute")</f>
        <v>Escalation of Dispute</v>
      </c>
      <c r="Y846" s="5" t="str">
        <f ca="1">IFERROR(__xludf.DUMMYFUNCTION("""COMPUTED_VALUE"""),"Neither")</f>
        <v>Neither</v>
      </c>
      <c r="Z846" s="5"/>
      <c r="AA846" s="5"/>
      <c r="AB846" s="5" t="str">
        <f ca="1">IFERROR(__xludf.DUMMYFUNCTION("""COMPUTED_VALUE"""),"No")</f>
        <v>No</v>
      </c>
      <c r="AC846" s="5" t="str">
        <f ca="1">IFERROR(__xludf.DUMMYFUNCTION("""COMPUTED_VALUE"""),"No")</f>
        <v>No</v>
      </c>
      <c r="AD846" s="5" t="str">
        <f ca="1">IFERROR(__xludf.DUMMYFUNCTION("""COMPUTED_VALUE"""),"No")</f>
        <v>No</v>
      </c>
      <c r="AE846" s="5"/>
      <c r="AF846" s="5"/>
      <c r="AG846" s="5" t="str">
        <f ca="1">IFERROR(__xludf.DUMMYFUNCTION("""COMPUTED_VALUE"""),"No")</f>
        <v>No</v>
      </c>
      <c r="AH846" s="5" t="str">
        <f ca="1">IFERROR(__xludf.DUMMYFUNCTION("""COMPUTED_VALUE"""),"No")</f>
        <v>No</v>
      </c>
    </row>
    <row r="847" spans="1:34" ht="12.75">
      <c r="A847" s="5" t="str">
        <f ca="1">IFERROR(__xludf.DUMMYFUNCTION("""COMPUTED_VALUE"""),"20170127SCSOA")</f>
        <v>20170127SCSOA</v>
      </c>
      <c r="B847" s="8">
        <f ca="1">IFERROR(__xludf.DUMMYFUNCTION("""COMPUTED_VALUE"""),42762)</f>
        <v>42762</v>
      </c>
      <c r="C847" s="5" t="str">
        <f ca="1">IFERROR(__xludf.DUMMYFUNCTION("""COMPUTED_VALUE"""),"South Aiken High School")</f>
        <v>South Aiken High School</v>
      </c>
      <c r="D847" s="5">
        <f ca="1">IFERROR(__xludf.DUMMYFUNCTION("""COMPUTED_VALUE"""),0)</f>
        <v>0</v>
      </c>
      <c r="E847" s="5">
        <f ca="1">IFERROR(__xludf.DUMMYFUNCTION("""COMPUTED_VALUE"""),3)</f>
        <v>3</v>
      </c>
      <c r="F847" s="5">
        <f ca="1">IFERROR(__xludf.DUMMYFUNCTION("""COMPUTED_VALUE"""),3)</f>
        <v>3</v>
      </c>
      <c r="G847" s="5">
        <f ca="1">IFERROR(__xludf.DUMMYFUNCTION("""COMPUTED_VALUE"""),0)</f>
        <v>0</v>
      </c>
      <c r="H847"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I847" s="5">
        <f ca="1">IFERROR(__xludf.DUMMYFUNCTION("""COMPUTED_VALUE"""),2)</f>
        <v>2</v>
      </c>
      <c r="J847" s="5" t="str">
        <f ca="1">IFERROR(__xludf.DUMMYFUNCTION("""COMPUTED_VALUE"""),"Local")</f>
        <v>Local</v>
      </c>
      <c r="K847" s="5">
        <f ca="1">IFERROR(__xludf.DUMMYFUNCTION("""COMPUTED_VALUE"""),5)</f>
        <v>5</v>
      </c>
      <c r="L847" s="5" t="str">
        <f ca="1">IFERROR(__xludf.DUMMYFUNCTION("""COMPUTED_VALUE"""),"Winter")</f>
        <v>Winter</v>
      </c>
      <c r="M847" s="5" t="str">
        <f ca="1">IFERROR(__xludf.DUMMYFUNCTION("""COMPUTED_VALUE"""),"Aiken")</f>
        <v>Aiken</v>
      </c>
      <c r="N847" s="5" t="str">
        <f ca="1">IFERROR(__xludf.DUMMYFUNCTION("""COMPUTED_VALUE"""),"SC")</f>
        <v>SC</v>
      </c>
      <c r="O847" s="5" t="str">
        <f ca="1">IFERROR(__xludf.DUMMYFUNCTION("""COMPUTED_VALUE"""),"High")</f>
        <v>High</v>
      </c>
      <c r="P847" s="5" t="str">
        <f ca="1">IFERROR(__xludf.DUMMYFUNCTION("""COMPUTED_VALUE"""),"Beside Building")</f>
        <v>Beside Building</v>
      </c>
      <c r="Q847" s="5" t="str">
        <f ca="1">IFERROR(__xludf.DUMMYFUNCTION("""COMPUTED_VALUE"""),"Outside on School Property")</f>
        <v>Outside on School Property</v>
      </c>
      <c r="R847" s="5" t="str">
        <f ca="1">IFERROR(__xludf.DUMMYFUNCTION("""COMPUTED_VALUE"""),"No")</f>
        <v>No</v>
      </c>
      <c r="S847" s="5" t="str">
        <f ca="1">IFERROR(__xludf.DUMMYFUNCTION("""COMPUTED_VALUE"""),"Sport Event")</f>
        <v>Sport Event</v>
      </c>
      <c r="T847" s="10">
        <f ca="1">IFERROR(__xludf.DUMMYFUNCTION("""COMPUTED_VALUE"""),0.875)</f>
        <v>0.875</v>
      </c>
      <c r="U847" s="5">
        <f ca="1">IFERROR(__xludf.DUMMYFUNCTION("""COMPUTED_VALUE"""),1)</f>
        <v>1</v>
      </c>
      <c r="V847" s="5" t="str">
        <f ca="1">IFERROR(__xludf.DUMMYFUNCTION("""COMPUTED_VALUE"""),"Fight outside basketball game (rival schools)")</f>
        <v>Fight outside basketball game (rival schools)</v>
      </c>
      <c r="W847"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X847" s="5" t="str">
        <f ca="1">IFERROR(__xludf.DUMMYFUNCTION("""COMPUTED_VALUE"""),"Escalation of Dispute")</f>
        <v>Escalation of Dispute</v>
      </c>
      <c r="Y847" s="5" t="str">
        <f ca="1">IFERROR(__xludf.DUMMYFUNCTION("""COMPUTED_VALUE"""),"Both")</f>
        <v>Both</v>
      </c>
      <c r="Z847" s="5" t="str">
        <f ca="1">IFERROR(__xludf.DUMMYFUNCTION("""COMPUTED_VALUE"""),"Yes")</f>
        <v>Yes</v>
      </c>
      <c r="AA847" s="5" t="str">
        <f ca="1">IFERROR(__xludf.DUMMYFUNCTION("""COMPUTED_VALUE"""),"Two carrying guns involved in shooting")</f>
        <v>Two carrying guns involved in shooting</v>
      </c>
      <c r="AB847" s="5" t="str">
        <f ca="1">IFERROR(__xludf.DUMMYFUNCTION("""COMPUTED_VALUE"""),"No")</f>
        <v>No</v>
      </c>
      <c r="AC847" s="5" t="str">
        <f ca="1">IFERROR(__xludf.DUMMYFUNCTION("""COMPUTED_VALUE"""),"No")</f>
        <v>No</v>
      </c>
      <c r="AD847" s="5" t="str">
        <f ca="1">IFERROR(__xludf.DUMMYFUNCTION("""COMPUTED_VALUE"""),"No")</f>
        <v>No</v>
      </c>
      <c r="AE847" s="5" t="str">
        <f ca="1">IFERROR(__xludf.DUMMYFUNCTION("""COMPUTED_VALUE"""),"No")</f>
        <v>No</v>
      </c>
      <c r="AF847" s="5" t="str">
        <f ca="1">IFERROR(__xludf.DUMMYFUNCTION("""COMPUTED_VALUE"""),"No")</f>
        <v>No</v>
      </c>
      <c r="AG847" s="5" t="str">
        <f ca="1">IFERROR(__xludf.DUMMYFUNCTION("""COMPUTED_VALUE"""),"Yes")</f>
        <v>Yes</v>
      </c>
      <c r="AH847" s="5" t="str">
        <f ca="1">IFERROR(__xludf.DUMMYFUNCTION("""COMPUTED_VALUE"""),"No")</f>
        <v>No</v>
      </c>
    </row>
    <row r="848" spans="1:34" ht="12.75">
      <c r="A848" s="5" t="str">
        <f ca="1">IFERROR(__xludf.DUMMYFUNCTION("""COMPUTED_VALUE"""),"20170127ILSCN")</f>
        <v>20170127ILSCN</v>
      </c>
      <c r="B848" s="8">
        <f ca="1">IFERROR(__xludf.DUMMYFUNCTION("""COMPUTED_VALUE"""),42762)</f>
        <v>42762</v>
      </c>
      <c r="C848" s="5" t="str">
        <f ca="1">IFERROR(__xludf.DUMMYFUNCTION("""COMPUTED_VALUE"""),"Thomas G Scullen Middle School")</f>
        <v>Thomas G Scullen Middle School</v>
      </c>
      <c r="D848" s="5">
        <f ca="1">IFERROR(__xludf.DUMMYFUNCTION("""COMPUTED_VALUE"""),1)</f>
        <v>1</v>
      </c>
      <c r="E848" s="5">
        <f ca="1">IFERROR(__xludf.DUMMYFUNCTION("""COMPUTED_VALUE"""),0)</f>
        <v>0</v>
      </c>
      <c r="F848" s="5">
        <f ca="1">IFERROR(__xludf.DUMMYFUNCTION("""COMPUTED_VALUE"""),1)</f>
        <v>1</v>
      </c>
      <c r="G848" s="5">
        <f ca="1">IFERROR(__xludf.DUMMYFUNCTION("""COMPUTED_VALUE"""),0)</f>
        <v>0</v>
      </c>
      <c r="H848"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I848" s="5">
        <f ca="1">IFERROR(__xludf.DUMMYFUNCTION("""COMPUTED_VALUE"""),10)</f>
        <v>10</v>
      </c>
      <c r="J848" s="5" t="str">
        <f ca="1">IFERROR(__xludf.DUMMYFUNCTION("""COMPUTED_VALUE"""),"Regional")</f>
        <v>Regional</v>
      </c>
      <c r="K848" s="5">
        <f ca="1">IFERROR(__xludf.DUMMYFUNCTION("""COMPUTED_VALUE"""),4)</f>
        <v>4</v>
      </c>
      <c r="L848" s="5" t="str">
        <f ca="1">IFERROR(__xludf.DUMMYFUNCTION("""COMPUTED_VALUE"""),"Winter")</f>
        <v>Winter</v>
      </c>
      <c r="M848" s="5" t="str">
        <f ca="1">IFERROR(__xludf.DUMMYFUNCTION("""COMPUTED_VALUE"""),"Naperville")</f>
        <v>Naperville</v>
      </c>
      <c r="N848" s="5" t="str">
        <f ca="1">IFERROR(__xludf.DUMMYFUNCTION("""COMPUTED_VALUE"""),"IL")</f>
        <v>IL</v>
      </c>
      <c r="O848" s="5" t="str">
        <f ca="1">IFERROR(__xludf.DUMMYFUNCTION("""COMPUTED_VALUE"""),"Middle")</f>
        <v>Middle</v>
      </c>
      <c r="P848" s="5" t="str">
        <f ca="1">IFERROR(__xludf.DUMMYFUNCTION("""COMPUTED_VALUE"""),"Parking Lot")</f>
        <v>Parking Lot</v>
      </c>
      <c r="Q848" s="5" t="str">
        <f ca="1">IFERROR(__xludf.DUMMYFUNCTION("""COMPUTED_VALUE"""),"Outside on School Property")</f>
        <v>Outside on School Property</v>
      </c>
      <c r="R848" s="5" t="str">
        <f ca="1">IFERROR(__xludf.DUMMYFUNCTION("""COMPUTED_VALUE"""),"No")</f>
        <v>No</v>
      </c>
      <c r="S848" s="5" t="str">
        <f ca="1">IFERROR(__xludf.DUMMYFUNCTION("""COMPUTED_VALUE"""),"Evening")</f>
        <v>Evening</v>
      </c>
      <c r="T848" s="10">
        <f ca="1">IFERROR(__xludf.DUMMYFUNCTION("""COMPUTED_VALUE"""),0.833333333333333)</f>
        <v>0.83333333333333304</v>
      </c>
      <c r="U848" s="5">
        <f ca="1">IFERROR(__xludf.DUMMYFUNCTION("""COMPUTED_VALUE"""),1)</f>
        <v>1</v>
      </c>
      <c r="V848" s="5" t="str">
        <f ca="1">IFERROR(__xludf.DUMMYFUNCTION("""COMPUTED_VALUE"""),"Adult male fatally shot in the parking lot while picking up child")</f>
        <v>Adult male fatally shot in the parking lot while picking up child</v>
      </c>
      <c r="W848"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X848" s="5" t="str">
        <f ca="1">IFERROR(__xludf.DUMMYFUNCTION("""COMPUTED_VALUE"""),"Unknown")</f>
        <v>Unknown</v>
      </c>
      <c r="Y848" s="5" t="str">
        <f ca="1">IFERROR(__xludf.DUMMYFUNCTION("""COMPUTED_VALUE"""),"Victims Targeted")</f>
        <v>Victims Targeted</v>
      </c>
      <c r="Z848" s="5" t="str">
        <f ca="1">IFERROR(__xludf.DUMMYFUNCTION("""COMPUTED_VALUE"""),"No")</f>
        <v>No</v>
      </c>
      <c r="AA848" s="5"/>
      <c r="AB848" s="5" t="str">
        <f ca="1">IFERROR(__xludf.DUMMYFUNCTION("""COMPUTED_VALUE"""),"No")</f>
        <v>No</v>
      </c>
      <c r="AC848" s="5" t="str">
        <f ca="1">IFERROR(__xludf.DUMMYFUNCTION("""COMPUTED_VALUE"""),"No")</f>
        <v>No</v>
      </c>
      <c r="AD848" s="5" t="str">
        <f ca="1">IFERROR(__xludf.DUMMYFUNCTION("""COMPUTED_VALUE"""),"No")</f>
        <v>No</v>
      </c>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row>
    <row r="849" spans="1:34" ht="12.75">
      <c r="A849" s="5" t="str">
        <f ca="1">IFERROR(__xludf.DUMMYFUNCTION("""COMPUTED_VALUE"""),"20170120OHWEW")</f>
        <v>20170120OHWEW</v>
      </c>
      <c r="B849" s="8">
        <f ca="1">IFERROR(__xludf.DUMMYFUNCTION("""COMPUTED_VALUE"""),42755)</f>
        <v>42755</v>
      </c>
      <c r="C849" s="5" t="str">
        <f ca="1">IFERROR(__xludf.DUMMYFUNCTION("""COMPUTED_VALUE"""),"West Liberty-Salem High School")</f>
        <v>West Liberty-Salem High School</v>
      </c>
      <c r="D849" s="5">
        <f ca="1">IFERROR(__xludf.DUMMYFUNCTION("""COMPUTED_VALUE"""),0)</f>
        <v>0</v>
      </c>
      <c r="E849" s="5">
        <f ca="1">IFERROR(__xludf.DUMMYFUNCTION("""COMPUTED_VALUE"""),1)</f>
        <v>1</v>
      </c>
      <c r="F849" s="5">
        <f ca="1">IFERROR(__xludf.DUMMYFUNCTION("""COMPUTED_VALUE"""),1)</f>
        <v>1</v>
      </c>
      <c r="G849" s="5">
        <f ca="1">IFERROR(__xludf.DUMMYFUNCTION("""COMPUTED_VALUE"""),0)</f>
        <v>0</v>
      </c>
      <c r="H849" s="5"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I849" s="5">
        <f ca="1">IFERROR(__xludf.DUMMYFUNCTION("""COMPUTED_VALUE"""),100)</f>
        <v>100</v>
      </c>
      <c r="J849" s="5" t="str">
        <f ca="1">IFERROR(__xludf.DUMMYFUNCTION("""COMPUTED_VALUE"""),"National")</f>
        <v>National</v>
      </c>
      <c r="K849" s="5">
        <f ca="1">IFERROR(__xludf.DUMMYFUNCTION("""COMPUTED_VALUE"""),5)</f>
        <v>5</v>
      </c>
      <c r="L849" s="5" t="str">
        <f ca="1">IFERROR(__xludf.DUMMYFUNCTION("""COMPUTED_VALUE"""),"Winter")</f>
        <v>Winter</v>
      </c>
      <c r="M849" s="5" t="str">
        <f ca="1">IFERROR(__xludf.DUMMYFUNCTION("""COMPUTED_VALUE"""),"West Liberty")</f>
        <v>West Liberty</v>
      </c>
      <c r="N849" s="5" t="str">
        <f ca="1">IFERROR(__xludf.DUMMYFUNCTION("""COMPUTED_VALUE"""),"OH")</f>
        <v>OH</v>
      </c>
      <c r="O849" s="5" t="str">
        <f ca="1">IFERROR(__xludf.DUMMYFUNCTION("""COMPUTED_VALUE"""),"High")</f>
        <v>High</v>
      </c>
      <c r="P849" s="5" t="str">
        <f ca="1">IFERROR(__xludf.DUMMYFUNCTION("""COMPUTED_VALUE"""),"Bathroom")</f>
        <v>Bathroom</v>
      </c>
      <c r="Q849" s="5" t="str">
        <f ca="1">IFERROR(__xludf.DUMMYFUNCTION("""COMPUTED_VALUE"""),"Inside School Building")</f>
        <v>Inside School Building</v>
      </c>
      <c r="R849" s="5" t="str">
        <f ca="1">IFERROR(__xludf.DUMMYFUNCTION("""COMPUTED_VALUE"""),"Yes")</f>
        <v>Yes</v>
      </c>
      <c r="S849" s="5" t="str">
        <f ca="1">IFERROR(__xludf.DUMMYFUNCTION("""COMPUTED_VALUE"""),"Morning Classes")</f>
        <v>Morning Classes</v>
      </c>
      <c r="T849" s="10">
        <f ca="1">IFERROR(__xludf.DUMMYFUNCTION("""COMPUTED_VALUE"""),0.316666666666666)</f>
        <v>0.31666666666666599</v>
      </c>
      <c r="U849" s="5"/>
      <c r="V849"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W849"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X849" s="5" t="str">
        <f ca="1">IFERROR(__xludf.DUMMYFUNCTION("""COMPUTED_VALUE"""),"Indiscriminate Shooting")</f>
        <v>Indiscriminate Shooting</v>
      </c>
      <c r="Y849" s="5" t="str">
        <f ca="1">IFERROR(__xludf.DUMMYFUNCTION("""COMPUTED_VALUE"""),"Random Shooting")</f>
        <v>Random Shooting</v>
      </c>
      <c r="Z849" s="5" t="str">
        <f ca="1">IFERROR(__xludf.DUMMYFUNCTION("""COMPUTED_VALUE"""),"No")</f>
        <v>No</v>
      </c>
      <c r="AA849" s="5"/>
      <c r="AB849" s="5" t="str">
        <f ca="1">IFERROR(__xludf.DUMMYFUNCTION("""COMPUTED_VALUE"""),"No")</f>
        <v>No</v>
      </c>
      <c r="AC849" s="5" t="str">
        <f ca="1">IFERROR(__xludf.DUMMYFUNCTION("""COMPUTED_VALUE"""),"No")</f>
        <v>No</v>
      </c>
      <c r="AD849" s="5" t="str">
        <f ca="1">IFERROR(__xludf.DUMMYFUNCTION("""COMPUTED_VALUE"""),"No")</f>
        <v>No</v>
      </c>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IFERROR(__xludf.DUMMYFUNCTION("""COMPUTED_VALUE"""),"Yes")</f>
        <v>Yes</v>
      </c>
    </row>
    <row r="850" spans="1:34" ht="12.75">
      <c r="A850" s="5" t="str">
        <f ca="1">IFERROR(__xludf.DUMMYFUNCTION("""COMPUTED_VALUE"""),"20170117FLFRE")</f>
        <v>20170117FLFRE</v>
      </c>
      <c r="B850" s="8">
        <f ca="1">IFERROR(__xludf.DUMMYFUNCTION("""COMPUTED_VALUE"""),42752)</f>
        <v>42752</v>
      </c>
      <c r="C850" s="5" t="str">
        <f ca="1">IFERROR(__xludf.DUMMYFUNCTION("""COMPUTED_VALUE"""),"Franklin County Elementary School")</f>
        <v>Franklin County Elementary School</v>
      </c>
      <c r="D850" s="5">
        <f ca="1">IFERROR(__xludf.DUMMYFUNCTION("""COMPUTED_VALUE"""),0)</f>
        <v>0</v>
      </c>
      <c r="E850" s="5">
        <f ca="1">IFERROR(__xludf.DUMMYFUNCTION("""COMPUTED_VALUE"""),0)</f>
        <v>0</v>
      </c>
      <c r="F850" s="5">
        <f ca="1">IFERROR(__xludf.DUMMYFUNCTION("""COMPUTED_VALUE"""),0)</f>
        <v>0</v>
      </c>
      <c r="G850" s="5">
        <f ca="1">IFERROR(__xludf.DUMMYFUNCTION("""COMPUTED_VALUE"""),0)</f>
        <v>0</v>
      </c>
      <c r="H850" s="9" t="str">
        <f ca="1">IFERROR(__xludf.DUMMYFUNCTION("""COMPUTED_VALUE"""),"http://www.wtxl.com/news/gun-goes-off-at-franklin-county-school/article_5f86d63a-ddb1-11e6-b2c8-b722f449d29e.html")</f>
        <v>http://www.wtxl.com/news/gun-goes-off-at-franklin-county-school/article_5f86d63a-ddb1-11e6-b2c8-b722f449d29e.html</v>
      </c>
      <c r="I850" s="5"/>
      <c r="J850" s="5"/>
      <c r="K850" s="5">
        <f ca="1">IFERROR(__xludf.DUMMYFUNCTION("""COMPUTED_VALUE"""),2)</f>
        <v>2</v>
      </c>
      <c r="L850" s="5" t="str">
        <f ca="1">IFERROR(__xludf.DUMMYFUNCTION("""COMPUTED_VALUE"""),"Winter")</f>
        <v>Winter</v>
      </c>
      <c r="M850" s="5" t="str">
        <f ca="1">IFERROR(__xludf.DUMMYFUNCTION("""COMPUTED_VALUE"""),"Eastpoint")</f>
        <v>Eastpoint</v>
      </c>
      <c r="N850" s="5" t="str">
        <f ca="1">IFERROR(__xludf.DUMMYFUNCTION("""COMPUTED_VALUE"""),"FL")</f>
        <v>FL</v>
      </c>
      <c r="O850" s="5" t="str">
        <f ca="1">IFERROR(__xludf.DUMMYFUNCTION("""COMPUTED_VALUE"""),"Elementary")</f>
        <v>Elementary</v>
      </c>
      <c r="P850" s="5" t="str">
        <f ca="1">IFERROR(__xludf.DUMMYFUNCTION("""COMPUTED_VALUE"""),"Parking Lot")</f>
        <v>Parking Lot</v>
      </c>
      <c r="Q850" s="5" t="str">
        <f ca="1">IFERROR(__xludf.DUMMYFUNCTION("""COMPUTED_VALUE"""),"Outside on School Property")</f>
        <v>Outside on School Property</v>
      </c>
      <c r="R850" s="5" t="str">
        <f ca="1">IFERROR(__xludf.DUMMYFUNCTION("""COMPUTED_VALUE"""),"Yes")</f>
        <v>Yes</v>
      </c>
      <c r="S850" s="5" t="str">
        <f ca="1">IFERROR(__xludf.DUMMYFUNCTION("""COMPUTED_VALUE"""),"Dismissal")</f>
        <v>Dismissal</v>
      </c>
      <c r="T850" s="5"/>
      <c r="U850" s="5">
        <f ca="1">IFERROR(__xludf.DUMMYFUNCTION("""COMPUTED_VALUE"""),1)</f>
        <v>1</v>
      </c>
      <c r="V850" s="5" t="str">
        <f ca="1">IFERROR(__xludf.DUMMYFUNCTION("""COMPUTED_VALUE"""),"Gun discharged in car while parent was picking child up")</f>
        <v>Gun discharged in car while parent was picking child up</v>
      </c>
      <c r="W850" s="5" t="str">
        <f ca="1">IFERROR(__xludf.DUMMYFUNCTION("""COMPUTED_VALUE"""),"Gun accidentally discharged in car while parent was picking child up. No injuries.")</f>
        <v>Gun accidentally discharged in car while parent was picking child up. No injuries.</v>
      </c>
      <c r="X850" s="5" t="str">
        <f ca="1">IFERROR(__xludf.DUMMYFUNCTION("""COMPUTED_VALUE"""),"Accidental")</f>
        <v>Accidental</v>
      </c>
      <c r="Y850" s="5" t="str">
        <f ca="1">IFERROR(__xludf.DUMMYFUNCTION("""COMPUTED_VALUE"""),"Neither")</f>
        <v>Neither</v>
      </c>
      <c r="Z850" s="5" t="str">
        <f ca="1">IFERROR(__xludf.DUMMYFUNCTION("""COMPUTED_VALUE"""),"No")</f>
        <v>No</v>
      </c>
      <c r="AA850" s="5"/>
      <c r="AB850" s="5" t="str">
        <f ca="1">IFERROR(__xludf.DUMMYFUNCTION("""COMPUTED_VALUE"""),"No")</f>
        <v>No</v>
      </c>
      <c r="AC850" s="5" t="str">
        <f ca="1">IFERROR(__xludf.DUMMYFUNCTION("""COMPUTED_VALUE"""),"No")</f>
        <v>No</v>
      </c>
      <c r="AD850" s="5" t="str">
        <f ca="1">IFERROR(__xludf.DUMMYFUNCTION("""COMPUTED_VALUE"""),"No")</f>
        <v>No</v>
      </c>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row>
    <row r="851" spans="1:34" ht="12.75">
      <c r="A851" s="5" t="str">
        <f ca="1">IFERROR(__xludf.DUMMYFUNCTION("""COMPUTED_VALUE"""),"20170110ALALA")</f>
        <v>20170110ALALA</v>
      </c>
      <c r="B851" s="8">
        <f ca="1">IFERROR(__xludf.DUMMYFUNCTION("""COMPUTED_VALUE"""),42745)</f>
        <v>42745</v>
      </c>
      <c r="C851" s="5" t="str">
        <f ca="1">IFERROR(__xludf.DUMMYFUNCTION("""COMPUTED_VALUE"""),"Alexander City Middle School")</f>
        <v>Alexander City Middle School</v>
      </c>
      <c r="D851" s="5">
        <f ca="1">IFERROR(__xludf.DUMMYFUNCTION("""COMPUTED_VALUE"""),0)</f>
        <v>0</v>
      </c>
      <c r="E851" s="5">
        <f ca="1">IFERROR(__xludf.DUMMYFUNCTION("""COMPUTED_VALUE"""),0)</f>
        <v>0</v>
      </c>
      <c r="F851" s="5">
        <f ca="1">IFERROR(__xludf.DUMMYFUNCTION("""COMPUTED_VALUE"""),0)</f>
        <v>0</v>
      </c>
      <c r="G851" s="5">
        <f ca="1">IFERROR(__xludf.DUMMYFUNCTION("""COMPUTED_VALUE"""),0)</f>
        <v>0</v>
      </c>
      <c r="H851" s="9" t="str">
        <f ca="1">IFERROR(__xludf.DUMMYFUNCTION("""COMPUTED_VALUE"""),"http://www.alexcityoutlook.com/2017/01/09/two-students-taken-into-custody-after-gun-goes-off-at-middle-school/")</f>
        <v>http://www.alexcityoutlook.com/2017/01/09/two-students-taken-into-custody-after-gun-goes-off-at-middle-school/</v>
      </c>
      <c r="I851" s="5"/>
      <c r="J851" s="5"/>
      <c r="K851" s="5">
        <f ca="1">IFERROR(__xludf.DUMMYFUNCTION("""COMPUTED_VALUE"""),2)</f>
        <v>2</v>
      </c>
      <c r="L851" s="5" t="str">
        <f ca="1">IFERROR(__xludf.DUMMYFUNCTION("""COMPUTED_VALUE"""),"Winter")</f>
        <v>Winter</v>
      </c>
      <c r="M851" s="5" t="str">
        <f ca="1">IFERROR(__xludf.DUMMYFUNCTION("""COMPUTED_VALUE"""),"Alexander City")</f>
        <v>Alexander City</v>
      </c>
      <c r="N851" s="5" t="str">
        <f ca="1">IFERROR(__xludf.DUMMYFUNCTION("""COMPUTED_VALUE"""),"AL")</f>
        <v>AL</v>
      </c>
      <c r="O851" s="5" t="str">
        <f ca="1">IFERROR(__xludf.DUMMYFUNCTION("""COMPUTED_VALUE"""),"Middle")</f>
        <v>Middle</v>
      </c>
      <c r="P851" s="5" t="str">
        <f ca="1">IFERROR(__xludf.DUMMYFUNCTION("""COMPUTED_VALUE"""),"Inside School Building")</f>
        <v>Inside School Building</v>
      </c>
      <c r="Q851" s="5" t="str">
        <f ca="1">IFERROR(__xludf.DUMMYFUNCTION("""COMPUTED_VALUE"""),"Inside School Building")</f>
        <v>Inside School Building</v>
      </c>
      <c r="R851" s="5" t="str">
        <f ca="1">IFERROR(__xludf.DUMMYFUNCTION("""COMPUTED_VALUE"""),"Yes")</f>
        <v>Yes</v>
      </c>
      <c r="S851" s="5" t="str">
        <f ca="1">IFERROR(__xludf.DUMMYFUNCTION("""COMPUTED_VALUE"""),"Afternoon Classes")</f>
        <v>Afternoon Classes</v>
      </c>
      <c r="T851" s="10">
        <f ca="1">IFERROR(__xludf.DUMMYFUNCTION("""COMPUTED_VALUE"""),0.541666666666666)</f>
        <v>0.54166666666666596</v>
      </c>
      <c r="U851" s="5">
        <f ca="1">IFERROR(__xludf.DUMMYFUNCTION("""COMPUTED_VALUE"""),1)</f>
        <v>1</v>
      </c>
      <c r="V851" s="5" t="str">
        <f ca="1">IFERROR(__xludf.DUMMYFUNCTION("""COMPUTED_VALUE"""),"Student showing off gun, accidentally discharged")</f>
        <v>Student showing off gun, accidentally discharged</v>
      </c>
      <c r="W851"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X851" s="5" t="str">
        <f ca="1">IFERROR(__xludf.DUMMYFUNCTION("""COMPUTED_VALUE"""),"Accidental")</f>
        <v>Accidental</v>
      </c>
      <c r="Y851" s="5" t="str">
        <f ca="1">IFERROR(__xludf.DUMMYFUNCTION("""COMPUTED_VALUE"""),"Neither")</f>
        <v>Neither</v>
      </c>
      <c r="Z851" s="5" t="str">
        <f ca="1">IFERROR(__xludf.DUMMYFUNCTION("""COMPUTED_VALUE"""),"No")</f>
        <v>No</v>
      </c>
      <c r="AA851" s="5"/>
      <c r="AB851" s="5" t="str">
        <f ca="1">IFERROR(__xludf.DUMMYFUNCTION("""COMPUTED_VALUE"""),"No")</f>
        <v>No</v>
      </c>
      <c r="AC851" s="5" t="str">
        <f ca="1">IFERROR(__xludf.DUMMYFUNCTION("""COMPUTED_VALUE"""),"No")</f>
        <v>No</v>
      </c>
      <c r="AD851" s="5" t="str">
        <f ca="1">IFERROR(__xludf.DUMMYFUNCTION("""COMPUTED_VALUE"""),"No")</f>
        <v>No</v>
      </c>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row>
    <row r="852" spans="1:34" ht="12.75">
      <c r="A852" s="5" t="str">
        <f ca="1">IFERROR(__xludf.DUMMYFUNCTION("""COMPUTED_VALUE"""),"20170101DELAH")</f>
        <v>20170101DELAH</v>
      </c>
      <c r="B852" s="8">
        <f ca="1">IFERROR(__xludf.DUMMYFUNCTION("""COMPUTED_VALUE"""),42736)</f>
        <v>42736</v>
      </c>
      <c r="C852" s="5" t="str">
        <f ca="1">IFERROR(__xludf.DUMMYFUNCTION("""COMPUTED_VALUE"""),"Lake Forest South Elementary School")</f>
        <v>Lake Forest South Elementary School</v>
      </c>
      <c r="D852" s="5">
        <f ca="1">IFERROR(__xludf.DUMMYFUNCTION("""COMPUTED_VALUE"""),0)</f>
        <v>0</v>
      </c>
      <c r="E852" s="5">
        <f ca="1">IFERROR(__xludf.DUMMYFUNCTION("""COMPUTED_VALUE"""),1)</f>
        <v>1</v>
      </c>
      <c r="F852" s="5">
        <f ca="1">IFERROR(__xludf.DUMMYFUNCTION("""COMPUTED_VALUE"""),1)</f>
        <v>1</v>
      </c>
      <c r="G852" s="5">
        <f ca="1">IFERROR(__xludf.DUMMYFUNCTION("""COMPUTED_VALUE"""),0)</f>
        <v>0</v>
      </c>
      <c r="H852"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I852" s="5"/>
      <c r="J852" s="5"/>
      <c r="K852" s="5">
        <f ca="1">IFERROR(__xludf.DUMMYFUNCTION("""COMPUTED_VALUE"""),2)</f>
        <v>2</v>
      </c>
      <c r="L852" s="5" t="str">
        <f ca="1">IFERROR(__xludf.DUMMYFUNCTION("""COMPUTED_VALUE"""),"Winter")</f>
        <v>Winter</v>
      </c>
      <c r="M852" s="5" t="str">
        <f ca="1">IFERROR(__xludf.DUMMYFUNCTION("""COMPUTED_VALUE"""),"Harrington")</f>
        <v>Harrington</v>
      </c>
      <c r="N852" s="5" t="str">
        <f ca="1">IFERROR(__xludf.DUMMYFUNCTION("""COMPUTED_VALUE"""),"DE")</f>
        <v>DE</v>
      </c>
      <c r="O852" s="5" t="str">
        <f ca="1">IFERROR(__xludf.DUMMYFUNCTION("""COMPUTED_VALUE"""),"Elementary")</f>
        <v>Elementary</v>
      </c>
      <c r="P852" s="5" t="str">
        <f ca="1">IFERROR(__xludf.DUMMYFUNCTION("""COMPUTED_VALUE"""),"Field (General)")</f>
        <v>Field (General)</v>
      </c>
      <c r="Q852" s="5" t="str">
        <f ca="1">IFERROR(__xludf.DUMMYFUNCTION("""COMPUTED_VALUE"""),"Outside on School Property")</f>
        <v>Outside on School Property</v>
      </c>
      <c r="R852" s="5" t="str">
        <f ca="1">IFERROR(__xludf.DUMMYFUNCTION("""COMPUTED_VALUE"""),"No")</f>
        <v>No</v>
      </c>
      <c r="S852" s="5" t="str">
        <f ca="1">IFERROR(__xludf.DUMMYFUNCTION("""COMPUTED_VALUE"""),"Not a School Day")</f>
        <v>Not a School Day</v>
      </c>
      <c r="T852" s="10">
        <f ca="1">IFERROR(__xludf.DUMMYFUNCTION("""COMPUTED_VALUE"""),0.666666666666666)</f>
        <v>0.66666666666666596</v>
      </c>
      <c r="U852" s="5">
        <f ca="1">IFERROR(__xludf.DUMMYFUNCTION("""COMPUTED_VALUE"""),1)</f>
        <v>1</v>
      </c>
      <c r="V852" s="5" t="str">
        <f ca="1">IFERROR(__xludf.DUMMYFUNCTION("""COMPUTED_VALUE"""),"Fight broke out among teens playing football on school grounds")</f>
        <v>Fight broke out among teens playing football on school grounds</v>
      </c>
      <c r="W852"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X852" s="5" t="str">
        <f ca="1">IFERROR(__xludf.DUMMYFUNCTION("""COMPUTED_VALUE"""),"Escalation of Dispute")</f>
        <v>Escalation of Dispute</v>
      </c>
      <c r="Y852" s="5"/>
      <c r="Z852" s="5" t="str">
        <f ca="1">IFERROR(__xludf.DUMMYFUNCTION("""COMPUTED_VALUE"""),"Yes")</f>
        <v>Yes</v>
      </c>
      <c r="AA852" s="5" t="str">
        <f ca="1">IFERROR(__xludf.DUMMYFUNCTION("""COMPUTED_VALUE"""),"David Brown")</f>
        <v>David Brown</v>
      </c>
      <c r="AB852" s="5" t="str">
        <f ca="1">IFERROR(__xludf.DUMMYFUNCTION("""COMPUTED_VALUE"""),"No")</f>
        <v>No</v>
      </c>
      <c r="AC852" s="5" t="str">
        <f ca="1">IFERROR(__xludf.DUMMYFUNCTION("""COMPUTED_VALUE"""),"No")</f>
        <v>No</v>
      </c>
      <c r="AD852" s="5" t="str">
        <f ca="1">IFERROR(__xludf.DUMMYFUNCTION("""COMPUTED_VALUE"""),"No")</f>
        <v>No</v>
      </c>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row>
    <row r="853" spans="1:34" ht="12.75">
      <c r="A853" s="5" t="str">
        <f ca="1">IFERROR(__xludf.DUMMYFUNCTION("""COMPUTED_VALUE"""),"20161216FLSAJ")</f>
        <v>20161216FLSAJ</v>
      </c>
      <c r="B853" s="8">
        <f ca="1">IFERROR(__xludf.DUMMYFUNCTION("""COMPUTED_VALUE"""),42720)</f>
        <v>42720</v>
      </c>
      <c r="C853" s="5" t="str">
        <f ca="1">IFERROR(__xludf.DUMMYFUNCTION("""COMPUTED_VALUE"""),"Samuel W. Wolfson High School")</f>
        <v>Samuel W. Wolfson High School</v>
      </c>
      <c r="D853" s="5">
        <f ca="1">IFERROR(__xludf.DUMMYFUNCTION("""COMPUTED_VALUE"""),0)</f>
        <v>0</v>
      </c>
      <c r="E853" s="5">
        <f ca="1">IFERROR(__xludf.DUMMYFUNCTION("""COMPUTED_VALUE"""),0)</f>
        <v>0</v>
      </c>
      <c r="F853" s="5">
        <f ca="1">IFERROR(__xludf.DUMMYFUNCTION("""COMPUTED_VALUE"""),0)</f>
        <v>0</v>
      </c>
      <c r="G853" s="5">
        <f ca="1">IFERROR(__xludf.DUMMYFUNCTION("""COMPUTED_VALUE"""),0)</f>
        <v>0</v>
      </c>
      <c r="H853"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I853" s="5">
        <f ca="1">IFERROR(__xludf.DUMMYFUNCTION("""COMPUTED_VALUE"""),2)</f>
        <v>2</v>
      </c>
      <c r="J853" s="5" t="str">
        <f ca="1">IFERROR(__xludf.DUMMYFUNCTION("""COMPUTED_VALUE"""),"Local")</f>
        <v>Local</v>
      </c>
      <c r="K853" s="5">
        <f ca="1">IFERROR(__xludf.DUMMYFUNCTION("""COMPUTED_VALUE"""),4)</f>
        <v>4</v>
      </c>
      <c r="L853" s="5" t="str">
        <f ca="1">IFERROR(__xludf.DUMMYFUNCTION("""COMPUTED_VALUE"""),"Winter")</f>
        <v>Winter</v>
      </c>
      <c r="M853" s="5" t="str">
        <f ca="1">IFERROR(__xludf.DUMMYFUNCTION("""COMPUTED_VALUE"""),"Jacksonville")</f>
        <v>Jacksonville</v>
      </c>
      <c r="N853" s="5" t="str">
        <f ca="1">IFERROR(__xludf.DUMMYFUNCTION("""COMPUTED_VALUE"""),"FL")</f>
        <v>FL</v>
      </c>
      <c r="O853" s="5" t="str">
        <f ca="1">IFERROR(__xludf.DUMMYFUNCTION("""COMPUTED_VALUE"""),"High")</f>
        <v>High</v>
      </c>
      <c r="P853" s="5" t="str">
        <f ca="1">IFERROR(__xludf.DUMMYFUNCTION("""COMPUTED_VALUE"""),"School Bus")</f>
        <v>School Bus</v>
      </c>
      <c r="Q853" s="5" t="str">
        <f ca="1">IFERROR(__xludf.DUMMYFUNCTION("""COMPUTED_VALUE"""),"School Bus")</f>
        <v>School Bus</v>
      </c>
      <c r="R853" s="5" t="str">
        <f ca="1">IFERROR(__xludf.DUMMYFUNCTION("""COMPUTED_VALUE"""),"Yes")</f>
        <v>Yes</v>
      </c>
      <c r="S853" s="5" t="str">
        <f ca="1">IFERROR(__xludf.DUMMYFUNCTION("""COMPUTED_VALUE"""),"Dismissal")</f>
        <v>Dismissal</v>
      </c>
      <c r="T853" s="10">
        <f ca="1">IFERROR(__xludf.DUMMYFUNCTION("""COMPUTED_VALUE"""),0.618055555555555)</f>
        <v>0.61805555555555503</v>
      </c>
      <c r="U853" s="5">
        <f ca="1">IFERROR(__xludf.DUMMYFUNCTION("""COMPUTED_VALUE"""),1)</f>
        <v>1</v>
      </c>
      <c r="V853" s="5" t="str">
        <f ca="1">IFERROR(__xludf.DUMMYFUNCTION("""COMPUTED_VALUE"""),"Teen shot BB gun at bus breaking window and injuring student inside")</f>
        <v>Teen shot BB gun at bus breaking window and injuring student inside</v>
      </c>
      <c r="W853"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X853" s="5" t="str">
        <f ca="1">IFERROR(__xludf.DUMMYFUNCTION("""COMPUTED_VALUE"""),"Intentional Property Damage")</f>
        <v>Intentional Property Damage</v>
      </c>
      <c r="Y853" s="5" t="str">
        <f ca="1">IFERROR(__xludf.DUMMYFUNCTION("""COMPUTED_VALUE"""),"Random Shooting")</f>
        <v>Random Shooting</v>
      </c>
      <c r="Z853" s="5" t="str">
        <f ca="1">IFERROR(__xludf.DUMMYFUNCTION("""COMPUTED_VALUE"""),"No")</f>
        <v>No</v>
      </c>
      <c r="AA853" s="5"/>
      <c r="AB853" s="5" t="str">
        <f ca="1">IFERROR(__xludf.DUMMYFUNCTION("""COMPUTED_VALUE"""),"No")</f>
        <v>No</v>
      </c>
      <c r="AC853" s="5" t="str">
        <f ca="1">IFERROR(__xludf.DUMMYFUNCTION("""COMPUTED_VALUE"""),"No")</f>
        <v>No</v>
      </c>
      <c r="AD853" s="5" t="str">
        <f ca="1">IFERROR(__xludf.DUMMYFUNCTION("""COMPUTED_VALUE"""),"No")</f>
        <v>No</v>
      </c>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row>
    <row r="854" spans="1:34" ht="12.75">
      <c r="A854" s="5" t="str">
        <f ca="1">IFERROR(__xludf.DUMMYFUNCTION("""COMPUTED_VALUE"""),"20161209NVHUR")</f>
        <v>20161209NVHUR</v>
      </c>
      <c r="B854" s="8">
        <f ca="1">IFERROR(__xludf.DUMMYFUNCTION("""COMPUTED_VALUE"""),42713)</f>
        <v>42713</v>
      </c>
      <c r="C854" s="5" t="str">
        <f ca="1">IFERROR(__xludf.DUMMYFUNCTION("""COMPUTED_VALUE"""),"Hug High School")</f>
        <v>Hug High School</v>
      </c>
      <c r="D854" s="5">
        <f ca="1">IFERROR(__xludf.DUMMYFUNCTION("""COMPUTED_VALUE"""),0)</f>
        <v>0</v>
      </c>
      <c r="E854" s="5">
        <f ca="1">IFERROR(__xludf.DUMMYFUNCTION("""COMPUTED_VALUE"""),1)</f>
        <v>1</v>
      </c>
      <c r="F854" s="5">
        <f ca="1">IFERROR(__xludf.DUMMYFUNCTION("""COMPUTED_VALUE"""),1)</f>
        <v>1</v>
      </c>
      <c r="G854" s="5">
        <f ca="1">IFERROR(__xludf.DUMMYFUNCTION("""COMPUTED_VALUE"""),0)</f>
        <v>0</v>
      </c>
      <c r="H854"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I854" s="5"/>
      <c r="J854" s="5"/>
      <c r="K854" s="5">
        <f ca="1">IFERROR(__xludf.DUMMYFUNCTION("""COMPUTED_VALUE"""),3)</f>
        <v>3</v>
      </c>
      <c r="L854" s="5" t="str">
        <f ca="1">IFERROR(__xludf.DUMMYFUNCTION("""COMPUTED_VALUE"""),"Winter")</f>
        <v>Winter</v>
      </c>
      <c r="M854" s="5" t="str">
        <f ca="1">IFERROR(__xludf.DUMMYFUNCTION("""COMPUTED_VALUE"""),"Reno")</f>
        <v>Reno</v>
      </c>
      <c r="N854" s="5" t="str">
        <f ca="1">IFERROR(__xludf.DUMMYFUNCTION("""COMPUTED_VALUE"""),"NV")</f>
        <v>NV</v>
      </c>
      <c r="O854" s="5" t="str">
        <f ca="1">IFERROR(__xludf.DUMMYFUNCTION("""COMPUTED_VALUE"""),"High")</f>
        <v>High</v>
      </c>
      <c r="P854" s="5" t="str">
        <f ca="1">IFERROR(__xludf.DUMMYFUNCTION("""COMPUTED_VALUE"""),"Outside on School Property")</f>
        <v>Outside on School Property</v>
      </c>
      <c r="Q854" s="5" t="str">
        <f ca="1">IFERROR(__xludf.DUMMYFUNCTION("""COMPUTED_VALUE"""),"Outside on School Property")</f>
        <v>Outside on School Property</v>
      </c>
      <c r="R854" s="5" t="str">
        <f ca="1">IFERROR(__xludf.DUMMYFUNCTION("""COMPUTED_VALUE"""),"Yes")</f>
        <v>Yes</v>
      </c>
      <c r="S854" s="5" t="str">
        <f ca="1">IFERROR(__xludf.DUMMYFUNCTION("""COMPUTED_VALUE"""),"Morning Classes")</f>
        <v>Morning Classes</v>
      </c>
      <c r="T854" s="10">
        <f ca="1">IFERROR(__xludf.DUMMYFUNCTION("""COMPUTED_VALUE"""),0.475694444444444)</f>
        <v>0.47569444444444398</v>
      </c>
      <c r="U854" s="5">
        <f ca="1">IFERROR(__xludf.DUMMYFUNCTION("""COMPUTED_VALUE"""),1)</f>
        <v>1</v>
      </c>
      <c r="V854" s="5" t="str">
        <f ca="1">IFERROR(__xludf.DUMMYFUNCTION("""COMPUTED_VALUE"""),"Officer shot student holding knife")</f>
        <v>Officer shot student holding knife</v>
      </c>
      <c r="W854"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X854" s="5" t="str">
        <f ca="1">IFERROR(__xludf.DUMMYFUNCTION("""COMPUTED_VALUE"""),"Self-defense")</f>
        <v>Self-defense</v>
      </c>
      <c r="Y854" s="5" t="str">
        <f ca="1">IFERROR(__xludf.DUMMYFUNCTION("""COMPUTED_VALUE"""),"Victims Targeted")</f>
        <v>Victims Targeted</v>
      </c>
      <c r="Z854" s="5" t="str">
        <f ca="1">IFERROR(__xludf.DUMMYFUNCTION("""COMPUTED_VALUE"""),"No")</f>
        <v>No</v>
      </c>
      <c r="AA854" s="5"/>
      <c r="AB854" s="5" t="str">
        <f ca="1">IFERROR(__xludf.DUMMYFUNCTION("""COMPUTED_VALUE"""),"No")</f>
        <v>No</v>
      </c>
      <c r="AC854" s="5" t="str">
        <f ca="1">IFERROR(__xludf.DUMMYFUNCTION("""COMPUTED_VALUE"""),"No")</f>
        <v>No</v>
      </c>
      <c r="AD854" s="5" t="str">
        <f ca="1">IFERROR(__xludf.DUMMYFUNCTION("""COMPUTED_VALUE"""),"Yes")</f>
        <v>Yes</v>
      </c>
      <c r="AE854" s="5"/>
      <c r="AF854" s="5"/>
      <c r="AG854" s="5"/>
      <c r="AH854" s="5" t="str">
        <f ca="1">IFERROR(__xludf.DUMMYFUNCTION("""COMPUTED_VALUE"""),"No")</f>
        <v>No</v>
      </c>
    </row>
    <row r="855" spans="1:34" ht="12.75">
      <c r="A855" s="5" t="str">
        <f ca="1">IFERROR(__xludf.DUMMYFUNCTION("""COMPUTED_VALUE"""),"20161209MOBAS")</f>
        <v>20161209MOBAS</v>
      </c>
      <c r="B855" s="8">
        <f ca="1">IFERROR(__xludf.DUMMYFUNCTION("""COMPUTED_VALUE"""),42713)</f>
        <v>42713</v>
      </c>
      <c r="C855" s="5" t="str">
        <f ca="1">IFERROR(__xludf.DUMMYFUNCTION("""COMPUTED_VALUE"""),"Bayless High School")</f>
        <v>Bayless High School</v>
      </c>
      <c r="D855" s="5">
        <f ca="1">IFERROR(__xludf.DUMMYFUNCTION("""COMPUTED_VALUE"""),0)</f>
        <v>0</v>
      </c>
      <c r="E855" s="5">
        <f ca="1">IFERROR(__xludf.DUMMYFUNCTION("""COMPUTED_VALUE"""),1)</f>
        <v>1</v>
      </c>
      <c r="F855" s="5">
        <f ca="1">IFERROR(__xludf.DUMMYFUNCTION("""COMPUTED_VALUE"""),1)</f>
        <v>1</v>
      </c>
      <c r="G855" s="5">
        <f ca="1">IFERROR(__xludf.DUMMYFUNCTION("""COMPUTED_VALUE"""),0)</f>
        <v>0</v>
      </c>
      <c r="H855"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I855" s="5"/>
      <c r="J855" s="5"/>
      <c r="K855" s="5">
        <f ca="1">IFERROR(__xludf.DUMMYFUNCTION("""COMPUTED_VALUE"""),5)</f>
        <v>5</v>
      </c>
      <c r="L855" s="5" t="str">
        <f ca="1">IFERROR(__xludf.DUMMYFUNCTION("""COMPUTED_VALUE"""),"Winter")</f>
        <v>Winter</v>
      </c>
      <c r="M855" s="5" t="str">
        <f ca="1">IFERROR(__xludf.DUMMYFUNCTION("""COMPUTED_VALUE"""),"St. Louis")</f>
        <v>St. Louis</v>
      </c>
      <c r="N855" s="5" t="str">
        <f ca="1">IFERROR(__xludf.DUMMYFUNCTION("""COMPUTED_VALUE"""),"MO")</f>
        <v>MO</v>
      </c>
      <c r="O855" s="5" t="str">
        <f ca="1">IFERROR(__xludf.DUMMYFUNCTION("""COMPUTED_VALUE"""),"High")</f>
        <v>High</v>
      </c>
      <c r="P855" s="5" t="str">
        <f ca="1">IFERROR(__xludf.DUMMYFUNCTION("""COMPUTED_VALUE"""),"Gym")</f>
        <v>Gym</v>
      </c>
      <c r="Q855" s="5" t="str">
        <f ca="1">IFERROR(__xludf.DUMMYFUNCTION("""COMPUTED_VALUE"""),"Inside School Building")</f>
        <v>Inside School Building</v>
      </c>
      <c r="R855" s="5" t="str">
        <f ca="1">IFERROR(__xludf.DUMMYFUNCTION("""COMPUTED_VALUE"""),"No")</f>
        <v>No</v>
      </c>
      <c r="S855" s="5" t="str">
        <f ca="1">IFERROR(__xludf.DUMMYFUNCTION("""COMPUTED_VALUE"""),"Sport Event")</f>
        <v>Sport Event</v>
      </c>
      <c r="T855" s="10">
        <f ca="1">IFERROR(__xludf.DUMMYFUNCTION("""COMPUTED_VALUE"""),0.802083333333333)</f>
        <v>0.80208333333333304</v>
      </c>
      <c r="U855" s="5">
        <f ca="1">IFERROR(__xludf.DUMMYFUNCTION("""COMPUTED_VALUE"""),1)</f>
        <v>1</v>
      </c>
      <c r="V855" s="5" t="str">
        <f ca="1">IFERROR(__xludf.DUMMYFUNCTION("""COMPUTED_VALUE"""),"Fight ensued over a $5 debt")</f>
        <v>Fight ensued over a $5 debt</v>
      </c>
      <c r="W855"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X855" s="5" t="str">
        <f ca="1">IFERROR(__xludf.DUMMYFUNCTION("""COMPUTED_VALUE"""),"Escalation of Dispute")</f>
        <v>Escalation of Dispute</v>
      </c>
      <c r="Y855" s="5" t="str">
        <f ca="1">IFERROR(__xludf.DUMMYFUNCTION("""COMPUTED_VALUE"""),"Victims Targeted")</f>
        <v>Victims Targeted</v>
      </c>
      <c r="Z855" s="5" t="str">
        <f ca="1">IFERROR(__xludf.DUMMYFUNCTION("""COMPUTED_VALUE"""),"Yes")</f>
        <v>Yes</v>
      </c>
      <c r="AA855" s="5" t="str">
        <f ca="1">IFERROR(__xludf.DUMMYFUNCTION("""COMPUTED_VALUE"""),"Three men confronted victim")</f>
        <v>Three men confronted victim</v>
      </c>
      <c r="AB855" s="5" t="str">
        <f ca="1">IFERROR(__xludf.DUMMYFUNCTION("""COMPUTED_VALUE"""),"No")</f>
        <v>No</v>
      </c>
      <c r="AC855" s="5" t="str">
        <f ca="1">IFERROR(__xludf.DUMMYFUNCTION("""COMPUTED_VALUE"""),"No")</f>
        <v>No</v>
      </c>
      <c r="AD855" s="5" t="str">
        <f ca="1">IFERROR(__xludf.DUMMYFUNCTION("""COMPUTED_VALUE"""),"No")</f>
        <v>No</v>
      </c>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row>
    <row r="856" spans="1:34" ht="12.75">
      <c r="A856" s="5" t="str">
        <f ca="1">IFERROR(__xludf.DUMMYFUNCTION("""COMPUTED_VALUE"""),"20161201UTMUB")</f>
        <v>20161201UTMUB</v>
      </c>
      <c r="B856" s="8">
        <f ca="1">IFERROR(__xludf.DUMMYFUNCTION("""COMPUTED_VALUE"""),42705)</f>
        <v>42705</v>
      </c>
      <c r="C856" s="5" t="str">
        <f ca="1">IFERROR(__xludf.DUMMYFUNCTION("""COMPUTED_VALUE"""),"Mueller Park Junior High School")</f>
        <v>Mueller Park Junior High School</v>
      </c>
      <c r="D856" s="5">
        <f ca="1">IFERROR(__xludf.DUMMYFUNCTION("""COMPUTED_VALUE"""),0)</f>
        <v>0</v>
      </c>
      <c r="E856" s="5">
        <f ca="1">IFERROR(__xludf.DUMMYFUNCTION("""COMPUTED_VALUE"""),0)</f>
        <v>0</v>
      </c>
      <c r="F856" s="5">
        <f ca="1">IFERROR(__xludf.DUMMYFUNCTION("""COMPUTED_VALUE"""),0)</f>
        <v>0</v>
      </c>
      <c r="G856" s="5">
        <f ca="1">IFERROR(__xludf.DUMMYFUNCTION("""COMPUTED_VALUE"""),0)</f>
        <v>0</v>
      </c>
      <c r="H856" s="9" t="str">
        <f ca="1">IFERROR(__xludf.DUMMYFUNCTION("""COMPUTED_VALUE"""),"http://www.standard.net/Police-Fire/2017/02/13/Teen-accused-of-shooting-gun-in-Mueller-Park-Jr-High-pleads-guilty")</f>
        <v>http://www.standard.net/Police-Fire/2017/02/13/Teen-accused-of-shooting-gun-in-Mueller-Park-Jr-High-pleads-guilty</v>
      </c>
      <c r="I856" s="5">
        <f ca="1">IFERROR(__xludf.DUMMYFUNCTION("""COMPUTED_VALUE"""),11)</f>
        <v>11</v>
      </c>
      <c r="J856" s="5" t="str">
        <f ca="1">IFERROR(__xludf.DUMMYFUNCTION("""COMPUTED_VALUE"""),"National")</f>
        <v>National</v>
      </c>
      <c r="K856" s="5">
        <f ca="1">IFERROR(__xludf.DUMMYFUNCTION("""COMPUTED_VALUE"""),2)</f>
        <v>2</v>
      </c>
      <c r="L856" s="5" t="str">
        <f ca="1">IFERROR(__xludf.DUMMYFUNCTION("""COMPUTED_VALUE"""),"Winter")</f>
        <v>Winter</v>
      </c>
      <c r="M856" s="5" t="str">
        <f ca="1">IFERROR(__xludf.DUMMYFUNCTION("""COMPUTED_VALUE"""),"Bountiful")</f>
        <v>Bountiful</v>
      </c>
      <c r="N856" s="5" t="str">
        <f ca="1">IFERROR(__xludf.DUMMYFUNCTION("""COMPUTED_VALUE"""),"UT")</f>
        <v>UT</v>
      </c>
      <c r="O856" s="5" t="str">
        <f ca="1">IFERROR(__xludf.DUMMYFUNCTION("""COMPUTED_VALUE"""),"Junior High")</f>
        <v>Junior High</v>
      </c>
      <c r="P856" s="5" t="str">
        <f ca="1">IFERROR(__xludf.DUMMYFUNCTION("""COMPUTED_VALUE"""),"Classroom")</f>
        <v>Classroom</v>
      </c>
      <c r="Q856" s="5" t="str">
        <f ca="1">IFERROR(__xludf.DUMMYFUNCTION("""COMPUTED_VALUE"""),"Inside School Building")</f>
        <v>Inside School Building</v>
      </c>
      <c r="R856" s="5" t="str">
        <f ca="1">IFERROR(__xludf.DUMMYFUNCTION("""COMPUTED_VALUE"""),"No")</f>
        <v>No</v>
      </c>
      <c r="S856" s="5" t="str">
        <f ca="1">IFERROR(__xludf.DUMMYFUNCTION("""COMPUTED_VALUE"""),"Morning Classes")</f>
        <v>Morning Classes</v>
      </c>
      <c r="T856" s="10">
        <f ca="1">IFERROR(__xludf.DUMMYFUNCTION("""COMPUTED_VALUE"""),0.342361111111111)</f>
        <v>0.34236111111111101</v>
      </c>
      <c r="U856" s="5"/>
      <c r="V856" s="5" t="str">
        <f ca="1">IFERROR(__xludf.DUMMYFUNCTION("""COMPUTED_VALUE"""),"Fired shotgun into classroom ceiling and threatened to kill self, surrendered to parents")</f>
        <v>Fired shotgun into classroom ceiling and threatened to kill self, surrendered to parents</v>
      </c>
      <c r="W856"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X856" s="5" t="str">
        <f ca="1">IFERROR(__xludf.DUMMYFUNCTION("""COMPUTED_VALUE"""),"Indiscriminate Shooting")</f>
        <v>Indiscriminate Shooting</v>
      </c>
      <c r="Y856" s="5" t="str">
        <f ca="1">IFERROR(__xludf.DUMMYFUNCTION("""COMPUTED_VALUE"""),"Random Shooting")</f>
        <v>Random Shooting</v>
      </c>
      <c r="Z856" s="5" t="str">
        <f ca="1">IFERROR(__xludf.DUMMYFUNCTION("""COMPUTED_VALUE"""),"No")</f>
        <v>No</v>
      </c>
      <c r="AA856" s="5"/>
      <c r="AB856" s="5" t="str">
        <f ca="1">IFERROR(__xludf.DUMMYFUNCTION("""COMPUTED_VALUE"""),"No")</f>
        <v>No</v>
      </c>
      <c r="AC856" s="5" t="str">
        <f ca="1">IFERROR(__xludf.DUMMYFUNCTION("""COMPUTED_VALUE"""),"No")</f>
        <v>No</v>
      </c>
      <c r="AD856" s="5" t="str">
        <f ca="1">IFERROR(__xludf.DUMMYFUNCTION("""COMPUTED_VALUE"""),"No")</f>
        <v>No</v>
      </c>
      <c r="AE856" s="5" t="str">
        <f ca="1">IFERROR(__xludf.DUMMYFUNCTION("""COMPUTED_VALUE"""),"Yes")</f>
        <v>Yes</v>
      </c>
      <c r="AF856" s="5" t="str">
        <f ca="1">IFERROR(__xludf.DUMMYFUNCTION("""COMPUTED_VALUE"""),"No")</f>
        <v>No</v>
      </c>
      <c r="AG856" s="5" t="str">
        <f ca="1">IFERROR(__xludf.DUMMYFUNCTION("""COMPUTED_VALUE"""),"No")</f>
        <v>No</v>
      </c>
      <c r="AH856" s="5" t="str">
        <f ca="1">IFERROR(__xludf.DUMMYFUNCTION("""COMPUTED_VALUE"""),"Yes")</f>
        <v>Yes</v>
      </c>
    </row>
    <row r="857" spans="1:34" ht="12.75">
      <c r="A857" s="5" t="str">
        <f ca="1">IFERROR(__xludf.DUMMYFUNCTION("""COMPUTED_VALUE"""),"20161117MNCRS")</f>
        <v>20161117MNCRS</v>
      </c>
      <c r="B857" s="8">
        <f ca="1">IFERROR(__xludf.DUMMYFUNCTION("""COMPUTED_VALUE"""),42691)</f>
        <v>42691</v>
      </c>
      <c r="C857" s="5" t="str">
        <f ca="1">IFERROR(__xludf.DUMMYFUNCTION("""COMPUTED_VALUE"""),"Crossroads Elementary School")</f>
        <v>Crossroads Elementary School</v>
      </c>
      <c r="D857" s="5">
        <f ca="1">IFERROR(__xludf.DUMMYFUNCTION("""COMPUTED_VALUE"""),0)</f>
        <v>0</v>
      </c>
      <c r="E857" s="5">
        <f ca="1">IFERROR(__xludf.DUMMYFUNCTION("""COMPUTED_VALUE"""),0)</f>
        <v>0</v>
      </c>
      <c r="F857" s="5">
        <f ca="1">IFERROR(__xludf.DUMMYFUNCTION("""COMPUTED_VALUE"""),0)</f>
        <v>0</v>
      </c>
      <c r="G857" s="5">
        <f ca="1">IFERROR(__xludf.DUMMYFUNCTION("""COMPUTED_VALUE"""),0)</f>
        <v>0</v>
      </c>
      <c r="H857"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I857" s="5"/>
      <c r="J857" s="5"/>
      <c r="K857" s="5">
        <f ca="1">IFERROR(__xludf.DUMMYFUNCTION("""COMPUTED_VALUE"""),3)</f>
        <v>3</v>
      </c>
      <c r="L857" s="5" t="str">
        <f ca="1">IFERROR(__xludf.DUMMYFUNCTION("""COMPUTED_VALUE"""),"Fall")</f>
        <v>Fall</v>
      </c>
      <c r="M857" s="5" t="str">
        <f ca="1">IFERROR(__xludf.DUMMYFUNCTION("""COMPUTED_VALUE"""),"St. Paul")</f>
        <v>St. Paul</v>
      </c>
      <c r="N857" s="5" t="str">
        <f ca="1">IFERROR(__xludf.DUMMYFUNCTION("""COMPUTED_VALUE"""),"MN")</f>
        <v>MN</v>
      </c>
      <c r="O857" s="5" t="str">
        <f ca="1">IFERROR(__xludf.DUMMYFUNCTION("""COMPUTED_VALUE"""),"Elementary")</f>
        <v>Elementary</v>
      </c>
      <c r="P857" s="5" t="str">
        <f ca="1">IFERROR(__xludf.DUMMYFUNCTION("""COMPUTED_VALUE"""),"Inside School Building")</f>
        <v>Inside School Building</v>
      </c>
      <c r="Q857" s="5" t="str">
        <f ca="1">IFERROR(__xludf.DUMMYFUNCTION("""COMPUTED_VALUE"""),"Inside School Building")</f>
        <v>Inside School Building</v>
      </c>
      <c r="R857" s="5" t="str">
        <f ca="1">IFERROR(__xludf.DUMMYFUNCTION("""COMPUTED_VALUE"""),"Yes")</f>
        <v>Yes</v>
      </c>
      <c r="S857" s="5" t="str">
        <f ca="1">IFERROR(__xludf.DUMMYFUNCTION("""COMPUTED_VALUE"""),"Morning Classes")</f>
        <v>Morning Classes</v>
      </c>
      <c r="T857" s="10">
        <f ca="1">IFERROR(__xludf.DUMMYFUNCTION("""COMPUTED_VALUE"""),0.361111111111111)</f>
        <v>0.36111111111111099</v>
      </c>
      <c r="U857" s="5">
        <f ca="1">IFERROR(__xludf.DUMMYFUNCTION("""COMPUTED_VALUE"""),1)</f>
        <v>1</v>
      </c>
      <c r="V857" s="5" t="str">
        <f ca="1">IFERROR(__xludf.DUMMYFUNCTION("""COMPUTED_VALUE"""),"Accidental discharge while showing off gun")</f>
        <v>Accidental discharge while showing off gun</v>
      </c>
      <c r="W857"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X857" s="5" t="str">
        <f ca="1">IFERROR(__xludf.DUMMYFUNCTION("""COMPUTED_VALUE"""),"Accidental")</f>
        <v>Accidental</v>
      </c>
      <c r="Y857" s="5" t="str">
        <f ca="1">IFERROR(__xludf.DUMMYFUNCTION("""COMPUTED_VALUE"""),"Neither")</f>
        <v>Neither</v>
      </c>
      <c r="Z857" s="5" t="str">
        <f ca="1">IFERROR(__xludf.DUMMYFUNCTION("""COMPUTED_VALUE"""),"No")</f>
        <v>No</v>
      </c>
      <c r="AA857" s="5"/>
      <c r="AB857" s="5" t="str">
        <f ca="1">IFERROR(__xludf.DUMMYFUNCTION("""COMPUTED_VALUE"""),"No")</f>
        <v>No</v>
      </c>
      <c r="AC857" s="5" t="str">
        <f ca="1">IFERROR(__xludf.DUMMYFUNCTION("""COMPUTED_VALUE"""),"No")</f>
        <v>No</v>
      </c>
      <c r="AD857" s="5" t="str">
        <f ca="1">IFERROR(__xludf.DUMMYFUNCTION("""COMPUTED_VALUE"""),"No")</f>
        <v>No</v>
      </c>
      <c r="AE857" s="5" t="str">
        <f ca="1">IFERROR(__xludf.DUMMYFUNCTION("""COMPUTED_VALUE"""),"No")</f>
        <v>No</v>
      </c>
      <c r="AF857" s="5" t="str">
        <f ca="1">IFERROR(__xludf.DUMMYFUNCTION("""COMPUTED_VALUE"""),"No")</f>
        <v>No</v>
      </c>
      <c r="AG857" s="5" t="str">
        <f ca="1">IFERROR(__xludf.DUMMYFUNCTION("""COMPUTED_VALUE"""),"No")</f>
        <v>No</v>
      </c>
      <c r="AH857" s="5" t="str">
        <f ca="1">IFERROR(__xludf.DUMMYFUNCTION("""COMPUTED_VALUE"""),"No")</f>
        <v>No</v>
      </c>
    </row>
    <row r="858" spans="1:34" ht="12.75">
      <c r="A858" s="5" t="str">
        <f ca="1">IFERROR(__xludf.DUMMYFUNCTION("""COMPUTED_VALUE"""),"20161111MIBAA")</f>
        <v>20161111MIBAA</v>
      </c>
      <c r="B858" s="8">
        <f ca="1">IFERROR(__xludf.DUMMYFUNCTION("""COMPUTED_VALUE"""),42685)</f>
        <v>42685</v>
      </c>
      <c r="C858" s="5" t="str">
        <f ca="1">IFERROR(__xludf.DUMMYFUNCTION("""COMPUTED_VALUE"""),"Bay City Western High School")</f>
        <v>Bay City Western High School</v>
      </c>
      <c r="D858" s="5">
        <f ca="1">IFERROR(__xludf.DUMMYFUNCTION("""COMPUTED_VALUE"""),0)</f>
        <v>0</v>
      </c>
      <c r="E858" s="5">
        <f ca="1">IFERROR(__xludf.DUMMYFUNCTION("""COMPUTED_VALUE"""),1)</f>
        <v>1</v>
      </c>
      <c r="F858" s="5">
        <f ca="1">IFERROR(__xludf.DUMMYFUNCTION("""COMPUTED_VALUE"""),1)</f>
        <v>1</v>
      </c>
      <c r="G858" s="5">
        <f ca="1">IFERROR(__xludf.DUMMYFUNCTION("""COMPUTED_VALUE"""),0)</f>
        <v>0</v>
      </c>
      <c r="H858" s="9" t="str">
        <f ca="1">IFERROR(__xludf.DUMMYFUNCTION("""COMPUTED_VALUE"""),"http://www.mlive.com/news/bay-city/index.ssf/2016/12/deputy_who_fired_gun_in_school.html")</f>
        <v>http://www.mlive.com/news/bay-city/index.ssf/2016/12/deputy_who_fired_gun_in_school.html</v>
      </c>
      <c r="I858" s="5">
        <f ca="1">IFERROR(__xludf.DUMMYFUNCTION("""COMPUTED_VALUE"""),5)</f>
        <v>5</v>
      </c>
      <c r="J858" s="5" t="str">
        <f ca="1">IFERROR(__xludf.DUMMYFUNCTION("""COMPUTED_VALUE"""),"Local")</f>
        <v>Local</v>
      </c>
      <c r="K858" s="5">
        <f ca="1">IFERROR(__xludf.DUMMYFUNCTION("""COMPUTED_VALUE"""),2)</f>
        <v>2</v>
      </c>
      <c r="L858" s="5" t="str">
        <f ca="1">IFERROR(__xludf.DUMMYFUNCTION("""COMPUTED_VALUE"""),"Fall")</f>
        <v>Fall</v>
      </c>
      <c r="M858" s="5" t="str">
        <f ca="1">IFERROR(__xludf.DUMMYFUNCTION("""COMPUTED_VALUE"""),"Auburn")</f>
        <v>Auburn</v>
      </c>
      <c r="N858" s="5" t="str">
        <f ca="1">IFERROR(__xludf.DUMMYFUNCTION("""COMPUTED_VALUE"""),"MI")</f>
        <v>MI</v>
      </c>
      <c r="O858" s="5" t="str">
        <f ca="1">IFERROR(__xludf.DUMMYFUNCTION("""COMPUTED_VALUE"""),"High")</f>
        <v>High</v>
      </c>
      <c r="P858" s="5" t="str">
        <f ca="1">IFERROR(__xludf.DUMMYFUNCTION("""COMPUTED_VALUE"""),"Office")</f>
        <v>Office</v>
      </c>
      <c r="Q858" s="5" t="str">
        <f ca="1">IFERROR(__xludf.DUMMYFUNCTION("""COMPUTED_VALUE"""),"Inside School Building")</f>
        <v>Inside School Building</v>
      </c>
      <c r="R858" s="5" t="str">
        <f ca="1">IFERROR(__xludf.DUMMYFUNCTION("""COMPUTED_VALUE"""),"Yes")</f>
        <v>Yes</v>
      </c>
      <c r="S858" s="5" t="str">
        <f ca="1">IFERROR(__xludf.DUMMYFUNCTION("""COMPUTED_VALUE"""),"Lunch")</f>
        <v>Lunch</v>
      </c>
      <c r="T858" s="10">
        <f ca="1">IFERROR(__xludf.DUMMYFUNCTION("""COMPUTED_VALUE"""),0.520833333333333)</f>
        <v>0.52083333333333304</v>
      </c>
      <c r="U858" s="5">
        <f ca="1">IFERROR(__xludf.DUMMYFUNCTION("""COMPUTED_VALUE"""),1)</f>
        <v>1</v>
      </c>
      <c r="V858" s="5" t="str">
        <f ca="1">IFERROR(__xludf.DUMMYFUNCTION("""COMPUTED_VALUE"""),"Accidental discharge by SRO. Attempted to cover-up discharge and was arrested.")</f>
        <v>Accidental discharge by SRO. Attempted to cover-up discharge and was arrested.</v>
      </c>
      <c r="W858"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X858" s="5" t="str">
        <f ca="1">IFERROR(__xludf.DUMMYFUNCTION("""COMPUTED_VALUE"""),"Accidental")</f>
        <v>Accidental</v>
      </c>
      <c r="Y858" s="5" t="str">
        <f ca="1">IFERROR(__xludf.DUMMYFUNCTION("""COMPUTED_VALUE"""),"Neither")</f>
        <v>Neither</v>
      </c>
      <c r="Z858" s="5"/>
      <c r="AA858" s="5"/>
      <c r="AB858" s="5" t="str">
        <f ca="1">IFERROR(__xludf.DUMMYFUNCTION("""COMPUTED_VALUE"""),"No")</f>
        <v>No</v>
      </c>
      <c r="AC858" s="5" t="str">
        <f ca="1">IFERROR(__xludf.DUMMYFUNCTION("""COMPUTED_VALUE"""),"No")</f>
        <v>No</v>
      </c>
      <c r="AD858" s="5" t="str">
        <f ca="1">IFERROR(__xludf.DUMMYFUNCTION("""COMPUTED_VALUE"""),"No")</f>
        <v>No</v>
      </c>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row>
    <row r="859" spans="1:34" ht="12.75">
      <c r="A859" s="5" t="str">
        <f ca="1">IFERROR(__xludf.DUMMYFUNCTION("""COMPUTED_VALUE"""),"20161103COBEB")</f>
        <v>20161103COBEB</v>
      </c>
      <c r="B859" s="8">
        <f ca="1">IFERROR(__xludf.DUMMYFUNCTION("""COMPUTED_VALUE"""),42677)</f>
        <v>42677</v>
      </c>
      <c r="C859" s="5" t="str">
        <f ca="1">IFERROR(__xludf.DUMMYFUNCTION("""COMPUTED_VALUE"""),"Berthoud High School")</f>
        <v>Berthoud High School</v>
      </c>
      <c r="D859" s="5">
        <f ca="1">IFERROR(__xludf.DUMMYFUNCTION("""COMPUTED_VALUE"""),0)</f>
        <v>0</v>
      </c>
      <c r="E859" s="5">
        <f ca="1">IFERROR(__xludf.DUMMYFUNCTION("""COMPUTED_VALUE"""),0)</f>
        <v>0</v>
      </c>
      <c r="F859" s="5">
        <f ca="1">IFERROR(__xludf.DUMMYFUNCTION("""COMPUTED_VALUE"""),0)</f>
        <v>0</v>
      </c>
      <c r="G859" s="5">
        <f ca="1">IFERROR(__xludf.DUMMYFUNCTION("""COMPUTED_VALUE"""),1)</f>
        <v>1</v>
      </c>
      <c r="H859" s="9" t="str">
        <f ca="1">IFERROR(__xludf.DUMMYFUNCTION("""COMPUTED_VALUE"""),"https://www.denverpost.com/2016/11/04/authorities-id-joshua-francis-berthoud-high-school-suicide/")</f>
        <v>https://www.denverpost.com/2016/11/04/authorities-id-joshua-francis-berthoud-high-school-suicide/</v>
      </c>
      <c r="I859" s="5"/>
      <c r="J859" s="5"/>
      <c r="K859" s="5">
        <f ca="1">IFERROR(__xludf.DUMMYFUNCTION("""COMPUTED_VALUE"""),2)</f>
        <v>2</v>
      </c>
      <c r="L859" s="5" t="str">
        <f ca="1">IFERROR(__xludf.DUMMYFUNCTION("""COMPUTED_VALUE"""),"Fall")</f>
        <v>Fall</v>
      </c>
      <c r="M859" s="5" t="str">
        <f ca="1">IFERROR(__xludf.DUMMYFUNCTION("""COMPUTED_VALUE"""),"Berthoud")</f>
        <v>Berthoud</v>
      </c>
      <c r="N859" s="5" t="str">
        <f ca="1">IFERROR(__xludf.DUMMYFUNCTION("""COMPUTED_VALUE"""),"CO")</f>
        <v>CO</v>
      </c>
      <c r="O859" s="5" t="str">
        <f ca="1">IFERROR(__xludf.DUMMYFUNCTION("""COMPUTED_VALUE"""),"High")</f>
        <v>High</v>
      </c>
      <c r="P859" s="5" t="str">
        <f ca="1">IFERROR(__xludf.DUMMYFUNCTION("""COMPUTED_VALUE"""),"Inside School Building")</f>
        <v>Inside School Building</v>
      </c>
      <c r="Q859" s="5" t="str">
        <f ca="1">IFERROR(__xludf.DUMMYFUNCTION("""COMPUTED_VALUE"""),"Inside School Building")</f>
        <v>Inside School Building</v>
      </c>
      <c r="R859" s="5" t="str">
        <f ca="1">IFERROR(__xludf.DUMMYFUNCTION("""COMPUTED_VALUE"""),"No")</f>
        <v>No</v>
      </c>
      <c r="S859" s="5" t="str">
        <f ca="1">IFERROR(__xludf.DUMMYFUNCTION("""COMPUTED_VALUE"""),"Before School")</f>
        <v>Before School</v>
      </c>
      <c r="T859" s="5"/>
      <c r="U859" s="5">
        <f ca="1">IFERROR(__xludf.DUMMYFUNCTION("""COMPUTED_VALUE"""),1)</f>
        <v>1</v>
      </c>
      <c r="V859" s="5" t="str">
        <f ca="1">IFERROR(__xludf.DUMMYFUNCTION("""COMPUTED_VALUE"""),"Shot self inside the school")</f>
        <v>Shot self inside the school</v>
      </c>
      <c r="W859" s="5" t="str">
        <f ca="1">IFERROR(__xludf.DUMMYFUNCTION("""COMPUTED_VALUE"""),"15YOM killed himself inside the high school.")</f>
        <v>15YOM killed himself inside the high school.</v>
      </c>
      <c r="X859" s="5" t="str">
        <f ca="1">IFERROR(__xludf.DUMMYFUNCTION("""COMPUTED_VALUE"""),"Suicide/Attempted")</f>
        <v>Suicide/Attempted</v>
      </c>
      <c r="Y859" s="5" t="str">
        <f ca="1">IFERROR(__xludf.DUMMYFUNCTION("""COMPUTED_VALUE"""),"Victims Targeted")</f>
        <v>Victims Targeted</v>
      </c>
      <c r="Z859" s="5" t="str">
        <f ca="1">IFERROR(__xludf.DUMMYFUNCTION("""COMPUTED_VALUE"""),"No")</f>
        <v>No</v>
      </c>
      <c r="AA859" s="5"/>
      <c r="AB859" s="5" t="str">
        <f ca="1">IFERROR(__xludf.DUMMYFUNCTION("""COMPUTED_VALUE"""),"No")</f>
        <v>No</v>
      </c>
      <c r="AC859" s="5" t="str">
        <f ca="1">IFERROR(__xludf.DUMMYFUNCTION("""COMPUTED_VALUE"""),"No")</f>
        <v>No</v>
      </c>
      <c r="AD859" s="5" t="str">
        <f ca="1">IFERROR(__xludf.DUMMYFUNCTION("""COMPUTED_VALUE"""),"No")</f>
        <v>No</v>
      </c>
      <c r="AE859" s="5" t="str">
        <f ca="1">IFERROR(__xludf.DUMMYFUNCTION("""COMPUTED_VALUE"""),"No")</f>
        <v>No</v>
      </c>
      <c r="AF859" s="5" t="str">
        <f ca="1">IFERROR(__xludf.DUMMYFUNCTION("""COMPUTED_VALUE"""),"No")</f>
        <v>No</v>
      </c>
      <c r="AG859" s="5" t="str">
        <f ca="1">IFERROR(__xludf.DUMMYFUNCTION("""COMPUTED_VALUE"""),"No")</f>
        <v>No</v>
      </c>
      <c r="AH859" s="5" t="str">
        <f ca="1">IFERROR(__xludf.DUMMYFUNCTION("""COMPUTED_VALUE"""),"No")</f>
        <v>No</v>
      </c>
    </row>
    <row r="860" spans="1:34" ht="12.75">
      <c r="A860" s="5" t="str">
        <f ca="1">IFERROR(__xludf.DUMMYFUNCTION("""COMPUTED_VALUE"""),"20161102COGRG")</f>
        <v>20161102COGRG</v>
      </c>
      <c r="B860" s="8">
        <f ca="1">IFERROR(__xludf.DUMMYFUNCTION("""COMPUTED_VALUE"""),42676)</f>
        <v>42676</v>
      </c>
      <c r="C860" s="5" t="str">
        <f ca="1">IFERROR(__xludf.DUMMYFUNCTION("""COMPUTED_VALUE"""),"Grand Junction High School")</f>
        <v>Grand Junction High School</v>
      </c>
      <c r="D860" s="5">
        <f ca="1">IFERROR(__xludf.DUMMYFUNCTION("""COMPUTED_VALUE"""),0)</f>
        <v>0</v>
      </c>
      <c r="E860" s="5">
        <f ca="1">IFERROR(__xludf.DUMMYFUNCTION("""COMPUTED_VALUE"""),0)</f>
        <v>0</v>
      </c>
      <c r="F860" s="5">
        <f ca="1">IFERROR(__xludf.DUMMYFUNCTION("""COMPUTED_VALUE"""),0)</f>
        <v>0</v>
      </c>
      <c r="G860" s="5">
        <f ca="1">IFERROR(__xludf.DUMMYFUNCTION("""COMPUTED_VALUE"""),1)</f>
        <v>1</v>
      </c>
      <c r="H860"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I860" s="5"/>
      <c r="J860" s="5"/>
      <c r="K860" s="5">
        <f ca="1">IFERROR(__xludf.DUMMYFUNCTION("""COMPUTED_VALUE"""),3)</f>
        <v>3</v>
      </c>
      <c r="L860" s="5" t="str">
        <f ca="1">IFERROR(__xludf.DUMMYFUNCTION("""COMPUTED_VALUE"""),"Fall")</f>
        <v>Fall</v>
      </c>
      <c r="M860" s="5" t="str">
        <f ca="1">IFERROR(__xludf.DUMMYFUNCTION("""COMPUTED_VALUE"""),"Grand Junction")</f>
        <v>Grand Junction</v>
      </c>
      <c r="N860" s="5" t="str">
        <f ca="1">IFERROR(__xludf.DUMMYFUNCTION("""COMPUTED_VALUE"""),"CO")</f>
        <v>CO</v>
      </c>
      <c r="O860" s="5" t="str">
        <f ca="1">IFERROR(__xludf.DUMMYFUNCTION("""COMPUTED_VALUE"""),"High")</f>
        <v>High</v>
      </c>
      <c r="P860" s="5" t="str">
        <f ca="1">IFERROR(__xludf.DUMMYFUNCTION("""COMPUTED_VALUE"""),"Parking Lot")</f>
        <v>Parking Lot</v>
      </c>
      <c r="Q860" s="5" t="str">
        <f ca="1">IFERROR(__xludf.DUMMYFUNCTION("""COMPUTED_VALUE"""),"Outside on School Property")</f>
        <v>Outside on School Property</v>
      </c>
      <c r="R860" s="5" t="str">
        <f ca="1">IFERROR(__xludf.DUMMYFUNCTION("""COMPUTED_VALUE"""),"Yes")</f>
        <v>Yes</v>
      </c>
      <c r="S860" s="5" t="str">
        <f ca="1">IFERROR(__xludf.DUMMYFUNCTION("""COMPUTED_VALUE"""),"After School")</f>
        <v>After School</v>
      </c>
      <c r="T860" s="10">
        <f ca="1">IFERROR(__xludf.DUMMYFUNCTION("""COMPUTED_VALUE"""),0.625)</f>
        <v>0.625</v>
      </c>
      <c r="U860" s="5">
        <f ca="1">IFERROR(__xludf.DUMMYFUNCTION("""COMPUTED_VALUE"""),1)</f>
        <v>1</v>
      </c>
      <c r="V860" s="5" t="str">
        <f ca="1">IFERROR(__xludf.DUMMYFUNCTION("""COMPUTED_VALUE"""),"Shot self in parking lot")</f>
        <v>Shot self in parking lot</v>
      </c>
      <c r="W860" s="5" t="str">
        <f ca="1">IFERROR(__xludf.DUMMYFUNCTION("""COMPUTED_VALUE"""),"Student killed himself sitting in his car in the parking lot.")</f>
        <v>Student killed himself sitting in his car in the parking lot.</v>
      </c>
      <c r="X860" s="5" t="str">
        <f ca="1">IFERROR(__xludf.DUMMYFUNCTION("""COMPUTED_VALUE"""),"Suicide/Attempted")</f>
        <v>Suicide/Attempted</v>
      </c>
      <c r="Y860" s="5" t="str">
        <f ca="1">IFERROR(__xludf.DUMMYFUNCTION("""COMPUTED_VALUE"""),"Victims Targeted")</f>
        <v>Victims Targeted</v>
      </c>
      <c r="Z860" s="5" t="str">
        <f ca="1">IFERROR(__xludf.DUMMYFUNCTION("""COMPUTED_VALUE"""),"No")</f>
        <v>No</v>
      </c>
      <c r="AA860" s="5"/>
      <c r="AB860" s="5" t="str">
        <f ca="1">IFERROR(__xludf.DUMMYFUNCTION("""COMPUTED_VALUE"""),"No")</f>
        <v>No</v>
      </c>
      <c r="AC860" s="5" t="str">
        <f ca="1">IFERROR(__xludf.DUMMYFUNCTION("""COMPUTED_VALUE"""),"No")</f>
        <v>No</v>
      </c>
      <c r="AD860" s="5" t="str">
        <f ca="1">IFERROR(__xludf.DUMMYFUNCTION("""COMPUTED_VALUE"""),"No")</f>
        <v>No</v>
      </c>
      <c r="AE860" s="5"/>
      <c r="AF860" s="5"/>
      <c r="AG860" s="5" t="str">
        <f ca="1">IFERROR(__xludf.DUMMYFUNCTION("""COMPUTED_VALUE"""),"No")</f>
        <v>No</v>
      </c>
      <c r="AH860" s="5" t="str">
        <f ca="1">IFERROR(__xludf.DUMMYFUNCTION("""COMPUTED_VALUE"""),"No")</f>
        <v>No</v>
      </c>
    </row>
    <row r="861" spans="1:34" ht="12.75">
      <c r="A861" s="5" t="str">
        <f ca="1">IFERROR(__xludf.DUMMYFUNCTION("""COMPUTED_VALUE"""),"20161025UTUNS")</f>
        <v>20161025UTUNS</v>
      </c>
      <c r="B861" s="8">
        <f ca="1">IFERROR(__xludf.DUMMYFUNCTION("""COMPUTED_VALUE"""),42668)</f>
        <v>42668</v>
      </c>
      <c r="C861" s="5" t="str">
        <f ca="1">IFERROR(__xludf.DUMMYFUNCTION("""COMPUTED_VALUE"""),"Union Middle School")</f>
        <v>Union Middle School</v>
      </c>
      <c r="D861" s="5">
        <f ca="1">IFERROR(__xludf.DUMMYFUNCTION("""COMPUTED_VALUE"""),0)</f>
        <v>0</v>
      </c>
      <c r="E861" s="5">
        <f ca="1">IFERROR(__xludf.DUMMYFUNCTION("""COMPUTED_VALUE"""),1)</f>
        <v>1</v>
      </c>
      <c r="F861" s="5">
        <f ca="1">IFERROR(__xludf.DUMMYFUNCTION("""COMPUTED_VALUE"""),1)</f>
        <v>1</v>
      </c>
      <c r="G861" s="5">
        <f ca="1">IFERROR(__xludf.DUMMYFUNCTION("""COMPUTED_VALUE"""),0)</f>
        <v>0</v>
      </c>
      <c r="H861" s="9" t="str">
        <f ca="1">IFERROR(__xludf.DUMMYFUNCTION("""COMPUTED_VALUE"""),"https://www.ksl.com/?sid=42051617&amp;nid=148&amp;title=14-year-old-charged-with-attempted-murder-in-union-middle-school-shooting")</f>
        <v>https://www.ksl.com/?sid=42051617&amp;nid=148&amp;title=14-year-old-charged-with-attempted-murder-in-union-middle-school-shooting</v>
      </c>
      <c r="I861" s="5">
        <f ca="1">IFERROR(__xludf.DUMMYFUNCTION("""COMPUTED_VALUE"""),5)</f>
        <v>5</v>
      </c>
      <c r="J861" s="5" t="str">
        <f ca="1">IFERROR(__xludf.DUMMYFUNCTION("""COMPUTED_VALUE"""),"Regional")</f>
        <v>Regional</v>
      </c>
      <c r="K861" s="5">
        <f ca="1">IFERROR(__xludf.DUMMYFUNCTION("""COMPUTED_VALUE"""),2)</f>
        <v>2</v>
      </c>
      <c r="L861" s="5" t="str">
        <f ca="1">IFERROR(__xludf.DUMMYFUNCTION("""COMPUTED_VALUE"""),"Fall")</f>
        <v>Fall</v>
      </c>
      <c r="M861" s="5" t="str">
        <f ca="1">IFERROR(__xludf.DUMMYFUNCTION("""COMPUTED_VALUE"""),"Sandy")</f>
        <v>Sandy</v>
      </c>
      <c r="N861" s="5" t="str">
        <f ca="1">IFERROR(__xludf.DUMMYFUNCTION("""COMPUTED_VALUE"""),"UT")</f>
        <v>UT</v>
      </c>
      <c r="O861" s="5" t="str">
        <f ca="1">IFERROR(__xludf.DUMMYFUNCTION("""COMPUTED_VALUE"""),"Middle")</f>
        <v>Middle</v>
      </c>
      <c r="P861" s="5" t="str">
        <f ca="1">IFERROR(__xludf.DUMMYFUNCTION("""COMPUTED_VALUE"""),"Beside Building")</f>
        <v>Beside Building</v>
      </c>
      <c r="Q861" s="5" t="str">
        <f ca="1">IFERROR(__xludf.DUMMYFUNCTION("""COMPUTED_VALUE"""),"Outside on School Property")</f>
        <v>Outside on School Property</v>
      </c>
      <c r="R861" s="5" t="str">
        <f ca="1">IFERROR(__xludf.DUMMYFUNCTION("""COMPUTED_VALUE"""),"Yes")</f>
        <v>Yes</v>
      </c>
      <c r="S861" s="5" t="str">
        <f ca="1">IFERROR(__xludf.DUMMYFUNCTION("""COMPUTED_VALUE"""),"Dismissal")</f>
        <v>Dismissal</v>
      </c>
      <c r="T861" s="10">
        <f ca="1">IFERROR(__xludf.DUMMYFUNCTION("""COMPUTED_VALUE"""),0.625)</f>
        <v>0.625</v>
      </c>
      <c r="U861" s="5">
        <f ca="1">IFERROR(__xludf.DUMMYFUNCTION("""COMPUTED_VALUE"""),1)</f>
        <v>1</v>
      </c>
      <c r="V861" s="5" t="str">
        <f ca="1">IFERROR(__xludf.DUMMYFUNCTION("""COMPUTED_VALUE"""),"Planned fight after school")</f>
        <v>Planned fight after school</v>
      </c>
      <c r="W861"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X861" s="5" t="str">
        <f ca="1">IFERROR(__xludf.DUMMYFUNCTION("""COMPUTED_VALUE"""),"Escalation of Dispute")</f>
        <v>Escalation of Dispute</v>
      </c>
      <c r="Y861" s="5" t="str">
        <f ca="1">IFERROR(__xludf.DUMMYFUNCTION("""COMPUTED_VALUE"""),"Victims Targeted")</f>
        <v>Victims Targeted</v>
      </c>
      <c r="Z861" s="5" t="str">
        <f ca="1">IFERROR(__xludf.DUMMYFUNCTION("""COMPUTED_VALUE"""),"No")</f>
        <v>No</v>
      </c>
      <c r="AA861" s="5"/>
      <c r="AB861" s="5" t="str">
        <f ca="1">IFERROR(__xludf.DUMMYFUNCTION("""COMPUTED_VALUE"""),"No")</f>
        <v>No</v>
      </c>
      <c r="AC861" s="5" t="str">
        <f ca="1">IFERROR(__xludf.DUMMYFUNCTION("""COMPUTED_VALUE"""),"No")</f>
        <v>No</v>
      </c>
      <c r="AD861" s="5" t="str">
        <f ca="1">IFERROR(__xludf.DUMMYFUNCTION("""COMPUTED_VALUE"""),"No")</f>
        <v>No</v>
      </c>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row>
    <row r="862" spans="1:34" ht="12.75">
      <c r="A862" s="5" t="str">
        <f ca="1">IFERROR(__xludf.DUMMYFUNCTION("""COMPUTED_VALUE"""),"20161018CAJUS")</f>
        <v>20161018CAJUS</v>
      </c>
      <c r="B862" s="8">
        <f ca="1">IFERROR(__xludf.DUMMYFUNCTION("""COMPUTED_VALUE"""),42661)</f>
        <v>42661</v>
      </c>
      <c r="C862" s="5" t="str">
        <f ca="1">IFERROR(__xludf.DUMMYFUNCTION("""COMPUTED_VALUE"""),"June Jordan High School for Equity")</f>
        <v>June Jordan High School for Equity</v>
      </c>
      <c r="D862" s="5">
        <f ca="1">IFERROR(__xludf.DUMMYFUNCTION("""COMPUTED_VALUE"""),0)</f>
        <v>0</v>
      </c>
      <c r="E862" s="5">
        <f ca="1">IFERROR(__xludf.DUMMYFUNCTION("""COMPUTED_VALUE"""),4)</f>
        <v>4</v>
      </c>
      <c r="F862" s="5">
        <f ca="1">IFERROR(__xludf.DUMMYFUNCTION("""COMPUTED_VALUE"""),4)</f>
        <v>4</v>
      </c>
      <c r="G862" s="5">
        <f ca="1">IFERROR(__xludf.DUMMYFUNCTION("""COMPUTED_VALUE"""),0)</f>
        <v>0</v>
      </c>
      <c r="H862" s="9" t="str">
        <f ca="1">IFERROR(__xludf.DUMMYFUNCTION("""COMPUTED_VALUE"""),"https://www.sfgate.com/crime/article/Two-arrested-in-SF-school-shooting-that-injured-4-10005290.php")</f>
        <v>https://www.sfgate.com/crime/article/Two-arrested-in-SF-school-shooting-that-injured-4-10005290.php</v>
      </c>
      <c r="I862" s="5">
        <f ca="1">IFERROR(__xludf.DUMMYFUNCTION("""COMPUTED_VALUE"""),5)</f>
        <v>5</v>
      </c>
      <c r="J862" s="5" t="str">
        <f ca="1">IFERROR(__xludf.DUMMYFUNCTION("""COMPUTED_VALUE"""),"Regional")</f>
        <v>Regional</v>
      </c>
      <c r="K862" s="5">
        <f ca="1">IFERROR(__xludf.DUMMYFUNCTION("""COMPUTED_VALUE"""),2)</f>
        <v>2</v>
      </c>
      <c r="L862" s="5" t="str">
        <f ca="1">IFERROR(__xludf.DUMMYFUNCTION("""COMPUTED_VALUE"""),"Fall")</f>
        <v>Fall</v>
      </c>
      <c r="M862" s="5" t="str">
        <f ca="1">IFERROR(__xludf.DUMMYFUNCTION("""COMPUTED_VALUE"""),"San Francisco")</f>
        <v>San Francisco</v>
      </c>
      <c r="N862" s="5" t="str">
        <f ca="1">IFERROR(__xludf.DUMMYFUNCTION("""COMPUTED_VALUE"""),"CA")</f>
        <v>CA</v>
      </c>
      <c r="O862" s="5" t="str">
        <f ca="1">IFERROR(__xludf.DUMMYFUNCTION("""COMPUTED_VALUE"""),"High")</f>
        <v>High</v>
      </c>
      <c r="P862" s="5" t="str">
        <f ca="1">IFERROR(__xludf.DUMMYFUNCTION("""COMPUTED_VALUE"""),"Parking Lot")</f>
        <v>Parking Lot</v>
      </c>
      <c r="Q862" s="5" t="str">
        <f ca="1">IFERROR(__xludf.DUMMYFUNCTION("""COMPUTED_VALUE"""),"Outside on School Property")</f>
        <v>Outside on School Property</v>
      </c>
      <c r="R862" s="5" t="str">
        <f ca="1">IFERROR(__xludf.DUMMYFUNCTION("""COMPUTED_VALUE"""),"No")</f>
        <v>No</v>
      </c>
      <c r="S862" s="5" t="str">
        <f ca="1">IFERROR(__xludf.DUMMYFUNCTION("""COMPUTED_VALUE"""),"After School")</f>
        <v>After School</v>
      </c>
      <c r="T862" s="10">
        <f ca="1">IFERROR(__xludf.DUMMYFUNCTION("""COMPUTED_VALUE"""),0.638888888888888)</f>
        <v>0.63888888888888795</v>
      </c>
      <c r="U862" s="5">
        <f ca="1">IFERROR(__xludf.DUMMYFUNCTION("""COMPUTED_VALUE"""),1)</f>
        <v>1</v>
      </c>
      <c r="V862" s="5" t="str">
        <f ca="1">IFERROR(__xludf.DUMMYFUNCTION("""COMPUTED_VALUE"""),"Shooting in parking lot")</f>
        <v>Shooting in parking lot</v>
      </c>
      <c r="W862"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X862" s="5" t="str">
        <f ca="1">IFERROR(__xludf.DUMMYFUNCTION("""COMPUTED_VALUE"""),"Escalation of Dispute")</f>
        <v>Escalation of Dispute</v>
      </c>
      <c r="Y862" s="5" t="str">
        <f ca="1">IFERROR(__xludf.DUMMYFUNCTION("""COMPUTED_VALUE"""),"Both")</f>
        <v>Both</v>
      </c>
      <c r="Z862" s="5" t="str">
        <f ca="1">IFERROR(__xludf.DUMMYFUNCTION("""COMPUTED_VALUE"""),"Yes")</f>
        <v>Yes</v>
      </c>
      <c r="AA862" s="5" t="str">
        <f ca="1">IFERROR(__xludf.DUMMYFUNCTION("""COMPUTED_VALUE"""),"4 arrested")</f>
        <v>4 arrested</v>
      </c>
      <c r="AB862" s="5" t="str">
        <f ca="1">IFERROR(__xludf.DUMMYFUNCTION("""COMPUTED_VALUE"""),"No")</f>
        <v>No</v>
      </c>
      <c r="AC862" s="5" t="str">
        <f ca="1">IFERROR(__xludf.DUMMYFUNCTION("""COMPUTED_VALUE"""),"No")</f>
        <v>No</v>
      </c>
      <c r="AD862" s="5" t="str">
        <f ca="1">IFERROR(__xludf.DUMMYFUNCTION("""COMPUTED_VALUE"""),"No")</f>
        <v>No</v>
      </c>
      <c r="AE862" s="5" t="str">
        <f ca="1">IFERROR(__xludf.DUMMYFUNCTION("""COMPUTED_VALUE"""),"No")</f>
        <v>No</v>
      </c>
      <c r="AF862" s="5" t="str">
        <f ca="1">IFERROR(__xludf.DUMMYFUNCTION("""COMPUTED_VALUE"""),"No")</f>
        <v>No</v>
      </c>
      <c r="AG862" s="5"/>
      <c r="AH862" s="5" t="str">
        <f ca="1">IFERROR(__xludf.DUMMYFUNCTION("""COMPUTED_VALUE"""),"No")</f>
        <v>No</v>
      </c>
    </row>
    <row r="863" spans="1:34" ht="12.75">
      <c r="A863" s="5" t="str">
        <f ca="1">IFERROR(__xludf.DUMMYFUNCTION("""COMPUTED_VALUE"""),"20161015GABEA")</f>
        <v>20161015GABEA</v>
      </c>
      <c r="B863" s="8">
        <f ca="1">IFERROR(__xludf.DUMMYFUNCTION("""COMPUTED_VALUE"""),42658)</f>
        <v>42658</v>
      </c>
      <c r="C863" s="5" t="str">
        <f ca="1">IFERROR(__xludf.DUMMYFUNCTION("""COMPUTED_VALUE"""),"Benjamin E. Mays High School")</f>
        <v>Benjamin E. Mays High School</v>
      </c>
      <c r="D863" s="5">
        <f ca="1">IFERROR(__xludf.DUMMYFUNCTION("""COMPUTED_VALUE"""),0)</f>
        <v>0</v>
      </c>
      <c r="E863" s="5">
        <f ca="1">IFERROR(__xludf.DUMMYFUNCTION("""COMPUTED_VALUE"""),1)</f>
        <v>1</v>
      </c>
      <c r="F863" s="5">
        <f ca="1">IFERROR(__xludf.DUMMYFUNCTION("""COMPUTED_VALUE"""),1)</f>
        <v>1</v>
      </c>
      <c r="G863" s="5">
        <f ca="1">IFERROR(__xludf.DUMMYFUNCTION("""COMPUTED_VALUE"""),0)</f>
        <v>0</v>
      </c>
      <c r="H863" s="9" t="str">
        <f ca="1">IFERROR(__xludf.DUMMYFUNCTION("""COMPUTED_VALUE"""),"http://usatodayhss.com/2016/student-shot-outside-atlanta-high-school-after-football-game")</f>
        <v>http://usatodayhss.com/2016/student-shot-outside-atlanta-high-school-after-football-game</v>
      </c>
      <c r="I863" s="5">
        <f ca="1">IFERROR(__xludf.DUMMYFUNCTION("""COMPUTED_VALUE"""),1)</f>
        <v>1</v>
      </c>
      <c r="J863" s="5" t="str">
        <f ca="1">IFERROR(__xludf.DUMMYFUNCTION("""COMPUTED_VALUE"""),"Local")</f>
        <v>Local</v>
      </c>
      <c r="K863" s="5">
        <f ca="1">IFERROR(__xludf.DUMMYFUNCTION("""COMPUTED_VALUE"""),2)</f>
        <v>2</v>
      </c>
      <c r="L863" s="5" t="str">
        <f ca="1">IFERROR(__xludf.DUMMYFUNCTION("""COMPUTED_VALUE"""),"Fall")</f>
        <v>Fall</v>
      </c>
      <c r="M863" s="5" t="str">
        <f ca="1">IFERROR(__xludf.DUMMYFUNCTION("""COMPUTED_VALUE"""),"Atlanta")</f>
        <v>Atlanta</v>
      </c>
      <c r="N863" s="5" t="str">
        <f ca="1">IFERROR(__xludf.DUMMYFUNCTION("""COMPUTED_VALUE"""),"GA")</f>
        <v>GA</v>
      </c>
      <c r="O863" s="5" t="str">
        <f ca="1">IFERROR(__xludf.DUMMYFUNCTION("""COMPUTED_VALUE"""),"High")</f>
        <v>High</v>
      </c>
      <c r="P863" s="5" t="str">
        <f ca="1">IFERROR(__xludf.DUMMYFUNCTION("""COMPUTED_VALUE"""),"Parking Lot")</f>
        <v>Parking Lot</v>
      </c>
      <c r="Q863" s="5" t="str">
        <f ca="1">IFERROR(__xludf.DUMMYFUNCTION("""COMPUTED_VALUE"""),"Outside on School Property")</f>
        <v>Outside on School Property</v>
      </c>
      <c r="R863" s="5" t="str">
        <f ca="1">IFERROR(__xludf.DUMMYFUNCTION("""COMPUTED_VALUE"""),"No")</f>
        <v>No</v>
      </c>
      <c r="S863" s="5" t="str">
        <f ca="1">IFERROR(__xludf.DUMMYFUNCTION("""COMPUTED_VALUE"""),"Sport Event")</f>
        <v>Sport Event</v>
      </c>
      <c r="T863" s="5"/>
      <c r="U863" s="5">
        <f ca="1">IFERROR(__xludf.DUMMYFUNCTION("""COMPUTED_VALUE"""),1)</f>
        <v>1</v>
      </c>
      <c r="V863" s="5" t="str">
        <f ca="1">IFERROR(__xludf.DUMMYFUNCTION("""COMPUTED_VALUE"""),"Shots fired from a car in the parking lot after an evening football game")</f>
        <v>Shots fired from a car in the parking lot after an evening football game</v>
      </c>
      <c r="W863"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X863" s="5" t="str">
        <f ca="1">IFERROR(__xludf.DUMMYFUNCTION("""COMPUTED_VALUE"""),"Drive-by Shooting")</f>
        <v>Drive-by Shooting</v>
      </c>
      <c r="Y863" s="5"/>
      <c r="Z863" s="5"/>
      <c r="AA863" s="5"/>
      <c r="AB863" s="5" t="str">
        <f ca="1">IFERROR(__xludf.DUMMYFUNCTION("""COMPUTED_VALUE"""),"No")</f>
        <v>No</v>
      </c>
      <c r="AC863" s="5" t="str">
        <f ca="1">IFERROR(__xludf.DUMMYFUNCTION("""COMPUTED_VALUE"""),"No")</f>
        <v>No</v>
      </c>
      <c r="AD863" s="5" t="str">
        <f ca="1">IFERROR(__xludf.DUMMYFUNCTION("""COMPUTED_VALUE"""),"No")</f>
        <v>No</v>
      </c>
      <c r="AE863" s="5" t="str">
        <f ca="1">IFERROR(__xludf.DUMMYFUNCTION("""COMPUTED_VALUE"""),"No")</f>
        <v>No</v>
      </c>
      <c r="AF863" s="5" t="str">
        <f ca="1">IFERROR(__xludf.DUMMYFUNCTION("""COMPUTED_VALUE"""),"No")</f>
        <v>No</v>
      </c>
      <c r="AG863" s="5" t="str">
        <f ca="1">IFERROR(__xludf.DUMMYFUNCTION("""COMPUTED_VALUE"""),"Yes")</f>
        <v>Yes</v>
      </c>
      <c r="AH863" s="5" t="str">
        <f ca="1">IFERROR(__xludf.DUMMYFUNCTION("""COMPUTED_VALUE"""),"No")</f>
        <v>No</v>
      </c>
    </row>
    <row r="864" spans="1:34" ht="12.75">
      <c r="A864" s="5" t="str">
        <f ca="1">IFERROR(__xludf.DUMMYFUNCTION("""COMPUTED_VALUE"""),"20161013OHLIC")</f>
        <v>20161013OHLIC</v>
      </c>
      <c r="B864" s="8">
        <f ca="1">IFERROR(__xludf.DUMMYFUNCTION("""COMPUTED_VALUE"""),42656)</f>
        <v>42656</v>
      </c>
      <c r="C864" s="5" t="str">
        <f ca="1">IFERROR(__xludf.DUMMYFUNCTION("""COMPUTED_VALUE"""),"Linden McKinley STEM Academy")</f>
        <v>Linden McKinley STEM Academy</v>
      </c>
      <c r="D864" s="5">
        <f ca="1">IFERROR(__xludf.DUMMYFUNCTION("""COMPUTED_VALUE"""),0)</f>
        <v>0</v>
      </c>
      <c r="E864" s="5">
        <f ca="1">IFERROR(__xludf.DUMMYFUNCTION("""COMPUTED_VALUE"""),2)</f>
        <v>2</v>
      </c>
      <c r="F864" s="5">
        <f ca="1">IFERROR(__xludf.DUMMYFUNCTION("""COMPUTED_VALUE"""),2)</f>
        <v>2</v>
      </c>
      <c r="G864" s="5">
        <f ca="1">IFERROR(__xludf.DUMMYFUNCTION("""COMPUTED_VALUE"""),0)</f>
        <v>0</v>
      </c>
      <c r="H864" s="9" t="str">
        <f ca="1">IFERROR(__xludf.DUMMYFUNCTION("""COMPUTED_VALUE"""),"http://www.dispatch.com/content/stories/local/2016/10/20/Two-charged-in-Linden-McKinley-shooting.html")</f>
        <v>http://www.dispatch.com/content/stories/local/2016/10/20/Two-charged-in-Linden-McKinley-shooting.html</v>
      </c>
      <c r="I864" s="5">
        <f ca="1">IFERROR(__xludf.DUMMYFUNCTION("""COMPUTED_VALUE"""),1)</f>
        <v>1</v>
      </c>
      <c r="J864" s="5" t="str">
        <f ca="1">IFERROR(__xludf.DUMMYFUNCTION("""COMPUTED_VALUE"""),"Local")</f>
        <v>Local</v>
      </c>
      <c r="K864" s="5">
        <f ca="1">IFERROR(__xludf.DUMMYFUNCTION("""COMPUTED_VALUE"""),2)</f>
        <v>2</v>
      </c>
      <c r="L864" s="5" t="str">
        <f ca="1">IFERROR(__xludf.DUMMYFUNCTION("""COMPUTED_VALUE"""),"Fall")</f>
        <v>Fall</v>
      </c>
      <c r="M864" s="5" t="str">
        <f ca="1">IFERROR(__xludf.DUMMYFUNCTION("""COMPUTED_VALUE"""),"Columbus")</f>
        <v>Columbus</v>
      </c>
      <c r="N864" s="5" t="str">
        <f ca="1">IFERROR(__xludf.DUMMYFUNCTION("""COMPUTED_VALUE"""),"OH")</f>
        <v>OH</v>
      </c>
      <c r="O864" s="5" t="str">
        <f ca="1">IFERROR(__xludf.DUMMYFUNCTION("""COMPUTED_VALUE"""),"High")</f>
        <v>High</v>
      </c>
      <c r="P864" s="5" t="str">
        <f ca="1">IFERROR(__xludf.DUMMYFUNCTION("""COMPUTED_VALUE"""),"Front of School")</f>
        <v>Front of School</v>
      </c>
      <c r="Q864" s="5" t="str">
        <f ca="1">IFERROR(__xludf.DUMMYFUNCTION("""COMPUTED_VALUE"""),"Outside on School Property")</f>
        <v>Outside on School Property</v>
      </c>
      <c r="R864" s="5" t="str">
        <f ca="1">IFERROR(__xludf.DUMMYFUNCTION("""COMPUTED_VALUE"""),"No")</f>
        <v>No</v>
      </c>
      <c r="S864" s="5" t="str">
        <f ca="1">IFERROR(__xludf.DUMMYFUNCTION("""COMPUTED_VALUE"""),"Dismissal")</f>
        <v>Dismissal</v>
      </c>
      <c r="T864" s="10">
        <f ca="1">IFERROR(__xludf.DUMMYFUNCTION("""COMPUTED_VALUE"""),0.611111111111111)</f>
        <v>0.61111111111111105</v>
      </c>
      <c r="U864" s="5">
        <f ca="1">IFERROR(__xludf.DUMMYFUNCTION("""COMPUTED_VALUE"""),1)</f>
        <v>1</v>
      </c>
      <c r="V864" s="5" t="str">
        <f ca="1">IFERROR(__xludf.DUMMYFUNCTION("""COMPUTED_VALUE"""),"Drive-by involving gang members outside of school")</f>
        <v>Drive-by involving gang members outside of school</v>
      </c>
      <c r="W864"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X864" s="5" t="str">
        <f ca="1">IFERROR(__xludf.DUMMYFUNCTION("""COMPUTED_VALUE"""),"Drive-by Shooting")</f>
        <v>Drive-by Shooting</v>
      </c>
      <c r="Y864" s="5" t="str">
        <f ca="1">IFERROR(__xludf.DUMMYFUNCTION("""COMPUTED_VALUE"""),"Victims Targeted")</f>
        <v>Victims Targeted</v>
      </c>
      <c r="Z864" s="5"/>
      <c r="AA864" s="5"/>
      <c r="AB864" s="5" t="str">
        <f ca="1">IFERROR(__xludf.DUMMYFUNCTION("""COMPUTED_VALUE"""),"No")</f>
        <v>No</v>
      </c>
      <c r="AC864" s="5" t="str">
        <f ca="1">IFERROR(__xludf.DUMMYFUNCTION("""COMPUTED_VALUE"""),"No")</f>
        <v>No</v>
      </c>
      <c r="AD864" s="5" t="str">
        <f ca="1">IFERROR(__xludf.DUMMYFUNCTION("""COMPUTED_VALUE"""),"No")</f>
        <v>No</v>
      </c>
      <c r="AE864" s="5" t="str">
        <f ca="1">IFERROR(__xludf.DUMMYFUNCTION("""COMPUTED_VALUE"""),"No")</f>
        <v>No</v>
      </c>
      <c r="AF864" s="5" t="str">
        <f ca="1">IFERROR(__xludf.DUMMYFUNCTION("""COMPUTED_VALUE"""),"No")</f>
        <v>No</v>
      </c>
      <c r="AG864" s="5" t="str">
        <f ca="1">IFERROR(__xludf.DUMMYFUNCTION("""COMPUTED_VALUE"""),"Yes")</f>
        <v>Yes</v>
      </c>
      <c r="AH864" s="5" t="str">
        <f ca="1">IFERROR(__xludf.DUMMYFUNCTION("""COMPUTED_VALUE"""),"No")</f>
        <v>No</v>
      </c>
    </row>
    <row r="865" spans="1:34" ht="12.75">
      <c r="A865" s="5" t="str">
        <f ca="1">IFERROR(__xludf.DUMMYFUNCTION("""COMPUTED_VALUE"""),"20161011ALVIM")</f>
        <v>20161011ALVIM</v>
      </c>
      <c r="B865" s="8">
        <f ca="1">IFERROR(__xludf.DUMMYFUNCTION("""COMPUTED_VALUE"""),42654)</f>
        <v>42654</v>
      </c>
      <c r="C865" s="5" t="str">
        <f ca="1">IFERROR(__xludf.DUMMYFUNCTION("""COMPUTED_VALUE"""),"Vigor High School")</f>
        <v>Vigor High School</v>
      </c>
      <c r="D865" s="5">
        <f ca="1">IFERROR(__xludf.DUMMYFUNCTION("""COMPUTED_VALUE"""),0)</f>
        <v>0</v>
      </c>
      <c r="E865" s="5">
        <f ca="1">IFERROR(__xludf.DUMMYFUNCTION("""COMPUTED_VALUE"""),1)</f>
        <v>1</v>
      </c>
      <c r="F865" s="5">
        <f ca="1">IFERROR(__xludf.DUMMYFUNCTION("""COMPUTED_VALUE"""),1)</f>
        <v>1</v>
      </c>
      <c r="G865" s="5">
        <f ca="1">IFERROR(__xludf.DUMMYFUNCTION("""COMPUTED_VALUE"""),0)</f>
        <v>0</v>
      </c>
      <c r="H865" s="9" t="str">
        <f ca="1">IFERROR(__xludf.DUMMYFUNCTION("""COMPUTED_VALUE"""),"https://www.al.com/news/mobile/index.ssf/2016/10/teen_injured_in_high_school_sh.html")</f>
        <v>https://www.al.com/news/mobile/index.ssf/2016/10/teen_injured_in_high_school_sh.html</v>
      </c>
      <c r="I865" s="5">
        <f ca="1">IFERROR(__xludf.DUMMYFUNCTION("""COMPUTED_VALUE"""),1)</f>
        <v>1</v>
      </c>
      <c r="J865" s="5" t="str">
        <f ca="1">IFERROR(__xludf.DUMMYFUNCTION("""COMPUTED_VALUE"""),"Local")</f>
        <v>Local</v>
      </c>
      <c r="K865" s="5">
        <f ca="1">IFERROR(__xludf.DUMMYFUNCTION("""COMPUTED_VALUE"""),2)</f>
        <v>2</v>
      </c>
      <c r="L865" s="5" t="str">
        <f ca="1">IFERROR(__xludf.DUMMYFUNCTION("""COMPUTED_VALUE"""),"Fall")</f>
        <v>Fall</v>
      </c>
      <c r="M865" s="5" t="str">
        <f ca="1">IFERROR(__xludf.DUMMYFUNCTION("""COMPUTED_VALUE"""),"Mobile")</f>
        <v>Mobile</v>
      </c>
      <c r="N865" s="5" t="str">
        <f ca="1">IFERROR(__xludf.DUMMYFUNCTION("""COMPUTED_VALUE"""),"AL")</f>
        <v>AL</v>
      </c>
      <c r="O865" s="5" t="str">
        <f ca="1">IFERROR(__xludf.DUMMYFUNCTION("""COMPUTED_VALUE"""),"High")</f>
        <v>High</v>
      </c>
      <c r="P865" s="5" t="str">
        <f ca="1">IFERROR(__xludf.DUMMYFUNCTION("""COMPUTED_VALUE"""),"Outside on School Property")</f>
        <v>Outside on School Property</v>
      </c>
      <c r="Q865" s="5" t="str">
        <f ca="1">IFERROR(__xludf.DUMMYFUNCTION("""COMPUTED_VALUE"""),"Outside on School Property")</f>
        <v>Outside on School Property</v>
      </c>
      <c r="R865" s="5" t="str">
        <f ca="1">IFERROR(__xludf.DUMMYFUNCTION("""COMPUTED_VALUE"""),"No")</f>
        <v>No</v>
      </c>
      <c r="S865" s="5" t="str">
        <f ca="1">IFERROR(__xludf.DUMMYFUNCTION("""COMPUTED_VALUE"""),"After School")</f>
        <v>After School</v>
      </c>
      <c r="T865" s="10">
        <f ca="1">IFERROR(__xludf.DUMMYFUNCTION("""COMPUTED_VALUE"""),0.65625)</f>
        <v>0.65625</v>
      </c>
      <c r="U865" s="5">
        <f ca="1">IFERROR(__xludf.DUMMYFUNCTION("""COMPUTED_VALUE"""),1)</f>
        <v>1</v>
      </c>
      <c r="V865" s="5" t="str">
        <f ca="1">IFERROR(__xludf.DUMMYFUNCTION("""COMPUTED_VALUE"""),"Escalated argument, allegedly about money")</f>
        <v>Escalated argument, allegedly about money</v>
      </c>
      <c r="W865"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X865" s="5" t="str">
        <f ca="1">IFERROR(__xludf.DUMMYFUNCTION("""COMPUTED_VALUE"""),"Escalation of Dispute")</f>
        <v>Escalation of Dispute</v>
      </c>
      <c r="Y865" s="5" t="str">
        <f ca="1">IFERROR(__xludf.DUMMYFUNCTION("""COMPUTED_VALUE"""),"Victims Targeted")</f>
        <v>Victims Targeted</v>
      </c>
      <c r="Z865" s="5" t="str">
        <f ca="1">IFERROR(__xludf.DUMMYFUNCTION("""COMPUTED_VALUE"""),"No")</f>
        <v>No</v>
      </c>
      <c r="AA865" s="5"/>
      <c r="AB865" s="5" t="str">
        <f ca="1">IFERROR(__xludf.DUMMYFUNCTION("""COMPUTED_VALUE"""),"No")</f>
        <v>No</v>
      </c>
      <c r="AC865" s="5" t="str">
        <f ca="1">IFERROR(__xludf.DUMMYFUNCTION("""COMPUTED_VALUE"""),"No")</f>
        <v>No</v>
      </c>
      <c r="AD865" s="5" t="str">
        <f ca="1">IFERROR(__xludf.DUMMYFUNCTION("""COMPUTED_VALUE"""),"No")</f>
        <v>No</v>
      </c>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row>
    <row r="866" spans="1:34" ht="12.75">
      <c r="A866" s="5" t="str">
        <f ca="1">IFERROR(__xludf.DUMMYFUNCTION("""COMPUTED_VALUE"""),"20161006TXDUF")</f>
        <v>20161006TXDUF</v>
      </c>
      <c r="B866" s="8">
        <f ca="1">IFERROR(__xludf.DUMMYFUNCTION("""COMPUTED_VALUE"""),42649)</f>
        <v>42649</v>
      </c>
      <c r="C866" s="5" t="str">
        <f ca="1">IFERROR(__xludf.DUMMYFUNCTION("""COMPUTED_VALUE"""),"Dunbar HIgh School")</f>
        <v>Dunbar HIgh School</v>
      </c>
      <c r="D866" s="5">
        <f ca="1">IFERROR(__xludf.DUMMYFUNCTION("""COMPUTED_VALUE"""),0)</f>
        <v>0</v>
      </c>
      <c r="E866" s="5">
        <f ca="1">IFERROR(__xludf.DUMMYFUNCTION("""COMPUTED_VALUE"""),1)</f>
        <v>1</v>
      </c>
      <c r="F866" s="5">
        <f ca="1">IFERROR(__xludf.DUMMYFUNCTION("""COMPUTED_VALUE"""),1)</f>
        <v>1</v>
      </c>
      <c r="G866" s="5">
        <f ca="1">IFERROR(__xludf.DUMMYFUNCTION("""COMPUTED_VALUE"""),0)</f>
        <v>0</v>
      </c>
      <c r="H866"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I866" s="5"/>
      <c r="J866" s="5"/>
      <c r="K866" s="5">
        <f ca="1">IFERROR(__xludf.DUMMYFUNCTION("""COMPUTED_VALUE"""),3)</f>
        <v>3</v>
      </c>
      <c r="L866" s="5" t="str">
        <f ca="1">IFERROR(__xludf.DUMMYFUNCTION("""COMPUTED_VALUE"""),"Fall")</f>
        <v>Fall</v>
      </c>
      <c r="M866" s="5" t="str">
        <f ca="1">IFERROR(__xludf.DUMMYFUNCTION("""COMPUTED_VALUE"""),"Fort Worth")</f>
        <v>Fort Worth</v>
      </c>
      <c r="N866" s="5" t="str">
        <f ca="1">IFERROR(__xludf.DUMMYFUNCTION("""COMPUTED_VALUE"""),"TX")</f>
        <v>TX</v>
      </c>
      <c r="O866" s="5" t="str">
        <f ca="1">IFERROR(__xludf.DUMMYFUNCTION("""COMPUTED_VALUE"""),"High")</f>
        <v>High</v>
      </c>
      <c r="P866" s="5" t="str">
        <f ca="1">IFERROR(__xludf.DUMMYFUNCTION("""COMPUTED_VALUE"""),"Football Field/Track")</f>
        <v>Football Field/Track</v>
      </c>
      <c r="Q866" s="5" t="str">
        <f ca="1">IFERROR(__xludf.DUMMYFUNCTION("""COMPUTED_VALUE"""),"Outside on School Property")</f>
        <v>Outside on School Property</v>
      </c>
      <c r="R866" s="5" t="str">
        <f ca="1">IFERROR(__xludf.DUMMYFUNCTION("""COMPUTED_VALUE"""),"No")</f>
        <v>No</v>
      </c>
      <c r="S866" s="5" t="str">
        <f ca="1">IFERROR(__xludf.DUMMYFUNCTION("""COMPUTED_VALUE"""),"Sport Event")</f>
        <v>Sport Event</v>
      </c>
      <c r="T866" s="10">
        <f ca="1">IFERROR(__xludf.DUMMYFUNCTION("""COMPUTED_VALUE"""),0.8125)</f>
        <v>0.8125</v>
      </c>
      <c r="U866" s="5">
        <f ca="1">IFERROR(__xludf.DUMMYFUNCTION("""COMPUTED_VALUE"""),3)</f>
        <v>3</v>
      </c>
      <c r="V866" s="5" t="str">
        <f ca="1">IFERROR(__xludf.DUMMYFUNCTION("""COMPUTED_VALUE"""),"Shooting by gang members at football game")</f>
        <v>Shooting by gang members at football game</v>
      </c>
      <c r="W866"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X866" s="5" t="str">
        <f ca="1">IFERROR(__xludf.DUMMYFUNCTION("""COMPUTED_VALUE"""),"Drive-by Shooting")</f>
        <v>Drive-by Shooting</v>
      </c>
      <c r="Y866" s="5"/>
      <c r="Z866" s="5"/>
      <c r="AA866" s="5"/>
      <c r="AB866" s="5" t="str">
        <f ca="1">IFERROR(__xludf.DUMMYFUNCTION("""COMPUTED_VALUE"""),"No")</f>
        <v>No</v>
      </c>
      <c r="AC866" s="5" t="str">
        <f ca="1">IFERROR(__xludf.DUMMYFUNCTION("""COMPUTED_VALUE"""),"No")</f>
        <v>No</v>
      </c>
      <c r="AD866" s="5" t="str">
        <f ca="1">IFERROR(__xludf.DUMMYFUNCTION("""COMPUTED_VALUE"""),"No")</f>
        <v>No</v>
      </c>
      <c r="AE866" s="5"/>
      <c r="AF866" s="5"/>
      <c r="AG866" s="5" t="str">
        <f ca="1">IFERROR(__xludf.DUMMYFUNCTION("""COMPUTED_VALUE"""),"Yes")</f>
        <v>Yes</v>
      </c>
      <c r="AH866" s="5" t="str">
        <f ca="1">IFERROR(__xludf.DUMMYFUNCTION("""COMPUTED_VALUE"""),"No")</f>
        <v>No</v>
      </c>
    </row>
    <row r="867" spans="1:34" ht="12.75">
      <c r="A867" s="5" t="str">
        <f ca="1">IFERROR(__xludf.DUMMYFUNCTION("""COMPUTED_VALUE"""),"20160930ILCHC")</f>
        <v>20160930ILCHC</v>
      </c>
      <c r="B867" s="8">
        <f ca="1">IFERROR(__xludf.DUMMYFUNCTION("""COMPUTED_VALUE"""),42643)</f>
        <v>42643</v>
      </c>
      <c r="C867" s="5" t="str">
        <f ca="1">IFERROR(__xludf.DUMMYFUNCTION("""COMPUTED_VALUE"""),"Christ of King Jesuit College Prep (bus)")</f>
        <v>Christ of King Jesuit College Prep (bus)</v>
      </c>
      <c r="D867" s="5">
        <f ca="1">IFERROR(__xludf.DUMMYFUNCTION("""COMPUTED_VALUE"""),0)</f>
        <v>0</v>
      </c>
      <c r="E867" s="5">
        <f ca="1">IFERROR(__xludf.DUMMYFUNCTION("""COMPUTED_VALUE"""),1)</f>
        <v>1</v>
      </c>
      <c r="F867" s="5">
        <f ca="1">IFERROR(__xludf.DUMMYFUNCTION("""COMPUTED_VALUE"""),1)</f>
        <v>1</v>
      </c>
      <c r="G867" s="5">
        <f ca="1">IFERROR(__xludf.DUMMYFUNCTION("""COMPUTED_VALUE"""),0)</f>
        <v>0</v>
      </c>
      <c r="H867" s="9" t="str">
        <f ca="1">IFERROR(__xludf.DUMMYFUNCTION("""COMPUTED_VALUE"""),"https://www.nbcchicago.com/news/local/chicago-school-bus-driver-shot-395469231.html")</f>
        <v>https://www.nbcchicago.com/news/local/chicago-school-bus-driver-shot-395469231.html</v>
      </c>
      <c r="I867" s="5">
        <f ca="1">IFERROR(__xludf.DUMMYFUNCTION("""COMPUTED_VALUE"""),1)</f>
        <v>1</v>
      </c>
      <c r="J867" s="5" t="str">
        <f ca="1">IFERROR(__xludf.DUMMYFUNCTION("""COMPUTED_VALUE"""),"Local")</f>
        <v>Local</v>
      </c>
      <c r="K867" s="5">
        <f ca="1">IFERROR(__xludf.DUMMYFUNCTION("""COMPUTED_VALUE"""),2)</f>
        <v>2</v>
      </c>
      <c r="L867" s="5" t="str">
        <f ca="1">IFERROR(__xludf.DUMMYFUNCTION("""COMPUTED_VALUE"""),"Fall")</f>
        <v>Fall</v>
      </c>
      <c r="M867" s="5" t="str">
        <f ca="1">IFERROR(__xludf.DUMMYFUNCTION("""COMPUTED_VALUE"""),"Chicago")</f>
        <v>Chicago</v>
      </c>
      <c r="N867" s="5" t="str">
        <f ca="1">IFERROR(__xludf.DUMMYFUNCTION("""COMPUTED_VALUE"""),"IL")</f>
        <v>IL</v>
      </c>
      <c r="O867" s="5" t="str">
        <f ca="1">IFERROR(__xludf.DUMMYFUNCTION("""COMPUTED_VALUE"""),"High")</f>
        <v>High</v>
      </c>
      <c r="P867" s="5" t="str">
        <f ca="1">IFERROR(__xludf.DUMMYFUNCTION("""COMPUTED_VALUE"""),"School Bus")</f>
        <v>School Bus</v>
      </c>
      <c r="Q867" s="5" t="str">
        <f ca="1">IFERROR(__xludf.DUMMYFUNCTION("""COMPUTED_VALUE"""),"School Bus")</f>
        <v>School Bus</v>
      </c>
      <c r="R867" s="5" t="str">
        <f ca="1">IFERROR(__xludf.DUMMYFUNCTION("""COMPUTED_VALUE"""),"Yes")</f>
        <v>Yes</v>
      </c>
      <c r="S867" s="5" t="str">
        <f ca="1">IFERROR(__xludf.DUMMYFUNCTION("""COMPUTED_VALUE"""),"After School")</f>
        <v>After School</v>
      </c>
      <c r="T867" s="10">
        <f ca="1">IFERROR(__xludf.DUMMYFUNCTION("""COMPUTED_VALUE"""),0.729166666666666)</f>
        <v>0.72916666666666596</v>
      </c>
      <c r="U867" s="5">
        <f ca="1">IFERROR(__xludf.DUMMYFUNCTION("""COMPUTED_VALUE"""),1)</f>
        <v>1</v>
      </c>
      <c r="V867" s="5" t="str">
        <f ca="1">IFERROR(__xludf.DUMMYFUNCTION("""COMPUTED_VALUE"""),"Shots fired at bus")</f>
        <v>Shots fired at bus</v>
      </c>
      <c r="W867" s="5" t="str">
        <f ca="1">IFERROR(__xludf.DUMMYFUNCTION("""COMPUTED_VALUE"""),"Bus driver shot while driving bus full of students")</f>
        <v>Bus driver shot while driving bus full of students</v>
      </c>
      <c r="X867" s="5" t="str">
        <f ca="1">IFERROR(__xludf.DUMMYFUNCTION("""COMPUTED_VALUE"""),"Unknown")</f>
        <v>Unknown</v>
      </c>
      <c r="Y867" s="5"/>
      <c r="Z867" s="5"/>
      <c r="AA867" s="5"/>
      <c r="AB867" s="5" t="str">
        <f ca="1">IFERROR(__xludf.DUMMYFUNCTION("""COMPUTED_VALUE"""),"No")</f>
        <v>No</v>
      </c>
      <c r="AC867" s="5" t="str">
        <f ca="1">IFERROR(__xludf.DUMMYFUNCTION("""COMPUTED_VALUE"""),"No")</f>
        <v>No</v>
      </c>
      <c r="AD867" s="5" t="str">
        <f ca="1">IFERROR(__xludf.DUMMYFUNCTION("""COMPUTED_VALUE"""),"No")</f>
        <v>No</v>
      </c>
      <c r="AE867" s="5"/>
      <c r="AF867" s="5" t="str">
        <f ca="1">IFERROR(__xludf.DUMMYFUNCTION("""COMPUTED_VALUE"""),"No")</f>
        <v>No</v>
      </c>
      <c r="AG867" s="5"/>
      <c r="AH867" s="5" t="str">
        <f ca="1">IFERROR(__xludf.DUMMYFUNCTION("""COMPUTED_VALUE"""),"No")</f>
        <v>No</v>
      </c>
    </row>
    <row r="868" spans="1:34" ht="12.75">
      <c r="A868" s="5" t="str">
        <f ca="1">IFERROR(__xludf.DUMMYFUNCTION("""COMPUTED_VALUE"""),"20160928TNSYP")</f>
        <v>20160928TNSYP</v>
      </c>
      <c r="B868" s="8">
        <f ca="1">IFERROR(__xludf.DUMMYFUNCTION("""COMPUTED_VALUE"""),42641)</f>
        <v>42641</v>
      </c>
      <c r="C868" s="5" t="str">
        <f ca="1">IFERROR(__xludf.DUMMYFUNCTION("""COMPUTED_VALUE"""),"Sycamore Middle School")</f>
        <v>Sycamore Middle School</v>
      </c>
      <c r="D868" s="5">
        <f ca="1">IFERROR(__xludf.DUMMYFUNCTION("""COMPUTED_VALUE"""),0)</f>
        <v>0</v>
      </c>
      <c r="E868" s="5">
        <f ca="1">IFERROR(__xludf.DUMMYFUNCTION("""COMPUTED_VALUE"""),0)</f>
        <v>0</v>
      </c>
      <c r="F868" s="5">
        <f ca="1">IFERROR(__xludf.DUMMYFUNCTION("""COMPUTED_VALUE"""),0)</f>
        <v>0</v>
      </c>
      <c r="G868" s="5">
        <f ca="1">IFERROR(__xludf.DUMMYFUNCTION("""COMPUTED_VALUE"""),0)</f>
        <v>0</v>
      </c>
      <c r="H868"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I868" s="5"/>
      <c r="J868" s="5" t="str">
        <f ca="1">IFERROR(__xludf.DUMMYFUNCTION("""COMPUTED_VALUE"""),"National")</f>
        <v>National</v>
      </c>
      <c r="K868" s="5">
        <f ca="1">IFERROR(__xludf.DUMMYFUNCTION("""COMPUTED_VALUE"""),5)</f>
        <v>5</v>
      </c>
      <c r="L868" s="5" t="str">
        <f ca="1">IFERROR(__xludf.DUMMYFUNCTION("""COMPUTED_VALUE"""),"Fall")</f>
        <v>Fall</v>
      </c>
      <c r="M868" s="5" t="str">
        <f ca="1">IFERROR(__xludf.DUMMYFUNCTION("""COMPUTED_VALUE"""),"Pleasant View")</f>
        <v>Pleasant View</v>
      </c>
      <c r="N868" s="5" t="str">
        <f ca="1">IFERROR(__xludf.DUMMYFUNCTION("""COMPUTED_VALUE"""),"TN")</f>
        <v>TN</v>
      </c>
      <c r="O868" s="5" t="str">
        <f ca="1">IFERROR(__xludf.DUMMYFUNCTION("""COMPUTED_VALUE"""),"Middle")</f>
        <v>Middle</v>
      </c>
      <c r="P868" s="5" t="str">
        <f ca="1">IFERROR(__xludf.DUMMYFUNCTION("""COMPUTED_VALUE"""),"Office")</f>
        <v>Office</v>
      </c>
      <c r="Q868" s="5" t="str">
        <f ca="1">IFERROR(__xludf.DUMMYFUNCTION("""COMPUTED_VALUE"""),"Inside School Building")</f>
        <v>Inside School Building</v>
      </c>
      <c r="R868" s="5" t="str">
        <f ca="1">IFERROR(__xludf.DUMMYFUNCTION("""COMPUTED_VALUE"""),"Yes")</f>
        <v>Yes</v>
      </c>
      <c r="S868" s="5" t="str">
        <f ca="1">IFERROR(__xludf.DUMMYFUNCTION("""COMPUTED_VALUE"""),"Morning Classes")</f>
        <v>Morning Classes</v>
      </c>
      <c r="T868" s="10">
        <f ca="1">IFERROR(__xludf.DUMMYFUNCTION("""COMPUTED_VALUE"""),0.416666666666666)</f>
        <v>0.41666666666666602</v>
      </c>
      <c r="U868" s="5">
        <f ca="1">IFERROR(__xludf.DUMMYFUNCTION("""COMPUTED_VALUE"""),90)</f>
        <v>90</v>
      </c>
      <c r="V868" s="5" t="str">
        <f ca="1">IFERROR(__xludf.DUMMYFUNCTION("""COMPUTED_VALUE"""),"Student told school counselor he planned to kill students and teachers, showed her gun, she talked him down")</f>
        <v>Student told school counselor he planned to kill students and teachers, showed her gun, she talked him down</v>
      </c>
      <c r="W868"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X868" s="5" t="str">
        <f ca="1">IFERROR(__xludf.DUMMYFUNCTION("""COMPUTED_VALUE"""),"Hostage/Standoff")</f>
        <v>Hostage/Standoff</v>
      </c>
      <c r="Y868" s="5" t="str">
        <f ca="1">IFERROR(__xludf.DUMMYFUNCTION("""COMPUTED_VALUE"""),"Victims Targeted")</f>
        <v>Victims Targeted</v>
      </c>
      <c r="Z868" s="5" t="str">
        <f ca="1">IFERROR(__xludf.DUMMYFUNCTION("""COMPUTED_VALUE"""),"No")</f>
        <v>No</v>
      </c>
      <c r="AA868" s="5"/>
      <c r="AB868" s="5" t="str">
        <f ca="1">IFERROR(__xludf.DUMMYFUNCTION("""COMPUTED_VALUE"""),"No")</f>
        <v>No</v>
      </c>
      <c r="AC868" s="5" t="str">
        <f ca="1">IFERROR(__xludf.DUMMYFUNCTION("""COMPUTED_VALUE"""),"No")</f>
        <v>No</v>
      </c>
      <c r="AD868" s="5" t="str">
        <f ca="1">IFERROR(__xludf.DUMMYFUNCTION("""COMPUTED_VALUE"""),"No")</f>
        <v>No</v>
      </c>
      <c r="AE868" s="5"/>
      <c r="AF868" s="5" t="str">
        <f ca="1">IFERROR(__xludf.DUMMYFUNCTION("""COMPUTED_VALUE"""),"No")</f>
        <v>No</v>
      </c>
      <c r="AG868" s="5" t="str">
        <f ca="1">IFERROR(__xludf.DUMMYFUNCTION("""COMPUTED_VALUE"""),"No")</f>
        <v>No</v>
      </c>
      <c r="AH868" s="5" t="str">
        <f ca="1">IFERROR(__xludf.DUMMYFUNCTION("""COMPUTED_VALUE"""),"No")</f>
        <v>No</v>
      </c>
    </row>
    <row r="869" spans="1:34" ht="12.75">
      <c r="A869" s="5" t="str">
        <f ca="1">IFERROR(__xludf.DUMMYFUNCTION("""COMPUTED_VALUE"""),"20160928SCTOT")</f>
        <v>20160928SCTOT</v>
      </c>
      <c r="B869" s="8">
        <f ca="1">IFERROR(__xludf.DUMMYFUNCTION("""COMPUTED_VALUE"""),42641)</f>
        <v>42641</v>
      </c>
      <c r="C869" s="5" t="str">
        <f ca="1">IFERROR(__xludf.DUMMYFUNCTION("""COMPUTED_VALUE"""),"Townville Elementary School")</f>
        <v>Townville Elementary School</v>
      </c>
      <c r="D869" s="5">
        <f ca="1">IFERROR(__xludf.DUMMYFUNCTION("""COMPUTED_VALUE"""),1)</f>
        <v>1</v>
      </c>
      <c r="E869" s="5">
        <f ca="1">IFERROR(__xludf.DUMMYFUNCTION("""COMPUTED_VALUE"""),3)</f>
        <v>3</v>
      </c>
      <c r="F869" s="5">
        <f ca="1">IFERROR(__xludf.DUMMYFUNCTION("""COMPUTED_VALUE"""),4)</f>
        <v>4</v>
      </c>
      <c r="G869" s="5">
        <f ca="1">IFERROR(__xludf.DUMMYFUNCTION("""COMPUTED_VALUE"""),0)</f>
        <v>0</v>
      </c>
      <c r="H869"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I869" s="5">
        <f ca="1">IFERROR(__xludf.DUMMYFUNCTION("""COMPUTED_VALUE"""),100)</f>
        <v>100</v>
      </c>
      <c r="J869" s="5" t="str">
        <f ca="1">IFERROR(__xludf.DUMMYFUNCTION("""COMPUTED_VALUE"""),"National")</f>
        <v>National</v>
      </c>
      <c r="K869" s="5">
        <f ca="1">IFERROR(__xludf.DUMMYFUNCTION("""COMPUTED_VALUE"""),5)</f>
        <v>5</v>
      </c>
      <c r="L869" s="5" t="str">
        <f ca="1">IFERROR(__xludf.DUMMYFUNCTION("""COMPUTED_VALUE"""),"Fall")</f>
        <v>Fall</v>
      </c>
      <c r="M869" s="5" t="str">
        <f ca="1">IFERROR(__xludf.DUMMYFUNCTION("""COMPUTED_VALUE"""),"Townville")</f>
        <v>Townville</v>
      </c>
      <c r="N869" s="5" t="str">
        <f ca="1">IFERROR(__xludf.DUMMYFUNCTION("""COMPUTED_VALUE"""),"SC")</f>
        <v>SC</v>
      </c>
      <c r="O869" s="5" t="str">
        <f ca="1">IFERROR(__xludf.DUMMYFUNCTION("""COMPUTED_VALUE"""),"Elementary")</f>
        <v>Elementary</v>
      </c>
      <c r="P869" s="5" t="str">
        <f ca="1">IFERROR(__xludf.DUMMYFUNCTION("""COMPUTED_VALUE"""),"Playground")</f>
        <v>Playground</v>
      </c>
      <c r="Q869" s="5" t="str">
        <f ca="1">IFERROR(__xludf.DUMMYFUNCTION("""COMPUTED_VALUE"""),"Outside on School Property")</f>
        <v>Outside on School Property</v>
      </c>
      <c r="R869" s="5" t="str">
        <f ca="1">IFERROR(__xludf.DUMMYFUNCTION("""COMPUTED_VALUE"""),"Yes")</f>
        <v>Yes</v>
      </c>
      <c r="S869" s="5" t="str">
        <f ca="1">IFERROR(__xludf.DUMMYFUNCTION("""COMPUTED_VALUE"""),"Afternoon Classes")</f>
        <v>Afternoon Classes</v>
      </c>
      <c r="T869" s="10">
        <f ca="1">IFERROR(__xludf.DUMMYFUNCTION("""COMPUTED_VALUE"""),0.572916666666666)</f>
        <v>0.57291666666666596</v>
      </c>
      <c r="U869" s="5"/>
      <c r="V869" s="5" t="str">
        <f ca="1">IFERROR(__xludf.DUMMYFUNCTION("""COMPUTED_VALUE"""),"Planned attack, wanted to be the youngest mass shooter and to outdo previous shootings")</f>
        <v>Planned attack, wanted to be the youngest mass shooter and to outdo previous shootings</v>
      </c>
      <c r="W869"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X869" s="5" t="str">
        <f ca="1">IFERROR(__xludf.DUMMYFUNCTION("""COMPUTED_VALUE"""),"Indiscriminate Shooting")</f>
        <v>Indiscriminate Shooting</v>
      </c>
      <c r="Y869" s="5" t="str">
        <f ca="1">IFERROR(__xludf.DUMMYFUNCTION("""COMPUTED_VALUE"""),"Random Shooting")</f>
        <v>Random Shooting</v>
      </c>
      <c r="Z869" s="5" t="str">
        <f ca="1">IFERROR(__xludf.DUMMYFUNCTION("""COMPUTED_VALUE"""),"No")</f>
        <v>No</v>
      </c>
      <c r="AA869" s="5"/>
      <c r="AB869" s="5" t="str">
        <f ca="1">IFERROR(__xludf.DUMMYFUNCTION("""COMPUTED_VALUE"""),"No")</f>
        <v>No</v>
      </c>
      <c r="AC869" s="5" t="str">
        <f ca="1">IFERROR(__xludf.DUMMYFUNCTION("""COMPUTED_VALUE"""),"No")</f>
        <v>No</v>
      </c>
      <c r="AD869" s="5" t="str">
        <f ca="1">IFERROR(__xludf.DUMMYFUNCTION("""COMPUTED_VALUE"""),"No")</f>
        <v>No</v>
      </c>
      <c r="AE869" s="5" t="str">
        <f ca="1">IFERROR(__xludf.DUMMYFUNCTION("""COMPUTED_VALUE"""),"Yes")</f>
        <v>Yes</v>
      </c>
      <c r="AF869" s="5" t="str">
        <f ca="1">IFERROR(__xludf.DUMMYFUNCTION("""COMPUTED_VALUE"""),"No")</f>
        <v>No</v>
      </c>
      <c r="AG869" s="5" t="str">
        <f ca="1">IFERROR(__xludf.DUMMYFUNCTION("""COMPUTED_VALUE"""),"No")</f>
        <v>No</v>
      </c>
      <c r="AH869" s="5" t="str">
        <f ca="1">IFERROR(__xludf.DUMMYFUNCTION("""COMPUTED_VALUE"""),"Yes")</f>
        <v>Yes</v>
      </c>
    </row>
    <row r="870" spans="1:34" ht="12.75">
      <c r="A870" s="5" t="str">
        <f ca="1">IFERROR(__xludf.DUMMYFUNCTION("""COMPUTED_VALUE"""),"20160927OHELC")</f>
        <v>20160927OHELC</v>
      </c>
      <c r="B870" s="8">
        <f ca="1">IFERROR(__xludf.DUMMYFUNCTION("""COMPUTED_VALUE"""),42640)</f>
        <v>42640</v>
      </c>
      <c r="C870" s="5" t="str">
        <f ca="1">IFERROR(__xludf.DUMMYFUNCTION("""COMPUTED_VALUE"""),"Elder High School")</f>
        <v>Elder High School</v>
      </c>
      <c r="D870" s="5">
        <f ca="1">IFERROR(__xludf.DUMMYFUNCTION("""COMPUTED_VALUE"""),0)</f>
        <v>0</v>
      </c>
      <c r="E870" s="5">
        <f ca="1">IFERROR(__xludf.DUMMYFUNCTION("""COMPUTED_VALUE"""),3)</f>
        <v>3</v>
      </c>
      <c r="F870" s="5">
        <f ca="1">IFERROR(__xludf.DUMMYFUNCTION("""COMPUTED_VALUE"""),3)</f>
        <v>3</v>
      </c>
      <c r="G870" s="5">
        <f ca="1">IFERROR(__xludf.DUMMYFUNCTION("""COMPUTED_VALUE"""),0)</f>
        <v>0</v>
      </c>
      <c r="H870" s="9" t="str">
        <f ca="1">IFERROR(__xludf.DUMMYFUNCTION("""COMPUTED_VALUE"""),"https://www.wcpo.com/news/local-news/hamilton-county/cincinnati/three-people-shot-after-elder-high-soccer-game")</f>
        <v>https://www.wcpo.com/news/local-news/hamilton-county/cincinnati/three-people-shot-after-elder-high-soccer-game</v>
      </c>
      <c r="I870" s="5"/>
      <c r="J870" s="5"/>
      <c r="K870" s="5">
        <f ca="1">IFERROR(__xludf.DUMMYFUNCTION("""COMPUTED_VALUE"""),3)</f>
        <v>3</v>
      </c>
      <c r="L870" s="5" t="str">
        <f ca="1">IFERROR(__xludf.DUMMYFUNCTION("""COMPUTED_VALUE"""),"Fall")</f>
        <v>Fall</v>
      </c>
      <c r="M870" s="5" t="str">
        <f ca="1">IFERROR(__xludf.DUMMYFUNCTION("""COMPUTED_VALUE"""),"Cincinnati")</f>
        <v>Cincinnati</v>
      </c>
      <c r="N870" s="5" t="str">
        <f ca="1">IFERROR(__xludf.DUMMYFUNCTION("""COMPUTED_VALUE"""),"OH")</f>
        <v>OH</v>
      </c>
      <c r="O870" s="5" t="str">
        <f ca="1">IFERROR(__xludf.DUMMYFUNCTION("""COMPUTED_VALUE"""),"High")</f>
        <v>High</v>
      </c>
      <c r="P870" s="5" t="str">
        <f ca="1">IFERROR(__xludf.DUMMYFUNCTION("""COMPUTED_VALUE"""),"Football Field/Track")</f>
        <v>Football Field/Track</v>
      </c>
      <c r="Q870" s="5" t="str">
        <f ca="1">IFERROR(__xludf.DUMMYFUNCTION("""COMPUTED_VALUE"""),"Outside on School Property")</f>
        <v>Outside on School Property</v>
      </c>
      <c r="R870" s="5" t="str">
        <f ca="1">IFERROR(__xludf.DUMMYFUNCTION("""COMPUTED_VALUE"""),"No")</f>
        <v>No</v>
      </c>
      <c r="S870" s="5" t="str">
        <f ca="1">IFERROR(__xludf.DUMMYFUNCTION("""COMPUTED_VALUE"""),"Sport Event")</f>
        <v>Sport Event</v>
      </c>
      <c r="T870" s="10">
        <f ca="1">IFERROR(__xludf.DUMMYFUNCTION("""COMPUTED_VALUE"""),0.895833333333333)</f>
        <v>0.89583333333333304</v>
      </c>
      <c r="U870" s="5">
        <f ca="1">IFERROR(__xludf.DUMMYFUNCTION("""COMPUTED_VALUE"""),1)</f>
        <v>1</v>
      </c>
      <c r="V870" s="5" t="str">
        <f ca="1">IFERROR(__xludf.DUMMYFUNCTION("""COMPUTED_VALUE"""),"3 shot after soccer game concluded")</f>
        <v>3 shot after soccer game concluded</v>
      </c>
      <c r="W870"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X870" s="5" t="str">
        <f ca="1">IFERROR(__xludf.DUMMYFUNCTION("""COMPUTED_VALUE"""),"Indiscriminate Shooting")</f>
        <v>Indiscriminate Shooting</v>
      </c>
      <c r="Y870" s="5"/>
      <c r="Z870" s="5"/>
      <c r="AA870" s="5"/>
      <c r="AB870" s="5" t="str">
        <f ca="1">IFERROR(__xludf.DUMMYFUNCTION("""COMPUTED_VALUE"""),"No")</f>
        <v>No</v>
      </c>
      <c r="AC870" s="5" t="str">
        <f ca="1">IFERROR(__xludf.DUMMYFUNCTION("""COMPUTED_VALUE"""),"No")</f>
        <v>No</v>
      </c>
      <c r="AD870" s="5" t="str">
        <f ca="1">IFERROR(__xludf.DUMMYFUNCTION("""COMPUTED_VALUE"""),"No")</f>
        <v>No</v>
      </c>
      <c r="AE870" s="5" t="str">
        <f ca="1">IFERROR(__xludf.DUMMYFUNCTION("""COMPUTED_VALUE"""),"No")</f>
        <v>No</v>
      </c>
      <c r="AF870" s="5" t="str">
        <f ca="1">IFERROR(__xludf.DUMMYFUNCTION("""COMPUTED_VALUE"""),"No")</f>
        <v>No</v>
      </c>
      <c r="AG870" s="5"/>
      <c r="AH870" s="5" t="str">
        <f ca="1">IFERROR(__xludf.DUMMYFUNCTION("""COMPUTED_VALUE"""),"No")</f>
        <v>No</v>
      </c>
    </row>
    <row r="871" spans="1:34" ht="12.75">
      <c r="A871" s="5" t="str">
        <f ca="1">IFERROR(__xludf.DUMMYFUNCTION("""COMPUTED_VALUE"""),"20160926MSTAJ")</f>
        <v>20160926MSTAJ</v>
      </c>
      <c r="B871" s="8">
        <f ca="1">IFERROR(__xludf.DUMMYFUNCTION("""COMPUTED_VALUE"""),42639)</f>
        <v>42639</v>
      </c>
      <c r="C871" s="5" t="str">
        <f ca="1">IFERROR(__xludf.DUMMYFUNCTION("""COMPUTED_VALUE"""),"T A Wilson Academy (bus)")</f>
        <v>T A Wilson Academy (bus)</v>
      </c>
      <c r="D871" s="5">
        <f ca="1">IFERROR(__xludf.DUMMYFUNCTION("""COMPUTED_VALUE"""),0)</f>
        <v>0</v>
      </c>
      <c r="E871" s="5">
        <f ca="1">IFERROR(__xludf.DUMMYFUNCTION("""COMPUTED_VALUE"""),1)</f>
        <v>1</v>
      </c>
      <c r="F871" s="5">
        <f ca="1">IFERROR(__xludf.DUMMYFUNCTION("""COMPUTED_VALUE"""),1)</f>
        <v>1</v>
      </c>
      <c r="G871" s="5">
        <f ca="1">IFERROR(__xludf.DUMMYFUNCTION("""COMPUTED_VALUE"""),0)</f>
        <v>0</v>
      </c>
      <c r="H871" s="9" t="str">
        <f ca="1">IFERROR(__xludf.DUMMYFUNCTION("""COMPUTED_VALUE"""),"http://www.mlive.com/news/jackson/index.ssf/2016/09/student_shot_on_school_bus_out.html")</f>
        <v>http://www.mlive.com/news/jackson/index.ssf/2016/09/student_shot_on_school_bus_out.html</v>
      </c>
      <c r="I871" s="5">
        <f ca="1">IFERROR(__xludf.DUMMYFUNCTION("""COMPUTED_VALUE"""),5)</f>
        <v>5</v>
      </c>
      <c r="J871" s="5" t="str">
        <f ca="1">IFERROR(__xludf.DUMMYFUNCTION("""COMPUTED_VALUE"""),"Local")</f>
        <v>Local</v>
      </c>
      <c r="K871" s="5">
        <f ca="1">IFERROR(__xludf.DUMMYFUNCTION("""COMPUTED_VALUE"""),2)</f>
        <v>2</v>
      </c>
      <c r="L871" s="5" t="str">
        <f ca="1">IFERROR(__xludf.DUMMYFUNCTION("""COMPUTED_VALUE"""),"Fall")</f>
        <v>Fall</v>
      </c>
      <c r="M871" s="5" t="str">
        <f ca="1">IFERROR(__xludf.DUMMYFUNCTION("""COMPUTED_VALUE"""),"Jackson")</f>
        <v>Jackson</v>
      </c>
      <c r="N871" s="5" t="str">
        <f ca="1">IFERROR(__xludf.DUMMYFUNCTION("""COMPUTED_VALUE"""),"MS")</f>
        <v>MS</v>
      </c>
      <c r="O871" s="5" t="str">
        <f ca="1">IFERROR(__xludf.DUMMYFUNCTION("""COMPUTED_VALUE"""),"High")</f>
        <v>High</v>
      </c>
      <c r="P871" s="5" t="str">
        <f ca="1">IFERROR(__xludf.DUMMYFUNCTION("""COMPUTED_VALUE"""),"Front of School (Bus)")</f>
        <v>Front of School (Bus)</v>
      </c>
      <c r="Q871" s="5" t="str">
        <f ca="1">IFERROR(__xludf.DUMMYFUNCTION("""COMPUTED_VALUE"""),"Outside on School Property")</f>
        <v>Outside on School Property</v>
      </c>
      <c r="R871" s="5" t="str">
        <f ca="1">IFERROR(__xludf.DUMMYFUNCTION("""COMPUTED_VALUE"""),"Yes")</f>
        <v>Yes</v>
      </c>
      <c r="S871" s="5" t="str">
        <f ca="1">IFERROR(__xludf.DUMMYFUNCTION("""COMPUTED_VALUE"""),"Dismissal")</f>
        <v>Dismissal</v>
      </c>
      <c r="T871" s="10">
        <f ca="1">IFERROR(__xludf.DUMMYFUNCTION("""COMPUTED_VALUE"""),0.604166666666666)</f>
        <v>0.60416666666666596</v>
      </c>
      <c r="U871" s="5">
        <f ca="1">IFERROR(__xludf.DUMMYFUNCTION("""COMPUTED_VALUE"""),1)</f>
        <v>1</v>
      </c>
      <c r="V871" s="5" t="str">
        <f ca="1">IFERROR(__xludf.DUMMYFUNCTION("""COMPUTED_VALUE"""),"Shots fired during fight while getting onto school bus")</f>
        <v>Shots fired during fight while getting onto school bus</v>
      </c>
      <c r="W871"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X871" s="5" t="str">
        <f ca="1">IFERROR(__xludf.DUMMYFUNCTION("""COMPUTED_VALUE"""),"Escalation of Dispute")</f>
        <v>Escalation of Dispute</v>
      </c>
      <c r="Y871" s="5" t="str">
        <f ca="1">IFERROR(__xludf.DUMMYFUNCTION("""COMPUTED_VALUE"""),"Victims Targeted")</f>
        <v>Victims Targeted</v>
      </c>
      <c r="Z871" s="5"/>
      <c r="AA871" s="5"/>
      <c r="AB871" s="5" t="str">
        <f ca="1">IFERROR(__xludf.DUMMYFUNCTION("""COMPUTED_VALUE"""),"No")</f>
        <v>No</v>
      </c>
      <c r="AC871" s="5" t="str">
        <f ca="1">IFERROR(__xludf.DUMMYFUNCTION("""COMPUTED_VALUE"""),"No")</f>
        <v>No</v>
      </c>
      <c r="AD871" s="5" t="str">
        <f ca="1">IFERROR(__xludf.DUMMYFUNCTION("""COMPUTED_VALUE"""),"No")</f>
        <v>No</v>
      </c>
      <c r="AE871" s="5" t="str">
        <f ca="1">IFERROR(__xludf.DUMMYFUNCTION("""COMPUTED_VALUE"""),"No")</f>
        <v>No</v>
      </c>
      <c r="AF871" s="5"/>
      <c r="AG871" s="5" t="str">
        <f ca="1">IFERROR(__xludf.DUMMYFUNCTION("""COMPUTED_VALUE"""),"No")</f>
        <v>No</v>
      </c>
      <c r="AH871" s="5" t="str">
        <f ca="1">IFERROR(__xludf.DUMMYFUNCTION("""COMPUTED_VALUE"""),"No")</f>
        <v>No</v>
      </c>
    </row>
    <row r="872" spans="1:34" ht="12.75">
      <c r="A872" s="5" t="str">
        <f ca="1">IFERROR(__xludf.DUMMYFUNCTION("""COMPUTED_VALUE"""),"20160909PASMY")</f>
        <v>20160909PASMY</v>
      </c>
      <c r="B872" s="8">
        <f ca="1">IFERROR(__xludf.DUMMYFUNCTION("""COMPUTED_VALUE"""),42622)</f>
        <v>42622</v>
      </c>
      <c r="C872" s="5" t="str">
        <f ca="1">IFERROR(__xludf.DUMMYFUNCTION("""COMPUTED_VALUE"""),"Small Athletic Field (William Penn Senior High School game)")</f>
        <v>Small Athletic Field (William Penn Senior High School game)</v>
      </c>
      <c r="D872" s="5">
        <f ca="1">IFERROR(__xludf.DUMMYFUNCTION("""COMPUTED_VALUE"""),0)</f>
        <v>0</v>
      </c>
      <c r="E872" s="5">
        <f ca="1">IFERROR(__xludf.DUMMYFUNCTION("""COMPUTED_VALUE"""),2)</f>
        <v>2</v>
      </c>
      <c r="F872" s="5">
        <f ca="1">IFERROR(__xludf.DUMMYFUNCTION("""COMPUTED_VALUE"""),2)</f>
        <v>2</v>
      </c>
      <c r="G872" s="5">
        <f ca="1">IFERROR(__xludf.DUMMYFUNCTION("""COMPUTED_VALUE"""),0)</f>
        <v>0</v>
      </c>
      <c r="H872" s="9" t="str">
        <f ca="1">IFERROR(__xludf.DUMMYFUNCTION("""COMPUTED_VALUE"""),"https://www.ydr.com/story/news/2016/09/09/shooting-reported-small-athletic-field-911-says/90154006/")</f>
        <v>https://www.ydr.com/story/news/2016/09/09/shooting-reported-small-athletic-field-911-says/90154006/</v>
      </c>
      <c r="I872" s="5"/>
      <c r="J872" s="5"/>
      <c r="K872" s="5">
        <f ca="1">IFERROR(__xludf.DUMMYFUNCTION("""COMPUTED_VALUE"""),3)</f>
        <v>3</v>
      </c>
      <c r="L872" s="5" t="str">
        <f ca="1">IFERROR(__xludf.DUMMYFUNCTION("""COMPUTED_VALUE"""),"Fall")</f>
        <v>Fall</v>
      </c>
      <c r="M872" s="5" t="str">
        <f ca="1">IFERROR(__xludf.DUMMYFUNCTION("""COMPUTED_VALUE"""),"York")</f>
        <v>York</v>
      </c>
      <c r="N872" s="5" t="str">
        <f ca="1">IFERROR(__xludf.DUMMYFUNCTION("""COMPUTED_VALUE"""),"PA")</f>
        <v>PA</v>
      </c>
      <c r="O872" s="5" t="str">
        <f ca="1">IFERROR(__xludf.DUMMYFUNCTION("""COMPUTED_VALUE"""),"High")</f>
        <v>High</v>
      </c>
      <c r="P872" s="5" t="str">
        <f ca="1">IFERROR(__xludf.DUMMYFUNCTION("""COMPUTED_VALUE"""),"Parking Lot")</f>
        <v>Parking Lot</v>
      </c>
      <c r="Q872" s="5" t="str">
        <f ca="1">IFERROR(__xludf.DUMMYFUNCTION("""COMPUTED_VALUE"""),"Outside on School Property")</f>
        <v>Outside on School Property</v>
      </c>
      <c r="R872" s="5" t="str">
        <f ca="1">IFERROR(__xludf.DUMMYFUNCTION("""COMPUTED_VALUE"""),"No")</f>
        <v>No</v>
      </c>
      <c r="S872" s="5" t="str">
        <f ca="1">IFERROR(__xludf.DUMMYFUNCTION("""COMPUTED_VALUE"""),"Sport Event")</f>
        <v>Sport Event</v>
      </c>
      <c r="T872" s="10">
        <f ca="1">IFERROR(__xludf.DUMMYFUNCTION("""COMPUTED_VALUE"""),0.895833333333333)</f>
        <v>0.89583333333333304</v>
      </c>
      <c r="U872" s="5">
        <f ca="1">IFERROR(__xludf.DUMMYFUNCTION("""COMPUTED_VALUE"""),1)</f>
        <v>1</v>
      </c>
      <c r="V872" s="5" t="str">
        <f ca="1">IFERROR(__xludf.DUMMYFUNCTION("""COMPUTED_VALUE"""),"Shooting in parking lot after argument during the game")</f>
        <v>Shooting in parking lot after argument during the game</v>
      </c>
      <c r="W872"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X872" s="5" t="str">
        <f ca="1">IFERROR(__xludf.DUMMYFUNCTION("""COMPUTED_VALUE"""),"Escalation of Dispute")</f>
        <v>Escalation of Dispute</v>
      </c>
      <c r="Y872" s="5" t="str">
        <f ca="1">IFERROR(__xludf.DUMMYFUNCTION("""COMPUTED_VALUE"""),"Victims Targeted")</f>
        <v>Victims Targeted</v>
      </c>
      <c r="Z872" s="5"/>
      <c r="AA872" s="5"/>
      <c r="AB872" s="5" t="str">
        <f ca="1">IFERROR(__xludf.DUMMYFUNCTION("""COMPUTED_VALUE"""),"No")</f>
        <v>No</v>
      </c>
      <c r="AC872" s="5" t="str">
        <f ca="1">IFERROR(__xludf.DUMMYFUNCTION("""COMPUTED_VALUE"""),"No")</f>
        <v>No</v>
      </c>
      <c r="AD872" s="5" t="str">
        <f ca="1">IFERROR(__xludf.DUMMYFUNCTION("""COMPUTED_VALUE"""),"No")</f>
        <v>No</v>
      </c>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row>
    <row r="873" spans="1:34" ht="12.75">
      <c r="A873" s="5" t="str">
        <f ca="1">IFERROR(__xludf.DUMMYFUNCTION("""COMPUTED_VALUE"""),"20160909IACEC")</f>
        <v>20160909IACEC</v>
      </c>
      <c r="B873" s="8">
        <f ca="1">IFERROR(__xludf.DUMMYFUNCTION("""COMPUTED_VALUE"""),42622)</f>
        <v>42622</v>
      </c>
      <c r="C873" s="5" t="str">
        <f ca="1">IFERROR(__xludf.DUMMYFUNCTION("""COMPUTED_VALUE"""),"Cedar Rapids Jefferson High School")</f>
        <v>Cedar Rapids Jefferson High School</v>
      </c>
      <c r="D873" s="5">
        <f ca="1">IFERROR(__xludf.DUMMYFUNCTION("""COMPUTED_VALUE"""),0)</f>
        <v>0</v>
      </c>
      <c r="E873" s="5">
        <f ca="1">IFERROR(__xludf.DUMMYFUNCTION("""COMPUTED_VALUE"""),0)</f>
        <v>0</v>
      </c>
      <c r="F873" s="5">
        <f ca="1">IFERROR(__xludf.DUMMYFUNCTION("""COMPUTED_VALUE"""),0)</f>
        <v>0</v>
      </c>
      <c r="G873" s="5">
        <f ca="1">IFERROR(__xludf.DUMMYFUNCTION("""COMPUTED_VALUE"""),1)</f>
        <v>1</v>
      </c>
      <c r="H873"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I873" s="5"/>
      <c r="J873" s="5"/>
      <c r="K873" s="5">
        <f ca="1">IFERROR(__xludf.DUMMYFUNCTION("""COMPUTED_VALUE"""),3)</f>
        <v>3</v>
      </c>
      <c r="L873" s="5" t="str">
        <f ca="1">IFERROR(__xludf.DUMMYFUNCTION("""COMPUTED_VALUE"""),"Fall")</f>
        <v>Fall</v>
      </c>
      <c r="M873" s="5" t="str">
        <f ca="1">IFERROR(__xludf.DUMMYFUNCTION("""COMPUTED_VALUE"""),"Cedar Rapids")</f>
        <v>Cedar Rapids</v>
      </c>
      <c r="N873" s="5" t="str">
        <f ca="1">IFERROR(__xludf.DUMMYFUNCTION("""COMPUTED_VALUE"""),"IA")</f>
        <v>IA</v>
      </c>
      <c r="O873" s="5" t="str">
        <f ca="1">IFERROR(__xludf.DUMMYFUNCTION("""COMPUTED_VALUE"""),"High")</f>
        <v>High</v>
      </c>
      <c r="P873" s="5" t="str">
        <f ca="1">IFERROR(__xludf.DUMMYFUNCTION("""COMPUTED_VALUE"""),"Beside Building")</f>
        <v>Beside Building</v>
      </c>
      <c r="Q873" s="5" t="str">
        <f ca="1">IFERROR(__xludf.DUMMYFUNCTION("""COMPUTED_VALUE"""),"Outside on School Property")</f>
        <v>Outside on School Property</v>
      </c>
      <c r="R873" s="5" t="str">
        <f ca="1">IFERROR(__xludf.DUMMYFUNCTION("""COMPUTED_VALUE"""),"Yes")</f>
        <v>Yes</v>
      </c>
      <c r="S873" s="5" t="str">
        <f ca="1">IFERROR(__xludf.DUMMYFUNCTION("""COMPUTED_VALUE"""),"Morning Classes")</f>
        <v>Morning Classes</v>
      </c>
      <c r="T873" s="10">
        <f ca="1">IFERROR(__xludf.DUMMYFUNCTION("""COMPUTED_VALUE"""),0.329861111111111)</f>
        <v>0.32986111111111099</v>
      </c>
      <c r="U873" s="5">
        <f ca="1">IFERROR(__xludf.DUMMYFUNCTION("""COMPUTED_VALUE"""),1)</f>
        <v>1</v>
      </c>
      <c r="V873" s="5" t="str">
        <f ca="1">IFERROR(__xludf.DUMMYFUNCTION("""COMPUTED_VALUE"""),"Suicide in school auditorium")</f>
        <v>Suicide in school auditorium</v>
      </c>
      <c r="W873"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X873" s="5" t="str">
        <f ca="1">IFERROR(__xludf.DUMMYFUNCTION("""COMPUTED_VALUE"""),"Suicide/Attempted")</f>
        <v>Suicide/Attempted</v>
      </c>
      <c r="Y873" s="5" t="str">
        <f ca="1">IFERROR(__xludf.DUMMYFUNCTION("""COMPUTED_VALUE"""),"Victims Targeted")</f>
        <v>Victims Targeted</v>
      </c>
      <c r="Z873" s="5" t="str">
        <f ca="1">IFERROR(__xludf.DUMMYFUNCTION("""COMPUTED_VALUE"""),"No")</f>
        <v>No</v>
      </c>
      <c r="AA873" s="5"/>
      <c r="AB873" s="5" t="str">
        <f ca="1">IFERROR(__xludf.DUMMYFUNCTION("""COMPUTED_VALUE"""),"No")</f>
        <v>No</v>
      </c>
      <c r="AC873" s="5" t="str">
        <f ca="1">IFERROR(__xludf.DUMMYFUNCTION("""COMPUTED_VALUE"""),"No")</f>
        <v>No</v>
      </c>
      <c r="AD873" s="5" t="str">
        <f ca="1">IFERROR(__xludf.DUMMYFUNCTION("""COMPUTED_VALUE"""),"No")</f>
        <v>No</v>
      </c>
      <c r="AE873" s="5"/>
      <c r="AF873" s="5"/>
      <c r="AG873" s="5" t="str">
        <f ca="1">IFERROR(__xludf.DUMMYFUNCTION("""COMPUTED_VALUE"""),"No")</f>
        <v>No</v>
      </c>
      <c r="AH873" s="5" t="str">
        <f ca="1">IFERROR(__xludf.DUMMYFUNCTION("""COMPUTED_VALUE"""),"No")</f>
        <v>No</v>
      </c>
    </row>
    <row r="874" spans="1:34" ht="12.75">
      <c r="A874" s="5" t="str">
        <f ca="1">IFERROR(__xludf.DUMMYFUNCTION("""COMPUTED_VALUE"""),"20160908TXALA")</f>
        <v>20160908TXALA</v>
      </c>
      <c r="B874" s="8">
        <f ca="1">IFERROR(__xludf.DUMMYFUNCTION("""COMPUTED_VALUE"""),42621)</f>
        <v>42621</v>
      </c>
      <c r="C874" s="5" t="str">
        <f ca="1">IFERROR(__xludf.DUMMYFUNCTION("""COMPUTED_VALUE"""),"Alpine High School")</f>
        <v>Alpine High School</v>
      </c>
      <c r="D874" s="5">
        <f ca="1">IFERROR(__xludf.DUMMYFUNCTION("""COMPUTED_VALUE"""),0)</f>
        <v>0</v>
      </c>
      <c r="E874" s="5">
        <f ca="1">IFERROR(__xludf.DUMMYFUNCTION("""COMPUTED_VALUE"""),2)</f>
        <v>2</v>
      </c>
      <c r="F874" s="5">
        <f ca="1">IFERROR(__xludf.DUMMYFUNCTION("""COMPUTED_VALUE"""),2)</f>
        <v>2</v>
      </c>
      <c r="G874" s="5">
        <f ca="1">IFERROR(__xludf.DUMMYFUNCTION("""COMPUTED_VALUE"""),1)</f>
        <v>1</v>
      </c>
      <c r="H874" s="5" t="str">
        <f ca="1">IFERROR(__xludf.DUMMYFUNCTION("""COMPUTED_VALUE"""),"https://www.cnn.com/2016/09/08/us/texas-high-school-shooting/index.html https://apnews.com/2cfba6696074f0913e09e2ed5adcc593")</f>
        <v>https://www.cnn.com/2016/09/08/us/texas-high-school-shooting/index.html https://apnews.com/2cfba6696074f0913e09e2ed5adcc593</v>
      </c>
      <c r="I874" s="5">
        <f ca="1">IFERROR(__xludf.DUMMYFUNCTION("""COMPUTED_VALUE"""),11)</f>
        <v>11</v>
      </c>
      <c r="J874" s="5" t="str">
        <f ca="1">IFERROR(__xludf.DUMMYFUNCTION("""COMPUTED_VALUE"""),"Regional")</f>
        <v>Regional</v>
      </c>
      <c r="K874" s="5">
        <f ca="1">IFERROR(__xludf.DUMMYFUNCTION("""COMPUTED_VALUE"""),3)</f>
        <v>3</v>
      </c>
      <c r="L874" s="5" t="str">
        <f ca="1">IFERROR(__xludf.DUMMYFUNCTION("""COMPUTED_VALUE"""),"Fall")</f>
        <v>Fall</v>
      </c>
      <c r="M874" s="5" t="str">
        <f ca="1">IFERROR(__xludf.DUMMYFUNCTION("""COMPUTED_VALUE"""),"Alpine")</f>
        <v>Alpine</v>
      </c>
      <c r="N874" s="5" t="str">
        <f ca="1">IFERROR(__xludf.DUMMYFUNCTION("""COMPUTED_VALUE"""),"TX")</f>
        <v>TX</v>
      </c>
      <c r="O874" s="5" t="str">
        <f ca="1">IFERROR(__xludf.DUMMYFUNCTION("""COMPUTED_VALUE"""),"High")</f>
        <v>High</v>
      </c>
      <c r="P874" s="5" t="str">
        <f ca="1">IFERROR(__xludf.DUMMYFUNCTION("""COMPUTED_VALUE"""),"Bathroom")</f>
        <v>Bathroom</v>
      </c>
      <c r="Q874" s="5" t="str">
        <f ca="1">IFERROR(__xludf.DUMMYFUNCTION("""COMPUTED_VALUE"""),"Inside School Building")</f>
        <v>Inside School Building</v>
      </c>
      <c r="R874" s="5" t="str">
        <f ca="1">IFERROR(__xludf.DUMMYFUNCTION("""COMPUTED_VALUE"""),"Yes")</f>
        <v>Yes</v>
      </c>
      <c r="S874" s="5" t="str">
        <f ca="1">IFERROR(__xludf.DUMMYFUNCTION("""COMPUTED_VALUE"""),"Morning Classes")</f>
        <v>Morning Classes</v>
      </c>
      <c r="T874" s="10">
        <f ca="1">IFERROR(__xludf.DUMMYFUNCTION("""COMPUTED_VALUE"""),0.375)</f>
        <v>0.375</v>
      </c>
      <c r="U874" s="5">
        <f ca="1">IFERROR(__xludf.DUMMYFUNCTION("""COMPUTED_VALUE"""),1)</f>
        <v>1</v>
      </c>
      <c r="V874" s="5" t="str">
        <f ca="1">IFERROR(__xludf.DUMMYFUNCTION("""COMPUTED_VALUE"""),"Attempted murder-suicide in school bathroom")</f>
        <v>Attempted murder-suicide in school bathroom</v>
      </c>
      <c r="W874"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X874" s="5" t="str">
        <f ca="1">IFERROR(__xludf.DUMMYFUNCTION("""COMPUTED_VALUE"""),"Domestic w/ Targeted Victim")</f>
        <v>Domestic w/ Targeted Victim</v>
      </c>
      <c r="Y874" s="5" t="str">
        <f ca="1">IFERROR(__xludf.DUMMYFUNCTION("""COMPUTED_VALUE"""),"Both")</f>
        <v>Both</v>
      </c>
      <c r="Z874" s="5" t="str">
        <f ca="1">IFERROR(__xludf.DUMMYFUNCTION("""COMPUTED_VALUE"""),"No")</f>
        <v>No</v>
      </c>
      <c r="AA874" s="5"/>
      <c r="AB874" s="5" t="str">
        <f ca="1">IFERROR(__xludf.DUMMYFUNCTION("""COMPUTED_VALUE"""),"No")</f>
        <v>No</v>
      </c>
      <c r="AC874" s="5" t="str">
        <f ca="1">IFERROR(__xludf.DUMMYFUNCTION("""COMPUTED_VALUE"""),"No")</f>
        <v>No</v>
      </c>
      <c r="AD874" s="5" t="str">
        <f ca="1">IFERROR(__xludf.DUMMYFUNCTION("""COMPUTED_VALUE"""),"No")</f>
        <v>No</v>
      </c>
      <c r="AE874" s="5" t="str">
        <f ca="1">IFERROR(__xludf.DUMMYFUNCTION("""COMPUTED_VALUE"""),"No")</f>
        <v>No</v>
      </c>
      <c r="AF874" s="5" t="str">
        <f ca="1">IFERROR(__xludf.DUMMYFUNCTION("""COMPUTED_VALUE"""),"Yes")</f>
        <v>Yes</v>
      </c>
      <c r="AG874" s="5" t="str">
        <f ca="1">IFERROR(__xludf.DUMMYFUNCTION("""COMPUTED_VALUE"""),"No")</f>
        <v>No</v>
      </c>
      <c r="AH874" s="5" t="str">
        <f ca="1">IFERROR(__xludf.DUMMYFUNCTION("""COMPUTED_VALUE"""),"No")</f>
        <v>No</v>
      </c>
    </row>
    <row r="875" spans="1:34" ht="12.75">
      <c r="A875" s="5" t="str">
        <f ca="1">IFERROR(__xludf.DUMMYFUNCTION("""COMPUTED_VALUE"""),"20160907MIDED")</f>
        <v>20160907MIDED</v>
      </c>
      <c r="B875" s="8">
        <f ca="1">IFERROR(__xludf.DUMMYFUNCTION("""COMPUTED_VALUE"""),42620)</f>
        <v>42620</v>
      </c>
      <c r="C875" s="5" t="str">
        <f ca="1">IFERROR(__xludf.DUMMYFUNCTION("""COMPUTED_VALUE"""),"Detroit Collegiate Preparatory High School")</f>
        <v>Detroit Collegiate Preparatory High School</v>
      </c>
      <c r="D875" s="5">
        <f ca="1">IFERROR(__xludf.DUMMYFUNCTION("""COMPUTED_VALUE"""),0)</f>
        <v>0</v>
      </c>
      <c r="E875" s="5">
        <f ca="1">IFERROR(__xludf.DUMMYFUNCTION("""COMPUTED_VALUE"""),0)</f>
        <v>0</v>
      </c>
      <c r="F875" s="5">
        <f ca="1">IFERROR(__xludf.DUMMYFUNCTION("""COMPUTED_VALUE"""),0)</f>
        <v>0</v>
      </c>
      <c r="G875" s="5">
        <f ca="1">IFERROR(__xludf.DUMMYFUNCTION("""COMPUTED_VALUE"""),0)</f>
        <v>0</v>
      </c>
      <c r="H875" s="9" t="str">
        <f ca="1">IFERROR(__xludf.DUMMYFUNCTION("""COMPUTED_VALUE"""),"http://detroit.cbslocal.com/2016/09/07/detroit-principals-vehicle-reportedly-shot-up-in-parking-lot-on-second-day-of-school/")</f>
        <v>http://detroit.cbslocal.com/2016/09/07/detroit-principals-vehicle-reportedly-shot-up-in-parking-lot-on-second-day-of-school/</v>
      </c>
      <c r="I875" s="5"/>
      <c r="J875" s="5"/>
      <c r="K875" s="5">
        <f ca="1">IFERROR(__xludf.DUMMYFUNCTION("""COMPUTED_VALUE"""),2)</f>
        <v>2</v>
      </c>
      <c r="L875" s="5" t="str">
        <f ca="1">IFERROR(__xludf.DUMMYFUNCTION("""COMPUTED_VALUE"""),"Fall")</f>
        <v>Fall</v>
      </c>
      <c r="M875" s="5" t="str">
        <f ca="1">IFERROR(__xludf.DUMMYFUNCTION("""COMPUTED_VALUE"""),"Detroit")</f>
        <v>Detroit</v>
      </c>
      <c r="N875" s="5" t="str">
        <f ca="1">IFERROR(__xludf.DUMMYFUNCTION("""COMPUTED_VALUE"""),"MI")</f>
        <v>MI</v>
      </c>
      <c r="O875" s="5" t="str">
        <f ca="1">IFERROR(__xludf.DUMMYFUNCTION("""COMPUTED_VALUE"""),"High")</f>
        <v>High</v>
      </c>
      <c r="P875" s="5" t="str">
        <f ca="1">IFERROR(__xludf.DUMMYFUNCTION("""COMPUTED_VALUE"""),"Parking Lot")</f>
        <v>Parking Lot</v>
      </c>
      <c r="Q875" s="5" t="str">
        <f ca="1">IFERROR(__xludf.DUMMYFUNCTION("""COMPUTED_VALUE"""),"Outside on School Property")</f>
        <v>Outside on School Property</v>
      </c>
      <c r="R875" s="5" t="str">
        <f ca="1">IFERROR(__xludf.DUMMYFUNCTION("""COMPUTED_VALUE"""),"Yes")</f>
        <v>Yes</v>
      </c>
      <c r="S875" s="5" t="str">
        <f ca="1">IFERROR(__xludf.DUMMYFUNCTION("""COMPUTED_VALUE"""),"Before School")</f>
        <v>Before School</v>
      </c>
      <c r="T875" s="10">
        <f ca="1">IFERROR(__xludf.DUMMYFUNCTION("""COMPUTED_VALUE"""),0.291666666666666)</f>
        <v>0.29166666666666602</v>
      </c>
      <c r="U875" s="5"/>
      <c r="V875" s="5" t="str">
        <f ca="1">IFERROR(__xludf.DUMMYFUNCTION("""COMPUTED_VALUE"""),"Shots fired at principal's car")</f>
        <v>Shots fired at principal's car</v>
      </c>
      <c r="W875"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X875" s="5" t="str">
        <f ca="1">IFERROR(__xludf.DUMMYFUNCTION("""COMPUTED_VALUE"""),"Unknown")</f>
        <v>Unknown</v>
      </c>
      <c r="Y875" s="5" t="str">
        <f ca="1">IFERROR(__xludf.DUMMYFUNCTION("""COMPUTED_VALUE"""),"Victims Targeted")</f>
        <v>Victims Targeted</v>
      </c>
      <c r="Z875" s="5"/>
      <c r="AA875" s="5"/>
      <c r="AB875" s="5" t="str">
        <f ca="1">IFERROR(__xludf.DUMMYFUNCTION("""COMPUTED_VALUE"""),"No")</f>
        <v>No</v>
      </c>
      <c r="AC875" s="5" t="str">
        <f ca="1">IFERROR(__xludf.DUMMYFUNCTION("""COMPUTED_VALUE"""),"No")</f>
        <v>No</v>
      </c>
      <c r="AD875" s="5" t="str">
        <f ca="1">IFERROR(__xludf.DUMMYFUNCTION("""COMPUTED_VALUE"""),"No")</f>
        <v>No</v>
      </c>
      <c r="AE875" s="5"/>
      <c r="AF875" s="5"/>
      <c r="AG875" s="5"/>
      <c r="AH875" s="5" t="str">
        <f ca="1">IFERROR(__xludf.DUMMYFUNCTION("""COMPUTED_VALUE"""),"No")</f>
        <v>No</v>
      </c>
    </row>
    <row r="876" spans="1:34" ht="12.75">
      <c r="A876" s="5" t="str">
        <f ca="1">IFERROR(__xludf.DUMMYFUNCTION("""COMPUTED_VALUE"""),"20160902OKMCT")</f>
        <v>20160902OKMCT</v>
      </c>
      <c r="B876" s="8">
        <f ca="1">IFERROR(__xludf.DUMMYFUNCTION("""COMPUTED_VALUE"""),42615)</f>
        <v>42615</v>
      </c>
      <c r="C876" s="5" t="str">
        <f ca="1">IFERROR(__xludf.DUMMYFUNCTION("""COMPUTED_VALUE"""),"McClain High School")</f>
        <v>McClain High School</v>
      </c>
      <c r="D876" s="5">
        <f ca="1">IFERROR(__xludf.DUMMYFUNCTION("""COMPUTED_VALUE"""),0)</f>
        <v>0</v>
      </c>
      <c r="E876" s="5">
        <f ca="1">IFERROR(__xludf.DUMMYFUNCTION("""COMPUTED_VALUE"""),1)</f>
        <v>1</v>
      </c>
      <c r="F876" s="5">
        <f ca="1">IFERROR(__xludf.DUMMYFUNCTION("""COMPUTED_VALUE"""),1)</f>
        <v>1</v>
      </c>
      <c r="G876" s="5">
        <f ca="1">IFERROR(__xludf.DUMMYFUNCTION("""COMPUTED_VALUE"""),0)</f>
        <v>0</v>
      </c>
      <c r="H876"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I876" s="5">
        <f ca="1">IFERROR(__xludf.DUMMYFUNCTION("""COMPUTED_VALUE"""),5)</f>
        <v>5</v>
      </c>
      <c r="J876" s="5" t="str">
        <f ca="1">IFERROR(__xludf.DUMMYFUNCTION("""COMPUTED_VALUE"""),"Local")</f>
        <v>Local</v>
      </c>
      <c r="K876" s="5">
        <f ca="1">IFERROR(__xludf.DUMMYFUNCTION("""COMPUTED_VALUE"""),3)</f>
        <v>3</v>
      </c>
      <c r="L876" s="5" t="str">
        <f ca="1">IFERROR(__xludf.DUMMYFUNCTION("""COMPUTED_VALUE"""),"Fall")</f>
        <v>Fall</v>
      </c>
      <c r="M876" s="5" t="str">
        <f ca="1">IFERROR(__xludf.DUMMYFUNCTION("""COMPUTED_VALUE"""),"Tulsa")</f>
        <v>Tulsa</v>
      </c>
      <c r="N876" s="5" t="str">
        <f ca="1">IFERROR(__xludf.DUMMYFUNCTION("""COMPUTED_VALUE"""),"OK")</f>
        <v>OK</v>
      </c>
      <c r="O876" s="5" t="str">
        <f ca="1">IFERROR(__xludf.DUMMYFUNCTION("""COMPUTED_VALUE"""),"High")</f>
        <v>High</v>
      </c>
      <c r="P876" s="5" t="str">
        <f ca="1">IFERROR(__xludf.DUMMYFUNCTION("""COMPUTED_VALUE"""),"Football Field/Track")</f>
        <v>Football Field/Track</v>
      </c>
      <c r="Q876" s="5" t="str">
        <f ca="1">IFERROR(__xludf.DUMMYFUNCTION("""COMPUTED_VALUE"""),"Outside on School Property")</f>
        <v>Outside on School Property</v>
      </c>
      <c r="R876" s="5" t="str">
        <f ca="1">IFERROR(__xludf.DUMMYFUNCTION("""COMPUTED_VALUE"""),"No")</f>
        <v>No</v>
      </c>
      <c r="S876" s="5" t="str">
        <f ca="1">IFERROR(__xludf.DUMMYFUNCTION("""COMPUTED_VALUE"""),"Sport Event")</f>
        <v>Sport Event</v>
      </c>
      <c r="T876" s="10">
        <f ca="1">IFERROR(__xludf.DUMMYFUNCTION("""COMPUTED_VALUE"""),0.885416666666666)</f>
        <v>0.88541666666666596</v>
      </c>
      <c r="U876" s="5">
        <f ca="1">IFERROR(__xludf.DUMMYFUNCTION("""COMPUTED_VALUE"""),1)</f>
        <v>1</v>
      </c>
      <c r="V876" s="5" t="str">
        <f ca="1">IFERROR(__xludf.DUMMYFUNCTION("""COMPUTED_VALUE"""),"Gang-related altercation just before the shots were fired")</f>
        <v>Gang-related altercation just before the shots were fired</v>
      </c>
      <c r="W876"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X876" s="5" t="str">
        <f ca="1">IFERROR(__xludf.DUMMYFUNCTION("""COMPUTED_VALUE"""),"Escalation of Dispute")</f>
        <v>Escalation of Dispute</v>
      </c>
      <c r="Y876" s="5" t="str">
        <f ca="1">IFERROR(__xludf.DUMMYFUNCTION("""COMPUTED_VALUE"""),"Victims Targeted")</f>
        <v>Victims Targeted</v>
      </c>
      <c r="Z876" s="5"/>
      <c r="AA876" s="5"/>
      <c r="AB876" s="5" t="str">
        <f ca="1">IFERROR(__xludf.DUMMYFUNCTION("""COMPUTED_VALUE"""),"No")</f>
        <v>No</v>
      </c>
      <c r="AC876" s="5" t="str">
        <f ca="1">IFERROR(__xludf.DUMMYFUNCTION("""COMPUTED_VALUE"""),"No")</f>
        <v>No</v>
      </c>
      <c r="AD876" s="5" t="str">
        <f ca="1">IFERROR(__xludf.DUMMYFUNCTION("""COMPUTED_VALUE"""),"No")</f>
        <v>No</v>
      </c>
      <c r="AE876" s="5" t="str">
        <f ca="1">IFERROR(__xludf.DUMMYFUNCTION("""COMPUTED_VALUE"""),"No")</f>
        <v>No</v>
      </c>
      <c r="AF876" s="5" t="str">
        <f ca="1">IFERROR(__xludf.DUMMYFUNCTION("""COMPUTED_VALUE"""),"No")</f>
        <v>No</v>
      </c>
      <c r="AG876" s="5" t="str">
        <f ca="1">IFERROR(__xludf.DUMMYFUNCTION("""COMPUTED_VALUE"""),"Yes")</f>
        <v>Yes</v>
      </c>
      <c r="AH876" s="5" t="str">
        <f ca="1">IFERROR(__xludf.DUMMYFUNCTION("""COMPUTED_VALUE"""),"No")</f>
        <v>No</v>
      </c>
    </row>
    <row r="877" spans="1:34" ht="12.75">
      <c r="A877" s="5" t="str">
        <f ca="1">IFERROR(__xludf.DUMMYFUNCTION("""COMPUTED_VALUE"""),"20160819FLSOM")</f>
        <v>20160819FLSOM</v>
      </c>
      <c r="B877" s="8">
        <f ca="1">IFERROR(__xludf.DUMMYFUNCTION("""COMPUTED_VALUE"""),42601)</f>
        <v>42601</v>
      </c>
      <c r="C877" s="5" t="str">
        <f ca="1">IFERROR(__xludf.DUMMYFUNCTION("""COMPUTED_VALUE"""),"Southridge High School")</f>
        <v>Southridge High School</v>
      </c>
      <c r="D877" s="5">
        <f ca="1">IFERROR(__xludf.DUMMYFUNCTION("""COMPUTED_VALUE"""),0)</f>
        <v>0</v>
      </c>
      <c r="E877" s="5">
        <f ca="1">IFERROR(__xludf.DUMMYFUNCTION("""COMPUTED_VALUE"""),0)</f>
        <v>0</v>
      </c>
      <c r="F877" s="5">
        <f ca="1">IFERROR(__xludf.DUMMYFUNCTION("""COMPUTED_VALUE"""),0)</f>
        <v>0</v>
      </c>
      <c r="G877" s="5">
        <f ca="1">IFERROR(__xludf.DUMMYFUNCTION("""COMPUTED_VALUE"""),0)</f>
        <v>0</v>
      </c>
      <c r="H877" s="9" t="str">
        <f ca="1">IFERROR(__xludf.DUMMYFUNCTION("""COMPUTED_VALUE"""),"https://www.local10.com/news/2016/08/20/shots-fired-at-southridge-vs-south-plantation-football-game-police-say/")</f>
        <v>https://www.local10.com/news/2016/08/20/shots-fired-at-southridge-vs-south-plantation-football-game-police-say/</v>
      </c>
      <c r="I877" s="5"/>
      <c r="J877" s="5"/>
      <c r="K877" s="5">
        <f ca="1">IFERROR(__xludf.DUMMYFUNCTION("""COMPUTED_VALUE"""),3)</f>
        <v>3</v>
      </c>
      <c r="L877" s="5" t="str">
        <f ca="1">IFERROR(__xludf.DUMMYFUNCTION("""COMPUTED_VALUE"""),"Summer")</f>
        <v>Summer</v>
      </c>
      <c r="M877" s="5" t="str">
        <f ca="1">IFERROR(__xludf.DUMMYFUNCTION("""COMPUTED_VALUE"""),"Miami")</f>
        <v>Miami</v>
      </c>
      <c r="N877" s="5" t="str">
        <f ca="1">IFERROR(__xludf.DUMMYFUNCTION("""COMPUTED_VALUE"""),"FL")</f>
        <v>FL</v>
      </c>
      <c r="O877" s="5" t="str">
        <f ca="1">IFERROR(__xludf.DUMMYFUNCTION("""COMPUTED_VALUE"""),"High")</f>
        <v>High</v>
      </c>
      <c r="P877" s="5" t="str">
        <f ca="1">IFERROR(__xludf.DUMMYFUNCTION("""COMPUTED_VALUE"""),"Parking Lot")</f>
        <v>Parking Lot</v>
      </c>
      <c r="Q877" s="5" t="str">
        <f ca="1">IFERROR(__xludf.DUMMYFUNCTION("""COMPUTED_VALUE"""),"Outside on School Property")</f>
        <v>Outside on School Property</v>
      </c>
      <c r="R877" s="5" t="str">
        <f ca="1">IFERROR(__xludf.DUMMYFUNCTION("""COMPUTED_VALUE"""),"No")</f>
        <v>No</v>
      </c>
      <c r="S877" s="5" t="str">
        <f ca="1">IFERROR(__xludf.DUMMYFUNCTION("""COMPUTED_VALUE"""),"Sport Event")</f>
        <v>Sport Event</v>
      </c>
      <c r="T877" s="10">
        <f ca="1">IFERROR(__xludf.DUMMYFUNCTION("""COMPUTED_VALUE"""),0.902777777777777)</f>
        <v>0.90277777777777701</v>
      </c>
      <c r="U877" s="5">
        <f ca="1">IFERROR(__xludf.DUMMYFUNCTION("""COMPUTED_VALUE"""),1)</f>
        <v>1</v>
      </c>
      <c r="V877" s="5" t="str">
        <f ca="1">IFERROR(__xludf.DUMMYFUNCTION("""COMPUTED_VALUE"""),"Shots fired in parking lot during football game")</f>
        <v>Shots fired in parking lot during football game</v>
      </c>
      <c r="W877"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X877" s="5" t="str">
        <f ca="1">IFERROR(__xludf.DUMMYFUNCTION("""COMPUTED_VALUE"""),"Escalation of Dispute")</f>
        <v>Escalation of Dispute</v>
      </c>
      <c r="Y877" s="5"/>
      <c r="Z877" s="5" t="str">
        <f ca="1">IFERROR(__xludf.DUMMYFUNCTION("""COMPUTED_VALUE"""),"No")</f>
        <v>No</v>
      </c>
      <c r="AA877" s="5"/>
      <c r="AB877" s="5" t="str">
        <f ca="1">IFERROR(__xludf.DUMMYFUNCTION("""COMPUTED_VALUE"""),"No")</f>
        <v>No</v>
      </c>
      <c r="AC877" s="5" t="str">
        <f ca="1">IFERROR(__xludf.DUMMYFUNCTION("""COMPUTED_VALUE"""),"No")</f>
        <v>No</v>
      </c>
      <c r="AD877" s="5" t="str">
        <f ca="1">IFERROR(__xludf.DUMMYFUNCTION("""COMPUTED_VALUE"""),"No")</f>
        <v>No</v>
      </c>
      <c r="AE877" s="5" t="str">
        <f ca="1">IFERROR(__xludf.DUMMYFUNCTION("""COMPUTED_VALUE"""),"No")</f>
        <v>No</v>
      </c>
      <c r="AF877" s="5" t="str">
        <f ca="1">IFERROR(__xludf.DUMMYFUNCTION("""COMPUTED_VALUE"""),"No")</f>
        <v>No</v>
      </c>
      <c r="AG877" s="5"/>
      <c r="AH877" s="5" t="str">
        <f ca="1">IFERROR(__xludf.DUMMYFUNCTION("""COMPUTED_VALUE"""),"No")</f>
        <v>No</v>
      </c>
    </row>
    <row r="878" spans="1:34" ht="12.75">
      <c r="A878" s="5" t="str">
        <f ca="1">IFERROR(__xludf.DUMMYFUNCTION("""COMPUTED_VALUE"""),"20160817OHWEC")</f>
        <v>20160817OHWEC</v>
      </c>
      <c r="B878" s="8">
        <f ca="1">IFERROR(__xludf.DUMMYFUNCTION("""COMPUTED_VALUE"""),42599)</f>
        <v>42599</v>
      </c>
      <c r="C878" s="5" t="str">
        <f ca="1">IFERROR(__xludf.DUMMYFUNCTION("""COMPUTED_VALUE"""),"Wedgewood Middle School")</f>
        <v>Wedgewood Middle School</v>
      </c>
      <c r="D878" s="5">
        <f ca="1">IFERROR(__xludf.DUMMYFUNCTION("""COMPUTED_VALUE"""),0)</f>
        <v>0</v>
      </c>
      <c r="E878" s="5">
        <f ca="1">IFERROR(__xludf.DUMMYFUNCTION("""COMPUTED_VALUE"""),2)</f>
        <v>2</v>
      </c>
      <c r="F878" s="5">
        <f ca="1">IFERROR(__xludf.DUMMYFUNCTION("""COMPUTED_VALUE"""),2)</f>
        <v>2</v>
      </c>
      <c r="G878" s="5">
        <f ca="1">IFERROR(__xludf.DUMMYFUNCTION("""COMPUTED_VALUE"""),0)</f>
        <v>0</v>
      </c>
      <c r="H878" s="9" t="str">
        <f ca="1">IFERROR(__xludf.DUMMYFUNCTION("""COMPUTED_VALUE"""),"http://www.nbc4i.com/news/one-shot-at-west-side-middle-school-police-looking-for-group-of-males-as-suspects/1114333465")</f>
        <v>http://www.nbc4i.com/news/one-shot-at-west-side-middle-school-police-looking-for-group-of-males-as-suspects/1114333465</v>
      </c>
      <c r="I878" s="5">
        <f ca="1">IFERROR(__xludf.DUMMYFUNCTION("""COMPUTED_VALUE"""),1)</f>
        <v>1</v>
      </c>
      <c r="J878" s="5" t="str">
        <f ca="1">IFERROR(__xludf.DUMMYFUNCTION("""COMPUTED_VALUE"""),"Local")</f>
        <v>Local</v>
      </c>
      <c r="K878" s="5">
        <f ca="1">IFERROR(__xludf.DUMMYFUNCTION("""COMPUTED_VALUE"""),2)</f>
        <v>2</v>
      </c>
      <c r="L878" s="5" t="str">
        <f ca="1">IFERROR(__xludf.DUMMYFUNCTION("""COMPUTED_VALUE"""),"Summer")</f>
        <v>Summer</v>
      </c>
      <c r="M878" s="5" t="str">
        <f ca="1">IFERROR(__xludf.DUMMYFUNCTION("""COMPUTED_VALUE"""),"Columbus")</f>
        <v>Columbus</v>
      </c>
      <c r="N878" s="5" t="str">
        <f ca="1">IFERROR(__xludf.DUMMYFUNCTION("""COMPUTED_VALUE"""),"OH")</f>
        <v>OH</v>
      </c>
      <c r="O878" s="5" t="str">
        <f ca="1">IFERROR(__xludf.DUMMYFUNCTION("""COMPUTED_VALUE"""),"Middle")</f>
        <v>Middle</v>
      </c>
      <c r="P878" s="5" t="str">
        <f ca="1">IFERROR(__xludf.DUMMYFUNCTION("""COMPUTED_VALUE"""),"Parking Lot")</f>
        <v>Parking Lot</v>
      </c>
      <c r="Q878" s="5" t="str">
        <f ca="1">IFERROR(__xludf.DUMMYFUNCTION("""COMPUTED_VALUE"""),"Outside on School Property")</f>
        <v>Outside on School Property</v>
      </c>
      <c r="R878" s="5" t="str">
        <f ca="1">IFERROR(__xludf.DUMMYFUNCTION("""COMPUTED_VALUE"""),"No")</f>
        <v>No</v>
      </c>
      <c r="S878" s="5" t="str">
        <f ca="1">IFERROR(__xludf.DUMMYFUNCTION("""COMPUTED_VALUE"""),"Evening")</f>
        <v>Evening</v>
      </c>
      <c r="T878" s="10">
        <f ca="1">IFERROR(__xludf.DUMMYFUNCTION("""COMPUTED_VALUE"""),0.840277777777777)</f>
        <v>0.84027777777777701</v>
      </c>
      <c r="U878" s="5">
        <f ca="1">IFERROR(__xludf.DUMMYFUNCTION("""COMPUTED_VALUE"""),1)</f>
        <v>1</v>
      </c>
      <c r="V878" s="5" t="str">
        <f ca="1">IFERROR(__xludf.DUMMYFUNCTION("""COMPUTED_VALUE"""),"2 people shot in a car; shooter was in another car")</f>
        <v>2 people shot in a car; shooter was in another car</v>
      </c>
      <c r="W878"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X878" s="5" t="str">
        <f ca="1">IFERROR(__xludf.DUMMYFUNCTION("""COMPUTED_VALUE"""),"Unknown")</f>
        <v>Unknown</v>
      </c>
      <c r="Y878" s="5"/>
      <c r="Z878" s="5"/>
      <c r="AA878" s="5"/>
      <c r="AB878" s="5" t="str">
        <f ca="1">IFERROR(__xludf.DUMMYFUNCTION("""COMPUTED_VALUE"""),"No")</f>
        <v>No</v>
      </c>
      <c r="AC878" s="5" t="str">
        <f ca="1">IFERROR(__xludf.DUMMYFUNCTION("""COMPUTED_VALUE"""),"No")</f>
        <v>No</v>
      </c>
      <c r="AD878" s="5" t="str">
        <f ca="1">IFERROR(__xludf.DUMMYFUNCTION("""COMPUTED_VALUE"""),"No")</f>
        <v>No</v>
      </c>
      <c r="AE878" s="5"/>
      <c r="AF878" s="5" t="str">
        <f ca="1">IFERROR(__xludf.DUMMYFUNCTION("""COMPUTED_VALUE"""),"No")</f>
        <v>No</v>
      </c>
      <c r="AG878" s="5"/>
      <c r="AH878" s="5" t="str">
        <f ca="1">IFERROR(__xludf.DUMMYFUNCTION("""COMPUTED_VALUE"""),"No")</f>
        <v>No</v>
      </c>
    </row>
    <row r="879" spans="1:34" ht="12.75">
      <c r="A879" s="5" t="str">
        <f ca="1">IFERROR(__xludf.DUMMYFUNCTION("""COMPUTED_VALUE"""),"20160725MOAVA")</f>
        <v>20160725MOAVA</v>
      </c>
      <c r="B879" s="8">
        <f ca="1">IFERROR(__xludf.DUMMYFUNCTION("""COMPUTED_VALUE"""),42576)</f>
        <v>42576</v>
      </c>
      <c r="C879" s="5" t="str">
        <f ca="1">IFERROR(__xludf.DUMMYFUNCTION("""COMPUTED_VALUE"""),"Ava High School")</f>
        <v>Ava High School</v>
      </c>
      <c r="D879" s="5">
        <f ca="1">IFERROR(__xludf.DUMMYFUNCTION("""COMPUTED_VALUE"""),0)</f>
        <v>0</v>
      </c>
      <c r="E879" s="5">
        <f ca="1">IFERROR(__xludf.DUMMYFUNCTION("""COMPUTED_VALUE"""),1)</f>
        <v>1</v>
      </c>
      <c r="F879" s="5">
        <f ca="1">IFERROR(__xludf.DUMMYFUNCTION("""COMPUTED_VALUE"""),1)</f>
        <v>1</v>
      </c>
      <c r="G879" s="5">
        <f ca="1">IFERROR(__xludf.DUMMYFUNCTION("""COMPUTED_VALUE"""),1)</f>
        <v>1</v>
      </c>
      <c r="H879"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I879" s="5"/>
      <c r="J879" s="5"/>
      <c r="K879" s="5">
        <f ca="1">IFERROR(__xludf.DUMMYFUNCTION("""COMPUTED_VALUE"""),3)</f>
        <v>3</v>
      </c>
      <c r="L879" s="5" t="str">
        <f ca="1">IFERROR(__xludf.DUMMYFUNCTION("""COMPUTED_VALUE"""),"Summer")</f>
        <v>Summer</v>
      </c>
      <c r="M879" s="5" t="str">
        <f ca="1">IFERROR(__xludf.DUMMYFUNCTION("""COMPUTED_VALUE"""),"Ava")</f>
        <v>Ava</v>
      </c>
      <c r="N879" s="5" t="str">
        <f ca="1">IFERROR(__xludf.DUMMYFUNCTION("""COMPUTED_VALUE"""),"MO")</f>
        <v>MO</v>
      </c>
      <c r="O879" s="5" t="str">
        <f ca="1">IFERROR(__xludf.DUMMYFUNCTION("""COMPUTED_VALUE"""),"High")</f>
        <v>High</v>
      </c>
      <c r="P879" s="5" t="str">
        <f ca="1">IFERROR(__xludf.DUMMYFUNCTION("""COMPUTED_VALUE"""),"Parking Lot")</f>
        <v>Parking Lot</v>
      </c>
      <c r="Q879" s="5" t="str">
        <f ca="1">IFERROR(__xludf.DUMMYFUNCTION("""COMPUTED_VALUE"""),"Outside on School Property")</f>
        <v>Outside on School Property</v>
      </c>
      <c r="R879" s="5" t="str">
        <f ca="1">IFERROR(__xludf.DUMMYFUNCTION("""COMPUTED_VALUE"""),"No")</f>
        <v>No</v>
      </c>
      <c r="S879" s="5" t="str">
        <f ca="1">IFERROR(__xludf.DUMMYFUNCTION("""COMPUTED_VALUE"""),"Night")</f>
        <v>Night</v>
      </c>
      <c r="T879" s="10">
        <f ca="1">IFERROR(__xludf.DUMMYFUNCTION("""COMPUTED_VALUE"""),0.0729166666666666)</f>
        <v>7.2916666666666602E-2</v>
      </c>
      <c r="U879" s="5">
        <f ca="1">IFERROR(__xludf.DUMMYFUNCTION("""COMPUTED_VALUE"""),2)</f>
        <v>2</v>
      </c>
      <c r="V879" s="5" t="str">
        <f ca="1">IFERROR(__xludf.DUMMYFUNCTION("""COMPUTED_VALUE"""),"Planned fight in school parking lot")</f>
        <v>Planned fight in school parking lot</v>
      </c>
      <c r="W879"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X879" s="5" t="str">
        <f ca="1">IFERROR(__xludf.DUMMYFUNCTION("""COMPUTED_VALUE"""),"Escalation of Dispute")</f>
        <v>Escalation of Dispute</v>
      </c>
      <c r="Y879" s="5" t="str">
        <f ca="1">IFERROR(__xludf.DUMMYFUNCTION("""COMPUTED_VALUE"""),"Victims Targeted")</f>
        <v>Victims Targeted</v>
      </c>
      <c r="Z879" s="5" t="str">
        <f ca="1">IFERROR(__xludf.DUMMYFUNCTION("""COMPUTED_VALUE"""),"No")</f>
        <v>No</v>
      </c>
      <c r="AA879" s="5"/>
      <c r="AB879" s="5" t="str">
        <f ca="1">IFERROR(__xludf.DUMMYFUNCTION("""COMPUTED_VALUE"""),"No")</f>
        <v>No</v>
      </c>
      <c r="AC879" s="5" t="str">
        <f ca="1">IFERROR(__xludf.DUMMYFUNCTION("""COMPUTED_VALUE"""),"No")</f>
        <v>No</v>
      </c>
      <c r="AD879" s="5" t="str">
        <f ca="1">IFERROR(__xludf.DUMMYFUNCTION("""COMPUTED_VALUE"""),"No")</f>
        <v>No</v>
      </c>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IFERROR(__xludf.DUMMYFUNCTION("""COMPUTED_VALUE"""),"No")</f>
        <v>No</v>
      </c>
    </row>
    <row r="880" spans="1:34" ht="12.75">
      <c r="A880" s="5" t="str">
        <f ca="1">IFERROR(__xludf.DUMMYFUNCTION("""COMPUTED_VALUE"""),"20160630CAWOH")</f>
        <v>20160630CAWOH</v>
      </c>
      <c r="B880" s="8">
        <f ca="1">IFERROR(__xludf.DUMMYFUNCTION("""COMPUTED_VALUE"""),42551)</f>
        <v>42551</v>
      </c>
      <c r="C880" s="5" t="str">
        <f ca="1">IFERROR(__xludf.DUMMYFUNCTION("""COMPUTED_VALUE"""),"Woodrow Wilson Junior High School")</f>
        <v>Woodrow Wilson Junior High School</v>
      </c>
      <c r="D880" s="5">
        <f ca="1">IFERROR(__xludf.DUMMYFUNCTION("""COMPUTED_VALUE"""),0)</f>
        <v>0</v>
      </c>
      <c r="E880" s="5">
        <f ca="1">IFERROR(__xludf.DUMMYFUNCTION("""COMPUTED_VALUE"""),1)</f>
        <v>1</v>
      </c>
      <c r="F880" s="5">
        <f ca="1">IFERROR(__xludf.DUMMYFUNCTION("""COMPUTED_VALUE"""),1)</f>
        <v>1</v>
      </c>
      <c r="G880" s="5">
        <f ca="1">IFERROR(__xludf.DUMMYFUNCTION("""COMPUTED_VALUE"""),0)</f>
        <v>0</v>
      </c>
      <c r="H880"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I880" s="5">
        <f ca="1">IFERROR(__xludf.DUMMYFUNCTION("""COMPUTED_VALUE"""),1)</f>
        <v>1</v>
      </c>
      <c r="J880" s="5" t="str">
        <f ca="1">IFERROR(__xludf.DUMMYFUNCTION("""COMPUTED_VALUE"""),"Local")</f>
        <v>Local</v>
      </c>
      <c r="K880" s="5">
        <f ca="1">IFERROR(__xludf.DUMMYFUNCTION("""COMPUTED_VALUE"""),2)</f>
        <v>2</v>
      </c>
      <c r="L880" s="5" t="str">
        <f ca="1">IFERROR(__xludf.DUMMYFUNCTION("""COMPUTED_VALUE"""),"Summer")</f>
        <v>Summer</v>
      </c>
      <c r="M880" s="5" t="str">
        <f ca="1">IFERROR(__xludf.DUMMYFUNCTION("""COMPUTED_VALUE"""),"Hanford")</f>
        <v>Hanford</v>
      </c>
      <c r="N880" s="5" t="str">
        <f ca="1">IFERROR(__xludf.DUMMYFUNCTION("""COMPUTED_VALUE"""),"CA")</f>
        <v>CA</v>
      </c>
      <c r="O880" s="5" t="str">
        <f ca="1">IFERROR(__xludf.DUMMYFUNCTION("""COMPUTED_VALUE"""),"Junior High")</f>
        <v>Junior High</v>
      </c>
      <c r="P880" s="5" t="str">
        <f ca="1">IFERROR(__xludf.DUMMYFUNCTION("""COMPUTED_VALUE"""),"Outside on School Property")</f>
        <v>Outside on School Property</v>
      </c>
      <c r="Q880" s="5" t="str">
        <f ca="1">IFERROR(__xludf.DUMMYFUNCTION("""COMPUTED_VALUE"""),"Outside on School Property")</f>
        <v>Outside on School Property</v>
      </c>
      <c r="R880" s="5" t="str">
        <f ca="1">IFERROR(__xludf.DUMMYFUNCTION("""COMPUTED_VALUE"""),"No")</f>
        <v>No</v>
      </c>
      <c r="S880" s="5" t="str">
        <f ca="1">IFERROR(__xludf.DUMMYFUNCTION("""COMPUTED_VALUE"""),"Evening")</f>
        <v>Evening</v>
      </c>
      <c r="T880" s="10">
        <f ca="1">IFERROR(__xludf.DUMMYFUNCTION("""COMPUTED_VALUE"""),0.815972222222222)</f>
        <v>0.81597222222222199</v>
      </c>
      <c r="U880" s="5">
        <f ca="1">IFERROR(__xludf.DUMMYFUNCTION("""COMPUTED_VALUE"""),1)</f>
        <v>1</v>
      </c>
      <c r="V880" s="5" t="str">
        <f ca="1">IFERROR(__xludf.DUMMYFUNCTION("""COMPUTED_VALUE"""),"Motive unknown, gang task force investigated, no evident gang affiliation of the victim")</f>
        <v>Motive unknown, gang task force investigated, no evident gang affiliation of the victim</v>
      </c>
      <c r="W880" s="5" t="str">
        <f ca="1">IFERROR(__xludf.DUMMYFUNCTION("""COMPUTED_VALUE"""),"A woman was shot in the leg. Police found shell casings. No motive identified.")</f>
        <v>A woman was shot in the leg. Police found shell casings. No motive identified.</v>
      </c>
      <c r="X880" s="5" t="str">
        <f ca="1">IFERROR(__xludf.DUMMYFUNCTION("""COMPUTED_VALUE"""),"Unknown")</f>
        <v>Unknown</v>
      </c>
      <c r="Y880" s="5"/>
      <c r="Z880" s="5"/>
      <c r="AA880" s="5"/>
      <c r="AB880" s="5" t="str">
        <f ca="1">IFERROR(__xludf.DUMMYFUNCTION("""COMPUTED_VALUE"""),"No")</f>
        <v>No</v>
      </c>
      <c r="AC880" s="5" t="str">
        <f ca="1">IFERROR(__xludf.DUMMYFUNCTION("""COMPUTED_VALUE"""),"No")</f>
        <v>No</v>
      </c>
      <c r="AD880" s="5" t="str">
        <f ca="1">IFERROR(__xludf.DUMMYFUNCTION("""COMPUTED_VALUE"""),"No")</f>
        <v>No</v>
      </c>
      <c r="AE880" s="5"/>
      <c r="AF880" s="5" t="str">
        <f ca="1">IFERROR(__xludf.DUMMYFUNCTION("""COMPUTED_VALUE"""),"No")</f>
        <v>No</v>
      </c>
      <c r="AG880" s="5" t="str">
        <f ca="1">IFERROR(__xludf.DUMMYFUNCTION("""COMPUTED_VALUE"""),"No")</f>
        <v>No</v>
      </c>
      <c r="AH880" s="5" t="str">
        <f ca="1">IFERROR(__xludf.DUMMYFUNCTION("""COMPUTED_VALUE"""),"No")</f>
        <v>No</v>
      </c>
    </row>
    <row r="881" spans="1:34" ht="12.75">
      <c r="A881" s="5" t="str">
        <f ca="1">IFERROR(__xludf.DUMMYFUNCTION("""COMPUTED_VALUE"""),"20160616ILMCC")</f>
        <v>20160616ILMCC</v>
      </c>
      <c r="B881" s="8">
        <f ca="1">IFERROR(__xludf.DUMMYFUNCTION("""COMPUTED_VALUE"""),42537)</f>
        <v>42537</v>
      </c>
      <c r="C881" s="5" t="str">
        <f ca="1">IFERROR(__xludf.DUMMYFUNCTION("""COMPUTED_VALUE"""),"Mcnair Elementary School")</f>
        <v>Mcnair Elementary School</v>
      </c>
      <c r="D881" s="5">
        <f ca="1">IFERROR(__xludf.DUMMYFUNCTION("""COMPUTED_VALUE"""),1)</f>
        <v>1</v>
      </c>
      <c r="E881" s="5">
        <f ca="1">IFERROR(__xludf.DUMMYFUNCTION("""COMPUTED_VALUE"""),0)</f>
        <v>0</v>
      </c>
      <c r="F881" s="5">
        <f ca="1">IFERROR(__xludf.DUMMYFUNCTION("""COMPUTED_VALUE"""),1)</f>
        <v>1</v>
      </c>
      <c r="G881" s="5">
        <f ca="1">IFERROR(__xludf.DUMMYFUNCTION("""COMPUTED_VALUE"""),0)</f>
        <v>0</v>
      </c>
      <c r="H881" s="9" t="str">
        <f ca="1">IFERROR(__xludf.DUMMYFUNCTION("""COMPUTED_VALUE"""),"http://abc7chicago.com/news/cps-employee-fatally-shot-outside-mcnair-elementary-school/1388692/")</f>
        <v>http://abc7chicago.com/news/cps-employee-fatally-shot-outside-mcnair-elementary-school/1388692/</v>
      </c>
      <c r="I881" s="5">
        <f ca="1">IFERROR(__xludf.DUMMYFUNCTION("""COMPUTED_VALUE"""),1)</f>
        <v>1</v>
      </c>
      <c r="J881" s="5" t="str">
        <f ca="1">IFERROR(__xludf.DUMMYFUNCTION("""COMPUTED_VALUE"""),"Local")</f>
        <v>Local</v>
      </c>
      <c r="K881" s="5">
        <f ca="1">IFERROR(__xludf.DUMMYFUNCTION("""COMPUTED_VALUE"""),2)</f>
        <v>2</v>
      </c>
      <c r="L881" s="5" t="str">
        <f ca="1">IFERROR(__xludf.DUMMYFUNCTION("""COMPUTED_VALUE"""),"Summer")</f>
        <v>Summer</v>
      </c>
      <c r="M881" s="5" t="str">
        <f ca="1">IFERROR(__xludf.DUMMYFUNCTION("""COMPUTED_VALUE"""),"Chicago")</f>
        <v>Chicago</v>
      </c>
      <c r="N881" s="5" t="str">
        <f ca="1">IFERROR(__xludf.DUMMYFUNCTION("""COMPUTED_VALUE"""),"IL")</f>
        <v>IL</v>
      </c>
      <c r="O881" s="5" t="str">
        <f ca="1">IFERROR(__xludf.DUMMYFUNCTION("""COMPUTED_VALUE"""),"Elementary")</f>
        <v>Elementary</v>
      </c>
      <c r="P881" s="5" t="str">
        <f ca="1">IFERROR(__xludf.DUMMYFUNCTION("""COMPUTED_VALUE"""),"Parking Lot")</f>
        <v>Parking Lot</v>
      </c>
      <c r="Q881" s="5" t="str">
        <f ca="1">IFERROR(__xludf.DUMMYFUNCTION("""COMPUTED_VALUE"""),"Outside on School Property")</f>
        <v>Outside on School Property</v>
      </c>
      <c r="R881" s="5" t="str">
        <f ca="1">IFERROR(__xludf.DUMMYFUNCTION("""COMPUTED_VALUE"""),"Yes")</f>
        <v>Yes</v>
      </c>
      <c r="S881" s="5" t="str">
        <f ca="1">IFERROR(__xludf.DUMMYFUNCTION("""COMPUTED_VALUE"""),"Lunch")</f>
        <v>Lunch</v>
      </c>
      <c r="T881" s="10">
        <f ca="1">IFERROR(__xludf.DUMMYFUNCTION("""COMPUTED_VALUE"""),0.520833333333333)</f>
        <v>0.52083333333333304</v>
      </c>
      <c r="U881" s="5">
        <f ca="1">IFERROR(__xludf.DUMMYFUNCTION("""COMPUTED_VALUE"""),1)</f>
        <v>1</v>
      </c>
      <c r="V881" s="5" t="str">
        <f ca="1">IFERROR(__xludf.DUMMYFUNCTION("""COMPUTED_VALUE"""),"School employee shot in the head outside of the school")</f>
        <v>School employee shot in the head outside of the school</v>
      </c>
      <c r="W881"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X881" s="5" t="str">
        <f ca="1">IFERROR(__xludf.DUMMYFUNCTION("""COMPUTED_VALUE"""),"Unknown")</f>
        <v>Unknown</v>
      </c>
      <c r="Y881" s="5" t="str">
        <f ca="1">IFERROR(__xludf.DUMMYFUNCTION("""COMPUTED_VALUE"""),"Victims Targeted")</f>
        <v>Victims Targeted</v>
      </c>
      <c r="Z881" s="5"/>
      <c r="AA881" s="5"/>
      <c r="AB881" s="5" t="str">
        <f ca="1">IFERROR(__xludf.DUMMYFUNCTION("""COMPUTED_VALUE"""),"No")</f>
        <v>No</v>
      </c>
      <c r="AC881" s="5" t="str">
        <f ca="1">IFERROR(__xludf.DUMMYFUNCTION("""COMPUTED_VALUE"""),"No")</f>
        <v>No</v>
      </c>
      <c r="AD881" s="5" t="str">
        <f ca="1">IFERROR(__xludf.DUMMYFUNCTION("""COMPUTED_VALUE"""),"No")</f>
        <v>No</v>
      </c>
      <c r="AE881" s="5"/>
      <c r="AF881" s="5" t="str">
        <f ca="1">IFERROR(__xludf.DUMMYFUNCTION("""COMPUTED_VALUE"""),"No")</f>
        <v>No</v>
      </c>
      <c r="AG881" s="5" t="str">
        <f ca="1">IFERROR(__xludf.DUMMYFUNCTION("""COMPUTED_VALUE"""),"No")</f>
        <v>No</v>
      </c>
      <c r="AH881" s="5" t="str">
        <f ca="1">IFERROR(__xludf.DUMMYFUNCTION("""COMPUTED_VALUE"""),"No")</f>
        <v>No</v>
      </c>
    </row>
    <row r="882" spans="1:34" ht="12.75">
      <c r="A882" s="5" t="str">
        <f ca="1">IFERROR(__xludf.DUMMYFUNCTION("""COMPUTED_VALUE"""),"20160608MAJED")</f>
        <v>20160608MAJED</v>
      </c>
      <c r="B882" s="8">
        <f ca="1">IFERROR(__xludf.DUMMYFUNCTION("""COMPUTED_VALUE"""),42529)</f>
        <v>42529</v>
      </c>
      <c r="C882" s="5" t="str">
        <f ca="1">IFERROR(__xludf.DUMMYFUNCTION("""COMPUTED_VALUE"""),"Jeremiah Burke High School")</f>
        <v>Jeremiah Burke High School</v>
      </c>
      <c r="D882" s="5">
        <f ca="1">IFERROR(__xludf.DUMMYFUNCTION("""COMPUTED_VALUE"""),1)</f>
        <v>1</v>
      </c>
      <c r="E882" s="5">
        <f ca="1">IFERROR(__xludf.DUMMYFUNCTION("""COMPUTED_VALUE"""),3)</f>
        <v>3</v>
      </c>
      <c r="F882" s="5">
        <f ca="1">IFERROR(__xludf.DUMMYFUNCTION("""COMPUTED_VALUE"""),4)</f>
        <v>4</v>
      </c>
      <c r="G882" s="5">
        <f ca="1">IFERROR(__xludf.DUMMYFUNCTION("""COMPUTED_VALUE"""),0)</f>
        <v>0</v>
      </c>
      <c r="H882" s="9" t="str">
        <f ca="1">IFERROR(__xludf.DUMMYFUNCTION("""COMPUTED_VALUE"""),"http://boston.cbslocal.com/2016/06/22/raekwon-brown-murder-arrests-jeremiah-burke-high-school-shooting-boston-police/")</f>
        <v>http://boston.cbslocal.com/2016/06/22/raekwon-brown-murder-arrests-jeremiah-burke-high-school-shooting-boston-police/</v>
      </c>
      <c r="I882" s="5">
        <f ca="1">IFERROR(__xludf.DUMMYFUNCTION("""COMPUTED_VALUE"""),11)</f>
        <v>11</v>
      </c>
      <c r="J882" s="5" t="str">
        <f ca="1">IFERROR(__xludf.DUMMYFUNCTION("""COMPUTED_VALUE"""),"Regional")</f>
        <v>Regional</v>
      </c>
      <c r="K882" s="5">
        <f ca="1">IFERROR(__xludf.DUMMYFUNCTION("""COMPUTED_VALUE"""),2)</f>
        <v>2</v>
      </c>
      <c r="L882" s="5" t="str">
        <f ca="1">IFERROR(__xludf.DUMMYFUNCTION("""COMPUTED_VALUE"""),"Summer")</f>
        <v>Summer</v>
      </c>
      <c r="M882" s="5" t="str">
        <f ca="1">IFERROR(__xludf.DUMMYFUNCTION("""COMPUTED_VALUE"""),"Dorchester")</f>
        <v>Dorchester</v>
      </c>
      <c r="N882" s="5" t="str">
        <f ca="1">IFERROR(__xludf.DUMMYFUNCTION("""COMPUTED_VALUE"""),"MA")</f>
        <v>MA</v>
      </c>
      <c r="O882" s="5" t="str">
        <f ca="1">IFERROR(__xludf.DUMMYFUNCTION("""COMPUTED_VALUE"""),"High")</f>
        <v>High</v>
      </c>
      <c r="P882" s="5" t="str">
        <f ca="1">IFERROR(__xludf.DUMMYFUNCTION("""COMPUTED_VALUE"""),"Front of School")</f>
        <v>Front of School</v>
      </c>
      <c r="Q882" s="5" t="str">
        <f ca="1">IFERROR(__xludf.DUMMYFUNCTION("""COMPUTED_VALUE"""),"Outside on School Property")</f>
        <v>Outside on School Property</v>
      </c>
      <c r="R882" s="5" t="str">
        <f ca="1">IFERROR(__xludf.DUMMYFUNCTION("""COMPUTED_VALUE"""),"Yes")</f>
        <v>Yes</v>
      </c>
      <c r="S882" s="5" t="str">
        <f ca="1">IFERROR(__xludf.DUMMYFUNCTION("""COMPUTED_VALUE"""),"Afternoon Classes")</f>
        <v>Afternoon Classes</v>
      </c>
      <c r="T882" s="10">
        <f ca="1">IFERROR(__xludf.DUMMYFUNCTION("""COMPUTED_VALUE"""),0.541666666666666)</f>
        <v>0.54166666666666596</v>
      </c>
      <c r="U882" s="5">
        <f ca="1">IFERROR(__xludf.DUMMYFUNCTION("""COMPUTED_VALUE"""),1)</f>
        <v>1</v>
      </c>
      <c r="V882" s="5" t="str">
        <f ca="1">IFERROR(__xludf.DUMMYFUNCTION("""COMPUTED_VALUE"""),"Drive-by, victim targeted, shooters have extended criminal history")</f>
        <v>Drive-by, victim targeted, shooters have extended criminal history</v>
      </c>
      <c r="W882"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X882" s="5" t="str">
        <f ca="1">IFERROR(__xludf.DUMMYFUNCTION("""COMPUTED_VALUE"""),"Drive-by Shooting")</f>
        <v>Drive-by Shooting</v>
      </c>
      <c r="Y882" s="5" t="str">
        <f ca="1">IFERROR(__xludf.DUMMYFUNCTION("""COMPUTED_VALUE"""),"Both")</f>
        <v>Both</v>
      </c>
      <c r="Z882" s="5"/>
      <c r="AA882" s="5"/>
      <c r="AB882" s="5" t="str">
        <f ca="1">IFERROR(__xludf.DUMMYFUNCTION("""COMPUTED_VALUE"""),"No")</f>
        <v>No</v>
      </c>
      <c r="AC882" s="5" t="str">
        <f ca="1">IFERROR(__xludf.DUMMYFUNCTION("""COMPUTED_VALUE"""),"No")</f>
        <v>No</v>
      </c>
      <c r="AD882" s="5" t="str">
        <f ca="1">IFERROR(__xludf.DUMMYFUNCTION("""COMPUTED_VALUE"""),"No")</f>
        <v>No</v>
      </c>
      <c r="AE882" s="5" t="str">
        <f ca="1">IFERROR(__xludf.DUMMYFUNCTION("""COMPUTED_VALUE"""),"No")</f>
        <v>No</v>
      </c>
      <c r="AF882" s="5" t="str">
        <f ca="1">IFERROR(__xludf.DUMMYFUNCTION("""COMPUTED_VALUE"""),"No")</f>
        <v>No</v>
      </c>
      <c r="AG882" s="5" t="str">
        <f ca="1">IFERROR(__xludf.DUMMYFUNCTION("""COMPUTED_VALUE"""),"Yes")</f>
        <v>Yes</v>
      </c>
      <c r="AH882" s="5" t="str">
        <f ca="1">IFERROR(__xludf.DUMMYFUNCTION("""COMPUTED_VALUE"""),"No")</f>
        <v>No</v>
      </c>
    </row>
    <row r="883" spans="1:34" ht="12.75">
      <c r="A883" s="5" t="str">
        <f ca="1">IFERROR(__xludf.DUMMYFUNCTION("""COMPUTED_VALUE"""),"20160515KSAUA")</f>
        <v>20160515KSAUA</v>
      </c>
      <c r="B883" s="8">
        <f ca="1">IFERROR(__xludf.DUMMYFUNCTION("""COMPUTED_VALUE"""),42505)</f>
        <v>42505</v>
      </c>
      <c r="C883" s="5" t="str">
        <f ca="1">IFERROR(__xludf.DUMMYFUNCTION("""COMPUTED_VALUE"""),"Augusta High School")</f>
        <v>Augusta High School</v>
      </c>
      <c r="D883" s="5">
        <f ca="1">IFERROR(__xludf.DUMMYFUNCTION("""COMPUTED_VALUE"""),0)</f>
        <v>0</v>
      </c>
      <c r="E883" s="5">
        <f ca="1">IFERROR(__xludf.DUMMYFUNCTION("""COMPUTED_VALUE"""),1)</f>
        <v>1</v>
      </c>
      <c r="F883" s="5">
        <f ca="1">IFERROR(__xludf.DUMMYFUNCTION("""COMPUTED_VALUE"""),1)</f>
        <v>1</v>
      </c>
      <c r="G883" s="5">
        <f ca="1">IFERROR(__xludf.DUMMYFUNCTION("""COMPUTED_VALUE"""),0)</f>
        <v>0</v>
      </c>
      <c r="H883"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I883" s="5"/>
      <c r="J883" s="5" t="str">
        <f ca="1">IFERROR(__xludf.DUMMYFUNCTION("""COMPUTED_VALUE"""),"Local")</f>
        <v>Local</v>
      </c>
      <c r="K883" s="5">
        <f ca="1">IFERROR(__xludf.DUMMYFUNCTION("""COMPUTED_VALUE"""),3)</f>
        <v>3</v>
      </c>
      <c r="L883" s="5" t="str">
        <f ca="1">IFERROR(__xludf.DUMMYFUNCTION("""COMPUTED_VALUE"""),"Spring")</f>
        <v>Spring</v>
      </c>
      <c r="M883" s="5" t="str">
        <f ca="1">IFERROR(__xludf.DUMMYFUNCTION("""COMPUTED_VALUE"""),"Augusta")</f>
        <v>Augusta</v>
      </c>
      <c r="N883" s="5" t="str">
        <f ca="1">IFERROR(__xludf.DUMMYFUNCTION("""COMPUTED_VALUE"""),"KS")</f>
        <v>KS</v>
      </c>
      <c r="O883" s="5" t="str">
        <f ca="1">IFERROR(__xludf.DUMMYFUNCTION("""COMPUTED_VALUE"""),"High")</f>
        <v>High</v>
      </c>
      <c r="P883" s="5" t="str">
        <f ca="1">IFERROR(__xludf.DUMMYFUNCTION("""COMPUTED_VALUE"""),"Football Field/Track")</f>
        <v>Football Field/Track</v>
      </c>
      <c r="Q883" s="5" t="str">
        <f ca="1">IFERROR(__xludf.DUMMYFUNCTION("""COMPUTED_VALUE"""),"Outside on School Property")</f>
        <v>Outside on School Property</v>
      </c>
      <c r="R883" s="5" t="str">
        <f ca="1">IFERROR(__xludf.DUMMYFUNCTION("""COMPUTED_VALUE"""),"No")</f>
        <v>No</v>
      </c>
      <c r="S883" s="5" t="str">
        <f ca="1">IFERROR(__xludf.DUMMYFUNCTION("""COMPUTED_VALUE"""),"School Event")</f>
        <v>School Event</v>
      </c>
      <c r="T883" s="10">
        <f ca="1">IFERROR(__xludf.DUMMYFUNCTION("""COMPUTED_VALUE"""),0.579861111111111)</f>
        <v>0.57986111111111105</v>
      </c>
      <c r="U883" s="5">
        <f ca="1">IFERROR(__xludf.DUMMYFUNCTION("""COMPUTED_VALUE"""),1)</f>
        <v>1</v>
      </c>
      <c r="V883" s="5" t="str">
        <f ca="1">IFERROR(__xludf.DUMMYFUNCTION("""COMPUTED_VALUE"""),"Accidental discharge adjusting gun during graduation")</f>
        <v>Accidental discharge adjusting gun during graduation</v>
      </c>
      <c r="W883"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X883" s="5" t="str">
        <f ca="1">IFERROR(__xludf.DUMMYFUNCTION("""COMPUTED_VALUE"""),"Accidental")</f>
        <v>Accidental</v>
      </c>
      <c r="Y883" s="5" t="str">
        <f ca="1">IFERROR(__xludf.DUMMYFUNCTION("""COMPUTED_VALUE"""),"Random Shooting")</f>
        <v>Random Shooting</v>
      </c>
      <c r="Z883" s="5" t="str">
        <f ca="1">IFERROR(__xludf.DUMMYFUNCTION("""COMPUTED_VALUE"""),"No")</f>
        <v>No</v>
      </c>
      <c r="AA883" s="5"/>
      <c r="AB883" s="5" t="str">
        <f ca="1">IFERROR(__xludf.DUMMYFUNCTION("""COMPUTED_VALUE"""),"No")</f>
        <v>No</v>
      </c>
      <c r="AC883" s="5" t="str">
        <f ca="1">IFERROR(__xludf.DUMMYFUNCTION("""COMPUTED_VALUE"""),"No")</f>
        <v>No</v>
      </c>
      <c r="AD883" s="5" t="str">
        <f ca="1">IFERROR(__xludf.DUMMYFUNCTION("""COMPUTED_VALUE"""),"No")</f>
        <v>No</v>
      </c>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row>
    <row r="884" spans="1:34" ht="12.75">
      <c r="A884" s="5" t="str">
        <f ca="1">IFERROR(__xludf.DUMMYFUNCTION("""COMPUTED_VALUE"""),"20160513SCSOG")</f>
        <v>20160513SCSOG</v>
      </c>
      <c r="B884" s="8">
        <f ca="1">IFERROR(__xludf.DUMMYFUNCTION("""COMPUTED_VALUE"""),42503)</f>
        <v>42503</v>
      </c>
      <c r="C884" s="5" t="str">
        <f ca="1">IFERROR(__xludf.DUMMYFUNCTION("""COMPUTED_VALUE"""),"Southside High School")</f>
        <v>Southside High School</v>
      </c>
      <c r="D884" s="5">
        <f ca="1">IFERROR(__xludf.DUMMYFUNCTION("""COMPUTED_VALUE"""),0)</f>
        <v>0</v>
      </c>
      <c r="E884" s="5">
        <f ca="1">IFERROR(__xludf.DUMMYFUNCTION("""COMPUTED_VALUE"""),0)</f>
        <v>0</v>
      </c>
      <c r="F884" s="5">
        <f ca="1">IFERROR(__xludf.DUMMYFUNCTION("""COMPUTED_VALUE"""),0)</f>
        <v>0</v>
      </c>
      <c r="G884" s="5">
        <f ca="1">IFERROR(__xludf.DUMMYFUNCTION("""COMPUTED_VALUE"""),0)</f>
        <v>0</v>
      </c>
      <c r="H884" s="9" t="str">
        <f ca="1">IFERROR(__xludf.DUMMYFUNCTION("""COMPUTED_VALUE"""),"http://www.wyff4.com/article/2-more-teens-charged-shooting-at-southside-high-school/7022388")</f>
        <v>http://www.wyff4.com/article/2-more-teens-charged-shooting-at-southside-high-school/7022388</v>
      </c>
      <c r="I884" s="5">
        <f ca="1">IFERROR(__xludf.DUMMYFUNCTION("""COMPUTED_VALUE"""),5)</f>
        <v>5</v>
      </c>
      <c r="J884" s="5" t="str">
        <f ca="1">IFERROR(__xludf.DUMMYFUNCTION("""COMPUTED_VALUE"""),"Local")</f>
        <v>Local</v>
      </c>
      <c r="K884" s="5">
        <f ca="1">IFERROR(__xludf.DUMMYFUNCTION("""COMPUTED_VALUE"""),2)</f>
        <v>2</v>
      </c>
      <c r="L884" s="5" t="str">
        <f ca="1">IFERROR(__xludf.DUMMYFUNCTION("""COMPUTED_VALUE"""),"Spring")</f>
        <v>Spring</v>
      </c>
      <c r="M884" s="5" t="str">
        <f ca="1">IFERROR(__xludf.DUMMYFUNCTION("""COMPUTED_VALUE"""),"Greenville")</f>
        <v>Greenville</v>
      </c>
      <c r="N884" s="5" t="str">
        <f ca="1">IFERROR(__xludf.DUMMYFUNCTION("""COMPUTED_VALUE"""),"SC")</f>
        <v>SC</v>
      </c>
      <c r="O884" s="5" t="str">
        <f ca="1">IFERROR(__xludf.DUMMYFUNCTION("""COMPUTED_VALUE"""),"High")</f>
        <v>High</v>
      </c>
      <c r="P884" s="5" t="str">
        <f ca="1">IFERROR(__xludf.DUMMYFUNCTION("""COMPUTED_VALUE"""),"Cafeteria")</f>
        <v>Cafeteria</v>
      </c>
      <c r="Q884" s="5" t="str">
        <f ca="1">IFERROR(__xludf.DUMMYFUNCTION("""COMPUTED_VALUE"""),"Inside School Building")</f>
        <v>Inside School Building</v>
      </c>
      <c r="R884" s="5" t="str">
        <f ca="1">IFERROR(__xludf.DUMMYFUNCTION("""COMPUTED_VALUE"""),"Yes")</f>
        <v>Yes</v>
      </c>
      <c r="S884" s="5" t="str">
        <f ca="1">IFERROR(__xludf.DUMMYFUNCTION("""COMPUTED_VALUE"""),"School Start")</f>
        <v>School Start</v>
      </c>
      <c r="T884" s="10">
        <f ca="1">IFERROR(__xludf.DUMMYFUNCTION("""COMPUTED_VALUE"""),0.354166666666666)</f>
        <v>0.35416666666666602</v>
      </c>
      <c r="U884" s="5">
        <f ca="1">IFERROR(__xludf.DUMMYFUNCTION("""COMPUTED_VALUE"""),1)</f>
        <v>1</v>
      </c>
      <c r="V884" s="5" t="str">
        <f ca="1">IFERROR(__xludf.DUMMYFUNCTION("""COMPUTED_VALUE"""),"Accidental discharge of gun in backpack")</f>
        <v>Accidental discharge of gun in backpack</v>
      </c>
      <c r="W884"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X884" s="5" t="str">
        <f ca="1">IFERROR(__xludf.DUMMYFUNCTION("""COMPUTED_VALUE"""),"Accidental")</f>
        <v>Accidental</v>
      </c>
      <c r="Y884" s="5" t="str">
        <f ca="1">IFERROR(__xludf.DUMMYFUNCTION("""COMPUTED_VALUE"""),"Neither")</f>
        <v>Neither</v>
      </c>
      <c r="Z884" s="5" t="str">
        <f ca="1">IFERROR(__xludf.DUMMYFUNCTION("""COMPUTED_VALUE"""),"No")</f>
        <v>No</v>
      </c>
      <c r="AA884" s="5"/>
      <c r="AB884" s="5" t="str">
        <f ca="1">IFERROR(__xludf.DUMMYFUNCTION("""COMPUTED_VALUE"""),"No")</f>
        <v>No</v>
      </c>
      <c r="AC884" s="5" t="str">
        <f ca="1">IFERROR(__xludf.DUMMYFUNCTION("""COMPUTED_VALUE"""),"No")</f>
        <v>No</v>
      </c>
      <c r="AD884" s="5" t="str">
        <f ca="1">IFERROR(__xludf.DUMMYFUNCTION("""COMPUTED_VALUE"""),"No")</f>
        <v>No</v>
      </c>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row>
    <row r="885" spans="1:34" ht="12.75">
      <c r="A885" s="5" t="str">
        <f ca="1">IFERROR(__xludf.DUMMYFUNCTION("""COMPUTED_VALUE"""),"20160506IDROT")</f>
        <v>20160506IDROT</v>
      </c>
      <c r="B885" s="8">
        <f ca="1">IFERROR(__xludf.DUMMYFUNCTION("""COMPUTED_VALUE"""),42496)</f>
        <v>42496</v>
      </c>
      <c r="C885" s="5" t="str">
        <f ca="1">IFERROR(__xludf.DUMMYFUNCTION("""COMPUTED_VALUE"""),"Robert Stuart Middle School")</f>
        <v>Robert Stuart Middle School</v>
      </c>
      <c r="D885" s="5">
        <f ca="1">IFERROR(__xludf.DUMMYFUNCTION("""COMPUTED_VALUE"""),0)</f>
        <v>0</v>
      </c>
      <c r="E885" s="5">
        <f ca="1">IFERROR(__xludf.DUMMYFUNCTION("""COMPUTED_VALUE"""),0)</f>
        <v>0</v>
      </c>
      <c r="F885" s="5">
        <f ca="1">IFERROR(__xludf.DUMMYFUNCTION("""COMPUTED_VALUE"""),0)</f>
        <v>0</v>
      </c>
      <c r="G885" s="5">
        <f ca="1">IFERROR(__xludf.DUMMYFUNCTION("""COMPUTED_VALUE"""),0)</f>
        <v>0</v>
      </c>
      <c r="H885"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I885" s="5"/>
      <c r="J885" s="5"/>
      <c r="K885" s="5">
        <f ca="1">IFERROR(__xludf.DUMMYFUNCTION("""COMPUTED_VALUE"""),2)</f>
        <v>2</v>
      </c>
      <c r="L885" s="5" t="str">
        <f ca="1">IFERROR(__xludf.DUMMYFUNCTION("""COMPUTED_VALUE"""),"Spring")</f>
        <v>Spring</v>
      </c>
      <c r="M885" s="5" t="str">
        <f ca="1">IFERROR(__xludf.DUMMYFUNCTION("""COMPUTED_VALUE"""),"Twin Falls")</f>
        <v>Twin Falls</v>
      </c>
      <c r="N885" s="5" t="str">
        <f ca="1">IFERROR(__xludf.DUMMYFUNCTION("""COMPUTED_VALUE"""),"ID")</f>
        <v>ID</v>
      </c>
      <c r="O885" s="5" t="str">
        <f ca="1">IFERROR(__xludf.DUMMYFUNCTION("""COMPUTED_VALUE"""),"Middle")</f>
        <v>Middle</v>
      </c>
      <c r="P885" s="5" t="str">
        <f ca="1">IFERROR(__xludf.DUMMYFUNCTION("""COMPUTED_VALUE"""),"Classroom")</f>
        <v>Classroom</v>
      </c>
      <c r="Q885" s="5" t="str">
        <f ca="1">IFERROR(__xludf.DUMMYFUNCTION("""COMPUTED_VALUE"""),"Inside School Building")</f>
        <v>Inside School Building</v>
      </c>
      <c r="R885" s="5" t="str">
        <f ca="1">IFERROR(__xludf.DUMMYFUNCTION("""COMPUTED_VALUE"""),"Yes")</f>
        <v>Yes</v>
      </c>
      <c r="S885" s="5" t="str">
        <f ca="1">IFERROR(__xludf.DUMMYFUNCTION("""COMPUTED_VALUE"""),"Afternoon Classes")</f>
        <v>Afternoon Classes</v>
      </c>
      <c r="T885" s="10">
        <f ca="1">IFERROR(__xludf.DUMMYFUNCTION("""COMPUTED_VALUE"""),0.53125)</f>
        <v>0.53125</v>
      </c>
      <c r="U885" s="5">
        <f ca="1">IFERROR(__xludf.DUMMYFUNCTION("""COMPUTED_VALUE"""),1)</f>
        <v>1</v>
      </c>
      <c r="V885" s="5" t="str">
        <f ca="1">IFERROR(__xludf.DUMMYFUNCTION("""COMPUTED_VALUE"""),"Accidental discharge of gun in backpack")</f>
        <v>Accidental discharge of gun in backpack</v>
      </c>
      <c r="W885"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X885" s="5" t="str">
        <f ca="1">IFERROR(__xludf.DUMMYFUNCTION("""COMPUTED_VALUE"""),"Accidental")</f>
        <v>Accidental</v>
      </c>
      <c r="Y885" s="5" t="str">
        <f ca="1">IFERROR(__xludf.DUMMYFUNCTION("""COMPUTED_VALUE"""),"Neither")</f>
        <v>Neither</v>
      </c>
      <c r="Z885" s="5" t="str">
        <f ca="1">IFERROR(__xludf.DUMMYFUNCTION("""COMPUTED_VALUE"""),"Yes")</f>
        <v>Yes</v>
      </c>
      <c r="AA885" s="5" t="str">
        <f ca="1">IFERROR(__xludf.DUMMYFUNCTION("""COMPUTED_VALUE"""),"2 other boys were charged with same crime as they were with shooter during the time of shooting")</f>
        <v>2 other boys were charged with same crime as they were with shooter during the time of shooting</v>
      </c>
      <c r="AB885" s="5" t="str">
        <f ca="1">IFERROR(__xludf.DUMMYFUNCTION("""COMPUTED_VALUE"""),"No")</f>
        <v>No</v>
      </c>
      <c r="AC885" s="5" t="str">
        <f ca="1">IFERROR(__xludf.DUMMYFUNCTION("""COMPUTED_VALUE"""),"No")</f>
        <v>No</v>
      </c>
      <c r="AD885" s="5" t="str">
        <f ca="1">IFERROR(__xludf.DUMMYFUNCTION("""COMPUTED_VALUE"""),"No")</f>
        <v>No</v>
      </c>
      <c r="AE885" s="5" t="str">
        <f ca="1">IFERROR(__xludf.DUMMYFUNCTION("""COMPUTED_VALUE"""),"N/A")</f>
        <v>N/A</v>
      </c>
      <c r="AF885" s="5" t="str">
        <f ca="1">IFERROR(__xludf.DUMMYFUNCTION("""COMPUTED_VALUE"""),"N/A")</f>
        <v>N/A</v>
      </c>
      <c r="AG885" s="5" t="str">
        <f ca="1">IFERROR(__xludf.DUMMYFUNCTION("""COMPUTED_VALUE"""),"No")</f>
        <v>No</v>
      </c>
      <c r="AH885" s="5" t="str">
        <f ca="1">IFERROR(__xludf.DUMMYFUNCTION("""COMPUTED_VALUE"""),"No")</f>
        <v>No</v>
      </c>
    </row>
    <row r="886" spans="1:34" ht="12.75">
      <c r="A886" s="5" t="str">
        <f ca="1">IFERROR(__xludf.DUMMYFUNCTION("""COMPUTED_VALUE"""),"20160506FLOSP")</f>
        <v>20160506FLOSP</v>
      </c>
      <c r="B886" s="8">
        <f ca="1">IFERROR(__xludf.DUMMYFUNCTION("""COMPUTED_VALUE"""),42496)</f>
        <v>42496</v>
      </c>
      <c r="C886" s="5" t="str">
        <f ca="1">IFERROR(__xludf.DUMMYFUNCTION("""COMPUTED_VALUE"""),"Oscar Patterson Elementary School")</f>
        <v>Oscar Patterson Elementary School</v>
      </c>
      <c r="D886" s="5">
        <f ca="1">IFERROR(__xludf.DUMMYFUNCTION("""COMPUTED_VALUE"""),0)</f>
        <v>0</v>
      </c>
      <c r="E886" s="5">
        <f ca="1">IFERROR(__xludf.DUMMYFUNCTION("""COMPUTED_VALUE"""),0)</f>
        <v>0</v>
      </c>
      <c r="F886" s="5">
        <f ca="1">IFERROR(__xludf.DUMMYFUNCTION("""COMPUTED_VALUE"""),0)</f>
        <v>0</v>
      </c>
      <c r="G886" s="5">
        <f ca="1">IFERROR(__xludf.DUMMYFUNCTION("""COMPUTED_VALUE"""),0)</f>
        <v>0</v>
      </c>
      <c r="H886" s="9" t="str">
        <f ca="1">IFERROR(__xludf.DUMMYFUNCTION("""COMPUTED_VALUE"""),"http://www.newsherald.com/news/20160509/probe-into-detention-officers-accidental-shooting-near-oscar-patterson-underway")</f>
        <v>http://www.newsherald.com/news/20160509/probe-into-detention-officers-accidental-shooting-near-oscar-patterson-underway</v>
      </c>
      <c r="I886" s="5"/>
      <c r="J886" s="5"/>
      <c r="K886" s="5">
        <f ca="1">IFERROR(__xludf.DUMMYFUNCTION("""COMPUTED_VALUE"""),2)</f>
        <v>2</v>
      </c>
      <c r="L886" s="5" t="str">
        <f ca="1">IFERROR(__xludf.DUMMYFUNCTION("""COMPUTED_VALUE"""),"Spring")</f>
        <v>Spring</v>
      </c>
      <c r="M886" s="5" t="str">
        <f ca="1">IFERROR(__xludf.DUMMYFUNCTION("""COMPUTED_VALUE"""),"Panama City")</f>
        <v>Panama City</v>
      </c>
      <c r="N886" s="5" t="str">
        <f ca="1">IFERROR(__xludf.DUMMYFUNCTION("""COMPUTED_VALUE"""),"FL")</f>
        <v>FL</v>
      </c>
      <c r="O886" s="5" t="str">
        <f ca="1">IFERROR(__xludf.DUMMYFUNCTION("""COMPUTED_VALUE"""),"Elementary")</f>
        <v>Elementary</v>
      </c>
      <c r="P886" s="5" t="str">
        <f ca="1">IFERROR(__xludf.DUMMYFUNCTION("""COMPUTED_VALUE"""),"Office")</f>
        <v>Office</v>
      </c>
      <c r="Q886" s="5" t="str">
        <f ca="1">IFERROR(__xludf.DUMMYFUNCTION("""COMPUTED_VALUE"""),"Inside School Building")</f>
        <v>Inside School Building</v>
      </c>
      <c r="R886" s="5" t="str">
        <f ca="1">IFERROR(__xludf.DUMMYFUNCTION("""COMPUTED_VALUE"""),"Yes")</f>
        <v>Yes</v>
      </c>
      <c r="S886" s="5"/>
      <c r="T886" s="5"/>
      <c r="U886" s="5">
        <f ca="1">IFERROR(__xludf.DUMMYFUNCTION("""COMPUTED_VALUE"""),1)</f>
        <v>1</v>
      </c>
      <c r="V886" s="5" t="str">
        <f ca="1">IFERROR(__xludf.DUMMYFUNCTION("""COMPUTED_VALUE"""),"Accidental discharge during interview of school employee")</f>
        <v>Accidental discharge during interview of school employee</v>
      </c>
      <c r="W886"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X886" s="5" t="str">
        <f ca="1">IFERROR(__xludf.DUMMYFUNCTION("""COMPUTED_VALUE"""),"Accidental")</f>
        <v>Accidental</v>
      </c>
      <c r="Y886" s="5" t="str">
        <f ca="1">IFERROR(__xludf.DUMMYFUNCTION("""COMPUTED_VALUE"""),"Random Shooting")</f>
        <v>Random Shooting</v>
      </c>
      <c r="Z886" s="5" t="str">
        <f ca="1">IFERROR(__xludf.DUMMYFUNCTION("""COMPUTED_VALUE"""),"No")</f>
        <v>No</v>
      </c>
      <c r="AA886" s="5"/>
      <c r="AB886" s="5" t="str">
        <f ca="1">IFERROR(__xludf.DUMMYFUNCTION("""COMPUTED_VALUE"""),"No")</f>
        <v>No</v>
      </c>
      <c r="AC886" s="5" t="str">
        <f ca="1">IFERROR(__xludf.DUMMYFUNCTION("""COMPUTED_VALUE"""),"No")</f>
        <v>No</v>
      </c>
      <c r="AD886" s="5" t="str">
        <f ca="1">IFERROR(__xludf.DUMMYFUNCTION("""COMPUTED_VALUE"""),"No")</f>
        <v>No</v>
      </c>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row>
    <row r="887" spans="1:34" ht="12.75">
      <c r="A887" s="5" t="str">
        <f ca="1">IFERROR(__xludf.DUMMYFUNCTION("""COMPUTED_VALUE"""),"20160505MDHIB")</f>
        <v>20160505MDHIB</v>
      </c>
      <c r="B887" s="8">
        <f ca="1">IFERROR(__xludf.DUMMYFUNCTION("""COMPUTED_VALUE"""),42495)</f>
        <v>42495</v>
      </c>
      <c r="C887" s="5" t="str">
        <f ca="1">IFERROR(__xludf.DUMMYFUNCTION("""COMPUTED_VALUE"""),"High Point High School")</f>
        <v>High Point High School</v>
      </c>
      <c r="D887" s="5">
        <f ca="1">IFERROR(__xludf.DUMMYFUNCTION("""COMPUTED_VALUE"""),1)</f>
        <v>1</v>
      </c>
      <c r="E887" s="5">
        <f ca="1">IFERROR(__xludf.DUMMYFUNCTION("""COMPUTED_VALUE"""),1)</f>
        <v>1</v>
      </c>
      <c r="F887" s="5">
        <f ca="1">IFERROR(__xludf.DUMMYFUNCTION("""COMPUTED_VALUE"""),2)</f>
        <v>2</v>
      </c>
      <c r="G887" s="5">
        <f ca="1">IFERROR(__xludf.DUMMYFUNCTION("""COMPUTED_VALUE"""),0)</f>
        <v>0</v>
      </c>
      <c r="H887" s="9" t="str">
        <f ca="1">IFERROR(__xludf.DUMMYFUNCTION("""COMPUTED_VALUE"""),"https://www.nbcwashington.com/news/local/Shooting-High-Point-High-School-378322341.html")</f>
        <v>https://www.nbcwashington.com/news/local/Shooting-High-Point-High-School-378322341.html</v>
      </c>
      <c r="I887" s="5">
        <f ca="1">IFERROR(__xludf.DUMMYFUNCTION("""COMPUTED_VALUE"""),5)</f>
        <v>5</v>
      </c>
      <c r="J887" s="5" t="str">
        <f ca="1">IFERROR(__xludf.DUMMYFUNCTION("""COMPUTED_VALUE"""),"Regional")</f>
        <v>Regional</v>
      </c>
      <c r="K887" s="5">
        <f ca="1">IFERROR(__xludf.DUMMYFUNCTION("""COMPUTED_VALUE"""),2)</f>
        <v>2</v>
      </c>
      <c r="L887" s="5" t="str">
        <f ca="1">IFERROR(__xludf.DUMMYFUNCTION("""COMPUTED_VALUE"""),"Spring")</f>
        <v>Spring</v>
      </c>
      <c r="M887" s="5" t="str">
        <f ca="1">IFERROR(__xludf.DUMMYFUNCTION("""COMPUTED_VALUE"""),"Beltsville")</f>
        <v>Beltsville</v>
      </c>
      <c r="N887" s="5" t="str">
        <f ca="1">IFERROR(__xludf.DUMMYFUNCTION("""COMPUTED_VALUE"""),"MD")</f>
        <v>MD</v>
      </c>
      <c r="O887" s="5" t="str">
        <f ca="1">IFERROR(__xludf.DUMMYFUNCTION("""COMPUTED_VALUE"""),"High")</f>
        <v>High</v>
      </c>
      <c r="P887" s="5" t="str">
        <f ca="1">IFERROR(__xludf.DUMMYFUNCTION("""COMPUTED_VALUE"""),"Parking Lot")</f>
        <v>Parking Lot</v>
      </c>
      <c r="Q887" s="5" t="str">
        <f ca="1">IFERROR(__xludf.DUMMYFUNCTION("""COMPUTED_VALUE"""),"Outside on School Property")</f>
        <v>Outside on School Property</v>
      </c>
      <c r="R887" s="5" t="str">
        <f ca="1">IFERROR(__xludf.DUMMYFUNCTION("""COMPUTED_VALUE"""),"No")</f>
        <v>No</v>
      </c>
      <c r="S887" s="5" t="str">
        <f ca="1">IFERROR(__xludf.DUMMYFUNCTION("""COMPUTED_VALUE"""),"After School")</f>
        <v>After School</v>
      </c>
      <c r="T887" s="10">
        <f ca="1">IFERROR(__xludf.DUMMYFUNCTION("""COMPUTED_VALUE"""),0.694444444444444)</f>
        <v>0.69444444444444398</v>
      </c>
      <c r="U887" s="5">
        <f ca="1">IFERROR(__xludf.DUMMYFUNCTION("""COMPUTED_VALUE"""),1)</f>
        <v>1</v>
      </c>
      <c r="V887" s="5" t="str">
        <f ca="1">IFERROR(__xludf.DUMMYFUNCTION("""COMPUTED_VALUE"""),"Domestic, killed ex-wife in parking lot")</f>
        <v>Domestic, killed ex-wife in parking lot</v>
      </c>
      <c r="W887"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X887" s="5" t="str">
        <f ca="1">IFERROR(__xludf.DUMMYFUNCTION("""COMPUTED_VALUE"""),"Domestic w/ Targeted Victim")</f>
        <v>Domestic w/ Targeted Victim</v>
      </c>
      <c r="Y887" s="5" t="str">
        <f ca="1">IFERROR(__xludf.DUMMYFUNCTION("""COMPUTED_VALUE"""),"Both")</f>
        <v>Both</v>
      </c>
      <c r="Z887" s="5"/>
      <c r="AA887" s="5"/>
      <c r="AB887" s="5" t="str">
        <f ca="1">IFERROR(__xludf.DUMMYFUNCTION("""COMPUTED_VALUE"""),"No")</f>
        <v>No</v>
      </c>
      <c r="AC887" s="5" t="str">
        <f ca="1">IFERROR(__xludf.DUMMYFUNCTION("""COMPUTED_VALUE"""),"No")</f>
        <v>No</v>
      </c>
      <c r="AD887" s="5" t="str">
        <f ca="1">IFERROR(__xludf.DUMMYFUNCTION("""COMPUTED_VALUE"""),"No")</f>
        <v>No</v>
      </c>
      <c r="AE887" s="5"/>
      <c r="AF887" s="5" t="str">
        <f ca="1">IFERROR(__xludf.DUMMYFUNCTION("""COMPUTED_VALUE"""),"Yes")</f>
        <v>Yes</v>
      </c>
      <c r="AG887" s="5" t="str">
        <f ca="1">IFERROR(__xludf.DUMMYFUNCTION("""COMPUTED_VALUE"""),"No")</f>
        <v>No</v>
      </c>
      <c r="AH887" s="5" t="str">
        <f ca="1">IFERROR(__xludf.DUMMYFUNCTION("""COMPUTED_VALUE"""),"No")</f>
        <v>No</v>
      </c>
    </row>
    <row r="888" spans="1:34" ht="12.75">
      <c r="A888" s="5" t="str">
        <f ca="1">IFERROR(__xludf.DUMMYFUNCTION("""COMPUTED_VALUE"""),"20160504COEAP")</f>
        <v>20160504COEAP</v>
      </c>
      <c r="B888" s="8">
        <f ca="1">IFERROR(__xludf.DUMMYFUNCTION("""COMPUTED_VALUE"""),42494)</f>
        <v>42494</v>
      </c>
      <c r="C888" s="5" t="str">
        <f ca="1">IFERROR(__xludf.DUMMYFUNCTION("""COMPUTED_VALUE"""),"East High School")</f>
        <v>East High School</v>
      </c>
      <c r="D888" s="5">
        <f ca="1">IFERROR(__xludf.DUMMYFUNCTION("""COMPUTED_VALUE"""),0)</f>
        <v>0</v>
      </c>
      <c r="E888" s="5">
        <f ca="1">IFERROR(__xludf.DUMMYFUNCTION("""COMPUTED_VALUE"""),1)</f>
        <v>1</v>
      </c>
      <c r="F888" s="5">
        <f ca="1">IFERROR(__xludf.DUMMYFUNCTION("""COMPUTED_VALUE"""),1)</f>
        <v>1</v>
      </c>
      <c r="G888" s="5">
        <f ca="1">IFERROR(__xludf.DUMMYFUNCTION("""COMPUTED_VALUE"""),1)</f>
        <v>1</v>
      </c>
      <c r="H888" s="9" t="str">
        <f ca="1">IFERROR(__xludf.DUMMYFUNCTION("""COMPUTED_VALUE"""),"http://www.kktv.com/home/headlines/PD-East-High-School-Staff-Hurt-In-Drive-By-Shooting-Near-School-378173411.html")</f>
        <v>http://www.kktv.com/home/headlines/PD-East-High-School-Staff-Hurt-In-Drive-By-Shooting-Near-School-378173411.html</v>
      </c>
      <c r="I888" s="5">
        <f ca="1">IFERROR(__xludf.DUMMYFUNCTION("""COMPUTED_VALUE"""),5)</f>
        <v>5</v>
      </c>
      <c r="J888" s="5" t="str">
        <f ca="1">IFERROR(__xludf.DUMMYFUNCTION("""COMPUTED_VALUE"""),"Local")</f>
        <v>Local</v>
      </c>
      <c r="K888" s="5">
        <f ca="1">IFERROR(__xludf.DUMMYFUNCTION("""COMPUTED_VALUE"""),2)</f>
        <v>2</v>
      </c>
      <c r="L888" s="5" t="str">
        <f ca="1">IFERROR(__xludf.DUMMYFUNCTION("""COMPUTED_VALUE"""),"Spring")</f>
        <v>Spring</v>
      </c>
      <c r="M888" s="5" t="str">
        <f ca="1">IFERROR(__xludf.DUMMYFUNCTION("""COMPUTED_VALUE"""),"Pueblo")</f>
        <v>Pueblo</v>
      </c>
      <c r="N888" s="5" t="str">
        <f ca="1">IFERROR(__xludf.DUMMYFUNCTION("""COMPUTED_VALUE"""),"CO")</f>
        <v>CO</v>
      </c>
      <c r="O888" s="5" t="str">
        <f ca="1">IFERROR(__xludf.DUMMYFUNCTION("""COMPUTED_VALUE"""),"High")</f>
        <v>High</v>
      </c>
      <c r="P888" s="5" t="str">
        <f ca="1">IFERROR(__xludf.DUMMYFUNCTION("""COMPUTED_VALUE"""),"Parking Lot")</f>
        <v>Parking Lot</v>
      </c>
      <c r="Q888" s="5" t="str">
        <f ca="1">IFERROR(__xludf.DUMMYFUNCTION("""COMPUTED_VALUE"""),"Outside on School Property")</f>
        <v>Outside on School Property</v>
      </c>
      <c r="R888" s="5" t="str">
        <f ca="1">IFERROR(__xludf.DUMMYFUNCTION("""COMPUTED_VALUE"""),"No")</f>
        <v>No</v>
      </c>
      <c r="S888" s="5" t="str">
        <f ca="1">IFERROR(__xludf.DUMMYFUNCTION("""COMPUTED_VALUE"""),"After School")</f>
        <v>After School</v>
      </c>
      <c r="T888" s="10">
        <f ca="1">IFERROR(__xludf.DUMMYFUNCTION("""COMPUTED_VALUE"""),0.625)</f>
        <v>0.625</v>
      </c>
      <c r="U888" s="5">
        <f ca="1">IFERROR(__xludf.DUMMYFUNCTION("""COMPUTED_VALUE"""),1)</f>
        <v>1</v>
      </c>
      <c r="V888" s="5" t="str">
        <f ca="1">IFERROR(__xludf.DUMMYFUNCTION("""COMPUTED_VALUE"""),"Drive-by, teacher injured, most likely targeted, murder-suicide")</f>
        <v>Drive-by, teacher injured, most likely targeted, murder-suicide</v>
      </c>
      <c r="W888"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X888" s="5" t="str">
        <f ca="1">IFERROR(__xludf.DUMMYFUNCTION("""COMPUTED_VALUE"""),"Drive-by Shooting")</f>
        <v>Drive-by Shooting</v>
      </c>
      <c r="Y888" s="5" t="str">
        <f ca="1">IFERROR(__xludf.DUMMYFUNCTION("""COMPUTED_VALUE"""),"Victims Targeted")</f>
        <v>Victims Targeted</v>
      </c>
      <c r="Z888" s="5" t="str">
        <f ca="1">IFERROR(__xludf.DUMMYFUNCTION("""COMPUTED_VALUE"""),"No")</f>
        <v>No</v>
      </c>
      <c r="AA888" s="5"/>
      <c r="AB888" s="5" t="str">
        <f ca="1">IFERROR(__xludf.DUMMYFUNCTION("""COMPUTED_VALUE"""),"No")</f>
        <v>No</v>
      </c>
      <c r="AC888" s="5" t="str">
        <f ca="1">IFERROR(__xludf.DUMMYFUNCTION("""COMPUTED_VALUE"""),"No")</f>
        <v>No</v>
      </c>
      <c r="AD888" s="5" t="str">
        <f ca="1">IFERROR(__xludf.DUMMYFUNCTION("""COMPUTED_VALUE"""),"No")</f>
        <v>No</v>
      </c>
      <c r="AE888" s="5"/>
      <c r="AF888" s="5" t="str">
        <f ca="1">IFERROR(__xludf.DUMMYFUNCTION("""COMPUTED_VALUE"""),"No")</f>
        <v>No</v>
      </c>
      <c r="AG888" s="5" t="str">
        <f ca="1">IFERROR(__xludf.DUMMYFUNCTION("""COMPUTED_VALUE"""),"No")</f>
        <v>No</v>
      </c>
      <c r="AH888" s="5" t="str">
        <f ca="1">IFERROR(__xludf.DUMMYFUNCTION("""COMPUTED_VALUE"""),"No")</f>
        <v>No</v>
      </c>
    </row>
    <row r="889" spans="1:34" ht="12.75">
      <c r="A889" s="5" t="str">
        <f ca="1">IFERROR(__xludf.DUMMYFUNCTION("""COMPUTED_VALUE"""),"20160502TXKID")</f>
        <v>20160502TXKID</v>
      </c>
      <c r="B889" s="8">
        <f ca="1">IFERROR(__xludf.DUMMYFUNCTION("""COMPUTED_VALUE"""),42492)</f>
        <v>42492</v>
      </c>
      <c r="C889" s="5" t="str">
        <f ca="1">IFERROR(__xludf.DUMMYFUNCTION("""COMPUTED_VALUE"""),"Kimball High School")</f>
        <v>Kimball High School</v>
      </c>
      <c r="D889" s="5">
        <f ca="1">IFERROR(__xludf.DUMMYFUNCTION("""COMPUTED_VALUE"""),0)</f>
        <v>0</v>
      </c>
      <c r="E889" s="5">
        <f ca="1">IFERROR(__xludf.DUMMYFUNCTION("""COMPUTED_VALUE"""),0)</f>
        <v>0</v>
      </c>
      <c r="F889" s="5">
        <f ca="1">IFERROR(__xludf.DUMMYFUNCTION("""COMPUTED_VALUE"""),0)</f>
        <v>0</v>
      </c>
      <c r="G889" s="5">
        <f ca="1">IFERROR(__xludf.DUMMYFUNCTION("""COMPUTED_VALUE"""),0)</f>
        <v>0</v>
      </c>
      <c r="H889"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I889" s="5"/>
      <c r="J889" s="5"/>
      <c r="K889" s="5">
        <f ca="1">IFERROR(__xludf.DUMMYFUNCTION("""COMPUTED_VALUE"""),3)</f>
        <v>3</v>
      </c>
      <c r="L889" s="5" t="str">
        <f ca="1">IFERROR(__xludf.DUMMYFUNCTION("""COMPUTED_VALUE"""),"Spring")</f>
        <v>Spring</v>
      </c>
      <c r="M889" s="5" t="str">
        <f ca="1">IFERROR(__xludf.DUMMYFUNCTION("""COMPUTED_VALUE"""),"Dallas")</f>
        <v>Dallas</v>
      </c>
      <c r="N889" s="5" t="str">
        <f ca="1">IFERROR(__xludf.DUMMYFUNCTION("""COMPUTED_VALUE"""),"TX")</f>
        <v>TX</v>
      </c>
      <c r="O889" s="5" t="str">
        <f ca="1">IFERROR(__xludf.DUMMYFUNCTION("""COMPUTED_VALUE"""),"High")</f>
        <v>High</v>
      </c>
      <c r="P889" s="5" t="str">
        <f ca="1">IFERROR(__xludf.DUMMYFUNCTION("""COMPUTED_VALUE"""),"Classroom")</f>
        <v>Classroom</v>
      </c>
      <c r="Q889" s="5" t="str">
        <f ca="1">IFERROR(__xludf.DUMMYFUNCTION("""COMPUTED_VALUE"""),"Inside School Building")</f>
        <v>Inside School Building</v>
      </c>
      <c r="R889" s="5" t="str">
        <f ca="1">IFERROR(__xludf.DUMMYFUNCTION("""COMPUTED_VALUE"""),"Yes")</f>
        <v>Yes</v>
      </c>
      <c r="S889" s="5" t="str">
        <f ca="1">IFERROR(__xludf.DUMMYFUNCTION("""COMPUTED_VALUE"""),"Morning Classes")</f>
        <v>Morning Classes</v>
      </c>
      <c r="T889" s="10">
        <f ca="1">IFERROR(__xludf.DUMMYFUNCTION("""COMPUTED_VALUE"""),0.333333333333333)</f>
        <v>0.33333333333333298</v>
      </c>
      <c r="U889" s="5">
        <f ca="1">IFERROR(__xludf.DUMMYFUNCTION("""COMPUTED_VALUE"""),1)</f>
        <v>1</v>
      </c>
      <c r="V889" s="5" t="str">
        <f ca="1">IFERROR(__xludf.DUMMYFUNCTION("""COMPUTED_VALUE"""),"Accidental discharge showing off gun")</f>
        <v>Accidental discharge showing off gun</v>
      </c>
      <c r="W889"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X889" s="5" t="str">
        <f ca="1">IFERROR(__xludf.DUMMYFUNCTION("""COMPUTED_VALUE"""),"Accidental")</f>
        <v>Accidental</v>
      </c>
      <c r="Y889" s="5" t="str">
        <f ca="1">IFERROR(__xludf.DUMMYFUNCTION("""COMPUTED_VALUE"""),"Random Shooting")</f>
        <v>Random Shooting</v>
      </c>
      <c r="Z889" s="5" t="str">
        <f ca="1">IFERROR(__xludf.DUMMYFUNCTION("""COMPUTED_VALUE"""),"No")</f>
        <v>No</v>
      </c>
      <c r="AA889" s="5"/>
      <c r="AB889" s="5" t="str">
        <f ca="1">IFERROR(__xludf.DUMMYFUNCTION("""COMPUTED_VALUE"""),"No")</f>
        <v>No</v>
      </c>
      <c r="AC889" s="5" t="str">
        <f ca="1">IFERROR(__xludf.DUMMYFUNCTION("""COMPUTED_VALUE"""),"No")</f>
        <v>No</v>
      </c>
      <c r="AD889" s="5" t="str">
        <f ca="1">IFERROR(__xludf.DUMMYFUNCTION("""COMPUTED_VALUE"""),"No")</f>
        <v>No</v>
      </c>
      <c r="AE889" s="5" t="str">
        <f ca="1">IFERROR(__xludf.DUMMYFUNCTION("""COMPUTED_VALUE"""),"Yes")</f>
        <v>Yes</v>
      </c>
      <c r="AF889" s="5" t="str">
        <f ca="1">IFERROR(__xludf.DUMMYFUNCTION("""COMPUTED_VALUE"""),"No")</f>
        <v>No</v>
      </c>
      <c r="AG889" s="5" t="str">
        <f ca="1">IFERROR(__xludf.DUMMYFUNCTION("""COMPUTED_VALUE"""),"No")</f>
        <v>No</v>
      </c>
      <c r="AH889" s="5" t="str">
        <f ca="1">IFERROR(__xludf.DUMMYFUNCTION("""COMPUTED_VALUE"""),"No")</f>
        <v>No</v>
      </c>
    </row>
    <row r="890" spans="1:34" ht="12.75">
      <c r="A890" s="5" t="str">
        <f ca="1">IFERROR(__xludf.DUMMYFUNCTION("""COMPUTED_VALUE"""),"20160423WIANA")</f>
        <v>20160423WIANA</v>
      </c>
      <c r="B890" s="8">
        <f ca="1">IFERROR(__xludf.DUMMYFUNCTION("""COMPUTED_VALUE"""),42483)</f>
        <v>42483</v>
      </c>
      <c r="C890" s="5" t="str">
        <f ca="1">IFERROR(__xludf.DUMMYFUNCTION("""COMPUTED_VALUE"""),"Antigo High School")</f>
        <v>Antigo High School</v>
      </c>
      <c r="D890" s="5">
        <f ca="1">IFERROR(__xludf.DUMMYFUNCTION("""COMPUTED_VALUE"""),0)</f>
        <v>0</v>
      </c>
      <c r="E890" s="5">
        <f ca="1">IFERROR(__xludf.DUMMYFUNCTION("""COMPUTED_VALUE"""),2)</f>
        <v>2</v>
      </c>
      <c r="F890" s="5">
        <f ca="1">IFERROR(__xludf.DUMMYFUNCTION("""COMPUTED_VALUE"""),2)</f>
        <v>2</v>
      </c>
      <c r="G890" s="5">
        <f ca="1">IFERROR(__xludf.DUMMYFUNCTION("""COMPUTED_VALUE"""),1)</f>
        <v>1</v>
      </c>
      <c r="H890"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I890" s="5">
        <f ca="1">IFERROR(__xludf.DUMMYFUNCTION("""COMPUTED_VALUE"""),11)</f>
        <v>11</v>
      </c>
      <c r="J890" s="5" t="str">
        <f ca="1">IFERROR(__xludf.DUMMYFUNCTION("""COMPUTED_VALUE"""),"International")</f>
        <v>International</v>
      </c>
      <c r="K890" s="5">
        <f ca="1">IFERROR(__xludf.DUMMYFUNCTION("""COMPUTED_VALUE"""),5)</f>
        <v>5</v>
      </c>
      <c r="L890" s="5" t="str">
        <f ca="1">IFERROR(__xludf.DUMMYFUNCTION("""COMPUTED_VALUE"""),"Spring")</f>
        <v>Spring</v>
      </c>
      <c r="M890" s="5" t="str">
        <f ca="1">IFERROR(__xludf.DUMMYFUNCTION("""COMPUTED_VALUE"""),"Antigo")</f>
        <v>Antigo</v>
      </c>
      <c r="N890" s="5" t="str">
        <f ca="1">IFERROR(__xludf.DUMMYFUNCTION("""COMPUTED_VALUE"""),"WI")</f>
        <v>WI</v>
      </c>
      <c r="O890" s="5" t="str">
        <f ca="1">IFERROR(__xludf.DUMMYFUNCTION("""COMPUTED_VALUE"""),"High")</f>
        <v>High</v>
      </c>
      <c r="P890" s="5" t="str">
        <f ca="1">IFERROR(__xludf.DUMMYFUNCTION("""COMPUTED_VALUE"""),"Parking Lot")</f>
        <v>Parking Lot</v>
      </c>
      <c r="Q890" s="5" t="str">
        <f ca="1">IFERROR(__xludf.DUMMYFUNCTION("""COMPUTED_VALUE"""),"Outside on School Property")</f>
        <v>Outside on School Property</v>
      </c>
      <c r="R890" s="5" t="str">
        <f ca="1">IFERROR(__xludf.DUMMYFUNCTION("""COMPUTED_VALUE"""),"No")</f>
        <v>No</v>
      </c>
      <c r="S890" s="5" t="str">
        <f ca="1">IFERROR(__xludf.DUMMYFUNCTION("""COMPUTED_VALUE"""),"School Event")</f>
        <v>School Event</v>
      </c>
      <c r="T890" s="10">
        <f ca="1">IFERROR(__xludf.DUMMYFUNCTION("""COMPUTED_VALUE"""),0.958333333333333)</f>
        <v>0.95833333333333304</v>
      </c>
      <c r="U890" s="5">
        <f ca="1">IFERROR(__xludf.DUMMYFUNCTION("""COMPUTED_VALUE"""),1)</f>
        <v>1</v>
      </c>
      <c r="V890" s="5" t="str">
        <f ca="1">IFERROR(__xludf.DUMMYFUNCTION("""COMPUTED_VALUE"""),"Shot ex-girlfriend after break-up")</f>
        <v>Shot ex-girlfriend after break-up</v>
      </c>
      <c r="W890"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X890" s="5" t="str">
        <f ca="1">IFERROR(__xludf.DUMMYFUNCTION("""COMPUTED_VALUE"""),"Domestic w/ Targeted Victim")</f>
        <v>Domestic w/ Targeted Victim</v>
      </c>
      <c r="Y890" s="5" t="str">
        <f ca="1">IFERROR(__xludf.DUMMYFUNCTION("""COMPUTED_VALUE"""),"Victims Targeted")</f>
        <v>Victims Targeted</v>
      </c>
      <c r="Z890" s="5" t="str">
        <f ca="1">IFERROR(__xludf.DUMMYFUNCTION("""COMPUTED_VALUE"""),"No")</f>
        <v>No</v>
      </c>
      <c r="AA890" s="5"/>
      <c r="AB890" s="5" t="str">
        <f ca="1">IFERROR(__xludf.DUMMYFUNCTION("""COMPUTED_VALUE"""),"No")</f>
        <v>No</v>
      </c>
      <c r="AC890" s="5" t="str">
        <f ca="1">IFERROR(__xludf.DUMMYFUNCTION("""COMPUTED_VALUE"""),"No")</f>
        <v>No</v>
      </c>
      <c r="AD890" s="5" t="str">
        <f ca="1">IFERROR(__xludf.DUMMYFUNCTION("""COMPUTED_VALUE"""),"No")</f>
        <v>No</v>
      </c>
      <c r="AE890" s="5" t="str">
        <f ca="1">IFERROR(__xludf.DUMMYFUNCTION("""COMPUTED_VALUE"""),"Yes")</f>
        <v>Yes</v>
      </c>
      <c r="AF890" s="5" t="str">
        <f ca="1">IFERROR(__xludf.DUMMYFUNCTION("""COMPUTED_VALUE"""),"Yes")</f>
        <v>Yes</v>
      </c>
      <c r="AG890" s="5" t="str">
        <f ca="1">IFERROR(__xludf.DUMMYFUNCTION("""COMPUTED_VALUE"""),"No")</f>
        <v>No</v>
      </c>
      <c r="AH890" s="5" t="str">
        <f ca="1">IFERROR(__xludf.DUMMYFUNCTION("""COMPUTED_VALUE"""),"Yes")</f>
        <v>Yes</v>
      </c>
    </row>
    <row r="891" spans="1:34" ht="12.75">
      <c r="A891" s="5" t="str">
        <f ca="1">IFERROR(__xludf.DUMMYFUNCTION("""COMPUTED_VALUE"""),"20160315ALHUB")</f>
        <v>20160315ALHUB</v>
      </c>
      <c r="B891" s="8">
        <f ca="1">IFERROR(__xludf.DUMMYFUNCTION("""COMPUTED_VALUE"""),42444)</f>
        <v>42444</v>
      </c>
      <c r="C891" s="5" t="str">
        <f ca="1">IFERROR(__xludf.DUMMYFUNCTION("""COMPUTED_VALUE"""),"Huffman High School")</f>
        <v>Huffman High School</v>
      </c>
      <c r="D891" s="5">
        <f ca="1">IFERROR(__xludf.DUMMYFUNCTION("""COMPUTED_VALUE"""),0)</f>
        <v>0</v>
      </c>
      <c r="E891" s="5">
        <f ca="1">IFERROR(__xludf.DUMMYFUNCTION("""COMPUTED_VALUE"""),1)</f>
        <v>1</v>
      </c>
      <c r="F891" s="5">
        <f ca="1">IFERROR(__xludf.DUMMYFUNCTION("""COMPUTED_VALUE"""),1)</f>
        <v>1</v>
      </c>
      <c r="G891" s="5">
        <f ca="1">IFERROR(__xludf.DUMMYFUNCTION("""COMPUTED_VALUE"""),0)</f>
        <v>0</v>
      </c>
      <c r="H891" s="9" t="str">
        <f ca="1">IFERROR(__xludf.DUMMYFUNCTION("""COMPUTED_VALUE"""),"http://www.wbrc.com/story/31487356/birmingham-police-identify-suspect-arrested-charged-in-huffman-high-school-shooting")</f>
        <v>http://www.wbrc.com/story/31487356/birmingham-police-identify-suspect-arrested-charged-in-huffman-high-school-shooting</v>
      </c>
      <c r="I891" s="5">
        <f ca="1">IFERROR(__xludf.DUMMYFUNCTION("""COMPUTED_VALUE"""),5)</f>
        <v>5</v>
      </c>
      <c r="J891" s="5" t="str">
        <f ca="1">IFERROR(__xludf.DUMMYFUNCTION("""COMPUTED_VALUE"""),"Local")</f>
        <v>Local</v>
      </c>
      <c r="K891" s="5">
        <f ca="1">IFERROR(__xludf.DUMMYFUNCTION("""COMPUTED_VALUE"""),2)</f>
        <v>2</v>
      </c>
      <c r="L891" s="5" t="str">
        <f ca="1">IFERROR(__xludf.DUMMYFUNCTION("""COMPUTED_VALUE"""),"Spring")</f>
        <v>Spring</v>
      </c>
      <c r="M891" s="5" t="str">
        <f ca="1">IFERROR(__xludf.DUMMYFUNCTION("""COMPUTED_VALUE"""),"Birmingham")</f>
        <v>Birmingham</v>
      </c>
      <c r="N891" s="5" t="str">
        <f ca="1">IFERROR(__xludf.DUMMYFUNCTION("""COMPUTED_VALUE"""),"AL")</f>
        <v>AL</v>
      </c>
      <c r="O891" s="5" t="str">
        <f ca="1">IFERROR(__xludf.DUMMYFUNCTION("""COMPUTED_VALUE"""),"High")</f>
        <v>High</v>
      </c>
      <c r="P891" s="5" t="str">
        <f ca="1">IFERROR(__xludf.DUMMYFUNCTION("""COMPUTED_VALUE"""),"Parking Lot")</f>
        <v>Parking Lot</v>
      </c>
      <c r="Q891" s="5" t="str">
        <f ca="1">IFERROR(__xludf.DUMMYFUNCTION("""COMPUTED_VALUE"""),"Outside on School Property")</f>
        <v>Outside on School Property</v>
      </c>
      <c r="R891" s="5" t="str">
        <f ca="1">IFERROR(__xludf.DUMMYFUNCTION("""COMPUTED_VALUE"""),"Yes")</f>
        <v>Yes</v>
      </c>
      <c r="S891" s="5" t="str">
        <f ca="1">IFERROR(__xludf.DUMMYFUNCTION("""COMPUTED_VALUE"""),"Dismissal")</f>
        <v>Dismissal</v>
      </c>
      <c r="T891" s="10">
        <f ca="1">IFERROR(__xludf.DUMMYFUNCTION("""COMPUTED_VALUE"""),0.604166666666666)</f>
        <v>0.60416666666666596</v>
      </c>
      <c r="U891" s="5">
        <f ca="1">IFERROR(__xludf.DUMMYFUNCTION("""COMPUTED_VALUE"""),1)</f>
        <v>1</v>
      </c>
      <c r="V891" s="5" t="str">
        <f ca="1">IFERROR(__xludf.DUMMYFUNCTION("""COMPUTED_VALUE"""),"Shots fired during fight")</f>
        <v>Shots fired during fight</v>
      </c>
      <c r="W891"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X891" s="5" t="str">
        <f ca="1">IFERROR(__xludf.DUMMYFUNCTION("""COMPUTED_VALUE"""),"Escalation of Dispute")</f>
        <v>Escalation of Dispute</v>
      </c>
      <c r="Y891" s="5" t="str">
        <f ca="1">IFERROR(__xludf.DUMMYFUNCTION("""COMPUTED_VALUE"""),"Victims Targeted")</f>
        <v>Victims Targeted</v>
      </c>
      <c r="Z891" s="5" t="str">
        <f ca="1">IFERROR(__xludf.DUMMYFUNCTION("""COMPUTED_VALUE"""),"No")</f>
        <v>No</v>
      </c>
      <c r="AA891" s="5"/>
      <c r="AB891" s="5" t="str">
        <f ca="1">IFERROR(__xludf.DUMMYFUNCTION("""COMPUTED_VALUE"""),"No")</f>
        <v>No</v>
      </c>
      <c r="AC891" s="5" t="str">
        <f ca="1">IFERROR(__xludf.DUMMYFUNCTION("""COMPUTED_VALUE"""),"No")</f>
        <v>No</v>
      </c>
      <c r="AD891" s="5" t="str">
        <f ca="1">IFERROR(__xludf.DUMMYFUNCTION("""COMPUTED_VALUE"""),"No")</f>
        <v>No</v>
      </c>
      <c r="AE891" s="5" t="str">
        <f ca="1">IFERROR(__xludf.DUMMYFUNCTION("""COMPUTED_VALUE"""),"No")</f>
        <v>No</v>
      </c>
      <c r="AF891" s="5" t="str">
        <f ca="1">IFERROR(__xludf.DUMMYFUNCTION("""COMPUTED_VALUE"""),"No")</f>
        <v>No</v>
      </c>
      <c r="AG891" s="5" t="str">
        <f ca="1">IFERROR(__xludf.DUMMYFUNCTION("""COMPUTED_VALUE"""),"No")</f>
        <v>No</v>
      </c>
      <c r="AH891" s="5" t="str">
        <f ca="1">IFERROR(__xludf.DUMMYFUNCTION("""COMPUTED_VALUE"""),"No")</f>
        <v>No</v>
      </c>
    </row>
    <row r="892" spans="1:34" ht="12.75">
      <c r="A892" s="5" t="str">
        <f ca="1">IFERROR(__xludf.DUMMYFUNCTION("""COMPUTED_VALUE"""),"20160229OHMAM")</f>
        <v>20160229OHMAM</v>
      </c>
      <c r="B892" s="8">
        <f ca="1">IFERROR(__xludf.DUMMYFUNCTION("""COMPUTED_VALUE"""),42429)</f>
        <v>42429</v>
      </c>
      <c r="C892" s="5" t="str">
        <f ca="1">IFERROR(__xludf.DUMMYFUNCTION("""COMPUTED_VALUE"""),"Madison High School")</f>
        <v>Madison High School</v>
      </c>
      <c r="D892" s="5">
        <f ca="1">IFERROR(__xludf.DUMMYFUNCTION("""COMPUTED_VALUE"""),0)</f>
        <v>0</v>
      </c>
      <c r="E892" s="5">
        <f ca="1">IFERROR(__xludf.DUMMYFUNCTION("""COMPUTED_VALUE"""),4)</f>
        <v>4</v>
      </c>
      <c r="F892" s="5">
        <f ca="1">IFERROR(__xludf.DUMMYFUNCTION("""COMPUTED_VALUE"""),4)</f>
        <v>4</v>
      </c>
      <c r="G892" s="5">
        <f ca="1">IFERROR(__xludf.DUMMYFUNCTION("""COMPUTED_VALUE"""),0)</f>
        <v>0</v>
      </c>
      <c r="H892"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I892" s="5">
        <f ca="1">IFERROR(__xludf.DUMMYFUNCTION("""COMPUTED_VALUE"""),11)</f>
        <v>11</v>
      </c>
      <c r="J892" s="5" t="str">
        <f ca="1">IFERROR(__xludf.DUMMYFUNCTION("""COMPUTED_VALUE"""),"National")</f>
        <v>National</v>
      </c>
      <c r="K892" s="5">
        <f ca="1">IFERROR(__xludf.DUMMYFUNCTION("""COMPUTED_VALUE"""),5)</f>
        <v>5</v>
      </c>
      <c r="L892" s="5" t="str">
        <f ca="1">IFERROR(__xludf.DUMMYFUNCTION("""COMPUTED_VALUE"""),"Winter")</f>
        <v>Winter</v>
      </c>
      <c r="M892" s="5" t="str">
        <f ca="1">IFERROR(__xludf.DUMMYFUNCTION("""COMPUTED_VALUE"""),"Middletown")</f>
        <v>Middletown</v>
      </c>
      <c r="N892" s="5" t="str">
        <f ca="1">IFERROR(__xludf.DUMMYFUNCTION("""COMPUTED_VALUE"""),"OH")</f>
        <v>OH</v>
      </c>
      <c r="O892" s="5" t="str">
        <f ca="1">IFERROR(__xludf.DUMMYFUNCTION("""COMPUTED_VALUE"""),"High")</f>
        <v>High</v>
      </c>
      <c r="P892" s="5" t="str">
        <f ca="1">IFERROR(__xludf.DUMMYFUNCTION("""COMPUTED_VALUE"""),"Cafeteria")</f>
        <v>Cafeteria</v>
      </c>
      <c r="Q892" s="5" t="str">
        <f ca="1">IFERROR(__xludf.DUMMYFUNCTION("""COMPUTED_VALUE"""),"Inside School Building")</f>
        <v>Inside School Building</v>
      </c>
      <c r="R892" s="5" t="str">
        <f ca="1">IFERROR(__xludf.DUMMYFUNCTION("""COMPUTED_VALUE"""),"Yes")</f>
        <v>Yes</v>
      </c>
      <c r="S892" s="5" t="str">
        <f ca="1">IFERROR(__xludf.DUMMYFUNCTION("""COMPUTED_VALUE"""),"Lunch")</f>
        <v>Lunch</v>
      </c>
      <c r="T892" s="10">
        <f ca="1">IFERROR(__xludf.DUMMYFUNCTION("""COMPUTED_VALUE"""),0.46875)</f>
        <v>0.46875</v>
      </c>
      <c r="U892" s="5"/>
      <c r="V892" s="5" t="str">
        <f ca="1">IFERROR(__xludf.DUMMYFUNCTION("""COMPUTED_VALUE"""),"Fired multiple shots in school cafeteria")</f>
        <v>Fired multiple shots in school cafeteria</v>
      </c>
      <c r="W892"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X892" s="5" t="str">
        <f ca="1">IFERROR(__xludf.DUMMYFUNCTION("""COMPUTED_VALUE"""),"Indiscriminate Shooting")</f>
        <v>Indiscriminate Shooting</v>
      </c>
      <c r="Y892" s="5" t="str">
        <f ca="1">IFERROR(__xludf.DUMMYFUNCTION("""COMPUTED_VALUE"""),"Random Shooting")</f>
        <v>Random Shooting</v>
      </c>
      <c r="Z892" s="5"/>
      <c r="AA892" s="5"/>
      <c r="AB892" s="5" t="str">
        <f ca="1">IFERROR(__xludf.DUMMYFUNCTION("""COMPUTED_VALUE"""),"No")</f>
        <v>No</v>
      </c>
      <c r="AC892" s="5" t="str">
        <f ca="1">IFERROR(__xludf.DUMMYFUNCTION("""COMPUTED_VALUE"""),"No")</f>
        <v>No</v>
      </c>
      <c r="AD892" s="5" t="str">
        <f ca="1">IFERROR(__xludf.DUMMYFUNCTION("""COMPUTED_VALUE"""),"No")</f>
        <v>No</v>
      </c>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IFERROR(__xludf.DUMMYFUNCTION("""COMPUTED_VALUE"""),"Yes")</f>
        <v>Yes</v>
      </c>
    </row>
    <row r="893" spans="1:34" ht="12.75">
      <c r="A893" s="5" t="str">
        <f ca="1">IFERROR(__xludf.DUMMYFUNCTION("""COMPUTED_VALUE"""),"20160226TXPAP")</f>
        <v>20160226TXPAP</v>
      </c>
      <c r="B893" s="8">
        <f ca="1">IFERROR(__xludf.DUMMYFUNCTION("""COMPUTED_VALUE"""),42426)</f>
        <v>42426</v>
      </c>
      <c r="C893" s="5" t="str">
        <f ca="1">IFERROR(__xludf.DUMMYFUNCTION("""COMPUTED_VALUE"""),"Palestine High School")</f>
        <v>Palestine High School</v>
      </c>
      <c r="D893" s="5">
        <f ca="1">IFERROR(__xludf.DUMMYFUNCTION("""COMPUTED_VALUE"""),0)</f>
        <v>0</v>
      </c>
      <c r="E893" s="5">
        <f ca="1">IFERROR(__xludf.DUMMYFUNCTION("""COMPUTED_VALUE"""),2)</f>
        <v>2</v>
      </c>
      <c r="F893" s="5">
        <f ca="1">IFERROR(__xludf.DUMMYFUNCTION("""COMPUTED_VALUE"""),2)</f>
        <v>2</v>
      </c>
      <c r="G893" s="5">
        <f ca="1">IFERROR(__xludf.DUMMYFUNCTION("""COMPUTED_VALUE"""),0)</f>
        <v>0</v>
      </c>
      <c r="H893"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I893" s="5"/>
      <c r="J893" s="5"/>
      <c r="K893" s="5">
        <f ca="1">IFERROR(__xludf.DUMMYFUNCTION("""COMPUTED_VALUE"""),3)</f>
        <v>3</v>
      </c>
      <c r="L893" s="5" t="str">
        <f ca="1">IFERROR(__xludf.DUMMYFUNCTION("""COMPUTED_VALUE"""),"Winter")</f>
        <v>Winter</v>
      </c>
      <c r="M893" s="5" t="str">
        <f ca="1">IFERROR(__xludf.DUMMYFUNCTION("""COMPUTED_VALUE"""),"Palestine")</f>
        <v>Palestine</v>
      </c>
      <c r="N893" s="5" t="str">
        <f ca="1">IFERROR(__xludf.DUMMYFUNCTION("""COMPUTED_VALUE"""),"TX")</f>
        <v>TX</v>
      </c>
      <c r="O893" s="5" t="str">
        <f ca="1">IFERROR(__xludf.DUMMYFUNCTION("""COMPUTED_VALUE"""),"High")</f>
        <v>High</v>
      </c>
      <c r="P893" s="5" t="str">
        <f ca="1">IFERROR(__xludf.DUMMYFUNCTION("""COMPUTED_VALUE"""),"Parking Lot")</f>
        <v>Parking Lot</v>
      </c>
      <c r="Q893" s="5" t="str">
        <f ca="1">IFERROR(__xludf.DUMMYFUNCTION("""COMPUTED_VALUE"""),"Outside on School Property")</f>
        <v>Outside on School Property</v>
      </c>
      <c r="R893" s="5" t="str">
        <f ca="1">IFERROR(__xludf.DUMMYFUNCTION("""COMPUTED_VALUE"""),"No")</f>
        <v>No</v>
      </c>
      <c r="S893" s="5" t="str">
        <f ca="1">IFERROR(__xludf.DUMMYFUNCTION("""COMPUTED_VALUE"""),"Sport Event")</f>
        <v>Sport Event</v>
      </c>
      <c r="T893" s="10">
        <f ca="1">IFERROR(__xludf.DUMMYFUNCTION("""COMPUTED_VALUE"""),0.747222222222222)</f>
        <v>0.74722222222222201</v>
      </c>
      <c r="U893" s="5">
        <f ca="1">IFERROR(__xludf.DUMMYFUNCTION("""COMPUTED_VALUE"""),4)</f>
        <v>4</v>
      </c>
      <c r="V893" s="5" t="str">
        <f ca="1">IFERROR(__xludf.DUMMYFUNCTION("""COMPUTED_VALUE"""),"Ex-husband shoots ex-wife and her boyfriend")</f>
        <v>Ex-husband shoots ex-wife and her boyfriend</v>
      </c>
      <c r="W893"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X893" s="5" t="str">
        <f ca="1">IFERROR(__xludf.DUMMYFUNCTION("""COMPUTED_VALUE"""),"Domestic w/ Targeted Victim")</f>
        <v>Domestic w/ Targeted Victim</v>
      </c>
      <c r="Y893" s="5" t="str">
        <f ca="1">IFERROR(__xludf.DUMMYFUNCTION("""COMPUTED_VALUE"""),"Victims Targeted")</f>
        <v>Victims Targeted</v>
      </c>
      <c r="Z893" s="5" t="str">
        <f ca="1">IFERROR(__xludf.DUMMYFUNCTION("""COMPUTED_VALUE"""),"No")</f>
        <v>No</v>
      </c>
      <c r="AA893" s="5"/>
      <c r="AB893" s="5" t="str">
        <f ca="1">IFERROR(__xludf.DUMMYFUNCTION("""COMPUTED_VALUE"""),"No")</f>
        <v>No</v>
      </c>
      <c r="AC893" s="5" t="str">
        <f ca="1">IFERROR(__xludf.DUMMYFUNCTION("""COMPUTED_VALUE"""),"No")</f>
        <v>No</v>
      </c>
      <c r="AD893" s="5" t="str">
        <f ca="1">IFERROR(__xludf.DUMMYFUNCTION("""COMPUTED_VALUE"""),"No")</f>
        <v>No</v>
      </c>
      <c r="AE893" s="5" t="str">
        <f ca="1">IFERROR(__xludf.DUMMYFUNCTION("""COMPUTED_VALUE"""),"No")</f>
        <v>No</v>
      </c>
      <c r="AF893" s="5" t="str">
        <f ca="1">IFERROR(__xludf.DUMMYFUNCTION("""COMPUTED_VALUE"""),"Yes")</f>
        <v>Yes</v>
      </c>
      <c r="AG893" s="5" t="str">
        <f ca="1">IFERROR(__xludf.DUMMYFUNCTION("""COMPUTED_VALUE"""),"No")</f>
        <v>No</v>
      </c>
      <c r="AH893" s="5" t="str">
        <f ca="1">IFERROR(__xludf.DUMMYFUNCTION("""COMPUTED_VALUE"""),"No")</f>
        <v>No</v>
      </c>
    </row>
    <row r="894" spans="1:34" ht="12.75">
      <c r="A894" s="5" t="str">
        <f ca="1">IFERROR(__xludf.DUMMYFUNCTION("""COMPUTED_VALUE"""),"20160217PACHC")</f>
        <v>20160217PACHC</v>
      </c>
      <c r="B894" s="8">
        <f ca="1">IFERROR(__xludf.DUMMYFUNCTION("""COMPUTED_VALUE"""),42417)</f>
        <v>42417</v>
      </c>
      <c r="C894" s="5" t="str">
        <f ca="1">IFERROR(__xludf.DUMMYFUNCTION("""COMPUTED_VALUE"""),"Chester High School (bus)")</f>
        <v>Chester High School (bus)</v>
      </c>
      <c r="D894" s="5">
        <f ca="1">IFERROR(__xludf.DUMMYFUNCTION("""COMPUTED_VALUE"""),0)</f>
        <v>0</v>
      </c>
      <c r="E894" s="5">
        <f ca="1">IFERROR(__xludf.DUMMYFUNCTION("""COMPUTED_VALUE"""),1)</f>
        <v>1</v>
      </c>
      <c r="F894" s="5">
        <f ca="1">IFERROR(__xludf.DUMMYFUNCTION("""COMPUTED_VALUE"""),1)</f>
        <v>1</v>
      </c>
      <c r="G894" s="5">
        <f ca="1">IFERROR(__xludf.DUMMYFUNCTION("""COMPUTED_VALUE"""),0)</f>
        <v>0</v>
      </c>
      <c r="H894" s="9" t="str">
        <f ca="1">IFERROR(__xludf.DUMMYFUNCTION("""COMPUTED_VALUE"""),"http://www.delcotimes.com/general-news/20160222/cops-chester-probes-source-of-gun-teen-used-in-shooting")</f>
        <v>http://www.delcotimes.com/general-news/20160222/cops-chester-probes-source-of-gun-teen-used-in-shooting</v>
      </c>
      <c r="I894" s="5">
        <f ca="1">IFERROR(__xludf.DUMMYFUNCTION("""COMPUTED_VALUE"""),1)</f>
        <v>1</v>
      </c>
      <c r="J894" s="5" t="str">
        <f ca="1">IFERROR(__xludf.DUMMYFUNCTION("""COMPUTED_VALUE"""),"Local")</f>
        <v>Local</v>
      </c>
      <c r="K894" s="5">
        <f ca="1">IFERROR(__xludf.DUMMYFUNCTION("""COMPUTED_VALUE"""),2)</f>
        <v>2</v>
      </c>
      <c r="L894" s="5" t="str">
        <f ca="1">IFERROR(__xludf.DUMMYFUNCTION("""COMPUTED_VALUE"""),"Winter")</f>
        <v>Winter</v>
      </c>
      <c r="M894" s="5" t="str">
        <f ca="1">IFERROR(__xludf.DUMMYFUNCTION("""COMPUTED_VALUE"""),"Chester")</f>
        <v>Chester</v>
      </c>
      <c r="N894" s="5" t="str">
        <f ca="1">IFERROR(__xludf.DUMMYFUNCTION("""COMPUTED_VALUE"""),"PA")</f>
        <v>PA</v>
      </c>
      <c r="O894" s="5" t="str">
        <f ca="1">IFERROR(__xludf.DUMMYFUNCTION("""COMPUTED_VALUE"""),"High")</f>
        <v>High</v>
      </c>
      <c r="P894" s="5" t="str">
        <f ca="1">IFERROR(__xludf.DUMMYFUNCTION("""COMPUTED_VALUE"""),"School Bus")</f>
        <v>School Bus</v>
      </c>
      <c r="Q894" s="5" t="str">
        <f ca="1">IFERROR(__xludf.DUMMYFUNCTION("""COMPUTED_VALUE"""),"School Bus")</f>
        <v>School Bus</v>
      </c>
      <c r="R894" s="5" t="str">
        <f ca="1">IFERROR(__xludf.DUMMYFUNCTION("""COMPUTED_VALUE"""),"Yes")</f>
        <v>Yes</v>
      </c>
      <c r="S894" s="5" t="str">
        <f ca="1">IFERROR(__xludf.DUMMYFUNCTION("""COMPUTED_VALUE"""),"Lunch")</f>
        <v>Lunch</v>
      </c>
      <c r="T894" s="10">
        <f ca="1">IFERROR(__xludf.DUMMYFUNCTION("""COMPUTED_VALUE"""),0.458333333333333)</f>
        <v>0.45833333333333298</v>
      </c>
      <c r="U894" s="5">
        <f ca="1">IFERROR(__xludf.DUMMYFUNCTION("""COMPUTED_VALUE"""),1)</f>
        <v>1</v>
      </c>
      <c r="V894" s="5" t="str">
        <f ca="1">IFERROR(__xludf.DUMMYFUNCTION("""COMPUTED_VALUE"""),"Gang related; Shot another student while exiting school bus")</f>
        <v>Gang related; Shot another student while exiting school bus</v>
      </c>
      <c r="W894"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X894" s="5" t="str">
        <f ca="1">IFERROR(__xludf.DUMMYFUNCTION("""COMPUTED_VALUE"""),"Escalation of Dispute")</f>
        <v>Escalation of Dispute</v>
      </c>
      <c r="Y894" s="5" t="str">
        <f ca="1">IFERROR(__xludf.DUMMYFUNCTION("""COMPUTED_VALUE"""),"Victims Targeted")</f>
        <v>Victims Targeted</v>
      </c>
      <c r="Z894" s="5"/>
      <c r="AA894" s="5"/>
      <c r="AB894" s="5" t="str">
        <f ca="1">IFERROR(__xludf.DUMMYFUNCTION("""COMPUTED_VALUE"""),"No")</f>
        <v>No</v>
      </c>
      <c r="AC894" s="5" t="str">
        <f ca="1">IFERROR(__xludf.DUMMYFUNCTION("""COMPUTED_VALUE"""),"No")</f>
        <v>No</v>
      </c>
      <c r="AD894" s="5" t="str">
        <f ca="1">IFERROR(__xludf.DUMMYFUNCTION("""COMPUTED_VALUE"""),"No")</f>
        <v>No</v>
      </c>
      <c r="AE894" s="5"/>
      <c r="AF894" s="5" t="str">
        <f ca="1">IFERROR(__xludf.DUMMYFUNCTION("""COMPUTED_VALUE"""),"No")</f>
        <v>No</v>
      </c>
      <c r="AG894" s="5" t="str">
        <f ca="1">IFERROR(__xludf.DUMMYFUNCTION("""COMPUTED_VALUE"""),"Yes")</f>
        <v>Yes</v>
      </c>
      <c r="AH894" s="5" t="str">
        <f ca="1">IFERROR(__xludf.DUMMYFUNCTION("""COMPUTED_VALUE"""),"No")</f>
        <v>No</v>
      </c>
    </row>
    <row r="895" spans="1:34" ht="12.75">
      <c r="A895" s="5" t="str">
        <f ca="1">IFERROR(__xludf.DUMMYFUNCTION("""COMPUTED_VALUE"""),"20160217FLROH")</f>
        <v>20160217FLROH</v>
      </c>
      <c r="B895" s="8">
        <f ca="1">IFERROR(__xludf.DUMMYFUNCTION("""COMPUTED_VALUE"""),42417)</f>
        <v>42417</v>
      </c>
      <c r="C895" s="5" t="str">
        <f ca="1">IFERROR(__xludf.DUMMYFUNCTION("""COMPUTED_VALUE"""),"Rock Crusher Elementary School")</f>
        <v>Rock Crusher Elementary School</v>
      </c>
      <c r="D895" s="5">
        <f ca="1">IFERROR(__xludf.DUMMYFUNCTION("""COMPUTED_VALUE"""),0)</f>
        <v>0</v>
      </c>
      <c r="E895" s="5">
        <f ca="1">IFERROR(__xludf.DUMMYFUNCTION("""COMPUTED_VALUE"""),0)</f>
        <v>0</v>
      </c>
      <c r="F895" s="5">
        <f ca="1">IFERROR(__xludf.DUMMYFUNCTION("""COMPUTED_VALUE"""),0)</f>
        <v>0</v>
      </c>
      <c r="G895" s="5">
        <f ca="1">IFERROR(__xludf.DUMMYFUNCTION("""COMPUTED_VALUE"""),0)</f>
        <v>0</v>
      </c>
      <c r="H895" s="9" t="str">
        <f ca="1">IFERROR(__xludf.DUMMYFUNCTION("""COMPUTED_VALUE"""),"https://www.wfla.com/news/local-news/loaded-gun-discharges-at-citrus-co-elementary-school/1051971907")</f>
        <v>https://www.wfla.com/news/local-news/loaded-gun-discharges-at-citrus-co-elementary-school/1051971907</v>
      </c>
      <c r="I895" s="5"/>
      <c r="J895" s="5"/>
      <c r="K895" s="5">
        <f ca="1">IFERROR(__xludf.DUMMYFUNCTION("""COMPUTED_VALUE"""),2)</f>
        <v>2</v>
      </c>
      <c r="L895" s="5" t="str">
        <f ca="1">IFERROR(__xludf.DUMMYFUNCTION("""COMPUTED_VALUE"""),"Winter")</f>
        <v>Winter</v>
      </c>
      <c r="M895" s="5" t="str">
        <f ca="1">IFERROR(__xludf.DUMMYFUNCTION("""COMPUTED_VALUE"""),"Homosassa")</f>
        <v>Homosassa</v>
      </c>
      <c r="N895" s="5" t="str">
        <f ca="1">IFERROR(__xludf.DUMMYFUNCTION("""COMPUTED_VALUE"""),"FL")</f>
        <v>FL</v>
      </c>
      <c r="O895" s="5" t="str">
        <f ca="1">IFERROR(__xludf.DUMMYFUNCTION("""COMPUTED_VALUE"""),"Elementary")</f>
        <v>Elementary</v>
      </c>
      <c r="P895" s="5" t="str">
        <f ca="1">IFERROR(__xludf.DUMMYFUNCTION("""COMPUTED_VALUE"""),"Beside Building")</f>
        <v>Beside Building</v>
      </c>
      <c r="Q895" s="5" t="str">
        <f ca="1">IFERROR(__xludf.DUMMYFUNCTION("""COMPUTED_VALUE"""),"Outside on School Property")</f>
        <v>Outside on School Property</v>
      </c>
      <c r="R895" s="5" t="str">
        <f ca="1">IFERROR(__xludf.DUMMYFUNCTION("""COMPUTED_VALUE"""),"Yes")</f>
        <v>Yes</v>
      </c>
      <c r="S895" s="5" t="str">
        <f ca="1">IFERROR(__xludf.DUMMYFUNCTION("""COMPUTED_VALUE"""),"School Start")</f>
        <v>School Start</v>
      </c>
      <c r="T895" s="10">
        <f ca="1">IFERROR(__xludf.DUMMYFUNCTION("""COMPUTED_VALUE"""),0.333333333333333)</f>
        <v>0.33333333333333298</v>
      </c>
      <c r="U895" s="5">
        <f ca="1">IFERROR(__xludf.DUMMYFUNCTION("""COMPUTED_VALUE"""),1)</f>
        <v>1</v>
      </c>
      <c r="V895" s="5" t="str">
        <f ca="1">IFERROR(__xludf.DUMMYFUNCTION("""COMPUTED_VALUE"""),"Parent dropped gun, parent told janitor who picked it up and accidentally fired")</f>
        <v>Parent dropped gun, parent told janitor who picked it up and accidentally fired</v>
      </c>
      <c r="W895"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X895" s="5" t="str">
        <f ca="1">IFERROR(__xludf.DUMMYFUNCTION("""COMPUTED_VALUE"""),"Accidental")</f>
        <v>Accidental</v>
      </c>
      <c r="Y895" s="5" t="str">
        <f ca="1">IFERROR(__xludf.DUMMYFUNCTION("""COMPUTED_VALUE"""),"NA")</f>
        <v>NA</v>
      </c>
      <c r="Z895" s="5" t="str">
        <f ca="1">IFERROR(__xludf.DUMMYFUNCTION("""COMPUTED_VALUE"""),"No")</f>
        <v>No</v>
      </c>
      <c r="AA895" s="5"/>
      <c r="AB895" s="5" t="str">
        <f ca="1">IFERROR(__xludf.DUMMYFUNCTION("""COMPUTED_VALUE"""),"No")</f>
        <v>No</v>
      </c>
      <c r="AC895" s="5" t="str">
        <f ca="1">IFERROR(__xludf.DUMMYFUNCTION("""COMPUTED_VALUE"""),"N/A")</f>
        <v>N/A</v>
      </c>
      <c r="AD895" s="5" t="str">
        <f ca="1">IFERROR(__xludf.DUMMYFUNCTION("""COMPUTED_VALUE"""),"No")</f>
        <v>No</v>
      </c>
      <c r="AE895" s="5" t="str">
        <f ca="1">IFERROR(__xludf.DUMMYFUNCTION("""COMPUTED_VALUE"""),"N/A")</f>
        <v>N/A</v>
      </c>
      <c r="AF895" s="5" t="str">
        <f ca="1">IFERROR(__xludf.DUMMYFUNCTION("""COMPUTED_VALUE"""),"N/A")</f>
        <v>N/A</v>
      </c>
      <c r="AG895" s="5" t="str">
        <f ca="1">IFERROR(__xludf.DUMMYFUNCTION("""COMPUTED_VALUE"""),"N/A")</f>
        <v>N/A</v>
      </c>
      <c r="AH895" s="5" t="str">
        <f ca="1">IFERROR(__xludf.DUMMYFUNCTION("""COMPUTED_VALUE"""),"No")</f>
        <v>No</v>
      </c>
    </row>
    <row r="896" spans="1:34" ht="12.75">
      <c r="A896" s="5" t="str">
        <f ca="1">IFERROR(__xludf.DUMMYFUNCTION("""COMPUTED_VALUE"""),"20160212AZING")</f>
        <v>20160212AZING</v>
      </c>
      <c r="B896" s="8">
        <f ca="1">IFERROR(__xludf.DUMMYFUNCTION("""COMPUTED_VALUE"""),42412)</f>
        <v>42412</v>
      </c>
      <c r="C896" s="5" t="str">
        <f ca="1">IFERROR(__xludf.DUMMYFUNCTION("""COMPUTED_VALUE"""),"Independence High School")</f>
        <v>Independence High School</v>
      </c>
      <c r="D896" s="5">
        <f ca="1">IFERROR(__xludf.DUMMYFUNCTION("""COMPUTED_VALUE"""),1)</f>
        <v>1</v>
      </c>
      <c r="E896" s="5">
        <f ca="1">IFERROR(__xludf.DUMMYFUNCTION("""COMPUTED_VALUE"""),0)</f>
        <v>0</v>
      </c>
      <c r="F896" s="5">
        <f ca="1">IFERROR(__xludf.DUMMYFUNCTION("""COMPUTED_VALUE"""),1)</f>
        <v>1</v>
      </c>
      <c r="G896" s="5">
        <f ca="1">IFERROR(__xludf.DUMMYFUNCTION("""COMPUTED_VALUE"""),1)</f>
        <v>1</v>
      </c>
      <c r="H896"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I896" s="5">
        <f ca="1">IFERROR(__xludf.DUMMYFUNCTION("""COMPUTED_VALUE"""),11)</f>
        <v>11</v>
      </c>
      <c r="J896" s="5" t="str">
        <f ca="1">IFERROR(__xludf.DUMMYFUNCTION("""COMPUTED_VALUE"""),"National")</f>
        <v>National</v>
      </c>
      <c r="K896" s="5">
        <f ca="1">IFERROR(__xludf.DUMMYFUNCTION("""COMPUTED_VALUE"""),5)</f>
        <v>5</v>
      </c>
      <c r="L896" s="5" t="str">
        <f ca="1">IFERROR(__xludf.DUMMYFUNCTION("""COMPUTED_VALUE"""),"Winter")</f>
        <v>Winter</v>
      </c>
      <c r="M896" s="5" t="str">
        <f ca="1">IFERROR(__xludf.DUMMYFUNCTION("""COMPUTED_VALUE"""),"Glendale")</f>
        <v>Glendale</v>
      </c>
      <c r="N896" s="5" t="str">
        <f ca="1">IFERROR(__xludf.DUMMYFUNCTION("""COMPUTED_VALUE"""),"AZ")</f>
        <v>AZ</v>
      </c>
      <c r="O896" s="5" t="str">
        <f ca="1">IFERROR(__xludf.DUMMYFUNCTION("""COMPUTED_VALUE"""),"High")</f>
        <v>High</v>
      </c>
      <c r="P896" s="5" t="str">
        <f ca="1">IFERROR(__xludf.DUMMYFUNCTION("""COMPUTED_VALUE"""),"Courtyard")</f>
        <v>Courtyard</v>
      </c>
      <c r="Q896" s="5" t="str">
        <f ca="1">IFERROR(__xludf.DUMMYFUNCTION("""COMPUTED_VALUE"""),"Outside on School Property")</f>
        <v>Outside on School Property</v>
      </c>
      <c r="R896" s="5" t="str">
        <f ca="1">IFERROR(__xludf.DUMMYFUNCTION("""COMPUTED_VALUE"""),"Yes")</f>
        <v>Yes</v>
      </c>
      <c r="S896" s="5" t="str">
        <f ca="1">IFERROR(__xludf.DUMMYFUNCTION("""COMPUTED_VALUE"""),"Before School")</f>
        <v>Before School</v>
      </c>
      <c r="T896" s="10">
        <f ca="1">IFERROR(__xludf.DUMMYFUNCTION("""COMPUTED_VALUE"""),0.328472222222222)</f>
        <v>0.328472222222222</v>
      </c>
      <c r="U896" s="5">
        <f ca="1">IFERROR(__xludf.DUMMYFUNCTION("""COMPUTED_VALUE"""),1)</f>
        <v>1</v>
      </c>
      <c r="V896" s="5" t="str">
        <f ca="1">IFERROR(__xludf.DUMMYFUNCTION("""COMPUTED_VALUE"""),"Murder-suicide between 2 female students")</f>
        <v>Murder-suicide between 2 female students</v>
      </c>
      <c r="W896"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X896" s="5" t="str">
        <f ca="1">IFERROR(__xludf.DUMMYFUNCTION("""COMPUTED_VALUE"""),"Domestic w/ Targeted Victim")</f>
        <v>Domestic w/ Targeted Victim</v>
      </c>
      <c r="Y896" s="5" t="str">
        <f ca="1">IFERROR(__xludf.DUMMYFUNCTION("""COMPUTED_VALUE"""),"Victims Targeted")</f>
        <v>Victims Targeted</v>
      </c>
      <c r="Z896" s="5" t="str">
        <f ca="1">IFERROR(__xludf.DUMMYFUNCTION("""COMPUTED_VALUE"""),"No")</f>
        <v>No</v>
      </c>
      <c r="AA896" s="5"/>
      <c r="AB896" s="5" t="str">
        <f ca="1">IFERROR(__xludf.DUMMYFUNCTION("""COMPUTED_VALUE"""),"No")</f>
        <v>No</v>
      </c>
      <c r="AC896" s="5" t="str">
        <f ca="1">IFERROR(__xludf.DUMMYFUNCTION("""COMPUTED_VALUE"""),"No")</f>
        <v>No</v>
      </c>
      <c r="AD896" s="5" t="str">
        <f ca="1">IFERROR(__xludf.DUMMYFUNCTION("""COMPUTED_VALUE"""),"No")</f>
        <v>No</v>
      </c>
      <c r="AE896" s="5" t="str">
        <f ca="1">IFERROR(__xludf.DUMMYFUNCTION("""COMPUTED_VALUE"""),"No")</f>
        <v>No</v>
      </c>
      <c r="AF896" s="5" t="str">
        <f ca="1">IFERROR(__xludf.DUMMYFUNCTION("""COMPUTED_VALUE"""),"Yes")</f>
        <v>Yes</v>
      </c>
      <c r="AG896" s="5" t="str">
        <f ca="1">IFERROR(__xludf.DUMMYFUNCTION("""COMPUTED_VALUE"""),"No")</f>
        <v>No</v>
      </c>
      <c r="AH896" s="5" t="str">
        <f ca="1">IFERROR(__xludf.DUMMYFUNCTION("""COMPUTED_VALUE"""),"No")</f>
        <v>No</v>
      </c>
    </row>
    <row r="897" spans="1:34" ht="12.75">
      <c r="A897" s="5" t="str">
        <f ca="1">IFERROR(__xludf.DUMMYFUNCTION("""COMPUTED_VALUE"""),"20160209MIMUM")</f>
        <v>20160209MIMUM</v>
      </c>
      <c r="B897" s="8">
        <f ca="1">IFERROR(__xludf.DUMMYFUNCTION("""COMPUTED_VALUE"""),42409)</f>
        <v>42409</v>
      </c>
      <c r="C897" s="5" t="str">
        <f ca="1">IFERROR(__xludf.DUMMYFUNCTION("""COMPUTED_VALUE"""),"Muskegon Heights High School")</f>
        <v>Muskegon Heights High School</v>
      </c>
      <c r="D897" s="5">
        <f ca="1">IFERROR(__xludf.DUMMYFUNCTION("""COMPUTED_VALUE"""),0)</f>
        <v>0</v>
      </c>
      <c r="E897" s="5">
        <f ca="1">IFERROR(__xludf.DUMMYFUNCTION("""COMPUTED_VALUE"""),3)</f>
        <v>3</v>
      </c>
      <c r="F897" s="5">
        <f ca="1">IFERROR(__xludf.DUMMYFUNCTION("""COMPUTED_VALUE"""),3)</f>
        <v>3</v>
      </c>
      <c r="G897" s="5">
        <f ca="1">IFERROR(__xludf.DUMMYFUNCTION("""COMPUTED_VALUE"""),0)</f>
        <v>0</v>
      </c>
      <c r="H897"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I897" s="5">
        <f ca="1">IFERROR(__xludf.DUMMYFUNCTION("""COMPUTED_VALUE"""),1)</f>
        <v>1</v>
      </c>
      <c r="J897" s="5" t="str">
        <f ca="1">IFERROR(__xludf.DUMMYFUNCTION("""COMPUTED_VALUE"""),"Local")</f>
        <v>Local</v>
      </c>
      <c r="K897" s="5">
        <f ca="1">IFERROR(__xludf.DUMMYFUNCTION("""COMPUTED_VALUE"""),3)</f>
        <v>3</v>
      </c>
      <c r="L897" s="5" t="str">
        <f ca="1">IFERROR(__xludf.DUMMYFUNCTION("""COMPUTED_VALUE"""),"Winter")</f>
        <v>Winter</v>
      </c>
      <c r="M897" s="5" t="str">
        <f ca="1">IFERROR(__xludf.DUMMYFUNCTION("""COMPUTED_VALUE"""),"Muskegon Heights")</f>
        <v>Muskegon Heights</v>
      </c>
      <c r="N897" s="5" t="str">
        <f ca="1">IFERROR(__xludf.DUMMYFUNCTION("""COMPUTED_VALUE"""),"MI")</f>
        <v>MI</v>
      </c>
      <c r="O897" s="5" t="str">
        <f ca="1">IFERROR(__xludf.DUMMYFUNCTION("""COMPUTED_VALUE"""),"High")</f>
        <v>High</v>
      </c>
      <c r="P897" s="5" t="str">
        <f ca="1">IFERROR(__xludf.DUMMYFUNCTION("""COMPUTED_VALUE"""),"Parking Lot")</f>
        <v>Parking Lot</v>
      </c>
      <c r="Q897" s="5" t="str">
        <f ca="1">IFERROR(__xludf.DUMMYFUNCTION("""COMPUTED_VALUE"""),"Outside on School Property")</f>
        <v>Outside on School Property</v>
      </c>
      <c r="R897" s="5" t="str">
        <f ca="1">IFERROR(__xludf.DUMMYFUNCTION("""COMPUTED_VALUE"""),"No")</f>
        <v>No</v>
      </c>
      <c r="S897" s="5" t="str">
        <f ca="1">IFERROR(__xludf.DUMMYFUNCTION("""COMPUTED_VALUE"""),"Sport Event")</f>
        <v>Sport Event</v>
      </c>
      <c r="T897" s="5"/>
      <c r="U897" s="5">
        <f ca="1">IFERROR(__xludf.DUMMYFUNCTION("""COMPUTED_VALUE"""),1)</f>
        <v>1</v>
      </c>
      <c r="V897" s="5" t="str">
        <f ca="1">IFERROR(__xludf.DUMMYFUNCTION("""COMPUTED_VALUE"""),"Gang related shooting after basketball game")</f>
        <v>Gang related shooting after basketball game</v>
      </c>
      <c r="W897"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X897" s="5" t="str">
        <f ca="1">IFERROR(__xludf.DUMMYFUNCTION("""COMPUTED_VALUE"""),"Escalation of Dispute")</f>
        <v>Escalation of Dispute</v>
      </c>
      <c r="Y897" s="5" t="str">
        <f ca="1">IFERROR(__xludf.DUMMYFUNCTION("""COMPUTED_VALUE"""),"Both")</f>
        <v>Both</v>
      </c>
      <c r="Z897" s="5" t="str">
        <f ca="1">IFERROR(__xludf.DUMMYFUNCTION("""COMPUTED_VALUE"""),"No")</f>
        <v>No</v>
      </c>
      <c r="AA897" s="5"/>
      <c r="AB897" s="5" t="str">
        <f ca="1">IFERROR(__xludf.DUMMYFUNCTION("""COMPUTED_VALUE"""),"No")</f>
        <v>No</v>
      </c>
      <c r="AC897" s="5" t="str">
        <f ca="1">IFERROR(__xludf.DUMMYFUNCTION("""COMPUTED_VALUE"""),"No")</f>
        <v>No</v>
      </c>
      <c r="AD897" s="5" t="str">
        <f ca="1">IFERROR(__xludf.DUMMYFUNCTION("""COMPUTED_VALUE"""),"No")</f>
        <v>No</v>
      </c>
      <c r="AE897" s="5" t="str">
        <f ca="1">IFERROR(__xludf.DUMMYFUNCTION("""COMPUTED_VALUE"""),"No")</f>
        <v>No</v>
      </c>
      <c r="AF897" s="5" t="str">
        <f ca="1">IFERROR(__xludf.DUMMYFUNCTION("""COMPUTED_VALUE"""),"No")</f>
        <v>No</v>
      </c>
      <c r="AG897" s="5" t="str">
        <f ca="1">IFERROR(__xludf.DUMMYFUNCTION("""COMPUTED_VALUE"""),"Yes")</f>
        <v>Yes</v>
      </c>
      <c r="AH897" s="5" t="str">
        <f ca="1">IFERROR(__xludf.DUMMYFUNCTION("""COMPUTED_VALUE"""),"No")</f>
        <v>No</v>
      </c>
    </row>
    <row r="898" spans="1:34" ht="12.75">
      <c r="A898" s="5" t="str">
        <f ca="1">IFERROR(__xludf.DUMMYFUNCTION("""COMPUTED_VALUE"""),"20160129PABEP")</f>
        <v>20160129PABEP</v>
      </c>
      <c r="B898" s="8">
        <f ca="1">IFERROR(__xludf.DUMMYFUNCTION("""COMPUTED_VALUE"""),42398)</f>
        <v>42398</v>
      </c>
      <c r="C898" s="5" t="str">
        <f ca="1">IFERROR(__xludf.DUMMYFUNCTION("""COMPUTED_VALUE"""),"Benjamin Franklin High School")</f>
        <v>Benjamin Franklin High School</v>
      </c>
      <c r="D898" s="5">
        <f ca="1">IFERROR(__xludf.DUMMYFUNCTION("""COMPUTED_VALUE"""),0)</f>
        <v>0</v>
      </c>
      <c r="E898" s="5">
        <f ca="1">IFERROR(__xludf.DUMMYFUNCTION("""COMPUTED_VALUE"""),0)</f>
        <v>0</v>
      </c>
      <c r="F898" s="5">
        <f ca="1">IFERROR(__xludf.DUMMYFUNCTION("""COMPUTED_VALUE"""),0)</f>
        <v>0</v>
      </c>
      <c r="G898" s="5">
        <f ca="1">IFERROR(__xludf.DUMMYFUNCTION("""COMPUTED_VALUE"""),0)</f>
        <v>0</v>
      </c>
      <c r="H898"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I898" s="5">
        <f ca="1">IFERROR(__xludf.DUMMYFUNCTION("""COMPUTED_VALUE"""),5)</f>
        <v>5</v>
      </c>
      <c r="J898" s="5" t="str">
        <f ca="1">IFERROR(__xludf.DUMMYFUNCTION("""COMPUTED_VALUE"""),"Local")</f>
        <v>Local</v>
      </c>
      <c r="K898" s="5">
        <f ca="1">IFERROR(__xludf.DUMMYFUNCTION("""COMPUTED_VALUE"""),2)</f>
        <v>2</v>
      </c>
      <c r="L898" s="5" t="str">
        <f ca="1">IFERROR(__xludf.DUMMYFUNCTION("""COMPUTED_VALUE"""),"Winter")</f>
        <v>Winter</v>
      </c>
      <c r="M898" s="5" t="str">
        <f ca="1">IFERROR(__xludf.DUMMYFUNCTION("""COMPUTED_VALUE"""),"Philadelphia")</f>
        <v>Philadelphia</v>
      </c>
      <c r="N898" s="5" t="str">
        <f ca="1">IFERROR(__xludf.DUMMYFUNCTION("""COMPUTED_VALUE"""),"PA")</f>
        <v>PA</v>
      </c>
      <c r="O898" s="5" t="str">
        <f ca="1">IFERROR(__xludf.DUMMYFUNCTION("""COMPUTED_VALUE"""),"High")</f>
        <v>High</v>
      </c>
      <c r="P898" s="5" t="str">
        <f ca="1">IFERROR(__xludf.DUMMYFUNCTION("""COMPUTED_VALUE"""),"Hallway")</f>
        <v>Hallway</v>
      </c>
      <c r="Q898" s="5" t="str">
        <f ca="1">IFERROR(__xludf.DUMMYFUNCTION("""COMPUTED_VALUE"""),"Inside School Building")</f>
        <v>Inside School Building</v>
      </c>
      <c r="R898" s="5" t="str">
        <f ca="1">IFERROR(__xludf.DUMMYFUNCTION("""COMPUTED_VALUE"""),"Yes")</f>
        <v>Yes</v>
      </c>
      <c r="S898" s="5" t="str">
        <f ca="1">IFERROR(__xludf.DUMMYFUNCTION("""COMPUTED_VALUE"""),"Lunch")</f>
        <v>Lunch</v>
      </c>
      <c r="T898" s="10">
        <f ca="1">IFERROR(__xludf.DUMMYFUNCTION("""COMPUTED_VALUE"""),0.5)</f>
        <v>0.5</v>
      </c>
      <c r="U898" s="5">
        <f ca="1">IFERROR(__xludf.DUMMYFUNCTION("""COMPUTED_VALUE"""),1)</f>
        <v>1</v>
      </c>
      <c r="V898" s="5" t="str">
        <f ca="1">IFERROR(__xludf.DUMMYFUNCTION("""COMPUTED_VALUE"""),"Shots fired during fight in school hallway")</f>
        <v>Shots fired during fight in school hallway</v>
      </c>
      <c r="W898"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X898" s="5" t="str">
        <f ca="1">IFERROR(__xludf.DUMMYFUNCTION("""COMPUTED_VALUE"""),"Escalation of Dispute")</f>
        <v>Escalation of Dispute</v>
      </c>
      <c r="Y898" s="5" t="str">
        <f ca="1">IFERROR(__xludf.DUMMYFUNCTION("""COMPUTED_VALUE"""),"Victims Targeted")</f>
        <v>Victims Targeted</v>
      </c>
      <c r="Z898" s="5" t="str">
        <f ca="1">IFERROR(__xludf.DUMMYFUNCTION("""COMPUTED_VALUE"""),"No")</f>
        <v>No</v>
      </c>
      <c r="AA898" s="5"/>
      <c r="AB898" s="5" t="str">
        <f ca="1">IFERROR(__xludf.DUMMYFUNCTION("""COMPUTED_VALUE"""),"No")</f>
        <v>No</v>
      </c>
      <c r="AC898" s="5" t="str">
        <f ca="1">IFERROR(__xludf.DUMMYFUNCTION("""COMPUTED_VALUE"""),"No")</f>
        <v>No</v>
      </c>
      <c r="AD898" s="5" t="str">
        <f ca="1">IFERROR(__xludf.DUMMYFUNCTION("""COMPUTED_VALUE"""),"No")</f>
        <v>No</v>
      </c>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row>
    <row r="899" spans="1:34" ht="12.75">
      <c r="A899" s="5" t="str">
        <f ca="1">IFERROR(__xludf.DUMMYFUNCTION("""COMPUTED_VALUE"""),"20160122INLAI")</f>
        <v>20160122INLAI</v>
      </c>
      <c r="B899" s="8">
        <f ca="1">IFERROR(__xludf.DUMMYFUNCTION("""COMPUTED_VALUE"""),42391)</f>
        <v>42391</v>
      </c>
      <c r="C899" s="5" t="str">
        <f ca="1">IFERROR(__xludf.DUMMYFUNCTION("""COMPUTED_VALUE"""),"Lawrence Central High School")</f>
        <v>Lawrence Central High School</v>
      </c>
      <c r="D899" s="5">
        <f ca="1">IFERROR(__xludf.DUMMYFUNCTION("""COMPUTED_VALUE"""),0)</f>
        <v>0</v>
      </c>
      <c r="E899" s="5">
        <f ca="1">IFERROR(__xludf.DUMMYFUNCTION("""COMPUTED_VALUE"""),1)</f>
        <v>1</v>
      </c>
      <c r="F899" s="5">
        <f ca="1">IFERROR(__xludf.DUMMYFUNCTION("""COMPUTED_VALUE"""),1)</f>
        <v>1</v>
      </c>
      <c r="G899" s="5">
        <f ca="1">IFERROR(__xludf.DUMMYFUNCTION("""COMPUTED_VALUE"""),0)</f>
        <v>0</v>
      </c>
      <c r="H899" s="9" t="str">
        <f ca="1">IFERROR(__xludf.DUMMYFUNCTION("""COMPUTED_VALUE"""),"https://www.indystar.com/story/news/crime/2016/01/25/teen-charged-shooting-lawrence-central-high-school/79319130/")</f>
        <v>https://www.indystar.com/story/news/crime/2016/01/25/teen-charged-shooting-lawrence-central-high-school/79319130/</v>
      </c>
      <c r="I899" s="5">
        <f ca="1">IFERROR(__xludf.DUMMYFUNCTION("""COMPUTED_VALUE"""),5)</f>
        <v>5</v>
      </c>
      <c r="J899" s="5" t="str">
        <f ca="1">IFERROR(__xludf.DUMMYFUNCTION("""COMPUTED_VALUE"""),"Local")</f>
        <v>Local</v>
      </c>
      <c r="K899" s="5">
        <f ca="1">IFERROR(__xludf.DUMMYFUNCTION("""COMPUTED_VALUE"""),2)</f>
        <v>2</v>
      </c>
      <c r="L899" s="5" t="str">
        <f ca="1">IFERROR(__xludf.DUMMYFUNCTION("""COMPUTED_VALUE"""),"Winter")</f>
        <v>Winter</v>
      </c>
      <c r="M899" s="5" t="str">
        <f ca="1">IFERROR(__xludf.DUMMYFUNCTION("""COMPUTED_VALUE"""),"Indianapolis")</f>
        <v>Indianapolis</v>
      </c>
      <c r="N899" s="5" t="str">
        <f ca="1">IFERROR(__xludf.DUMMYFUNCTION("""COMPUTED_VALUE"""),"IN")</f>
        <v>IN</v>
      </c>
      <c r="O899" s="5" t="str">
        <f ca="1">IFERROR(__xludf.DUMMYFUNCTION("""COMPUTED_VALUE"""),"High")</f>
        <v>High</v>
      </c>
      <c r="P899" s="5" t="str">
        <f ca="1">IFERROR(__xludf.DUMMYFUNCTION("""COMPUTED_VALUE"""),"Beside Building")</f>
        <v>Beside Building</v>
      </c>
      <c r="Q899" s="5" t="str">
        <f ca="1">IFERROR(__xludf.DUMMYFUNCTION("""COMPUTED_VALUE"""),"Outside on School Property")</f>
        <v>Outside on School Property</v>
      </c>
      <c r="R899" s="5" t="str">
        <f ca="1">IFERROR(__xludf.DUMMYFUNCTION("""COMPUTED_VALUE"""),"No")</f>
        <v>No</v>
      </c>
      <c r="S899" s="5" t="str">
        <f ca="1">IFERROR(__xludf.DUMMYFUNCTION("""COMPUTED_VALUE"""),"Sport Event")</f>
        <v>Sport Event</v>
      </c>
      <c r="T899" s="10">
        <f ca="1">IFERROR(__xludf.DUMMYFUNCTION("""COMPUTED_VALUE"""),0.895833333333333)</f>
        <v>0.89583333333333304</v>
      </c>
      <c r="U899" s="5">
        <f ca="1">IFERROR(__xludf.DUMMYFUNCTION("""COMPUTED_VALUE"""),1)</f>
        <v>1</v>
      </c>
      <c r="V899" s="5" t="str">
        <f ca="1">IFERROR(__xludf.DUMMYFUNCTION("""COMPUTED_VALUE"""),"Shots during fight at basketball game")</f>
        <v>Shots during fight at basketball game</v>
      </c>
      <c r="W899"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X899" s="5" t="str">
        <f ca="1">IFERROR(__xludf.DUMMYFUNCTION("""COMPUTED_VALUE"""),"Escalation of Dispute")</f>
        <v>Escalation of Dispute</v>
      </c>
      <c r="Y899" s="5" t="str">
        <f ca="1">IFERROR(__xludf.DUMMYFUNCTION("""COMPUTED_VALUE"""),"Victims Targeted")</f>
        <v>Victims Targeted</v>
      </c>
      <c r="Z899" s="5"/>
      <c r="AA899" s="5"/>
      <c r="AB899" s="5" t="str">
        <f ca="1">IFERROR(__xludf.DUMMYFUNCTION("""COMPUTED_VALUE"""),"No")</f>
        <v>No</v>
      </c>
      <c r="AC899" s="5" t="str">
        <f ca="1">IFERROR(__xludf.DUMMYFUNCTION("""COMPUTED_VALUE"""),"No")</f>
        <v>No</v>
      </c>
      <c r="AD899" s="5" t="str">
        <f ca="1">IFERROR(__xludf.DUMMYFUNCTION("""COMPUTED_VALUE"""),"No")</f>
        <v>No</v>
      </c>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IFERROR(__xludf.DUMMYFUNCTION("""COMPUTED_VALUE"""),"No")</f>
        <v>No</v>
      </c>
    </row>
    <row r="900" spans="1:34" ht="12.75">
      <c r="A900" s="5" t="str">
        <f ca="1">IFERROR(__xludf.DUMMYFUNCTION("""COMPUTED_VALUE"""),"20160120INNOI")</f>
        <v>20160120INNOI</v>
      </c>
      <c r="B900" s="8">
        <f ca="1">IFERROR(__xludf.DUMMYFUNCTION("""COMPUTED_VALUE"""),42389)</f>
        <v>42389</v>
      </c>
      <c r="C900" s="5" t="str">
        <f ca="1">IFERROR(__xludf.DUMMYFUNCTION("""COMPUTED_VALUE"""),"Northwestern Community High School")</f>
        <v>Northwestern Community High School</v>
      </c>
      <c r="D900" s="5">
        <f ca="1">IFERROR(__xludf.DUMMYFUNCTION("""COMPUTED_VALUE"""),0)</f>
        <v>0</v>
      </c>
      <c r="E900" s="5">
        <f ca="1">IFERROR(__xludf.DUMMYFUNCTION("""COMPUTED_VALUE"""),0)</f>
        <v>0</v>
      </c>
      <c r="F900" s="5">
        <f ca="1">IFERROR(__xludf.DUMMYFUNCTION("""COMPUTED_VALUE"""),0)</f>
        <v>0</v>
      </c>
      <c r="G900" s="5">
        <f ca="1">IFERROR(__xludf.DUMMYFUNCTION("""COMPUTED_VALUE"""),0)</f>
        <v>0</v>
      </c>
      <c r="H900" s="9" t="str">
        <f ca="1">IFERROR(__xludf.DUMMYFUNCTION("""COMPUTED_VALUE"""),"https://www.theindychannel.com/news/local-news/gun-goes-off-outside-northwest-community-hs")</f>
        <v>https://www.theindychannel.com/news/local-news/gun-goes-off-outside-northwest-community-hs</v>
      </c>
      <c r="I900" s="5"/>
      <c r="J900" s="5"/>
      <c r="K900" s="5">
        <f ca="1">IFERROR(__xludf.DUMMYFUNCTION("""COMPUTED_VALUE"""),2)</f>
        <v>2</v>
      </c>
      <c r="L900" s="5" t="str">
        <f ca="1">IFERROR(__xludf.DUMMYFUNCTION("""COMPUTED_VALUE"""),"Winter")</f>
        <v>Winter</v>
      </c>
      <c r="M900" s="5" t="str">
        <f ca="1">IFERROR(__xludf.DUMMYFUNCTION("""COMPUTED_VALUE"""),"Indianapolis")</f>
        <v>Indianapolis</v>
      </c>
      <c r="N900" s="5" t="str">
        <f ca="1">IFERROR(__xludf.DUMMYFUNCTION("""COMPUTED_VALUE"""),"IN")</f>
        <v>IN</v>
      </c>
      <c r="O900" s="5" t="str">
        <f ca="1">IFERROR(__xludf.DUMMYFUNCTION("""COMPUTED_VALUE"""),"High")</f>
        <v>High</v>
      </c>
      <c r="P900" s="5" t="str">
        <f ca="1">IFERROR(__xludf.DUMMYFUNCTION("""COMPUTED_VALUE"""),"Parking Lot")</f>
        <v>Parking Lot</v>
      </c>
      <c r="Q900" s="5" t="str">
        <f ca="1">IFERROR(__xludf.DUMMYFUNCTION("""COMPUTED_VALUE"""),"Outside on School Property")</f>
        <v>Outside on School Property</v>
      </c>
      <c r="R900" s="5" t="str">
        <f ca="1">IFERROR(__xludf.DUMMYFUNCTION("""COMPUTED_VALUE"""),"Yes")</f>
        <v>Yes</v>
      </c>
      <c r="S900" s="5" t="str">
        <f ca="1">IFERROR(__xludf.DUMMYFUNCTION("""COMPUTED_VALUE"""),"Before School")</f>
        <v>Before School</v>
      </c>
      <c r="T900" s="5"/>
      <c r="U900" s="5">
        <f ca="1">IFERROR(__xludf.DUMMYFUNCTION("""COMPUTED_VALUE"""),1)</f>
        <v>1</v>
      </c>
      <c r="V900" s="5" t="str">
        <f ca="1">IFERROR(__xludf.DUMMYFUNCTION("""COMPUTED_VALUE"""),"Accidental discharge of gun in car")</f>
        <v>Accidental discharge of gun in car</v>
      </c>
      <c r="W900"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X900" s="5" t="str">
        <f ca="1">IFERROR(__xludf.DUMMYFUNCTION("""COMPUTED_VALUE"""),"Accidental")</f>
        <v>Accidental</v>
      </c>
      <c r="Y900" s="5" t="str">
        <f ca="1">IFERROR(__xludf.DUMMYFUNCTION("""COMPUTED_VALUE"""),"NA")</f>
        <v>NA</v>
      </c>
      <c r="Z900" s="5" t="str">
        <f ca="1">IFERROR(__xludf.DUMMYFUNCTION("""COMPUTED_VALUE"""),"No")</f>
        <v>No</v>
      </c>
      <c r="AA900" s="5"/>
      <c r="AB900" s="5" t="str">
        <f ca="1">IFERROR(__xludf.DUMMYFUNCTION("""COMPUTED_VALUE"""),"No")</f>
        <v>No</v>
      </c>
      <c r="AC900" s="5" t="str">
        <f ca="1">IFERROR(__xludf.DUMMYFUNCTION("""COMPUTED_VALUE"""),"No")</f>
        <v>No</v>
      </c>
      <c r="AD900" s="5" t="str">
        <f ca="1">IFERROR(__xludf.DUMMYFUNCTION("""COMPUTED_VALUE"""),"No")</f>
        <v>No</v>
      </c>
      <c r="AE900" s="5" t="str">
        <f ca="1">IFERROR(__xludf.DUMMYFUNCTION("""COMPUTED_VALUE"""),"N/A")</f>
        <v>N/A</v>
      </c>
      <c r="AF900" s="5" t="str">
        <f ca="1">IFERROR(__xludf.DUMMYFUNCTION("""COMPUTED_VALUE"""),"N/A")</f>
        <v>N/A</v>
      </c>
      <c r="AG900" s="5" t="str">
        <f ca="1">IFERROR(__xludf.DUMMYFUNCTION("""COMPUTED_VALUE"""),"No")</f>
        <v>No</v>
      </c>
      <c r="AH900" s="5" t="str">
        <f ca="1">IFERROR(__xludf.DUMMYFUNCTION("""COMPUTED_VALUE"""),"No")</f>
        <v>No</v>
      </c>
    </row>
    <row r="901" spans="1:34" ht="12.75">
      <c r="A901" s="5" t="str">
        <f ca="1">IFERROR(__xludf.DUMMYFUNCTION("""COMPUTED_VALUE"""),"20160113ARHAB")</f>
        <v>20160113ARHAB</v>
      </c>
      <c r="B901" s="8">
        <f ca="1">IFERROR(__xludf.DUMMYFUNCTION("""COMPUTED_VALUE"""),42382)</f>
        <v>42382</v>
      </c>
      <c r="C901" s="5" t="str">
        <f ca="1">IFERROR(__xludf.DUMMYFUNCTION("""COMPUTED_VALUE"""),"Harmony Grove High School")</f>
        <v>Harmony Grove High School</v>
      </c>
      <c r="D901" s="5">
        <f ca="1">IFERROR(__xludf.DUMMYFUNCTION("""COMPUTED_VALUE"""),0)</f>
        <v>0</v>
      </c>
      <c r="E901" s="5">
        <f ca="1">IFERROR(__xludf.DUMMYFUNCTION("""COMPUTED_VALUE"""),1)</f>
        <v>1</v>
      </c>
      <c r="F901" s="5">
        <f ca="1">IFERROR(__xludf.DUMMYFUNCTION("""COMPUTED_VALUE"""),1)</f>
        <v>1</v>
      </c>
      <c r="G901" s="5">
        <f ca="1">IFERROR(__xludf.DUMMYFUNCTION("""COMPUTED_VALUE"""),0)</f>
        <v>0</v>
      </c>
      <c r="H901" s="9" t="str">
        <f ca="1">IFERROR(__xludf.DUMMYFUNCTION("""COMPUTED_VALUE"""),"http://www.arkansasonline.com/news/2016/jan/14/student-accidentally-shot-outside-high-school-ouac/")</f>
        <v>http://www.arkansasonline.com/news/2016/jan/14/student-accidentally-shot-outside-high-school-ouac/</v>
      </c>
      <c r="I901" s="5">
        <f ca="1">IFERROR(__xludf.DUMMYFUNCTION("""COMPUTED_VALUE"""),1)</f>
        <v>1</v>
      </c>
      <c r="J901" s="5" t="str">
        <f ca="1">IFERROR(__xludf.DUMMYFUNCTION("""COMPUTED_VALUE"""),"Local")</f>
        <v>Local</v>
      </c>
      <c r="K901" s="5">
        <f ca="1">IFERROR(__xludf.DUMMYFUNCTION("""COMPUTED_VALUE"""),2)</f>
        <v>2</v>
      </c>
      <c r="L901" s="5" t="str">
        <f ca="1">IFERROR(__xludf.DUMMYFUNCTION("""COMPUTED_VALUE"""),"Winter")</f>
        <v>Winter</v>
      </c>
      <c r="M901" s="5" t="str">
        <f ca="1">IFERROR(__xludf.DUMMYFUNCTION("""COMPUTED_VALUE"""),"Benton")</f>
        <v>Benton</v>
      </c>
      <c r="N901" s="5" t="str">
        <f ca="1">IFERROR(__xludf.DUMMYFUNCTION("""COMPUTED_VALUE"""),"AR")</f>
        <v>AR</v>
      </c>
      <c r="O901" s="5" t="str">
        <f ca="1">IFERROR(__xludf.DUMMYFUNCTION("""COMPUTED_VALUE"""),"High")</f>
        <v>High</v>
      </c>
      <c r="P901" s="5" t="str">
        <f ca="1">IFERROR(__xludf.DUMMYFUNCTION("""COMPUTED_VALUE"""),"Parking Lot")</f>
        <v>Parking Lot</v>
      </c>
      <c r="Q901" s="5" t="str">
        <f ca="1">IFERROR(__xludf.DUMMYFUNCTION("""COMPUTED_VALUE"""),"Outside on School Property")</f>
        <v>Outside on School Property</v>
      </c>
      <c r="R901" s="5" t="str">
        <f ca="1">IFERROR(__xludf.DUMMYFUNCTION("""COMPUTED_VALUE"""),"No")</f>
        <v>No</v>
      </c>
      <c r="S901" s="5" t="str">
        <f ca="1">IFERROR(__xludf.DUMMYFUNCTION("""COMPUTED_VALUE"""),"After School")</f>
        <v>After School</v>
      </c>
      <c r="T901" s="10">
        <f ca="1">IFERROR(__xludf.DUMMYFUNCTION("""COMPUTED_VALUE"""),0.625)</f>
        <v>0.625</v>
      </c>
      <c r="U901" s="5">
        <f ca="1">IFERROR(__xludf.DUMMYFUNCTION("""COMPUTED_VALUE"""),1)</f>
        <v>1</v>
      </c>
      <c r="V901" s="5" t="str">
        <f ca="1">IFERROR(__xludf.DUMMYFUNCTION("""COMPUTED_VALUE"""),"Accidental discharge in parking lot")</f>
        <v>Accidental discharge in parking lot</v>
      </c>
      <c r="W901"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X901" s="5" t="str">
        <f ca="1">IFERROR(__xludf.DUMMYFUNCTION("""COMPUTED_VALUE"""),"Accidental")</f>
        <v>Accidental</v>
      </c>
      <c r="Y901" s="5" t="str">
        <f ca="1">IFERROR(__xludf.DUMMYFUNCTION("""COMPUTED_VALUE"""),"Random Shooting")</f>
        <v>Random Shooting</v>
      </c>
      <c r="Z901" s="5" t="str">
        <f ca="1">IFERROR(__xludf.DUMMYFUNCTION("""COMPUTED_VALUE"""),"No")</f>
        <v>No</v>
      </c>
      <c r="AA901" s="5"/>
      <c r="AB901" s="5" t="str">
        <f ca="1">IFERROR(__xludf.DUMMYFUNCTION("""COMPUTED_VALUE"""),"No")</f>
        <v>No</v>
      </c>
      <c r="AC901" s="5" t="str">
        <f ca="1">IFERROR(__xludf.DUMMYFUNCTION("""COMPUTED_VALUE"""),"No")</f>
        <v>No</v>
      </c>
      <c r="AD901" s="5" t="str">
        <f ca="1">IFERROR(__xludf.DUMMYFUNCTION("""COMPUTED_VALUE"""),"No")</f>
        <v>No</v>
      </c>
      <c r="AE901" s="5" t="str">
        <f ca="1">IFERROR(__xludf.DUMMYFUNCTION("""COMPUTED_VALUE"""),"No")</f>
        <v>No</v>
      </c>
      <c r="AF901" s="5" t="str">
        <f ca="1">IFERROR(__xludf.DUMMYFUNCTION("""COMPUTED_VALUE"""),"No")</f>
        <v>No</v>
      </c>
      <c r="AG901" s="5" t="str">
        <f ca="1">IFERROR(__xludf.DUMMYFUNCTION("""COMPUTED_VALUE"""),"No")</f>
        <v>No</v>
      </c>
      <c r="AH901" s="5" t="str">
        <f ca="1">IFERROR(__xludf.DUMMYFUNCTION("""COMPUTED_VALUE"""),"No")</f>
        <v>No</v>
      </c>
    </row>
    <row r="902" spans="1:34" ht="12.75">
      <c r="A902" s="5" t="str">
        <f ca="1">IFERROR(__xludf.DUMMYFUNCTION("""COMPUTED_VALUE"""),"20160112DECED")</f>
        <v>20160112DECED</v>
      </c>
      <c r="B902" s="8">
        <f ca="1">IFERROR(__xludf.DUMMYFUNCTION("""COMPUTED_VALUE"""),42381)</f>
        <v>42381</v>
      </c>
      <c r="C902" s="5" t="str">
        <f ca="1">IFERROR(__xludf.DUMMYFUNCTION("""COMPUTED_VALUE"""),"Central Middle School")</f>
        <v>Central Middle School</v>
      </c>
      <c r="D902" s="5">
        <f ca="1">IFERROR(__xludf.DUMMYFUNCTION("""COMPUTED_VALUE"""),0)</f>
        <v>0</v>
      </c>
      <c r="E902" s="5">
        <f ca="1">IFERROR(__xludf.DUMMYFUNCTION("""COMPUTED_VALUE"""),0)</f>
        <v>0</v>
      </c>
      <c r="F902" s="5">
        <f ca="1">IFERROR(__xludf.DUMMYFUNCTION("""COMPUTED_VALUE"""),0)</f>
        <v>0</v>
      </c>
      <c r="G902" s="5">
        <f ca="1">IFERROR(__xludf.DUMMYFUNCTION("""COMPUTED_VALUE"""),0)</f>
        <v>0</v>
      </c>
      <c r="H902" s="9" t="str">
        <f ca="1">IFERROR(__xludf.DUMMYFUNCTION("""COMPUTED_VALUE"""),"http://www.doverpost.com/news/20160112/update-students-arrested-after-shot-fired-at-central-middle-school")</f>
        <v>http://www.doverpost.com/news/20160112/update-students-arrested-after-shot-fired-at-central-middle-school</v>
      </c>
      <c r="I902" s="5">
        <f ca="1">IFERROR(__xludf.DUMMYFUNCTION("""COMPUTED_VALUE"""),1)</f>
        <v>1</v>
      </c>
      <c r="J902" s="5" t="str">
        <f ca="1">IFERROR(__xludf.DUMMYFUNCTION("""COMPUTED_VALUE"""),"Local")</f>
        <v>Local</v>
      </c>
      <c r="K902" s="5">
        <f ca="1">IFERROR(__xludf.DUMMYFUNCTION("""COMPUTED_VALUE"""),2)</f>
        <v>2</v>
      </c>
      <c r="L902" s="5" t="str">
        <f ca="1">IFERROR(__xludf.DUMMYFUNCTION("""COMPUTED_VALUE"""),"Winter")</f>
        <v>Winter</v>
      </c>
      <c r="M902" s="5" t="str">
        <f ca="1">IFERROR(__xludf.DUMMYFUNCTION("""COMPUTED_VALUE"""),"Dover")</f>
        <v>Dover</v>
      </c>
      <c r="N902" s="5" t="str">
        <f ca="1">IFERROR(__xludf.DUMMYFUNCTION("""COMPUTED_VALUE"""),"DE")</f>
        <v>DE</v>
      </c>
      <c r="O902" s="5" t="str">
        <f ca="1">IFERROR(__xludf.DUMMYFUNCTION("""COMPUTED_VALUE"""),"Middle")</f>
        <v>Middle</v>
      </c>
      <c r="P902" s="5" t="str">
        <f ca="1">IFERROR(__xludf.DUMMYFUNCTION("""COMPUTED_VALUE"""),"Bathroom")</f>
        <v>Bathroom</v>
      </c>
      <c r="Q902" s="5" t="str">
        <f ca="1">IFERROR(__xludf.DUMMYFUNCTION("""COMPUTED_VALUE"""),"Inside School Building")</f>
        <v>Inside School Building</v>
      </c>
      <c r="R902" s="5" t="str">
        <f ca="1">IFERROR(__xludf.DUMMYFUNCTION("""COMPUTED_VALUE"""),"Yes")</f>
        <v>Yes</v>
      </c>
      <c r="S902" s="5" t="str">
        <f ca="1">IFERROR(__xludf.DUMMYFUNCTION("""COMPUTED_VALUE"""),"Lunch")</f>
        <v>Lunch</v>
      </c>
      <c r="T902" s="10">
        <f ca="1">IFERROR(__xludf.DUMMYFUNCTION("""COMPUTED_VALUE"""),0.510416666666666)</f>
        <v>0.51041666666666596</v>
      </c>
      <c r="U902" s="5">
        <f ca="1">IFERROR(__xludf.DUMMYFUNCTION("""COMPUTED_VALUE"""),1)</f>
        <v>1</v>
      </c>
      <c r="V902" s="5" t="str">
        <f ca="1">IFERROR(__xludf.DUMMYFUNCTION("""COMPUTED_VALUE"""),"Accidental discharge in bathroom")</f>
        <v>Accidental discharge in bathroom</v>
      </c>
      <c r="W902"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X902" s="5" t="str">
        <f ca="1">IFERROR(__xludf.DUMMYFUNCTION("""COMPUTED_VALUE"""),"Accidental")</f>
        <v>Accidental</v>
      </c>
      <c r="Y902" s="5" t="str">
        <f ca="1">IFERROR(__xludf.DUMMYFUNCTION("""COMPUTED_VALUE"""),"Neither")</f>
        <v>Neither</v>
      </c>
      <c r="Z902" s="5"/>
      <c r="AA902" s="5"/>
      <c r="AB902" s="5" t="str">
        <f ca="1">IFERROR(__xludf.DUMMYFUNCTION("""COMPUTED_VALUE"""),"No")</f>
        <v>No</v>
      </c>
      <c r="AC902" s="5" t="str">
        <f ca="1">IFERROR(__xludf.DUMMYFUNCTION("""COMPUTED_VALUE"""),"No")</f>
        <v>No</v>
      </c>
      <c r="AD902" s="5" t="str">
        <f ca="1">IFERROR(__xludf.DUMMYFUNCTION("""COMPUTED_VALUE"""),"No")</f>
        <v>No</v>
      </c>
      <c r="AE902" s="5" t="str">
        <f ca="1">IFERROR(__xludf.DUMMYFUNCTION("""COMPUTED_VALUE"""),"No")</f>
        <v>No</v>
      </c>
      <c r="AF902" s="5" t="str">
        <f ca="1">IFERROR(__xludf.DUMMYFUNCTION("""COMPUTED_VALUE"""),"No")</f>
        <v>No</v>
      </c>
      <c r="AG902" s="5" t="str">
        <f ca="1">IFERROR(__xludf.DUMMYFUNCTION("""COMPUTED_VALUE"""),"No")</f>
        <v>No</v>
      </c>
      <c r="AH902" s="5" t="str">
        <f ca="1">IFERROR(__xludf.DUMMYFUNCTION("""COMPUTED_VALUE"""),"No")</f>
        <v>No</v>
      </c>
    </row>
    <row r="903" spans="1:34" ht="12.75">
      <c r="A903" s="5" t="str">
        <f ca="1">IFERROR(__xludf.DUMMYFUNCTION("""COMPUTED_VALUE"""),"20151204KSWEW")</f>
        <v>20151204KSWEW</v>
      </c>
      <c r="B903" s="8">
        <f ca="1">IFERROR(__xludf.DUMMYFUNCTION("""COMPUTED_VALUE"""),42342)</f>
        <v>42342</v>
      </c>
      <c r="C903" s="5" t="str">
        <f ca="1">IFERROR(__xludf.DUMMYFUNCTION("""COMPUTED_VALUE"""),"West High School")</f>
        <v>West High School</v>
      </c>
      <c r="D903" s="5">
        <f ca="1">IFERROR(__xludf.DUMMYFUNCTION("""COMPUTED_VALUE"""),0)</f>
        <v>0</v>
      </c>
      <c r="E903" s="5">
        <f ca="1">IFERROR(__xludf.DUMMYFUNCTION("""COMPUTED_VALUE"""),1)</f>
        <v>1</v>
      </c>
      <c r="F903" s="5">
        <f ca="1">IFERROR(__xludf.DUMMYFUNCTION("""COMPUTED_VALUE"""),1)</f>
        <v>1</v>
      </c>
      <c r="G903" s="5">
        <f ca="1">IFERROR(__xludf.DUMMYFUNCTION("""COMPUTED_VALUE"""),0)</f>
        <v>0</v>
      </c>
      <c r="H903"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I903" s="5"/>
      <c r="J903" s="5"/>
      <c r="K903" s="5">
        <f ca="1">IFERROR(__xludf.DUMMYFUNCTION("""COMPUTED_VALUE"""),4)</f>
        <v>4</v>
      </c>
      <c r="L903" s="5" t="str">
        <f ca="1">IFERROR(__xludf.DUMMYFUNCTION("""COMPUTED_VALUE"""),"Winter")</f>
        <v>Winter</v>
      </c>
      <c r="M903" s="5" t="str">
        <f ca="1">IFERROR(__xludf.DUMMYFUNCTION("""COMPUTED_VALUE"""),"Wichita")</f>
        <v>Wichita</v>
      </c>
      <c r="N903" s="5" t="str">
        <f ca="1">IFERROR(__xludf.DUMMYFUNCTION("""COMPUTED_VALUE"""),"KS")</f>
        <v>KS</v>
      </c>
      <c r="O903" s="5" t="str">
        <f ca="1">IFERROR(__xludf.DUMMYFUNCTION("""COMPUTED_VALUE"""),"High")</f>
        <v>High</v>
      </c>
      <c r="P903" s="5" t="str">
        <f ca="1">IFERROR(__xludf.DUMMYFUNCTION("""COMPUTED_VALUE"""),"Beside Building")</f>
        <v>Beside Building</v>
      </c>
      <c r="Q903" s="5" t="str">
        <f ca="1">IFERROR(__xludf.DUMMYFUNCTION("""COMPUTED_VALUE"""),"Outside on School Property")</f>
        <v>Outside on School Property</v>
      </c>
      <c r="R903" s="5" t="str">
        <f ca="1">IFERROR(__xludf.DUMMYFUNCTION("""COMPUTED_VALUE"""),"No")</f>
        <v>No</v>
      </c>
      <c r="S903" s="5" t="str">
        <f ca="1">IFERROR(__xludf.DUMMYFUNCTION("""COMPUTED_VALUE"""),"Sport Event")</f>
        <v>Sport Event</v>
      </c>
      <c r="T903" s="10">
        <f ca="1">IFERROR(__xludf.DUMMYFUNCTION("""COMPUTED_VALUE"""),0.770833333333333)</f>
        <v>0.77083333333333304</v>
      </c>
      <c r="U903" s="5">
        <f ca="1">IFERROR(__xludf.DUMMYFUNCTION("""COMPUTED_VALUE"""),1)</f>
        <v>1</v>
      </c>
      <c r="V903" s="5" t="str">
        <f ca="1">IFERROR(__xludf.DUMMYFUNCTION("""COMPUTED_VALUE"""),"17YOM student with gun attempted to flee into school was shot by police")</f>
        <v>17YOM student with gun attempted to flee into school was shot by police</v>
      </c>
      <c r="W903"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X903" s="5" t="str">
        <f ca="1">IFERROR(__xludf.DUMMYFUNCTION("""COMPUTED_VALUE"""),"Illegal Activity")</f>
        <v>Illegal Activity</v>
      </c>
      <c r="Y903" s="5"/>
      <c r="Z903" s="5" t="str">
        <f ca="1">IFERROR(__xludf.DUMMYFUNCTION("""COMPUTED_VALUE"""),"No")</f>
        <v>No</v>
      </c>
      <c r="AA903" s="5"/>
      <c r="AB903" s="5" t="str">
        <f ca="1">IFERROR(__xludf.DUMMYFUNCTION("""COMPUTED_VALUE"""),"No")</f>
        <v>No</v>
      </c>
      <c r="AC903" s="5" t="str">
        <f ca="1">IFERROR(__xludf.DUMMYFUNCTION("""COMPUTED_VALUE"""),"No")</f>
        <v>No</v>
      </c>
      <c r="AD903" s="5" t="str">
        <f ca="1">IFERROR(__xludf.DUMMYFUNCTION("""COMPUTED_VALUE"""),"Yes")</f>
        <v>Yes</v>
      </c>
      <c r="AE903" s="5" t="str">
        <f ca="1">IFERROR(__xludf.DUMMYFUNCTION("""COMPUTED_VALUE"""),"No")</f>
        <v>No</v>
      </c>
      <c r="AF903" s="5" t="str">
        <f ca="1">IFERROR(__xludf.DUMMYFUNCTION("""COMPUTED_VALUE"""),"No")</f>
        <v>No</v>
      </c>
      <c r="AG903" s="5"/>
      <c r="AH903" s="5" t="str">
        <f ca="1">IFERROR(__xludf.DUMMYFUNCTION("""COMPUTED_VALUE"""),"No")</f>
        <v>No</v>
      </c>
    </row>
    <row r="904" spans="1:34" ht="12.75">
      <c r="A904" s="5" t="str">
        <f ca="1">IFERROR(__xludf.DUMMYFUNCTION("""COMPUTED_VALUE"""),"20151120FLNAM")</f>
        <v>20151120FLNAM</v>
      </c>
      <c r="B904" s="8">
        <f ca="1">IFERROR(__xludf.DUMMYFUNCTION("""COMPUTED_VALUE"""),42328)</f>
        <v>42328</v>
      </c>
      <c r="C904" s="5" t="str">
        <f ca="1">IFERROR(__xludf.DUMMYFUNCTION("""COMPUTED_VALUE"""),"Nathaniel “Traz” Powell Stadium (high school game)")</f>
        <v>Nathaniel “Traz” Powell Stadium (high school game)</v>
      </c>
      <c r="D904" s="5">
        <f ca="1">IFERROR(__xludf.DUMMYFUNCTION("""COMPUTED_VALUE"""),0)</f>
        <v>0</v>
      </c>
      <c r="E904" s="5">
        <f ca="1">IFERROR(__xludf.DUMMYFUNCTION("""COMPUTED_VALUE"""),0)</f>
        <v>0</v>
      </c>
      <c r="F904" s="5">
        <f ca="1">IFERROR(__xludf.DUMMYFUNCTION("""COMPUTED_VALUE"""),0)</f>
        <v>0</v>
      </c>
      <c r="G904" s="5">
        <f ca="1">IFERROR(__xludf.DUMMYFUNCTION("""COMPUTED_VALUE"""),0)</f>
        <v>0</v>
      </c>
      <c r="H904" s="9" t="str">
        <f ca="1">IFERROR(__xludf.DUMMYFUNCTION("""COMPUTED_VALUE"""),"https://www.miamiherald.com/news/local/community/miami-dade/article45747750.html")</f>
        <v>https://www.miamiherald.com/news/local/community/miami-dade/article45747750.html</v>
      </c>
      <c r="I904" s="5"/>
      <c r="J904" s="5"/>
      <c r="K904" s="5">
        <f ca="1">IFERROR(__xludf.DUMMYFUNCTION("""COMPUTED_VALUE"""),3)</f>
        <v>3</v>
      </c>
      <c r="L904" s="5" t="str">
        <f ca="1">IFERROR(__xludf.DUMMYFUNCTION("""COMPUTED_VALUE"""),"Fall")</f>
        <v>Fall</v>
      </c>
      <c r="M904" s="5" t="str">
        <f ca="1">IFERROR(__xludf.DUMMYFUNCTION("""COMPUTED_VALUE"""),"Miami")</f>
        <v>Miami</v>
      </c>
      <c r="N904" s="5" t="str">
        <f ca="1">IFERROR(__xludf.DUMMYFUNCTION("""COMPUTED_VALUE"""),"FL")</f>
        <v>FL</v>
      </c>
      <c r="O904" s="5" t="str">
        <f ca="1">IFERROR(__xludf.DUMMYFUNCTION("""COMPUTED_VALUE"""),"High")</f>
        <v>High</v>
      </c>
      <c r="P904" s="5" t="str">
        <f ca="1">IFERROR(__xludf.DUMMYFUNCTION("""COMPUTED_VALUE"""),"Football Field/Track")</f>
        <v>Football Field/Track</v>
      </c>
      <c r="Q904" s="5" t="str">
        <f ca="1">IFERROR(__xludf.DUMMYFUNCTION("""COMPUTED_VALUE"""),"Outside on School Property")</f>
        <v>Outside on School Property</v>
      </c>
      <c r="R904" s="5" t="str">
        <f ca="1">IFERROR(__xludf.DUMMYFUNCTION("""COMPUTED_VALUE"""),"No")</f>
        <v>No</v>
      </c>
      <c r="S904" s="5" t="str">
        <f ca="1">IFERROR(__xludf.DUMMYFUNCTION("""COMPUTED_VALUE"""),"Sport Event")</f>
        <v>Sport Event</v>
      </c>
      <c r="T904" s="10">
        <f ca="1">IFERROR(__xludf.DUMMYFUNCTION("""COMPUTED_VALUE"""),0.885416666666666)</f>
        <v>0.88541666666666596</v>
      </c>
      <c r="U904" s="5">
        <f ca="1">IFERROR(__xludf.DUMMYFUNCTION("""COMPUTED_VALUE"""),1)</f>
        <v>1</v>
      </c>
      <c r="V904" s="5" t="str">
        <f ca="1">IFERROR(__xludf.DUMMYFUNCTION("""COMPUTED_VALUE"""),"Shots fired in stands at end of football game")</f>
        <v>Shots fired in stands at end of football game</v>
      </c>
      <c r="W904"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X904" s="5" t="str">
        <f ca="1">IFERROR(__xludf.DUMMYFUNCTION("""COMPUTED_VALUE"""),"Escalation of Dispute")</f>
        <v>Escalation of Dispute</v>
      </c>
      <c r="Y904" s="5"/>
      <c r="Z904" s="5" t="str">
        <f ca="1">IFERROR(__xludf.DUMMYFUNCTION("""COMPUTED_VALUE"""),"Yes")</f>
        <v>Yes</v>
      </c>
      <c r="AA904" s="5" t="str">
        <f ca="1">IFERROR(__xludf.DUMMYFUNCTION("""COMPUTED_VALUE"""),"3 teens arrested")</f>
        <v>3 teens arrested</v>
      </c>
      <c r="AB904" s="5" t="str">
        <f ca="1">IFERROR(__xludf.DUMMYFUNCTION("""COMPUTED_VALUE"""),"No")</f>
        <v>No</v>
      </c>
      <c r="AC904" s="5" t="str">
        <f ca="1">IFERROR(__xludf.DUMMYFUNCTION("""COMPUTED_VALUE"""),"No")</f>
        <v>No</v>
      </c>
      <c r="AD904" s="5" t="str">
        <f ca="1">IFERROR(__xludf.DUMMYFUNCTION("""COMPUTED_VALUE"""),"No")</f>
        <v>No</v>
      </c>
      <c r="AE904" s="5" t="str">
        <f ca="1">IFERROR(__xludf.DUMMYFUNCTION("""COMPUTED_VALUE"""),"No")</f>
        <v>No</v>
      </c>
      <c r="AF904" s="5" t="str">
        <f ca="1">IFERROR(__xludf.DUMMYFUNCTION("""COMPUTED_VALUE"""),"No")</f>
        <v>No</v>
      </c>
      <c r="AG904" s="5"/>
      <c r="AH904" s="5" t="str">
        <f ca="1">IFERROR(__xludf.DUMMYFUNCTION("""COMPUTED_VALUE"""),"No")</f>
        <v>No</v>
      </c>
    </row>
    <row r="905" spans="1:34" ht="12.75">
      <c r="A905" s="5" t="str">
        <f ca="1">IFERROR(__xludf.DUMMYFUNCTION("""COMPUTED_VALUE"""),"20151111ARSUS")</f>
        <v>20151111ARSUS</v>
      </c>
      <c r="B905" s="8">
        <f ca="1">IFERROR(__xludf.DUMMYFUNCTION("""COMPUTED_VALUE"""),42319)</f>
        <v>42319</v>
      </c>
      <c r="C905" s="5" t="str">
        <f ca="1">IFERROR(__xludf.DUMMYFUNCTION("""COMPUTED_VALUE"""),"Sulphur Rock Magnet School")</f>
        <v>Sulphur Rock Magnet School</v>
      </c>
      <c r="D905" s="5">
        <f ca="1">IFERROR(__xludf.DUMMYFUNCTION("""COMPUTED_VALUE"""),0)</f>
        <v>0</v>
      </c>
      <c r="E905" s="5">
        <f ca="1">IFERROR(__xludf.DUMMYFUNCTION("""COMPUTED_VALUE"""),1)</f>
        <v>1</v>
      </c>
      <c r="F905" s="5">
        <f ca="1">IFERROR(__xludf.DUMMYFUNCTION("""COMPUTED_VALUE"""),1)</f>
        <v>1</v>
      </c>
      <c r="G905" s="5">
        <f ca="1">IFERROR(__xludf.DUMMYFUNCTION("""COMPUTED_VALUE"""),0)</f>
        <v>0</v>
      </c>
      <c r="H905" s="9" t="str">
        <f ca="1">IFERROR(__xludf.DUMMYFUNCTION("""COMPUTED_VALUE"""),"https://www.kait8.com/story/30492261/gun-goes-off-in-school-parking-lot-hitting-junior-high-student/")</f>
        <v>https://www.kait8.com/story/30492261/gun-goes-off-in-school-parking-lot-hitting-junior-high-student/</v>
      </c>
      <c r="I905" s="5"/>
      <c r="J905" s="5"/>
      <c r="K905" s="5">
        <f ca="1">IFERROR(__xludf.DUMMYFUNCTION("""COMPUTED_VALUE"""),4)</f>
        <v>4</v>
      </c>
      <c r="L905" s="5" t="str">
        <f ca="1">IFERROR(__xludf.DUMMYFUNCTION("""COMPUTED_VALUE"""),"Fall")</f>
        <v>Fall</v>
      </c>
      <c r="M905" s="5" t="str">
        <f ca="1">IFERROR(__xludf.DUMMYFUNCTION("""COMPUTED_VALUE"""),"Sulphur Rock")</f>
        <v>Sulphur Rock</v>
      </c>
      <c r="N905" s="5" t="str">
        <f ca="1">IFERROR(__xludf.DUMMYFUNCTION("""COMPUTED_VALUE"""),"AR")</f>
        <v>AR</v>
      </c>
      <c r="O905" s="5" t="str">
        <f ca="1">IFERROR(__xludf.DUMMYFUNCTION("""COMPUTED_VALUE"""),"Unknown")</f>
        <v>Unknown</v>
      </c>
      <c r="P905" s="5" t="str">
        <f ca="1">IFERROR(__xludf.DUMMYFUNCTION("""COMPUTED_VALUE"""),"Parking Lot")</f>
        <v>Parking Lot</v>
      </c>
      <c r="Q905" s="5" t="str">
        <f ca="1">IFERROR(__xludf.DUMMYFUNCTION("""COMPUTED_VALUE"""),"Outside on School Property")</f>
        <v>Outside on School Property</v>
      </c>
      <c r="R905" s="5" t="str">
        <f ca="1">IFERROR(__xludf.DUMMYFUNCTION("""COMPUTED_VALUE"""),"Yes")</f>
        <v>Yes</v>
      </c>
      <c r="S905" s="5" t="str">
        <f ca="1">IFERROR(__xludf.DUMMYFUNCTION("""COMPUTED_VALUE"""),"Dismissal")</f>
        <v>Dismissal</v>
      </c>
      <c r="T905" s="10">
        <f ca="1">IFERROR(__xludf.DUMMYFUNCTION("""COMPUTED_VALUE"""),0.645833333333333)</f>
        <v>0.64583333333333304</v>
      </c>
      <c r="U905" s="5">
        <f ca="1">IFERROR(__xludf.DUMMYFUNCTION("""COMPUTED_VALUE"""),1)</f>
        <v>1</v>
      </c>
      <c r="V905" s="5" t="str">
        <f ca="1">IFERROR(__xludf.DUMMYFUNCTION("""COMPUTED_VALUE"""),"Accidental discharge showing gun to other student in the parking lot")</f>
        <v>Accidental discharge showing gun to other student in the parking lot</v>
      </c>
      <c r="W905"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X905" s="5" t="str">
        <f ca="1">IFERROR(__xludf.DUMMYFUNCTION("""COMPUTED_VALUE"""),"Accidental")</f>
        <v>Accidental</v>
      </c>
      <c r="Y905" s="5" t="str">
        <f ca="1">IFERROR(__xludf.DUMMYFUNCTION("""COMPUTED_VALUE"""),"Random Shooting")</f>
        <v>Random Shooting</v>
      </c>
      <c r="Z905" s="5" t="str">
        <f ca="1">IFERROR(__xludf.DUMMYFUNCTION("""COMPUTED_VALUE"""),"Yes")</f>
        <v>Yes</v>
      </c>
      <c r="AA905" s="5" t="str">
        <f ca="1">IFERROR(__xludf.DUMMYFUNCTION("""COMPUTED_VALUE"""),"Showing gun to other student")</f>
        <v>Showing gun to other student</v>
      </c>
      <c r="AB905" s="5" t="str">
        <f ca="1">IFERROR(__xludf.DUMMYFUNCTION("""COMPUTED_VALUE"""),"No")</f>
        <v>No</v>
      </c>
      <c r="AC905" s="5" t="str">
        <f ca="1">IFERROR(__xludf.DUMMYFUNCTION("""COMPUTED_VALUE"""),"No")</f>
        <v>No</v>
      </c>
      <c r="AD905" s="5" t="str">
        <f ca="1">IFERROR(__xludf.DUMMYFUNCTION("""COMPUTED_VALUE"""),"No")</f>
        <v>No</v>
      </c>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row>
    <row r="906" spans="1:34" ht="12.75">
      <c r="A906" s="5" t="str">
        <f ca="1">IFERROR(__xludf.DUMMYFUNCTION("""COMPUTED_VALUE"""),"20151105GAVEM")</f>
        <v>20151105GAVEM</v>
      </c>
      <c r="B906" s="8">
        <f ca="1">IFERROR(__xludf.DUMMYFUNCTION("""COMPUTED_VALUE"""),42313)</f>
        <v>42313</v>
      </c>
      <c r="C906" s="5" t="str">
        <f ca="1">IFERROR(__xludf.DUMMYFUNCTION("""COMPUTED_VALUE"""),"Vereen School")</f>
        <v>Vereen School</v>
      </c>
      <c r="D906" s="5">
        <f ca="1">IFERROR(__xludf.DUMMYFUNCTION("""COMPUTED_VALUE"""),0)</f>
        <v>0</v>
      </c>
      <c r="E906" s="5">
        <f ca="1">IFERROR(__xludf.DUMMYFUNCTION("""COMPUTED_VALUE"""),0)</f>
        <v>0</v>
      </c>
      <c r="F906" s="5">
        <f ca="1">IFERROR(__xludf.DUMMYFUNCTION("""COMPUTED_VALUE"""),0)</f>
        <v>0</v>
      </c>
      <c r="G906" s="5">
        <f ca="1">IFERROR(__xludf.DUMMYFUNCTION("""COMPUTED_VALUE"""),0)</f>
        <v>0</v>
      </c>
      <c r="H906"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I906" s="5">
        <f ca="1">IFERROR(__xludf.DUMMYFUNCTION("""COMPUTED_VALUE"""),1)</f>
        <v>1</v>
      </c>
      <c r="J906" s="5" t="str">
        <f ca="1">IFERROR(__xludf.DUMMYFUNCTION("""COMPUTED_VALUE"""),"Local")</f>
        <v>Local</v>
      </c>
      <c r="K906" s="5">
        <f ca="1">IFERROR(__xludf.DUMMYFUNCTION("""COMPUTED_VALUE"""),2)</f>
        <v>2</v>
      </c>
      <c r="L906" s="5" t="str">
        <f ca="1">IFERROR(__xludf.DUMMYFUNCTION("""COMPUTED_VALUE"""),"Fall")</f>
        <v>Fall</v>
      </c>
      <c r="M906" s="5" t="str">
        <f ca="1">IFERROR(__xludf.DUMMYFUNCTION("""COMPUTED_VALUE"""),"Moultrie")</f>
        <v>Moultrie</v>
      </c>
      <c r="N906" s="5" t="str">
        <f ca="1">IFERROR(__xludf.DUMMYFUNCTION("""COMPUTED_VALUE"""),"GA")</f>
        <v>GA</v>
      </c>
      <c r="O906" s="5" t="str">
        <f ca="1">IFERROR(__xludf.DUMMYFUNCTION("""COMPUTED_VALUE"""),"Other")</f>
        <v>Other</v>
      </c>
      <c r="P906" s="5" t="str">
        <f ca="1">IFERROR(__xludf.DUMMYFUNCTION("""COMPUTED_VALUE"""),"Classroom")</f>
        <v>Classroom</v>
      </c>
      <c r="Q906" s="5" t="str">
        <f ca="1">IFERROR(__xludf.DUMMYFUNCTION("""COMPUTED_VALUE"""),"Inside School Building")</f>
        <v>Inside School Building</v>
      </c>
      <c r="R906" s="5" t="str">
        <f ca="1">IFERROR(__xludf.DUMMYFUNCTION("""COMPUTED_VALUE"""),"Yes")</f>
        <v>Yes</v>
      </c>
      <c r="S906" s="5"/>
      <c r="T906" s="5"/>
      <c r="U906" s="5"/>
      <c r="V906" s="5" t="str">
        <f ca="1">IFERROR(__xludf.DUMMYFUNCTION("""COMPUTED_VALUE"""),"Student fired gun in SRO holster during physical confrontation")</f>
        <v>Student fired gun in SRO holster during physical confrontation</v>
      </c>
      <c r="W906"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X906" s="5" t="str">
        <f ca="1">IFERROR(__xludf.DUMMYFUNCTION("""COMPUTED_VALUE"""),"Psychosis")</f>
        <v>Psychosis</v>
      </c>
      <c r="Y906" s="5" t="str">
        <f ca="1">IFERROR(__xludf.DUMMYFUNCTION("""COMPUTED_VALUE"""),"Neither")</f>
        <v>Neither</v>
      </c>
      <c r="Z906" s="5" t="str">
        <f ca="1">IFERROR(__xludf.DUMMYFUNCTION("""COMPUTED_VALUE"""),"No")</f>
        <v>No</v>
      </c>
      <c r="AA906" s="5"/>
      <c r="AB906" s="5" t="str">
        <f ca="1">IFERROR(__xludf.DUMMYFUNCTION("""COMPUTED_VALUE"""),"No")</f>
        <v>No</v>
      </c>
      <c r="AC906" s="5" t="str">
        <f ca="1">IFERROR(__xludf.DUMMYFUNCTION("""COMPUTED_VALUE"""),"No")</f>
        <v>No</v>
      </c>
      <c r="AD906" s="5" t="str">
        <f ca="1">IFERROR(__xludf.DUMMYFUNCTION("""COMPUTED_VALUE"""),"No")</f>
        <v>No</v>
      </c>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row>
    <row r="907" spans="1:34" ht="12.75">
      <c r="A907" s="5" t="str">
        <f ca="1">IFERROR(__xludf.DUMMYFUNCTION("""COMPUTED_VALUE"""),"20151024TXEDS")</f>
        <v>20151024TXEDS</v>
      </c>
      <c r="B907" s="8">
        <f ca="1">IFERROR(__xludf.DUMMYFUNCTION("""COMPUTED_VALUE"""),42301)</f>
        <v>42301</v>
      </c>
      <c r="C907" s="5" t="str">
        <f ca="1">IFERROR(__xludf.DUMMYFUNCTION("""COMPUTED_VALUE"""),"Ed White Middle School")</f>
        <v>Ed White Middle School</v>
      </c>
      <c r="D907" s="5">
        <f ca="1">IFERROR(__xludf.DUMMYFUNCTION("""COMPUTED_VALUE"""),1)</f>
        <v>1</v>
      </c>
      <c r="E907" s="5">
        <f ca="1">IFERROR(__xludf.DUMMYFUNCTION("""COMPUTED_VALUE"""),0)</f>
        <v>0</v>
      </c>
      <c r="F907" s="5">
        <f ca="1">IFERROR(__xludf.DUMMYFUNCTION("""COMPUTED_VALUE"""),1)</f>
        <v>1</v>
      </c>
      <c r="G907" s="5">
        <f ca="1">IFERROR(__xludf.DUMMYFUNCTION("""COMPUTED_VALUE"""),0)</f>
        <v>0</v>
      </c>
      <c r="H907" s="9" t="str">
        <f ca="1">IFERROR(__xludf.DUMMYFUNCTION("""COMPUTED_VALUE"""),"https://www.mysanantonio.com/news/local/article/Man-fatally-shot-in-middle-school-parking-lot-6588994.php")</f>
        <v>https://www.mysanantonio.com/news/local/article/Man-fatally-shot-in-middle-school-parking-lot-6588994.php</v>
      </c>
      <c r="I907" s="5"/>
      <c r="J907" s="5"/>
      <c r="K907" s="5">
        <f ca="1">IFERROR(__xludf.DUMMYFUNCTION("""COMPUTED_VALUE"""),4)</f>
        <v>4</v>
      </c>
      <c r="L907" s="5" t="str">
        <f ca="1">IFERROR(__xludf.DUMMYFUNCTION("""COMPUTED_VALUE"""),"Fall")</f>
        <v>Fall</v>
      </c>
      <c r="M907" s="5" t="str">
        <f ca="1">IFERROR(__xludf.DUMMYFUNCTION("""COMPUTED_VALUE"""),"San Antonio")</f>
        <v>San Antonio</v>
      </c>
      <c r="N907" s="5" t="str">
        <f ca="1">IFERROR(__xludf.DUMMYFUNCTION("""COMPUTED_VALUE"""),"TX")</f>
        <v>TX</v>
      </c>
      <c r="O907" s="5" t="str">
        <f ca="1">IFERROR(__xludf.DUMMYFUNCTION("""COMPUTED_VALUE"""),"Middle")</f>
        <v>Middle</v>
      </c>
      <c r="P907" s="5" t="str">
        <f ca="1">IFERROR(__xludf.DUMMYFUNCTION("""COMPUTED_VALUE"""),"Parking Lot")</f>
        <v>Parking Lot</v>
      </c>
      <c r="Q907" s="5" t="str">
        <f ca="1">IFERROR(__xludf.DUMMYFUNCTION("""COMPUTED_VALUE"""),"Outside on School Property")</f>
        <v>Outside on School Property</v>
      </c>
      <c r="R907" s="5" t="str">
        <f ca="1">IFERROR(__xludf.DUMMYFUNCTION("""COMPUTED_VALUE"""),"No")</f>
        <v>No</v>
      </c>
      <c r="S907" s="5" t="str">
        <f ca="1">IFERROR(__xludf.DUMMYFUNCTION("""COMPUTED_VALUE"""),"Night")</f>
        <v>Night</v>
      </c>
      <c r="T907" s="10">
        <f ca="1">IFERROR(__xludf.DUMMYFUNCTION("""COMPUTED_VALUE"""),0.125)</f>
        <v>0.125</v>
      </c>
      <c r="U907" s="5">
        <f ca="1">IFERROR(__xludf.DUMMYFUNCTION("""COMPUTED_VALUE"""),1)</f>
        <v>1</v>
      </c>
      <c r="V907" s="5" t="str">
        <f ca="1">IFERROR(__xludf.DUMMYFUNCTION("""COMPUTED_VALUE"""),"Adult male killed in school parking lot late at night")</f>
        <v>Adult male killed in school parking lot late at night</v>
      </c>
      <c r="W907"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X907" s="5" t="str">
        <f ca="1">IFERROR(__xludf.DUMMYFUNCTION("""COMPUTED_VALUE"""),"Escalation of Dispute")</f>
        <v>Escalation of Dispute</v>
      </c>
      <c r="Y907" s="5" t="str">
        <f ca="1">IFERROR(__xludf.DUMMYFUNCTION("""COMPUTED_VALUE"""),"Victims Targeted")</f>
        <v>Victims Targeted</v>
      </c>
      <c r="Z907" s="5"/>
      <c r="AA907" s="5"/>
      <c r="AB907" s="5" t="str">
        <f ca="1">IFERROR(__xludf.DUMMYFUNCTION("""COMPUTED_VALUE"""),"No")</f>
        <v>No</v>
      </c>
      <c r="AC907" s="5" t="str">
        <f ca="1">IFERROR(__xludf.DUMMYFUNCTION("""COMPUTED_VALUE"""),"No")</f>
        <v>No</v>
      </c>
      <c r="AD907" s="5" t="str">
        <f ca="1">IFERROR(__xludf.DUMMYFUNCTION("""COMPUTED_VALUE"""),"No")</f>
        <v>No</v>
      </c>
      <c r="AE907" s="5" t="str">
        <f ca="1">IFERROR(__xludf.DUMMYFUNCTION("""COMPUTED_VALUE"""),"No")</f>
        <v>No</v>
      </c>
      <c r="AF907" s="5" t="str">
        <f ca="1">IFERROR(__xludf.DUMMYFUNCTION("""COMPUTED_VALUE"""),"No")</f>
        <v>No</v>
      </c>
      <c r="AG907" s="5"/>
      <c r="AH907" s="5" t="str">
        <f ca="1">IFERROR(__xludf.DUMMYFUNCTION("""COMPUTED_VALUE"""),"No")</f>
        <v>No</v>
      </c>
    </row>
    <row r="908" spans="1:34" ht="12.75">
      <c r="A908" s="5" t="str">
        <f ca="1">IFERROR(__xludf.DUMMYFUNCTION("""COMPUTED_VALUE"""),"20151015TXKAS")</f>
        <v>20151015TXKAS</v>
      </c>
      <c r="B908" s="8">
        <f ca="1">IFERROR(__xludf.DUMMYFUNCTION("""COMPUTED_VALUE"""),42292)</f>
        <v>42292</v>
      </c>
      <c r="C908" s="5" t="str">
        <f ca="1">IFERROR(__xludf.DUMMYFUNCTION("""COMPUTED_VALUE"""),"Karen Wagner High School")</f>
        <v>Karen Wagner High School</v>
      </c>
      <c r="D908" s="5">
        <f ca="1">IFERROR(__xludf.DUMMYFUNCTION("""COMPUTED_VALUE"""),0)</f>
        <v>0</v>
      </c>
      <c r="E908" s="5">
        <f ca="1">IFERROR(__xludf.DUMMYFUNCTION("""COMPUTED_VALUE"""),0)</f>
        <v>0</v>
      </c>
      <c r="F908" s="5">
        <f ca="1">IFERROR(__xludf.DUMMYFUNCTION("""COMPUTED_VALUE"""),0)</f>
        <v>0</v>
      </c>
      <c r="G908" s="5">
        <f ca="1">IFERROR(__xludf.DUMMYFUNCTION("""COMPUTED_VALUE"""),0)</f>
        <v>0</v>
      </c>
      <c r="H908" s="9" t="str">
        <f ca="1">IFERROR(__xludf.DUMMYFUNCTION("""COMPUTED_VALUE"""),"http://news4sanantonio.com/news/local/deputies-arrest-wagner-high-school-shooting-suspect")</f>
        <v>http://news4sanantonio.com/news/local/deputies-arrest-wagner-high-school-shooting-suspect</v>
      </c>
      <c r="I908" s="5">
        <f ca="1">IFERROR(__xludf.DUMMYFUNCTION("""COMPUTED_VALUE"""),1)</f>
        <v>1</v>
      </c>
      <c r="J908" s="5" t="str">
        <f ca="1">IFERROR(__xludf.DUMMYFUNCTION("""COMPUTED_VALUE"""),"Local")</f>
        <v>Local</v>
      </c>
      <c r="K908" s="5">
        <f ca="1">IFERROR(__xludf.DUMMYFUNCTION("""COMPUTED_VALUE"""),2)</f>
        <v>2</v>
      </c>
      <c r="L908" s="5" t="str">
        <f ca="1">IFERROR(__xludf.DUMMYFUNCTION("""COMPUTED_VALUE"""),"Fall")</f>
        <v>Fall</v>
      </c>
      <c r="M908" s="5" t="str">
        <f ca="1">IFERROR(__xludf.DUMMYFUNCTION("""COMPUTED_VALUE"""),"San Antonio")</f>
        <v>San Antonio</v>
      </c>
      <c r="N908" s="5" t="str">
        <f ca="1">IFERROR(__xludf.DUMMYFUNCTION("""COMPUTED_VALUE"""),"TX")</f>
        <v>TX</v>
      </c>
      <c r="O908" s="5" t="str">
        <f ca="1">IFERROR(__xludf.DUMMYFUNCTION("""COMPUTED_VALUE"""),"High")</f>
        <v>High</v>
      </c>
      <c r="P908" s="5" t="str">
        <f ca="1">IFERROR(__xludf.DUMMYFUNCTION("""COMPUTED_VALUE"""),"Parking Lot")</f>
        <v>Parking Lot</v>
      </c>
      <c r="Q908" s="5" t="str">
        <f ca="1">IFERROR(__xludf.DUMMYFUNCTION("""COMPUTED_VALUE"""),"Outside on School Property")</f>
        <v>Outside on School Property</v>
      </c>
      <c r="R908" s="5" t="str">
        <f ca="1">IFERROR(__xludf.DUMMYFUNCTION("""COMPUTED_VALUE"""),"Yes")</f>
        <v>Yes</v>
      </c>
      <c r="S908" s="5" t="str">
        <f ca="1">IFERROR(__xludf.DUMMYFUNCTION("""COMPUTED_VALUE"""),"Morning Classes")</f>
        <v>Morning Classes</v>
      </c>
      <c r="T908" s="10">
        <f ca="1">IFERROR(__xludf.DUMMYFUNCTION("""COMPUTED_VALUE"""),0.375)</f>
        <v>0.375</v>
      </c>
      <c r="U908" s="5">
        <f ca="1">IFERROR(__xludf.DUMMYFUNCTION("""COMPUTED_VALUE"""),1)</f>
        <v>1</v>
      </c>
      <c r="V908" s="5" t="str">
        <f ca="1">IFERROR(__xludf.DUMMYFUNCTION("""COMPUTED_VALUE"""),"Fired shots at principals car after friend reprimanded")</f>
        <v>Fired shots at principals car after friend reprimanded</v>
      </c>
      <c r="W908"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X908" s="5" t="str">
        <f ca="1">IFERROR(__xludf.DUMMYFUNCTION("""COMPUTED_VALUE"""),"Anger Over Grade/Suspension/Discipline")</f>
        <v>Anger Over Grade/Suspension/Discipline</v>
      </c>
      <c r="Y908" s="5" t="str">
        <f ca="1">IFERROR(__xludf.DUMMYFUNCTION("""COMPUTED_VALUE"""),"Victims Targeted")</f>
        <v>Victims Targeted</v>
      </c>
      <c r="Z908" s="5" t="str">
        <f ca="1">IFERROR(__xludf.DUMMYFUNCTION("""COMPUTED_VALUE"""),"No")</f>
        <v>No</v>
      </c>
      <c r="AA908" s="5"/>
      <c r="AB908" s="5" t="str">
        <f ca="1">IFERROR(__xludf.DUMMYFUNCTION("""COMPUTED_VALUE"""),"No")</f>
        <v>No</v>
      </c>
      <c r="AC908" s="5" t="str">
        <f ca="1">IFERROR(__xludf.DUMMYFUNCTION("""COMPUTED_VALUE"""),"No")</f>
        <v>No</v>
      </c>
      <c r="AD908" s="5" t="str">
        <f ca="1">IFERROR(__xludf.DUMMYFUNCTION("""COMPUTED_VALUE"""),"No")</f>
        <v>No</v>
      </c>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row>
    <row r="909" spans="1:34" ht="12.75">
      <c r="A909" s="5" t="str">
        <f ca="1">IFERROR(__xludf.DUMMYFUNCTION("""COMPUTED_VALUE"""),"20150930SDHAH")</f>
        <v>20150930SDHAH</v>
      </c>
      <c r="B909" s="8">
        <f ca="1">IFERROR(__xludf.DUMMYFUNCTION("""COMPUTED_VALUE"""),42277)</f>
        <v>42277</v>
      </c>
      <c r="C909" s="5" t="str">
        <f ca="1">IFERROR(__xludf.DUMMYFUNCTION("""COMPUTED_VALUE"""),"Harrisburg High School")</f>
        <v>Harrisburg High School</v>
      </c>
      <c r="D909" s="5">
        <f ca="1">IFERROR(__xludf.DUMMYFUNCTION("""COMPUTED_VALUE"""),0)</f>
        <v>0</v>
      </c>
      <c r="E909" s="5">
        <f ca="1">IFERROR(__xludf.DUMMYFUNCTION("""COMPUTED_VALUE"""),1)</f>
        <v>1</v>
      </c>
      <c r="F909" s="5">
        <f ca="1">IFERROR(__xludf.DUMMYFUNCTION("""COMPUTED_VALUE"""),1)</f>
        <v>1</v>
      </c>
      <c r="G909" s="5">
        <f ca="1">IFERROR(__xludf.DUMMYFUNCTION("""COMPUTED_VALUE"""),0)</f>
        <v>0</v>
      </c>
      <c r="H909" s="5" t="str">
        <f ca="1">IFERROR(__xludf.DUMMYFUNCTION("""COMPUTED_VALUE"""),"https://www.keloland.com/news/local-news/harrisburg-school-shooter-faces-rape-charge/ https://www.argusleader.com/story/news/2017/08/09/suspect-harrisburg-school-shooting-appear-court-today/552939001/")</f>
        <v>https://www.keloland.com/news/local-news/harrisburg-school-shooter-faces-rape-charge/ https://www.argusleader.com/story/news/2017/08/09/suspect-harrisburg-school-shooting-appear-court-today/552939001/</v>
      </c>
      <c r="I909" s="5">
        <f ca="1">IFERROR(__xludf.DUMMYFUNCTION("""COMPUTED_VALUE"""),2)</f>
        <v>2</v>
      </c>
      <c r="J909" s="5" t="str">
        <f ca="1">IFERROR(__xludf.DUMMYFUNCTION("""COMPUTED_VALUE"""),"Local")</f>
        <v>Local</v>
      </c>
      <c r="K909" s="5">
        <f ca="1">IFERROR(__xludf.DUMMYFUNCTION("""COMPUTED_VALUE"""),4)</f>
        <v>4</v>
      </c>
      <c r="L909" s="5" t="str">
        <f ca="1">IFERROR(__xludf.DUMMYFUNCTION("""COMPUTED_VALUE"""),"Fall")</f>
        <v>Fall</v>
      </c>
      <c r="M909" s="5" t="str">
        <f ca="1">IFERROR(__xludf.DUMMYFUNCTION("""COMPUTED_VALUE"""),"Harrisburg")</f>
        <v>Harrisburg</v>
      </c>
      <c r="N909" s="5" t="str">
        <f ca="1">IFERROR(__xludf.DUMMYFUNCTION("""COMPUTED_VALUE"""),"SD")</f>
        <v>SD</v>
      </c>
      <c r="O909" s="5" t="str">
        <f ca="1">IFERROR(__xludf.DUMMYFUNCTION("""COMPUTED_VALUE"""),"High")</f>
        <v>High</v>
      </c>
      <c r="P909" s="5" t="str">
        <f ca="1">IFERROR(__xludf.DUMMYFUNCTION("""COMPUTED_VALUE"""),"Office")</f>
        <v>Office</v>
      </c>
      <c r="Q909" s="5" t="str">
        <f ca="1">IFERROR(__xludf.DUMMYFUNCTION("""COMPUTED_VALUE"""),"Inside School Building")</f>
        <v>Inside School Building</v>
      </c>
      <c r="R909" s="5" t="str">
        <f ca="1">IFERROR(__xludf.DUMMYFUNCTION("""COMPUTED_VALUE"""),"Yes")</f>
        <v>Yes</v>
      </c>
      <c r="S909" s="5" t="str">
        <f ca="1">IFERROR(__xludf.DUMMYFUNCTION("""COMPUTED_VALUE"""),"Morning Classes")</f>
        <v>Morning Classes</v>
      </c>
      <c r="T909" s="10">
        <f ca="1">IFERROR(__xludf.DUMMYFUNCTION("""COMPUTED_VALUE"""),0.416666666666666)</f>
        <v>0.41666666666666602</v>
      </c>
      <c r="U909" s="5">
        <f ca="1">IFERROR(__xludf.DUMMYFUNCTION("""COMPUTED_VALUE"""),1)</f>
        <v>1</v>
      </c>
      <c r="V909" s="5" t="str">
        <f ca="1">IFERROR(__xludf.DUMMYFUNCTION("""COMPUTED_VALUE"""),"Suspected mental illness and inability to adjust to the new school")</f>
        <v>Suspected mental illness and inability to adjust to the new school</v>
      </c>
      <c r="W909"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X909" s="5" t="str">
        <f ca="1">IFERROR(__xludf.DUMMYFUNCTION("""COMPUTED_VALUE"""),"Psychosis")</f>
        <v>Psychosis</v>
      </c>
      <c r="Y909" s="5" t="str">
        <f ca="1">IFERROR(__xludf.DUMMYFUNCTION("""COMPUTED_VALUE"""),"Victims Targeted")</f>
        <v>Victims Targeted</v>
      </c>
      <c r="Z909" s="5" t="str">
        <f ca="1">IFERROR(__xludf.DUMMYFUNCTION("""COMPUTED_VALUE"""),"No")</f>
        <v>No</v>
      </c>
      <c r="AA909" s="5"/>
      <c r="AB909" s="5" t="str">
        <f ca="1">IFERROR(__xludf.DUMMYFUNCTION("""COMPUTED_VALUE"""),"No")</f>
        <v>No</v>
      </c>
      <c r="AC909" s="5" t="str">
        <f ca="1">IFERROR(__xludf.DUMMYFUNCTION("""COMPUTED_VALUE"""),"No")</f>
        <v>No</v>
      </c>
      <c r="AD909" s="5" t="str">
        <f ca="1">IFERROR(__xludf.DUMMYFUNCTION("""COMPUTED_VALUE"""),"No")</f>
        <v>No</v>
      </c>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IFERROR(__xludf.DUMMYFUNCTION("""COMPUTED_VALUE"""),"Yes")</f>
        <v>Yes</v>
      </c>
    </row>
    <row r="910" spans="1:34" ht="12.75">
      <c r="A910" s="5" t="str">
        <f ca="1">IFERROR(__xludf.DUMMYFUNCTION("""COMPUTED_VALUE"""),"20150922NCCES")</f>
        <v>20150922NCCES</v>
      </c>
      <c r="B910" s="8">
        <f ca="1">IFERROR(__xludf.DUMMYFUNCTION("""COMPUTED_VALUE"""),42269)</f>
        <v>42269</v>
      </c>
      <c r="C910" s="5" t="str">
        <f ca="1">IFERROR(__xludf.DUMMYFUNCTION("""COMPUTED_VALUE"""),"Central Elementary School")</f>
        <v>Central Elementary School</v>
      </c>
      <c r="D910" s="5">
        <f ca="1">IFERROR(__xludf.DUMMYFUNCTION("""COMPUTED_VALUE"""),0)</f>
        <v>0</v>
      </c>
      <c r="E910" s="5">
        <f ca="1">IFERROR(__xludf.DUMMYFUNCTION("""COMPUTED_VALUE"""),1)</f>
        <v>1</v>
      </c>
      <c r="F910" s="5">
        <f ca="1">IFERROR(__xludf.DUMMYFUNCTION("""COMPUTED_VALUE"""),1)</f>
        <v>1</v>
      </c>
      <c r="G910" s="5">
        <f ca="1">IFERROR(__xludf.DUMMYFUNCTION("""COMPUTED_VALUE"""),0)</f>
        <v>0</v>
      </c>
      <c r="H910"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I910" s="5"/>
      <c r="J910" s="5"/>
      <c r="K910" s="5">
        <f ca="1">IFERROR(__xludf.DUMMYFUNCTION("""COMPUTED_VALUE"""),3)</f>
        <v>3</v>
      </c>
      <c r="L910" s="5" t="str">
        <f ca="1">IFERROR(__xludf.DUMMYFUNCTION("""COMPUTED_VALUE"""),"Fall")</f>
        <v>Fall</v>
      </c>
      <c r="M910" s="5" t="str">
        <f ca="1">IFERROR(__xludf.DUMMYFUNCTION("""COMPUTED_VALUE"""),"Stateville")</f>
        <v>Stateville</v>
      </c>
      <c r="N910" s="5" t="str">
        <f ca="1">IFERROR(__xludf.DUMMYFUNCTION("""COMPUTED_VALUE"""),"NC")</f>
        <v>NC</v>
      </c>
      <c r="O910" s="5" t="str">
        <f ca="1">IFERROR(__xludf.DUMMYFUNCTION("""COMPUTED_VALUE"""),"Elementary")</f>
        <v>Elementary</v>
      </c>
      <c r="P910" s="5" t="str">
        <f ca="1">IFERROR(__xludf.DUMMYFUNCTION("""COMPUTED_VALUE"""),"Parking Lot")</f>
        <v>Parking Lot</v>
      </c>
      <c r="Q910" s="5" t="str">
        <f ca="1">IFERROR(__xludf.DUMMYFUNCTION("""COMPUTED_VALUE"""),"Outside on School Property")</f>
        <v>Outside on School Property</v>
      </c>
      <c r="R910" s="5" t="str">
        <f ca="1">IFERROR(__xludf.DUMMYFUNCTION("""COMPUTED_VALUE"""),"Yes")</f>
        <v>Yes</v>
      </c>
      <c r="S910" s="5" t="str">
        <f ca="1">IFERROR(__xludf.DUMMYFUNCTION("""COMPUTED_VALUE"""),"Dismissal")</f>
        <v>Dismissal</v>
      </c>
      <c r="T910" s="10">
        <f ca="1">IFERROR(__xludf.DUMMYFUNCTION("""COMPUTED_VALUE"""),0.625)</f>
        <v>0.625</v>
      </c>
      <c r="U910" s="5">
        <f ca="1">IFERROR(__xludf.DUMMYFUNCTION("""COMPUTED_VALUE"""),1)</f>
        <v>1</v>
      </c>
      <c r="V910" s="5" t="str">
        <f ca="1">IFERROR(__xludf.DUMMYFUNCTION("""COMPUTED_VALUE"""),"Wife shot estranged husband in school parking lot")</f>
        <v>Wife shot estranged husband in school parking lot</v>
      </c>
      <c r="W910"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X910" s="5" t="str">
        <f ca="1">IFERROR(__xludf.DUMMYFUNCTION("""COMPUTED_VALUE"""),"Domestic w/ Targeted Victim")</f>
        <v>Domestic w/ Targeted Victim</v>
      </c>
      <c r="Y910" s="5" t="str">
        <f ca="1">IFERROR(__xludf.DUMMYFUNCTION("""COMPUTED_VALUE"""),"Victims Targeted")</f>
        <v>Victims Targeted</v>
      </c>
      <c r="Z910" s="5" t="str">
        <f ca="1">IFERROR(__xludf.DUMMYFUNCTION("""COMPUTED_VALUE"""),"No")</f>
        <v>No</v>
      </c>
      <c r="AA910" s="5"/>
      <c r="AB910" s="5" t="str">
        <f ca="1">IFERROR(__xludf.DUMMYFUNCTION("""COMPUTED_VALUE"""),"No")</f>
        <v>No</v>
      </c>
      <c r="AC910" s="5" t="str">
        <f ca="1">IFERROR(__xludf.DUMMYFUNCTION("""COMPUTED_VALUE"""),"No")</f>
        <v>No</v>
      </c>
      <c r="AD910" s="5" t="str">
        <f ca="1">IFERROR(__xludf.DUMMYFUNCTION("""COMPUTED_VALUE"""),"No")</f>
        <v>No</v>
      </c>
      <c r="AE910" s="5" t="str">
        <f ca="1">IFERROR(__xludf.DUMMYFUNCTION("""COMPUTED_VALUE"""),"No")</f>
        <v>No</v>
      </c>
      <c r="AF910" s="5" t="str">
        <f ca="1">IFERROR(__xludf.DUMMYFUNCTION("""COMPUTED_VALUE"""),"Yes")</f>
        <v>Yes</v>
      </c>
      <c r="AG910" s="5" t="str">
        <f ca="1">IFERROR(__xludf.DUMMYFUNCTION("""COMPUTED_VALUE"""),"No")</f>
        <v>No</v>
      </c>
      <c r="AH910" s="5" t="str">
        <f ca="1">IFERROR(__xludf.DUMMYFUNCTION("""COMPUTED_VALUE"""),"No")</f>
        <v>No</v>
      </c>
    </row>
    <row r="911" spans="1:34" ht="12.75">
      <c r="A911" s="5" t="str">
        <f ca="1">IFERROR(__xludf.DUMMYFUNCTION("""COMPUTED_VALUE"""),"20150911LANOL")</f>
        <v>20150911LANOL</v>
      </c>
      <c r="B911" s="8">
        <f ca="1">IFERROR(__xludf.DUMMYFUNCTION("""COMPUTED_VALUE"""),42258)</f>
        <v>42258</v>
      </c>
      <c r="C911" s="5" t="str">
        <f ca="1">IFERROR(__xludf.DUMMYFUNCTION("""COMPUTED_VALUE"""),"Northside High School")</f>
        <v>Northside High School</v>
      </c>
      <c r="D911" s="5">
        <f ca="1">IFERROR(__xludf.DUMMYFUNCTION("""COMPUTED_VALUE"""),0)</f>
        <v>0</v>
      </c>
      <c r="E911" s="5">
        <f ca="1">IFERROR(__xludf.DUMMYFUNCTION("""COMPUTED_VALUE"""),1)</f>
        <v>1</v>
      </c>
      <c r="F911" s="5">
        <f ca="1">IFERROR(__xludf.DUMMYFUNCTION("""COMPUTED_VALUE"""),1)</f>
        <v>1</v>
      </c>
      <c r="G911" s="5">
        <f ca="1">IFERROR(__xludf.DUMMYFUNCTION("""COMPUTED_VALUE"""),0)</f>
        <v>0</v>
      </c>
      <c r="H911"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I911" s="5"/>
      <c r="J911" s="5"/>
      <c r="K911" s="5">
        <f ca="1">IFERROR(__xludf.DUMMYFUNCTION("""COMPUTED_VALUE"""),3)</f>
        <v>3</v>
      </c>
      <c r="L911" s="5" t="str">
        <f ca="1">IFERROR(__xludf.DUMMYFUNCTION("""COMPUTED_VALUE"""),"Fall")</f>
        <v>Fall</v>
      </c>
      <c r="M911" s="5" t="str">
        <f ca="1">IFERROR(__xludf.DUMMYFUNCTION("""COMPUTED_VALUE"""),"Lafayette")</f>
        <v>Lafayette</v>
      </c>
      <c r="N911" s="5" t="str">
        <f ca="1">IFERROR(__xludf.DUMMYFUNCTION("""COMPUTED_VALUE"""),"LA")</f>
        <v>LA</v>
      </c>
      <c r="O911" s="5" t="str">
        <f ca="1">IFERROR(__xludf.DUMMYFUNCTION("""COMPUTED_VALUE"""),"High")</f>
        <v>High</v>
      </c>
      <c r="P911" s="5" t="str">
        <f ca="1">IFERROR(__xludf.DUMMYFUNCTION("""COMPUTED_VALUE"""),"Front of School")</f>
        <v>Front of School</v>
      </c>
      <c r="Q911" s="5" t="str">
        <f ca="1">IFERROR(__xludf.DUMMYFUNCTION("""COMPUTED_VALUE"""),"Outside on School Property")</f>
        <v>Outside on School Property</v>
      </c>
      <c r="R911" s="5" t="str">
        <f ca="1">IFERROR(__xludf.DUMMYFUNCTION("""COMPUTED_VALUE"""),"No")</f>
        <v>No</v>
      </c>
      <c r="S911" s="5" t="str">
        <f ca="1">IFERROR(__xludf.DUMMYFUNCTION("""COMPUTED_VALUE"""),"Sport Event")</f>
        <v>Sport Event</v>
      </c>
      <c r="T911" s="10">
        <f ca="1">IFERROR(__xludf.DUMMYFUNCTION("""COMPUTED_VALUE"""),0.913194444444444)</f>
        <v>0.91319444444444398</v>
      </c>
      <c r="U911" s="5">
        <f ca="1">IFERROR(__xludf.DUMMYFUNCTION("""COMPUTED_VALUE"""),1)</f>
        <v>1</v>
      </c>
      <c r="V911" s="5" t="str">
        <f ca="1">IFERROR(__xludf.DUMMYFUNCTION("""COMPUTED_VALUE"""),"Bystander shot during drive-by")</f>
        <v>Bystander shot during drive-by</v>
      </c>
      <c r="W911"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X911" s="5" t="str">
        <f ca="1">IFERROR(__xludf.DUMMYFUNCTION("""COMPUTED_VALUE"""),"Drive-by Shooting")</f>
        <v>Drive-by Shooting</v>
      </c>
      <c r="Y911" s="5" t="str">
        <f ca="1">IFERROR(__xludf.DUMMYFUNCTION("""COMPUTED_VALUE"""),"Random Shooting")</f>
        <v>Random Shooting</v>
      </c>
      <c r="Z911" s="5"/>
      <c r="AA911" s="5"/>
      <c r="AB911" s="5" t="str">
        <f ca="1">IFERROR(__xludf.DUMMYFUNCTION("""COMPUTED_VALUE"""),"No")</f>
        <v>No</v>
      </c>
      <c r="AC911" s="5" t="str">
        <f ca="1">IFERROR(__xludf.DUMMYFUNCTION("""COMPUTED_VALUE"""),"No")</f>
        <v>No</v>
      </c>
      <c r="AD911" s="5" t="str">
        <f ca="1">IFERROR(__xludf.DUMMYFUNCTION("""COMPUTED_VALUE"""),"No")</f>
        <v>No</v>
      </c>
      <c r="AE911" s="5" t="str">
        <f ca="1">IFERROR(__xludf.DUMMYFUNCTION("""COMPUTED_VALUE"""),"No")</f>
        <v>No</v>
      </c>
      <c r="AF911" s="5" t="str">
        <f ca="1">IFERROR(__xludf.DUMMYFUNCTION("""COMPUTED_VALUE"""),"No")</f>
        <v>No</v>
      </c>
      <c r="AG911" s="5"/>
      <c r="AH911" s="5" t="str">
        <f ca="1">IFERROR(__xludf.DUMMYFUNCTION("""COMPUTED_VALUE"""),"No")</f>
        <v>No</v>
      </c>
    </row>
    <row r="912" spans="1:34" ht="12.75">
      <c r="A912" s="5" t="str">
        <f ca="1">IFERROR(__xludf.DUMMYFUNCTION("""COMPUTED_VALUE"""),"20150903ORNEN")</f>
        <v>20150903ORNEN</v>
      </c>
      <c r="B912" s="8">
        <f ca="1">IFERROR(__xludf.DUMMYFUNCTION("""COMPUTED_VALUE"""),42250)</f>
        <v>42250</v>
      </c>
      <c r="C912" s="5" t="str">
        <f ca="1">IFERROR(__xludf.DUMMYFUNCTION("""COMPUTED_VALUE"""),"Newberg High School")</f>
        <v>Newberg High School</v>
      </c>
      <c r="D912" s="5">
        <f ca="1">IFERROR(__xludf.DUMMYFUNCTION("""COMPUTED_VALUE"""),0)</f>
        <v>0</v>
      </c>
      <c r="E912" s="5">
        <f ca="1">IFERROR(__xludf.DUMMYFUNCTION("""COMPUTED_VALUE"""),0)</f>
        <v>0</v>
      </c>
      <c r="F912" s="5">
        <f ca="1">IFERROR(__xludf.DUMMYFUNCTION("""COMPUTED_VALUE"""),0)</f>
        <v>0</v>
      </c>
      <c r="G912" s="5">
        <f ca="1">IFERROR(__xludf.DUMMYFUNCTION("""COMPUTED_VALUE"""),0)</f>
        <v>0</v>
      </c>
      <c r="H912" s="9" t="str">
        <f ca="1">IFERROR(__xludf.DUMMYFUNCTION("""COMPUTED_VALUE"""),"https://www.statesmanjournal.com/story/news/2015/09/04/man-arrested-after-shots-fired-near-newberg-high-school/71699392/")</f>
        <v>https://www.statesmanjournal.com/story/news/2015/09/04/man-arrested-after-shots-fired-near-newberg-high-school/71699392/</v>
      </c>
      <c r="I912" s="5"/>
      <c r="J912" s="5"/>
      <c r="K912" s="5">
        <f ca="1">IFERROR(__xludf.DUMMYFUNCTION("""COMPUTED_VALUE"""),3)</f>
        <v>3</v>
      </c>
      <c r="L912" s="5" t="str">
        <f ca="1">IFERROR(__xludf.DUMMYFUNCTION("""COMPUTED_VALUE"""),"Fall")</f>
        <v>Fall</v>
      </c>
      <c r="M912" s="5" t="str">
        <f ca="1">IFERROR(__xludf.DUMMYFUNCTION("""COMPUTED_VALUE"""),"Newberg")</f>
        <v>Newberg</v>
      </c>
      <c r="N912" s="5" t="str">
        <f ca="1">IFERROR(__xludf.DUMMYFUNCTION("""COMPUTED_VALUE"""),"OR")</f>
        <v>OR</v>
      </c>
      <c r="O912" s="5" t="str">
        <f ca="1">IFERROR(__xludf.DUMMYFUNCTION("""COMPUTED_VALUE"""),"High")</f>
        <v>High</v>
      </c>
      <c r="P912" s="5" t="str">
        <f ca="1">IFERROR(__xludf.DUMMYFUNCTION("""COMPUTED_VALUE"""),"Football Field/Track")</f>
        <v>Football Field/Track</v>
      </c>
      <c r="Q912" s="5" t="str">
        <f ca="1">IFERROR(__xludf.DUMMYFUNCTION("""COMPUTED_VALUE"""),"Outside on School Property")</f>
        <v>Outside on School Property</v>
      </c>
      <c r="R912" s="5" t="str">
        <f ca="1">IFERROR(__xludf.DUMMYFUNCTION("""COMPUTED_VALUE"""),"No")</f>
        <v>No</v>
      </c>
      <c r="S912" s="5" t="str">
        <f ca="1">IFERROR(__xludf.DUMMYFUNCTION("""COMPUTED_VALUE"""),"Sport Event")</f>
        <v>Sport Event</v>
      </c>
      <c r="T912" s="10">
        <f ca="1">IFERROR(__xludf.DUMMYFUNCTION("""COMPUTED_VALUE"""),0.854166666666666)</f>
        <v>0.85416666666666596</v>
      </c>
      <c r="U912" s="5">
        <f ca="1">IFERROR(__xludf.DUMMYFUNCTION("""COMPUTED_VALUE"""),1)</f>
        <v>1</v>
      </c>
      <c r="V912" s="5" t="str">
        <f ca="1">IFERROR(__xludf.DUMMYFUNCTION("""COMPUTED_VALUE"""),"Shots fired off the school campus struck the beachers during a sporting event")</f>
        <v>Shots fired off the school campus struck the beachers during a sporting event</v>
      </c>
      <c r="W912"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X912" s="5" t="str">
        <f ca="1">IFERROR(__xludf.DUMMYFUNCTION("""COMPUTED_VALUE"""),"Escalation of Dispute")</f>
        <v>Escalation of Dispute</v>
      </c>
      <c r="Y912" s="5"/>
      <c r="Z912" s="5" t="str">
        <f ca="1">IFERROR(__xludf.DUMMYFUNCTION("""COMPUTED_VALUE"""),"No")</f>
        <v>No</v>
      </c>
      <c r="AA912" s="5"/>
      <c r="AB912" s="5" t="str">
        <f ca="1">IFERROR(__xludf.DUMMYFUNCTION("""COMPUTED_VALUE"""),"No")</f>
        <v>No</v>
      </c>
      <c r="AC912" s="5" t="str">
        <f ca="1">IFERROR(__xludf.DUMMYFUNCTION("""COMPUTED_VALUE"""),"No")</f>
        <v>No</v>
      </c>
      <c r="AD912" s="5" t="str">
        <f ca="1">IFERROR(__xludf.DUMMYFUNCTION("""COMPUTED_VALUE"""),"No")</f>
        <v>No</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row>
    <row r="913" spans="1:34" ht="12.75">
      <c r="A913" s="5" t="str">
        <f ca="1">IFERROR(__xludf.DUMMYFUNCTION("""COMPUTED_VALUE"""),"20150825GAWSA")</f>
        <v>20150825GAWSA</v>
      </c>
      <c r="B913" s="8">
        <f ca="1">IFERROR(__xludf.DUMMYFUNCTION("""COMPUTED_VALUE"""),42241)</f>
        <v>42241</v>
      </c>
      <c r="C913" s="5" t="str">
        <f ca="1">IFERROR(__xludf.DUMMYFUNCTION("""COMPUTED_VALUE"""),"W S Hornsby Elementary School")</f>
        <v>W S Hornsby Elementary School</v>
      </c>
      <c r="D913" s="5">
        <f ca="1">IFERROR(__xludf.DUMMYFUNCTION("""COMPUTED_VALUE"""),0)</f>
        <v>0</v>
      </c>
      <c r="E913" s="5">
        <f ca="1">IFERROR(__xludf.DUMMYFUNCTION("""COMPUTED_VALUE"""),1)</f>
        <v>1</v>
      </c>
      <c r="F913" s="5">
        <f ca="1">IFERROR(__xludf.DUMMYFUNCTION("""COMPUTED_VALUE"""),1)</f>
        <v>1</v>
      </c>
      <c r="G913" s="5">
        <f ca="1">IFERROR(__xludf.DUMMYFUNCTION("""COMPUTED_VALUE"""),0)</f>
        <v>0</v>
      </c>
      <c r="H913" s="9" t="str">
        <f ca="1">IFERROR(__xludf.DUMMYFUNCTION("""COMPUTED_VALUE"""),"http://www.wrdw.com/home/headlines/BREAKING-Student-at-Hornsby-School-shot-and-taken-to-hospital-322826461.html")</f>
        <v>http://www.wrdw.com/home/headlines/BREAKING-Student-at-Hornsby-School-shot-and-taken-to-hospital-322826461.html</v>
      </c>
      <c r="I913" s="5">
        <f ca="1">IFERROR(__xludf.DUMMYFUNCTION("""COMPUTED_VALUE"""),1)</f>
        <v>1</v>
      </c>
      <c r="J913" s="5" t="str">
        <f ca="1">IFERROR(__xludf.DUMMYFUNCTION("""COMPUTED_VALUE"""),"Local")</f>
        <v>Local</v>
      </c>
      <c r="K913" s="5">
        <f ca="1">IFERROR(__xludf.DUMMYFUNCTION("""COMPUTED_VALUE"""),2)</f>
        <v>2</v>
      </c>
      <c r="L913" s="5" t="str">
        <f ca="1">IFERROR(__xludf.DUMMYFUNCTION("""COMPUTED_VALUE"""),"Summer")</f>
        <v>Summer</v>
      </c>
      <c r="M913" s="5" t="str">
        <f ca="1">IFERROR(__xludf.DUMMYFUNCTION("""COMPUTED_VALUE"""),"Augusta")</f>
        <v>Augusta</v>
      </c>
      <c r="N913" s="5" t="str">
        <f ca="1">IFERROR(__xludf.DUMMYFUNCTION("""COMPUTED_VALUE"""),"GA")</f>
        <v>GA</v>
      </c>
      <c r="O913" s="5" t="str">
        <f ca="1">IFERROR(__xludf.DUMMYFUNCTION("""COMPUTED_VALUE"""),"Elementary")</f>
        <v>Elementary</v>
      </c>
      <c r="P913" s="5" t="str">
        <f ca="1">IFERROR(__xludf.DUMMYFUNCTION("""COMPUTED_VALUE"""),"Classroom")</f>
        <v>Classroom</v>
      </c>
      <c r="Q913" s="5" t="str">
        <f ca="1">IFERROR(__xludf.DUMMYFUNCTION("""COMPUTED_VALUE"""),"Inside School Building")</f>
        <v>Inside School Building</v>
      </c>
      <c r="R913" s="5" t="str">
        <f ca="1">IFERROR(__xludf.DUMMYFUNCTION("""COMPUTED_VALUE"""),"Yes")</f>
        <v>Yes</v>
      </c>
      <c r="S913" s="5" t="str">
        <f ca="1">IFERROR(__xludf.DUMMYFUNCTION("""COMPUTED_VALUE"""),"Morning Classes")</f>
        <v>Morning Classes</v>
      </c>
      <c r="T913" s="10">
        <f ca="1">IFERROR(__xludf.DUMMYFUNCTION("""COMPUTED_VALUE"""),0.447916666666666)</f>
        <v>0.44791666666666602</v>
      </c>
      <c r="U913" s="5">
        <f ca="1">IFERROR(__xludf.DUMMYFUNCTION("""COMPUTED_VALUE"""),1)</f>
        <v>1</v>
      </c>
      <c r="V913" s="5" t="str">
        <f ca="1">IFERROR(__xludf.DUMMYFUNCTION("""COMPUTED_VALUE"""),"Accidental discharge playing with gun in classroom")</f>
        <v>Accidental discharge playing with gun in classroom</v>
      </c>
      <c r="W913"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X913" s="5" t="str">
        <f ca="1">IFERROR(__xludf.DUMMYFUNCTION("""COMPUTED_VALUE"""),"Accidental")</f>
        <v>Accidental</v>
      </c>
      <c r="Y913" s="5" t="str">
        <f ca="1">IFERROR(__xludf.DUMMYFUNCTION("""COMPUTED_VALUE"""),"Neither")</f>
        <v>Neither</v>
      </c>
      <c r="Z913" s="5" t="str">
        <f ca="1">IFERROR(__xludf.DUMMYFUNCTION("""COMPUTED_VALUE"""),"No")</f>
        <v>No</v>
      </c>
      <c r="AA913" s="5"/>
      <c r="AB913" s="5" t="str">
        <f ca="1">IFERROR(__xludf.DUMMYFUNCTION("""COMPUTED_VALUE"""),"No")</f>
        <v>No</v>
      </c>
      <c r="AC913" s="5" t="str">
        <f ca="1">IFERROR(__xludf.DUMMYFUNCTION("""COMPUTED_VALUE"""),"No")</f>
        <v>No</v>
      </c>
      <c r="AD913" s="5" t="str">
        <f ca="1">IFERROR(__xludf.DUMMYFUNCTION("""COMPUTED_VALUE"""),"No")</f>
        <v>No</v>
      </c>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IFERROR(__xludf.DUMMYFUNCTION("""COMPUTED_VALUE"""),"No")</f>
        <v>No</v>
      </c>
    </row>
    <row r="914" spans="1:34" ht="12.75">
      <c r="A914" s="5" t="str">
        <f ca="1">IFERROR(__xludf.DUMMYFUNCTION("""COMPUTED_VALUE"""),"20150823TXWIR")</f>
        <v>20150823TXWIR</v>
      </c>
      <c r="B914" s="8">
        <f ca="1">IFERROR(__xludf.DUMMYFUNCTION("""COMPUTED_VALUE"""),42239)</f>
        <v>42239</v>
      </c>
      <c r="C914" s="5" t="str">
        <f ca="1">IFERROR(__xludf.DUMMYFUNCTION("""COMPUTED_VALUE"""),"William Velasquez Elementary School")</f>
        <v>William Velasquez Elementary School</v>
      </c>
      <c r="D914" s="5">
        <f ca="1">IFERROR(__xludf.DUMMYFUNCTION("""COMPUTED_VALUE"""),0)</f>
        <v>0</v>
      </c>
      <c r="E914" s="5">
        <f ca="1">IFERROR(__xludf.DUMMYFUNCTION("""COMPUTED_VALUE"""),0)</f>
        <v>0</v>
      </c>
      <c r="F914" s="5">
        <f ca="1">IFERROR(__xludf.DUMMYFUNCTION("""COMPUTED_VALUE"""),0)</f>
        <v>0</v>
      </c>
      <c r="G914" s="5">
        <f ca="1">IFERROR(__xludf.DUMMYFUNCTION("""COMPUTED_VALUE"""),0)</f>
        <v>0</v>
      </c>
      <c r="H914"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I914" s="5"/>
      <c r="J914" s="5"/>
      <c r="K914" s="5">
        <f ca="1">IFERROR(__xludf.DUMMYFUNCTION("""COMPUTED_VALUE"""),3)</f>
        <v>3</v>
      </c>
      <c r="L914" s="5" t="str">
        <f ca="1">IFERROR(__xludf.DUMMYFUNCTION("""COMPUTED_VALUE"""),"Summer")</f>
        <v>Summer</v>
      </c>
      <c r="M914" s="5" t="str">
        <f ca="1">IFERROR(__xludf.DUMMYFUNCTION("""COMPUTED_VALUE"""),"Richmond")</f>
        <v>Richmond</v>
      </c>
      <c r="N914" s="5" t="str">
        <f ca="1">IFERROR(__xludf.DUMMYFUNCTION("""COMPUTED_VALUE"""),"TX")</f>
        <v>TX</v>
      </c>
      <c r="O914" s="5" t="str">
        <f ca="1">IFERROR(__xludf.DUMMYFUNCTION("""COMPUTED_VALUE"""),"Elementary")</f>
        <v>Elementary</v>
      </c>
      <c r="P914" s="5" t="str">
        <f ca="1">IFERROR(__xludf.DUMMYFUNCTION("""COMPUTED_VALUE"""),"Other")</f>
        <v>Other</v>
      </c>
      <c r="Q914" s="5" t="str">
        <f ca="1">IFERROR(__xludf.DUMMYFUNCTION("""COMPUTED_VALUE"""),"Outside on School Property")</f>
        <v>Outside on School Property</v>
      </c>
      <c r="R914" s="5" t="str">
        <f ca="1">IFERROR(__xludf.DUMMYFUNCTION("""COMPUTED_VALUE"""),"No")</f>
        <v>No</v>
      </c>
      <c r="S914" s="5" t="str">
        <f ca="1">IFERROR(__xludf.DUMMYFUNCTION("""COMPUTED_VALUE"""),"Not a School Day")</f>
        <v>Not a School Day</v>
      </c>
      <c r="T914" s="10">
        <f ca="1">IFERROR(__xludf.DUMMYFUNCTION("""COMPUTED_VALUE"""),0.333333333333333)</f>
        <v>0.33333333333333298</v>
      </c>
      <c r="U914" s="5"/>
      <c r="V914" s="5" t="str">
        <f ca="1">IFERROR(__xludf.DUMMYFUNCTION("""COMPUTED_VALUE"""),"Fired at random victims from the roof of the school")</f>
        <v>Fired at random victims from the roof of the school</v>
      </c>
      <c r="W914"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X914" s="5" t="str">
        <f ca="1">IFERROR(__xludf.DUMMYFUNCTION("""COMPUTED_VALUE"""),"Indiscriminate Shooting")</f>
        <v>Indiscriminate Shooting</v>
      </c>
      <c r="Y914" s="5" t="str">
        <f ca="1">IFERROR(__xludf.DUMMYFUNCTION("""COMPUTED_VALUE"""),"Neither")</f>
        <v>Neither</v>
      </c>
      <c r="Z914" s="5" t="str">
        <f ca="1">IFERROR(__xludf.DUMMYFUNCTION("""COMPUTED_VALUE"""),"No")</f>
        <v>No</v>
      </c>
      <c r="AA914" s="5"/>
      <c r="AB914" s="5" t="str">
        <f ca="1">IFERROR(__xludf.DUMMYFUNCTION("""COMPUTED_VALUE"""),"No")</f>
        <v>No</v>
      </c>
      <c r="AC914" s="5" t="str">
        <f ca="1">IFERROR(__xludf.DUMMYFUNCTION("""COMPUTED_VALUE"""),"No")</f>
        <v>No</v>
      </c>
      <c r="AD914" s="5" t="str">
        <f ca="1">IFERROR(__xludf.DUMMYFUNCTION("""COMPUTED_VALUE"""),"No")</f>
        <v>No</v>
      </c>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IFERROR(__xludf.DUMMYFUNCTION("""COMPUTED_VALUE"""),"Yes")</f>
        <v>Yes</v>
      </c>
    </row>
    <row r="915" spans="1:34" ht="12.75">
      <c r="A915" s="5" t="str">
        <f ca="1">IFERROR(__xludf.DUMMYFUNCTION("""COMPUTED_VALUE"""),"20150808TXPAP")</f>
        <v>20150808TXPAP</v>
      </c>
      <c r="B915" s="8">
        <f ca="1">IFERROR(__xludf.DUMMYFUNCTION("""COMPUTED_VALUE"""),42224)</f>
        <v>42224</v>
      </c>
      <c r="C915" s="5" t="str">
        <f ca="1">IFERROR(__xludf.DUMMYFUNCTION("""COMPUTED_VALUE"""),"Paradise High School")</f>
        <v>Paradise High School</v>
      </c>
      <c r="D915" s="5">
        <f ca="1">IFERROR(__xludf.DUMMYFUNCTION("""COMPUTED_VALUE"""),0)</f>
        <v>0</v>
      </c>
      <c r="E915" s="5">
        <f ca="1">IFERROR(__xludf.DUMMYFUNCTION("""COMPUTED_VALUE"""),0)</f>
        <v>0</v>
      </c>
      <c r="F915" s="5">
        <f ca="1">IFERROR(__xludf.DUMMYFUNCTION("""COMPUTED_VALUE"""),0)</f>
        <v>0</v>
      </c>
      <c r="G915" s="5">
        <f ca="1">IFERROR(__xludf.DUMMYFUNCTION("""COMPUTED_VALUE"""),0)</f>
        <v>0</v>
      </c>
      <c r="H915"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I915" s="5"/>
      <c r="J915" s="5"/>
      <c r="K915" s="5">
        <f ca="1">IFERROR(__xludf.DUMMYFUNCTION("""COMPUTED_VALUE"""),3)</f>
        <v>3</v>
      </c>
      <c r="L915" s="5" t="str">
        <f ca="1">IFERROR(__xludf.DUMMYFUNCTION("""COMPUTED_VALUE"""),"Summer")</f>
        <v>Summer</v>
      </c>
      <c r="M915" s="5" t="str">
        <f ca="1">IFERROR(__xludf.DUMMYFUNCTION("""COMPUTED_VALUE"""),"Paradise")</f>
        <v>Paradise</v>
      </c>
      <c r="N915" s="5" t="str">
        <f ca="1">IFERROR(__xludf.DUMMYFUNCTION("""COMPUTED_VALUE"""),"TX")</f>
        <v>TX</v>
      </c>
      <c r="O915" s="5" t="str">
        <f ca="1">IFERROR(__xludf.DUMMYFUNCTION("""COMPUTED_VALUE"""),"High")</f>
        <v>High</v>
      </c>
      <c r="P915" s="5" t="str">
        <f ca="1">IFERROR(__xludf.DUMMYFUNCTION("""COMPUTED_VALUE"""),"Parking Lot")</f>
        <v>Parking Lot</v>
      </c>
      <c r="Q915" s="5" t="str">
        <f ca="1">IFERROR(__xludf.DUMMYFUNCTION("""COMPUTED_VALUE"""),"Outside on School Property")</f>
        <v>Outside on School Property</v>
      </c>
      <c r="R915" s="5" t="str">
        <f ca="1">IFERROR(__xludf.DUMMYFUNCTION("""COMPUTED_VALUE"""),"No")</f>
        <v>No</v>
      </c>
      <c r="S915" s="5" t="str">
        <f ca="1">IFERROR(__xludf.DUMMYFUNCTION("""COMPUTED_VALUE"""),"Not a School Day")</f>
        <v>Not a School Day</v>
      </c>
      <c r="T915" s="10">
        <f ca="1">IFERROR(__xludf.DUMMYFUNCTION("""COMPUTED_VALUE"""),0.302083333333333)</f>
        <v>0.30208333333333298</v>
      </c>
      <c r="U915" s="5">
        <f ca="1">IFERROR(__xludf.DUMMYFUNCTION("""COMPUTED_VALUE"""),2)</f>
        <v>2</v>
      </c>
      <c r="V915" s="5" t="str">
        <f ca="1">IFERROR(__xludf.DUMMYFUNCTION("""COMPUTED_VALUE"""),"Random shooting on school property - not directed at anyone")</f>
        <v>Random shooting on school property - not directed at anyone</v>
      </c>
      <c r="W915"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X915" s="5" t="str">
        <f ca="1">IFERROR(__xludf.DUMMYFUNCTION("""COMPUTED_VALUE"""),"Intentional Property Damage")</f>
        <v>Intentional Property Damage</v>
      </c>
      <c r="Y915" s="5" t="str">
        <f ca="1">IFERROR(__xludf.DUMMYFUNCTION("""COMPUTED_VALUE"""),"Neither")</f>
        <v>Neither</v>
      </c>
      <c r="Z915" s="5" t="str">
        <f ca="1">IFERROR(__xludf.DUMMYFUNCTION("""COMPUTED_VALUE"""),"No")</f>
        <v>No</v>
      </c>
      <c r="AA915" s="5"/>
      <c r="AB915" s="5" t="str">
        <f ca="1">IFERROR(__xludf.DUMMYFUNCTION("""COMPUTED_VALUE"""),"No")</f>
        <v>No</v>
      </c>
      <c r="AC915" s="5" t="str">
        <f ca="1">IFERROR(__xludf.DUMMYFUNCTION("""COMPUTED_VALUE"""),"No")</f>
        <v>No</v>
      </c>
      <c r="AD915" s="5" t="str">
        <f ca="1">IFERROR(__xludf.DUMMYFUNCTION("""COMPUTED_VALUE"""),"No")</f>
        <v>No</v>
      </c>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row>
    <row r="916" spans="1:34" ht="12.75">
      <c r="A916" s="5" t="str">
        <f ca="1">IFERROR(__xludf.DUMMYFUNCTION("""COMPUTED_VALUE"""),"20150724TXELC")</f>
        <v>20150724TXELC</v>
      </c>
      <c r="B916" s="8">
        <f ca="1">IFERROR(__xludf.DUMMYFUNCTION("""COMPUTED_VALUE"""),42209)</f>
        <v>42209</v>
      </c>
      <c r="C916" s="5" t="str">
        <f ca="1">IFERROR(__xludf.DUMMYFUNCTION("""COMPUTED_VALUE"""),"Elolf Elementary School")</f>
        <v>Elolf Elementary School</v>
      </c>
      <c r="D916" s="5">
        <f ca="1">IFERROR(__xludf.DUMMYFUNCTION("""COMPUTED_VALUE"""),1)</f>
        <v>1</v>
      </c>
      <c r="E916" s="5">
        <f ca="1">IFERROR(__xludf.DUMMYFUNCTION("""COMPUTED_VALUE"""),0)</f>
        <v>0</v>
      </c>
      <c r="F916" s="5">
        <f ca="1">IFERROR(__xludf.DUMMYFUNCTION("""COMPUTED_VALUE"""),1)</f>
        <v>1</v>
      </c>
      <c r="G916" s="5">
        <f ca="1">IFERROR(__xludf.DUMMYFUNCTION("""COMPUTED_VALUE"""),0)</f>
        <v>0</v>
      </c>
      <c r="H916"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I916" s="5"/>
      <c r="J916" s="5"/>
      <c r="K916" s="5">
        <f ca="1">IFERROR(__xludf.DUMMYFUNCTION("""COMPUTED_VALUE"""),3)</f>
        <v>3</v>
      </c>
      <c r="L916" s="5" t="str">
        <f ca="1">IFERROR(__xludf.DUMMYFUNCTION("""COMPUTED_VALUE"""),"Summer")</f>
        <v>Summer</v>
      </c>
      <c r="M916" s="5" t="str">
        <f ca="1">IFERROR(__xludf.DUMMYFUNCTION("""COMPUTED_VALUE"""),"Converse")</f>
        <v>Converse</v>
      </c>
      <c r="N916" s="5" t="str">
        <f ca="1">IFERROR(__xludf.DUMMYFUNCTION("""COMPUTED_VALUE"""),"TX")</f>
        <v>TX</v>
      </c>
      <c r="O916" s="5" t="str">
        <f ca="1">IFERROR(__xludf.DUMMYFUNCTION("""COMPUTED_VALUE"""),"Elementary")</f>
        <v>Elementary</v>
      </c>
      <c r="P916" s="5" t="str">
        <f ca="1">IFERROR(__xludf.DUMMYFUNCTION("""COMPUTED_VALUE"""),"Parking Lot")</f>
        <v>Parking Lot</v>
      </c>
      <c r="Q916" s="5" t="str">
        <f ca="1">IFERROR(__xludf.DUMMYFUNCTION("""COMPUTED_VALUE"""),"Outside on School Property")</f>
        <v>Outside on School Property</v>
      </c>
      <c r="R916" s="5" t="str">
        <f ca="1">IFERROR(__xludf.DUMMYFUNCTION("""COMPUTED_VALUE"""),"No")</f>
        <v>No</v>
      </c>
      <c r="S916" s="5" t="str">
        <f ca="1">IFERROR(__xludf.DUMMYFUNCTION("""COMPUTED_VALUE"""),"Not a School Day")</f>
        <v>Not a School Day</v>
      </c>
      <c r="T916" s="10">
        <f ca="1">IFERROR(__xludf.DUMMYFUNCTION("""COMPUTED_VALUE"""),0.541666666666666)</f>
        <v>0.54166666666666596</v>
      </c>
      <c r="U916" s="5">
        <f ca="1">IFERROR(__xludf.DUMMYFUNCTION("""COMPUTED_VALUE"""),1)</f>
        <v>1</v>
      </c>
      <c r="V916" s="5" t="str">
        <f ca="1">IFERROR(__xludf.DUMMYFUNCTION("""COMPUTED_VALUE"""),"Drug deal/robbery gone bad")</f>
        <v>Drug deal/robbery gone bad</v>
      </c>
      <c r="W916"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X916" s="5" t="str">
        <f ca="1">IFERROR(__xludf.DUMMYFUNCTION("""COMPUTED_VALUE"""),"Illegal Activity")</f>
        <v>Illegal Activity</v>
      </c>
      <c r="Y916" s="5" t="str">
        <f ca="1">IFERROR(__xludf.DUMMYFUNCTION("""COMPUTED_VALUE"""),"Victims Targeted")</f>
        <v>Victims Targeted</v>
      </c>
      <c r="Z916" s="5" t="str">
        <f ca="1">IFERROR(__xludf.DUMMYFUNCTION("""COMPUTED_VALUE"""),"Yes")</f>
        <v>Yes</v>
      </c>
      <c r="AA916" s="5" t="str">
        <f ca="1">IFERROR(__xludf.DUMMYFUNCTION("""COMPUTED_VALUE"""),"4 other juveniles were with shooter - there to rob victim")</f>
        <v>4 other juveniles were with shooter - there to rob victim</v>
      </c>
      <c r="AB916" s="5" t="str">
        <f ca="1">IFERROR(__xludf.DUMMYFUNCTION("""COMPUTED_VALUE"""),"No")</f>
        <v>No</v>
      </c>
      <c r="AC916" s="5" t="str">
        <f ca="1">IFERROR(__xludf.DUMMYFUNCTION("""COMPUTED_VALUE"""),"No")</f>
        <v>No</v>
      </c>
      <c r="AD916" s="5" t="str">
        <f ca="1">IFERROR(__xludf.DUMMYFUNCTION("""COMPUTED_VALUE"""),"No")</f>
        <v>No</v>
      </c>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row>
    <row r="917" spans="1:34" ht="12.75">
      <c r="A917" s="5" t="str">
        <f ca="1">IFERROR(__xludf.DUMMYFUNCTION("""COMPUTED_VALUE"""),"20150705TXCOD")</f>
        <v>20150705TXCOD</v>
      </c>
      <c r="B917" s="8">
        <f ca="1">IFERROR(__xludf.DUMMYFUNCTION("""COMPUTED_VALUE"""),42190)</f>
        <v>42190</v>
      </c>
      <c r="C917" s="5" t="str">
        <f ca="1">IFERROR(__xludf.DUMMYFUNCTION("""COMPUTED_VALUE"""),"Coppell Middle School East")</f>
        <v>Coppell Middle School East</v>
      </c>
      <c r="D917" s="5">
        <f ca="1">IFERROR(__xludf.DUMMYFUNCTION("""COMPUTED_VALUE"""),0)</f>
        <v>0</v>
      </c>
      <c r="E917" s="5">
        <f ca="1">IFERROR(__xludf.DUMMYFUNCTION("""COMPUTED_VALUE"""),1)</f>
        <v>1</v>
      </c>
      <c r="F917" s="5">
        <f ca="1">IFERROR(__xludf.DUMMYFUNCTION("""COMPUTED_VALUE"""),1)</f>
        <v>1</v>
      </c>
      <c r="G917" s="5">
        <f ca="1">IFERROR(__xludf.DUMMYFUNCTION("""COMPUTED_VALUE"""),0)</f>
        <v>0</v>
      </c>
      <c r="H917"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I917" s="5"/>
      <c r="J917" s="5"/>
      <c r="K917" s="5">
        <f ca="1">IFERROR(__xludf.DUMMYFUNCTION("""COMPUTED_VALUE"""),3)</f>
        <v>3</v>
      </c>
      <c r="L917" s="5" t="str">
        <f ca="1">IFERROR(__xludf.DUMMYFUNCTION("""COMPUTED_VALUE"""),"Summer")</f>
        <v>Summer</v>
      </c>
      <c r="M917" s="5" t="str">
        <f ca="1">IFERROR(__xludf.DUMMYFUNCTION("""COMPUTED_VALUE"""),"Dallas")</f>
        <v>Dallas</v>
      </c>
      <c r="N917" s="5" t="str">
        <f ca="1">IFERROR(__xludf.DUMMYFUNCTION("""COMPUTED_VALUE"""),"TX")</f>
        <v>TX</v>
      </c>
      <c r="O917" s="5" t="str">
        <f ca="1">IFERROR(__xludf.DUMMYFUNCTION("""COMPUTED_VALUE"""),"High")</f>
        <v>High</v>
      </c>
      <c r="P917" s="5" t="str">
        <f ca="1">IFERROR(__xludf.DUMMYFUNCTION("""COMPUTED_VALUE"""),"Parking Lot")</f>
        <v>Parking Lot</v>
      </c>
      <c r="Q917" s="5" t="str">
        <f ca="1">IFERROR(__xludf.DUMMYFUNCTION("""COMPUTED_VALUE"""),"Outside on School Property")</f>
        <v>Outside on School Property</v>
      </c>
      <c r="R917" s="5" t="str">
        <f ca="1">IFERROR(__xludf.DUMMYFUNCTION("""COMPUTED_VALUE"""),"No")</f>
        <v>No</v>
      </c>
      <c r="S917" s="5" t="str">
        <f ca="1">IFERROR(__xludf.DUMMYFUNCTION("""COMPUTED_VALUE"""),"Not a School Day")</f>
        <v>Not a School Day</v>
      </c>
      <c r="T917" s="10">
        <f ca="1">IFERROR(__xludf.DUMMYFUNCTION("""COMPUTED_VALUE"""),0.75)</f>
        <v>0.75</v>
      </c>
      <c r="U917" s="5">
        <f ca="1">IFERROR(__xludf.DUMMYFUNCTION("""COMPUTED_VALUE"""),1)</f>
        <v>1</v>
      </c>
      <c r="V917" s="5" t="str">
        <f ca="1">IFERROR(__xludf.DUMMYFUNCTION("""COMPUTED_VALUE"""),"Shots fired during dispute over money at basketball game")</f>
        <v>Shots fired during dispute over money at basketball game</v>
      </c>
      <c r="W917"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X917" s="5" t="str">
        <f ca="1">IFERROR(__xludf.DUMMYFUNCTION("""COMPUTED_VALUE"""),"Escalation of Dispute")</f>
        <v>Escalation of Dispute</v>
      </c>
      <c r="Y917" s="5" t="str">
        <f ca="1">IFERROR(__xludf.DUMMYFUNCTION("""COMPUTED_VALUE"""),"Victims Targeted")</f>
        <v>Victims Targeted</v>
      </c>
      <c r="Z917" s="5"/>
      <c r="AA917" s="5"/>
      <c r="AB917" s="5" t="str">
        <f ca="1">IFERROR(__xludf.DUMMYFUNCTION("""COMPUTED_VALUE"""),"No")</f>
        <v>No</v>
      </c>
      <c r="AC917" s="5" t="str">
        <f ca="1">IFERROR(__xludf.DUMMYFUNCTION("""COMPUTED_VALUE"""),"No")</f>
        <v>No</v>
      </c>
      <c r="AD917" s="5" t="str">
        <f ca="1">IFERROR(__xludf.DUMMYFUNCTION("""COMPUTED_VALUE"""),"No")</f>
        <v>No</v>
      </c>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row>
    <row r="918" spans="1:34" ht="12.75">
      <c r="A918" s="5" t="str">
        <f ca="1">IFERROR(__xludf.DUMMYFUNCTION("""COMPUTED_VALUE"""),"20150629TXJOS")</f>
        <v>20150629TXJOS</v>
      </c>
      <c r="B918" s="8">
        <f ca="1">IFERROR(__xludf.DUMMYFUNCTION("""COMPUTED_VALUE"""),42184)</f>
        <v>42184</v>
      </c>
      <c r="C918" s="5" t="str">
        <f ca="1">IFERROR(__xludf.DUMMYFUNCTION("""COMPUTED_VALUE"""),"John Jay High School")</f>
        <v>John Jay High School</v>
      </c>
      <c r="D918" s="5">
        <f ca="1">IFERROR(__xludf.DUMMYFUNCTION("""COMPUTED_VALUE"""),0)</f>
        <v>0</v>
      </c>
      <c r="E918" s="5">
        <f ca="1">IFERROR(__xludf.DUMMYFUNCTION("""COMPUTED_VALUE"""),0)</f>
        <v>0</v>
      </c>
      <c r="F918" s="5">
        <f ca="1">IFERROR(__xludf.DUMMYFUNCTION("""COMPUTED_VALUE"""),0)</f>
        <v>0</v>
      </c>
      <c r="G918" s="5">
        <f ca="1">IFERROR(__xludf.DUMMYFUNCTION("""COMPUTED_VALUE"""),1)</f>
        <v>1</v>
      </c>
      <c r="H918" s="9" t="str">
        <f ca="1">IFERROR(__xludf.DUMMYFUNCTION("""COMPUTED_VALUE"""),"https://www.mysanantonio.com/news/local/article/Suspect-killed-by-polcie-during-chase-identified-6355557.php")</f>
        <v>https://www.mysanantonio.com/news/local/article/Suspect-killed-by-polcie-during-chase-identified-6355557.php</v>
      </c>
      <c r="I918" s="5"/>
      <c r="J918" s="5"/>
      <c r="K918" s="5">
        <f ca="1">IFERROR(__xludf.DUMMYFUNCTION("""COMPUTED_VALUE"""),2)</f>
        <v>2</v>
      </c>
      <c r="L918" s="5" t="str">
        <f ca="1">IFERROR(__xludf.DUMMYFUNCTION("""COMPUTED_VALUE"""),"Summer")</f>
        <v>Summer</v>
      </c>
      <c r="M918" s="5" t="str">
        <f ca="1">IFERROR(__xludf.DUMMYFUNCTION("""COMPUTED_VALUE"""),"San Antonio")</f>
        <v>San Antonio</v>
      </c>
      <c r="N918" s="5" t="str">
        <f ca="1">IFERROR(__xludf.DUMMYFUNCTION("""COMPUTED_VALUE"""),"TX")</f>
        <v>TX</v>
      </c>
      <c r="O918" s="5" t="str">
        <f ca="1">IFERROR(__xludf.DUMMYFUNCTION("""COMPUTED_VALUE"""),"High")</f>
        <v>High</v>
      </c>
      <c r="P918" s="5" t="str">
        <f ca="1">IFERROR(__xludf.DUMMYFUNCTION("""COMPUTED_VALUE"""),"Field (General)")</f>
        <v>Field (General)</v>
      </c>
      <c r="Q918" s="5" t="str">
        <f ca="1">IFERROR(__xludf.DUMMYFUNCTION("""COMPUTED_VALUE"""),"Outside on School Property")</f>
        <v>Outside on School Property</v>
      </c>
      <c r="R918" s="5" t="str">
        <f ca="1">IFERROR(__xludf.DUMMYFUNCTION("""COMPUTED_VALUE"""),"Yes")</f>
        <v>Yes</v>
      </c>
      <c r="S918" s="5" t="str">
        <f ca="1">IFERROR(__xludf.DUMMYFUNCTION("""COMPUTED_VALUE"""),"Afternoon Classes")</f>
        <v>Afternoon Classes</v>
      </c>
      <c r="T918" s="10">
        <f ca="1">IFERROR(__xludf.DUMMYFUNCTION("""COMPUTED_VALUE"""),0.5625)</f>
        <v>0.5625</v>
      </c>
      <c r="U918" s="5">
        <f ca="1">IFERROR(__xludf.DUMMYFUNCTION("""COMPUTED_VALUE"""),1)</f>
        <v>1</v>
      </c>
      <c r="V918" s="5" t="str">
        <f ca="1">IFERROR(__xludf.DUMMYFUNCTION("""COMPUTED_VALUE"""),"Police officer shot suspect after vehicle pursuit")</f>
        <v>Police officer shot suspect after vehicle pursuit</v>
      </c>
      <c r="W918"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X918" s="5" t="str">
        <f ca="1">IFERROR(__xludf.DUMMYFUNCTION("""COMPUTED_VALUE"""),"Illegal Activity")</f>
        <v>Illegal Activity</v>
      </c>
      <c r="Y918" s="5" t="str">
        <f ca="1">IFERROR(__xludf.DUMMYFUNCTION("""COMPUTED_VALUE"""),"Victims Targeted")</f>
        <v>Victims Targeted</v>
      </c>
      <c r="Z918" s="5" t="str">
        <f ca="1">IFERROR(__xludf.DUMMYFUNCTION("""COMPUTED_VALUE"""),"No")</f>
        <v>No</v>
      </c>
      <c r="AA918" s="5"/>
      <c r="AB918" s="5" t="str">
        <f ca="1">IFERROR(__xludf.DUMMYFUNCTION("""COMPUTED_VALUE"""),"No")</f>
        <v>No</v>
      </c>
      <c r="AC918" s="5" t="str">
        <f ca="1">IFERROR(__xludf.DUMMYFUNCTION("""COMPUTED_VALUE"""),"No")</f>
        <v>No</v>
      </c>
      <c r="AD918" s="5" t="str">
        <f ca="1">IFERROR(__xludf.DUMMYFUNCTION("""COMPUTED_VALUE"""),"Yes")</f>
        <v>Yes</v>
      </c>
      <c r="AE918" s="5" t="str">
        <f ca="1">IFERROR(__xludf.DUMMYFUNCTION("""COMPUTED_VALUE"""),"N/A")</f>
        <v>N/A</v>
      </c>
      <c r="AF918" s="5" t="str">
        <f ca="1">IFERROR(__xludf.DUMMYFUNCTION("""COMPUTED_VALUE"""),"N/A")</f>
        <v>N/A</v>
      </c>
      <c r="AG918" s="5" t="str">
        <f ca="1">IFERROR(__xludf.DUMMYFUNCTION("""COMPUTED_VALUE"""),"N/A")</f>
        <v>N/A</v>
      </c>
      <c r="AH918" s="5" t="str">
        <f ca="1">IFERROR(__xludf.DUMMYFUNCTION("""COMPUTED_VALUE"""),"No")</f>
        <v>No</v>
      </c>
    </row>
    <row r="919" spans="1:34" ht="12.75">
      <c r="A919" s="5" t="str">
        <f ca="1">IFERROR(__xludf.DUMMYFUNCTION("""COMPUTED_VALUE"""),"20150627CTSAH")</f>
        <v>20150627CTSAH</v>
      </c>
      <c r="B919" s="8">
        <f ca="1">IFERROR(__xludf.DUMMYFUNCTION("""COMPUTED_VALUE"""),42182)</f>
        <v>42182</v>
      </c>
      <c r="C919" s="5" t="str">
        <f ca="1">IFERROR(__xludf.DUMMYFUNCTION("""COMPUTED_VALUE"""),"Sarah J. Rawson Elementary School")</f>
        <v>Sarah J. Rawson Elementary School</v>
      </c>
      <c r="D919" s="5">
        <f ca="1">IFERROR(__xludf.DUMMYFUNCTION("""COMPUTED_VALUE"""),1)</f>
        <v>1</v>
      </c>
      <c r="E919" s="5">
        <f ca="1">IFERROR(__xludf.DUMMYFUNCTION("""COMPUTED_VALUE"""),3)</f>
        <v>3</v>
      </c>
      <c r="F919" s="5">
        <f ca="1">IFERROR(__xludf.DUMMYFUNCTION("""COMPUTED_VALUE"""),4)</f>
        <v>4</v>
      </c>
      <c r="G919" s="5">
        <f ca="1">IFERROR(__xludf.DUMMYFUNCTION("""COMPUTED_VALUE"""),0)</f>
        <v>0</v>
      </c>
      <c r="H919" s="9" t="str">
        <f ca="1">IFERROR(__xludf.DUMMYFUNCTION("""COMPUTED_VALUE"""),"https://www.ibtimes.com/hartford-shooting-leaves-four-injured-rawson-elementary-school-basketball-tournament-1986922")</f>
        <v>https://www.ibtimes.com/hartford-shooting-leaves-four-injured-rawson-elementary-school-basketball-tournament-1986922</v>
      </c>
      <c r="I919" s="5"/>
      <c r="J919" s="5"/>
      <c r="K919" s="5">
        <f ca="1">IFERROR(__xludf.DUMMYFUNCTION("""COMPUTED_VALUE"""),2)</f>
        <v>2</v>
      </c>
      <c r="L919" s="5" t="str">
        <f ca="1">IFERROR(__xludf.DUMMYFUNCTION("""COMPUTED_VALUE"""),"Summer")</f>
        <v>Summer</v>
      </c>
      <c r="M919" s="5" t="str">
        <f ca="1">IFERROR(__xludf.DUMMYFUNCTION("""COMPUTED_VALUE"""),"Hartford")</f>
        <v>Hartford</v>
      </c>
      <c r="N919" s="5" t="str">
        <f ca="1">IFERROR(__xludf.DUMMYFUNCTION("""COMPUTED_VALUE"""),"CT")</f>
        <v>CT</v>
      </c>
      <c r="O919" s="5" t="str">
        <f ca="1">IFERROR(__xludf.DUMMYFUNCTION("""COMPUTED_VALUE"""),"Elementary")</f>
        <v>Elementary</v>
      </c>
      <c r="P919" s="5" t="str">
        <f ca="1">IFERROR(__xludf.DUMMYFUNCTION("""COMPUTED_VALUE"""),"Gym")</f>
        <v>Gym</v>
      </c>
      <c r="Q919" s="5" t="str">
        <f ca="1">IFERROR(__xludf.DUMMYFUNCTION("""COMPUTED_VALUE"""),"Inside School Building")</f>
        <v>Inside School Building</v>
      </c>
      <c r="R919" s="5" t="str">
        <f ca="1">IFERROR(__xludf.DUMMYFUNCTION("""COMPUTED_VALUE"""),"No")</f>
        <v>No</v>
      </c>
      <c r="S919" s="5" t="str">
        <f ca="1">IFERROR(__xludf.DUMMYFUNCTION("""COMPUTED_VALUE"""),"Sport Event")</f>
        <v>Sport Event</v>
      </c>
      <c r="T919" s="10">
        <f ca="1">IFERROR(__xludf.DUMMYFUNCTION("""COMPUTED_VALUE"""),0.770833333333333)</f>
        <v>0.77083333333333304</v>
      </c>
      <c r="U919" s="5">
        <f ca="1">IFERROR(__xludf.DUMMYFUNCTION("""COMPUTED_VALUE"""),1)</f>
        <v>1</v>
      </c>
      <c r="V919" s="5" t="str">
        <f ca="1">IFERROR(__xludf.DUMMYFUNCTION("""COMPUTED_VALUE"""),"Four shot in school gym during basketball game")</f>
        <v>Four shot in school gym during basketball game</v>
      </c>
      <c r="W919"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X919" s="5" t="str">
        <f ca="1">IFERROR(__xludf.DUMMYFUNCTION("""COMPUTED_VALUE"""),"Escalation of Dispute")</f>
        <v>Escalation of Dispute</v>
      </c>
      <c r="Y919" s="5"/>
      <c r="Z919" s="5" t="str">
        <f ca="1">IFERROR(__xludf.DUMMYFUNCTION("""COMPUTED_VALUE"""),"Unknown")</f>
        <v>Unknown</v>
      </c>
      <c r="AA919" s="5"/>
      <c r="AB919" s="5" t="str">
        <f ca="1">IFERROR(__xludf.DUMMYFUNCTION("""COMPUTED_VALUE"""),"No")</f>
        <v>No</v>
      </c>
      <c r="AC919" s="5" t="str">
        <f ca="1">IFERROR(__xludf.DUMMYFUNCTION("""COMPUTED_VALUE"""),"No")</f>
        <v>No</v>
      </c>
      <c r="AD919" s="5" t="str">
        <f ca="1">IFERROR(__xludf.DUMMYFUNCTION("""COMPUTED_VALUE"""),"No")</f>
        <v>No</v>
      </c>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row>
    <row r="920" spans="1:34" ht="12.75">
      <c r="A920" s="5" t="str">
        <f ca="1">IFERROR(__xludf.DUMMYFUNCTION("""COMPUTED_VALUE"""),"20150623NEFOF")</f>
        <v>20150623NEFOF</v>
      </c>
      <c r="B920" s="8">
        <f ca="1">IFERROR(__xludf.DUMMYFUNCTION("""COMPUTED_VALUE"""),42178)</f>
        <v>42178</v>
      </c>
      <c r="C920" s="5" t="str">
        <f ca="1">IFERROR(__xludf.DUMMYFUNCTION("""COMPUTED_VALUE"""),"Fort Calhoun Elementary School")</f>
        <v>Fort Calhoun Elementary School</v>
      </c>
      <c r="D920" s="5">
        <f ca="1">IFERROR(__xludf.DUMMYFUNCTION("""COMPUTED_VALUE"""),0)</f>
        <v>0</v>
      </c>
      <c r="E920" s="5">
        <f ca="1">IFERROR(__xludf.DUMMYFUNCTION("""COMPUTED_VALUE"""),0)</f>
        <v>0</v>
      </c>
      <c r="F920" s="5">
        <f ca="1">IFERROR(__xludf.DUMMYFUNCTION("""COMPUTED_VALUE"""),0)</f>
        <v>0</v>
      </c>
      <c r="G920" s="5">
        <f ca="1">IFERROR(__xludf.DUMMYFUNCTION("""COMPUTED_VALUE"""),0)</f>
        <v>0</v>
      </c>
      <c r="H920"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I920" s="5"/>
      <c r="J920" s="5"/>
      <c r="K920" s="5">
        <f ca="1">IFERROR(__xludf.DUMMYFUNCTION("""COMPUTED_VALUE"""),3)</f>
        <v>3</v>
      </c>
      <c r="L920" s="5" t="str">
        <f ca="1">IFERROR(__xludf.DUMMYFUNCTION("""COMPUTED_VALUE"""),"Summer")</f>
        <v>Summer</v>
      </c>
      <c r="M920" s="5" t="str">
        <f ca="1">IFERROR(__xludf.DUMMYFUNCTION("""COMPUTED_VALUE"""),"Fort Calhoun")</f>
        <v>Fort Calhoun</v>
      </c>
      <c r="N920" s="5" t="str">
        <f ca="1">IFERROR(__xludf.DUMMYFUNCTION("""COMPUTED_VALUE"""),"NE")</f>
        <v>NE</v>
      </c>
      <c r="O920" s="5" t="str">
        <f ca="1">IFERROR(__xludf.DUMMYFUNCTION("""COMPUTED_VALUE"""),"Elementary")</f>
        <v>Elementary</v>
      </c>
      <c r="P920" s="5" t="str">
        <f ca="1">IFERROR(__xludf.DUMMYFUNCTION("""COMPUTED_VALUE"""),"Parking Lot")</f>
        <v>Parking Lot</v>
      </c>
      <c r="Q920" s="5" t="str">
        <f ca="1">IFERROR(__xludf.DUMMYFUNCTION("""COMPUTED_VALUE"""),"Outside on School Property")</f>
        <v>Outside on School Property</v>
      </c>
      <c r="R920" s="5" t="str">
        <f ca="1">IFERROR(__xludf.DUMMYFUNCTION("""COMPUTED_VALUE"""),"No")</f>
        <v>No</v>
      </c>
      <c r="S920" s="5" t="str">
        <f ca="1">IFERROR(__xludf.DUMMYFUNCTION("""COMPUTED_VALUE"""),"Evening")</f>
        <v>Evening</v>
      </c>
      <c r="T920" s="10">
        <f ca="1">IFERROR(__xludf.DUMMYFUNCTION("""COMPUTED_VALUE"""),0.8125)</f>
        <v>0.8125</v>
      </c>
      <c r="U920" s="5">
        <f ca="1">IFERROR(__xludf.DUMMYFUNCTION("""COMPUTED_VALUE"""),1)</f>
        <v>1</v>
      </c>
      <c r="V920" s="5" t="str">
        <f ca="1">IFERROR(__xludf.DUMMYFUNCTION("""COMPUTED_VALUE"""),"Meeting in parking lot between non-students turned violent")</f>
        <v>Meeting in parking lot between non-students turned violent</v>
      </c>
      <c r="W920"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X920" s="5" t="str">
        <f ca="1">IFERROR(__xludf.DUMMYFUNCTION("""COMPUTED_VALUE"""),"Escalation of Dispute")</f>
        <v>Escalation of Dispute</v>
      </c>
      <c r="Y920" s="5" t="str">
        <f ca="1">IFERROR(__xludf.DUMMYFUNCTION("""COMPUTED_VALUE"""),"Victims Targeted")</f>
        <v>Victims Targeted</v>
      </c>
      <c r="Z920" s="5" t="str">
        <f ca="1">IFERROR(__xludf.DUMMYFUNCTION("""COMPUTED_VALUE"""),"Yes")</f>
        <v>Yes</v>
      </c>
      <c r="AA920" s="5" t="str">
        <f ca="1">IFERROR(__xludf.DUMMYFUNCTION("""COMPUTED_VALUE"""),"Davante Valoon (20)")</f>
        <v>Davante Valoon (20)</v>
      </c>
      <c r="AB920" s="5" t="str">
        <f ca="1">IFERROR(__xludf.DUMMYFUNCTION("""COMPUTED_VALUE"""),"No")</f>
        <v>No</v>
      </c>
      <c r="AC920" s="5" t="str">
        <f ca="1">IFERROR(__xludf.DUMMYFUNCTION("""COMPUTED_VALUE"""),"No")</f>
        <v>No</v>
      </c>
      <c r="AD920" s="5" t="str">
        <f ca="1">IFERROR(__xludf.DUMMYFUNCTION("""COMPUTED_VALUE"""),"No")</f>
        <v>No</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row>
    <row r="921" spans="1:34" ht="12.75">
      <c r="A921" s="5" t="str">
        <f ca="1">IFERROR(__xludf.DUMMYFUNCTION("""COMPUTED_VALUE"""),"20150604NCSOF")</f>
        <v>20150604NCSOF</v>
      </c>
      <c r="B921" s="8">
        <f ca="1">IFERROR(__xludf.DUMMYFUNCTION("""COMPUTED_VALUE"""),42159)</f>
        <v>42159</v>
      </c>
      <c r="C921" s="5" t="str">
        <f ca="1">IFERROR(__xludf.DUMMYFUNCTION("""COMPUTED_VALUE"""),"South Macon Elementary School")</f>
        <v>South Macon Elementary School</v>
      </c>
      <c r="D921" s="5">
        <f ca="1">IFERROR(__xludf.DUMMYFUNCTION("""COMPUTED_VALUE"""),0)</f>
        <v>0</v>
      </c>
      <c r="E921" s="5">
        <f ca="1">IFERROR(__xludf.DUMMYFUNCTION("""COMPUTED_VALUE"""),0)</f>
        <v>0</v>
      </c>
      <c r="F921" s="5">
        <f ca="1">IFERROR(__xludf.DUMMYFUNCTION("""COMPUTED_VALUE"""),0)</f>
        <v>0</v>
      </c>
      <c r="G921" s="5">
        <f ca="1">IFERROR(__xludf.DUMMYFUNCTION("""COMPUTED_VALUE"""),0)</f>
        <v>0</v>
      </c>
      <c r="H921" s="9" t="str">
        <f ca="1">IFERROR(__xludf.DUMMYFUNCTION("""COMPUTED_VALUE"""),"https://www.citizen-times.com/story/news/crime/2015/06/04/armed-suspects-found-macon-county-school-custody/28467377/")</f>
        <v>https://www.citizen-times.com/story/news/crime/2015/06/04/armed-suspects-found-macon-county-school-custody/28467377/</v>
      </c>
      <c r="I921" s="5"/>
      <c r="J921" s="5" t="str">
        <f ca="1">IFERROR(__xludf.DUMMYFUNCTION("""COMPUTED_VALUE"""),"Local")</f>
        <v>Local</v>
      </c>
      <c r="K921" s="5">
        <f ca="1">IFERROR(__xludf.DUMMYFUNCTION("""COMPUTED_VALUE"""),3)</f>
        <v>3</v>
      </c>
      <c r="L921" s="5" t="str">
        <f ca="1">IFERROR(__xludf.DUMMYFUNCTION("""COMPUTED_VALUE"""),"Summer")</f>
        <v>Summer</v>
      </c>
      <c r="M921" s="5" t="str">
        <f ca="1">IFERROR(__xludf.DUMMYFUNCTION("""COMPUTED_VALUE"""),"Franklin")</f>
        <v>Franklin</v>
      </c>
      <c r="N921" s="5" t="str">
        <f ca="1">IFERROR(__xludf.DUMMYFUNCTION("""COMPUTED_VALUE"""),"NC")</f>
        <v>NC</v>
      </c>
      <c r="O921" s="5" t="str">
        <f ca="1">IFERROR(__xludf.DUMMYFUNCTION("""COMPUTED_VALUE"""),"Elementary")</f>
        <v>Elementary</v>
      </c>
      <c r="P921" s="5" t="str">
        <f ca="1">IFERROR(__xludf.DUMMYFUNCTION("""COMPUTED_VALUE"""),"Parking Lot")</f>
        <v>Parking Lot</v>
      </c>
      <c r="Q921" s="5" t="str">
        <f ca="1">IFERROR(__xludf.DUMMYFUNCTION("""COMPUTED_VALUE"""),"Outside on School Property")</f>
        <v>Outside on School Property</v>
      </c>
      <c r="R921" s="5" t="str">
        <f ca="1">IFERROR(__xludf.DUMMYFUNCTION("""COMPUTED_VALUE"""),"Yes")</f>
        <v>Yes</v>
      </c>
      <c r="S921" s="5" t="str">
        <f ca="1">IFERROR(__xludf.DUMMYFUNCTION("""COMPUTED_VALUE"""),"Before School")</f>
        <v>Before School</v>
      </c>
      <c r="T921" s="10">
        <f ca="1">IFERROR(__xludf.DUMMYFUNCTION("""COMPUTED_VALUE"""),0.227083333333333)</f>
        <v>0.227083333333333</v>
      </c>
      <c r="U921" s="5">
        <f ca="1">IFERROR(__xludf.DUMMYFUNCTION("""COMPUTED_VALUE"""),1)</f>
        <v>1</v>
      </c>
      <c r="V921" s="5" t="str">
        <f ca="1">IFERROR(__xludf.DUMMYFUNCTION("""COMPUTED_VALUE"""),"Male and female came to school with several guns, shot/killed a cat, had plan to kill children")</f>
        <v>Male and female came to school with several guns, shot/killed a cat, had plan to kill children</v>
      </c>
      <c r="W921"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X921" s="5" t="str">
        <f ca="1">IFERROR(__xludf.DUMMYFUNCTION("""COMPUTED_VALUE"""),"Indiscriminate Shooting")</f>
        <v>Indiscriminate Shooting</v>
      </c>
      <c r="Y921" s="5" t="str">
        <f ca="1">IFERROR(__xludf.DUMMYFUNCTION("""COMPUTED_VALUE"""),"Random Shooting")</f>
        <v>Random Shooting</v>
      </c>
      <c r="Z921" s="5" t="str">
        <f ca="1">IFERROR(__xludf.DUMMYFUNCTION("""COMPUTED_VALUE"""),"Yes")</f>
        <v>Yes</v>
      </c>
      <c r="AA921" s="5" t="str">
        <f ca="1">IFERROR(__xludf.DUMMYFUNCTION("""COMPUTED_VALUE"""),"Two adults involved")</f>
        <v>Two adults involved</v>
      </c>
      <c r="AB921" s="5" t="str">
        <f ca="1">IFERROR(__xludf.DUMMYFUNCTION("""COMPUTED_VALUE"""),"No")</f>
        <v>No</v>
      </c>
      <c r="AC921" s="5" t="str">
        <f ca="1">IFERROR(__xludf.DUMMYFUNCTION("""COMPUTED_VALUE"""),"No")</f>
        <v>No</v>
      </c>
      <c r="AD921" s="5" t="str">
        <f ca="1">IFERROR(__xludf.DUMMYFUNCTION("""COMPUTED_VALUE"""),"No")</f>
        <v>No</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IFERROR(__xludf.DUMMYFUNCTION("""COMPUTED_VALUE"""),"Yes")</f>
        <v>Yes</v>
      </c>
    </row>
    <row r="922" spans="1:34" ht="12.75">
      <c r="A922" s="5" t="str">
        <f ca="1">IFERROR(__xludf.DUMMYFUNCTION("""COMPUTED_VALUE"""),"20150527FLEVE")</f>
        <v>20150527FLEVE</v>
      </c>
      <c r="B922" s="8">
        <f ca="1">IFERROR(__xludf.DUMMYFUNCTION("""COMPUTED_VALUE"""),42151)</f>
        <v>42151</v>
      </c>
      <c r="C922" s="5" t="str">
        <f ca="1">IFERROR(__xludf.DUMMYFUNCTION("""COMPUTED_VALUE"""),"Everglades City School")</f>
        <v>Everglades City School</v>
      </c>
      <c r="D922" s="5">
        <f ca="1">IFERROR(__xludf.DUMMYFUNCTION("""COMPUTED_VALUE"""),0)</f>
        <v>0</v>
      </c>
      <c r="E922" s="5">
        <f ca="1">IFERROR(__xludf.DUMMYFUNCTION("""COMPUTED_VALUE"""),1)</f>
        <v>1</v>
      </c>
      <c r="F922" s="5">
        <f ca="1">IFERROR(__xludf.DUMMYFUNCTION("""COMPUTED_VALUE"""),1)</f>
        <v>1</v>
      </c>
      <c r="G922" s="5">
        <f ca="1">IFERROR(__xludf.DUMMYFUNCTION("""COMPUTED_VALUE"""),0)</f>
        <v>0</v>
      </c>
      <c r="H922" s="9" t="str">
        <f ca="1">IFERROR(__xludf.DUMMYFUNCTION("""COMPUTED_VALUE"""),"http://archive.naplesnews.com/news/crime/everglades-city-man-charged-in-shooting-ep-1109639680-337933051.html")</f>
        <v>http://archive.naplesnews.com/news/crime/everglades-city-man-charged-in-shooting-ep-1109639680-337933051.html</v>
      </c>
      <c r="I922" s="5"/>
      <c r="J922" s="5"/>
      <c r="K922" s="5">
        <f ca="1">IFERROR(__xludf.DUMMYFUNCTION("""COMPUTED_VALUE"""),2)</f>
        <v>2</v>
      </c>
      <c r="L922" s="5" t="str">
        <f ca="1">IFERROR(__xludf.DUMMYFUNCTION("""COMPUTED_VALUE"""),"Spring")</f>
        <v>Spring</v>
      </c>
      <c r="M922" s="5" t="str">
        <f ca="1">IFERROR(__xludf.DUMMYFUNCTION("""COMPUTED_VALUE"""),"Everglades City")</f>
        <v>Everglades City</v>
      </c>
      <c r="N922" s="5" t="str">
        <f ca="1">IFERROR(__xludf.DUMMYFUNCTION("""COMPUTED_VALUE"""),"FL")</f>
        <v>FL</v>
      </c>
      <c r="O922" s="5" t="str">
        <f ca="1">IFERROR(__xludf.DUMMYFUNCTION("""COMPUTED_VALUE"""),"K-12")</f>
        <v>K-12</v>
      </c>
      <c r="P922" s="5" t="str">
        <f ca="1">IFERROR(__xludf.DUMMYFUNCTION("""COMPUTED_VALUE"""),"Beside Building")</f>
        <v>Beside Building</v>
      </c>
      <c r="Q922" s="5" t="str">
        <f ca="1">IFERROR(__xludf.DUMMYFUNCTION("""COMPUTED_VALUE"""),"Outside on School Property")</f>
        <v>Outside on School Property</v>
      </c>
      <c r="R922" s="5" t="str">
        <f ca="1">IFERROR(__xludf.DUMMYFUNCTION("""COMPUTED_VALUE"""),"No")</f>
        <v>No</v>
      </c>
      <c r="S922" s="5" t="str">
        <f ca="1">IFERROR(__xludf.DUMMYFUNCTION("""COMPUTED_VALUE"""),"Evening")</f>
        <v>Evening</v>
      </c>
      <c r="T922" s="10">
        <f ca="1">IFERROR(__xludf.DUMMYFUNCTION("""COMPUTED_VALUE"""),0.84375)</f>
        <v>0.84375</v>
      </c>
      <c r="U922" s="5">
        <f ca="1">IFERROR(__xludf.DUMMYFUNCTION("""COMPUTED_VALUE"""),1)</f>
        <v>1</v>
      </c>
      <c r="V922" s="5" t="str">
        <f ca="1">IFERROR(__xludf.DUMMYFUNCTION("""COMPUTED_VALUE"""),"Fight between men behind school, one fired shots at the other")</f>
        <v>Fight between men behind school, one fired shots at the other</v>
      </c>
      <c r="W922"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X922" s="5" t="str">
        <f ca="1">IFERROR(__xludf.DUMMYFUNCTION("""COMPUTED_VALUE"""),"Escalation of Dispute")</f>
        <v>Escalation of Dispute</v>
      </c>
      <c r="Y922" s="5" t="str">
        <f ca="1">IFERROR(__xludf.DUMMYFUNCTION("""COMPUTED_VALUE"""),"Victims Targeted")</f>
        <v>Victims Targeted</v>
      </c>
      <c r="Z922" s="5" t="str">
        <f ca="1">IFERROR(__xludf.DUMMYFUNCTION("""COMPUTED_VALUE"""),"No")</f>
        <v>No</v>
      </c>
      <c r="AA922" s="5"/>
      <c r="AB922" s="5" t="str">
        <f ca="1">IFERROR(__xludf.DUMMYFUNCTION("""COMPUTED_VALUE"""),"No")</f>
        <v>No</v>
      </c>
      <c r="AC922" s="5" t="str">
        <f ca="1">IFERROR(__xludf.DUMMYFUNCTION("""COMPUTED_VALUE"""),"No")</f>
        <v>No</v>
      </c>
      <c r="AD922" s="5" t="str">
        <f ca="1">IFERROR(__xludf.DUMMYFUNCTION("""COMPUTED_VALUE"""),"No")</f>
        <v>No</v>
      </c>
      <c r="AE922" s="5" t="str">
        <f ca="1">IFERROR(__xludf.DUMMYFUNCTION("""COMPUTED_VALUE"""),"No")</f>
        <v>No</v>
      </c>
      <c r="AF922" s="5"/>
      <c r="AG922" s="5" t="str">
        <f ca="1">IFERROR(__xludf.DUMMYFUNCTION("""COMPUTED_VALUE"""),"No")</f>
        <v>No</v>
      </c>
      <c r="AH922" s="5" t="str">
        <f ca="1">IFERROR(__xludf.DUMMYFUNCTION("""COMPUTED_VALUE"""),"No")</f>
        <v>No</v>
      </c>
    </row>
    <row r="923" spans="1:34" ht="12.75">
      <c r="A923" s="5" t="str">
        <f ca="1">IFERROR(__xludf.DUMMYFUNCTION("""COMPUTED_VALUE"""),"20150524MISOF")</f>
        <v>20150524MISOF</v>
      </c>
      <c r="B923" s="8">
        <f ca="1">IFERROR(__xludf.DUMMYFUNCTION("""COMPUTED_VALUE"""),42148)</f>
        <v>42148</v>
      </c>
      <c r="C923" s="5" t="str">
        <f ca="1">IFERROR(__xludf.DUMMYFUNCTION("""COMPUTED_VALUE"""),"Southwestern Classical Academy")</f>
        <v>Southwestern Classical Academy</v>
      </c>
      <c r="D923" s="5">
        <f ca="1">IFERROR(__xludf.DUMMYFUNCTION("""COMPUTED_VALUE"""),0)</f>
        <v>0</v>
      </c>
      <c r="E923" s="5">
        <f ca="1">IFERROR(__xludf.DUMMYFUNCTION("""COMPUTED_VALUE"""),7)</f>
        <v>7</v>
      </c>
      <c r="F923" s="5">
        <f ca="1">IFERROR(__xludf.DUMMYFUNCTION("""COMPUTED_VALUE"""),7)</f>
        <v>7</v>
      </c>
      <c r="G923" s="5">
        <f ca="1">IFERROR(__xludf.DUMMYFUNCTION("""COMPUTED_VALUE"""),0)</f>
        <v>0</v>
      </c>
      <c r="H923"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I923" s="5"/>
      <c r="J923" s="5"/>
      <c r="K923" s="5">
        <f ca="1">IFERROR(__xludf.DUMMYFUNCTION("""COMPUTED_VALUE"""),3)</f>
        <v>3</v>
      </c>
      <c r="L923" s="5" t="str">
        <f ca="1">IFERROR(__xludf.DUMMYFUNCTION("""COMPUTED_VALUE"""),"Spring")</f>
        <v>Spring</v>
      </c>
      <c r="M923" s="5" t="str">
        <f ca="1">IFERROR(__xludf.DUMMYFUNCTION("""COMPUTED_VALUE"""),"Flint")</f>
        <v>Flint</v>
      </c>
      <c r="N923" s="5" t="str">
        <f ca="1">IFERROR(__xludf.DUMMYFUNCTION("""COMPUTED_VALUE"""),"MI")</f>
        <v>MI</v>
      </c>
      <c r="O923" s="5" t="str">
        <f ca="1">IFERROR(__xludf.DUMMYFUNCTION("""COMPUTED_VALUE"""),"Elementary")</f>
        <v>Elementary</v>
      </c>
      <c r="P923" s="5" t="str">
        <f ca="1">IFERROR(__xludf.DUMMYFUNCTION("""COMPUTED_VALUE"""),"Parking Lot")</f>
        <v>Parking Lot</v>
      </c>
      <c r="Q923" s="5" t="str">
        <f ca="1">IFERROR(__xludf.DUMMYFUNCTION("""COMPUTED_VALUE"""),"Outside on School Property")</f>
        <v>Outside on School Property</v>
      </c>
      <c r="R923" s="5" t="str">
        <f ca="1">IFERROR(__xludf.DUMMYFUNCTION("""COMPUTED_VALUE"""),"No")</f>
        <v>No</v>
      </c>
      <c r="S923" s="5" t="str">
        <f ca="1">IFERROR(__xludf.DUMMYFUNCTION("""COMPUTED_VALUE"""),"Not a School Day")</f>
        <v>Not a School Day</v>
      </c>
      <c r="T923" s="10">
        <f ca="1">IFERROR(__xludf.DUMMYFUNCTION("""COMPUTED_VALUE"""),0.0833333333333333)</f>
        <v>8.3333333333333301E-2</v>
      </c>
      <c r="U923" s="5">
        <f ca="1">IFERROR(__xludf.DUMMYFUNCTION("""COMPUTED_VALUE"""),1)</f>
        <v>1</v>
      </c>
      <c r="V923" s="5" t="str">
        <f ca="1">IFERROR(__xludf.DUMMYFUNCTION("""COMPUTED_VALUE"""),"Shots fired during fight outside of school")</f>
        <v>Shots fired during fight outside of school</v>
      </c>
      <c r="W923"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X923" s="5" t="str">
        <f ca="1">IFERROR(__xludf.DUMMYFUNCTION("""COMPUTED_VALUE"""),"Escalation of Dispute")</f>
        <v>Escalation of Dispute</v>
      </c>
      <c r="Y923" s="5"/>
      <c r="Z923" s="5"/>
      <c r="AA923" s="5"/>
      <c r="AB923" s="5" t="str">
        <f ca="1">IFERROR(__xludf.DUMMYFUNCTION("""COMPUTED_VALUE"""),"No")</f>
        <v>No</v>
      </c>
      <c r="AC923" s="5" t="str">
        <f ca="1">IFERROR(__xludf.DUMMYFUNCTION("""COMPUTED_VALUE"""),"No")</f>
        <v>No</v>
      </c>
      <c r="AD923" s="5" t="str">
        <f ca="1">IFERROR(__xludf.DUMMYFUNCTION("""COMPUTED_VALUE"""),"No")</f>
        <v>No</v>
      </c>
      <c r="AE923" s="5"/>
      <c r="AF923" s="5"/>
      <c r="AG923" s="5" t="str">
        <f ca="1">IFERROR(__xludf.DUMMYFUNCTION("""COMPUTED_VALUE"""),"No")</f>
        <v>No</v>
      </c>
      <c r="AH923" s="5" t="str">
        <f ca="1">IFERROR(__xludf.DUMMYFUNCTION("""COMPUTED_VALUE"""),"No")</f>
        <v>No</v>
      </c>
    </row>
    <row r="924" spans="1:34" ht="12.75">
      <c r="A924" s="5" t="str">
        <f ca="1">IFERROR(__xludf.DUMMYFUNCTION("""COMPUTED_VALUE"""),"20150521FLDUJ")</f>
        <v>20150521FLDUJ</v>
      </c>
      <c r="B924" s="8">
        <f ca="1">IFERROR(__xludf.DUMMYFUNCTION("""COMPUTED_VALUE"""),42145)</f>
        <v>42145</v>
      </c>
      <c r="C924" s="5" t="str">
        <f ca="1">IFERROR(__xludf.DUMMYFUNCTION("""COMPUTED_VALUE"""),"Duval County School Bus")</f>
        <v>Duval County School Bus</v>
      </c>
      <c r="D924" s="5">
        <f ca="1">IFERROR(__xludf.DUMMYFUNCTION("""COMPUTED_VALUE"""),0)</f>
        <v>0</v>
      </c>
      <c r="E924" s="5">
        <f ca="1">IFERROR(__xludf.DUMMYFUNCTION("""COMPUTED_VALUE"""),2)</f>
        <v>2</v>
      </c>
      <c r="F924" s="5">
        <f ca="1">IFERROR(__xludf.DUMMYFUNCTION("""COMPUTED_VALUE"""),2)</f>
        <v>2</v>
      </c>
      <c r="G924" s="5">
        <f ca="1">IFERROR(__xludf.DUMMYFUNCTION("""COMPUTED_VALUE"""),0)</f>
        <v>0</v>
      </c>
      <c r="H924"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I924" s="5">
        <f ca="1">IFERROR(__xludf.DUMMYFUNCTION("""COMPUTED_VALUE"""),2)</f>
        <v>2</v>
      </c>
      <c r="J924" s="5" t="str">
        <f ca="1">IFERROR(__xludf.DUMMYFUNCTION("""COMPUTED_VALUE"""),"Local")</f>
        <v>Local</v>
      </c>
      <c r="K924" s="5">
        <f ca="1">IFERROR(__xludf.DUMMYFUNCTION("""COMPUTED_VALUE"""),5)</f>
        <v>5</v>
      </c>
      <c r="L924" s="5" t="str">
        <f ca="1">IFERROR(__xludf.DUMMYFUNCTION("""COMPUTED_VALUE"""),"Spring")</f>
        <v>Spring</v>
      </c>
      <c r="M924" s="5" t="str">
        <f ca="1">IFERROR(__xludf.DUMMYFUNCTION("""COMPUTED_VALUE"""),"Jacksonville")</f>
        <v>Jacksonville</v>
      </c>
      <c r="N924" s="5" t="str">
        <f ca="1">IFERROR(__xludf.DUMMYFUNCTION("""COMPUTED_VALUE"""),"FL")</f>
        <v>FL</v>
      </c>
      <c r="O924" s="5" t="str">
        <f ca="1">IFERROR(__xludf.DUMMYFUNCTION("""COMPUTED_VALUE"""),"High")</f>
        <v>High</v>
      </c>
      <c r="P924" s="5" t="str">
        <f ca="1">IFERROR(__xludf.DUMMYFUNCTION("""COMPUTED_VALUE"""),"School Bus")</f>
        <v>School Bus</v>
      </c>
      <c r="Q924" s="5" t="str">
        <f ca="1">IFERROR(__xludf.DUMMYFUNCTION("""COMPUTED_VALUE"""),"School Bus")</f>
        <v>School Bus</v>
      </c>
      <c r="R924" s="5" t="str">
        <f ca="1">IFERROR(__xludf.DUMMYFUNCTION("""COMPUTED_VALUE"""),"Yes")</f>
        <v>Yes</v>
      </c>
      <c r="S924" s="5" t="str">
        <f ca="1">IFERROR(__xludf.DUMMYFUNCTION("""COMPUTED_VALUE"""),"Dismissal")</f>
        <v>Dismissal</v>
      </c>
      <c r="T924" s="5"/>
      <c r="U924" s="5">
        <f ca="1">IFERROR(__xludf.DUMMYFUNCTION("""COMPUTED_VALUE"""),1)</f>
        <v>1</v>
      </c>
      <c r="V924" s="5" t="str">
        <f ca="1">IFERROR(__xludf.DUMMYFUNCTION("""COMPUTED_VALUE"""),"Teen fired 5 shots into school bus injuring 2 teen girls")</f>
        <v>Teen fired 5 shots into school bus injuring 2 teen girls</v>
      </c>
      <c r="W924"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X924" s="5" t="str">
        <f ca="1">IFERROR(__xludf.DUMMYFUNCTION("""COMPUTED_VALUE"""),"Escalation of Dispute")</f>
        <v>Escalation of Dispute</v>
      </c>
      <c r="Y924" s="5" t="str">
        <f ca="1">IFERROR(__xludf.DUMMYFUNCTION("""COMPUTED_VALUE"""),"Both")</f>
        <v>Both</v>
      </c>
      <c r="Z924" s="5" t="str">
        <f ca="1">IFERROR(__xludf.DUMMYFUNCTION("""COMPUTED_VALUE"""),"No")</f>
        <v>No</v>
      </c>
      <c r="AA924" s="5"/>
      <c r="AB924" s="5" t="str">
        <f ca="1">IFERROR(__xludf.DUMMYFUNCTION("""COMPUTED_VALUE"""),"No")</f>
        <v>No</v>
      </c>
      <c r="AC924" s="5" t="str">
        <f ca="1">IFERROR(__xludf.DUMMYFUNCTION("""COMPUTED_VALUE"""),"No")</f>
        <v>No</v>
      </c>
      <c r="AD924" s="5" t="str">
        <f ca="1">IFERROR(__xludf.DUMMYFUNCTION("""COMPUTED_VALUE"""),"No")</f>
        <v>No</v>
      </c>
      <c r="AE924" s="5" t="str">
        <f ca="1">IFERROR(__xludf.DUMMYFUNCTION("""COMPUTED_VALUE"""),"No")</f>
        <v>No</v>
      </c>
      <c r="AF924" s="5" t="str">
        <f ca="1">IFERROR(__xludf.DUMMYFUNCTION("""COMPUTED_VALUE"""),"No")</f>
        <v>No</v>
      </c>
      <c r="AG924" s="5"/>
      <c r="AH924" s="5" t="str">
        <f ca="1">IFERROR(__xludf.DUMMYFUNCTION("""COMPUTED_VALUE"""),"No")</f>
        <v>No</v>
      </c>
    </row>
    <row r="925" spans="1:34" ht="12.75">
      <c r="A925" s="5" t="str">
        <f ca="1">IFERROR(__xludf.DUMMYFUNCTION("""COMPUTED_VALUE"""),"20150520TXROR")</f>
        <v>20150520TXROR</v>
      </c>
      <c r="B925" s="8">
        <f ca="1">IFERROR(__xludf.DUMMYFUNCTION("""COMPUTED_VALUE"""),42144)</f>
        <v>42144</v>
      </c>
      <c r="C925" s="5" t="str">
        <f ca="1">IFERROR(__xludf.DUMMYFUNCTION("""COMPUTED_VALUE"""),"Robinson High School")</f>
        <v>Robinson High School</v>
      </c>
      <c r="D925" s="5">
        <f ca="1">IFERROR(__xludf.DUMMYFUNCTION("""COMPUTED_VALUE"""),0)</f>
        <v>0</v>
      </c>
      <c r="E925" s="5">
        <f ca="1">IFERROR(__xludf.DUMMYFUNCTION("""COMPUTED_VALUE"""),0)</f>
        <v>0</v>
      </c>
      <c r="F925" s="5">
        <f ca="1">IFERROR(__xludf.DUMMYFUNCTION("""COMPUTED_VALUE"""),0)</f>
        <v>0</v>
      </c>
      <c r="G925" s="5">
        <f ca="1">IFERROR(__xludf.DUMMYFUNCTION("""COMPUTED_VALUE"""),1)</f>
        <v>1</v>
      </c>
      <c r="H925"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I925" s="5"/>
      <c r="J925" s="5"/>
      <c r="K925" s="5">
        <f ca="1">IFERROR(__xludf.DUMMYFUNCTION("""COMPUTED_VALUE"""),3)</f>
        <v>3</v>
      </c>
      <c r="L925" s="5" t="str">
        <f ca="1">IFERROR(__xludf.DUMMYFUNCTION("""COMPUTED_VALUE"""),"Spring")</f>
        <v>Spring</v>
      </c>
      <c r="M925" s="5" t="str">
        <f ca="1">IFERROR(__xludf.DUMMYFUNCTION("""COMPUTED_VALUE"""),"Robinson")</f>
        <v>Robinson</v>
      </c>
      <c r="N925" s="5" t="str">
        <f ca="1">IFERROR(__xludf.DUMMYFUNCTION("""COMPUTED_VALUE"""),"TX")</f>
        <v>TX</v>
      </c>
      <c r="O925" s="5" t="str">
        <f ca="1">IFERROR(__xludf.DUMMYFUNCTION("""COMPUTED_VALUE"""),"High")</f>
        <v>High</v>
      </c>
      <c r="P925" s="5" t="str">
        <f ca="1">IFERROR(__xludf.DUMMYFUNCTION("""COMPUTED_VALUE"""),"Parking Lot")</f>
        <v>Parking Lot</v>
      </c>
      <c r="Q925" s="5" t="str">
        <f ca="1">IFERROR(__xludf.DUMMYFUNCTION("""COMPUTED_VALUE"""),"Outside on School Property")</f>
        <v>Outside on School Property</v>
      </c>
      <c r="R925" s="5" t="str">
        <f ca="1">IFERROR(__xludf.DUMMYFUNCTION("""COMPUTED_VALUE"""),"Yes")</f>
        <v>Yes</v>
      </c>
      <c r="S925" s="5" t="str">
        <f ca="1">IFERROR(__xludf.DUMMYFUNCTION("""COMPUTED_VALUE"""),"Morning Classes")</f>
        <v>Morning Classes</v>
      </c>
      <c r="T925" s="10">
        <f ca="1">IFERROR(__xludf.DUMMYFUNCTION("""COMPUTED_VALUE"""),0.395833333333333)</f>
        <v>0.39583333333333298</v>
      </c>
      <c r="U925" s="5">
        <f ca="1">IFERROR(__xludf.DUMMYFUNCTION("""COMPUTED_VALUE"""),1)</f>
        <v>1</v>
      </c>
      <c r="V925" s="5" t="str">
        <f ca="1">IFERROR(__xludf.DUMMYFUNCTION("""COMPUTED_VALUE"""),"Suicide in school")</f>
        <v>Suicide in school</v>
      </c>
      <c r="W925"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X925" s="5" t="str">
        <f ca="1">IFERROR(__xludf.DUMMYFUNCTION("""COMPUTED_VALUE"""),"Suicide/Attempted")</f>
        <v>Suicide/Attempted</v>
      </c>
      <c r="Y925" s="5" t="str">
        <f ca="1">IFERROR(__xludf.DUMMYFUNCTION("""COMPUTED_VALUE"""),"Both")</f>
        <v>Both</v>
      </c>
      <c r="Z925" s="5" t="str">
        <f ca="1">IFERROR(__xludf.DUMMYFUNCTION("""COMPUTED_VALUE"""),"No")</f>
        <v>No</v>
      </c>
      <c r="AA925" s="5"/>
      <c r="AB925" s="5" t="str">
        <f ca="1">IFERROR(__xludf.DUMMYFUNCTION("""COMPUTED_VALUE"""),"No")</f>
        <v>No</v>
      </c>
      <c r="AC925" s="5" t="str">
        <f ca="1">IFERROR(__xludf.DUMMYFUNCTION("""COMPUTED_VALUE"""),"No")</f>
        <v>No</v>
      </c>
      <c r="AD925" s="5" t="str">
        <f ca="1">IFERROR(__xludf.DUMMYFUNCTION("""COMPUTED_VALUE"""),"No")</f>
        <v>No</v>
      </c>
      <c r="AE925" s="5"/>
      <c r="AF925" s="5"/>
      <c r="AG925" s="5" t="str">
        <f ca="1">IFERROR(__xludf.DUMMYFUNCTION("""COMPUTED_VALUE"""),"No")</f>
        <v>No</v>
      </c>
      <c r="AH925" s="5" t="str">
        <f ca="1">IFERROR(__xludf.DUMMYFUNCTION("""COMPUTED_VALUE"""),"No")</f>
        <v>No</v>
      </c>
    </row>
    <row r="926" spans="1:34" ht="12.75">
      <c r="A926" s="5" t="str">
        <f ca="1">IFERROR(__xludf.DUMMYFUNCTION("""COMPUTED_VALUE"""),"20150512FLUNJ")</f>
        <v>20150512FLUNJ</v>
      </c>
      <c r="B926" s="8">
        <f ca="1">IFERROR(__xludf.DUMMYFUNCTION("""COMPUTED_VALUE"""),42136)</f>
        <v>42136</v>
      </c>
      <c r="C926" s="5" t="str">
        <f ca="1">IFERROR(__xludf.DUMMYFUNCTION("""COMPUTED_VALUE"""),"Unknown School (bus)")</f>
        <v>Unknown School (bus)</v>
      </c>
      <c r="D926" s="5">
        <f ca="1">IFERROR(__xludf.DUMMYFUNCTION("""COMPUTED_VALUE"""),0)</f>
        <v>0</v>
      </c>
      <c r="E926" s="5">
        <f ca="1">IFERROR(__xludf.DUMMYFUNCTION("""COMPUTED_VALUE"""),2)</f>
        <v>2</v>
      </c>
      <c r="F926" s="5">
        <f ca="1">IFERROR(__xludf.DUMMYFUNCTION("""COMPUTED_VALUE"""),2)</f>
        <v>2</v>
      </c>
      <c r="G926" s="5">
        <f ca="1">IFERROR(__xludf.DUMMYFUNCTION("""COMPUTED_VALUE"""),0)</f>
        <v>0</v>
      </c>
      <c r="H926" s="9" t="str">
        <f ca="1">IFERROR(__xludf.DUMMYFUNCTION("""COMPUTED_VALUE"""),"http://www.jacksonville.com/breaking-news/2015-05-14/story/two-students-shot-school-bus-jacksonvilles-westside-police-searching")</f>
        <v>http://www.jacksonville.com/breaking-news/2015-05-14/story/two-students-shot-school-bus-jacksonvilles-westside-police-searching</v>
      </c>
      <c r="I926" s="5">
        <f ca="1">IFERROR(__xludf.DUMMYFUNCTION("""COMPUTED_VALUE"""),1)</f>
        <v>1</v>
      </c>
      <c r="J926" s="5" t="str">
        <f ca="1">IFERROR(__xludf.DUMMYFUNCTION("""COMPUTED_VALUE"""),"Local")</f>
        <v>Local</v>
      </c>
      <c r="K926" s="5">
        <f ca="1">IFERROR(__xludf.DUMMYFUNCTION("""COMPUTED_VALUE"""),2)</f>
        <v>2</v>
      </c>
      <c r="L926" s="5" t="str">
        <f ca="1">IFERROR(__xludf.DUMMYFUNCTION("""COMPUTED_VALUE"""),"Spring")</f>
        <v>Spring</v>
      </c>
      <c r="M926" s="5" t="str">
        <f ca="1">IFERROR(__xludf.DUMMYFUNCTION("""COMPUTED_VALUE"""),"Jacksonville")</f>
        <v>Jacksonville</v>
      </c>
      <c r="N926" s="5" t="str">
        <f ca="1">IFERROR(__xludf.DUMMYFUNCTION("""COMPUTED_VALUE"""),"FL")</f>
        <v>FL</v>
      </c>
      <c r="O926" s="5"/>
      <c r="P926" s="5" t="str">
        <f ca="1">IFERROR(__xludf.DUMMYFUNCTION("""COMPUTED_VALUE"""),"School Bus")</f>
        <v>School Bus</v>
      </c>
      <c r="Q926" s="5" t="str">
        <f ca="1">IFERROR(__xludf.DUMMYFUNCTION("""COMPUTED_VALUE"""),"School Bus")</f>
        <v>School Bus</v>
      </c>
      <c r="R926" s="5" t="str">
        <f ca="1">IFERROR(__xludf.DUMMYFUNCTION("""COMPUTED_VALUE"""),"No")</f>
        <v>No</v>
      </c>
      <c r="S926" s="5" t="str">
        <f ca="1">IFERROR(__xludf.DUMMYFUNCTION("""COMPUTED_VALUE"""),"After School")</f>
        <v>After School</v>
      </c>
      <c r="T926" s="10">
        <f ca="1">IFERROR(__xludf.DUMMYFUNCTION("""COMPUTED_VALUE"""),0.6875)</f>
        <v>0.6875</v>
      </c>
      <c r="U926" s="5">
        <f ca="1">IFERROR(__xludf.DUMMYFUNCTION("""COMPUTED_VALUE"""),1)</f>
        <v>1</v>
      </c>
      <c r="V926" s="5" t="str">
        <f ca="1">IFERROR(__xludf.DUMMYFUNCTION("""COMPUTED_VALUE"""),"Shots struck school bus during gang related shooting")</f>
        <v>Shots struck school bus during gang related shooting</v>
      </c>
      <c r="W926"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X926" s="5" t="str">
        <f ca="1">IFERROR(__xludf.DUMMYFUNCTION("""COMPUTED_VALUE"""),"Escalation of Dispute")</f>
        <v>Escalation of Dispute</v>
      </c>
      <c r="Y926" s="5" t="str">
        <f ca="1">IFERROR(__xludf.DUMMYFUNCTION("""COMPUTED_VALUE"""),"Both")</f>
        <v>Both</v>
      </c>
      <c r="Z926" s="5" t="str">
        <f ca="1">IFERROR(__xludf.DUMMYFUNCTION("""COMPUTED_VALUE"""),"Yes")</f>
        <v>Yes</v>
      </c>
      <c r="AA926" s="5" t="str">
        <f ca="1">IFERROR(__xludf.DUMMYFUNCTION("""COMPUTED_VALUE"""),"Two students involved")</f>
        <v>Two students involved</v>
      </c>
      <c r="AB926" s="5" t="str">
        <f ca="1">IFERROR(__xludf.DUMMYFUNCTION("""COMPUTED_VALUE"""),"No")</f>
        <v>No</v>
      </c>
      <c r="AC926" s="5" t="str">
        <f ca="1">IFERROR(__xludf.DUMMYFUNCTION("""COMPUTED_VALUE"""),"No")</f>
        <v>No</v>
      </c>
      <c r="AD926" s="5" t="str">
        <f ca="1">IFERROR(__xludf.DUMMYFUNCTION("""COMPUTED_VALUE"""),"No")</f>
        <v>No</v>
      </c>
      <c r="AE926" s="5" t="str">
        <f ca="1">IFERROR(__xludf.DUMMYFUNCTION("""COMPUTED_VALUE"""),"No")</f>
        <v>No</v>
      </c>
      <c r="AF926" s="5" t="str">
        <f ca="1">IFERROR(__xludf.DUMMYFUNCTION("""COMPUTED_VALUE"""),"No")</f>
        <v>No</v>
      </c>
      <c r="AG926" s="5" t="str">
        <f ca="1">IFERROR(__xludf.DUMMYFUNCTION("""COMPUTED_VALUE"""),"Yes")</f>
        <v>Yes</v>
      </c>
      <c r="AH926" s="5" t="str">
        <f ca="1">IFERROR(__xludf.DUMMYFUNCTION("""COMPUTED_VALUE"""),"No")</f>
        <v>No</v>
      </c>
    </row>
    <row r="927" spans="1:34" ht="12.75">
      <c r="A927" s="5" t="str">
        <f ca="1">IFERROR(__xludf.DUMMYFUNCTION("""COMPUTED_VALUE"""),"20150512AZCOT")</f>
        <v>20150512AZCOT</v>
      </c>
      <c r="B927" s="8">
        <f ca="1">IFERROR(__xludf.DUMMYFUNCTION("""COMPUTED_VALUE"""),42136)</f>
        <v>42136</v>
      </c>
      <c r="C927" s="5" t="str">
        <f ca="1">IFERROR(__xludf.DUMMYFUNCTION("""COMPUTED_VALUE"""),"Corona del Sol High School")</f>
        <v>Corona del Sol High School</v>
      </c>
      <c r="D927" s="5">
        <f ca="1">IFERROR(__xludf.DUMMYFUNCTION("""COMPUTED_VALUE"""),0)</f>
        <v>0</v>
      </c>
      <c r="E927" s="5">
        <f ca="1">IFERROR(__xludf.DUMMYFUNCTION("""COMPUTED_VALUE"""),0)</f>
        <v>0</v>
      </c>
      <c r="F927" s="5">
        <f ca="1">IFERROR(__xludf.DUMMYFUNCTION("""COMPUTED_VALUE"""),0)</f>
        <v>0</v>
      </c>
      <c r="G927" s="5">
        <f ca="1">IFERROR(__xludf.DUMMYFUNCTION("""COMPUTED_VALUE"""),1)</f>
        <v>1</v>
      </c>
      <c r="H927"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I927" s="5"/>
      <c r="J927" s="5"/>
      <c r="K927" s="5">
        <f ca="1">IFERROR(__xludf.DUMMYFUNCTION("""COMPUTED_VALUE"""),3)</f>
        <v>3</v>
      </c>
      <c r="L927" s="5" t="str">
        <f ca="1">IFERROR(__xludf.DUMMYFUNCTION("""COMPUTED_VALUE"""),"Spring")</f>
        <v>Spring</v>
      </c>
      <c r="M927" s="5" t="str">
        <f ca="1">IFERROR(__xludf.DUMMYFUNCTION("""COMPUTED_VALUE"""),"Tempe")</f>
        <v>Tempe</v>
      </c>
      <c r="N927" s="5" t="str">
        <f ca="1">IFERROR(__xludf.DUMMYFUNCTION("""COMPUTED_VALUE"""),"AZ")</f>
        <v>AZ</v>
      </c>
      <c r="O927" s="5" t="str">
        <f ca="1">IFERROR(__xludf.DUMMYFUNCTION("""COMPUTED_VALUE"""),"High")</f>
        <v>High</v>
      </c>
      <c r="P927" s="5" t="str">
        <f ca="1">IFERROR(__xludf.DUMMYFUNCTION("""COMPUTED_VALUE"""),"Hallway")</f>
        <v>Hallway</v>
      </c>
      <c r="Q927" s="5" t="str">
        <f ca="1">IFERROR(__xludf.DUMMYFUNCTION("""COMPUTED_VALUE"""),"Outside on School Property")</f>
        <v>Outside on School Property</v>
      </c>
      <c r="R927" s="5" t="str">
        <f ca="1">IFERROR(__xludf.DUMMYFUNCTION("""COMPUTED_VALUE"""),"Yes")</f>
        <v>Yes</v>
      </c>
      <c r="S927" s="5" t="str">
        <f ca="1">IFERROR(__xludf.DUMMYFUNCTION("""COMPUTED_VALUE"""),"Morning Classes")</f>
        <v>Morning Classes</v>
      </c>
      <c r="T927" s="10">
        <f ca="1">IFERROR(__xludf.DUMMYFUNCTION("""COMPUTED_VALUE"""),0.375)</f>
        <v>0.375</v>
      </c>
      <c r="U927" s="5">
        <f ca="1">IFERROR(__xludf.DUMMYFUNCTION("""COMPUTED_VALUE"""),1)</f>
        <v>1</v>
      </c>
      <c r="V927" s="5" t="str">
        <f ca="1">IFERROR(__xludf.DUMMYFUNCTION("""COMPUTED_VALUE"""),"Suicide is school breezeway at start of school day")</f>
        <v>Suicide is school breezeway at start of school day</v>
      </c>
      <c r="W927"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X927" s="5" t="str">
        <f ca="1">IFERROR(__xludf.DUMMYFUNCTION("""COMPUTED_VALUE"""),"Suicide/Attempted")</f>
        <v>Suicide/Attempted</v>
      </c>
      <c r="Y927" s="5" t="str">
        <f ca="1">IFERROR(__xludf.DUMMYFUNCTION("""COMPUTED_VALUE"""),"Victims Targeted")</f>
        <v>Victims Targeted</v>
      </c>
      <c r="Z927" s="5" t="str">
        <f ca="1">IFERROR(__xludf.DUMMYFUNCTION("""COMPUTED_VALUE"""),"No")</f>
        <v>No</v>
      </c>
      <c r="AA927" s="5"/>
      <c r="AB927" s="5" t="str">
        <f ca="1">IFERROR(__xludf.DUMMYFUNCTION("""COMPUTED_VALUE"""),"No")</f>
        <v>No</v>
      </c>
      <c r="AC927" s="5" t="str">
        <f ca="1">IFERROR(__xludf.DUMMYFUNCTION("""COMPUTED_VALUE"""),"No")</f>
        <v>No</v>
      </c>
      <c r="AD927" s="5" t="str">
        <f ca="1">IFERROR(__xludf.DUMMYFUNCTION("""COMPUTED_VALUE"""),"No")</f>
        <v>No</v>
      </c>
      <c r="AE927" s="5"/>
      <c r="AF927" s="5"/>
      <c r="AG927" s="5" t="str">
        <f ca="1">IFERROR(__xludf.DUMMYFUNCTION("""COMPUTED_VALUE"""),"No")</f>
        <v>No</v>
      </c>
      <c r="AH927" s="5" t="str">
        <f ca="1">IFERROR(__xludf.DUMMYFUNCTION("""COMPUTED_VALUE"""),"No")</f>
        <v>No</v>
      </c>
    </row>
    <row r="928" spans="1:34" ht="12.75">
      <c r="A928" s="5" t="str">
        <f ca="1">IFERROR(__xludf.DUMMYFUNCTION("""COMPUTED_VALUE"""),"20150505GACOC")</f>
        <v>20150505GACOC</v>
      </c>
      <c r="B928" s="8">
        <f ca="1">IFERROR(__xludf.DUMMYFUNCTION("""COMPUTED_VALUE"""),42129)</f>
        <v>42129</v>
      </c>
      <c r="C928" s="5" t="str">
        <f ca="1">IFERROR(__xludf.DUMMYFUNCTION("""COMPUTED_VALUE"""),"Conyers Middle School")</f>
        <v>Conyers Middle School</v>
      </c>
      <c r="D928" s="5">
        <f ca="1">IFERROR(__xludf.DUMMYFUNCTION("""COMPUTED_VALUE"""),0)</f>
        <v>0</v>
      </c>
      <c r="E928" s="5">
        <f ca="1">IFERROR(__xludf.DUMMYFUNCTION("""COMPUTED_VALUE"""),0)</f>
        <v>0</v>
      </c>
      <c r="F928" s="5">
        <f ca="1">IFERROR(__xludf.DUMMYFUNCTION("""COMPUTED_VALUE"""),0)</f>
        <v>0</v>
      </c>
      <c r="G928" s="5">
        <f ca="1">IFERROR(__xludf.DUMMYFUNCTION("""COMPUTED_VALUE"""),0)</f>
        <v>0</v>
      </c>
      <c r="H928"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I928" s="5"/>
      <c r="J928" s="5"/>
      <c r="K928" s="5">
        <f ca="1">IFERROR(__xludf.DUMMYFUNCTION("""COMPUTED_VALUE"""),3)</f>
        <v>3</v>
      </c>
      <c r="L928" s="5" t="str">
        <f ca="1">IFERROR(__xludf.DUMMYFUNCTION("""COMPUTED_VALUE"""),"Spring")</f>
        <v>Spring</v>
      </c>
      <c r="M928" s="5" t="str">
        <f ca="1">IFERROR(__xludf.DUMMYFUNCTION("""COMPUTED_VALUE"""),"Conyers")</f>
        <v>Conyers</v>
      </c>
      <c r="N928" s="5" t="str">
        <f ca="1">IFERROR(__xludf.DUMMYFUNCTION("""COMPUTED_VALUE"""),"GA")</f>
        <v>GA</v>
      </c>
      <c r="O928" s="5" t="str">
        <f ca="1">IFERROR(__xludf.DUMMYFUNCTION("""COMPUTED_VALUE"""),"Middle")</f>
        <v>Middle</v>
      </c>
      <c r="P928" s="5" t="str">
        <f ca="1">IFERROR(__xludf.DUMMYFUNCTION("""COMPUTED_VALUE"""),"Bathroom")</f>
        <v>Bathroom</v>
      </c>
      <c r="Q928" s="5" t="str">
        <f ca="1">IFERROR(__xludf.DUMMYFUNCTION("""COMPUTED_VALUE"""),"Inside School Building")</f>
        <v>Inside School Building</v>
      </c>
      <c r="R928" s="5" t="str">
        <f ca="1">IFERROR(__xludf.DUMMYFUNCTION("""COMPUTED_VALUE"""),"Yes")</f>
        <v>Yes</v>
      </c>
      <c r="S928" s="5" t="str">
        <f ca="1">IFERROR(__xludf.DUMMYFUNCTION("""COMPUTED_VALUE"""),"Afternoon Classes")</f>
        <v>Afternoon Classes</v>
      </c>
      <c r="T928" s="10">
        <f ca="1">IFERROR(__xludf.DUMMYFUNCTION("""COMPUTED_VALUE"""),0.541666666666666)</f>
        <v>0.54166666666666596</v>
      </c>
      <c r="U928" s="5">
        <f ca="1">IFERROR(__xludf.DUMMYFUNCTION("""COMPUTED_VALUE"""),1)</f>
        <v>1</v>
      </c>
      <c r="V928" s="5" t="str">
        <f ca="1">IFERROR(__xludf.DUMMYFUNCTION("""COMPUTED_VALUE"""),"Accidental shooting in school bathroom")</f>
        <v>Accidental shooting in school bathroom</v>
      </c>
      <c r="W928"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X928" s="5" t="str">
        <f ca="1">IFERROR(__xludf.DUMMYFUNCTION("""COMPUTED_VALUE"""),"Accidental")</f>
        <v>Accidental</v>
      </c>
      <c r="Y928" s="5" t="str">
        <f ca="1">IFERROR(__xludf.DUMMYFUNCTION("""COMPUTED_VALUE"""),"Neither")</f>
        <v>Neither</v>
      </c>
      <c r="Z928" s="5" t="str">
        <f ca="1">IFERROR(__xludf.DUMMYFUNCTION("""COMPUTED_VALUE"""),"No")</f>
        <v>No</v>
      </c>
      <c r="AA928" s="5"/>
      <c r="AB928" s="5" t="str">
        <f ca="1">IFERROR(__xludf.DUMMYFUNCTION("""COMPUTED_VALUE"""),"No")</f>
        <v>No</v>
      </c>
      <c r="AC928" s="5" t="str">
        <f ca="1">IFERROR(__xludf.DUMMYFUNCTION("""COMPUTED_VALUE"""),"No")</f>
        <v>No</v>
      </c>
      <c r="AD928" s="5" t="str">
        <f ca="1">IFERROR(__xludf.DUMMYFUNCTION("""COMPUTED_VALUE"""),"No")</f>
        <v>No</v>
      </c>
      <c r="AE928" s="5"/>
      <c r="AF928" s="5"/>
      <c r="AG928" s="5"/>
      <c r="AH928" s="5" t="str">
        <f ca="1">IFERROR(__xludf.DUMMYFUNCTION("""COMPUTED_VALUE"""),"No")</f>
        <v>No</v>
      </c>
    </row>
    <row r="929" spans="1:34" ht="12.75">
      <c r="A929" s="5" t="str">
        <f ca="1">IFERROR(__xludf.DUMMYFUNCTION("""COMPUTED_VALUE"""),"20150504OHWIC")</f>
        <v>20150504OHWIC</v>
      </c>
      <c r="B929" s="8">
        <f ca="1">IFERROR(__xludf.DUMMYFUNCTION("""COMPUTED_VALUE"""),42128)</f>
        <v>42128</v>
      </c>
      <c r="C929" s="5" t="str">
        <f ca="1">IFERROR(__xludf.DUMMYFUNCTION("""COMPUTED_VALUE"""),"Willow Elementary School")</f>
        <v>Willow Elementary School</v>
      </c>
      <c r="D929" s="5">
        <f ca="1">IFERROR(__xludf.DUMMYFUNCTION("""COMPUTED_VALUE"""),1)</f>
        <v>1</v>
      </c>
      <c r="E929" s="5">
        <f ca="1">IFERROR(__xludf.DUMMYFUNCTION("""COMPUTED_VALUE"""),1)</f>
        <v>1</v>
      </c>
      <c r="F929" s="5">
        <f ca="1">IFERROR(__xludf.DUMMYFUNCTION("""COMPUTED_VALUE"""),2)</f>
        <v>2</v>
      </c>
      <c r="G929" s="5">
        <f ca="1">IFERROR(__xludf.DUMMYFUNCTION("""COMPUTED_VALUE"""),0)</f>
        <v>0</v>
      </c>
      <c r="H929"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I929" s="5"/>
      <c r="J929" s="5"/>
      <c r="K929" s="5">
        <f ca="1">IFERROR(__xludf.DUMMYFUNCTION("""COMPUTED_VALUE"""),3)</f>
        <v>3</v>
      </c>
      <c r="L929" s="5" t="str">
        <f ca="1">IFERROR(__xludf.DUMMYFUNCTION("""COMPUTED_VALUE"""),"Spring")</f>
        <v>Spring</v>
      </c>
      <c r="M929" s="5" t="str">
        <f ca="1">IFERROR(__xludf.DUMMYFUNCTION("""COMPUTED_VALUE"""),"Cleveland")</f>
        <v>Cleveland</v>
      </c>
      <c r="N929" s="5" t="str">
        <f ca="1">IFERROR(__xludf.DUMMYFUNCTION("""COMPUTED_VALUE"""),"OH")</f>
        <v>OH</v>
      </c>
      <c r="O929" s="5" t="str">
        <f ca="1">IFERROR(__xludf.DUMMYFUNCTION("""COMPUTED_VALUE"""),"Elementary")</f>
        <v>Elementary</v>
      </c>
      <c r="P929" s="5" t="str">
        <f ca="1">IFERROR(__xludf.DUMMYFUNCTION("""COMPUTED_VALUE"""),"Playground")</f>
        <v>Playground</v>
      </c>
      <c r="Q929" s="5" t="str">
        <f ca="1">IFERROR(__xludf.DUMMYFUNCTION("""COMPUTED_VALUE"""),"Outside on School Property")</f>
        <v>Outside on School Property</v>
      </c>
      <c r="R929" s="5" t="str">
        <f ca="1">IFERROR(__xludf.DUMMYFUNCTION("""COMPUTED_VALUE"""),"No")</f>
        <v>No</v>
      </c>
      <c r="S929" s="5" t="str">
        <f ca="1">IFERROR(__xludf.DUMMYFUNCTION("""COMPUTED_VALUE"""),"Night")</f>
        <v>Night</v>
      </c>
      <c r="T929" s="10">
        <f ca="1">IFERROR(__xludf.DUMMYFUNCTION("""COMPUTED_VALUE"""),0.958333333333333)</f>
        <v>0.95833333333333304</v>
      </c>
      <c r="U929" s="5"/>
      <c r="V929" s="5" t="str">
        <f ca="1">IFERROR(__xludf.DUMMYFUNCTION("""COMPUTED_VALUE"""),"Adult victims shot outside of school")</f>
        <v>Adult victims shot outside of school</v>
      </c>
      <c r="W929"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X929" s="5" t="str">
        <f ca="1">IFERROR(__xludf.DUMMYFUNCTION("""COMPUTED_VALUE"""),"Drive-by Shooting")</f>
        <v>Drive-by Shooting</v>
      </c>
      <c r="Y929" s="5"/>
      <c r="Z929" s="5"/>
      <c r="AA929" s="5"/>
      <c r="AB929" s="5" t="str">
        <f ca="1">IFERROR(__xludf.DUMMYFUNCTION("""COMPUTED_VALUE"""),"No")</f>
        <v>No</v>
      </c>
      <c r="AC929" s="5" t="str">
        <f ca="1">IFERROR(__xludf.DUMMYFUNCTION("""COMPUTED_VALUE"""),"No")</f>
        <v>No</v>
      </c>
      <c r="AD929" s="5" t="str">
        <f ca="1">IFERROR(__xludf.DUMMYFUNCTION("""COMPUTED_VALUE"""),"No")</f>
        <v>No</v>
      </c>
      <c r="AE929" s="5"/>
      <c r="AF929" s="5"/>
      <c r="AG929" s="5"/>
      <c r="AH929" s="5" t="str">
        <f ca="1">IFERROR(__xludf.DUMMYFUNCTION("""COMPUTED_VALUE"""),"No")</f>
        <v>No</v>
      </c>
    </row>
    <row r="930" spans="1:34" ht="12.75">
      <c r="A930" s="5" t="str">
        <f ca="1">IFERROR(__xludf.DUMMYFUNCTION("""COMPUTED_VALUE"""),"20150428MDDRW")</f>
        <v>20150428MDDRW</v>
      </c>
      <c r="B930" s="8">
        <f ca="1">IFERROR(__xludf.DUMMYFUNCTION("""COMPUTED_VALUE"""),42122)</f>
        <v>42122</v>
      </c>
      <c r="C930" s="5" t="str">
        <f ca="1">IFERROR(__xludf.DUMMYFUNCTION("""COMPUTED_VALUE"""),"Dr. Gustavus Brown Elementary School")</f>
        <v>Dr. Gustavus Brown Elementary School</v>
      </c>
      <c r="D930" s="5">
        <f ca="1">IFERROR(__xludf.DUMMYFUNCTION("""COMPUTED_VALUE"""),0)</f>
        <v>0</v>
      </c>
      <c r="E930" s="5">
        <f ca="1">IFERROR(__xludf.DUMMYFUNCTION("""COMPUTED_VALUE"""),1)</f>
        <v>1</v>
      </c>
      <c r="F930" s="5">
        <f ca="1">IFERROR(__xludf.DUMMYFUNCTION("""COMPUTED_VALUE"""),1)</f>
        <v>1</v>
      </c>
      <c r="G930" s="5">
        <f ca="1">IFERROR(__xludf.DUMMYFUNCTION("""COMPUTED_VALUE"""),0)</f>
        <v>0</v>
      </c>
      <c r="H930" s="9" t="str">
        <f ca="1">IFERROR(__xludf.DUMMYFUNCTION("""COMPUTED_VALUE"""),"https://smnewsnet.com/archives/283458/man-shot-behind-school/")</f>
        <v>https://smnewsnet.com/archives/283458/man-shot-behind-school/</v>
      </c>
      <c r="I930" s="5"/>
      <c r="J930" s="5"/>
      <c r="K930" s="5">
        <f ca="1">IFERROR(__xludf.DUMMYFUNCTION("""COMPUTED_VALUE"""),3)</f>
        <v>3</v>
      </c>
      <c r="L930" s="5" t="str">
        <f ca="1">IFERROR(__xludf.DUMMYFUNCTION("""COMPUTED_VALUE"""),"Spring")</f>
        <v>Spring</v>
      </c>
      <c r="M930" s="5" t="str">
        <f ca="1">IFERROR(__xludf.DUMMYFUNCTION("""COMPUTED_VALUE"""),"Waldorf")</f>
        <v>Waldorf</v>
      </c>
      <c r="N930" s="5" t="str">
        <f ca="1">IFERROR(__xludf.DUMMYFUNCTION("""COMPUTED_VALUE"""),"MD")</f>
        <v>MD</v>
      </c>
      <c r="O930" s="5" t="str">
        <f ca="1">IFERROR(__xludf.DUMMYFUNCTION("""COMPUTED_VALUE"""),"Elementary")</f>
        <v>Elementary</v>
      </c>
      <c r="P930" s="5" t="str">
        <f ca="1">IFERROR(__xludf.DUMMYFUNCTION("""COMPUTED_VALUE"""),"Basketball Court")</f>
        <v>Basketball Court</v>
      </c>
      <c r="Q930" s="5" t="str">
        <f ca="1">IFERROR(__xludf.DUMMYFUNCTION("""COMPUTED_VALUE"""),"Outside on School Property")</f>
        <v>Outside on School Property</v>
      </c>
      <c r="R930" s="5" t="str">
        <f ca="1">IFERROR(__xludf.DUMMYFUNCTION("""COMPUTED_VALUE"""),"No")</f>
        <v>No</v>
      </c>
      <c r="S930" s="5" t="str">
        <f ca="1">IFERROR(__xludf.DUMMYFUNCTION("""COMPUTED_VALUE"""),"Evening")</f>
        <v>Evening</v>
      </c>
      <c r="T930" s="10">
        <f ca="1">IFERROR(__xludf.DUMMYFUNCTION("""COMPUTED_VALUE"""),0.765972222222222)</f>
        <v>0.76597222222222205</v>
      </c>
      <c r="U930" s="5">
        <f ca="1">IFERROR(__xludf.DUMMYFUNCTION("""COMPUTED_VALUE"""),1)</f>
        <v>1</v>
      </c>
      <c r="V930" s="5" t="str">
        <f ca="1">IFERROR(__xludf.DUMMYFUNCTION("""COMPUTED_VALUE"""),"22YOM shot on school basketball court")</f>
        <v>22YOM shot on school basketball court</v>
      </c>
      <c r="W930"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X930" s="5" t="str">
        <f ca="1">IFERROR(__xludf.DUMMYFUNCTION("""COMPUTED_VALUE"""),"Escalation of Dispute")</f>
        <v>Escalation of Dispute</v>
      </c>
      <c r="Y930" s="5" t="str">
        <f ca="1">IFERROR(__xludf.DUMMYFUNCTION("""COMPUTED_VALUE"""),"Victims Targeted")</f>
        <v>Victims Targeted</v>
      </c>
      <c r="Z930" s="5" t="str">
        <f ca="1">IFERROR(__xludf.DUMMYFUNCTION("""COMPUTED_VALUE"""),"Yes")</f>
        <v>Yes</v>
      </c>
      <c r="AA930" s="5" t="str">
        <f ca="1">IFERROR(__xludf.DUMMYFUNCTION("""COMPUTED_VALUE"""),"Shooter was driven by someone else in vehicle")</f>
        <v>Shooter was driven by someone else in vehicle</v>
      </c>
      <c r="AB930" s="5" t="str">
        <f ca="1">IFERROR(__xludf.DUMMYFUNCTION("""COMPUTED_VALUE"""),"No")</f>
        <v>No</v>
      </c>
      <c r="AC930" s="5" t="str">
        <f ca="1">IFERROR(__xludf.DUMMYFUNCTION("""COMPUTED_VALUE"""),"No")</f>
        <v>No</v>
      </c>
      <c r="AD930" s="5" t="str">
        <f ca="1">IFERROR(__xludf.DUMMYFUNCTION("""COMPUTED_VALUE"""),"No")</f>
        <v>No</v>
      </c>
      <c r="AE930" s="5" t="str">
        <f ca="1">IFERROR(__xludf.DUMMYFUNCTION("""COMPUTED_VALUE"""),"No")</f>
        <v>No</v>
      </c>
      <c r="AF930" s="5" t="str">
        <f ca="1">IFERROR(__xludf.DUMMYFUNCTION("""COMPUTED_VALUE"""),"No")</f>
        <v>No</v>
      </c>
      <c r="AG930" s="5"/>
      <c r="AH930" s="5" t="str">
        <f ca="1">IFERROR(__xludf.DUMMYFUNCTION("""COMPUTED_VALUE"""),"No")</f>
        <v>No</v>
      </c>
    </row>
    <row r="931" spans="1:34" ht="12.75">
      <c r="A931" s="5" t="str">
        <f ca="1">IFERROR(__xludf.DUMMYFUNCTION("""COMPUTED_VALUE"""),"20150427WANOL")</f>
        <v>20150427WANOL</v>
      </c>
      <c r="B931" s="8">
        <f ca="1">IFERROR(__xludf.DUMMYFUNCTION("""COMPUTED_VALUE"""),42121)</f>
        <v>42121</v>
      </c>
      <c r="C931" s="5" t="str">
        <f ca="1">IFERROR(__xludf.DUMMYFUNCTION("""COMPUTED_VALUE"""),"North Thurston High School")</f>
        <v>North Thurston High School</v>
      </c>
      <c r="D931" s="5">
        <f ca="1">IFERROR(__xludf.DUMMYFUNCTION("""COMPUTED_VALUE"""),0)</f>
        <v>0</v>
      </c>
      <c r="E931" s="5">
        <f ca="1">IFERROR(__xludf.DUMMYFUNCTION("""COMPUTED_VALUE"""),0)</f>
        <v>0</v>
      </c>
      <c r="F931" s="5">
        <f ca="1">IFERROR(__xludf.DUMMYFUNCTION("""COMPUTED_VALUE"""),0)</f>
        <v>0</v>
      </c>
      <c r="G931" s="5">
        <f ca="1">IFERROR(__xludf.DUMMYFUNCTION("""COMPUTED_VALUE"""),0)</f>
        <v>0</v>
      </c>
      <c r="H931" s="9" t="str">
        <f ca="1">IFERROR(__xludf.DUMMYFUNCTION("""COMPUTED_VALUE"""),"https://www.theolympian.com/news/local/education/article74949547.html")</f>
        <v>https://www.theolympian.com/news/local/education/article74949547.html</v>
      </c>
      <c r="I931" s="5">
        <f ca="1">IFERROR(__xludf.DUMMYFUNCTION("""COMPUTED_VALUE"""),5)</f>
        <v>5</v>
      </c>
      <c r="J931" s="5" t="str">
        <f ca="1">IFERROR(__xludf.DUMMYFUNCTION("""COMPUTED_VALUE"""),"Local")</f>
        <v>Local</v>
      </c>
      <c r="K931" s="5">
        <f ca="1">IFERROR(__xludf.DUMMYFUNCTION("""COMPUTED_VALUE"""),2)</f>
        <v>2</v>
      </c>
      <c r="L931" s="5" t="str">
        <f ca="1">IFERROR(__xludf.DUMMYFUNCTION("""COMPUTED_VALUE"""),"Spring")</f>
        <v>Spring</v>
      </c>
      <c r="M931" s="5" t="str">
        <f ca="1">IFERROR(__xludf.DUMMYFUNCTION("""COMPUTED_VALUE"""),"Lacey")</f>
        <v>Lacey</v>
      </c>
      <c r="N931" s="5" t="str">
        <f ca="1">IFERROR(__xludf.DUMMYFUNCTION("""COMPUTED_VALUE"""),"WA")</f>
        <v>WA</v>
      </c>
      <c r="O931" s="5" t="str">
        <f ca="1">IFERROR(__xludf.DUMMYFUNCTION("""COMPUTED_VALUE"""),"High")</f>
        <v>High</v>
      </c>
      <c r="P931" s="5" t="str">
        <f ca="1">IFERROR(__xludf.DUMMYFUNCTION("""COMPUTED_VALUE"""),"Hallway")</f>
        <v>Hallway</v>
      </c>
      <c r="Q931" s="5" t="str">
        <f ca="1">IFERROR(__xludf.DUMMYFUNCTION("""COMPUTED_VALUE"""),"Inside School Building")</f>
        <v>Inside School Building</v>
      </c>
      <c r="R931" s="5" t="str">
        <f ca="1">IFERROR(__xludf.DUMMYFUNCTION("""COMPUTED_VALUE"""),"Yes")</f>
        <v>Yes</v>
      </c>
      <c r="S931" s="5" t="str">
        <f ca="1">IFERROR(__xludf.DUMMYFUNCTION("""COMPUTED_VALUE"""),"Morning Classes")</f>
        <v>Morning Classes</v>
      </c>
      <c r="T931" s="10">
        <f ca="1">IFERROR(__xludf.DUMMYFUNCTION("""COMPUTED_VALUE"""),0.308333333333333)</f>
        <v>0.30833333333333302</v>
      </c>
      <c r="U931" s="5">
        <f ca="1">IFERROR(__xludf.DUMMYFUNCTION("""COMPUTED_VALUE"""),1)</f>
        <v>1</v>
      </c>
      <c r="V931" s="5" t="str">
        <f ca="1">IFERROR(__xludf.DUMMYFUNCTION("""COMPUTED_VALUE"""),"Fired two shots before being tackled by teacher")</f>
        <v>Fired two shots before being tackled by teacher</v>
      </c>
      <c r="W931"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X931" s="5" t="str">
        <f ca="1">IFERROR(__xludf.DUMMYFUNCTION("""COMPUTED_VALUE"""),"Indiscriminate Shooting")</f>
        <v>Indiscriminate Shooting</v>
      </c>
      <c r="Y931" s="5" t="str">
        <f ca="1">IFERROR(__xludf.DUMMYFUNCTION("""COMPUTED_VALUE"""),"Neither")</f>
        <v>Neither</v>
      </c>
      <c r="Z931" s="5" t="str">
        <f ca="1">IFERROR(__xludf.DUMMYFUNCTION("""COMPUTED_VALUE"""),"No")</f>
        <v>No</v>
      </c>
      <c r="AA931" s="5"/>
      <c r="AB931" s="5" t="str">
        <f ca="1">IFERROR(__xludf.DUMMYFUNCTION("""COMPUTED_VALUE"""),"No")</f>
        <v>No</v>
      </c>
      <c r="AC931" s="5" t="str">
        <f ca="1">IFERROR(__xludf.DUMMYFUNCTION("""COMPUTED_VALUE"""),"No")</f>
        <v>No</v>
      </c>
      <c r="AD931" s="5" t="str">
        <f ca="1">IFERROR(__xludf.DUMMYFUNCTION("""COMPUTED_VALUE"""),"No")</f>
        <v>No</v>
      </c>
      <c r="AE931" s="5" t="str">
        <f ca="1">IFERROR(__xludf.DUMMYFUNCTION("""COMPUTED_VALUE"""),"Yes")</f>
        <v>Yes</v>
      </c>
      <c r="AF931" s="5" t="str">
        <f ca="1">IFERROR(__xludf.DUMMYFUNCTION("""COMPUTED_VALUE"""),"No")</f>
        <v>No</v>
      </c>
      <c r="AG931" s="5" t="str">
        <f ca="1">IFERROR(__xludf.DUMMYFUNCTION("""COMPUTED_VALUE"""),"No")</f>
        <v>No</v>
      </c>
      <c r="AH931" s="5" t="str">
        <f ca="1">IFERROR(__xludf.DUMMYFUNCTION("""COMPUTED_VALUE"""),"Yes")</f>
        <v>Yes</v>
      </c>
    </row>
    <row r="932" spans="1:34" ht="12.75">
      <c r="A932" s="5" t="str">
        <f ca="1">IFERROR(__xludf.DUMMYFUNCTION("""COMPUTED_VALUE"""),"20150422NVRUL")</f>
        <v>20150422NVRUL</v>
      </c>
      <c r="B932" s="8">
        <f ca="1">IFERROR(__xludf.DUMMYFUNCTION("""COMPUTED_VALUE"""),42116)</f>
        <v>42116</v>
      </c>
      <c r="C932" s="5" t="str">
        <f ca="1">IFERROR(__xludf.DUMMYFUNCTION("""COMPUTED_VALUE"""),"Ruth Deskin Elementary School")</f>
        <v>Ruth Deskin Elementary School</v>
      </c>
      <c r="D932" s="5">
        <f ca="1">IFERROR(__xludf.DUMMYFUNCTION("""COMPUTED_VALUE"""),0)</f>
        <v>0</v>
      </c>
      <c r="E932" s="5">
        <f ca="1">IFERROR(__xludf.DUMMYFUNCTION("""COMPUTED_VALUE"""),0)</f>
        <v>0</v>
      </c>
      <c r="F932" s="5">
        <f ca="1">IFERROR(__xludf.DUMMYFUNCTION("""COMPUTED_VALUE"""),0)</f>
        <v>0</v>
      </c>
      <c r="G932" s="5">
        <f ca="1">IFERROR(__xludf.DUMMYFUNCTION("""COMPUTED_VALUE"""),0)</f>
        <v>0</v>
      </c>
      <c r="H932" s="9" t="str">
        <f ca="1">IFERROR(__xludf.DUMMYFUNCTION("""COMPUTED_VALUE"""),"https://www.cbsnews.com/news/boy-11-arrested-after-accidentally-firing-handgun-at-school/")</f>
        <v>https://www.cbsnews.com/news/boy-11-arrested-after-accidentally-firing-handgun-at-school/</v>
      </c>
      <c r="I932" s="5"/>
      <c r="J932" s="5"/>
      <c r="K932" s="5">
        <f ca="1">IFERROR(__xludf.DUMMYFUNCTION("""COMPUTED_VALUE"""),2)</f>
        <v>2</v>
      </c>
      <c r="L932" s="5" t="str">
        <f ca="1">IFERROR(__xludf.DUMMYFUNCTION("""COMPUTED_VALUE"""),"Spring")</f>
        <v>Spring</v>
      </c>
      <c r="M932" s="5" t="str">
        <f ca="1">IFERROR(__xludf.DUMMYFUNCTION("""COMPUTED_VALUE"""),"Las Vegas")</f>
        <v>Las Vegas</v>
      </c>
      <c r="N932" s="5" t="str">
        <f ca="1">IFERROR(__xludf.DUMMYFUNCTION("""COMPUTED_VALUE"""),"NV")</f>
        <v>NV</v>
      </c>
      <c r="O932" s="5" t="str">
        <f ca="1">IFERROR(__xludf.DUMMYFUNCTION("""COMPUTED_VALUE"""),"Elementary")</f>
        <v>Elementary</v>
      </c>
      <c r="P932" s="5" t="str">
        <f ca="1">IFERROR(__xludf.DUMMYFUNCTION("""COMPUTED_VALUE"""),"Classroom")</f>
        <v>Classroom</v>
      </c>
      <c r="Q932" s="5" t="str">
        <f ca="1">IFERROR(__xludf.DUMMYFUNCTION("""COMPUTED_VALUE"""),"Inside School Building")</f>
        <v>Inside School Building</v>
      </c>
      <c r="R932" s="5" t="str">
        <f ca="1">IFERROR(__xludf.DUMMYFUNCTION("""COMPUTED_VALUE"""),"Yes")</f>
        <v>Yes</v>
      </c>
      <c r="S932" s="5" t="str">
        <f ca="1">IFERROR(__xludf.DUMMYFUNCTION("""COMPUTED_VALUE"""),"Afternoon Classes")</f>
        <v>Afternoon Classes</v>
      </c>
      <c r="T932" s="10">
        <f ca="1">IFERROR(__xludf.DUMMYFUNCTION("""COMPUTED_VALUE"""),0.638888888888888)</f>
        <v>0.63888888888888795</v>
      </c>
      <c r="U932" s="5">
        <f ca="1">IFERROR(__xludf.DUMMYFUNCTION("""COMPUTED_VALUE"""),1)</f>
        <v>1</v>
      </c>
      <c r="V932" s="5" t="str">
        <f ca="1">IFERROR(__xludf.DUMMYFUNCTION("""COMPUTED_VALUE"""),"Accidental discharge of gun in backpack")</f>
        <v>Accidental discharge of gun in backpack</v>
      </c>
      <c r="W932"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X932" s="5" t="str">
        <f ca="1">IFERROR(__xludf.DUMMYFUNCTION("""COMPUTED_VALUE"""),"Accidental")</f>
        <v>Accidental</v>
      </c>
      <c r="Y932" s="5" t="str">
        <f ca="1">IFERROR(__xludf.DUMMYFUNCTION("""COMPUTED_VALUE"""),"Neither")</f>
        <v>Neither</v>
      </c>
      <c r="Z932" s="5" t="str">
        <f ca="1">IFERROR(__xludf.DUMMYFUNCTION("""COMPUTED_VALUE"""),"No")</f>
        <v>No</v>
      </c>
      <c r="AA932" s="5"/>
      <c r="AB932" s="5" t="str">
        <f ca="1">IFERROR(__xludf.DUMMYFUNCTION("""COMPUTED_VALUE"""),"No")</f>
        <v>No</v>
      </c>
      <c r="AC932" s="5" t="str">
        <f ca="1">IFERROR(__xludf.DUMMYFUNCTION("""COMPUTED_VALUE"""),"No")</f>
        <v>No</v>
      </c>
      <c r="AD932" s="5" t="str">
        <f ca="1">IFERROR(__xludf.DUMMYFUNCTION("""COMPUTED_VALUE"""),"No")</f>
        <v>No</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row>
    <row r="933" spans="1:34" ht="12.75">
      <c r="A933" s="5" t="str">
        <f ca="1">IFERROR(__xludf.DUMMYFUNCTION("""COMPUTED_VALUE"""),"20150417TXSES")</f>
        <v>20150417TXSES</v>
      </c>
      <c r="B933" s="8">
        <f ca="1">IFERROR(__xludf.DUMMYFUNCTION("""COMPUTED_VALUE"""),42111)</f>
        <v>42111</v>
      </c>
      <c r="C933" s="5" t="str">
        <f ca="1">IFERROR(__xludf.DUMMYFUNCTION("""COMPUTED_VALUE"""),"Seguin High School")</f>
        <v>Seguin High School</v>
      </c>
      <c r="D933" s="5">
        <f ca="1">IFERROR(__xludf.DUMMYFUNCTION("""COMPUTED_VALUE"""),0)</f>
        <v>0</v>
      </c>
      <c r="E933" s="5">
        <f ca="1">IFERROR(__xludf.DUMMYFUNCTION("""COMPUTED_VALUE"""),0)</f>
        <v>0</v>
      </c>
      <c r="F933" s="5">
        <f ca="1">IFERROR(__xludf.DUMMYFUNCTION("""COMPUTED_VALUE"""),0)</f>
        <v>0</v>
      </c>
      <c r="G933" s="5">
        <f ca="1">IFERROR(__xludf.DUMMYFUNCTION("""COMPUTED_VALUE"""),1)</f>
        <v>1</v>
      </c>
      <c r="H933" s="9" t="str">
        <f ca="1">IFERROR(__xludf.DUMMYFUNCTION("""COMPUTED_VALUE"""),"https://www.ksat.com/news/school-official-seguin-high-school-student-shoots-kills-self")</f>
        <v>https://www.ksat.com/news/school-official-seguin-high-school-student-shoots-kills-self</v>
      </c>
      <c r="I933" s="5"/>
      <c r="J933" s="5"/>
      <c r="K933" s="5">
        <f ca="1">IFERROR(__xludf.DUMMYFUNCTION("""COMPUTED_VALUE"""),2)</f>
        <v>2</v>
      </c>
      <c r="L933" s="5" t="str">
        <f ca="1">IFERROR(__xludf.DUMMYFUNCTION("""COMPUTED_VALUE"""),"Spring")</f>
        <v>Spring</v>
      </c>
      <c r="M933" s="5" t="str">
        <f ca="1">IFERROR(__xludf.DUMMYFUNCTION("""COMPUTED_VALUE"""),"Seguin")</f>
        <v>Seguin</v>
      </c>
      <c r="N933" s="5" t="str">
        <f ca="1">IFERROR(__xludf.DUMMYFUNCTION("""COMPUTED_VALUE"""),"TX")</f>
        <v>TX</v>
      </c>
      <c r="O933" s="5" t="str">
        <f ca="1">IFERROR(__xludf.DUMMYFUNCTION("""COMPUTED_VALUE"""),"High")</f>
        <v>High</v>
      </c>
      <c r="P933" s="5" t="str">
        <f ca="1">IFERROR(__xludf.DUMMYFUNCTION("""COMPUTED_VALUE"""),"Beside Building")</f>
        <v>Beside Building</v>
      </c>
      <c r="Q933" s="5" t="str">
        <f ca="1">IFERROR(__xludf.DUMMYFUNCTION("""COMPUTED_VALUE"""),"Outside on School Property")</f>
        <v>Outside on School Property</v>
      </c>
      <c r="R933" s="5" t="str">
        <f ca="1">IFERROR(__xludf.DUMMYFUNCTION("""COMPUTED_VALUE"""),"Yes")</f>
        <v>Yes</v>
      </c>
      <c r="S933" s="5" t="str">
        <f ca="1">IFERROR(__xludf.DUMMYFUNCTION("""COMPUTED_VALUE"""),"Morning Classes")</f>
        <v>Morning Classes</v>
      </c>
      <c r="T933" s="10">
        <f ca="1">IFERROR(__xludf.DUMMYFUNCTION("""COMPUTED_VALUE"""),0.395833333333333)</f>
        <v>0.39583333333333298</v>
      </c>
      <c r="U933" s="5">
        <f ca="1">IFERROR(__xludf.DUMMYFUNCTION("""COMPUTED_VALUE"""),1)</f>
        <v>1</v>
      </c>
      <c r="V933" s="5" t="str">
        <f ca="1">IFERROR(__xludf.DUMMYFUNCTION("""COMPUTED_VALUE"""),"Suicide outside of school building")</f>
        <v>Suicide outside of school building</v>
      </c>
      <c r="W933"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X933" s="5" t="str">
        <f ca="1">IFERROR(__xludf.DUMMYFUNCTION("""COMPUTED_VALUE"""),"Suicide/Attempted")</f>
        <v>Suicide/Attempted</v>
      </c>
      <c r="Y933" s="5" t="str">
        <f ca="1">IFERROR(__xludf.DUMMYFUNCTION("""COMPUTED_VALUE"""),"Victims Targeted")</f>
        <v>Victims Targeted</v>
      </c>
      <c r="Z933" s="5" t="str">
        <f ca="1">IFERROR(__xludf.DUMMYFUNCTION("""COMPUTED_VALUE"""),"No")</f>
        <v>No</v>
      </c>
      <c r="AA933" s="5"/>
      <c r="AB933" s="5" t="str">
        <f ca="1">IFERROR(__xludf.DUMMYFUNCTION("""COMPUTED_VALUE"""),"No")</f>
        <v>No</v>
      </c>
      <c r="AC933" s="5" t="str">
        <f ca="1">IFERROR(__xludf.DUMMYFUNCTION("""COMPUTED_VALUE"""),"No")</f>
        <v>No</v>
      </c>
      <c r="AD933" s="5" t="str">
        <f ca="1">IFERROR(__xludf.DUMMYFUNCTION("""COMPUTED_VALUE"""),"No")</f>
        <v>No</v>
      </c>
      <c r="AE933" s="5"/>
      <c r="AF933" s="5"/>
      <c r="AG933" s="5" t="str">
        <f ca="1">IFERROR(__xludf.DUMMYFUNCTION("""COMPUTED_VALUE"""),"No")</f>
        <v>No</v>
      </c>
      <c r="AH933" s="5" t="str">
        <f ca="1">IFERROR(__xludf.DUMMYFUNCTION("""COMPUTED_VALUE"""),"No")</f>
        <v>No</v>
      </c>
    </row>
    <row r="934" spans="1:34" ht="12.75">
      <c r="A934" s="5" t="str">
        <f ca="1">IFERROR(__xludf.DUMMYFUNCTION("""COMPUTED_VALUE"""),"20150330MOPEU")</f>
        <v>20150330MOPEU</v>
      </c>
      <c r="B934" s="8">
        <f ca="1">IFERROR(__xludf.DUMMYFUNCTION("""COMPUTED_VALUE"""),42093)</f>
        <v>42093</v>
      </c>
      <c r="C934" s="5" t="str">
        <f ca="1">IFERROR(__xludf.DUMMYFUNCTION("""COMPUTED_VALUE"""),"Pershing Elementary School")</f>
        <v>Pershing Elementary School</v>
      </c>
      <c r="D934" s="5">
        <f ca="1">IFERROR(__xludf.DUMMYFUNCTION("""COMPUTED_VALUE"""),0)</f>
        <v>0</v>
      </c>
      <c r="E934" s="5">
        <f ca="1">IFERROR(__xludf.DUMMYFUNCTION("""COMPUTED_VALUE"""),1)</f>
        <v>1</v>
      </c>
      <c r="F934" s="5">
        <f ca="1">IFERROR(__xludf.DUMMYFUNCTION("""COMPUTED_VALUE"""),1)</f>
        <v>1</v>
      </c>
      <c r="G934" s="5">
        <f ca="1">IFERROR(__xludf.DUMMYFUNCTION("""COMPUTED_VALUE"""),0)</f>
        <v>0</v>
      </c>
      <c r="H934"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I934" s="5"/>
      <c r="J934" s="5"/>
      <c r="K934" s="5">
        <f ca="1">IFERROR(__xludf.DUMMYFUNCTION("""COMPUTED_VALUE"""),3)</f>
        <v>3</v>
      </c>
      <c r="L934" s="5" t="str">
        <f ca="1">IFERROR(__xludf.DUMMYFUNCTION("""COMPUTED_VALUE"""),"Spring")</f>
        <v>Spring</v>
      </c>
      <c r="M934" s="5" t="str">
        <f ca="1">IFERROR(__xludf.DUMMYFUNCTION("""COMPUTED_VALUE"""),"University City")</f>
        <v>University City</v>
      </c>
      <c r="N934" s="5" t="str">
        <f ca="1">IFERROR(__xludf.DUMMYFUNCTION("""COMPUTED_VALUE"""),"MO")</f>
        <v>MO</v>
      </c>
      <c r="O934" s="5" t="str">
        <f ca="1">IFERROR(__xludf.DUMMYFUNCTION("""COMPUTED_VALUE"""),"Elementary")</f>
        <v>Elementary</v>
      </c>
      <c r="P934" s="5" t="str">
        <f ca="1">IFERROR(__xludf.DUMMYFUNCTION("""COMPUTED_VALUE"""),"Outside on School Property")</f>
        <v>Outside on School Property</v>
      </c>
      <c r="Q934" s="5" t="str">
        <f ca="1">IFERROR(__xludf.DUMMYFUNCTION("""COMPUTED_VALUE"""),"Outside on School Property")</f>
        <v>Outside on School Property</v>
      </c>
      <c r="R934" s="5" t="str">
        <f ca="1">IFERROR(__xludf.DUMMYFUNCTION("""COMPUTED_VALUE"""),"No")</f>
        <v>No</v>
      </c>
      <c r="S934" s="5" t="str">
        <f ca="1">IFERROR(__xludf.DUMMYFUNCTION("""COMPUTED_VALUE"""),"Evening")</f>
        <v>Evening</v>
      </c>
      <c r="T934" s="10">
        <f ca="1">IFERROR(__xludf.DUMMYFUNCTION("""COMPUTED_VALUE"""),0.729166666666666)</f>
        <v>0.72916666666666596</v>
      </c>
      <c r="U934" s="5">
        <f ca="1">IFERROR(__xludf.DUMMYFUNCTION("""COMPUTED_VALUE"""),1)</f>
        <v>1</v>
      </c>
      <c r="V934" s="5" t="str">
        <f ca="1">IFERROR(__xludf.DUMMYFUNCTION("""COMPUTED_VALUE"""),"Dispute between victim and two other men")</f>
        <v>Dispute between victim and two other men</v>
      </c>
      <c r="W934"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X934" s="5" t="str">
        <f ca="1">IFERROR(__xludf.DUMMYFUNCTION("""COMPUTED_VALUE"""),"Escalation of Dispute")</f>
        <v>Escalation of Dispute</v>
      </c>
      <c r="Y934" s="5"/>
      <c r="Z934" s="5"/>
      <c r="AA934" s="5"/>
      <c r="AB934" s="5" t="str">
        <f ca="1">IFERROR(__xludf.DUMMYFUNCTION("""COMPUTED_VALUE"""),"No")</f>
        <v>No</v>
      </c>
      <c r="AC934" s="5" t="str">
        <f ca="1">IFERROR(__xludf.DUMMYFUNCTION("""COMPUTED_VALUE"""),"No")</f>
        <v>No</v>
      </c>
      <c r="AD934" s="5" t="str">
        <f ca="1">IFERROR(__xludf.DUMMYFUNCTION("""COMPUTED_VALUE"""),"No")</f>
        <v>No</v>
      </c>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row>
    <row r="935" spans="1:34" ht="12.75">
      <c r="A935" s="5" t="str">
        <f ca="1">IFERROR(__xludf.DUMMYFUNCTION("""COMPUTED_VALUE"""),"20150215CATEM")</f>
        <v>20150215CATEM</v>
      </c>
      <c r="B935" s="8">
        <f ca="1">IFERROR(__xludf.DUMMYFUNCTION("""COMPUTED_VALUE"""),42050)</f>
        <v>42050</v>
      </c>
      <c r="C935" s="5" t="str">
        <f ca="1">IFERROR(__xludf.DUMMYFUNCTION("""COMPUTED_VALUE"""),"Tenaya Middle School")</f>
        <v>Tenaya Middle School</v>
      </c>
      <c r="D935" s="5">
        <f ca="1">IFERROR(__xludf.DUMMYFUNCTION("""COMPUTED_VALUE"""),1)</f>
        <v>1</v>
      </c>
      <c r="E935" s="5">
        <f ca="1">IFERROR(__xludf.DUMMYFUNCTION("""COMPUTED_VALUE"""),0)</f>
        <v>0</v>
      </c>
      <c r="F935" s="5">
        <f ca="1">IFERROR(__xludf.DUMMYFUNCTION("""COMPUTED_VALUE"""),1)</f>
        <v>1</v>
      </c>
      <c r="G935" s="5">
        <f ca="1">IFERROR(__xludf.DUMMYFUNCTION("""COMPUTED_VALUE"""),0)</f>
        <v>0</v>
      </c>
      <c r="H935" s="9" t="str">
        <f ca="1">IFERROR(__xludf.DUMMYFUNCTION("""COMPUTED_VALUE"""),"http://www.mercedsunstar.com/news/local/crime/article11963273.html")</f>
        <v>http://www.mercedsunstar.com/news/local/crime/article11963273.html</v>
      </c>
      <c r="I935" s="5">
        <f ca="1">IFERROR(__xludf.DUMMYFUNCTION("""COMPUTED_VALUE"""),1)</f>
        <v>1</v>
      </c>
      <c r="J935" s="5" t="str">
        <f ca="1">IFERROR(__xludf.DUMMYFUNCTION("""COMPUTED_VALUE"""),"Local")</f>
        <v>Local</v>
      </c>
      <c r="K935" s="5">
        <f ca="1">IFERROR(__xludf.DUMMYFUNCTION("""COMPUTED_VALUE"""),2)</f>
        <v>2</v>
      </c>
      <c r="L935" s="5" t="str">
        <f ca="1">IFERROR(__xludf.DUMMYFUNCTION("""COMPUTED_VALUE"""),"Winter")</f>
        <v>Winter</v>
      </c>
      <c r="M935" s="5" t="str">
        <f ca="1">IFERROR(__xludf.DUMMYFUNCTION("""COMPUTED_VALUE"""),"Merced")</f>
        <v>Merced</v>
      </c>
      <c r="N935" s="5" t="str">
        <f ca="1">IFERROR(__xludf.DUMMYFUNCTION("""COMPUTED_VALUE"""),"CA")</f>
        <v>CA</v>
      </c>
      <c r="O935" s="5" t="str">
        <f ca="1">IFERROR(__xludf.DUMMYFUNCTION("""COMPUTED_VALUE"""),"Middle")</f>
        <v>Middle</v>
      </c>
      <c r="P935" s="5" t="str">
        <f ca="1">IFERROR(__xludf.DUMMYFUNCTION("""COMPUTED_VALUE"""),"Parking Lot")</f>
        <v>Parking Lot</v>
      </c>
      <c r="Q935" s="5" t="str">
        <f ca="1">IFERROR(__xludf.DUMMYFUNCTION("""COMPUTED_VALUE"""),"Outside on School Property")</f>
        <v>Outside on School Property</v>
      </c>
      <c r="R935" s="5" t="str">
        <f ca="1">IFERROR(__xludf.DUMMYFUNCTION("""COMPUTED_VALUE"""),"No")</f>
        <v>No</v>
      </c>
      <c r="S935" s="5" t="str">
        <f ca="1">IFERROR(__xludf.DUMMYFUNCTION("""COMPUTED_VALUE"""),"Not a School Day")</f>
        <v>Not a School Day</v>
      </c>
      <c r="T935" s="10">
        <f ca="1">IFERROR(__xludf.DUMMYFUNCTION("""COMPUTED_VALUE"""),0.829861111111111)</f>
        <v>0.82986111111111105</v>
      </c>
      <c r="U935" s="5">
        <f ca="1">IFERROR(__xludf.DUMMYFUNCTION("""COMPUTED_VALUE"""),1)</f>
        <v>1</v>
      </c>
      <c r="V935" s="5" t="str">
        <f ca="1">IFERROR(__xludf.DUMMYFUNCTION("""COMPUTED_VALUE"""),"Jealousy -victim dating ex girlfriend")</f>
        <v>Jealousy -victim dating ex girlfriend</v>
      </c>
      <c r="W935" s="5" t="str">
        <f ca="1">IFERROR(__xludf.DUMMYFUNCTION("""COMPUTED_VALUE"""),"Shooting occurred at 7pm in the parking lot. Unknown if victim was student at school.")</f>
        <v>Shooting occurred at 7pm in the parking lot. Unknown if victim was student at school.</v>
      </c>
      <c r="X935" s="5" t="str">
        <f ca="1">IFERROR(__xludf.DUMMYFUNCTION("""COMPUTED_VALUE"""),"Domestic w/ Targeted Victim")</f>
        <v>Domestic w/ Targeted Victim</v>
      </c>
      <c r="Y935" s="5" t="str">
        <f ca="1">IFERROR(__xludf.DUMMYFUNCTION("""COMPUTED_VALUE"""),"Victims Targeted")</f>
        <v>Victims Targeted</v>
      </c>
      <c r="Z935" s="5" t="str">
        <f ca="1">IFERROR(__xludf.DUMMYFUNCTION("""COMPUTED_VALUE"""),"Yes")</f>
        <v>Yes</v>
      </c>
      <c r="AA935" s="5" t="str">
        <f ca="1">IFERROR(__xludf.DUMMYFUNCTION("""COMPUTED_VALUE"""),"Franco Adrian Ortiz, 20, was the driver")</f>
        <v>Franco Adrian Ortiz, 20, was the driver</v>
      </c>
      <c r="AB935" s="5" t="str">
        <f ca="1">IFERROR(__xludf.DUMMYFUNCTION("""COMPUTED_VALUE"""),"No")</f>
        <v>No</v>
      </c>
      <c r="AC935" s="5" t="str">
        <f ca="1">IFERROR(__xludf.DUMMYFUNCTION("""COMPUTED_VALUE"""),"No")</f>
        <v>No</v>
      </c>
      <c r="AD935" s="5" t="str">
        <f ca="1">IFERROR(__xludf.DUMMYFUNCTION("""COMPUTED_VALUE"""),"No")</f>
        <v>No</v>
      </c>
      <c r="AE935" s="5" t="str">
        <f ca="1">IFERROR(__xludf.DUMMYFUNCTION("""COMPUTED_VALUE"""),"No")</f>
        <v>No</v>
      </c>
      <c r="AF935" s="5" t="str">
        <f ca="1">IFERROR(__xludf.DUMMYFUNCTION("""COMPUTED_VALUE"""),"No")</f>
        <v>No</v>
      </c>
      <c r="AG935" s="5" t="str">
        <f ca="1">IFERROR(__xludf.DUMMYFUNCTION("""COMPUTED_VALUE"""),"No")</f>
        <v>No</v>
      </c>
      <c r="AH935" s="5" t="str">
        <f ca="1">IFERROR(__xludf.DUMMYFUNCTION("""COMPUTED_VALUE"""),"No")</f>
        <v>No</v>
      </c>
    </row>
    <row r="936" spans="1:34" ht="12.75">
      <c r="A936" s="5" t="str">
        <f ca="1">IFERROR(__xludf.DUMMYFUNCTION("""COMPUTED_VALUE"""),"20150215ARLAL")</f>
        <v>20150215ARLAL</v>
      </c>
      <c r="B936" s="8">
        <f ca="1">IFERROR(__xludf.DUMMYFUNCTION("""COMPUTED_VALUE"""),42050)</f>
        <v>42050</v>
      </c>
      <c r="C936" s="5" t="str">
        <f ca="1">IFERROR(__xludf.DUMMYFUNCTION("""COMPUTED_VALUE"""),"Lawson Elementary School")</f>
        <v>Lawson Elementary School</v>
      </c>
      <c r="D936" s="5">
        <f ca="1">IFERROR(__xludf.DUMMYFUNCTION("""COMPUTED_VALUE"""),0)</f>
        <v>0</v>
      </c>
      <c r="E936" s="5">
        <f ca="1">IFERROR(__xludf.DUMMYFUNCTION("""COMPUTED_VALUE"""),2)</f>
        <v>2</v>
      </c>
      <c r="F936" s="5">
        <f ca="1">IFERROR(__xludf.DUMMYFUNCTION("""COMPUTED_VALUE"""),2)</f>
        <v>2</v>
      </c>
      <c r="G936" s="5">
        <f ca="1">IFERROR(__xludf.DUMMYFUNCTION("""COMPUTED_VALUE"""),0)</f>
        <v>0</v>
      </c>
      <c r="H936"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I936" s="5"/>
      <c r="J936" s="5"/>
      <c r="K936" s="5">
        <f ca="1">IFERROR(__xludf.DUMMYFUNCTION("""COMPUTED_VALUE"""),3)</f>
        <v>3</v>
      </c>
      <c r="L936" s="5" t="str">
        <f ca="1">IFERROR(__xludf.DUMMYFUNCTION("""COMPUTED_VALUE"""),"Winter")</f>
        <v>Winter</v>
      </c>
      <c r="M936" s="5" t="str">
        <f ca="1">IFERROR(__xludf.DUMMYFUNCTION("""COMPUTED_VALUE"""),"Little Rock")</f>
        <v>Little Rock</v>
      </c>
      <c r="N936" s="5" t="str">
        <f ca="1">IFERROR(__xludf.DUMMYFUNCTION("""COMPUTED_VALUE"""),"AR")</f>
        <v>AR</v>
      </c>
      <c r="O936" s="5" t="str">
        <f ca="1">IFERROR(__xludf.DUMMYFUNCTION("""COMPUTED_VALUE"""),"Elementary")</f>
        <v>Elementary</v>
      </c>
      <c r="P936" s="5" t="str">
        <f ca="1">IFERROR(__xludf.DUMMYFUNCTION("""COMPUTED_VALUE"""),"Parking Lot")</f>
        <v>Parking Lot</v>
      </c>
      <c r="Q936" s="5" t="str">
        <f ca="1">IFERROR(__xludf.DUMMYFUNCTION("""COMPUTED_VALUE"""),"Outside on School Property")</f>
        <v>Outside on School Property</v>
      </c>
      <c r="R936" s="5" t="str">
        <f ca="1">IFERROR(__xludf.DUMMYFUNCTION("""COMPUTED_VALUE"""),"No")</f>
        <v>No</v>
      </c>
      <c r="S936" s="5" t="str">
        <f ca="1">IFERROR(__xludf.DUMMYFUNCTION("""COMPUTED_VALUE"""),"Not a School Day")</f>
        <v>Not a School Day</v>
      </c>
      <c r="T936" s="10">
        <f ca="1">IFERROR(__xludf.DUMMYFUNCTION("""COMPUTED_VALUE"""),0.0833333333333333)</f>
        <v>8.3333333333333301E-2</v>
      </c>
      <c r="U936" s="5">
        <f ca="1">IFERROR(__xludf.DUMMYFUNCTION("""COMPUTED_VALUE"""),1)</f>
        <v>1</v>
      </c>
      <c r="V936" s="5" t="str">
        <f ca="1">IFERROR(__xludf.DUMMYFUNCTION("""COMPUTED_VALUE"""),"Domestic dispute at the school")</f>
        <v>Domestic dispute at the school</v>
      </c>
      <c r="W936"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X936" s="5" t="str">
        <f ca="1">IFERROR(__xludf.DUMMYFUNCTION("""COMPUTED_VALUE"""),"Domestic w/ Targeted Victim")</f>
        <v>Domestic w/ Targeted Victim</v>
      </c>
      <c r="Y936" s="5" t="str">
        <f ca="1">IFERROR(__xludf.DUMMYFUNCTION("""COMPUTED_VALUE"""),"Victims Targeted")</f>
        <v>Victims Targeted</v>
      </c>
      <c r="Z936" s="5"/>
      <c r="AA936" s="5"/>
      <c r="AB936" s="5" t="str">
        <f ca="1">IFERROR(__xludf.DUMMYFUNCTION("""COMPUTED_VALUE"""),"No")</f>
        <v>No</v>
      </c>
      <c r="AC936" s="5" t="str">
        <f ca="1">IFERROR(__xludf.DUMMYFUNCTION("""COMPUTED_VALUE"""),"No")</f>
        <v>No</v>
      </c>
      <c r="AD936" s="5" t="str">
        <f ca="1">IFERROR(__xludf.DUMMYFUNCTION("""COMPUTED_VALUE"""),"No")</f>
        <v>No</v>
      </c>
      <c r="AE936" s="5" t="str">
        <f ca="1">IFERROR(__xludf.DUMMYFUNCTION("""COMPUTED_VALUE"""),"No")</f>
        <v>No</v>
      </c>
      <c r="AF936" s="5" t="str">
        <f ca="1">IFERROR(__xludf.DUMMYFUNCTION("""COMPUTED_VALUE"""),"Yes")</f>
        <v>Yes</v>
      </c>
      <c r="AG936" s="5" t="str">
        <f ca="1">IFERROR(__xludf.DUMMYFUNCTION("""COMPUTED_VALUE"""),"No")</f>
        <v>No</v>
      </c>
      <c r="AH936" s="5" t="str">
        <f ca="1">IFERROR(__xludf.DUMMYFUNCTION("""COMPUTED_VALUE"""),"No")</f>
        <v>No</v>
      </c>
    </row>
    <row r="937" spans="1:34" ht="12.75">
      <c r="A937" s="5" t="str">
        <f ca="1">IFERROR(__xludf.DUMMYFUNCTION("""COMPUTED_VALUE"""),"20150204MDFRF")</f>
        <v>20150204MDFRF</v>
      </c>
      <c r="B937" s="8">
        <f ca="1">IFERROR(__xludf.DUMMYFUNCTION("""COMPUTED_VALUE"""),42039)</f>
        <v>42039</v>
      </c>
      <c r="C937" s="5" t="str">
        <f ca="1">IFERROR(__xludf.DUMMYFUNCTION("""COMPUTED_VALUE"""),"Frederick High School")</f>
        <v>Frederick High School</v>
      </c>
      <c r="D937" s="5">
        <f ca="1">IFERROR(__xludf.DUMMYFUNCTION("""COMPUTED_VALUE"""),0)</f>
        <v>0</v>
      </c>
      <c r="E937" s="5">
        <f ca="1">IFERROR(__xludf.DUMMYFUNCTION("""COMPUTED_VALUE"""),2)</f>
        <v>2</v>
      </c>
      <c r="F937" s="5">
        <f ca="1">IFERROR(__xludf.DUMMYFUNCTION("""COMPUTED_VALUE"""),2)</f>
        <v>2</v>
      </c>
      <c r="G937" s="5">
        <f ca="1">IFERROR(__xludf.DUMMYFUNCTION("""COMPUTED_VALUE"""),0)</f>
        <v>0</v>
      </c>
      <c r="H937"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I937" s="5">
        <f ca="1">IFERROR(__xludf.DUMMYFUNCTION("""COMPUTED_VALUE"""),1)</f>
        <v>1</v>
      </c>
      <c r="J937" s="5" t="str">
        <f ca="1">IFERROR(__xludf.DUMMYFUNCTION("""COMPUTED_VALUE"""),"Local")</f>
        <v>Local</v>
      </c>
      <c r="K937" s="5">
        <f ca="1">IFERROR(__xludf.DUMMYFUNCTION("""COMPUTED_VALUE"""),2)</f>
        <v>2</v>
      </c>
      <c r="L937" s="5" t="str">
        <f ca="1">IFERROR(__xludf.DUMMYFUNCTION("""COMPUTED_VALUE"""),"Winter")</f>
        <v>Winter</v>
      </c>
      <c r="M937" s="5" t="str">
        <f ca="1">IFERROR(__xludf.DUMMYFUNCTION("""COMPUTED_VALUE"""),"Frederick")</f>
        <v>Frederick</v>
      </c>
      <c r="N937" s="5" t="str">
        <f ca="1">IFERROR(__xludf.DUMMYFUNCTION("""COMPUTED_VALUE"""),"MD")</f>
        <v>MD</v>
      </c>
      <c r="O937" s="5" t="str">
        <f ca="1">IFERROR(__xludf.DUMMYFUNCTION("""COMPUTED_VALUE"""),"High")</f>
        <v>High</v>
      </c>
      <c r="P937" s="5" t="str">
        <f ca="1">IFERROR(__xludf.DUMMYFUNCTION("""COMPUTED_VALUE"""),"Parking Lot")</f>
        <v>Parking Lot</v>
      </c>
      <c r="Q937" s="5" t="str">
        <f ca="1">IFERROR(__xludf.DUMMYFUNCTION("""COMPUTED_VALUE"""),"Outside on School Property")</f>
        <v>Outside on School Property</v>
      </c>
      <c r="R937" s="5" t="str">
        <f ca="1">IFERROR(__xludf.DUMMYFUNCTION("""COMPUTED_VALUE"""),"No")</f>
        <v>No</v>
      </c>
      <c r="S937" s="5" t="str">
        <f ca="1">IFERROR(__xludf.DUMMYFUNCTION("""COMPUTED_VALUE"""),"Sport Event")</f>
        <v>Sport Event</v>
      </c>
      <c r="T937" s="10">
        <f ca="1">IFERROR(__xludf.DUMMYFUNCTION("""COMPUTED_VALUE"""),0.833333333333333)</f>
        <v>0.83333333333333304</v>
      </c>
      <c r="U937" s="5">
        <f ca="1">IFERROR(__xludf.DUMMYFUNCTION("""COMPUTED_VALUE"""),1)</f>
        <v>1</v>
      </c>
      <c r="V937" s="5" t="str">
        <f ca="1">IFERROR(__xludf.DUMMYFUNCTION("""COMPUTED_VALUE"""),"Gang related shooting in front of school")</f>
        <v>Gang related shooting in front of school</v>
      </c>
      <c r="W937"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X937" s="5" t="str">
        <f ca="1">IFERROR(__xludf.DUMMYFUNCTION("""COMPUTED_VALUE"""),"Escalation of Dispute")</f>
        <v>Escalation of Dispute</v>
      </c>
      <c r="Y937" s="5" t="str">
        <f ca="1">IFERROR(__xludf.DUMMYFUNCTION("""COMPUTED_VALUE"""),"Victims Targeted")</f>
        <v>Victims Targeted</v>
      </c>
      <c r="Z937" s="5" t="str">
        <f ca="1">IFERROR(__xludf.DUMMYFUNCTION("""COMPUTED_VALUE"""),"Yes")</f>
        <v>Yes</v>
      </c>
      <c r="AA937" s="5" t="str">
        <f ca="1">IFERROR(__xludf.DUMMYFUNCTION("""COMPUTED_VALUE"""),"Chandler Davenport, 19")</f>
        <v>Chandler Davenport, 19</v>
      </c>
      <c r="AB937" s="5" t="str">
        <f ca="1">IFERROR(__xludf.DUMMYFUNCTION("""COMPUTED_VALUE"""),"No")</f>
        <v>No</v>
      </c>
      <c r="AC937" s="5" t="str">
        <f ca="1">IFERROR(__xludf.DUMMYFUNCTION("""COMPUTED_VALUE"""),"No")</f>
        <v>No</v>
      </c>
      <c r="AD937" s="5" t="str">
        <f ca="1">IFERROR(__xludf.DUMMYFUNCTION("""COMPUTED_VALUE"""),"No")</f>
        <v>No</v>
      </c>
      <c r="AE937" s="5" t="str">
        <f ca="1">IFERROR(__xludf.DUMMYFUNCTION("""COMPUTED_VALUE"""),"No")</f>
        <v>No</v>
      </c>
      <c r="AF937" s="5" t="str">
        <f ca="1">IFERROR(__xludf.DUMMYFUNCTION("""COMPUTED_VALUE"""),"No")</f>
        <v>No</v>
      </c>
      <c r="AG937" s="5" t="str">
        <f ca="1">IFERROR(__xludf.DUMMYFUNCTION("""COMPUTED_VALUE"""),"Yes")</f>
        <v>Yes</v>
      </c>
      <c r="AH937" s="5" t="str">
        <f ca="1">IFERROR(__xludf.DUMMYFUNCTION("""COMPUTED_VALUE"""),"No")</f>
        <v>No</v>
      </c>
    </row>
    <row r="938" spans="1:34" ht="12.75">
      <c r="A938" s="5" t="str">
        <f ca="1">IFERROR(__xludf.DUMMYFUNCTION("""COMPUTED_VALUE"""),"20150126MNHAR")</f>
        <v>20150126MNHAR</v>
      </c>
      <c r="B938" s="8">
        <f ca="1">IFERROR(__xludf.DUMMYFUNCTION("""COMPUTED_VALUE"""),42030)</f>
        <v>42030</v>
      </c>
      <c r="C938" s="5" t="str">
        <f ca="1">IFERROR(__xludf.DUMMYFUNCTION("""COMPUTED_VALUE"""),"Hand in Hand Montessori")</f>
        <v>Hand in Hand Montessori</v>
      </c>
      <c r="D938" s="5">
        <f ca="1">IFERROR(__xludf.DUMMYFUNCTION("""COMPUTED_VALUE"""),0)</f>
        <v>0</v>
      </c>
      <c r="E938" s="5">
        <f ca="1">IFERROR(__xludf.DUMMYFUNCTION("""COMPUTED_VALUE"""),0)</f>
        <v>0</v>
      </c>
      <c r="F938" s="5">
        <f ca="1">IFERROR(__xludf.DUMMYFUNCTION("""COMPUTED_VALUE"""),0)</f>
        <v>0</v>
      </c>
      <c r="G938" s="5">
        <f ca="1">IFERROR(__xludf.DUMMYFUNCTION("""COMPUTED_VALUE"""),1)</f>
        <v>1</v>
      </c>
      <c r="H938" s="9" t="str">
        <f ca="1">IFERROR(__xludf.DUMMYFUNCTION("""COMPUTED_VALUE"""),"https://minnesota.cbslocal.com/2015/01/26/police-man-fires-shot-at-school-before-shooting-himself/")</f>
        <v>https://minnesota.cbslocal.com/2015/01/26/police-man-fires-shot-at-school-before-shooting-himself/</v>
      </c>
      <c r="I938" s="5">
        <f ca="1">IFERROR(__xludf.DUMMYFUNCTION("""COMPUTED_VALUE"""),1)</f>
        <v>1</v>
      </c>
      <c r="J938" s="5" t="str">
        <f ca="1">IFERROR(__xludf.DUMMYFUNCTION("""COMPUTED_VALUE"""),"Local")</f>
        <v>Local</v>
      </c>
      <c r="K938" s="5">
        <f ca="1">IFERROR(__xludf.DUMMYFUNCTION("""COMPUTED_VALUE"""),2)</f>
        <v>2</v>
      </c>
      <c r="L938" s="5" t="str">
        <f ca="1">IFERROR(__xludf.DUMMYFUNCTION("""COMPUTED_VALUE"""),"Winter")</f>
        <v>Winter</v>
      </c>
      <c r="M938" s="5" t="str">
        <f ca="1">IFERROR(__xludf.DUMMYFUNCTION("""COMPUTED_VALUE"""),"Roseville")</f>
        <v>Roseville</v>
      </c>
      <c r="N938" s="5" t="str">
        <f ca="1">IFERROR(__xludf.DUMMYFUNCTION("""COMPUTED_VALUE"""),"MN")</f>
        <v>MN</v>
      </c>
      <c r="O938" s="5" t="str">
        <f ca="1">IFERROR(__xludf.DUMMYFUNCTION("""COMPUTED_VALUE"""),"Other")</f>
        <v>Other</v>
      </c>
      <c r="P938" s="5" t="str">
        <f ca="1">IFERROR(__xludf.DUMMYFUNCTION("""COMPUTED_VALUE"""),"Cafeteria; Parking Lot")</f>
        <v>Cafeteria; Parking Lot</v>
      </c>
      <c r="Q938" s="5" t="str">
        <f ca="1">IFERROR(__xludf.DUMMYFUNCTION("""COMPUTED_VALUE"""),"Both Inside/Outside")</f>
        <v>Both Inside/Outside</v>
      </c>
      <c r="R938" s="5" t="str">
        <f ca="1">IFERROR(__xludf.DUMMYFUNCTION("""COMPUTED_VALUE"""),"Yes")</f>
        <v>Yes</v>
      </c>
      <c r="S938" s="5" t="str">
        <f ca="1">IFERROR(__xludf.DUMMYFUNCTION("""COMPUTED_VALUE"""),"Dismissal")</f>
        <v>Dismissal</v>
      </c>
      <c r="T938" s="10">
        <f ca="1">IFERROR(__xludf.DUMMYFUNCTION("""COMPUTED_VALUE"""),0.629861111111111)</f>
        <v>0.62986111111111098</v>
      </c>
      <c r="U938" s="5">
        <f ca="1">IFERROR(__xludf.DUMMYFUNCTION("""COMPUTED_VALUE"""),1)</f>
        <v>1</v>
      </c>
      <c r="V938" s="5" t="str">
        <f ca="1">IFERROR(__xludf.DUMMYFUNCTION("""COMPUTED_VALUE"""),"Shot at school windows then shot self in car")</f>
        <v>Shot at school windows then shot self in car</v>
      </c>
      <c r="W938"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X938" s="5" t="str">
        <f ca="1">IFERROR(__xludf.DUMMYFUNCTION("""COMPUTED_VALUE"""),"Suicide/Attempted")</f>
        <v>Suicide/Attempted</v>
      </c>
      <c r="Y938" s="5" t="str">
        <f ca="1">IFERROR(__xludf.DUMMYFUNCTION("""COMPUTED_VALUE"""),"Neither")</f>
        <v>Neither</v>
      </c>
      <c r="Z938" s="5" t="str">
        <f ca="1">IFERROR(__xludf.DUMMYFUNCTION("""COMPUTED_VALUE"""),"No")</f>
        <v>No</v>
      </c>
      <c r="AA938" s="5"/>
      <c r="AB938" s="5" t="str">
        <f ca="1">IFERROR(__xludf.DUMMYFUNCTION("""COMPUTED_VALUE"""),"No")</f>
        <v>No</v>
      </c>
      <c r="AC938" s="5" t="str">
        <f ca="1">IFERROR(__xludf.DUMMYFUNCTION("""COMPUTED_VALUE"""),"No")</f>
        <v>No</v>
      </c>
      <c r="AD938" s="5" t="str">
        <f ca="1">IFERROR(__xludf.DUMMYFUNCTION("""COMPUTED_VALUE"""),"No")</f>
        <v>No</v>
      </c>
      <c r="AE938" s="5" t="str">
        <f ca="1">IFERROR(__xludf.DUMMYFUNCTION("""COMPUTED_VALUE"""),"N/A")</f>
        <v>N/A</v>
      </c>
      <c r="AF938" s="5"/>
      <c r="AG938" s="5"/>
      <c r="AH938" s="5" t="str">
        <f ca="1">IFERROR(__xludf.DUMMYFUNCTION("""COMPUTED_VALUE"""),"No")</f>
        <v>No</v>
      </c>
    </row>
    <row r="939" spans="1:34" ht="12.75">
      <c r="A939" s="5" t="str">
        <f ca="1">IFERROR(__xludf.DUMMYFUNCTION("""COMPUTED_VALUE"""),"20150122SCROH")</f>
        <v>20150122SCROH</v>
      </c>
      <c r="B939" s="8">
        <f ca="1">IFERROR(__xludf.DUMMYFUNCTION("""COMPUTED_VALUE"""),42026)</f>
        <v>42026</v>
      </c>
      <c r="C939" s="5" t="str">
        <f ca="1">IFERROR(__xludf.DUMMYFUNCTION("""COMPUTED_VALUE"""),"Royal Live Oaks Academy")</f>
        <v>Royal Live Oaks Academy</v>
      </c>
      <c r="D939" s="5">
        <f ca="1">IFERROR(__xludf.DUMMYFUNCTION("""COMPUTED_VALUE"""),0)</f>
        <v>0</v>
      </c>
      <c r="E939" s="5">
        <f ca="1">IFERROR(__xludf.DUMMYFUNCTION("""COMPUTED_VALUE"""),0)</f>
        <v>0</v>
      </c>
      <c r="F939" s="5">
        <f ca="1">IFERROR(__xludf.DUMMYFUNCTION("""COMPUTED_VALUE"""),0)</f>
        <v>0</v>
      </c>
      <c r="G939" s="5">
        <f ca="1">IFERROR(__xludf.DUMMYFUNCTION("""COMPUTED_VALUE"""),0)</f>
        <v>0</v>
      </c>
      <c r="H939"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I939" s="5"/>
      <c r="J939" s="5"/>
      <c r="K939" s="5">
        <f ca="1">IFERROR(__xludf.DUMMYFUNCTION("""COMPUTED_VALUE"""),3)</f>
        <v>3</v>
      </c>
      <c r="L939" s="5" t="str">
        <f ca="1">IFERROR(__xludf.DUMMYFUNCTION("""COMPUTED_VALUE"""),"Winter")</f>
        <v>Winter</v>
      </c>
      <c r="M939" s="5" t="str">
        <f ca="1">IFERROR(__xludf.DUMMYFUNCTION("""COMPUTED_VALUE"""),"Hardeeville")</f>
        <v>Hardeeville</v>
      </c>
      <c r="N939" s="5" t="str">
        <f ca="1">IFERROR(__xludf.DUMMYFUNCTION("""COMPUTED_VALUE"""),"SC")</f>
        <v>SC</v>
      </c>
      <c r="O939" s="5" t="str">
        <f ca="1">IFERROR(__xludf.DUMMYFUNCTION("""COMPUTED_VALUE"""),"K-12")</f>
        <v>K-12</v>
      </c>
      <c r="P939" s="5" t="str">
        <f ca="1">IFERROR(__xludf.DUMMYFUNCTION("""COMPUTED_VALUE"""),"Field (General)")</f>
        <v>Field (General)</v>
      </c>
      <c r="Q939" s="5" t="str">
        <f ca="1">IFERROR(__xludf.DUMMYFUNCTION("""COMPUTED_VALUE"""),"Outside on School Property")</f>
        <v>Outside on School Property</v>
      </c>
      <c r="R939" s="5" t="str">
        <f ca="1">IFERROR(__xludf.DUMMYFUNCTION("""COMPUTED_VALUE"""),"Yes")</f>
        <v>Yes</v>
      </c>
      <c r="S939" s="5" t="str">
        <f ca="1">IFERROR(__xludf.DUMMYFUNCTION("""COMPUTED_VALUE"""),"School Event")</f>
        <v>School Event</v>
      </c>
      <c r="T939" s="10">
        <f ca="1">IFERROR(__xludf.DUMMYFUNCTION("""COMPUTED_VALUE"""),0.708333333333333)</f>
        <v>0.70833333333333304</v>
      </c>
      <c r="U939" s="5">
        <f ca="1">IFERROR(__xludf.DUMMYFUNCTION("""COMPUTED_VALUE"""),2)</f>
        <v>2</v>
      </c>
      <c r="V939" s="5" t="str">
        <f ca="1">IFERROR(__xludf.DUMMYFUNCTION("""COMPUTED_VALUE"""),"Possible escalation from fight the day prior")</f>
        <v>Possible escalation from fight the day prior</v>
      </c>
      <c r="W939"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X939" s="5" t="str">
        <f ca="1">IFERROR(__xludf.DUMMYFUNCTION("""COMPUTED_VALUE"""),"Escalation of Dispute")</f>
        <v>Escalation of Dispute</v>
      </c>
      <c r="Y939" s="5"/>
      <c r="Z939" s="5" t="str">
        <f ca="1">IFERROR(__xludf.DUMMYFUNCTION("""COMPUTED_VALUE"""),"Yes")</f>
        <v>Yes</v>
      </c>
      <c r="AA939" s="5" t="str">
        <f ca="1">IFERROR(__xludf.DUMMYFUNCTION("""COMPUTED_VALUE"""),"two adult males were with juvenile - when caught they also had guns.")</f>
        <v>two adult males were with juvenile - when caught they also had guns.</v>
      </c>
      <c r="AB939" s="5" t="str">
        <f ca="1">IFERROR(__xludf.DUMMYFUNCTION("""COMPUTED_VALUE"""),"No")</f>
        <v>No</v>
      </c>
      <c r="AC939" s="5" t="str">
        <f ca="1">IFERROR(__xludf.DUMMYFUNCTION("""COMPUTED_VALUE"""),"No")</f>
        <v>No</v>
      </c>
      <c r="AD939" s="5" t="str">
        <f ca="1">IFERROR(__xludf.DUMMYFUNCTION("""COMPUTED_VALUE"""),"No")</f>
        <v>No</v>
      </c>
      <c r="AE939" s="5" t="str">
        <f ca="1">IFERROR(__xludf.DUMMYFUNCTION("""COMPUTED_VALUE"""),"No")</f>
        <v>No</v>
      </c>
      <c r="AF939" s="5" t="str">
        <f ca="1">IFERROR(__xludf.DUMMYFUNCTION("""COMPUTED_VALUE"""),"No")</f>
        <v>No</v>
      </c>
      <c r="AG939" s="5" t="str">
        <f ca="1">IFERROR(__xludf.DUMMYFUNCTION("""COMPUTED_VALUE"""),"No")</f>
        <v>No</v>
      </c>
      <c r="AH939" s="5" t="str">
        <f ca="1">IFERROR(__xludf.DUMMYFUNCTION("""COMPUTED_VALUE"""),"No")</f>
        <v>No</v>
      </c>
    </row>
    <row r="940" spans="1:34" ht="12.75">
      <c r="A940" s="5" t="str">
        <f ca="1">IFERROR(__xludf.DUMMYFUNCTION("""COMPUTED_VALUE"""),"20150120ALWIM")</f>
        <v>20150120ALWIM</v>
      </c>
      <c r="B940" s="8">
        <f ca="1">IFERROR(__xludf.DUMMYFUNCTION("""COMPUTED_VALUE"""),42024)</f>
        <v>42024</v>
      </c>
      <c r="C940" s="5" t="str">
        <f ca="1">IFERROR(__xludf.DUMMYFUNCTION("""COMPUTED_VALUE"""),"Williamson High School")</f>
        <v>Williamson High School</v>
      </c>
      <c r="D940" s="5">
        <f ca="1">IFERROR(__xludf.DUMMYFUNCTION("""COMPUTED_VALUE"""),0)</f>
        <v>0</v>
      </c>
      <c r="E940" s="5">
        <f ca="1">IFERROR(__xludf.DUMMYFUNCTION("""COMPUTED_VALUE"""),1)</f>
        <v>1</v>
      </c>
      <c r="F940" s="5">
        <f ca="1">IFERROR(__xludf.DUMMYFUNCTION("""COMPUTED_VALUE"""),1)</f>
        <v>1</v>
      </c>
      <c r="G940" s="5">
        <f ca="1">IFERROR(__xludf.DUMMYFUNCTION("""COMPUTED_VALUE"""),0)</f>
        <v>0</v>
      </c>
      <c r="H940" s="9" t="str">
        <f ca="1">IFERROR(__xludf.DUMMYFUNCTION("""COMPUTED_VALUE"""),"https://www.al.com/news/mobile/index.ssf/2015/01/one_shot_in_the_buttock_after.html")</f>
        <v>https://www.al.com/news/mobile/index.ssf/2015/01/one_shot_in_the_buttock_after.html</v>
      </c>
      <c r="I940" s="5"/>
      <c r="J940" s="5"/>
      <c r="K940" s="5">
        <f ca="1">IFERROR(__xludf.DUMMYFUNCTION("""COMPUTED_VALUE"""),2)</f>
        <v>2</v>
      </c>
      <c r="L940" s="5" t="str">
        <f ca="1">IFERROR(__xludf.DUMMYFUNCTION("""COMPUTED_VALUE"""),"Winter")</f>
        <v>Winter</v>
      </c>
      <c r="M940" s="5" t="str">
        <f ca="1">IFERROR(__xludf.DUMMYFUNCTION("""COMPUTED_VALUE"""),"Mobile")</f>
        <v>Mobile</v>
      </c>
      <c r="N940" s="5" t="str">
        <f ca="1">IFERROR(__xludf.DUMMYFUNCTION("""COMPUTED_VALUE"""),"AL")</f>
        <v>AL</v>
      </c>
      <c r="O940" s="5" t="str">
        <f ca="1">IFERROR(__xludf.DUMMYFUNCTION("""COMPUTED_VALUE"""),"High")</f>
        <v>High</v>
      </c>
      <c r="P940" s="5" t="str">
        <f ca="1">IFERROR(__xludf.DUMMYFUNCTION("""COMPUTED_VALUE"""),"Beside Building")</f>
        <v>Beside Building</v>
      </c>
      <c r="Q940" s="5" t="str">
        <f ca="1">IFERROR(__xludf.DUMMYFUNCTION("""COMPUTED_VALUE"""),"Outside on School Property")</f>
        <v>Outside on School Property</v>
      </c>
      <c r="R940" s="5" t="str">
        <f ca="1">IFERROR(__xludf.DUMMYFUNCTION("""COMPUTED_VALUE"""),"No")</f>
        <v>No</v>
      </c>
      <c r="S940" s="5" t="str">
        <f ca="1">IFERROR(__xludf.DUMMYFUNCTION("""COMPUTED_VALUE"""),"Evening")</f>
        <v>Evening</v>
      </c>
      <c r="T940" s="5"/>
      <c r="U940" s="5">
        <f ca="1">IFERROR(__xludf.DUMMYFUNCTION("""COMPUTED_VALUE"""),1)</f>
        <v>1</v>
      </c>
      <c r="V940" s="5" t="str">
        <f ca="1">IFERROR(__xludf.DUMMYFUNCTION("""COMPUTED_VALUE"""),"Shooting outside school after basketball game, bystander hit")</f>
        <v>Shooting outside school after basketball game, bystander hit</v>
      </c>
      <c r="W940"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X940" s="5" t="str">
        <f ca="1">IFERROR(__xludf.DUMMYFUNCTION("""COMPUTED_VALUE"""),"Escalation of Dispute")</f>
        <v>Escalation of Dispute</v>
      </c>
      <c r="Y940" s="5" t="str">
        <f ca="1">IFERROR(__xludf.DUMMYFUNCTION("""COMPUTED_VALUE"""),"Random Shooting")</f>
        <v>Random Shooting</v>
      </c>
      <c r="Z940" s="5" t="str">
        <f ca="1">IFERROR(__xludf.DUMMYFUNCTION("""COMPUTED_VALUE"""),"Yes")</f>
        <v>Yes</v>
      </c>
      <c r="AA940" s="5" t="str">
        <f ca="1">IFERROR(__xludf.DUMMYFUNCTION("""COMPUTED_VALUE"""),"Group of students fighting")</f>
        <v>Group of students fighting</v>
      </c>
      <c r="AB940" s="5" t="str">
        <f ca="1">IFERROR(__xludf.DUMMYFUNCTION("""COMPUTED_VALUE"""),"No")</f>
        <v>No</v>
      </c>
      <c r="AC940" s="5" t="str">
        <f ca="1">IFERROR(__xludf.DUMMYFUNCTION("""COMPUTED_VALUE"""),"No")</f>
        <v>No</v>
      </c>
      <c r="AD940" s="5" t="str">
        <f ca="1">IFERROR(__xludf.DUMMYFUNCTION("""COMPUTED_VALUE"""),"No")</f>
        <v>No</v>
      </c>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row>
    <row r="941" spans="1:34" ht="12.75">
      <c r="A941" s="5" t="str">
        <f ca="1">IFERROR(__xludf.DUMMYFUNCTION("""COMPUTED_VALUE"""),"20150116FLVAO")</f>
        <v>20150116FLVAO</v>
      </c>
      <c r="B941" s="8">
        <f ca="1">IFERROR(__xludf.DUMMYFUNCTION("""COMPUTED_VALUE"""),42020)</f>
        <v>42020</v>
      </c>
      <c r="C941" s="5" t="str">
        <f ca="1">IFERROR(__xludf.DUMMYFUNCTION("""COMPUTED_VALUE"""),"Vanguard High School")</f>
        <v>Vanguard High School</v>
      </c>
      <c r="D941" s="5">
        <f ca="1">IFERROR(__xludf.DUMMYFUNCTION("""COMPUTED_VALUE"""),0)</f>
        <v>0</v>
      </c>
      <c r="E941" s="5">
        <f ca="1">IFERROR(__xludf.DUMMYFUNCTION("""COMPUTED_VALUE"""),2)</f>
        <v>2</v>
      </c>
      <c r="F941" s="5">
        <f ca="1">IFERROR(__xludf.DUMMYFUNCTION("""COMPUTED_VALUE"""),2)</f>
        <v>2</v>
      </c>
      <c r="G941" s="5">
        <f ca="1">IFERROR(__xludf.DUMMYFUNCTION("""COMPUTED_VALUE"""),0)</f>
        <v>0</v>
      </c>
      <c r="H941" s="9" t="str">
        <f ca="1">IFERROR(__xludf.DUMMYFUNCTION("""COMPUTED_VALUE"""),"http://www.ocalapost.com/shooting-at-vanguard-high-injured-2/")</f>
        <v>http://www.ocalapost.com/shooting-at-vanguard-high-injured-2/</v>
      </c>
      <c r="I941" s="5">
        <f ca="1">IFERROR(__xludf.DUMMYFUNCTION("""COMPUTED_VALUE"""),1)</f>
        <v>1</v>
      </c>
      <c r="J941" s="5" t="str">
        <f ca="1">IFERROR(__xludf.DUMMYFUNCTION("""COMPUTED_VALUE"""),"Local")</f>
        <v>Local</v>
      </c>
      <c r="K941" s="5">
        <f ca="1">IFERROR(__xludf.DUMMYFUNCTION("""COMPUTED_VALUE"""),2)</f>
        <v>2</v>
      </c>
      <c r="L941" s="5" t="str">
        <f ca="1">IFERROR(__xludf.DUMMYFUNCTION("""COMPUTED_VALUE"""),"Winter")</f>
        <v>Winter</v>
      </c>
      <c r="M941" s="5" t="str">
        <f ca="1">IFERROR(__xludf.DUMMYFUNCTION("""COMPUTED_VALUE"""),"Ocala")</f>
        <v>Ocala</v>
      </c>
      <c r="N941" s="5" t="str">
        <f ca="1">IFERROR(__xludf.DUMMYFUNCTION("""COMPUTED_VALUE"""),"FL")</f>
        <v>FL</v>
      </c>
      <c r="O941" s="5" t="str">
        <f ca="1">IFERROR(__xludf.DUMMYFUNCTION("""COMPUTED_VALUE"""),"High")</f>
        <v>High</v>
      </c>
      <c r="P941" s="5" t="str">
        <f ca="1">IFERROR(__xludf.DUMMYFUNCTION("""COMPUTED_VALUE"""),"Parking Lot")</f>
        <v>Parking Lot</v>
      </c>
      <c r="Q941" s="5" t="str">
        <f ca="1">IFERROR(__xludf.DUMMYFUNCTION("""COMPUTED_VALUE"""),"Outside on School Property")</f>
        <v>Outside on School Property</v>
      </c>
      <c r="R941" s="5" t="str">
        <f ca="1">IFERROR(__xludf.DUMMYFUNCTION("""COMPUTED_VALUE"""),"No")</f>
        <v>No</v>
      </c>
      <c r="S941" s="5" t="str">
        <f ca="1">IFERROR(__xludf.DUMMYFUNCTION("""COMPUTED_VALUE"""),"Sport Event")</f>
        <v>Sport Event</v>
      </c>
      <c r="T941" s="5"/>
      <c r="U941" s="5">
        <f ca="1">IFERROR(__xludf.DUMMYFUNCTION("""COMPUTED_VALUE"""),1)</f>
        <v>1</v>
      </c>
      <c r="V941" s="5" t="str">
        <f ca="1">IFERROR(__xludf.DUMMYFUNCTION("""COMPUTED_VALUE"""),"Gang related shooting in parking lot")</f>
        <v>Gang related shooting in parking lot</v>
      </c>
      <c r="W941"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X941" s="5" t="str">
        <f ca="1">IFERROR(__xludf.DUMMYFUNCTION("""COMPUTED_VALUE"""),"Drive-by Shooting")</f>
        <v>Drive-by Shooting</v>
      </c>
      <c r="Y941" s="5" t="str">
        <f ca="1">IFERROR(__xludf.DUMMYFUNCTION("""COMPUTED_VALUE"""),"Both")</f>
        <v>Both</v>
      </c>
      <c r="Z941" s="5" t="str">
        <f ca="1">IFERROR(__xludf.DUMMYFUNCTION("""COMPUTED_VALUE"""),"No")</f>
        <v>No</v>
      </c>
      <c r="AA941" s="5"/>
      <c r="AB941" s="5" t="str">
        <f ca="1">IFERROR(__xludf.DUMMYFUNCTION("""COMPUTED_VALUE"""),"No")</f>
        <v>No</v>
      </c>
      <c r="AC941" s="5" t="str">
        <f ca="1">IFERROR(__xludf.DUMMYFUNCTION("""COMPUTED_VALUE"""),"No")</f>
        <v>No</v>
      </c>
      <c r="AD941" s="5" t="str">
        <f ca="1">IFERROR(__xludf.DUMMYFUNCTION("""COMPUTED_VALUE"""),"No")</f>
        <v>No</v>
      </c>
      <c r="AE941" s="5"/>
      <c r="AF941" s="5" t="str">
        <f ca="1">IFERROR(__xludf.DUMMYFUNCTION("""COMPUTED_VALUE"""),"No")</f>
        <v>No</v>
      </c>
      <c r="AG941" s="5" t="str">
        <f ca="1">IFERROR(__xludf.DUMMYFUNCTION("""COMPUTED_VALUE"""),"Yes")</f>
        <v>Yes</v>
      </c>
      <c r="AH941" s="5" t="str">
        <f ca="1">IFERROR(__xludf.DUMMYFUNCTION("""COMPUTED_VALUE"""),"No")</f>
        <v>No</v>
      </c>
    </row>
    <row r="942" spans="1:34" ht="12.75">
      <c r="A942" s="5" t="str">
        <f ca="1">IFERROR(__xludf.DUMMYFUNCTION("""COMPUTED_VALUE"""),"20150115WIWIM")</f>
        <v>20150115WIWIM</v>
      </c>
      <c r="B942" s="8">
        <f ca="1">IFERROR(__xludf.DUMMYFUNCTION("""COMPUTED_VALUE"""),42019)</f>
        <v>42019</v>
      </c>
      <c r="C942" s="5" t="str">
        <f ca="1">IFERROR(__xludf.DUMMYFUNCTION("""COMPUTED_VALUE"""),"Wisconsin Lutheran High School")</f>
        <v>Wisconsin Lutheran High School</v>
      </c>
      <c r="D942" s="5">
        <f ca="1">IFERROR(__xludf.DUMMYFUNCTION("""COMPUTED_VALUE"""),0)</f>
        <v>0</v>
      </c>
      <c r="E942" s="5">
        <f ca="1">IFERROR(__xludf.DUMMYFUNCTION("""COMPUTED_VALUE"""),3)</f>
        <v>3</v>
      </c>
      <c r="F942" s="5">
        <f ca="1">IFERROR(__xludf.DUMMYFUNCTION("""COMPUTED_VALUE"""),3)</f>
        <v>3</v>
      </c>
      <c r="G942" s="5">
        <f ca="1">IFERROR(__xludf.DUMMYFUNCTION("""COMPUTED_VALUE"""),0)</f>
        <v>0</v>
      </c>
      <c r="H942"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I942" s="5">
        <f ca="1">IFERROR(__xludf.DUMMYFUNCTION("""COMPUTED_VALUE"""),5)</f>
        <v>5</v>
      </c>
      <c r="J942" s="5" t="str">
        <f ca="1">IFERROR(__xludf.DUMMYFUNCTION("""COMPUTED_VALUE"""),"Local")</f>
        <v>Local</v>
      </c>
      <c r="K942" s="5">
        <f ca="1">IFERROR(__xludf.DUMMYFUNCTION("""COMPUTED_VALUE"""),2)</f>
        <v>2</v>
      </c>
      <c r="L942" s="5" t="str">
        <f ca="1">IFERROR(__xludf.DUMMYFUNCTION("""COMPUTED_VALUE"""),"Winter")</f>
        <v>Winter</v>
      </c>
      <c r="M942" s="5" t="str">
        <f ca="1">IFERROR(__xludf.DUMMYFUNCTION("""COMPUTED_VALUE"""),"Milwaukee")</f>
        <v>Milwaukee</v>
      </c>
      <c r="N942" s="5" t="str">
        <f ca="1">IFERROR(__xludf.DUMMYFUNCTION("""COMPUTED_VALUE"""),"WI")</f>
        <v>WI</v>
      </c>
      <c r="O942" s="5" t="str">
        <f ca="1">IFERROR(__xludf.DUMMYFUNCTION("""COMPUTED_VALUE"""),"High")</f>
        <v>High</v>
      </c>
      <c r="P942" s="5" t="str">
        <f ca="1">IFERROR(__xludf.DUMMYFUNCTION("""COMPUTED_VALUE"""),"Parking Lot")</f>
        <v>Parking Lot</v>
      </c>
      <c r="Q942" s="5" t="str">
        <f ca="1">IFERROR(__xludf.DUMMYFUNCTION("""COMPUTED_VALUE"""),"Outside on School Property")</f>
        <v>Outside on School Property</v>
      </c>
      <c r="R942" s="5" t="str">
        <f ca="1">IFERROR(__xludf.DUMMYFUNCTION("""COMPUTED_VALUE"""),"No")</f>
        <v>No</v>
      </c>
      <c r="S942" s="5" t="str">
        <f ca="1">IFERROR(__xludf.DUMMYFUNCTION("""COMPUTED_VALUE"""),"Sport Event")</f>
        <v>Sport Event</v>
      </c>
      <c r="T942" s="5"/>
      <c r="U942" s="5"/>
      <c r="V942" s="5" t="str">
        <f ca="1">IFERROR(__xludf.DUMMYFUNCTION("""COMPUTED_VALUE"""),"Shots fired by family members of rival teams during fight at basketball game")</f>
        <v>Shots fired by family members of rival teams during fight at basketball game</v>
      </c>
      <c r="W942"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X942" s="5" t="str">
        <f ca="1">IFERROR(__xludf.DUMMYFUNCTION("""COMPUTED_VALUE"""),"Escalation of Dispute")</f>
        <v>Escalation of Dispute</v>
      </c>
      <c r="Y942" s="5" t="str">
        <f ca="1">IFERROR(__xludf.DUMMYFUNCTION("""COMPUTED_VALUE"""),"Both")</f>
        <v>Both</v>
      </c>
      <c r="Z942" s="5" t="str">
        <f ca="1">IFERROR(__xludf.DUMMYFUNCTION("""COMPUTED_VALUE"""),"No")</f>
        <v>No</v>
      </c>
      <c r="AA942" s="5"/>
      <c r="AB942" s="5" t="str">
        <f ca="1">IFERROR(__xludf.DUMMYFUNCTION("""COMPUTED_VALUE"""),"No")</f>
        <v>No</v>
      </c>
      <c r="AC942" s="5" t="str">
        <f ca="1">IFERROR(__xludf.DUMMYFUNCTION("""COMPUTED_VALUE"""),"No")</f>
        <v>No</v>
      </c>
      <c r="AD942" s="5" t="str">
        <f ca="1">IFERROR(__xludf.DUMMYFUNCTION("""COMPUTED_VALUE"""),"No")</f>
        <v>No</v>
      </c>
      <c r="AE942" s="5" t="str">
        <f ca="1">IFERROR(__xludf.DUMMYFUNCTION("""COMPUTED_VALUE"""),"N/A")</f>
        <v>N/A</v>
      </c>
      <c r="AF942" s="5" t="str">
        <f ca="1">IFERROR(__xludf.DUMMYFUNCTION("""COMPUTED_VALUE"""),"No")</f>
        <v>No</v>
      </c>
      <c r="AG942" s="5" t="str">
        <f ca="1">IFERROR(__xludf.DUMMYFUNCTION("""COMPUTED_VALUE"""),"Yes")</f>
        <v>Yes</v>
      </c>
      <c r="AH942" s="5" t="str">
        <f ca="1">IFERROR(__xludf.DUMMYFUNCTION("""COMPUTED_VALUE"""),"No")</f>
        <v>No</v>
      </c>
    </row>
    <row r="943" spans="1:34" ht="12.75">
      <c r="A943" s="5" t="str">
        <f ca="1">IFERROR(__xludf.DUMMYFUNCTION("""COMPUTED_VALUE"""),"20141217MIGOW")</f>
        <v>20141217MIGOW</v>
      </c>
      <c r="B943" s="8">
        <f ca="1">IFERROR(__xludf.DUMMYFUNCTION("""COMPUTED_VALUE"""),41990)</f>
        <v>41990</v>
      </c>
      <c r="C943" s="5" t="str">
        <f ca="1">IFERROR(__xludf.DUMMYFUNCTION("""COMPUTED_VALUE"""),"Godfrey Lee High School")</f>
        <v>Godfrey Lee High School</v>
      </c>
      <c r="D943" s="5">
        <f ca="1">IFERROR(__xludf.DUMMYFUNCTION("""COMPUTED_VALUE"""),0)</f>
        <v>0</v>
      </c>
      <c r="E943" s="5">
        <f ca="1">IFERROR(__xludf.DUMMYFUNCTION("""COMPUTED_VALUE"""),1)</f>
        <v>1</v>
      </c>
      <c r="F943" s="5">
        <f ca="1">IFERROR(__xludf.DUMMYFUNCTION("""COMPUTED_VALUE"""),1)</f>
        <v>1</v>
      </c>
      <c r="G943" s="5">
        <f ca="1">IFERROR(__xludf.DUMMYFUNCTION("""COMPUTED_VALUE"""),0)</f>
        <v>0</v>
      </c>
      <c r="H943" s="9" t="str">
        <f ca="1">IFERROR(__xludf.DUMMYFUNCTION("""COMPUTED_VALUE"""),"https://fox17online.com/2014/12/17/basketball-player-shot-outside-godfrey-lee-high-school/")</f>
        <v>https://fox17online.com/2014/12/17/basketball-player-shot-outside-godfrey-lee-high-school/</v>
      </c>
      <c r="I943" s="5"/>
      <c r="J943" s="5"/>
      <c r="K943" s="5">
        <f ca="1">IFERROR(__xludf.DUMMYFUNCTION("""COMPUTED_VALUE"""),4)</f>
        <v>4</v>
      </c>
      <c r="L943" s="5" t="str">
        <f ca="1">IFERROR(__xludf.DUMMYFUNCTION("""COMPUTED_VALUE"""),"Winter")</f>
        <v>Winter</v>
      </c>
      <c r="M943" s="5" t="str">
        <f ca="1">IFERROR(__xludf.DUMMYFUNCTION("""COMPUTED_VALUE"""),"Wyoming")</f>
        <v>Wyoming</v>
      </c>
      <c r="N943" s="5" t="str">
        <f ca="1">IFERROR(__xludf.DUMMYFUNCTION("""COMPUTED_VALUE"""),"MI")</f>
        <v>MI</v>
      </c>
      <c r="O943" s="5" t="str">
        <f ca="1">IFERROR(__xludf.DUMMYFUNCTION("""COMPUTED_VALUE"""),"High")</f>
        <v>High</v>
      </c>
      <c r="P943" s="5" t="str">
        <f ca="1">IFERROR(__xludf.DUMMYFUNCTION("""COMPUTED_VALUE"""),"Parking Lot")</f>
        <v>Parking Lot</v>
      </c>
      <c r="Q943" s="5" t="str">
        <f ca="1">IFERROR(__xludf.DUMMYFUNCTION("""COMPUTED_VALUE"""),"Outside on School Property")</f>
        <v>Outside on School Property</v>
      </c>
      <c r="R943" s="5" t="str">
        <f ca="1">IFERROR(__xludf.DUMMYFUNCTION("""COMPUTED_VALUE"""),"No")</f>
        <v>No</v>
      </c>
      <c r="S943" s="5" t="str">
        <f ca="1">IFERROR(__xludf.DUMMYFUNCTION("""COMPUTED_VALUE"""),"Sport Event")</f>
        <v>Sport Event</v>
      </c>
      <c r="T943" s="10">
        <f ca="1">IFERROR(__xludf.DUMMYFUNCTION("""COMPUTED_VALUE"""),0.833333333333333)</f>
        <v>0.83333333333333304</v>
      </c>
      <c r="U943" s="5">
        <f ca="1">IFERROR(__xludf.DUMMYFUNCTION("""COMPUTED_VALUE"""),1)</f>
        <v>1</v>
      </c>
      <c r="V943" s="5" t="str">
        <f ca="1">IFERROR(__xludf.DUMMYFUNCTION("""COMPUTED_VALUE"""),"Student shot leaving basketball practice, ran back to school")</f>
        <v>Student shot leaving basketball practice, ran back to school</v>
      </c>
      <c r="W943"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X943" s="5" t="str">
        <f ca="1">IFERROR(__xludf.DUMMYFUNCTION("""COMPUTED_VALUE"""),"Unknown")</f>
        <v>Unknown</v>
      </c>
      <c r="Y943" s="5" t="str">
        <f ca="1">IFERROR(__xludf.DUMMYFUNCTION("""COMPUTED_VALUE"""),"Victims Targeted")</f>
        <v>Victims Targeted</v>
      </c>
      <c r="Z943" s="5"/>
      <c r="AA943" s="5"/>
      <c r="AB943" s="5" t="str">
        <f ca="1">IFERROR(__xludf.DUMMYFUNCTION("""COMPUTED_VALUE"""),"No")</f>
        <v>No</v>
      </c>
      <c r="AC943" s="5" t="str">
        <f ca="1">IFERROR(__xludf.DUMMYFUNCTION("""COMPUTED_VALUE"""),"No")</f>
        <v>No</v>
      </c>
      <c r="AD943" s="5" t="str">
        <f ca="1">IFERROR(__xludf.DUMMYFUNCTION("""COMPUTED_VALUE"""),"No")</f>
        <v>No</v>
      </c>
      <c r="AE943" s="5" t="str">
        <f ca="1">IFERROR(__xludf.DUMMYFUNCTION("""COMPUTED_VALUE"""),"No")</f>
        <v>No</v>
      </c>
      <c r="AF943" s="5" t="str">
        <f ca="1">IFERROR(__xludf.DUMMYFUNCTION("""COMPUTED_VALUE"""),"No")</f>
        <v>No</v>
      </c>
      <c r="AG943" s="5"/>
      <c r="AH943" s="5" t="str">
        <f ca="1">IFERROR(__xludf.DUMMYFUNCTION("""COMPUTED_VALUE"""),"No")</f>
        <v>No</v>
      </c>
    </row>
    <row r="944" spans="1:34" ht="12.75">
      <c r="A944" s="5" t="str">
        <f ca="1">IFERROR(__xludf.DUMMYFUNCTION("""COMPUTED_VALUE"""),"20141217MEBEW")</f>
        <v>20141217MEBEW</v>
      </c>
      <c r="B944" s="8">
        <f ca="1">IFERROR(__xludf.DUMMYFUNCTION("""COMPUTED_VALUE"""),41990)</f>
        <v>41990</v>
      </c>
      <c r="C944" s="5" t="str">
        <f ca="1">IFERROR(__xludf.DUMMYFUNCTION("""COMPUTED_VALUE"""),"Benton Elementary School")</f>
        <v>Benton Elementary School</v>
      </c>
      <c r="D944" s="5">
        <f ca="1">IFERROR(__xludf.DUMMYFUNCTION("""COMPUTED_VALUE"""),0)</f>
        <v>0</v>
      </c>
      <c r="E944" s="5">
        <f ca="1">IFERROR(__xludf.DUMMYFUNCTION("""COMPUTED_VALUE"""),0)</f>
        <v>0</v>
      </c>
      <c r="F944" s="5">
        <f ca="1">IFERROR(__xludf.DUMMYFUNCTION("""COMPUTED_VALUE"""),0)</f>
        <v>0</v>
      </c>
      <c r="G944" s="5">
        <f ca="1">IFERROR(__xludf.DUMMYFUNCTION("""COMPUTED_VALUE"""),1)</f>
        <v>1</v>
      </c>
      <c r="H944" s="9" t="str">
        <f ca="1">IFERROR(__xludf.DUMMYFUNCTION("""COMPUTED_VALUE"""),"https://www.centralmaine.com/2014/12/18/man-who-shot-himself-at-school-was-suspected-in-waterville-rape-police-say/")</f>
        <v>https://www.centralmaine.com/2014/12/18/man-who-shot-himself-at-school-was-suspected-in-waterville-rape-police-say/</v>
      </c>
      <c r="I944" s="5">
        <f ca="1">IFERROR(__xludf.DUMMYFUNCTION("""COMPUTED_VALUE"""),5)</f>
        <v>5</v>
      </c>
      <c r="J944" s="5" t="str">
        <f ca="1">IFERROR(__xludf.DUMMYFUNCTION("""COMPUTED_VALUE"""),"Local")</f>
        <v>Local</v>
      </c>
      <c r="K944" s="5">
        <f ca="1">IFERROR(__xludf.DUMMYFUNCTION("""COMPUTED_VALUE"""),2)</f>
        <v>2</v>
      </c>
      <c r="L944" s="5" t="str">
        <f ca="1">IFERROR(__xludf.DUMMYFUNCTION("""COMPUTED_VALUE"""),"Winter")</f>
        <v>Winter</v>
      </c>
      <c r="M944" s="5" t="str">
        <f ca="1">IFERROR(__xludf.DUMMYFUNCTION("""COMPUTED_VALUE"""),"Waterville")</f>
        <v>Waterville</v>
      </c>
      <c r="N944" s="5" t="str">
        <f ca="1">IFERROR(__xludf.DUMMYFUNCTION("""COMPUTED_VALUE"""),"ME")</f>
        <v>ME</v>
      </c>
      <c r="O944" s="5" t="str">
        <f ca="1">IFERROR(__xludf.DUMMYFUNCTION("""COMPUTED_VALUE"""),"Elementary")</f>
        <v>Elementary</v>
      </c>
      <c r="P944" s="5" t="str">
        <f ca="1">IFERROR(__xludf.DUMMYFUNCTION("""COMPUTED_VALUE"""),"Beside Building")</f>
        <v>Beside Building</v>
      </c>
      <c r="Q944" s="5" t="str">
        <f ca="1">IFERROR(__xludf.DUMMYFUNCTION("""COMPUTED_VALUE"""),"Outside on School Property")</f>
        <v>Outside on School Property</v>
      </c>
      <c r="R944" s="5" t="str">
        <f ca="1">IFERROR(__xludf.DUMMYFUNCTION("""COMPUTED_VALUE"""),"Yes")</f>
        <v>Yes</v>
      </c>
      <c r="S944" s="5" t="str">
        <f ca="1">IFERROR(__xludf.DUMMYFUNCTION("""COMPUTED_VALUE"""),"Afternoon Classes")</f>
        <v>Afternoon Classes</v>
      </c>
      <c r="T944" s="10">
        <f ca="1">IFERROR(__xludf.DUMMYFUNCTION("""COMPUTED_VALUE"""),0.604166666666666)</f>
        <v>0.60416666666666596</v>
      </c>
      <c r="U944" s="5">
        <f ca="1">IFERROR(__xludf.DUMMYFUNCTION("""COMPUTED_VALUE"""),1)</f>
        <v>1</v>
      </c>
      <c r="V944" s="5" t="str">
        <f ca="1">IFERROR(__xludf.DUMMYFUNCTION("""COMPUTED_VALUE"""),"Suicide when police approached rapist in parking lot")</f>
        <v>Suicide when police approached rapist in parking lot</v>
      </c>
      <c r="W944"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X944" s="5" t="str">
        <f ca="1">IFERROR(__xludf.DUMMYFUNCTION("""COMPUTED_VALUE"""),"Suicide/Attempted")</f>
        <v>Suicide/Attempted</v>
      </c>
      <c r="Y944" s="5" t="str">
        <f ca="1">IFERROR(__xludf.DUMMYFUNCTION("""COMPUTED_VALUE"""),"Victims Targeted")</f>
        <v>Victims Targeted</v>
      </c>
      <c r="Z944" s="5" t="str">
        <f ca="1">IFERROR(__xludf.DUMMYFUNCTION("""COMPUTED_VALUE"""),"No")</f>
        <v>No</v>
      </c>
      <c r="AA944" s="5"/>
      <c r="AB944" s="5" t="str">
        <f ca="1">IFERROR(__xludf.DUMMYFUNCTION("""COMPUTED_VALUE"""),"No")</f>
        <v>No</v>
      </c>
      <c r="AC944" s="5" t="str">
        <f ca="1">IFERROR(__xludf.DUMMYFUNCTION("""COMPUTED_VALUE"""),"No")</f>
        <v>No</v>
      </c>
      <c r="AD944" s="5" t="str">
        <f ca="1">IFERROR(__xludf.DUMMYFUNCTION("""COMPUTED_VALUE"""),"No")</f>
        <v>No</v>
      </c>
      <c r="AE944" s="5" t="str">
        <f ca="1">IFERROR(__xludf.DUMMYFUNCTION("""COMPUTED_VALUE"""),"No")</f>
        <v>No</v>
      </c>
      <c r="AF944" s="5" t="str">
        <f ca="1">IFERROR(__xludf.DUMMYFUNCTION("""COMPUTED_VALUE"""),"No")</f>
        <v>No</v>
      </c>
      <c r="AG944" s="5" t="str">
        <f ca="1">IFERROR(__xludf.DUMMYFUNCTION("""COMPUTED_VALUE"""),"No")</f>
        <v>No</v>
      </c>
      <c r="AH944" s="5"/>
    </row>
    <row r="945" spans="1:34" ht="12.75">
      <c r="A945" s="5" t="str">
        <f ca="1">IFERROR(__xludf.DUMMYFUNCTION("""COMPUTED_VALUE"""),"20141216PASUP")</f>
        <v>20141216PASUP</v>
      </c>
      <c r="B945" s="8">
        <f ca="1">IFERROR(__xludf.DUMMYFUNCTION("""COMPUTED_VALUE"""),41989)</f>
        <v>41989</v>
      </c>
      <c r="C945" s="5" t="str">
        <f ca="1">IFERROR(__xludf.DUMMYFUNCTION("""COMPUTED_VALUE"""),"Sunnyside Elementary School")</f>
        <v>Sunnyside Elementary School</v>
      </c>
      <c r="D945" s="5">
        <f ca="1">IFERROR(__xludf.DUMMYFUNCTION("""COMPUTED_VALUE"""),1)</f>
        <v>1</v>
      </c>
      <c r="E945" s="5">
        <f ca="1">IFERROR(__xludf.DUMMYFUNCTION("""COMPUTED_VALUE"""),0)</f>
        <v>0</v>
      </c>
      <c r="F945" s="5">
        <f ca="1">IFERROR(__xludf.DUMMYFUNCTION("""COMPUTED_VALUE"""),1)</f>
        <v>1</v>
      </c>
      <c r="G945" s="5">
        <f ca="1">IFERROR(__xludf.DUMMYFUNCTION("""COMPUTED_VALUE"""),0)</f>
        <v>0</v>
      </c>
      <c r="H945" s="9" t="str">
        <f ca="1">IFERROR(__xludf.DUMMYFUNCTION("""COMPUTED_VALUE"""),"https://pittsburgh.cbslocal.com/2014/12/17/shooting-at-stanton-heights-elementary-school/")</f>
        <v>https://pittsburgh.cbslocal.com/2014/12/17/shooting-at-stanton-heights-elementary-school/</v>
      </c>
      <c r="I945" s="5"/>
      <c r="J945" s="5"/>
      <c r="K945" s="5">
        <f ca="1">IFERROR(__xludf.DUMMYFUNCTION("""COMPUTED_VALUE"""),2)</f>
        <v>2</v>
      </c>
      <c r="L945" s="5" t="str">
        <f ca="1">IFERROR(__xludf.DUMMYFUNCTION("""COMPUTED_VALUE"""),"Winter")</f>
        <v>Winter</v>
      </c>
      <c r="M945" s="5" t="str">
        <f ca="1">IFERROR(__xludf.DUMMYFUNCTION("""COMPUTED_VALUE"""),"Pittsburgh")</f>
        <v>Pittsburgh</v>
      </c>
      <c r="N945" s="5" t="str">
        <f ca="1">IFERROR(__xludf.DUMMYFUNCTION("""COMPUTED_VALUE"""),"PA")</f>
        <v>PA</v>
      </c>
      <c r="O945" s="5" t="str">
        <f ca="1">IFERROR(__xludf.DUMMYFUNCTION("""COMPUTED_VALUE"""),"Elementary")</f>
        <v>Elementary</v>
      </c>
      <c r="P945" s="5" t="str">
        <f ca="1">IFERROR(__xludf.DUMMYFUNCTION("""COMPUTED_VALUE"""),"Parking Lot")</f>
        <v>Parking Lot</v>
      </c>
      <c r="Q945" s="5" t="str">
        <f ca="1">IFERROR(__xludf.DUMMYFUNCTION("""COMPUTED_VALUE"""),"Outside on School Property")</f>
        <v>Outside on School Property</v>
      </c>
      <c r="R945" s="5" t="str">
        <f ca="1">IFERROR(__xludf.DUMMYFUNCTION("""COMPUTED_VALUE"""),"No")</f>
        <v>No</v>
      </c>
      <c r="S945" s="5" t="str">
        <f ca="1">IFERROR(__xludf.DUMMYFUNCTION("""COMPUTED_VALUE"""),"Night")</f>
        <v>Night</v>
      </c>
      <c r="T945" s="10">
        <f ca="1">IFERROR(__xludf.DUMMYFUNCTION("""COMPUTED_VALUE"""),0.958333333333333)</f>
        <v>0.95833333333333304</v>
      </c>
      <c r="U945" s="5">
        <f ca="1">IFERROR(__xludf.DUMMYFUNCTION("""COMPUTED_VALUE"""),1)</f>
        <v>1</v>
      </c>
      <c r="V945" s="5" t="str">
        <f ca="1">IFERROR(__xludf.DUMMYFUNCTION("""COMPUTED_VALUE"""),"Victim was found shot to death in his car parked on school lot")</f>
        <v>Victim was found shot to death in his car parked on school lot</v>
      </c>
      <c r="W945"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X945" s="5" t="str">
        <f ca="1">IFERROR(__xludf.DUMMYFUNCTION("""COMPUTED_VALUE"""),"Unknown")</f>
        <v>Unknown</v>
      </c>
      <c r="Y945" s="5"/>
      <c r="Z945" s="5"/>
      <c r="AA945" s="5"/>
      <c r="AB945" s="5" t="str">
        <f ca="1">IFERROR(__xludf.DUMMYFUNCTION("""COMPUTED_VALUE"""),"No")</f>
        <v>No</v>
      </c>
      <c r="AC945" s="5" t="str">
        <f ca="1">IFERROR(__xludf.DUMMYFUNCTION("""COMPUTED_VALUE"""),"No")</f>
        <v>No</v>
      </c>
      <c r="AD945" s="5" t="str">
        <f ca="1">IFERROR(__xludf.DUMMYFUNCTION("""COMPUTED_VALUE"""),"No")</f>
        <v>No</v>
      </c>
      <c r="AE945" s="5"/>
      <c r="AF945" s="5"/>
      <c r="AG945" s="5"/>
      <c r="AH945" s="5"/>
    </row>
    <row r="946" spans="1:34" ht="12.75">
      <c r="A946" s="5" t="str">
        <f ca="1">IFERROR(__xludf.DUMMYFUNCTION("""COMPUTED_VALUE"""),"20141212ORROP")</f>
        <v>20141212ORROP</v>
      </c>
      <c r="B946" s="8">
        <f ca="1">IFERROR(__xludf.DUMMYFUNCTION("""COMPUTED_VALUE"""),41985)</f>
        <v>41985</v>
      </c>
      <c r="C946" s="5" t="str">
        <f ca="1">IFERROR(__xludf.DUMMYFUNCTION("""COMPUTED_VALUE"""),"Rosemary Anderson High School")</f>
        <v>Rosemary Anderson High School</v>
      </c>
      <c r="D946" s="5">
        <f ca="1">IFERROR(__xludf.DUMMYFUNCTION("""COMPUTED_VALUE"""),0)</f>
        <v>0</v>
      </c>
      <c r="E946" s="5">
        <f ca="1">IFERROR(__xludf.DUMMYFUNCTION("""COMPUTED_VALUE"""),4)</f>
        <v>4</v>
      </c>
      <c r="F946" s="5">
        <f ca="1">IFERROR(__xludf.DUMMYFUNCTION("""COMPUTED_VALUE"""),4)</f>
        <v>4</v>
      </c>
      <c r="G946" s="5">
        <f ca="1">IFERROR(__xludf.DUMMYFUNCTION("""COMPUTED_VALUE"""),0)</f>
        <v>0</v>
      </c>
      <c r="H946" s="9" t="str">
        <f ca="1">IFERROR(__xludf.DUMMYFUNCTION("""COMPUTED_VALUE"""),"http://www.oregonlive.com/portland/index.ssf/2015/05/teen_who_shot_four_outside_ros.html")</f>
        <v>http://www.oregonlive.com/portland/index.ssf/2015/05/teen_who_shot_four_outside_ros.html</v>
      </c>
      <c r="I946" s="5">
        <f ca="1">IFERROR(__xludf.DUMMYFUNCTION("""COMPUTED_VALUE"""),5)</f>
        <v>5</v>
      </c>
      <c r="J946" s="5" t="str">
        <f ca="1">IFERROR(__xludf.DUMMYFUNCTION("""COMPUTED_VALUE"""),"Local")</f>
        <v>Local</v>
      </c>
      <c r="K946" s="5">
        <f ca="1">IFERROR(__xludf.DUMMYFUNCTION("""COMPUTED_VALUE"""),2)</f>
        <v>2</v>
      </c>
      <c r="L946" s="5" t="str">
        <f ca="1">IFERROR(__xludf.DUMMYFUNCTION("""COMPUTED_VALUE"""),"Winter")</f>
        <v>Winter</v>
      </c>
      <c r="M946" s="5" t="str">
        <f ca="1">IFERROR(__xludf.DUMMYFUNCTION("""COMPUTED_VALUE"""),"Portland")</f>
        <v>Portland</v>
      </c>
      <c r="N946" s="5" t="str">
        <f ca="1">IFERROR(__xludf.DUMMYFUNCTION("""COMPUTED_VALUE"""),"OR")</f>
        <v>OR</v>
      </c>
      <c r="O946" s="5" t="str">
        <f ca="1">IFERROR(__xludf.DUMMYFUNCTION("""COMPUTED_VALUE"""),"High")</f>
        <v>High</v>
      </c>
      <c r="P946" s="5" t="str">
        <f ca="1">IFERROR(__xludf.DUMMYFUNCTION("""COMPUTED_VALUE"""),"Beside Building")</f>
        <v>Beside Building</v>
      </c>
      <c r="Q946" s="5" t="str">
        <f ca="1">IFERROR(__xludf.DUMMYFUNCTION("""COMPUTED_VALUE"""),"Outside on School Property")</f>
        <v>Outside on School Property</v>
      </c>
      <c r="R946" s="5" t="str">
        <f ca="1">IFERROR(__xludf.DUMMYFUNCTION("""COMPUTED_VALUE"""),"Yes")</f>
        <v>Yes</v>
      </c>
      <c r="S946" s="5" t="str">
        <f ca="1">IFERROR(__xludf.DUMMYFUNCTION("""COMPUTED_VALUE"""),"Lunch")</f>
        <v>Lunch</v>
      </c>
      <c r="T946" s="5"/>
      <c r="U946" s="5"/>
      <c r="V946" s="5" t="str">
        <f ca="1">IFERROR(__xludf.DUMMYFUNCTION("""COMPUTED_VALUE"""),"Gang related shooting outside of school during lunch")</f>
        <v>Gang related shooting outside of school during lunch</v>
      </c>
      <c r="W946"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X946" s="5" t="str">
        <f ca="1">IFERROR(__xludf.DUMMYFUNCTION("""COMPUTED_VALUE"""),"Escalation of Dispute")</f>
        <v>Escalation of Dispute</v>
      </c>
      <c r="Y946" s="5" t="str">
        <f ca="1">IFERROR(__xludf.DUMMYFUNCTION("""COMPUTED_VALUE"""),"Victims Targeted")</f>
        <v>Victims Targeted</v>
      </c>
      <c r="Z946" s="5" t="str">
        <f ca="1">IFERROR(__xludf.DUMMYFUNCTION("""COMPUTED_VALUE"""),"Yes")</f>
        <v>Yes</v>
      </c>
      <c r="AA946" s="5" t="str">
        <f ca="1">IFERROR(__xludf.DUMMYFUNCTION("""COMPUTED_VALUE"""),"Lonzo Murphy (BROTHER),22 and Marquel Dugas, 18")</f>
        <v>Lonzo Murphy (BROTHER),22 and Marquel Dugas, 18</v>
      </c>
      <c r="AB946" s="5" t="str">
        <f ca="1">IFERROR(__xludf.DUMMYFUNCTION("""COMPUTED_VALUE"""),"No")</f>
        <v>No</v>
      </c>
      <c r="AC946" s="5" t="str">
        <f ca="1">IFERROR(__xludf.DUMMYFUNCTION("""COMPUTED_VALUE"""),"No")</f>
        <v>No</v>
      </c>
      <c r="AD946" s="5" t="str">
        <f ca="1">IFERROR(__xludf.DUMMYFUNCTION("""COMPUTED_VALUE"""),"No")</f>
        <v>No</v>
      </c>
      <c r="AE946" s="5" t="str">
        <f ca="1">IFERROR(__xludf.DUMMYFUNCTION("""COMPUTED_VALUE"""),"No")</f>
        <v>No</v>
      </c>
      <c r="AF946" s="5" t="str">
        <f ca="1">IFERROR(__xludf.DUMMYFUNCTION("""COMPUTED_VALUE"""),"No")</f>
        <v>No</v>
      </c>
      <c r="AG946" s="5" t="str">
        <f ca="1">IFERROR(__xludf.DUMMYFUNCTION("""COMPUTED_VALUE"""),"Yes")</f>
        <v>Yes</v>
      </c>
      <c r="AH946" s="5"/>
    </row>
    <row r="947" spans="1:34" ht="12.75">
      <c r="A947" s="5" t="str">
        <f ca="1">IFERROR(__xludf.DUMMYFUNCTION("""COMPUTED_VALUE"""),"20141120FLMIM")</f>
        <v>20141120FLMIM</v>
      </c>
      <c r="B947" s="8">
        <f ca="1">IFERROR(__xludf.DUMMYFUNCTION("""COMPUTED_VALUE"""),41963)</f>
        <v>41963</v>
      </c>
      <c r="C947" s="5" t="str">
        <f ca="1">IFERROR(__xludf.DUMMYFUNCTION("""COMPUTED_VALUE"""),"Miami Carol City High School")</f>
        <v>Miami Carol City High School</v>
      </c>
      <c r="D947" s="5">
        <f ca="1">IFERROR(__xludf.DUMMYFUNCTION("""COMPUTED_VALUE"""),1)</f>
        <v>1</v>
      </c>
      <c r="E947" s="5">
        <f ca="1">IFERROR(__xludf.DUMMYFUNCTION("""COMPUTED_VALUE"""),1)</f>
        <v>1</v>
      </c>
      <c r="F947" s="5">
        <f ca="1">IFERROR(__xludf.DUMMYFUNCTION("""COMPUTED_VALUE"""),2)</f>
        <v>2</v>
      </c>
      <c r="G947" s="5">
        <f ca="1">IFERROR(__xludf.DUMMYFUNCTION("""COMPUTED_VALUE"""),0)</f>
        <v>0</v>
      </c>
      <c r="H947" s="9" t="str">
        <f ca="1">IFERROR(__xludf.DUMMYFUNCTION("""COMPUTED_VALUE"""),"https://www.miamiherald.com/news/local/crime/article4139118.html")</f>
        <v>https://www.miamiherald.com/news/local/crime/article4139118.html</v>
      </c>
      <c r="I947" s="5">
        <f ca="1">IFERROR(__xludf.DUMMYFUNCTION("""COMPUTED_VALUE"""),1)</f>
        <v>1</v>
      </c>
      <c r="J947" s="5" t="str">
        <f ca="1">IFERROR(__xludf.DUMMYFUNCTION("""COMPUTED_VALUE"""),"Local")</f>
        <v>Local</v>
      </c>
      <c r="K947" s="5">
        <f ca="1">IFERROR(__xludf.DUMMYFUNCTION("""COMPUTED_VALUE"""),2)</f>
        <v>2</v>
      </c>
      <c r="L947" s="5" t="str">
        <f ca="1">IFERROR(__xludf.DUMMYFUNCTION("""COMPUTED_VALUE"""),"Fall")</f>
        <v>Fall</v>
      </c>
      <c r="M947" s="5" t="str">
        <f ca="1">IFERROR(__xludf.DUMMYFUNCTION("""COMPUTED_VALUE"""),"Miami")</f>
        <v>Miami</v>
      </c>
      <c r="N947" s="5" t="str">
        <f ca="1">IFERROR(__xludf.DUMMYFUNCTION("""COMPUTED_VALUE"""),"FL")</f>
        <v>FL</v>
      </c>
      <c r="O947" s="5" t="str">
        <f ca="1">IFERROR(__xludf.DUMMYFUNCTION("""COMPUTED_VALUE"""),"High")</f>
        <v>High</v>
      </c>
      <c r="P947" s="5" t="str">
        <f ca="1">IFERROR(__xludf.DUMMYFUNCTION("""COMPUTED_VALUE"""),"Basketball Court")</f>
        <v>Basketball Court</v>
      </c>
      <c r="Q947" s="5" t="str">
        <f ca="1">IFERROR(__xludf.DUMMYFUNCTION("""COMPUTED_VALUE"""),"Outside on School Property")</f>
        <v>Outside on School Property</v>
      </c>
      <c r="R947" s="5" t="str">
        <f ca="1">IFERROR(__xludf.DUMMYFUNCTION("""COMPUTED_VALUE"""),"Yes")</f>
        <v>Yes</v>
      </c>
      <c r="S947" s="5" t="str">
        <f ca="1">IFERROR(__xludf.DUMMYFUNCTION("""COMPUTED_VALUE"""),"After School")</f>
        <v>After School</v>
      </c>
      <c r="T947" s="10">
        <f ca="1">IFERROR(__xludf.DUMMYFUNCTION("""COMPUTED_VALUE"""),0.645833333333333)</f>
        <v>0.64583333333333304</v>
      </c>
      <c r="U947" s="5"/>
      <c r="V947" s="5" t="str">
        <f ca="1">IFERROR(__xludf.DUMMYFUNCTION("""COMPUTED_VALUE"""),"Shots fired during fight between rival groups")</f>
        <v>Shots fired during fight between rival groups</v>
      </c>
      <c r="W947"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X947" s="5" t="str">
        <f ca="1">IFERROR(__xludf.DUMMYFUNCTION("""COMPUTED_VALUE"""),"Escalation of Dispute")</f>
        <v>Escalation of Dispute</v>
      </c>
      <c r="Y947" s="5" t="str">
        <f ca="1">IFERROR(__xludf.DUMMYFUNCTION("""COMPUTED_VALUE"""),"Victims Targeted")</f>
        <v>Victims Targeted</v>
      </c>
      <c r="Z947" s="5" t="str">
        <f ca="1">IFERROR(__xludf.DUMMYFUNCTION("""COMPUTED_VALUE"""),"Yes")</f>
        <v>Yes</v>
      </c>
      <c r="AA947" s="5" t="str">
        <f ca="1">IFERROR(__xludf.DUMMYFUNCTION("""COMPUTED_VALUE"""),"an adult, later arrested")</f>
        <v>an adult, later arrested</v>
      </c>
      <c r="AB947" s="5" t="str">
        <f ca="1">IFERROR(__xludf.DUMMYFUNCTION("""COMPUTED_VALUE"""),"No")</f>
        <v>No</v>
      </c>
      <c r="AC947" s="5" t="str">
        <f ca="1">IFERROR(__xludf.DUMMYFUNCTION("""COMPUTED_VALUE"""),"No")</f>
        <v>No</v>
      </c>
      <c r="AD947" s="5" t="str">
        <f ca="1">IFERROR(__xludf.DUMMYFUNCTION("""COMPUTED_VALUE"""),"No")</f>
        <v>No</v>
      </c>
      <c r="AE947" s="5" t="str">
        <f ca="1">IFERROR(__xludf.DUMMYFUNCTION("""COMPUTED_VALUE"""),"No")</f>
        <v>No</v>
      </c>
      <c r="AF947" s="5" t="str">
        <f ca="1">IFERROR(__xludf.DUMMYFUNCTION("""COMPUTED_VALUE"""),"No")</f>
        <v>No</v>
      </c>
      <c r="AG947" s="5" t="str">
        <f ca="1">IFERROR(__xludf.DUMMYFUNCTION("""COMPUTED_VALUE"""),"Yes")</f>
        <v>Yes</v>
      </c>
      <c r="AH947" s="5"/>
    </row>
    <row r="948" spans="1:34" ht="12.75">
      <c r="A948" s="5" t="str">
        <f ca="1">IFERROR(__xludf.DUMMYFUNCTION("""COMPUTED_VALUE"""),"20141024WAMAM")</f>
        <v>20141024WAMAM</v>
      </c>
      <c r="B948" s="8">
        <f ca="1">IFERROR(__xludf.DUMMYFUNCTION("""COMPUTED_VALUE"""),41936)</f>
        <v>41936</v>
      </c>
      <c r="C948" s="5" t="str">
        <f ca="1">IFERROR(__xludf.DUMMYFUNCTION("""COMPUTED_VALUE"""),"Marysville Pilchuck High School")</f>
        <v>Marysville Pilchuck High School</v>
      </c>
      <c r="D948" s="5">
        <f ca="1">IFERROR(__xludf.DUMMYFUNCTION("""COMPUTED_VALUE"""),4)</f>
        <v>4</v>
      </c>
      <c r="E948" s="5">
        <f ca="1">IFERROR(__xludf.DUMMYFUNCTION("""COMPUTED_VALUE"""),3)</f>
        <v>3</v>
      </c>
      <c r="F948" s="5">
        <f ca="1">IFERROR(__xludf.DUMMYFUNCTION("""COMPUTED_VALUE"""),7)</f>
        <v>7</v>
      </c>
      <c r="G948" s="5">
        <f ca="1">IFERROR(__xludf.DUMMYFUNCTION("""COMPUTED_VALUE"""),1)</f>
        <v>1</v>
      </c>
      <c r="H948" s="5" t="str">
        <f ca="1">IFERROR(__xludf.DUMMYFUNCTION("""COMPUTED_VALUE"""),"http://www.newsweek.com/2015/09/25/jaylen-ray-fryberg-marysville-pilchuck-high-school-shooting-372669.html https://www.fbi.gov/file-repository/active-shooter-incidents-2000-2017.pdf")</f>
        <v>http://www.newsweek.com/2015/09/25/jaylen-ray-fryberg-marysville-pilchuck-high-school-shooting-372669.html https://www.fbi.gov/file-repository/active-shooter-incidents-2000-2017.pdf</v>
      </c>
      <c r="I948" s="5">
        <f ca="1">IFERROR(__xludf.DUMMYFUNCTION("""COMPUTED_VALUE"""),11)</f>
        <v>11</v>
      </c>
      <c r="J948" s="5" t="str">
        <f ca="1">IFERROR(__xludf.DUMMYFUNCTION("""COMPUTED_VALUE"""),"National")</f>
        <v>National</v>
      </c>
      <c r="K948" s="5">
        <f ca="1">IFERROR(__xludf.DUMMYFUNCTION("""COMPUTED_VALUE"""),5)</f>
        <v>5</v>
      </c>
      <c r="L948" s="5" t="str">
        <f ca="1">IFERROR(__xludf.DUMMYFUNCTION("""COMPUTED_VALUE"""),"Fall")</f>
        <v>Fall</v>
      </c>
      <c r="M948" s="5" t="str">
        <f ca="1">IFERROR(__xludf.DUMMYFUNCTION("""COMPUTED_VALUE"""),"Marysville")</f>
        <v>Marysville</v>
      </c>
      <c r="N948" s="5" t="str">
        <f ca="1">IFERROR(__xludf.DUMMYFUNCTION("""COMPUTED_VALUE"""),"WA")</f>
        <v>WA</v>
      </c>
      <c r="O948" s="5" t="str">
        <f ca="1">IFERROR(__xludf.DUMMYFUNCTION("""COMPUTED_VALUE"""),"High")</f>
        <v>High</v>
      </c>
      <c r="P948" s="5" t="str">
        <f ca="1">IFERROR(__xludf.DUMMYFUNCTION("""COMPUTED_VALUE"""),"Cafeteria")</f>
        <v>Cafeteria</v>
      </c>
      <c r="Q948" s="5" t="str">
        <f ca="1">IFERROR(__xludf.DUMMYFUNCTION("""COMPUTED_VALUE"""),"Inside School Building")</f>
        <v>Inside School Building</v>
      </c>
      <c r="R948" s="5" t="str">
        <f ca="1">IFERROR(__xludf.DUMMYFUNCTION("""COMPUTED_VALUE"""),"Yes")</f>
        <v>Yes</v>
      </c>
      <c r="S948" s="5" t="str">
        <f ca="1">IFERROR(__xludf.DUMMYFUNCTION("""COMPUTED_VALUE"""),"Lunch")</f>
        <v>Lunch</v>
      </c>
      <c r="T948" s="10">
        <f ca="1">IFERROR(__xludf.DUMMYFUNCTION("""COMPUTED_VALUE"""),0.44375)</f>
        <v>0.44374999999999998</v>
      </c>
      <c r="U948" s="5">
        <f ca="1">IFERROR(__xludf.DUMMYFUNCTION("""COMPUTED_VALUE"""),1)</f>
        <v>1</v>
      </c>
      <c r="V948" s="5" t="str">
        <f ca="1">IFERROR(__xludf.DUMMYFUNCTION("""COMPUTED_VALUE"""),"Shooting in cafeteria after break-up with girlfriend")</f>
        <v>Shooting in cafeteria after break-up with girlfriend</v>
      </c>
      <c r="W948"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X948" s="5" t="str">
        <f ca="1">IFERROR(__xludf.DUMMYFUNCTION("""COMPUTED_VALUE"""),"Indiscriminate Shooting")</f>
        <v>Indiscriminate Shooting</v>
      </c>
      <c r="Y948" s="5" t="str">
        <f ca="1">IFERROR(__xludf.DUMMYFUNCTION("""COMPUTED_VALUE"""),"Victims Targeted")</f>
        <v>Victims Targeted</v>
      </c>
      <c r="Z948" s="5" t="str">
        <f ca="1">IFERROR(__xludf.DUMMYFUNCTION("""COMPUTED_VALUE"""),"No")</f>
        <v>No</v>
      </c>
      <c r="AA948" s="5"/>
      <c r="AB948" s="5" t="str">
        <f ca="1">IFERROR(__xludf.DUMMYFUNCTION("""COMPUTED_VALUE"""),"No")</f>
        <v>No</v>
      </c>
      <c r="AC948" s="5" t="str">
        <f ca="1">IFERROR(__xludf.DUMMYFUNCTION("""COMPUTED_VALUE"""),"No")</f>
        <v>No</v>
      </c>
      <c r="AD948" s="5" t="str">
        <f ca="1">IFERROR(__xludf.DUMMYFUNCTION("""COMPUTED_VALUE"""),"No")</f>
        <v>No</v>
      </c>
      <c r="AE948" s="5" t="str">
        <f ca="1">IFERROR(__xludf.DUMMYFUNCTION("""COMPUTED_VALUE"""),"Yes")</f>
        <v>Yes</v>
      </c>
      <c r="AF948" s="5" t="str">
        <f ca="1">IFERROR(__xludf.DUMMYFUNCTION("""COMPUTED_VALUE"""),"Yes")</f>
        <v>Yes</v>
      </c>
      <c r="AG948" s="5" t="str">
        <f ca="1">IFERROR(__xludf.DUMMYFUNCTION("""COMPUTED_VALUE"""),"No")</f>
        <v>No</v>
      </c>
      <c r="AH948" s="5" t="str">
        <f ca="1">IFERROR(__xludf.DUMMYFUNCTION("""COMPUTED_VALUE"""),"Yes")</f>
        <v>Yes</v>
      </c>
    </row>
    <row r="949" spans="1:34" ht="12.75">
      <c r="A949" s="5" t="str">
        <f ca="1">IFERROR(__xludf.DUMMYFUNCTION("""COMPUTED_VALUE"""),"20141024GALAA")</f>
        <v>20141024GALAA</v>
      </c>
      <c r="B949" s="8">
        <f ca="1">IFERROR(__xludf.DUMMYFUNCTION("""COMPUTED_VALUE"""),41936)</f>
        <v>41936</v>
      </c>
      <c r="C949" s="5" t="str">
        <f ca="1">IFERROR(__xludf.DUMMYFUNCTION("""COMPUTED_VALUE"""),"Lakewood Stadium (Mays High School Game)")</f>
        <v>Lakewood Stadium (Mays High School Game)</v>
      </c>
      <c r="D949" s="5">
        <f ca="1">IFERROR(__xludf.DUMMYFUNCTION("""COMPUTED_VALUE"""),0)</f>
        <v>0</v>
      </c>
      <c r="E949" s="5">
        <f ca="1">IFERROR(__xludf.DUMMYFUNCTION("""COMPUTED_VALUE"""),1)</f>
        <v>1</v>
      </c>
      <c r="F949" s="5">
        <f ca="1">IFERROR(__xludf.DUMMYFUNCTION("""COMPUTED_VALUE"""),1)</f>
        <v>1</v>
      </c>
      <c r="G949" s="5">
        <f ca="1">IFERROR(__xludf.DUMMYFUNCTION("""COMPUTED_VALUE"""),0)</f>
        <v>0</v>
      </c>
      <c r="H949" s="9" t="str">
        <f ca="1">IFERROR(__xludf.DUMMYFUNCTION("""COMPUTED_VALUE"""),"https://www.wsbtv.com/news/shots-fired-lakewood-stadium/137231817")</f>
        <v>https://www.wsbtv.com/news/shots-fired-lakewood-stadium/137231817</v>
      </c>
      <c r="I949" s="5"/>
      <c r="J949" s="5"/>
      <c r="K949" s="5">
        <f ca="1">IFERROR(__xludf.DUMMYFUNCTION("""COMPUTED_VALUE"""),4)</f>
        <v>4</v>
      </c>
      <c r="L949" s="5" t="str">
        <f ca="1">IFERROR(__xludf.DUMMYFUNCTION("""COMPUTED_VALUE"""),"Fall")</f>
        <v>Fall</v>
      </c>
      <c r="M949" s="5" t="str">
        <f ca="1">IFERROR(__xludf.DUMMYFUNCTION("""COMPUTED_VALUE"""),"Atlanta")</f>
        <v>Atlanta</v>
      </c>
      <c r="N949" s="5" t="str">
        <f ca="1">IFERROR(__xludf.DUMMYFUNCTION("""COMPUTED_VALUE"""),"GA")</f>
        <v>GA</v>
      </c>
      <c r="O949" s="5" t="str">
        <f ca="1">IFERROR(__xludf.DUMMYFUNCTION("""COMPUTED_VALUE"""),"High")</f>
        <v>High</v>
      </c>
      <c r="P949" s="5" t="str">
        <f ca="1">IFERROR(__xludf.DUMMYFUNCTION("""COMPUTED_VALUE"""),"Parking Lot")</f>
        <v>Parking Lot</v>
      </c>
      <c r="Q949" s="5" t="str">
        <f ca="1">IFERROR(__xludf.DUMMYFUNCTION("""COMPUTED_VALUE"""),"Outside on School Property")</f>
        <v>Outside on School Property</v>
      </c>
      <c r="R949" s="5" t="str">
        <f ca="1">IFERROR(__xludf.DUMMYFUNCTION("""COMPUTED_VALUE"""),"No")</f>
        <v>No</v>
      </c>
      <c r="S949" s="5" t="str">
        <f ca="1">IFERROR(__xludf.DUMMYFUNCTION("""COMPUTED_VALUE"""),"Sport Event")</f>
        <v>Sport Event</v>
      </c>
      <c r="T949" s="10">
        <f ca="1">IFERROR(__xludf.DUMMYFUNCTION("""COMPUTED_VALUE"""),0.958333333333333)</f>
        <v>0.95833333333333304</v>
      </c>
      <c r="U949" s="5">
        <f ca="1">IFERROR(__xludf.DUMMYFUNCTION("""COMPUTED_VALUE"""),1)</f>
        <v>1</v>
      </c>
      <c r="V949" s="5" t="str">
        <f ca="1">IFERROR(__xludf.DUMMYFUNCTION("""COMPUTED_VALUE"""),"Shots fired in parking lot during football game")</f>
        <v>Shots fired in parking lot during football game</v>
      </c>
      <c r="W949"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X949" s="5" t="str">
        <f ca="1">IFERROR(__xludf.DUMMYFUNCTION("""COMPUTED_VALUE"""),"Escalation of Dispute")</f>
        <v>Escalation of Dispute</v>
      </c>
      <c r="Y949" s="5" t="str">
        <f ca="1">IFERROR(__xludf.DUMMYFUNCTION("""COMPUTED_VALUE"""),"Victims Targeted")</f>
        <v>Victims Targeted</v>
      </c>
      <c r="Z949" s="5" t="str">
        <f ca="1">IFERROR(__xludf.DUMMYFUNCTION("""COMPUTED_VALUE"""),"Yes")</f>
        <v>Yes</v>
      </c>
      <c r="AA949" s="5" t="str">
        <f ca="1">IFERROR(__xludf.DUMMYFUNCTION("""COMPUTED_VALUE"""),"3 guns recovered, looking for additional suspects")</f>
        <v>3 guns recovered, looking for additional suspects</v>
      </c>
      <c r="AB949" s="5" t="str">
        <f ca="1">IFERROR(__xludf.DUMMYFUNCTION("""COMPUTED_VALUE"""),"No")</f>
        <v>No</v>
      </c>
      <c r="AC949" s="5" t="str">
        <f ca="1">IFERROR(__xludf.DUMMYFUNCTION("""COMPUTED_VALUE"""),"No")</f>
        <v>No</v>
      </c>
      <c r="AD949" s="5" t="str">
        <f ca="1">IFERROR(__xludf.DUMMYFUNCTION("""COMPUTED_VALUE"""),"No")</f>
        <v>No</v>
      </c>
      <c r="AE949" s="5" t="str">
        <f ca="1">IFERROR(__xludf.DUMMYFUNCTION("""COMPUTED_VALUE"""),"No")</f>
        <v>No</v>
      </c>
      <c r="AF949" s="5" t="str">
        <f ca="1">IFERROR(__xludf.DUMMYFUNCTION("""COMPUTED_VALUE"""),"No")</f>
        <v>No</v>
      </c>
      <c r="AG949" s="5"/>
      <c r="AH949" s="5" t="str">
        <f ca="1">IFERROR(__xludf.DUMMYFUNCTION("""COMPUTED_VALUE"""),"No")</f>
        <v>No</v>
      </c>
    </row>
    <row r="950" spans="1:34" ht="12.75">
      <c r="A950" s="5" t="str">
        <f ca="1">IFERROR(__xludf.DUMMYFUNCTION("""COMPUTED_VALUE"""),"20141021TNAMM")</f>
        <v>20141021TNAMM</v>
      </c>
      <c r="B950" s="8">
        <f ca="1">IFERROR(__xludf.DUMMYFUNCTION("""COMPUTED_VALUE"""),41933)</f>
        <v>41933</v>
      </c>
      <c r="C950" s="5" t="str">
        <f ca="1">IFERROR(__xludf.DUMMYFUNCTION("""COMPUTED_VALUE"""),"A Maceo Walker Middle School")</f>
        <v>A Maceo Walker Middle School</v>
      </c>
      <c r="D950" s="5">
        <f ca="1">IFERROR(__xludf.DUMMYFUNCTION("""COMPUTED_VALUE"""),0)</f>
        <v>0</v>
      </c>
      <c r="E950" s="5">
        <f ca="1">IFERROR(__xludf.DUMMYFUNCTION("""COMPUTED_VALUE"""),1)</f>
        <v>1</v>
      </c>
      <c r="F950" s="5">
        <f ca="1">IFERROR(__xludf.DUMMYFUNCTION("""COMPUTED_VALUE"""),1)</f>
        <v>1</v>
      </c>
      <c r="G950" s="5">
        <f ca="1">IFERROR(__xludf.DUMMYFUNCTION("""COMPUTED_VALUE"""),0)</f>
        <v>0</v>
      </c>
      <c r="H950"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I950" s="5">
        <f ca="1">IFERROR(__xludf.DUMMYFUNCTION("""COMPUTED_VALUE"""),1)</f>
        <v>1</v>
      </c>
      <c r="J950" s="5" t="str">
        <f ca="1">IFERROR(__xludf.DUMMYFUNCTION("""COMPUTED_VALUE"""),"Local")</f>
        <v>Local</v>
      </c>
      <c r="K950" s="5">
        <f ca="1">IFERROR(__xludf.DUMMYFUNCTION("""COMPUTED_VALUE"""),2)</f>
        <v>2</v>
      </c>
      <c r="L950" s="5" t="str">
        <f ca="1">IFERROR(__xludf.DUMMYFUNCTION("""COMPUTED_VALUE"""),"Fall")</f>
        <v>Fall</v>
      </c>
      <c r="M950" s="5" t="str">
        <f ca="1">IFERROR(__xludf.DUMMYFUNCTION("""COMPUTED_VALUE"""),"Memphis")</f>
        <v>Memphis</v>
      </c>
      <c r="N950" s="5" t="str">
        <f ca="1">IFERROR(__xludf.DUMMYFUNCTION("""COMPUTED_VALUE"""),"TN")</f>
        <v>TN</v>
      </c>
      <c r="O950" s="5" t="str">
        <f ca="1">IFERROR(__xludf.DUMMYFUNCTION("""COMPUTED_VALUE"""),"Middle")</f>
        <v>Middle</v>
      </c>
      <c r="P950" s="5" t="str">
        <f ca="1">IFERROR(__xludf.DUMMYFUNCTION("""COMPUTED_VALUE"""),"Hallway")</f>
        <v>Hallway</v>
      </c>
      <c r="Q950" s="5" t="str">
        <f ca="1">IFERROR(__xludf.DUMMYFUNCTION("""COMPUTED_VALUE"""),"Inside School Building")</f>
        <v>Inside School Building</v>
      </c>
      <c r="R950" s="5" t="str">
        <f ca="1">IFERROR(__xludf.DUMMYFUNCTION("""COMPUTED_VALUE"""),"Yes")</f>
        <v>Yes</v>
      </c>
      <c r="S950" s="5" t="str">
        <f ca="1">IFERROR(__xludf.DUMMYFUNCTION("""COMPUTED_VALUE"""),"Morning Classes")</f>
        <v>Morning Classes</v>
      </c>
      <c r="T950" s="10">
        <f ca="1">IFERROR(__xludf.DUMMYFUNCTION("""COMPUTED_VALUE"""),0.322916666666666)</f>
        <v>0.32291666666666602</v>
      </c>
      <c r="U950" s="5">
        <f ca="1">IFERROR(__xludf.DUMMYFUNCTION("""COMPUTED_VALUE"""),1)</f>
        <v>1</v>
      </c>
      <c r="V950" s="5" t="str">
        <f ca="1">IFERROR(__xludf.DUMMYFUNCTION("""COMPUTED_VALUE"""),"Accidental discharge of gun in bag in classroom")</f>
        <v>Accidental discharge of gun in bag in classroom</v>
      </c>
      <c r="W950"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X950" s="5" t="str">
        <f ca="1">IFERROR(__xludf.DUMMYFUNCTION("""COMPUTED_VALUE"""),"Accidental")</f>
        <v>Accidental</v>
      </c>
      <c r="Y950" s="5" t="str">
        <f ca="1">IFERROR(__xludf.DUMMYFUNCTION("""COMPUTED_VALUE"""),"Random Shooting")</f>
        <v>Random Shooting</v>
      </c>
      <c r="Z950" s="5" t="str">
        <f ca="1">IFERROR(__xludf.DUMMYFUNCTION("""COMPUTED_VALUE"""),"No")</f>
        <v>No</v>
      </c>
      <c r="AA950" s="5"/>
      <c r="AB950" s="5" t="str">
        <f ca="1">IFERROR(__xludf.DUMMYFUNCTION("""COMPUTED_VALUE"""),"No")</f>
        <v>No</v>
      </c>
      <c r="AC950" s="5" t="str">
        <f ca="1">IFERROR(__xludf.DUMMYFUNCTION("""COMPUTED_VALUE"""),"No")</f>
        <v>No</v>
      </c>
      <c r="AD950" s="5" t="str">
        <f ca="1">IFERROR(__xludf.DUMMYFUNCTION("""COMPUTED_VALUE"""),"No")</f>
        <v>No</v>
      </c>
      <c r="AE950" s="5" t="str">
        <f ca="1">IFERROR(__xludf.DUMMYFUNCTION("""COMPUTED_VALUE"""),"No")</f>
        <v>No</v>
      </c>
      <c r="AF950" s="5" t="str">
        <f ca="1">IFERROR(__xludf.DUMMYFUNCTION("""COMPUTED_VALUE"""),"No")</f>
        <v>No</v>
      </c>
      <c r="AG950" s="5" t="str">
        <f ca="1">IFERROR(__xludf.DUMMYFUNCTION("""COMPUTED_VALUE"""),"No")</f>
        <v>No</v>
      </c>
      <c r="AH950" s="5"/>
    </row>
    <row r="951" spans="1:34" ht="12.75">
      <c r="A951" s="5" t="str">
        <f ca="1">IFERROR(__xludf.DUMMYFUNCTION("""COMPUTED_VALUE"""),"20141003GALAF")</f>
        <v>20141003GALAF</v>
      </c>
      <c r="B951" s="8">
        <f ca="1">IFERROR(__xludf.DUMMYFUNCTION("""COMPUTED_VALUE"""),41915)</f>
        <v>41915</v>
      </c>
      <c r="C951" s="5" t="str">
        <f ca="1">IFERROR(__xludf.DUMMYFUNCTION("""COMPUTED_VALUE"""),"Langston Hughes High School")</f>
        <v>Langston Hughes High School</v>
      </c>
      <c r="D951" s="5">
        <f ca="1">IFERROR(__xludf.DUMMYFUNCTION("""COMPUTED_VALUE"""),1)</f>
        <v>1</v>
      </c>
      <c r="E951" s="5">
        <f ca="1">IFERROR(__xludf.DUMMYFUNCTION("""COMPUTED_VALUE"""),0)</f>
        <v>0</v>
      </c>
      <c r="F951" s="5">
        <f ca="1">IFERROR(__xludf.DUMMYFUNCTION("""COMPUTED_VALUE"""),1)</f>
        <v>1</v>
      </c>
      <c r="G951" s="5">
        <f ca="1">IFERROR(__xludf.DUMMYFUNCTION("""COMPUTED_VALUE"""),0)</f>
        <v>0</v>
      </c>
      <c r="H951" s="9" t="str">
        <f ca="1">IFERROR(__xludf.DUMMYFUNCTION("""COMPUTED_VALUE"""),"https://www.wsbtv.com/news/17-year-old-shot-killed-after-high-school-football/137193168")</f>
        <v>https://www.wsbtv.com/news/17-year-old-shot-killed-after-high-school-football/137193168</v>
      </c>
      <c r="I951" s="5">
        <f ca="1">IFERROR(__xludf.DUMMYFUNCTION("""COMPUTED_VALUE"""),5)</f>
        <v>5</v>
      </c>
      <c r="J951" s="5" t="str">
        <f ca="1">IFERROR(__xludf.DUMMYFUNCTION("""COMPUTED_VALUE"""),"Local")</f>
        <v>Local</v>
      </c>
      <c r="K951" s="5">
        <f ca="1">IFERROR(__xludf.DUMMYFUNCTION("""COMPUTED_VALUE"""),2)</f>
        <v>2</v>
      </c>
      <c r="L951" s="5" t="str">
        <f ca="1">IFERROR(__xludf.DUMMYFUNCTION("""COMPUTED_VALUE"""),"Fall")</f>
        <v>Fall</v>
      </c>
      <c r="M951" s="5" t="str">
        <f ca="1">IFERROR(__xludf.DUMMYFUNCTION("""COMPUTED_VALUE"""),"Fairburn")</f>
        <v>Fairburn</v>
      </c>
      <c r="N951" s="5" t="str">
        <f ca="1">IFERROR(__xludf.DUMMYFUNCTION("""COMPUTED_VALUE"""),"GA")</f>
        <v>GA</v>
      </c>
      <c r="O951" s="5" t="str">
        <f ca="1">IFERROR(__xludf.DUMMYFUNCTION("""COMPUTED_VALUE"""),"High")</f>
        <v>High</v>
      </c>
      <c r="P951" s="5" t="str">
        <f ca="1">IFERROR(__xludf.DUMMYFUNCTION("""COMPUTED_VALUE"""),"Football Field/Track")</f>
        <v>Football Field/Track</v>
      </c>
      <c r="Q951" s="5" t="str">
        <f ca="1">IFERROR(__xludf.DUMMYFUNCTION("""COMPUTED_VALUE"""),"Outside on School Property")</f>
        <v>Outside on School Property</v>
      </c>
      <c r="R951" s="5" t="str">
        <f ca="1">IFERROR(__xludf.DUMMYFUNCTION("""COMPUTED_VALUE"""),"No")</f>
        <v>No</v>
      </c>
      <c r="S951" s="5" t="str">
        <f ca="1">IFERROR(__xludf.DUMMYFUNCTION("""COMPUTED_VALUE"""),"Sport Event")</f>
        <v>Sport Event</v>
      </c>
      <c r="T951" s="10">
        <f ca="1">IFERROR(__xludf.DUMMYFUNCTION("""COMPUTED_VALUE"""),0.916666666666666)</f>
        <v>0.91666666666666596</v>
      </c>
      <c r="U951" s="5">
        <f ca="1">IFERROR(__xludf.DUMMYFUNCTION("""COMPUTED_VALUE"""),1)</f>
        <v>1</v>
      </c>
      <c r="V951" s="5" t="str">
        <f ca="1">IFERROR(__xludf.DUMMYFUNCTION("""COMPUTED_VALUE"""),"Altercation following football game; gang affiliation suspected but not confirmed")</f>
        <v>Altercation following football game; gang affiliation suspected but not confirmed</v>
      </c>
      <c r="W951" s="5" t="str">
        <f ca="1">IFERROR(__xludf.DUMMYFUNCTION("""COMPUTED_VALUE"""),"Fight between students following a football game escalated into shooting.")</f>
        <v>Fight between students following a football game escalated into shooting.</v>
      </c>
      <c r="X951" s="5" t="str">
        <f ca="1">IFERROR(__xludf.DUMMYFUNCTION("""COMPUTED_VALUE"""),"Escalation of Dispute")</f>
        <v>Escalation of Dispute</v>
      </c>
      <c r="Y951" s="5" t="str">
        <f ca="1">IFERROR(__xludf.DUMMYFUNCTION("""COMPUTED_VALUE"""),"Victims Targeted")</f>
        <v>Victims Targeted</v>
      </c>
      <c r="Z951" s="5" t="str">
        <f ca="1">IFERROR(__xludf.DUMMYFUNCTION("""COMPUTED_VALUE"""),"Yes")</f>
        <v>Yes</v>
      </c>
      <c r="AA951" s="5" t="str">
        <f ca="1">IFERROR(__xludf.DUMMYFUNCTION("""COMPUTED_VALUE"""),"Antione “Twon” Stephion Battle, 19")</f>
        <v>Antione “Twon” Stephion Battle, 19</v>
      </c>
      <c r="AB951" s="5" t="str">
        <f ca="1">IFERROR(__xludf.DUMMYFUNCTION("""COMPUTED_VALUE"""),"No")</f>
        <v>No</v>
      </c>
      <c r="AC951" s="5" t="str">
        <f ca="1">IFERROR(__xludf.DUMMYFUNCTION("""COMPUTED_VALUE"""),"No")</f>
        <v>No</v>
      </c>
      <c r="AD951" s="5" t="str">
        <f ca="1">IFERROR(__xludf.DUMMYFUNCTION("""COMPUTED_VALUE"""),"No")</f>
        <v>No</v>
      </c>
      <c r="AE951" s="5" t="str">
        <f ca="1">IFERROR(__xludf.DUMMYFUNCTION("""COMPUTED_VALUE"""),"No")</f>
        <v>No</v>
      </c>
      <c r="AF951" s="5" t="str">
        <f ca="1">IFERROR(__xludf.DUMMYFUNCTION("""COMPUTED_VALUE"""),"No")</f>
        <v>No</v>
      </c>
      <c r="AG951" s="5" t="str">
        <f ca="1">IFERROR(__xludf.DUMMYFUNCTION("""COMPUTED_VALUE"""),"Yes")</f>
        <v>Yes</v>
      </c>
      <c r="AH951" s="5"/>
    </row>
    <row r="952" spans="1:34" ht="12.75">
      <c r="A952" s="5" t="str">
        <f ca="1">IFERROR(__xludf.DUMMYFUNCTION("""COMPUTED_VALUE"""),"20140930NCALA")</f>
        <v>20140930NCALA</v>
      </c>
      <c r="B952" s="8">
        <f ca="1">IFERROR(__xludf.DUMMYFUNCTION("""COMPUTED_VALUE"""),41912)</f>
        <v>41912</v>
      </c>
      <c r="C952" s="5" t="str">
        <f ca="1">IFERROR(__xludf.DUMMYFUNCTION("""COMPUTED_VALUE"""),"Albemarle High School")</f>
        <v>Albemarle High School</v>
      </c>
      <c r="D952" s="5">
        <f ca="1">IFERROR(__xludf.DUMMYFUNCTION("""COMPUTED_VALUE"""),0)</f>
        <v>0</v>
      </c>
      <c r="E952" s="5">
        <f ca="1">IFERROR(__xludf.DUMMYFUNCTION("""COMPUTED_VALUE"""),1)</f>
        <v>1</v>
      </c>
      <c r="F952" s="5">
        <f ca="1">IFERROR(__xludf.DUMMYFUNCTION("""COMPUTED_VALUE"""),1)</f>
        <v>1</v>
      </c>
      <c r="G952" s="5">
        <f ca="1">IFERROR(__xludf.DUMMYFUNCTION("""COMPUTED_VALUE"""),0)</f>
        <v>0</v>
      </c>
      <c r="H952" s="9" t="str">
        <f ca="1">IFERROR(__xludf.DUMMYFUNCTION("""COMPUTED_VALUE"""),"https://www.usatoday.com/story/news/2014/09/30/police-1-shot-at-albemarle-high-school-1-in-custody/16469203/")</f>
        <v>https://www.usatoday.com/story/news/2014/09/30/police-1-shot-at-albemarle-high-school-1-in-custody/16469203/</v>
      </c>
      <c r="I952" s="5">
        <f ca="1">IFERROR(__xludf.DUMMYFUNCTION("""COMPUTED_VALUE"""),5)</f>
        <v>5</v>
      </c>
      <c r="J952" s="5" t="str">
        <f ca="1">IFERROR(__xludf.DUMMYFUNCTION("""COMPUTED_VALUE"""),"Local")</f>
        <v>Local</v>
      </c>
      <c r="K952" s="5">
        <f ca="1">IFERROR(__xludf.DUMMYFUNCTION("""COMPUTED_VALUE"""),2)</f>
        <v>2</v>
      </c>
      <c r="L952" s="5" t="str">
        <f ca="1">IFERROR(__xludf.DUMMYFUNCTION("""COMPUTED_VALUE"""),"Fall")</f>
        <v>Fall</v>
      </c>
      <c r="M952" s="5" t="str">
        <f ca="1">IFERROR(__xludf.DUMMYFUNCTION("""COMPUTED_VALUE"""),"Albemarle")</f>
        <v>Albemarle</v>
      </c>
      <c r="N952" s="5" t="str">
        <f ca="1">IFERROR(__xludf.DUMMYFUNCTION("""COMPUTED_VALUE"""),"NC")</f>
        <v>NC</v>
      </c>
      <c r="O952" s="5" t="str">
        <f ca="1">IFERROR(__xludf.DUMMYFUNCTION("""COMPUTED_VALUE"""),"High")</f>
        <v>High</v>
      </c>
      <c r="P952" s="5" t="str">
        <f ca="1">IFERROR(__xludf.DUMMYFUNCTION("""COMPUTED_VALUE"""),"Courtyard")</f>
        <v>Courtyard</v>
      </c>
      <c r="Q952" s="5" t="str">
        <f ca="1">IFERROR(__xludf.DUMMYFUNCTION("""COMPUTED_VALUE"""),"Outside on School Property")</f>
        <v>Outside on School Property</v>
      </c>
      <c r="R952" s="5" t="str">
        <f ca="1">IFERROR(__xludf.DUMMYFUNCTION("""COMPUTED_VALUE"""),"Yes")</f>
        <v>Yes</v>
      </c>
      <c r="S952" s="5" t="str">
        <f ca="1">IFERROR(__xludf.DUMMYFUNCTION("""COMPUTED_VALUE"""),"Before School")</f>
        <v>Before School</v>
      </c>
      <c r="T952" s="10">
        <f ca="1">IFERROR(__xludf.DUMMYFUNCTION("""COMPUTED_VALUE"""),0.319444444444444)</f>
        <v>0.31944444444444398</v>
      </c>
      <c r="U952" s="5"/>
      <c r="V952" s="5" t="str">
        <f ca="1">IFERROR(__xludf.DUMMYFUNCTION("""COMPUTED_VALUE"""),"Shooting during fight in school parking lot")</f>
        <v>Shooting during fight in school parking lot</v>
      </c>
      <c r="W952"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X952" s="5" t="str">
        <f ca="1">IFERROR(__xludf.DUMMYFUNCTION("""COMPUTED_VALUE"""),"Escalation of Dispute")</f>
        <v>Escalation of Dispute</v>
      </c>
      <c r="Y952" s="5" t="str">
        <f ca="1">IFERROR(__xludf.DUMMYFUNCTION("""COMPUTED_VALUE"""),"Victims Targeted")</f>
        <v>Victims Targeted</v>
      </c>
      <c r="Z952" s="5" t="str">
        <f ca="1">IFERROR(__xludf.DUMMYFUNCTION("""COMPUTED_VALUE"""),"No")</f>
        <v>No</v>
      </c>
      <c r="AA952" s="5"/>
      <c r="AB952" s="5" t="str">
        <f ca="1">IFERROR(__xludf.DUMMYFUNCTION("""COMPUTED_VALUE"""),"No")</f>
        <v>No</v>
      </c>
      <c r="AC952" s="5" t="str">
        <f ca="1">IFERROR(__xludf.DUMMYFUNCTION("""COMPUTED_VALUE"""),"No")</f>
        <v>No</v>
      </c>
      <c r="AD952" s="5" t="str">
        <f ca="1">IFERROR(__xludf.DUMMYFUNCTION("""COMPUTED_VALUE"""),"No")</f>
        <v>No</v>
      </c>
      <c r="AE952" s="5" t="str">
        <f ca="1">IFERROR(__xludf.DUMMYFUNCTION("""COMPUTED_VALUE"""),"No")</f>
        <v>No</v>
      </c>
      <c r="AF952" s="5" t="str">
        <f ca="1">IFERROR(__xludf.DUMMYFUNCTION("""COMPUTED_VALUE"""),"No")</f>
        <v>No</v>
      </c>
      <c r="AG952" s="5" t="str">
        <f ca="1">IFERROR(__xludf.DUMMYFUNCTION("""COMPUTED_VALUE"""),"No")</f>
        <v>No</v>
      </c>
      <c r="AH952" s="5"/>
    </row>
    <row r="953" spans="1:34" ht="12.75">
      <c r="A953" s="5" t="str">
        <f ca="1">IFERROR(__xludf.DUMMYFUNCTION("""COMPUTED_VALUE"""),"20140930KYFEL")</f>
        <v>20140930KYFEL</v>
      </c>
      <c r="B953" s="8">
        <f ca="1">IFERROR(__xludf.DUMMYFUNCTION("""COMPUTED_VALUE"""),41912)</f>
        <v>41912</v>
      </c>
      <c r="C953" s="5" t="str">
        <f ca="1">IFERROR(__xludf.DUMMYFUNCTION("""COMPUTED_VALUE"""),"Fern Creek Traditional High School")</f>
        <v>Fern Creek Traditional High School</v>
      </c>
      <c r="D953" s="5">
        <f ca="1">IFERROR(__xludf.DUMMYFUNCTION("""COMPUTED_VALUE"""),0)</f>
        <v>0</v>
      </c>
      <c r="E953" s="5">
        <f ca="1">IFERROR(__xludf.DUMMYFUNCTION("""COMPUTED_VALUE"""),1)</f>
        <v>1</v>
      </c>
      <c r="F953" s="5">
        <f ca="1">IFERROR(__xludf.DUMMYFUNCTION("""COMPUTED_VALUE"""),1)</f>
        <v>1</v>
      </c>
      <c r="G953" s="5">
        <f ca="1">IFERROR(__xludf.DUMMYFUNCTION("""COMPUTED_VALUE"""),0)</f>
        <v>0</v>
      </c>
      <c r="H953" s="9" t="str">
        <f ca="1">IFERROR(__xludf.DUMMYFUNCTION("""COMPUTED_VALUE"""),"http://www.wdrb.com/story/31888475/teen-sentenced-for-shooting-fern-creek-high-school-student-in-2014")</f>
        <v>http://www.wdrb.com/story/31888475/teen-sentenced-for-shooting-fern-creek-high-school-student-in-2014</v>
      </c>
      <c r="I953" s="5">
        <f ca="1">IFERROR(__xludf.DUMMYFUNCTION("""COMPUTED_VALUE"""),5)</f>
        <v>5</v>
      </c>
      <c r="J953" s="5" t="str">
        <f ca="1">IFERROR(__xludf.DUMMYFUNCTION("""COMPUTED_VALUE"""),"Local")</f>
        <v>Local</v>
      </c>
      <c r="K953" s="5">
        <f ca="1">IFERROR(__xludf.DUMMYFUNCTION("""COMPUTED_VALUE"""),2)</f>
        <v>2</v>
      </c>
      <c r="L953" s="5" t="str">
        <f ca="1">IFERROR(__xludf.DUMMYFUNCTION("""COMPUTED_VALUE"""),"Fall")</f>
        <v>Fall</v>
      </c>
      <c r="M953" s="5" t="str">
        <f ca="1">IFERROR(__xludf.DUMMYFUNCTION("""COMPUTED_VALUE"""),"Louisville")</f>
        <v>Louisville</v>
      </c>
      <c r="N953" s="5" t="str">
        <f ca="1">IFERROR(__xludf.DUMMYFUNCTION("""COMPUTED_VALUE"""),"KY")</f>
        <v>KY</v>
      </c>
      <c r="O953" s="5" t="str">
        <f ca="1">IFERROR(__xludf.DUMMYFUNCTION("""COMPUTED_VALUE"""),"High")</f>
        <v>High</v>
      </c>
      <c r="P953" s="5" t="str">
        <f ca="1">IFERROR(__xludf.DUMMYFUNCTION("""COMPUTED_VALUE"""),"Hallway")</f>
        <v>Hallway</v>
      </c>
      <c r="Q953" s="5" t="str">
        <f ca="1">IFERROR(__xludf.DUMMYFUNCTION("""COMPUTED_VALUE"""),"Inside School Building")</f>
        <v>Inside School Building</v>
      </c>
      <c r="R953" s="5" t="str">
        <f ca="1">IFERROR(__xludf.DUMMYFUNCTION("""COMPUTED_VALUE"""),"Yes")</f>
        <v>Yes</v>
      </c>
      <c r="S953" s="5" t="str">
        <f ca="1">IFERROR(__xludf.DUMMYFUNCTION("""COMPUTED_VALUE"""),"Afternoon Classes")</f>
        <v>Afternoon Classes</v>
      </c>
      <c r="T953" s="10">
        <f ca="1">IFERROR(__xludf.DUMMYFUNCTION("""COMPUTED_VALUE"""),0.541666666666666)</f>
        <v>0.54166666666666596</v>
      </c>
      <c r="U953" s="5">
        <f ca="1">IFERROR(__xludf.DUMMYFUNCTION("""COMPUTED_VALUE"""),1)</f>
        <v>1</v>
      </c>
      <c r="V953" s="5" t="str">
        <f ca="1">IFERROR(__xludf.DUMMYFUNCTION("""COMPUTED_VALUE"""),"Shots during dispute over iPad/money")</f>
        <v>Shots during dispute over iPad/money</v>
      </c>
      <c r="W953"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X953" s="5" t="str">
        <f ca="1">IFERROR(__xludf.DUMMYFUNCTION("""COMPUTED_VALUE"""),"Escalation of Dispute")</f>
        <v>Escalation of Dispute</v>
      </c>
      <c r="Y953" s="5" t="str">
        <f ca="1">IFERROR(__xludf.DUMMYFUNCTION("""COMPUTED_VALUE"""),"Victims Targeted")</f>
        <v>Victims Targeted</v>
      </c>
      <c r="Z953" s="5" t="str">
        <f ca="1">IFERROR(__xludf.DUMMYFUNCTION("""COMPUTED_VALUE"""),"No")</f>
        <v>No</v>
      </c>
      <c r="AA953" s="5"/>
      <c r="AB953" s="5" t="str">
        <f ca="1">IFERROR(__xludf.DUMMYFUNCTION("""COMPUTED_VALUE"""),"No")</f>
        <v>No</v>
      </c>
      <c r="AC953" s="5" t="str">
        <f ca="1">IFERROR(__xludf.DUMMYFUNCTION("""COMPUTED_VALUE"""),"No")</f>
        <v>No</v>
      </c>
      <c r="AD953" s="5" t="str">
        <f ca="1">IFERROR(__xludf.DUMMYFUNCTION("""COMPUTED_VALUE"""),"No")</f>
        <v>No</v>
      </c>
      <c r="AE953" s="5" t="str">
        <f ca="1">IFERROR(__xludf.DUMMYFUNCTION("""COMPUTED_VALUE"""),"No")</f>
        <v>No</v>
      </c>
      <c r="AF953" s="5" t="str">
        <f ca="1">IFERROR(__xludf.DUMMYFUNCTION("""COMPUTED_VALUE"""),"No")</f>
        <v>No</v>
      </c>
      <c r="AG953" s="5" t="str">
        <f ca="1">IFERROR(__xludf.DUMMYFUNCTION("""COMPUTED_VALUE"""),"No")</f>
        <v>No</v>
      </c>
      <c r="AH953" s="5"/>
    </row>
    <row r="954" spans="1:34" ht="12.75">
      <c r="A954" s="5" t="str">
        <f ca="1">IFERROR(__xludf.DUMMYFUNCTION("""COMPUTED_VALUE"""),"20140925NHWEM")</f>
        <v>20140925NHWEM</v>
      </c>
      <c r="B954" s="8">
        <f ca="1">IFERROR(__xludf.DUMMYFUNCTION("""COMPUTED_VALUE"""),41907)</f>
        <v>41907</v>
      </c>
      <c r="C954" s="5" t="str">
        <f ca="1">IFERROR(__xludf.DUMMYFUNCTION("""COMPUTED_VALUE"""),"West High School")</f>
        <v>West High School</v>
      </c>
      <c r="D954" s="5">
        <f ca="1">IFERROR(__xludf.DUMMYFUNCTION("""COMPUTED_VALUE"""),0)</f>
        <v>0</v>
      </c>
      <c r="E954" s="5">
        <f ca="1">IFERROR(__xludf.DUMMYFUNCTION("""COMPUTED_VALUE"""),0)</f>
        <v>0</v>
      </c>
      <c r="F954" s="5">
        <f ca="1">IFERROR(__xludf.DUMMYFUNCTION("""COMPUTED_VALUE"""),0)</f>
        <v>0</v>
      </c>
      <c r="G954" s="5">
        <f ca="1">IFERROR(__xludf.DUMMYFUNCTION("""COMPUTED_VALUE"""),0)</f>
        <v>0</v>
      </c>
      <c r="H954" s="9" t="str">
        <f ca="1">IFERROR(__xludf.DUMMYFUNCTION("""COMPUTED_VALUE"""),"https://manchesterinklink.com/man-gun-knife-arrested-inside-west-hs-lockdown/")</f>
        <v>https://manchesterinklink.com/man-gun-knife-arrested-inside-west-hs-lockdown/</v>
      </c>
      <c r="I954" s="5"/>
      <c r="J954" s="5"/>
      <c r="K954" s="5">
        <f ca="1">IFERROR(__xludf.DUMMYFUNCTION("""COMPUTED_VALUE"""),3)</f>
        <v>3</v>
      </c>
      <c r="L954" s="5" t="str">
        <f ca="1">IFERROR(__xludf.DUMMYFUNCTION("""COMPUTED_VALUE"""),"Fall")</f>
        <v>Fall</v>
      </c>
      <c r="M954" s="5" t="str">
        <f ca="1">IFERROR(__xludf.DUMMYFUNCTION("""COMPUTED_VALUE"""),"Manchester")</f>
        <v>Manchester</v>
      </c>
      <c r="N954" s="5" t="str">
        <f ca="1">IFERROR(__xludf.DUMMYFUNCTION("""COMPUTED_VALUE"""),"NH")</f>
        <v>NH</v>
      </c>
      <c r="O954" s="5" t="str">
        <f ca="1">IFERROR(__xludf.DUMMYFUNCTION("""COMPUTED_VALUE"""),"High")</f>
        <v>High</v>
      </c>
      <c r="P954" s="5" t="str">
        <f ca="1">IFERROR(__xludf.DUMMYFUNCTION("""COMPUTED_VALUE"""),"Cafeteria")</f>
        <v>Cafeteria</v>
      </c>
      <c r="Q954" s="5" t="str">
        <f ca="1">IFERROR(__xludf.DUMMYFUNCTION("""COMPUTED_VALUE"""),"Inside School Building")</f>
        <v>Inside School Building</v>
      </c>
      <c r="R954" s="5" t="str">
        <f ca="1">IFERROR(__xludf.DUMMYFUNCTION("""COMPUTED_VALUE"""),"Yes")</f>
        <v>Yes</v>
      </c>
      <c r="S954" s="5" t="str">
        <f ca="1">IFERROR(__xludf.DUMMYFUNCTION("""COMPUTED_VALUE"""),"School Start")</f>
        <v>School Start</v>
      </c>
      <c r="T954" s="10">
        <f ca="1">IFERROR(__xludf.DUMMYFUNCTION("""COMPUTED_VALUE"""),0.322916666666666)</f>
        <v>0.32291666666666602</v>
      </c>
      <c r="U954" s="5">
        <f ca="1">IFERROR(__xludf.DUMMYFUNCTION("""COMPUTED_VALUE"""),135)</f>
        <v>135</v>
      </c>
      <c r="V954"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W954"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X954" s="5" t="str">
        <f ca="1">IFERROR(__xludf.DUMMYFUNCTION("""COMPUTED_VALUE"""),"Hostage/Standoff")</f>
        <v>Hostage/Standoff</v>
      </c>
      <c r="Y954" s="5" t="str">
        <f ca="1">IFERROR(__xludf.DUMMYFUNCTION("""COMPUTED_VALUE"""),"Neither")</f>
        <v>Neither</v>
      </c>
      <c r="Z954" s="5" t="str">
        <f ca="1">IFERROR(__xludf.DUMMYFUNCTION("""COMPUTED_VALUE"""),"No")</f>
        <v>No</v>
      </c>
      <c r="AA954" s="5"/>
      <c r="AB954" s="5" t="str">
        <f ca="1">IFERROR(__xludf.DUMMYFUNCTION("""COMPUTED_VALUE"""),"No")</f>
        <v>No</v>
      </c>
      <c r="AC954" s="5" t="str">
        <f ca="1">IFERROR(__xludf.DUMMYFUNCTION("""COMPUTED_VALUE"""),"No")</f>
        <v>No</v>
      </c>
      <c r="AD954" s="5" t="str">
        <f ca="1">IFERROR(__xludf.DUMMYFUNCTION("""COMPUTED_VALUE"""),"No")</f>
        <v>No</v>
      </c>
      <c r="AE954" s="5"/>
      <c r="AF954" s="5" t="str">
        <f ca="1">IFERROR(__xludf.DUMMYFUNCTION("""COMPUTED_VALUE"""),"No")</f>
        <v>No</v>
      </c>
      <c r="AG954" s="5" t="str">
        <f ca="1">IFERROR(__xludf.DUMMYFUNCTION("""COMPUTED_VALUE"""),"No")</f>
        <v>No</v>
      </c>
      <c r="AH954" s="5" t="str">
        <f ca="1">IFERROR(__xludf.DUMMYFUNCTION("""COMPUTED_VALUE"""),"Yes")</f>
        <v>Yes</v>
      </c>
    </row>
    <row r="955" spans="1:34" ht="12.75">
      <c r="A955" s="5" t="str">
        <f ca="1">IFERROR(__xludf.DUMMYFUNCTION("""COMPUTED_VALUE"""),"20140919IANOD")</f>
        <v>20140919IANOD</v>
      </c>
      <c r="B955" s="8">
        <f ca="1">IFERROR(__xludf.DUMMYFUNCTION("""COMPUTED_VALUE"""),41901)</f>
        <v>41901</v>
      </c>
      <c r="C955" s="5" t="str">
        <f ca="1">IFERROR(__xludf.DUMMYFUNCTION("""COMPUTED_VALUE"""),"North High School")</f>
        <v>North High School</v>
      </c>
      <c r="D955" s="5">
        <f ca="1">IFERROR(__xludf.DUMMYFUNCTION("""COMPUTED_VALUE"""),0)</f>
        <v>0</v>
      </c>
      <c r="E955" s="5">
        <f ca="1">IFERROR(__xludf.DUMMYFUNCTION("""COMPUTED_VALUE"""),1)</f>
        <v>1</v>
      </c>
      <c r="F955" s="5">
        <f ca="1">IFERROR(__xludf.DUMMYFUNCTION("""COMPUTED_VALUE"""),1)</f>
        <v>1</v>
      </c>
      <c r="G955" s="5">
        <f ca="1">IFERROR(__xludf.DUMMYFUNCTION("""COMPUTED_VALUE"""),0)</f>
        <v>0</v>
      </c>
      <c r="H955" s="9" t="str">
        <f ca="1">IFERROR(__xludf.DUMMYFUNCTION("""COMPUTED_VALUE"""),"https://www.desmoinesregister.com/story/news/crime-and-courts/2014/12/22/teen-arrested-shooting-north-high-school/20767421/")</f>
        <v>https://www.desmoinesregister.com/story/news/crime-and-courts/2014/12/22/teen-arrested-shooting-north-high-school/20767421/</v>
      </c>
      <c r="I955" s="5">
        <f ca="1">IFERROR(__xludf.DUMMYFUNCTION("""COMPUTED_VALUE"""),1)</f>
        <v>1</v>
      </c>
      <c r="J955" s="5" t="str">
        <f ca="1">IFERROR(__xludf.DUMMYFUNCTION("""COMPUTED_VALUE"""),"Local")</f>
        <v>Local</v>
      </c>
      <c r="K955" s="5">
        <f ca="1">IFERROR(__xludf.DUMMYFUNCTION("""COMPUTED_VALUE"""),2)</f>
        <v>2</v>
      </c>
      <c r="L955" s="5" t="str">
        <f ca="1">IFERROR(__xludf.DUMMYFUNCTION("""COMPUTED_VALUE"""),"Fall")</f>
        <v>Fall</v>
      </c>
      <c r="M955" s="5" t="str">
        <f ca="1">IFERROR(__xludf.DUMMYFUNCTION("""COMPUTED_VALUE"""),"Des Moines")</f>
        <v>Des Moines</v>
      </c>
      <c r="N955" s="5" t="str">
        <f ca="1">IFERROR(__xludf.DUMMYFUNCTION("""COMPUTED_VALUE"""),"IA")</f>
        <v>IA</v>
      </c>
      <c r="O955" s="5" t="str">
        <f ca="1">IFERROR(__xludf.DUMMYFUNCTION("""COMPUTED_VALUE"""),"High")</f>
        <v>High</v>
      </c>
      <c r="P955" s="5" t="str">
        <f ca="1">IFERROR(__xludf.DUMMYFUNCTION("""COMPUTED_VALUE"""),"Front of School")</f>
        <v>Front of School</v>
      </c>
      <c r="Q955" s="5" t="str">
        <f ca="1">IFERROR(__xludf.DUMMYFUNCTION("""COMPUTED_VALUE"""),"Outside on School Property")</f>
        <v>Outside on School Property</v>
      </c>
      <c r="R955" s="5" t="str">
        <f ca="1">IFERROR(__xludf.DUMMYFUNCTION("""COMPUTED_VALUE"""),"No")</f>
        <v>No</v>
      </c>
      <c r="S955" s="5" t="str">
        <f ca="1">IFERROR(__xludf.DUMMYFUNCTION("""COMPUTED_VALUE"""),"Not a School Day")</f>
        <v>Not a School Day</v>
      </c>
      <c r="T955" s="10">
        <f ca="1">IFERROR(__xludf.DUMMYFUNCTION("""COMPUTED_VALUE"""),0.916666666666666)</f>
        <v>0.91666666666666596</v>
      </c>
      <c r="U955" s="5">
        <f ca="1">IFERROR(__xludf.DUMMYFUNCTION("""COMPUTED_VALUE"""),1)</f>
        <v>1</v>
      </c>
      <c r="V955" s="5" t="str">
        <f ca="1">IFERROR(__xludf.DUMMYFUNCTION("""COMPUTED_VALUE"""),"Drive-by shooting outside of school")</f>
        <v>Drive-by shooting outside of school</v>
      </c>
      <c r="W955"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X955" s="5" t="str">
        <f ca="1">IFERROR(__xludf.DUMMYFUNCTION("""COMPUTED_VALUE"""),"Drive-by Shooting")</f>
        <v>Drive-by Shooting</v>
      </c>
      <c r="Y955" s="5" t="str">
        <f ca="1">IFERROR(__xludf.DUMMYFUNCTION("""COMPUTED_VALUE"""),"Victims Targeted")</f>
        <v>Victims Targeted</v>
      </c>
      <c r="Z955" s="5" t="str">
        <f ca="1">IFERROR(__xludf.DUMMYFUNCTION("""COMPUTED_VALUE"""),"No")</f>
        <v>No</v>
      </c>
      <c r="AA955" s="5"/>
      <c r="AB955" s="5" t="str">
        <f ca="1">IFERROR(__xludf.DUMMYFUNCTION("""COMPUTED_VALUE"""),"No")</f>
        <v>No</v>
      </c>
      <c r="AC955" s="5" t="str">
        <f ca="1">IFERROR(__xludf.DUMMYFUNCTION("""COMPUTED_VALUE"""),"No")</f>
        <v>No</v>
      </c>
      <c r="AD955" s="5" t="str">
        <f ca="1">IFERROR(__xludf.DUMMYFUNCTION("""COMPUTED_VALUE"""),"No")</f>
        <v>No</v>
      </c>
      <c r="AE955" s="5" t="str">
        <f ca="1">IFERROR(__xludf.DUMMYFUNCTION("""COMPUTED_VALUE"""),"No")</f>
        <v>No</v>
      </c>
      <c r="AF955" s="5" t="str">
        <f ca="1">IFERROR(__xludf.DUMMYFUNCTION("""COMPUTED_VALUE"""),"No")</f>
        <v>No</v>
      </c>
      <c r="AG955" s="5" t="str">
        <f ca="1">IFERROR(__xludf.DUMMYFUNCTION("""COMPUTED_VALUE"""),"Yes")</f>
        <v>Yes</v>
      </c>
      <c r="AH955" s="5"/>
    </row>
    <row r="956" spans="1:34" ht="12.75">
      <c r="A956" s="5" t="str">
        <f ca="1">IFERROR(__xludf.DUMMYFUNCTION("""COMPUTED_VALUE"""),"20140911UTWET")</f>
        <v>20140911UTWET</v>
      </c>
      <c r="B956" s="8">
        <f ca="1">IFERROR(__xludf.DUMMYFUNCTION("""COMPUTED_VALUE"""),41893)</f>
        <v>41893</v>
      </c>
      <c r="C956" s="5" t="str">
        <f ca="1">IFERROR(__xludf.DUMMYFUNCTION("""COMPUTED_VALUE"""),"Westbrook Elementary School")</f>
        <v>Westbrook Elementary School</v>
      </c>
      <c r="D956" s="5">
        <f ca="1">IFERROR(__xludf.DUMMYFUNCTION("""COMPUTED_VALUE"""),0)</f>
        <v>0</v>
      </c>
      <c r="E956" s="5">
        <f ca="1">IFERROR(__xludf.DUMMYFUNCTION("""COMPUTED_VALUE"""),0)</f>
        <v>0</v>
      </c>
      <c r="F956" s="5">
        <f ca="1">IFERROR(__xludf.DUMMYFUNCTION("""COMPUTED_VALUE"""),0)</f>
        <v>0</v>
      </c>
      <c r="G956" s="5">
        <f ca="1">IFERROR(__xludf.DUMMYFUNCTION("""COMPUTED_VALUE"""),0)</f>
        <v>0</v>
      </c>
      <c r="H956"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I956" s="5"/>
      <c r="J956" s="5"/>
      <c r="K956" s="5">
        <f ca="1">IFERROR(__xludf.DUMMYFUNCTION("""COMPUTED_VALUE"""),3)</f>
        <v>3</v>
      </c>
      <c r="L956" s="5" t="str">
        <f ca="1">IFERROR(__xludf.DUMMYFUNCTION("""COMPUTED_VALUE"""),"Fall")</f>
        <v>Fall</v>
      </c>
      <c r="M956" s="5" t="str">
        <f ca="1">IFERROR(__xludf.DUMMYFUNCTION("""COMPUTED_VALUE"""),"Taylorsville")</f>
        <v>Taylorsville</v>
      </c>
      <c r="N956" s="5" t="str">
        <f ca="1">IFERROR(__xludf.DUMMYFUNCTION("""COMPUTED_VALUE"""),"UT")</f>
        <v>UT</v>
      </c>
      <c r="O956" s="5" t="str">
        <f ca="1">IFERROR(__xludf.DUMMYFUNCTION("""COMPUTED_VALUE"""),"Elementary")</f>
        <v>Elementary</v>
      </c>
      <c r="P956" s="5" t="str">
        <f ca="1">IFERROR(__xludf.DUMMYFUNCTION("""COMPUTED_VALUE"""),"Bathroom")</f>
        <v>Bathroom</v>
      </c>
      <c r="Q956" s="5" t="str">
        <f ca="1">IFERROR(__xludf.DUMMYFUNCTION("""COMPUTED_VALUE"""),"Inside School Building")</f>
        <v>Inside School Building</v>
      </c>
      <c r="R956" s="5" t="str">
        <f ca="1">IFERROR(__xludf.DUMMYFUNCTION("""COMPUTED_VALUE"""),"Yes")</f>
        <v>Yes</v>
      </c>
      <c r="S956" s="5" t="str">
        <f ca="1">IFERROR(__xludf.DUMMYFUNCTION("""COMPUTED_VALUE"""),"Before School")</f>
        <v>Before School</v>
      </c>
      <c r="T956" s="10">
        <f ca="1">IFERROR(__xludf.DUMMYFUNCTION("""COMPUTED_VALUE"""),0.375)</f>
        <v>0.375</v>
      </c>
      <c r="U956" s="5">
        <f ca="1">IFERROR(__xludf.DUMMYFUNCTION("""COMPUTED_VALUE"""),1)</f>
        <v>1</v>
      </c>
      <c r="V956" s="5" t="str">
        <f ca="1">IFERROR(__xludf.DUMMYFUNCTION("""COMPUTED_VALUE"""),"Accidental discharge of teacher's gun")</f>
        <v>Accidental discharge of teacher's gun</v>
      </c>
      <c r="W956"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X956" s="5" t="str">
        <f ca="1">IFERROR(__xludf.DUMMYFUNCTION("""COMPUTED_VALUE"""),"Accidental")</f>
        <v>Accidental</v>
      </c>
      <c r="Y956" s="5" t="str">
        <f ca="1">IFERROR(__xludf.DUMMYFUNCTION("""COMPUTED_VALUE"""),"Random Shooting")</f>
        <v>Random Shooting</v>
      </c>
      <c r="Z956" s="5" t="str">
        <f ca="1">IFERROR(__xludf.DUMMYFUNCTION("""COMPUTED_VALUE"""),"No")</f>
        <v>No</v>
      </c>
      <c r="AA956" s="5"/>
      <c r="AB956" s="5" t="str">
        <f ca="1">IFERROR(__xludf.DUMMYFUNCTION("""COMPUTED_VALUE"""),"No")</f>
        <v>No</v>
      </c>
      <c r="AC956" s="5" t="str">
        <f ca="1">IFERROR(__xludf.DUMMYFUNCTION("""COMPUTED_VALUE"""),"No")</f>
        <v>No</v>
      </c>
      <c r="AD956" s="5" t="str">
        <f ca="1">IFERROR(__xludf.DUMMYFUNCTION("""COMPUTED_VALUE"""),"No")</f>
        <v>No</v>
      </c>
      <c r="AE956" s="5" t="str">
        <f ca="1">IFERROR(__xludf.DUMMYFUNCTION("""COMPUTED_VALUE"""),"No")</f>
        <v>No</v>
      </c>
      <c r="AF956" s="5" t="str">
        <f ca="1">IFERROR(__xludf.DUMMYFUNCTION("""COMPUTED_VALUE"""),"No")</f>
        <v>No</v>
      </c>
      <c r="AG956" s="5" t="str">
        <f ca="1">IFERROR(__xludf.DUMMYFUNCTION("""COMPUTED_VALUE"""),"No")</f>
        <v>No</v>
      </c>
      <c r="AH956" s="5"/>
    </row>
    <row r="957" spans="1:34" ht="12.75">
      <c r="A957" s="5" t="str">
        <f ca="1">IFERROR(__xludf.DUMMYFUNCTION("""COMPUTED_VALUE"""),"20140910FLGRL")</f>
        <v>20140910FLGRL</v>
      </c>
      <c r="B957" s="8">
        <f ca="1">IFERROR(__xludf.DUMMYFUNCTION("""COMPUTED_VALUE"""),41892)</f>
        <v>41892</v>
      </c>
      <c r="C957" s="5" t="str">
        <f ca="1">IFERROR(__xludf.DUMMYFUNCTION("""COMPUTED_VALUE"""),"Greenwood Lakes Middle School")</f>
        <v>Greenwood Lakes Middle School</v>
      </c>
      <c r="D957" s="5">
        <f ca="1">IFERROR(__xludf.DUMMYFUNCTION("""COMPUTED_VALUE"""),0)</f>
        <v>0</v>
      </c>
      <c r="E957" s="5">
        <f ca="1">IFERROR(__xludf.DUMMYFUNCTION("""COMPUTED_VALUE"""),0)</f>
        <v>0</v>
      </c>
      <c r="F957" s="5">
        <f ca="1">IFERROR(__xludf.DUMMYFUNCTION("""COMPUTED_VALUE"""),0)</f>
        <v>0</v>
      </c>
      <c r="G957" s="5">
        <f ca="1">IFERROR(__xludf.DUMMYFUNCTION("""COMPUTED_VALUE"""),1)</f>
        <v>1</v>
      </c>
      <c r="H957"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I957" s="5"/>
      <c r="J957" s="5"/>
      <c r="K957" s="5">
        <f ca="1">IFERROR(__xludf.DUMMYFUNCTION("""COMPUTED_VALUE"""),3)</f>
        <v>3</v>
      </c>
      <c r="L957" s="5" t="str">
        <f ca="1">IFERROR(__xludf.DUMMYFUNCTION("""COMPUTED_VALUE"""),"Fall")</f>
        <v>Fall</v>
      </c>
      <c r="M957" s="5" t="str">
        <f ca="1">IFERROR(__xludf.DUMMYFUNCTION("""COMPUTED_VALUE"""),"Lake Mary")</f>
        <v>Lake Mary</v>
      </c>
      <c r="N957" s="5" t="str">
        <f ca="1">IFERROR(__xludf.DUMMYFUNCTION("""COMPUTED_VALUE"""),"FL")</f>
        <v>FL</v>
      </c>
      <c r="O957" s="5" t="str">
        <f ca="1">IFERROR(__xludf.DUMMYFUNCTION("""COMPUTED_VALUE"""),"Middle")</f>
        <v>Middle</v>
      </c>
      <c r="P957" s="5" t="str">
        <f ca="1">IFERROR(__xludf.DUMMYFUNCTION("""COMPUTED_VALUE"""),"Bathroom")</f>
        <v>Bathroom</v>
      </c>
      <c r="Q957" s="5" t="str">
        <f ca="1">IFERROR(__xludf.DUMMYFUNCTION("""COMPUTED_VALUE"""),"Inside School Building")</f>
        <v>Inside School Building</v>
      </c>
      <c r="R957" s="5" t="str">
        <f ca="1">IFERROR(__xludf.DUMMYFUNCTION("""COMPUTED_VALUE"""),"Yes")</f>
        <v>Yes</v>
      </c>
      <c r="S957" s="5" t="str">
        <f ca="1">IFERROR(__xludf.DUMMYFUNCTION("""COMPUTED_VALUE"""),"After School")</f>
        <v>After School</v>
      </c>
      <c r="T957" s="10">
        <f ca="1">IFERROR(__xludf.DUMMYFUNCTION("""COMPUTED_VALUE"""),0.708333333333333)</f>
        <v>0.70833333333333304</v>
      </c>
      <c r="U957" s="5">
        <f ca="1">IFERROR(__xludf.DUMMYFUNCTION("""COMPUTED_VALUE"""),1)</f>
        <v>1</v>
      </c>
      <c r="V957" s="5" t="str">
        <f ca="1">IFERROR(__xludf.DUMMYFUNCTION("""COMPUTED_VALUE"""),"Suicide in school bathroom")</f>
        <v>Suicide in school bathroom</v>
      </c>
      <c r="W957"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X957" s="5" t="str">
        <f ca="1">IFERROR(__xludf.DUMMYFUNCTION("""COMPUTED_VALUE"""),"Suicide/Attempted")</f>
        <v>Suicide/Attempted</v>
      </c>
      <c r="Y957" s="5" t="str">
        <f ca="1">IFERROR(__xludf.DUMMYFUNCTION("""COMPUTED_VALUE"""),"Victims Targeted")</f>
        <v>Victims Targeted</v>
      </c>
      <c r="Z957" s="5" t="str">
        <f ca="1">IFERROR(__xludf.DUMMYFUNCTION("""COMPUTED_VALUE"""),"No")</f>
        <v>No</v>
      </c>
      <c r="AA957" s="5"/>
      <c r="AB957" s="5" t="str">
        <f ca="1">IFERROR(__xludf.DUMMYFUNCTION("""COMPUTED_VALUE"""),"No")</f>
        <v>No</v>
      </c>
      <c r="AC957" s="5" t="str">
        <f ca="1">IFERROR(__xludf.DUMMYFUNCTION("""COMPUTED_VALUE"""),"No")</f>
        <v>No</v>
      </c>
      <c r="AD957" s="5" t="str">
        <f ca="1">IFERROR(__xludf.DUMMYFUNCTION("""COMPUTED_VALUE"""),"No")</f>
        <v>No</v>
      </c>
      <c r="AE957" s="5" t="str">
        <f ca="1">IFERROR(__xludf.DUMMYFUNCTION("""COMPUTED_VALUE"""),"Yes")</f>
        <v>Yes</v>
      </c>
      <c r="AF957" s="5" t="str">
        <f ca="1">IFERROR(__xludf.DUMMYFUNCTION("""COMPUTED_VALUE"""),"No")</f>
        <v>No</v>
      </c>
      <c r="AG957" s="5" t="str">
        <f ca="1">IFERROR(__xludf.DUMMYFUNCTION("""COMPUTED_VALUE"""),"No")</f>
        <v>No</v>
      </c>
      <c r="AH957" s="5"/>
    </row>
    <row r="958" spans="1:34" ht="12.75">
      <c r="A958" s="5" t="str">
        <f ca="1">IFERROR(__xludf.DUMMYFUNCTION("""COMPUTED_VALUE"""),"20140909FLSTM")</f>
        <v>20140909FLSTM</v>
      </c>
      <c r="B958" s="8">
        <f ca="1">IFERROR(__xludf.DUMMYFUNCTION("""COMPUTED_VALUE"""),41891)</f>
        <v>41891</v>
      </c>
      <c r="C958" s="5" t="str">
        <f ca="1">IFERROR(__xludf.DUMMYFUNCTION("""COMPUTED_VALUE"""),"Stellar Leadership Academy")</f>
        <v>Stellar Leadership Academy</v>
      </c>
      <c r="D958" s="5">
        <f ca="1">IFERROR(__xludf.DUMMYFUNCTION("""COMPUTED_VALUE"""),0)</f>
        <v>0</v>
      </c>
      <c r="E958" s="5">
        <f ca="1">IFERROR(__xludf.DUMMYFUNCTION("""COMPUTED_VALUE"""),1)</f>
        <v>1</v>
      </c>
      <c r="F958" s="5">
        <f ca="1">IFERROR(__xludf.DUMMYFUNCTION("""COMPUTED_VALUE"""),1)</f>
        <v>1</v>
      </c>
      <c r="G958" s="5">
        <f ca="1">IFERROR(__xludf.DUMMYFUNCTION("""COMPUTED_VALUE"""),0)</f>
        <v>0</v>
      </c>
      <c r="H958" s="9" t="str">
        <f ca="1">IFERROR(__xludf.DUMMYFUNCTION("""COMPUTED_VALUE"""),"https://www.local10.com/news/florida/miami-dade/5-in-custody-after-shooting-outside-northwest-miami-dade-county-school")</f>
        <v>https://www.local10.com/news/florida/miami-dade/5-in-custody-after-shooting-outside-northwest-miami-dade-county-school</v>
      </c>
      <c r="I958" s="5">
        <f ca="1">IFERROR(__xludf.DUMMYFUNCTION("""COMPUTED_VALUE"""),1)</f>
        <v>1</v>
      </c>
      <c r="J958" s="5" t="str">
        <f ca="1">IFERROR(__xludf.DUMMYFUNCTION("""COMPUTED_VALUE"""),"Local")</f>
        <v>Local</v>
      </c>
      <c r="K958" s="5">
        <f ca="1">IFERROR(__xludf.DUMMYFUNCTION("""COMPUTED_VALUE"""),2)</f>
        <v>2</v>
      </c>
      <c r="L958" s="5" t="str">
        <f ca="1">IFERROR(__xludf.DUMMYFUNCTION("""COMPUTED_VALUE"""),"Fall")</f>
        <v>Fall</v>
      </c>
      <c r="M958" s="5" t="str">
        <f ca="1">IFERROR(__xludf.DUMMYFUNCTION("""COMPUTED_VALUE"""),"Miami")</f>
        <v>Miami</v>
      </c>
      <c r="N958" s="5" t="str">
        <f ca="1">IFERROR(__xludf.DUMMYFUNCTION("""COMPUTED_VALUE"""),"FL")</f>
        <v>FL</v>
      </c>
      <c r="O958" s="5" t="str">
        <f ca="1">IFERROR(__xludf.DUMMYFUNCTION("""COMPUTED_VALUE"""),"High")</f>
        <v>High</v>
      </c>
      <c r="P958" s="5" t="str">
        <f ca="1">IFERROR(__xludf.DUMMYFUNCTION("""COMPUTED_VALUE"""),"Beside Building")</f>
        <v>Beside Building</v>
      </c>
      <c r="Q958" s="5" t="str">
        <f ca="1">IFERROR(__xludf.DUMMYFUNCTION("""COMPUTED_VALUE"""),"Outside on School Property")</f>
        <v>Outside on School Property</v>
      </c>
      <c r="R958" s="5" t="str">
        <f ca="1">IFERROR(__xludf.DUMMYFUNCTION("""COMPUTED_VALUE"""),"Yes")</f>
        <v>Yes</v>
      </c>
      <c r="S958" s="5" t="str">
        <f ca="1">IFERROR(__xludf.DUMMYFUNCTION("""COMPUTED_VALUE"""),"Afternoon Classes")</f>
        <v>Afternoon Classes</v>
      </c>
      <c r="T958" s="5"/>
      <c r="U958" s="5"/>
      <c r="V958" s="5" t="str">
        <f ca="1">IFERROR(__xludf.DUMMYFUNCTION("""COMPUTED_VALUE"""),"Fight in parking lot")</f>
        <v>Fight in parking lot</v>
      </c>
      <c r="W958"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X958" s="5" t="str">
        <f ca="1">IFERROR(__xludf.DUMMYFUNCTION("""COMPUTED_VALUE"""),"Escalation of Dispute")</f>
        <v>Escalation of Dispute</v>
      </c>
      <c r="Y958" s="5" t="str">
        <f ca="1">IFERROR(__xludf.DUMMYFUNCTION("""COMPUTED_VALUE"""),"Victims Targeted")</f>
        <v>Victims Targeted</v>
      </c>
      <c r="Z958" s="5" t="str">
        <f ca="1">IFERROR(__xludf.DUMMYFUNCTION("""COMPUTED_VALUE"""),"Yes")</f>
        <v>Yes</v>
      </c>
      <c r="AA958" s="5" t="str">
        <f ca="1">IFERROR(__xludf.DUMMYFUNCTION("""COMPUTED_VALUE"""),"5 suspects total")</f>
        <v>5 suspects total</v>
      </c>
      <c r="AB958" s="5" t="str">
        <f ca="1">IFERROR(__xludf.DUMMYFUNCTION("""COMPUTED_VALUE"""),"No")</f>
        <v>No</v>
      </c>
      <c r="AC958" s="5" t="str">
        <f ca="1">IFERROR(__xludf.DUMMYFUNCTION("""COMPUTED_VALUE"""),"No")</f>
        <v>No</v>
      </c>
      <c r="AD958" s="5" t="str">
        <f ca="1">IFERROR(__xludf.DUMMYFUNCTION("""COMPUTED_VALUE"""),"No")</f>
        <v>No</v>
      </c>
      <c r="AE958" s="5" t="str">
        <f ca="1">IFERROR(__xludf.DUMMYFUNCTION("""COMPUTED_VALUE"""),"No")</f>
        <v>No</v>
      </c>
      <c r="AF958" s="5" t="str">
        <f ca="1">IFERROR(__xludf.DUMMYFUNCTION("""COMPUTED_VALUE"""),"No")</f>
        <v>No</v>
      </c>
      <c r="AG958" s="5" t="str">
        <f ca="1">IFERROR(__xludf.DUMMYFUNCTION("""COMPUTED_VALUE"""),"No")</f>
        <v>No</v>
      </c>
      <c r="AH958" s="5"/>
    </row>
    <row r="959" spans="1:34" ht="12.75">
      <c r="A959" s="5" t="str">
        <f ca="1">IFERROR(__xludf.DUMMYFUNCTION("""COMPUTED_VALUE"""),"20140814VASAN")</f>
        <v>20140814VASAN</v>
      </c>
      <c r="B959" s="8">
        <f ca="1">IFERROR(__xludf.DUMMYFUNCTION("""COMPUTED_VALUE"""),41865)</f>
        <v>41865</v>
      </c>
      <c r="C959" s="5" t="str">
        <f ca="1">IFERROR(__xludf.DUMMYFUNCTION("""COMPUTED_VALUE"""),"Saunders Elementary School")</f>
        <v>Saunders Elementary School</v>
      </c>
      <c r="D959" s="5">
        <f ca="1">IFERROR(__xludf.DUMMYFUNCTION("""COMPUTED_VALUE"""),2)</f>
        <v>2</v>
      </c>
      <c r="E959" s="5">
        <f ca="1">IFERROR(__xludf.DUMMYFUNCTION("""COMPUTED_VALUE"""),1)</f>
        <v>1</v>
      </c>
      <c r="F959" s="5">
        <f ca="1">IFERROR(__xludf.DUMMYFUNCTION("""COMPUTED_VALUE"""),3)</f>
        <v>3</v>
      </c>
      <c r="G959" s="5">
        <f ca="1">IFERROR(__xludf.DUMMYFUNCTION("""COMPUTED_VALUE"""),0)</f>
        <v>0</v>
      </c>
      <c r="H959"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I959" s="5"/>
      <c r="J959" s="5"/>
      <c r="K959" s="5">
        <f ca="1">IFERROR(__xludf.DUMMYFUNCTION("""COMPUTED_VALUE"""),3)</f>
        <v>3</v>
      </c>
      <c r="L959" s="5" t="str">
        <f ca="1">IFERROR(__xludf.DUMMYFUNCTION("""COMPUTED_VALUE"""),"Summer")</f>
        <v>Summer</v>
      </c>
      <c r="M959" s="5" t="str">
        <f ca="1">IFERROR(__xludf.DUMMYFUNCTION("""COMPUTED_VALUE"""),"Newport News")</f>
        <v>Newport News</v>
      </c>
      <c r="N959" s="5" t="str">
        <f ca="1">IFERROR(__xludf.DUMMYFUNCTION("""COMPUTED_VALUE"""),"VA")</f>
        <v>VA</v>
      </c>
      <c r="O959" s="5" t="str">
        <f ca="1">IFERROR(__xludf.DUMMYFUNCTION("""COMPUTED_VALUE"""),"Elementary")</f>
        <v>Elementary</v>
      </c>
      <c r="P959" s="5" t="str">
        <f ca="1">IFERROR(__xludf.DUMMYFUNCTION("""COMPUTED_VALUE"""),"Parking Lot")</f>
        <v>Parking Lot</v>
      </c>
      <c r="Q959" s="5" t="str">
        <f ca="1">IFERROR(__xludf.DUMMYFUNCTION("""COMPUTED_VALUE"""),"Outside on School Property")</f>
        <v>Outside on School Property</v>
      </c>
      <c r="R959" s="5" t="str">
        <f ca="1">IFERROR(__xludf.DUMMYFUNCTION("""COMPUTED_VALUE"""),"No")</f>
        <v>No</v>
      </c>
      <c r="S959" s="5" t="str">
        <f ca="1">IFERROR(__xludf.DUMMYFUNCTION("""COMPUTED_VALUE"""),"Not a School Day")</f>
        <v>Not a School Day</v>
      </c>
      <c r="T959" s="10">
        <f ca="1">IFERROR(__xludf.DUMMYFUNCTION("""COMPUTED_VALUE"""),0.0625)</f>
        <v>6.25E-2</v>
      </c>
      <c r="U959" s="5">
        <f ca="1">IFERROR(__xludf.DUMMYFUNCTION("""COMPUTED_VALUE"""),2)</f>
        <v>2</v>
      </c>
      <c r="V959" s="5" t="str">
        <f ca="1">IFERROR(__xludf.DUMMYFUNCTION("""COMPUTED_VALUE"""),"Dispute - ongoing feud - possible gang violence")</f>
        <v>Dispute - ongoing feud - possible gang violence</v>
      </c>
      <c r="W959"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X959" s="5" t="str">
        <f ca="1">IFERROR(__xludf.DUMMYFUNCTION("""COMPUTED_VALUE"""),"Escalation of Dispute")</f>
        <v>Escalation of Dispute</v>
      </c>
      <c r="Y959" s="5" t="str">
        <f ca="1">IFERROR(__xludf.DUMMYFUNCTION("""COMPUTED_VALUE"""),"Victims Targeted")</f>
        <v>Victims Targeted</v>
      </c>
      <c r="Z959" s="5" t="str">
        <f ca="1">IFERROR(__xludf.DUMMYFUNCTION("""COMPUTED_VALUE"""),"Yes")</f>
        <v>Yes</v>
      </c>
      <c r="AA959" s="5" t="str">
        <f ca="1">IFERROR(__xludf.DUMMYFUNCTION("""COMPUTED_VALUE"""),"Driver of vehicle shooter was riding in")</f>
        <v>Driver of vehicle shooter was riding in</v>
      </c>
      <c r="AB959" s="5" t="str">
        <f ca="1">IFERROR(__xludf.DUMMYFUNCTION("""COMPUTED_VALUE"""),"No")</f>
        <v>No</v>
      </c>
      <c r="AC959" s="5" t="str">
        <f ca="1">IFERROR(__xludf.DUMMYFUNCTION("""COMPUTED_VALUE"""),"No")</f>
        <v>No</v>
      </c>
      <c r="AD959" s="5" t="str">
        <f ca="1">IFERROR(__xludf.DUMMYFUNCTION("""COMPUTED_VALUE"""),"No")</f>
        <v>No</v>
      </c>
      <c r="AE959" s="5" t="str">
        <f ca="1">IFERROR(__xludf.DUMMYFUNCTION("""COMPUTED_VALUE"""),"No")</f>
        <v>No</v>
      </c>
      <c r="AF959" s="5" t="str">
        <f ca="1">IFERROR(__xludf.DUMMYFUNCTION("""COMPUTED_VALUE"""),"No")</f>
        <v>No</v>
      </c>
      <c r="AG959" s="5" t="str">
        <f ca="1">IFERROR(__xludf.DUMMYFUNCTION("""COMPUTED_VALUE"""),"Yes")</f>
        <v>Yes</v>
      </c>
      <c r="AH959" s="5"/>
    </row>
    <row r="960" spans="1:34" ht="12.75">
      <c r="A960" s="5" t="str">
        <f ca="1">IFERROR(__xludf.DUMMYFUNCTION("""COMPUTED_VALUE"""),"20140813MDHEF")</f>
        <v>20140813MDHEF</v>
      </c>
      <c r="B960" s="8">
        <f ca="1">IFERROR(__xludf.DUMMYFUNCTION("""COMPUTED_VALUE"""),41864)</f>
        <v>41864</v>
      </c>
      <c r="C960" s="5" t="str">
        <f ca="1">IFERROR(__xludf.DUMMYFUNCTION("""COMPUTED_VALUE"""),"Heather Ridge High School")</f>
        <v>Heather Ridge High School</v>
      </c>
      <c r="D960" s="5">
        <f ca="1">IFERROR(__xludf.DUMMYFUNCTION("""COMPUTED_VALUE"""),0)</f>
        <v>0</v>
      </c>
      <c r="E960" s="5">
        <f ca="1">IFERROR(__xludf.DUMMYFUNCTION("""COMPUTED_VALUE"""),0)</f>
        <v>0</v>
      </c>
      <c r="F960" s="5">
        <f ca="1">IFERROR(__xludf.DUMMYFUNCTION("""COMPUTED_VALUE"""),0)</f>
        <v>0</v>
      </c>
      <c r="G960" s="5">
        <f ca="1">IFERROR(__xludf.DUMMYFUNCTION("""COMPUTED_VALUE"""),0)</f>
        <v>0</v>
      </c>
      <c r="H960"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I960" s="5"/>
      <c r="J960" s="5"/>
      <c r="K960" s="5">
        <f ca="1">IFERROR(__xludf.DUMMYFUNCTION("""COMPUTED_VALUE"""),2)</f>
        <v>2</v>
      </c>
      <c r="L960" s="5" t="str">
        <f ca="1">IFERROR(__xludf.DUMMYFUNCTION("""COMPUTED_VALUE"""),"Summer")</f>
        <v>Summer</v>
      </c>
      <c r="M960" s="5" t="str">
        <f ca="1">IFERROR(__xludf.DUMMYFUNCTION("""COMPUTED_VALUE"""),"Fredrick")</f>
        <v>Fredrick</v>
      </c>
      <c r="N960" s="5" t="str">
        <f ca="1">IFERROR(__xludf.DUMMYFUNCTION("""COMPUTED_VALUE"""),"MD")</f>
        <v>MD</v>
      </c>
      <c r="O960" s="5" t="str">
        <f ca="1">IFERROR(__xludf.DUMMYFUNCTION("""COMPUTED_VALUE"""),"High")</f>
        <v>High</v>
      </c>
      <c r="P960" s="5" t="str">
        <f ca="1">IFERROR(__xludf.DUMMYFUNCTION("""COMPUTED_VALUE"""),"Beside Building")</f>
        <v>Beside Building</v>
      </c>
      <c r="Q960" s="5" t="str">
        <f ca="1">IFERROR(__xludf.DUMMYFUNCTION("""COMPUTED_VALUE"""),"Outside on School Property")</f>
        <v>Outside on School Property</v>
      </c>
      <c r="R960" s="5" t="str">
        <f ca="1">IFERROR(__xludf.DUMMYFUNCTION("""COMPUTED_VALUE"""),"No")</f>
        <v>No</v>
      </c>
      <c r="S960" s="5" t="str">
        <f ca="1">IFERROR(__xludf.DUMMYFUNCTION("""COMPUTED_VALUE"""),"Evening")</f>
        <v>Evening</v>
      </c>
      <c r="T960" s="10">
        <f ca="1">IFERROR(__xludf.DUMMYFUNCTION("""COMPUTED_VALUE"""),0.78125)</f>
        <v>0.78125</v>
      </c>
      <c r="U960" s="5">
        <f ca="1">IFERROR(__xludf.DUMMYFUNCTION("""COMPUTED_VALUE"""),1)</f>
        <v>1</v>
      </c>
      <c r="V960" s="5" t="str">
        <f ca="1">IFERROR(__xludf.DUMMYFUNCTION("""COMPUTED_VALUE"""),"Two men shot at each other - both missed")</f>
        <v>Two men shot at each other - both missed</v>
      </c>
      <c r="W960"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X960" s="5" t="str">
        <f ca="1">IFERROR(__xludf.DUMMYFUNCTION("""COMPUTED_VALUE"""),"Escalation of Dispute")</f>
        <v>Escalation of Dispute</v>
      </c>
      <c r="Y960" s="5" t="str">
        <f ca="1">IFERROR(__xludf.DUMMYFUNCTION("""COMPUTED_VALUE"""),"Neither")</f>
        <v>Neither</v>
      </c>
      <c r="Z960" s="5"/>
      <c r="AA960" s="5"/>
      <c r="AB960" s="5" t="str">
        <f ca="1">IFERROR(__xludf.DUMMYFUNCTION("""COMPUTED_VALUE"""),"No")</f>
        <v>No</v>
      </c>
      <c r="AC960" s="5" t="str">
        <f ca="1">IFERROR(__xludf.DUMMYFUNCTION("""COMPUTED_VALUE"""),"No")</f>
        <v>No</v>
      </c>
      <c r="AD960" s="5" t="str">
        <f ca="1">IFERROR(__xludf.DUMMYFUNCTION("""COMPUTED_VALUE"""),"No")</f>
        <v>No</v>
      </c>
      <c r="AE960" s="5" t="str">
        <f ca="1">IFERROR(__xludf.DUMMYFUNCTION("""COMPUTED_VALUE"""),"No")</f>
        <v>No</v>
      </c>
      <c r="AF960" s="5" t="str">
        <f ca="1">IFERROR(__xludf.DUMMYFUNCTION("""COMPUTED_VALUE"""),"No")</f>
        <v>No</v>
      </c>
      <c r="AG960" s="5" t="str">
        <f ca="1">IFERROR(__xludf.DUMMYFUNCTION("""COMPUTED_VALUE"""),"No")</f>
        <v>No</v>
      </c>
      <c r="AH960" s="5"/>
    </row>
    <row r="961" spans="1:34" ht="12.75">
      <c r="A961" s="5" t="str">
        <f ca="1">IFERROR(__xludf.DUMMYFUNCTION("""COMPUTED_VALUE"""),"20140623MOKEB")</f>
        <v>20140623MOKEB</v>
      </c>
      <c r="B961" s="8">
        <f ca="1">IFERROR(__xludf.DUMMYFUNCTION("""COMPUTED_VALUE"""),41813)</f>
        <v>41813</v>
      </c>
      <c r="C961" s="5" t="str">
        <f ca="1">IFERROR(__xludf.DUMMYFUNCTION("""COMPUTED_VALUE"""),"Kelly High School")</f>
        <v>Kelly High School</v>
      </c>
      <c r="D961" s="5">
        <f ca="1">IFERROR(__xludf.DUMMYFUNCTION("""COMPUTED_VALUE"""),1)</f>
        <v>1</v>
      </c>
      <c r="E961" s="5">
        <f ca="1">IFERROR(__xludf.DUMMYFUNCTION("""COMPUTED_VALUE"""),0)</f>
        <v>0</v>
      </c>
      <c r="F961" s="5">
        <f ca="1">IFERROR(__xludf.DUMMYFUNCTION("""COMPUTED_VALUE"""),1)</f>
        <v>1</v>
      </c>
      <c r="G961" s="5">
        <f ca="1">IFERROR(__xludf.DUMMYFUNCTION("""COMPUTED_VALUE"""),0)</f>
        <v>0</v>
      </c>
      <c r="H961"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I961" s="5"/>
      <c r="J961" s="5"/>
      <c r="K961" s="5">
        <f ca="1">IFERROR(__xludf.DUMMYFUNCTION("""COMPUTED_VALUE"""),3)</f>
        <v>3</v>
      </c>
      <c r="L961" s="5" t="str">
        <f ca="1">IFERROR(__xludf.DUMMYFUNCTION("""COMPUTED_VALUE"""),"Summer")</f>
        <v>Summer</v>
      </c>
      <c r="M961" s="5" t="str">
        <f ca="1">IFERROR(__xludf.DUMMYFUNCTION("""COMPUTED_VALUE"""),"Benton")</f>
        <v>Benton</v>
      </c>
      <c r="N961" s="5" t="str">
        <f ca="1">IFERROR(__xludf.DUMMYFUNCTION("""COMPUTED_VALUE"""),"MO")</f>
        <v>MO</v>
      </c>
      <c r="O961" s="5" t="str">
        <f ca="1">IFERROR(__xludf.DUMMYFUNCTION("""COMPUTED_VALUE"""),"High")</f>
        <v>High</v>
      </c>
      <c r="P961" s="5" t="str">
        <f ca="1">IFERROR(__xludf.DUMMYFUNCTION("""COMPUTED_VALUE"""),"Basketball Court")</f>
        <v>Basketball Court</v>
      </c>
      <c r="Q961" s="5" t="str">
        <f ca="1">IFERROR(__xludf.DUMMYFUNCTION("""COMPUTED_VALUE"""),"Outside on School Property")</f>
        <v>Outside on School Property</v>
      </c>
      <c r="R961" s="5" t="str">
        <f ca="1">IFERROR(__xludf.DUMMYFUNCTION("""COMPUTED_VALUE"""),"No")</f>
        <v>No</v>
      </c>
      <c r="S961" s="5" t="str">
        <f ca="1">IFERROR(__xludf.DUMMYFUNCTION("""COMPUTED_VALUE"""),"After School")</f>
        <v>After School</v>
      </c>
      <c r="T961" s="10">
        <f ca="1">IFERROR(__xludf.DUMMYFUNCTION("""COMPUTED_VALUE"""),0.84375)</f>
        <v>0.84375</v>
      </c>
      <c r="U961" s="5">
        <f ca="1">IFERROR(__xludf.DUMMYFUNCTION("""COMPUTED_VALUE"""),1)</f>
        <v>1</v>
      </c>
      <c r="V961" s="5" t="str">
        <f ca="1">IFERROR(__xludf.DUMMYFUNCTION("""COMPUTED_VALUE"""),"Accidental discharge in parking lot")</f>
        <v>Accidental discharge in parking lot</v>
      </c>
      <c r="W961"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X961" s="5" t="str">
        <f ca="1">IFERROR(__xludf.DUMMYFUNCTION("""COMPUTED_VALUE"""),"Accidental")</f>
        <v>Accidental</v>
      </c>
      <c r="Y961" s="5" t="str">
        <f ca="1">IFERROR(__xludf.DUMMYFUNCTION("""COMPUTED_VALUE"""),"Random Shooting")</f>
        <v>Random Shooting</v>
      </c>
      <c r="Z961" s="5" t="str">
        <f ca="1">IFERROR(__xludf.DUMMYFUNCTION("""COMPUTED_VALUE"""),"No")</f>
        <v>No</v>
      </c>
      <c r="AA961" s="5" t="str">
        <f ca="1">IFERROR(__xludf.DUMMYFUNCTION("""COMPUTED_VALUE"""),"N8:15")</f>
        <v>N8:15</v>
      </c>
      <c r="AB961" s="5" t="str">
        <f ca="1">IFERROR(__xludf.DUMMYFUNCTION("""COMPUTED_VALUE"""),"No")</f>
        <v>No</v>
      </c>
      <c r="AC961" s="5" t="str">
        <f ca="1">IFERROR(__xludf.DUMMYFUNCTION("""COMPUTED_VALUE"""),"No")</f>
        <v>No</v>
      </c>
      <c r="AD961" s="5" t="str">
        <f ca="1">IFERROR(__xludf.DUMMYFUNCTION("""COMPUTED_VALUE"""),"No")</f>
        <v>No</v>
      </c>
      <c r="AE961" s="5" t="str">
        <f ca="1">IFERROR(__xludf.DUMMYFUNCTION("""COMPUTED_VALUE"""),"No")</f>
        <v>No</v>
      </c>
      <c r="AF961" s="5" t="str">
        <f ca="1">IFERROR(__xludf.DUMMYFUNCTION("""COMPUTED_VALUE"""),"No")</f>
        <v>No</v>
      </c>
      <c r="AG961" s="5" t="str">
        <f ca="1">IFERROR(__xludf.DUMMYFUNCTION("""COMPUTED_VALUE"""),"No")</f>
        <v>No</v>
      </c>
      <c r="AH961" s="5"/>
    </row>
    <row r="962" spans="1:34" ht="12.75">
      <c r="A962" s="5" t="str">
        <f ca="1">IFERROR(__xludf.DUMMYFUNCTION("""COMPUTED_VALUE"""),"20140610ORRET")</f>
        <v>20140610ORRET</v>
      </c>
      <c r="B962" s="8">
        <f ca="1">IFERROR(__xludf.DUMMYFUNCTION("""COMPUTED_VALUE"""),41800)</f>
        <v>41800</v>
      </c>
      <c r="C962" s="5" t="str">
        <f ca="1">IFERROR(__xludf.DUMMYFUNCTION("""COMPUTED_VALUE"""),"Reynolds High School")</f>
        <v>Reynolds High School</v>
      </c>
      <c r="D962" s="5">
        <f ca="1">IFERROR(__xludf.DUMMYFUNCTION("""COMPUTED_VALUE"""),1)</f>
        <v>1</v>
      </c>
      <c r="E962" s="5">
        <f ca="1">IFERROR(__xludf.DUMMYFUNCTION("""COMPUTED_VALUE"""),1)</f>
        <v>1</v>
      </c>
      <c r="F962" s="5">
        <f ca="1">IFERROR(__xludf.DUMMYFUNCTION("""COMPUTED_VALUE"""),2)</f>
        <v>2</v>
      </c>
      <c r="G962" s="5">
        <f ca="1">IFERROR(__xludf.DUMMYFUNCTION("""COMPUTED_VALUE"""),1)</f>
        <v>1</v>
      </c>
      <c r="H962"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v>
      </c>
      <c r="I962" s="5">
        <f ca="1">IFERROR(__xludf.DUMMYFUNCTION("""COMPUTED_VALUE"""),11)</f>
        <v>11</v>
      </c>
      <c r="J962" s="5" t="str">
        <f ca="1">IFERROR(__xludf.DUMMYFUNCTION("""COMPUTED_VALUE"""),"Local")</f>
        <v>Local</v>
      </c>
      <c r="K962" s="5">
        <f ca="1">IFERROR(__xludf.DUMMYFUNCTION("""COMPUTED_VALUE"""),5)</f>
        <v>5</v>
      </c>
      <c r="L962" s="5" t="str">
        <f ca="1">IFERROR(__xludf.DUMMYFUNCTION("""COMPUTED_VALUE"""),"Summer")</f>
        <v>Summer</v>
      </c>
      <c r="M962" s="5" t="str">
        <f ca="1">IFERROR(__xludf.DUMMYFUNCTION("""COMPUTED_VALUE"""),"Troutdale")</f>
        <v>Troutdale</v>
      </c>
      <c r="N962" s="5" t="str">
        <f ca="1">IFERROR(__xludf.DUMMYFUNCTION("""COMPUTED_VALUE"""),"OR")</f>
        <v>OR</v>
      </c>
      <c r="O962" s="5" t="str">
        <f ca="1">IFERROR(__xludf.DUMMYFUNCTION("""COMPUTED_VALUE"""),"High")</f>
        <v>High</v>
      </c>
      <c r="P962" s="5" t="str">
        <f ca="1">IFERROR(__xludf.DUMMYFUNCTION("""COMPUTED_VALUE"""),"Gym")</f>
        <v>Gym</v>
      </c>
      <c r="Q962" s="5" t="str">
        <f ca="1">IFERROR(__xludf.DUMMYFUNCTION("""COMPUTED_VALUE"""),"Inside School Building")</f>
        <v>Inside School Building</v>
      </c>
      <c r="R962" s="5" t="str">
        <f ca="1">IFERROR(__xludf.DUMMYFUNCTION("""COMPUTED_VALUE"""),"Yes")</f>
        <v>Yes</v>
      </c>
      <c r="S962" s="5" t="str">
        <f ca="1">IFERROR(__xludf.DUMMYFUNCTION("""COMPUTED_VALUE"""),"Morning Classes")</f>
        <v>Morning Classes</v>
      </c>
      <c r="T962" s="10">
        <f ca="1">IFERROR(__xludf.DUMMYFUNCTION("""COMPUTED_VALUE"""),0.338194444444444)</f>
        <v>0.33819444444444402</v>
      </c>
      <c r="U962" s="5"/>
      <c r="V962" s="5" t="str">
        <f ca="1">IFERROR(__xludf.DUMMYFUNCTION("""COMPUTED_VALUE"""),"Planned attack on the school")</f>
        <v>Planned attack on the school</v>
      </c>
      <c r="W962"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X962" s="5" t="str">
        <f ca="1">IFERROR(__xludf.DUMMYFUNCTION("""COMPUTED_VALUE"""),"Indiscriminate Shooting")</f>
        <v>Indiscriminate Shooting</v>
      </c>
      <c r="Y962" s="5" t="str">
        <f ca="1">IFERROR(__xludf.DUMMYFUNCTION("""COMPUTED_VALUE"""),"Both")</f>
        <v>Both</v>
      </c>
      <c r="Z962" s="5" t="str">
        <f ca="1">IFERROR(__xludf.DUMMYFUNCTION("""COMPUTED_VALUE"""),"No")</f>
        <v>No</v>
      </c>
      <c r="AA962" s="5"/>
      <c r="AB962" s="5" t="str">
        <f ca="1">IFERROR(__xludf.DUMMYFUNCTION("""COMPUTED_VALUE"""),"No")</f>
        <v>No</v>
      </c>
      <c r="AC962" s="5" t="str">
        <f ca="1">IFERROR(__xludf.DUMMYFUNCTION("""COMPUTED_VALUE"""),"No")</f>
        <v>No</v>
      </c>
      <c r="AD962" s="5" t="str">
        <f ca="1">IFERROR(__xludf.DUMMYFUNCTION("""COMPUTED_VALUE"""),"No")</f>
        <v>No</v>
      </c>
      <c r="AE962" s="5" t="str">
        <f ca="1">IFERROR(__xludf.DUMMYFUNCTION("""COMPUTED_VALUE"""),"No")</f>
        <v>No</v>
      </c>
      <c r="AF962" s="5"/>
      <c r="AG962" s="5" t="str">
        <f ca="1">IFERROR(__xludf.DUMMYFUNCTION("""COMPUTED_VALUE"""),"No")</f>
        <v>No</v>
      </c>
      <c r="AH962" s="5" t="str">
        <f ca="1">IFERROR(__xludf.DUMMYFUNCTION("""COMPUTED_VALUE"""),"Yes")</f>
        <v>Yes</v>
      </c>
    </row>
    <row r="963" spans="1:34" ht="12.75">
      <c r="A963" s="5" t="str">
        <f ca="1">IFERROR(__xludf.DUMMYFUNCTION("""COMPUTED_VALUE"""),"20140521WICLM")</f>
        <v>20140521WICLM</v>
      </c>
      <c r="B963" s="8">
        <f ca="1">IFERROR(__xludf.DUMMYFUNCTION("""COMPUTED_VALUE"""),41780)</f>
        <v>41780</v>
      </c>
      <c r="C963" s="5" t="str">
        <f ca="1">IFERROR(__xludf.DUMMYFUNCTION("""COMPUTED_VALUE"""),"Clarke Street Elementary School")</f>
        <v>Clarke Street Elementary School</v>
      </c>
      <c r="D963" s="5">
        <f ca="1">IFERROR(__xludf.DUMMYFUNCTION("""COMPUTED_VALUE"""),1)</f>
        <v>1</v>
      </c>
      <c r="E963" s="5">
        <f ca="1">IFERROR(__xludf.DUMMYFUNCTION("""COMPUTED_VALUE"""),0)</f>
        <v>0</v>
      </c>
      <c r="F963" s="5">
        <f ca="1">IFERROR(__xludf.DUMMYFUNCTION("""COMPUTED_VALUE"""),1)</f>
        <v>1</v>
      </c>
      <c r="G963" s="5">
        <f ca="1">IFERROR(__xludf.DUMMYFUNCTION("""COMPUTED_VALUE"""),0)</f>
        <v>0</v>
      </c>
      <c r="H963"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I963" s="5"/>
      <c r="J963" s="5"/>
      <c r="K963" s="5">
        <f ca="1">IFERROR(__xludf.DUMMYFUNCTION("""COMPUTED_VALUE"""),3)</f>
        <v>3</v>
      </c>
      <c r="L963" s="5" t="str">
        <f ca="1">IFERROR(__xludf.DUMMYFUNCTION("""COMPUTED_VALUE"""),"Spring")</f>
        <v>Spring</v>
      </c>
      <c r="M963" s="5" t="str">
        <f ca="1">IFERROR(__xludf.DUMMYFUNCTION("""COMPUTED_VALUE"""),"Milwaukee")</f>
        <v>Milwaukee</v>
      </c>
      <c r="N963" s="5" t="str">
        <f ca="1">IFERROR(__xludf.DUMMYFUNCTION("""COMPUTED_VALUE"""),"WI")</f>
        <v>WI</v>
      </c>
      <c r="O963" s="5" t="str">
        <f ca="1">IFERROR(__xludf.DUMMYFUNCTION("""COMPUTED_VALUE"""),"Elementary")</f>
        <v>Elementary</v>
      </c>
      <c r="P963" s="5" t="str">
        <f ca="1">IFERROR(__xludf.DUMMYFUNCTION("""COMPUTED_VALUE"""),"Front of School")</f>
        <v>Front of School</v>
      </c>
      <c r="Q963" s="5" t="str">
        <f ca="1">IFERROR(__xludf.DUMMYFUNCTION("""COMPUTED_VALUE"""),"Outside on School Property")</f>
        <v>Outside on School Property</v>
      </c>
      <c r="R963" s="5" t="str">
        <f ca="1">IFERROR(__xludf.DUMMYFUNCTION("""COMPUTED_VALUE"""),"No")</f>
        <v>No</v>
      </c>
      <c r="S963" s="5" t="str">
        <f ca="1">IFERROR(__xludf.DUMMYFUNCTION("""COMPUTED_VALUE"""),"Evening")</f>
        <v>Evening</v>
      </c>
      <c r="T963" s="10">
        <f ca="1">IFERROR(__xludf.DUMMYFUNCTION("""COMPUTED_VALUE"""),0.791666666666666)</f>
        <v>0.79166666666666596</v>
      </c>
      <c r="U963" s="5">
        <f ca="1">IFERROR(__xludf.DUMMYFUNCTION("""COMPUTED_VALUE"""),5)</f>
        <v>5</v>
      </c>
      <c r="V963" s="5" t="str">
        <f ca="1">IFERROR(__xludf.DUMMYFUNCTION("""COMPUTED_VALUE"""),"Dispute between men - bystander shot")</f>
        <v>Dispute between men - bystander shot</v>
      </c>
      <c r="W963"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X963" s="5" t="str">
        <f ca="1">IFERROR(__xludf.DUMMYFUNCTION("""COMPUTED_VALUE"""),"Illegal Activity")</f>
        <v>Illegal Activity</v>
      </c>
      <c r="Y963" s="5" t="str">
        <f ca="1">IFERROR(__xludf.DUMMYFUNCTION("""COMPUTED_VALUE"""),"Random Shooting")</f>
        <v>Random Shooting</v>
      </c>
      <c r="Z963" s="5"/>
      <c r="AA963" s="5"/>
      <c r="AB963" s="5" t="str">
        <f ca="1">IFERROR(__xludf.DUMMYFUNCTION("""COMPUTED_VALUE"""),"No")</f>
        <v>No</v>
      </c>
      <c r="AC963" s="5" t="str">
        <f ca="1">IFERROR(__xludf.DUMMYFUNCTION("""COMPUTED_VALUE"""),"No")</f>
        <v>No</v>
      </c>
      <c r="AD963" s="5" t="str">
        <f ca="1">IFERROR(__xludf.DUMMYFUNCTION("""COMPUTED_VALUE"""),"No")</f>
        <v>No</v>
      </c>
      <c r="AE963" s="5" t="str">
        <f ca="1">IFERROR(__xludf.DUMMYFUNCTION("""COMPUTED_VALUE"""),"No")</f>
        <v>No</v>
      </c>
      <c r="AF963" s="5" t="str">
        <f ca="1">IFERROR(__xludf.DUMMYFUNCTION("""COMPUTED_VALUE"""),"No")</f>
        <v>No</v>
      </c>
      <c r="AG963" s="5" t="str">
        <f ca="1">IFERROR(__xludf.DUMMYFUNCTION("""COMPUTED_VALUE"""),"No")</f>
        <v>No</v>
      </c>
      <c r="AH963" s="5"/>
    </row>
    <row r="964" spans="1:34" ht="12.75">
      <c r="A964" s="5" t="str">
        <f ca="1">IFERROR(__xludf.DUMMYFUNCTION("""COMPUTED_VALUE"""),"20140514CAJOR")</f>
        <v>20140514CAJOR</v>
      </c>
      <c r="B964" s="8">
        <f ca="1">IFERROR(__xludf.DUMMYFUNCTION("""COMPUTED_VALUE"""),41773)</f>
        <v>41773</v>
      </c>
      <c r="C964" s="5" t="str">
        <f ca="1">IFERROR(__xludf.DUMMYFUNCTION("""COMPUTED_VALUE"""),"John F. Kennedy High School")</f>
        <v>John F. Kennedy High School</v>
      </c>
      <c r="D964" s="5">
        <f ca="1">IFERROR(__xludf.DUMMYFUNCTION("""COMPUTED_VALUE"""),0)</f>
        <v>0</v>
      </c>
      <c r="E964" s="5">
        <f ca="1">IFERROR(__xludf.DUMMYFUNCTION("""COMPUTED_VALUE"""),1)</f>
        <v>1</v>
      </c>
      <c r="F964" s="5">
        <f ca="1">IFERROR(__xludf.DUMMYFUNCTION("""COMPUTED_VALUE"""),1)</f>
        <v>1</v>
      </c>
      <c r="G964" s="5">
        <f ca="1">IFERROR(__xludf.DUMMYFUNCTION("""COMPUTED_VALUE"""),0)</f>
        <v>0</v>
      </c>
      <c r="H964" s="9" t="str">
        <f ca="1">IFERROR(__xludf.DUMMYFUNCTION("""COMPUTED_VALUE"""),"https://www.nbcbayarea.com/news/local/Student-Shot-Kennedy-High-School-in-Richmond-on-Lockdown-259238751.html")</f>
        <v>https://www.nbcbayarea.com/news/local/Student-Shot-Kennedy-High-School-in-Richmond-on-Lockdown-259238751.html</v>
      </c>
      <c r="I964" s="5">
        <f ca="1">IFERROR(__xludf.DUMMYFUNCTION("""COMPUTED_VALUE"""),1)</f>
        <v>1</v>
      </c>
      <c r="J964" s="5" t="str">
        <f ca="1">IFERROR(__xludf.DUMMYFUNCTION("""COMPUTED_VALUE"""),"Local")</f>
        <v>Local</v>
      </c>
      <c r="K964" s="5">
        <f ca="1">IFERROR(__xludf.DUMMYFUNCTION("""COMPUTED_VALUE"""),2)</f>
        <v>2</v>
      </c>
      <c r="L964" s="5" t="str">
        <f ca="1">IFERROR(__xludf.DUMMYFUNCTION("""COMPUTED_VALUE"""),"Spring")</f>
        <v>Spring</v>
      </c>
      <c r="M964" s="5" t="str">
        <f ca="1">IFERROR(__xludf.DUMMYFUNCTION("""COMPUTED_VALUE"""),"Richmond")</f>
        <v>Richmond</v>
      </c>
      <c r="N964" s="5" t="str">
        <f ca="1">IFERROR(__xludf.DUMMYFUNCTION("""COMPUTED_VALUE"""),"CA")</f>
        <v>CA</v>
      </c>
      <c r="O964" s="5" t="str">
        <f ca="1">IFERROR(__xludf.DUMMYFUNCTION("""COMPUTED_VALUE"""),"High")</f>
        <v>High</v>
      </c>
      <c r="P964" s="5" t="str">
        <f ca="1">IFERROR(__xludf.DUMMYFUNCTION("""COMPUTED_VALUE"""),"Off School Property")</f>
        <v>Off School Property</v>
      </c>
      <c r="Q964" s="5" t="str">
        <f ca="1">IFERROR(__xludf.DUMMYFUNCTION("""COMPUTED_VALUE"""),"Off School Property")</f>
        <v>Off School Property</v>
      </c>
      <c r="R964" s="5" t="str">
        <f ca="1">IFERROR(__xludf.DUMMYFUNCTION("""COMPUTED_VALUE"""),"Yes")</f>
        <v>Yes</v>
      </c>
      <c r="S964" s="5" t="str">
        <f ca="1">IFERROR(__xludf.DUMMYFUNCTION("""COMPUTED_VALUE"""),"Before School")</f>
        <v>Before School</v>
      </c>
      <c r="T964" s="10">
        <f ca="1">IFERROR(__xludf.DUMMYFUNCTION("""COMPUTED_VALUE"""),0.375)</f>
        <v>0.375</v>
      </c>
      <c r="U964" s="5"/>
      <c r="V964" s="5" t="str">
        <f ca="1">IFERROR(__xludf.DUMMYFUNCTION("""COMPUTED_VALUE"""),"Drive-by shooting after fight")</f>
        <v>Drive-by shooting after fight</v>
      </c>
      <c r="W964"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X964" s="5" t="str">
        <f ca="1">IFERROR(__xludf.DUMMYFUNCTION("""COMPUTED_VALUE"""),"Drive-by Shooting")</f>
        <v>Drive-by Shooting</v>
      </c>
      <c r="Y964" s="5"/>
      <c r="Z964" s="5"/>
      <c r="AA964" s="5"/>
      <c r="AB964" s="5" t="str">
        <f ca="1">IFERROR(__xludf.DUMMYFUNCTION("""COMPUTED_VALUE"""),"No")</f>
        <v>No</v>
      </c>
      <c r="AC964" s="5" t="str">
        <f ca="1">IFERROR(__xludf.DUMMYFUNCTION("""COMPUTED_VALUE"""),"No")</f>
        <v>No</v>
      </c>
      <c r="AD964" s="5" t="str">
        <f ca="1">IFERROR(__xludf.DUMMYFUNCTION("""COMPUTED_VALUE"""),"No")</f>
        <v>No</v>
      </c>
      <c r="AE964" s="5" t="str">
        <f ca="1">IFERROR(__xludf.DUMMYFUNCTION("""COMPUTED_VALUE"""),"No")</f>
        <v>No</v>
      </c>
      <c r="AF964" s="5" t="str">
        <f ca="1">IFERROR(__xludf.DUMMYFUNCTION("""COMPUTED_VALUE"""),"No")</f>
        <v>No</v>
      </c>
      <c r="AG964" s="5" t="str">
        <f ca="1">IFERROR(__xludf.DUMMYFUNCTION("""COMPUTED_VALUE"""),"Yes")</f>
        <v>Yes</v>
      </c>
      <c r="AH964" s="5"/>
    </row>
    <row r="965" spans="1:34" ht="12.75">
      <c r="A965" s="5" t="str">
        <f ca="1">IFERROR(__xludf.DUMMYFUNCTION("""COMPUTED_VALUE"""),"20140503WAHOE")</f>
        <v>20140503WAHOE</v>
      </c>
      <c r="B965" s="8">
        <f ca="1">IFERROR(__xludf.DUMMYFUNCTION("""COMPUTED_VALUE"""),41762)</f>
        <v>41762</v>
      </c>
      <c r="C965" s="5" t="str">
        <f ca="1">IFERROR(__xludf.DUMMYFUNCTION("""COMPUTED_VALUE"""),"Horizon Elementary School")</f>
        <v>Horizon Elementary School</v>
      </c>
      <c r="D965" s="5">
        <f ca="1">IFERROR(__xludf.DUMMYFUNCTION("""COMPUTED_VALUE"""),0)</f>
        <v>0</v>
      </c>
      <c r="E965" s="5">
        <f ca="1">IFERROR(__xludf.DUMMYFUNCTION("""COMPUTED_VALUE"""),1)</f>
        <v>1</v>
      </c>
      <c r="F965" s="5">
        <f ca="1">IFERROR(__xludf.DUMMYFUNCTION("""COMPUTED_VALUE"""),1)</f>
        <v>1</v>
      </c>
      <c r="G965" s="5">
        <f ca="1">IFERROR(__xludf.DUMMYFUNCTION("""COMPUTED_VALUE"""),0)</f>
        <v>0</v>
      </c>
      <c r="H965" s="9" t="str">
        <f ca="1">IFERROR(__xludf.DUMMYFUNCTION("""COMPUTED_VALUE"""),"http://www.newsofmillcreek.com/content/weekend-shooting-horizon-elementary-school")</f>
        <v>http://www.newsofmillcreek.com/content/weekend-shooting-horizon-elementary-school</v>
      </c>
      <c r="I965" s="5"/>
      <c r="J965" s="5"/>
      <c r="K965" s="5">
        <f ca="1">IFERROR(__xludf.DUMMYFUNCTION("""COMPUTED_VALUE"""),2)</f>
        <v>2</v>
      </c>
      <c r="L965" s="5" t="str">
        <f ca="1">IFERROR(__xludf.DUMMYFUNCTION("""COMPUTED_VALUE"""),"Spring")</f>
        <v>Spring</v>
      </c>
      <c r="M965" s="5" t="str">
        <f ca="1">IFERROR(__xludf.DUMMYFUNCTION("""COMPUTED_VALUE"""),"Everett")</f>
        <v>Everett</v>
      </c>
      <c r="N965" s="5" t="str">
        <f ca="1">IFERROR(__xludf.DUMMYFUNCTION("""COMPUTED_VALUE"""),"WA")</f>
        <v>WA</v>
      </c>
      <c r="O965" s="5" t="str">
        <f ca="1">IFERROR(__xludf.DUMMYFUNCTION("""COMPUTED_VALUE"""),"Elementary")</f>
        <v>Elementary</v>
      </c>
      <c r="P965" s="5" t="str">
        <f ca="1">IFERROR(__xludf.DUMMYFUNCTION("""COMPUTED_VALUE"""),"Basketball Court")</f>
        <v>Basketball Court</v>
      </c>
      <c r="Q965" s="5" t="str">
        <f ca="1">IFERROR(__xludf.DUMMYFUNCTION("""COMPUTED_VALUE"""),"Outside on School Property")</f>
        <v>Outside on School Property</v>
      </c>
      <c r="R965" s="5" t="str">
        <f ca="1">IFERROR(__xludf.DUMMYFUNCTION("""COMPUTED_VALUE"""),"No")</f>
        <v>No</v>
      </c>
      <c r="S965" s="5" t="str">
        <f ca="1">IFERROR(__xludf.DUMMYFUNCTION("""COMPUTED_VALUE"""),"Not a School Day")</f>
        <v>Not a School Day</v>
      </c>
      <c r="T965" s="10">
        <f ca="1">IFERROR(__xludf.DUMMYFUNCTION("""COMPUTED_VALUE"""),0.770833333333333)</f>
        <v>0.77083333333333304</v>
      </c>
      <c r="U965" s="5">
        <f ca="1">IFERROR(__xludf.DUMMYFUNCTION("""COMPUTED_VALUE"""),1)</f>
        <v>1</v>
      </c>
      <c r="V965" s="5" t="str">
        <f ca="1">IFERROR(__xludf.DUMMYFUNCTION("""COMPUTED_VALUE"""),"Dispute on basketball court")</f>
        <v>Dispute on basketball court</v>
      </c>
      <c r="W965" s="5" t="str">
        <f ca="1">IFERROR(__xludf.DUMMYFUNCTION("""COMPUTED_VALUE"""),"15YOM shot on basketball court during dispute. Police said the incident was gang related.")</f>
        <v>15YOM shot on basketball court during dispute. Police said the incident was gang related.</v>
      </c>
      <c r="X965" s="5" t="str">
        <f ca="1">IFERROR(__xludf.DUMMYFUNCTION("""COMPUTED_VALUE"""),"Escalation of Dispute")</f>
        <v>Escalation of Dispute</v>
      </c>
      <c r="Y965" s="5"/>
      <c r="Z965" s="5"/>
      <c r="AA965" s="5"/>
      <c r="AB965" s="5" t="str">
        <f ca="1">IFERROR(__xludf.DUMMYFUNCTION("""COMPUTED_VALUE"""),"No")</f>
        <v>No</v>
      </c>
      <c r="AC965" s="5" t="str">
        <f ca="1">IFERROR(__xludf.DUMMYFUNCTION("""COMPUTED_VALUE"""),"No")</f>
        <v>No</v>
      </c>
      <c r="AD965" s="5" t="str">
        <f ca="1">IFERROR(__xludf.DUMMYFUNCTION("""COMPUTED_VALUE"""),"No")</f>
        <v>No</v>
      </c>
      <c r="AE965" s="5"/>
      <c r="AF965" s="5" t="str">
        <f ca="1">IFERROR(__xludf.DUMMYFUNCTION("""COMPUTED_VALUE"""),"No")</f>
        <v>No</v>
      </c>
      <c r="AG965" s="5" t="str">
        <f ca="1">IFERROR(__xludf.DUMMYFUNCTION("""COMPUTED_VALUE"""),"Yes")</f>
        <v>Yes</v>
      </c>
      <c r="AH965" s="5"/>
    </row>
    <row r="966" spans="1:34" ht="12.75">
      <c r="A966" s="5" t="str">
        <f ca="1">IFERROR(__xludf.DUMMYFUNCTION("""COMPUTED_VALUE"""),"20140421UTPRP")</f>
        <v>20140421UTPRP</v>
      </c>
      <c r="B966" s="8">
        <f ca="1">IFERROR(__xludf.DUMMYFUNCTION("""COMPUTED_VALUE"""),41750)</f>
        <v>41750</v>
      </c>
      <c r="C966" s="5" t="str">
        <f ca="1">IFERROR(__xludf.DUMMYFUNCTION("""COMPUTED_VALUE"""),"Provo High School")</f>
        <v>Provo High School</v>
      </c>
      <c r="D966" s="5">
        <f ca="1">IFERROR(__xludf.DUMMYFUNCTION("""COMPUTED_VALUE"""),0)</f>
        <v>0</v>
      </c>
      <c r="E966" s="5">
        <f ca="1">IFERROR(__xludf.DUMMYFUNCTION("""COMPUTED_VALUE"""),0)</f>
        <v>0</v>
      </c>
      <c r="F966" s="5">
        <f ca="1">IFERROR(__xludf.DUMMYFUNCTION("""COMPUTED_VALUE"""),0)</f>
        <v>0</v>
      </c>
      <c r="G966" s="5">
        <f ca="1">IFERROR(__xludf.DUMMYFUNCTION("""COMPUTED_VALUE"""),0)</f>
        <v>0</v>
      </c>
      <c r="H966"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I966" s="5"/>
      <c r="J966" s="5"/>
      <c r="K966" s="5">
        <f ca="1">IFERROR(__xludf.DUMMYFUNCTION("""COMPUTED_VALUE"""),3)</f>
        <v>3</v>
      </c>
      <c r="L966" s="5" t="str">
        <f ca="1">IFERROR(__xludf.DUMMYFUNCTION("""COMPUTED_VALUE"""),"Spring")</f>
        <v>Spring</v>
      </c>
      <c r="M966" s="5" t="str">
        <f ca="1">IFERROR(__xludf.DUMMYFUNCTION("""COMPUTED_VALUE"""),"Provo")</f>
        <v>Provo</v>
      </c>
      <c r="N966" s="5" t="str">
        <f ca="1">IFERROR(__xludf.DUMMYFUNCTION("""COMPUTED_VALUE"""),"UT")</f>
        <v>UT</v>
      </c>
      <c r="O966" s="5" t="str">
        <f ca="1">IFERROR(__xludf.DUMMYFUNCTION("""COMPUTED_VALUE"""),"High")</f>
        <v>High</v>
      </c>
      <c r="P966" s="5" t="str">
        <f ca="1">IFERROR(__xludf.DUMMYFUNCTION("""COMPUTED_VALUE"""),"Beside Building")</f>
        <v>Beside Building</v>
      </c>
      <c r="Q966" s="5" t="str">
        <f ca="1">IFERROR(__xludf.DUMMYFUNCTION("""COMPUTED_VALUE"""),"Outside on School Property")</f>
        <v>Outside on School Property</v>
      </c>
      <c r="R966" s="5" t="str">
        <f ca="1">IFERROR(__xludf.DUMMYFUNCTION("""COMPUTED_VALUE"""),"Yes")</f>
        <v>Yes</v>
      </c>
      <c r="S966" s="5" t="str">
        <f ca="1">IFERROR(__xludf.DUMMYFUNCTION("""COMPUTED_VALUE"""),"Afternoon Classes")</f>
        <v>Afternoon Classes</v>
      </c>
      <c r="T966" s="10">
        <f ca="1">IFERROR(__xludf.DUMMYFUNCTION("""COMPUTED_VALUE"""),0.604166666666666)</f>
        <v>0.60416666666666596</v>
      </c>
      <c r="U966" s="5">
        <f ca="1">IFERROR(__xludf.DUMMYFUNCTION("""COMPUTED_VALUE"""),1)</f>
        <v>1</v>
      </c>
      <c r="V966" s="5" t="str">
        <f ca="1">IFERROR(__xludf.DUMMYFUNCTION("""COMPUTED_VALUE"""),"Suicide attempt, student shot self in face")</f>
        <v>Suicide attempt, student shot self in face</v>
      </c>
      <c r="W966"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X966" s="5" t="str">
        <f ca="1">IFERROR(__xludf.DUMMYFUNCTION("""COMPUTED_VALUE"""),"Suicide/Attempted")</f>
        <v>Suicide/Attempted</v>
      </c>
      <c r="Y966" s="5" t="str">
        <f ca="1">IFERROR(__xludf.DUMMYFUNCTION("""COMPUTED_VALUE"""),"Victims Targeted")</f>
        <v>Victims Targeted</v>
      </c>
      <c r="Z966" s="5" t="str">
        <f ca="1">IFERROR(__xludf.DUMMYFUNCTION("""COMPUTED_VALUE"""),"No")</f>
        <v>No</v>
      </c>
      <c r="AA966" s="5"/>
      <c r="AB966" s="5" t="str">
        <f ca="1">IFERROR(__xludf.DUMMYFUNCTION("""COMPUTED_VALUE"""),"No")</f>
        <v>No</v>
      </c>
      <c r="AC966" s="5" t="str">
        <f ca="1">IFERROR(__xludf.DUMMYFUNCTION("""COMPUTED_VALUE"""),"No")</f>
        <v>No</v>
      </c>
      <c r="AD966" s="5" t="str">
        <f ca="1">IFERROR(__xludf.DUMMYFUNCTION("""COMPUTED_VALUE"""),"No")</f>
        <v>No</v>
      </c>
      <c r="AE966" s="5"/>
      <c r="AF966" s="5"/>
      <c r="AG966" s="5" t="str">
        <f ca="1">IFERROR(__xludf.DUMMYFUNCTION("""COMPUTED_VALUE"""),"No")</f>
        <v>No</v>
      </c>
      <c r="AH966" s="5"/>
    </row>
    <row r="967" spans="1:34" ht="12.75">
      <c r="A967" s="5" t="str">
        <f ca="1">IFERROR(__xludf.DUMMYFUNCTION("""COMPUTED_VALUE"""),"20140421INSTG")</f>
        <v>20140421INSTG</v>
      </c>
      <c r="B967" s="8">
        <f ca="1">IFERROR(__xludf.DUMMYFUNCTION("""COMPUTED_VALUE"""),41750)</f>
        <v>41750</v>
      </c>
      <c r="C967" s="5" t="str">
        <f ca="1">IFERROR(__xludf.DUMMYFUNCTION("""COMPUTED_VALUE"""),"St. Mary Catholic School")</f>
        <v>St. Mary Catholic School</v>
      </c>
      <c r="D967" s="5">
        <f ca="1">IFERROR(__xludf.DUMMYFUNCTION("""COMPUTED_VALUE"""),1)</f>
        <v>1</v>
      </c>
      <c r="E967" s="5">
        <f ca="1">IFERROR(__xludf.DUMMYFUNCTION("""COMPUTED_VALUE"""),0)</f>
        <v>0</v>
      </c>
      <c r="F967" s="5">
        <f ca="1">IFERROR(__xludf.DUMMYFUNCTION("""COMPUTED_VALUE"""),1)</f>
        <v>1</v>
      </c>
      <c r="G967" s="5">
        <f ca="1">IFERROR(__xludf.DUMMYFUNCTION("""COMPUTED_VALUE"""),1)</f>
        <v>1</v>
      </c>
      <c r="H967"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I967" s="5"/>
      <c r="J967" s="5"/>
      <c r="K967" s="5">
        <f ca="1">IFERROR(__xludf.DUMMYFUNCTION("""COMPUTED_VALUE"""),3)</f>
        <v>3</v>
      </c>
      <c r="L967" s="5" t="str">
        <f ca="1">IFERROR(__xludf.DUMMYFUNCTION("""COMPUTED_VALUE"""),"Spring")</f>
        <v>Spring</v>
      </c>
      <c r="M967" s="5" t="str">
        <f ca="1">IFERROR(__xludf.DUMMYFUNCTION("""COMPUTED_VALUE"""),"Griffith")</f>
        <v>Griffith</v>
      </c>
      <c r="N967" s="5" t="str">
        <f ca="1">IFERROR(__xludf.DUMMYFUNCTION("""COMPUTED_VALUE"""),"IN")</f>
        <v>IN</v>
      </c>
      <c r="O967" s="5" t="str">
        <f ca="1">IFERROR(__xludf.DUMMYFUNCTION("""COMPUTED_VALUE"""),"High")</f>
        <v>High</v>
      </c>
      <c r="P967" s="5" t="str">
        <f ca="1">IFERROR(__xludf.DUMMYFUNCTION("""COMPUTED_VALUE"""),"Parking Lot")</f>
        <v>Parking Lot</v>
      </c>
      <c r="Q967" s="5" t="str">
        <f ca="1">IFERROR(__xludf.DUMMYFUNCTION("""COMPUTED_VALUE"""),"Outside on School Property")</f>
        <v>Outside on School Property</v>
      </c>
      <c r="R967" s="5" t="str">
        <f ca="1">IFERROR(__xludf.DUMMYFUNCTION("""COMPUTED_VALUE"""),"Yes")</f>
        <v>Yes</v>
      </c>
      <c r="S967" s="5" t="str">
        <f ca="1">IFERROR(__xludf.DUMMYFUNCTION("""COMPUTED_VALUE"""),"After School")</f>
        <v>After School</v>
      </c>
      <c r="T967" s="10">
        <f ca="1">IFERROR(__xludf.DUMMYFUNCTION("""COMPUTED_VALUE"""),0.6875)</f>
        <v>0.6875</v>
      </c>
      <c r="U967" s="5">
        <f ca="1">IFERROR(__xludf.DUMMYFUNCTION("""COMPUTED_VALUE"""),1)</f>
        <v>1</v>
      </c>
      <c r="V967" s="5" t="str">
        <f ca="1">IFERROR(__xludf.DUMMYFUNCTION("""COMPUTED_VALUE"""),"Husband killed wife on school property while she was dropping of children")</f>
        <v>Husband killed wife on school property while she was dropping of children</v>
      </c>
      <c r="W967"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X967" s="5" t="str">
        <f ca="1">IFERROR(__xludf.DUMMYFUNCTION("""COMPUTED_VALUE"""),"Murder/Suicide")</f>
        <v>Murder/Suicide</v>
      </c>
      <c r="Y967" s="5" t="str">
        <f ca="1">IFERROR(__xludf.DUMMYFUNCTION("""COMPUTED_VALUE"""),"Victims Targeted")</f>
        <v>Victims Targeted</v>
      </c>
      <c r="Z967" s="5" t="str">
        <f ca="1">IFERROR(__xludf.DUMMYFUNCTION("""COMPUTED_VALUE"""),"No")</f>
        <v>No</v>
      </c>
      <c r="AA967" s="5"/>
      <c r="AB967" s="5" t="str">
        <f ca="1">IFERROR(__xludf.DUMMYFUNCTION("""COMPUTED_VALUE"""),"No")</f>
        <v>No</v>
      </c>
      <c r="AC967" s="5" t="str">
        <f ca="1">IFERROR(__xludf.DUMMYFUNCTION("""COMPUTED_VALUE"""),"No")</f>
        <v>No</v>
      </c>
      <c r="AD967" s="5" t="str">
        <f ca="1">IFERROR(__xludf.DUMMYFUNCTION("""COMPUTED_VALUE"""),"No")</f>
        <v>No</v>
      </c>
      <c r="AE967" s="5" t="str">
        <f ca="1">IFERROR(__xludf.DUMMYFUNCTION("""COMPUTED_VALUE"""),"No")</f>
        <v>No</v>
      </c>
      <c r="AF967" s="5" t="str">
        <f ca="1">IFERROR(__xludf.DUMMYFUNCTION("""COMPUTED_VALUE"""),"Yes")</f>
        <v>Yes</v>
      </c>
      <c r="AG967" s="5" t="str">
        <f ca="1">IFERROR(__xludf.DUMMYFUNCTION("""COMPUTED_VALUE"""),"No")</f>
        <v>No</v>
      </c>
      <c r="AH967" s="5"/>
    </row>
    <row r="968" spans="1:34" ht="12.75">
      <c r="A968" s="5" t="str">
        <f ca="1">IFERROR(__xludf.DUMMYFUNCTION("""COMPUTED_VALUE"""),"20140411MIEAD")</f>
        <v>20140411MIEAD</v>
      </c>
      <c r="B968" s="8">
        <f ca="1">IFERROR(__xludf.DUMMYFUNCTION("""COMPUTED_VALUE"""),41740)</f>
        <v>41740</v>
      </c>
      <c r="C968" s="5" t="str">
        <f ca="1">IFERROR(__xludf.DUMMYFUNCTION("""COMPUTED_VALUE"""),"East English Village Preparatory Academy")</f>
        <v>East English Village Preparatory Academy</v>
      </c>
      <c r="D968" s="5">
        <f ca="1">IFERROR(__xludf.DUMMYFUNCTION("""COMPUTED_VALUE"""),1)</f>
        <v>1</v>
      </c>
      <c r="E968" s="5">
        <f ca="1">IFERROR(__xludf.DUMMYFUNCTION("""COMPUTED_VALUE"""),0)</f>
        <v>0</v>
      </c>
      <c r="F968" s="5">
        <f ca="1">IFERROR(__xludf.DUMMYFUNCTION("""COMPUTED_VALUE"""),1)</f>
        <v>1</v>
      </c>
      <c r="G968" s="5">
        <f ca="1">IFERROR(__xludf.DUMMYFUNCTION("""COMPUTED_VALUE"""),0)</f>
        <v>0</v>
      </c>
      <c r="H968" s="9" t="str">
        <f ca="1">IFERROR(__xludf.DUMMYFUNCTION("""COMPUTED_VALUE"""),"https://www.cbsnews.com/news/cops-fatal-shooting-outside-detroit-high-school-gang-related/")</f>
        <v>https://www.cbsnews.com/news/cops-fatal-shooting-outside-detroit-high-school-gang-related/</v>
      </c>
      <c r="I968" s="5">
        <f ca="1">IFERROR(__xludf.DUMMYFUNCTION("""COMPUTED_VALUE"""),1)</f>
        <v>1</v>
      </c>
      <c r="J968" s="5" t="str">
        <f ca="1">IFERROR(__xludf.DUMMYFUNCTION("""COMPUTED_VALUE"""),"Local")</f>
        <v>Local</v>
      </c>
      <c r="K968" s="5">
        <f ca="1">IFERROR(__xludf.DUMMYFUNCTION("""COMPUTED_VALUE"""),2)</f>
        <v>2</v>
      </c>
      <c r="L968" s="5" t="str">
        <f ca="1">IFERROR(__xludf.DUMMYFUNCTION("""COMPUTED_VALUE"""),"Spring")</f>
        <v>Spring</v>
      </c>
      <c r="M968" s="5" t="str">
        <f ca="1">IFERROR(__xludf.DUMMYFUNCTION("""COMPUTED_VALUE"""),"Detroit")</f>
        <v>Detroit</v>
      </c>
      <c r="N968" s="5" t="str">
        <f ca="1">IFERROR(__xludf.DUMMYFUNCTION("""COMPUTED_VALUE"""),"MI")</f>
        <v>MI</v>
      </c>
      <c r="O968" s="5" t="str">
        <f ca="1">IFERROR(__xludf.DUMMYFUNCTION("""COMPUTED_VALUE"""),"Unknown")</f>
        <v>Unknown</v>
      </c>
      <c r="P968" s="5" t="str">
        <f ca="1">IFERROR(__xludf.DUMMYFUNCTION("""COMPUTED_VALUE"""),"Parking Lot")</f>
        <v>Parking Lot</v>
      </c>
      <c r="Q968" s="5" t="str">
        <f ca="1">IFERROR(__xludf.DUMMYFUNCTION("""COMPUTED_VALUE"""),"Outside on School Property")</f>
        <v>Outside on School Property</v>
      </c>
      <c r="R968" s="5" t="str">
        <f ca="1">IFERROR(__xludf.DUMMYFUNCTION("""COMPUTED_VALUE"""),"No")</f>
        <v>No</v>
      </c>
      <c r="S968" s="5" t="str">
        <f ca="1">IFERROR(__xludf.DUMMYFUNCTION("""COMPUTED_VALUE"""),"School Event")</f>
        <v>School Event</v>
      </c>
      <c r="T968" s="10">
        <f ca="1">IFERROR(__xludf.DUMMYFUNCTION("""COMPUTED_VALUE"""),0.895833333333333)</f>
        <v>0.89583333333333304</v>
      </c>
      <c r="U968" s="5">
        <f ca="1">IFERROR(__xludf.DUMMYFUNCTION("""COMPUTED_VALUE"""),1)</f>
        <v>1</v>
      </c>
      <c r="V968" s="5" t="str">
        <f ca="1">IFERROR(__xludf.DUMMYFUNCTION("""COMPUTED_VALUE"""),"Drive-by shooting targeted crowd of students")</f>
        <v>Drive-by shooting targeted crowd of students</v>
      </c>
      <c r="W968"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X968" s="5" t="str">
        <f ca="1">IFERROR(__xludf.DUMMYFUNCTION("""COMPUTED_VALUE"""),"Drive-by Shooting")</f>
        <v>Drive-by Shooting</v>
      </c>
      <c r="Y968" s="5" t="str">
        <f ca="1">IFERROR(__xludf.DUMMYFUNCTION("""COMPUTED_VALUE"""),"Both")</f>
        <v>Both</v>
      </c>
      <c r="Z968" s="5" t="str">
        <f ca="1">IFERROR(__xludf.DUMMYFUNCTION("""COMPUTED_VALUE"""),"Yes")</f>
        <v>Yes</v>
      </c>
      <c r="AA968" s="5" t="str">
        <f ca="1">IFERROR(__xludf.DUMMYFUNCTION("""COMPUTED_VALUE"""),"4 suspects, not clear how many of them fired guns")</f>
        <v>4 suspects, not clear how many of them fired guns</v>
      </c>
      <c r="AB968" s="5" t="str">
        <f ca="1">IFERROR(__xludf.DUMMYFUNCTION("""COMPUTED_VALUE"""),"No")</f>
        <v>No</v>
      </c>
      <c r="AC968" s="5" t="str">
        <f ca="1">IFERROR(__xludf.DUMMYFUNCTION("""COMPUTED_VALUE"""),"No")</f>
        <v>No</v>
      </c>
      <c r="AD968" s="5" t="str">
        <f ca="1">IFERROR(__xludf.DUMMYFUNCTION("""COMPUTED_VALUE"""),"No")</f>
        <v>No</v>
      </c>
      <c r="AE968" s="5" t="str">
        <f ca="1">IFERROR(__xludf.DUMMYFUNCTION("""COMPUTED_VALUE"""),"No")</f>
        <v>No</v>
      </c>
      <c r="AF968" s="5" t="str">
        <f ca="1">IFERROR(__xludf.DUMMYFUNCTION("""COMPUTED_VALUE"""),"No")</f>
        <v>No</v>
      </c>
      <c r="AG968" s="5" t="str">
        <f ca="1">IFERROR(__xludf.DUMMYFUNCTION("""COMPUTED_VALUE"""),"Yes")</f>
        <v>Yes</v>
      </c>
      <c r="AH968" s="5"/>
    </row>
    <row r="969" spans="1:34" ht="12.75">
      <c r="A969" s="5" t="str">
        <f ca="1">IFERROR(__xludf.DUMMYFUNCTION("""COMPUTED_VALUE"""),"20140410OHLIC")</f>
        <v>20140410OHLIC</v>
      </c>
      <c r="B969" s="8">
        <f ca="1">IFERROR(__xludf.DUMMYFUNCTION("""COMPUTED_VALUE"""),41739)</f>
        <v>41739</v>
      </c>
      <c r="C969" s="5" t="str">
        <f ca="1">IFERROR(__xludf.DUMMYFUNCTION("""COMPUTED_VALUE"""),"Liberty Elementary School")</f>
        <v>Liberty Elementary School</v>
      </c>
      <c r="D969" s="5">
        <f ca="1">IFERROR(__xludf.DUMMYFUNCTION("""COMPUTED_VALUE"""),0)</f>
        <v>0</v>
      </c>
      <c r="E969" s="5">
        <f ca="1">IFERROR(__xludf.DUMMYFUNCTION("""COMPUTED_VALUE"""),2)</f>
        <v>2</v>
      </c>
      <c r="F969" s="5">
        <f ca="1">IFERROR(__xludf.DUMMYFUNCTION("""COMPUTED_VALUE"""),2)</f>
        <v>2</v>
      </c>
      <c r="G969" s="5">
        <f ca="1">IFERROR(__xludf.DUMMYFUNCTION("""COMPUTED_VALUE"""),0)</f>
        <v>0</v>
      </c>
      <c r="H969"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I969" s="5"/>
      <c r="J969" s="5"/>
      <c r="K969" s="5">
        <f ca="1">IFERROR(__xludf.DUMMYFUNCTION("""COMPUTED_VALUE"""),3)</f>
        <v>3</v>
      </c>
      <c r="L969" s="5" t="str">
        <f ca="1">IFERROR(__xludf.DUMMYFUNCTION("""COMPUTED_VALUE"""),"Spring")</f>
        <v>Spring</v>
      </c>
      <c r="M969" s="5" t="str">
        <f ca="1">IFERROR(__xludf.DUMMYFUNCTION("""COMPUTED_VALUE"""),"Columbus")</f>
        <v>Columbus</v>
      </c>
      <c r="N969" s="5" t="str">
        <f ca="1">IFERROR(__xludf.DUMMYFUNCTION("""COMPUTED_VALUE"""),"OH")</f>
        <v>OH</v>
      </c>
      <c r="O969" s="5" t="str">
        <f ca="1">IFERROR(__xludf.DUMMYFUNCTION("""COMPUTED_VALUE"""),"Elementary")</f>
        <v>Elementary</v>
      </c>
      <c r="P969" s="5" t="str">
        <f ca="1">IFERROR(__xludf.DUMMYFUNCTION("""COMPUTED_VALUE"""),"Front of School")</f>
        <v>Front of School</v>
      </c>
      <c r="Q969" s="5" t="str">
        <f ca="1">IFERROR(__xludf.DUMMYFUNCTION("""COMPUTED_VALUE"""),"Outside on School Property")</f>
        <v>Outside on School Property</v>
      </c>
      <c r="R969" s="5" t="str">
        <f ca="1">IFERROR(__xludf.DUMMYFUNCTION("""COMPUTED_VALUE"""),"Yes")</f>
        <v>Yes</v>
      </c>
      <c r="S969" s="5" t="str">
        <f ca="1">IFERROR(__xludf.DUMMYFUNCTION("""COMPUTED_VALUE"""),"Dismissal")</f>
        <v>Dismissal</v>
      </c>
      <c r="T969" s="10">
        <f ca="1">IFERROR(__xludf.DUMMYFUNCTION("""COMPUTED_VALUE"""),0.645833333333333)</f>
        <v>0.64583333333333304</v>
      </c>
      <c r="U969" s="5">
        <f ca="1">IFERROR(__xludf.DUMMYFUNCTION("""COMPUTED_VALUE"""),1)</f>
        <v>1</v>
      </c>
      <c r="V969" s="5" t="str">
        <f ca="1">IFERROR(__xludf.DUMMYFUNCTION("""COMPUTED_VALUE"""),"Two non-student teens shot in front of school during argument over cell phone")</f>
        <v>Two non-student teens shot in front of school during argument over cell phone</v>
      </c>
      <c r="W969"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X969" s="5" t="str">
        <f ca="1">IFERROR(__xludf.DUMMYFUNCTION("""COMPUTED_VALUE"""),"Escalation of Dispute")</f>
        <v>Escalation of Dispute</v>
      </c>
      <c r="Y969" s="5" t="str">
        <f ca="1">IFERROR(__xludf.DUMMYFUNCTION("""COMPUTED_VALUE"""),"Victims Targeted")</f>
        <v>Victims Targeted</v>
      </c>
      <c r="Z969" s="5" t="str">
        <f ca="1">IFERROR(__xludf.DUMMYFUNCTION("""COMPUTED_VALUE"""),"No")</f>
        <v>No</v>
      </c>
      <c r="AA969" s="5"/>
      <c r="AB969" s="5" t="str">
        <f ca="1">IFERROR(__xludf.DUMMYFUNCTION("""COMPUTED_VALUE"""),"No")</f>
        <v>No</v>
      </c>
      <c r="AC969" s="5" t="str">
        <f ca="1">IFERROR(__xludf.DUMMYFUNCTION("""COMPUTED_VALUE"""),"No")</f>
        <v>No</v>
      </c>
      <c r="AD969" s="5" t="str">
        <f ca="1">IFERROR(__xludf.DUMMYFUNCTION("""COMPUTED_VALUE"""),"No")</f>
        <v>No</v>
      </c>
      <c r="AE969" s="5" t="str">
        <f ca="1">IFERROR(__xludf.DUMMYFUNCTION("""COMPUTED_VALUE"""),"No")</f>
        <v>No</v>
      </c>
      <c r="AF969" s="5" t="str">
        <f ca="1">IFERROR(__xludf.DUMMYFUNCTION("""COMPUTED_VALUE"""),"No")</f>
        <v>No</v>
      </c>
      <c r="AG969" s="5" t="str">
        <f ca="1">IFERROR(__xludf.DUMMYFUNCTION("""COMPUTED_VALUE"""),"No")</f>
        <v>No</v>
      </c>
      <c r="AH969" s="5"/>
    </row>
    <row r="970" spans="1:34" ht="12.75">
      <c r="A970" s="5" t="str">
        <f ca="1">IFERROR(__xludf.DUMMYFUNCTION("""COMPUTED_VALUE"""),"20140409NCDHG")</f>
        <v>20140409NCDHG</v>
      </c>
      <c r="B970" s="8">
        <f ca="1">IFERROR(__xludf.DUMMYFUNCTION("""COMPUTED_VALUE"""),41738)</f>
        <v>41738</v>
      </c>
      <c r="C970" s="5" t="str">
        <f ca="1">IFERROR(__xludf.DUMMYFUNCTION("""COMPUTED_VALUE"""),"D H Conley High School")</f>
        <v>D H Conley High School</v>
      </c>
      <c r="D970" s="5">
        <f ca="1">IFERROR(__xludf.DUMMYFUNCTION("""COMPUTED_VALUE"""),0)</f>
        <v>0</v>
      </c>
      <c r="E970" s="5">
        <f ca="1">IFERROR(__xludf.DUMMYFUNCTION("""COMPUTED_VALUE"""),0)</f>
        <v>0</v>
      </c>
      <c r="F970" s="5">
        <f ca="1">IFERROR(__xludf.DUMMYFUNCTION("""COMPUTED_VALUE"""),0)</f>
        <v>0</v>
      </c>
      <c r="G970" s="5">
        <f ca="1">IFERROR(__xludf.DUMMYFUNCTION("""COMPUTED_VALUE"""),0)</f>
        <v>0</v>
      </c>
      <c r="H970" s="9" t="str">
        <f ca="1">IFERROR(__xludf.DUMMYFUNCTION("""COMPUTED_VALUE"""),"https://wcti12.com/archive/two-j-h-rose-students-arrested-for-shooting-near-d-h-conley-1")</f>
        <v>https://wcti12.com/archive/two-j-h-rose-students-arrested-for-shooting-near-d-h-conley-1</v>
      </c>
      <c r="I970" s="5">
        <f ca="1">IFERROR(__xludf.DUMMYFUNCTION("""COMPUTED_VALUE"""),1)</f>
        <v>1</v>
      </c>
      <c r="J970" s="5" t="str">
        <f ca="1">IFERROR(__xludf.DUMMYFUNCTION("""COMPUTED_VALUE"""),"Local")</f>
        <v>Local</v>
      </c>
      <c r="K970" s="5">
        <f ca="1">IFERROR(__xludf.DUMMYFUNCTION("""COMPUTED_VALUE"""),2)</f>
        <v>2</v>
      </c>
      <c r="L970" s="5" t="str">
        <f ca="1">IFERROR(__xludf.DUMMYFUNCTION("""COMPUTED_VALUE"""),"Spring")</f>
        <v>Spring</v>
      </c>
      <c r="M970" s="5" t="str">
        <f ca="1">IFERROR(__xludf.DUMMYFUNCTION("""COMPUTED_VALUE"""),"Greenville")</f>
        <v>Greenville</v>
      </c>
      <c r="N970" s="5" t="str">
        <f ca="1">IFERROR(__xludf.DUMMYFUNCTION("""COMPUTED_VALUE"""),"NC")</f>
        <v>NC</v>
      </c>
      <c r="O970" s="5" t="str">
        <f ca="1">IFERROR(__xludf.DUMMYFUNCTION("""COMPUTED_VALUE"""),"High")</f>
        <v>High</v>
      </c>
      <c r="P970" s="5" t="str">
        <f ca="1">IFERROR(__xludf.DUMMYFUNCTION("""COMPUTED_VALUE"""),"Beside Building")</f>
        <v>Beside Building</v>
      </c>
      <c r="Q970" s="5" t="str">
        <f ca="1">IFERROR(__xludf.DUMMYFUNCTION("""COMPUTED_VALUE"""),"Outside on School Property")</f>
        <v>Outside on School Property</v>
      </c>
      <c r="R970" s="5" t="str">
        <f ca="1">IFERROR(__xludf.DUMMYFUNCTION("""COMPUTED_VALUE"""),"Yes")</f>
        <v>Yes</v>
      </c>
      <c r="S970" s="5" t="str">
        <f ca="1">IFERROR(__xludf.DUMMYFUNCTION("""COMPUTED_VALUE"""),"Afternoon Classes")</f>
        <v>Afternoon Classes</v>
      </c>
      <c r="T970" s="10">
        <f ca="1">IFERROR(__xludf.DUMMYFUNCTION("""COMPUTED_VALUE"""),0.5625)</f>
        <v>0.5625</v>
      </c>
      <c r="U970" s="5">
        <f ca="1">IFERROR(__xludf.DUMMYFUNCTION("""COMPUTED_VALUE"""),1)</f>
        <v>1</v>
      </c>
      <c r="V970" s="5" t="str">
        <f ca="1">IFERROR(__xludf.DUMMYFUNCTION("""COMPUTED_VALUE"""),"Shot at rival school building")</f>
        <v>Shot at rival school building</v>
      </c>
      <c r="W970" s="5" t="str">
        <f ca="1">IFERROR(__xludf.DUMMYFUNCTION("""COMPUTED_VALUE"""),"Two students from a rival high school fired at the school building. Nobody was injured.")</f>
        <v>Two students from a rival high school fired at the school building. Nobody was injured.</v>
      </c>
      <c r="X970" s="5" t="str">
        <f ca="1">IFERROR(__xludf.DUMMYFUNCTION("""COMPUTED_VALUE"""),"Intentional Property Damage")</f>
        <v>Intentional Property Damage</v>
      </c>
      <c r="Y970" s="5" t="str">
        <f ca="1">IFERROR(__xludf.DUMMYFUNCTION("""COMPUTED_VALUE"""),"Neither")</f>
        <v>Neither</v>
      </c>
      <c r="Z970" s="5" t="str">
        <f ca="1">IFERROR(__xludf.DUMMYFUNCTION("""COMPUTED_VALUE"""),"Yes")</f>
        <v>Yes</v>
      </c>
      <c r="AA970" s="5" t="str">
        <f ca="1">IFERROR(__xludf.DUMMYFUNCTION("""COMPUTED_VALUE"""),"Jeffrey Charles Gough, 17, was the driver")</f>
        <v>Jeffrey Charles Gough, 17, was the driver</v>
      </c>
      <c r="AB970" s="5" t="str">
        <f ca="1">IFERROR(__xludf.DUMMYFUNCTION("""COMPUTED_VALUE"""),"No")</f>
        <v>No</v>
      </c>
      <c r="AC970" s="5" t="str">
        <f ca="1">IFERROR(__xludf.DUMMYFUNCTION("""COMPUTED_VALUE"""),"No")</f>
        <v>No</v>
      </c>
      <c r="AD970" s="5" t="str">
        <f ca="1">IFERROR(__xludf.DUMMYFUNCTION("""COMPUTED_VALUE"""),"No")</f>
        <v>No</v>
      </c>
      <c r="AE970" s="5" t="str">
        <f ca="1">IFERROR(__xludf.DUMMYFUNCTION("""COMPUTED_VALUE"""),"No")</f>
        <v>No</v>
      </c>
      <c r="AF970" s="5" t="str">
        <f ca="1">IFERROR(__xludf.DUMMYFUNCTION("""COMPUTED_VALUE"""),"No")</f>
        <v>No</v>
      </c>
      <c r="AG970" s="5" t="str">
        <f ca="1">IFERROR(__xludf.DUMMYFUNCTION("""COMPUTED_VALUE"""),"Yes")</f>
        <v>Yes</v>
      </c>
      <c r="AH970" s="5"/>
    </row>
    <row r="971" spans="1:34" ht="12.75">
      <c r="A971" s="5" t="str">
        <f ca="1">IFERROR(__xludf.DUMMYFUNCTION("""COMPUTED_VALUE"""),"20140403NJUNN")</f>
        <v>20140403NJUNN</v>
      </c>
      <c r="B971" s="8">
        <f ca="1">IFERROR(__xludf.DUMMYFUNCTION("""COMPUTED_VALUE"""),41732)</f>
        <v>41732</v>
      </c>
      <c r="C971" s="5" t="str">
        <f ca="1">IFERROR(__xludf.DUMMYFUNCTION("""COMPUTED_VALUE"""),"Unknown School (bus)")</f>
        <v>Unknown School (bus)</v>
      </c>
      <c r="D971" s="5">
        <f ca="1">IFERROR(__xludf.DUMMYFUNCTION("""COMPUTED_VALUE"""),0)</f>
        <v>0</v>
      </c>
      <c r="E971" s="5">
        <f ca="1">IFERROR(__xludf.DUMMYFUNCTION("""COMPUTED_VALUE"""),0)</f>
        <v>0</v>
      </c>
      <c r="F971" s="5">
        <f ca="1">IFERROR(__xludf.DUMMYFUNCTION("""COMPUTED_VALUE"""),0)</f>
        <v>0</v>
      </c>
      <c r="G971" s="5">
        <f ca="1">IFERROR(__xludf.DUMMYFUNCTION("""COMPUTED_VALUE"""),0)</f>
        <v>0</v>
      </c>
      <c r="H971" s="9" t="str">
        <f ca="1">IFERROR(__xludf.DUMMYFUNCTION("""COMPUTED_VALUE"""),"https://www.nbcnewyork.com/news/local/Newark-Shooting-Man-Wounded-School-Bus-Bullet-Hole-253840881.html")</f>
        <v>https://www.nbcnewyork.com/news/local/Newark-Shooting-Man-Wounded-School-Bus-Bullet-Hole-253840881.html</v>
      </c>
      <c r="I971" s="5"/>
      <c r="J971" s="5"/>
      <c r="K971" s="5">
        <f ca="1">IFERROR(__xludf.DUMMYFUNCTION("""COMPUTED_VALUE"""),3)</f>
        <v>3</v>
      </c>
      <c r="L971" s="5" t="str">
        <f ca="1">IFERROR(__xludf.DUMMYFUNCTION("""COMPUTED_VALUE"""),"Spring")</f>
        <v>Spring</v>
      </c>
      <c r="M971" s="5" t="str">
        <f ca="1">IFERROR(__xludf.DUMMYFUNCTION("""COMPUTED_VALUE"""),"Newark")</f>
        <v>Newark</v>
      </c>
      <c r="N971" s="5" t="str">
        <f ca="1">IFERROR(__xludf.DUMMYFUNCTION("""COMPUTED_VALUE"""),"NJ")</f>
        <v>NJ</v>
      </c>
      <c r="O971" s="5"/>
      <c r="P971" s="5" t="str">
        <f ca="1">IFERROR(__xludf.DUMMYFUNCTION("""COMPUTED_VALUE"""),"School Bus")</f>
        <v>School Bus</v>
      </c>
      <c r="Q971" s="5" t="str">
        <f ca="1">IFERROR(__xludf.DUMMYFUNCTION("""COMPUTED_VALUE"""),"School Bus")</f>
        <v>School Bus</v>
      </c>
      <c r="R971" s="5" t="str">
        <f ca="1">IFERROR(__xludf.DUMMYFUNCTION("""COMPUTED_VALUE"""),"Yes")</f>
        <v>Yes</v>
      </c>
      <c r="S971" s="5" t="str">
        <f ca="1">IFERROR(__xludf.DUMMYFUNCTION("""COMPUTED_VALUE"""),"Afternoon Classes")</f>
        <v>Afternoon Classes</v>
      </c>
      <c r="T971" s="10">
        <f ca="1">IFERROR(__xludf.DUMMYFUNCTION("""COMPUTED_VALUE"""),0.552083333333333)</f>
        <v>0.55208333333333304</v>
      </c>
      <c r="U971" s="5">
        <f ca="1">IFERROR(__xludf.DUMMYFUNCTION("""COMPUTED_VALUE"""),1)</f>
        <v>1</v>
      </c>
      <c r="V971" s="5" t="str">
        <f ca="1">IFERROR(__xludf.DUMMYFUNCTION("""COMPUTED_VALUE"""),"Shots fired struck school bus occupied by 6 students (all taken to hospital w/o injuries)")</f>
        <v>Shots fired struck school bus occupied by 6 students (all taken to hospital w/o injuries)</v>
      </c>
      <c r="W971"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X971" s="5" t="str">
        <f ca="1">IFERROR(__xludf.DUMMYFUNCTION("""COMPUTED_VALUE"""),"Escalation of Dispute")</f>
        <v>Escalation of Dispute</v>
      </c>
      <c r="Y971" s="5" t="str">
        <f ca="1">IFERROR(__xludf.DUMMYFUNCTION("""COMPUTED_VALUE"""),"Victims Targeted")</f>
        <v>Victims Targeted</v>
      </c>
      <c r="Z971" s="5" t="str">
        <f ca="1">IFERROR(__xludf.DUMMYFUNCTION("""COMPUTED_VALUE"""),"Yes")</f>
        <v>Yes</v>
      </c>
      <c r="AA971" s="5" t="str">
        <f ca="1">IFERROR(__xludf.DUMMYFUNCTION("""COMPUTED_VALUE"""),"4 males fled scene")</f>
        <v>4 males fled scene</v>
      </c>
      <c r="AB971" s="5" t="str">
        <f ca="1">IFERROR(__xludf.DUMMYFUNCTION("""COMPUTED_VALUE"""),"No")</f>
        <v>No</v>
      </c>
      <c r="AC971" s="5" t="str">
        <f ca="1">IFERROR(__xludf.DUMMYFUNCTION("""COMPUTED_VALUE"""),"No")</f>
        <v>No</v>
      </c>
      <c r="AD971" s="5" t="str">
        <f ca="1">IFERROR(__xludf.DUMMYFUNCTION("""COMPUTED_VALUE"""),"No")</f>
        <v>No</v>
      </c>
      <c r="AE971" s="5" t="str">
        <f ca="1">IFERROR(__xludf.DUMMYFUNCTION("""COMPUTED_VALUE"""),"No")</f>
        <v>No</v>
      </c>
      <c r="AF971" s="5" t="str">
        <f ca="1">IFERROR(__xludf.DUMMYFUNCTION("""COMPUTED_VALUE"""),"No")</f>
        <v>No</v>
      </c>
      <c r="AG971" s="5" t="str">
        <f ca="1">IFERROR(__xludf.DUMMYFUNCTION("""COMPUTED_VALUE"""),"No")</f>
        <v>No</v>
      </c>
      <c r="AH971" s="5"/>
    </row>
    <row r="972" spans="1:34" ht="12.75">
      <c r="A972" s="5" t="str">
        <f ca="1">IFERROR(__xludf.DUMMYFUNCTION("""COMPUTED_VALUE"""),"20140325GABEC")</f>
        <v>20140325GABEC</v>
      </c>
      <c r="B972" s="8">
        <f ca="1">IFERROR(__xludf.DUMMYFUNCTION("""COMPUTED_VALUE"""),41723)</f>
        <v>41723</v>
      </c>
      <c r="C972" s="5" t="str">
        <f ca="1">IFERROR(__xludf.DUMMYFUNCTION("""COMPUTED_VALUE"""),"Benjamin Banneker High School")</f>
        <v>Benjamin Banneker High School</v>
      </c>
      <c r="D972" s="5">
        <f ca="1">IFERROR(__xludf.DUMMYFUNCTION("""COMPUTED_VALUE"""),0)</f>
        <v>0</v>
      </c>
      <c r="E972" s="5">
        <f ca="1">IFERROR(__xludf.DUMMYFUNCTION("""COMPUTED_VALUE"""),0)</f>
        <v>0</v>
      </c>
      <c r="F972" s="5">
        <f ca="1">IFERROR(__xludf.DUMMYFUNCTION("""COMPUTED_VALUE"""),0)</f>
        <v>0</v>
      </c>
      <c r="G972" s="5">
        <f ca="1">IFERROR(__xludf.DUMMYFUNCTION("""COMPUTED_VALUE"""),0)</f>
        <v>0</v>
      </c>
      <c r="H972" s="9" t="str">
        <f ca="1">IFERROR(__xludf.DUMMYFUNCTION("""COMPUTED_VALUE"""),"https://www.ajc.com/news/local/fourth-person-arrested-after-shots-fired-outside-banneker-high-school/E7iAqMZysw5q4XheUNHn9K/")</f>
        <v>https://www.ajc.com/news/local/fourth-person-arrested-after-shots-fired-outside-banneker-high-school/E7iAqMZysw5q4XheUNHn9K/</v>
      </c>
      <c r="I972" s="5">
        <f ca="1">IFERROR(__xludf.DUMMYFUNCTION("""COMPUTED_VALUE"""),1)</f>
        <v>1</v>
      </c>
      <c r="J972" s="5" t="str">
        <f ca="1">IFERROR(__xludf.DUMMYFUNCTION("""COMPUTED_VALUE"""),"Local")</f>
        <v>Local</v>
      </c>
      <c r="K972" s="5">
        <f ca="1">IFERROR(__xludf.DUMMYFUNCTION("""COMPUTED_VALUE"""),2)</f>
        <v>2</v>
      </c>
      <c r="L972" s="5" t="str">
        <f ca="1">IFERROR(__xludf.DUMMYFUNCTION("""COMPUTED_VALUE"""),"Spring")</f>
        <v>Spring</v>
      </c>
      <c r="M972" s="5" t="str">
        <f ca="1">IFERROR(__xludf.DUMMYFUNCTION("""COMPUTED_VALUE"""),"College Park")</f>
        <v>College Park</v>
      </c>
      <c r="N972" s="5" t="str">
        <f ca="1">IFERROR(__xludf.DUMMYFUNCTION("""COMPUTED_VALUE"""),"GA")</f>
        <v>GA</v>
      </c>
      <c r="O972" s="5" t="str">
        <f ca="1">IFERROR(__xludf.DUMMYFUNCTION("""COMPUTED_VALUE"""),"High")</f>
        <v>High</v>
      </c>
      <c r="P972" s="5" t="str">
        <f ca="1">IFERROR(__xludf.DUMMYFUNCTION("""COMPUTED_VALUE"""),"Parking Lot")</f>
        <v>Parking Lot</v>
      </c>
      <c r="Q972" s="5" t="str">
        <f ca="1">IFERROR(__xludf.DUMMYFUNCTION("""COMPUTED_VALUE"""),"Outside on School Property")</f>
        <v>Outside on School Property</v>
      </c>
      <c r="R972" s="5" t="str">
        <f ca="1">IFERROR(__xludf.DUMMYFUNCTION("""COMPUTED_VALUE"""),"Yes")</f>
        <v>Yes</v>
      </c>
      <c r="S972" s="5" t="str">
        <f ca="1">IFERROR(__xludf.DUMMYFUNCTION("""COMPUTED_VALUE"""),"Afternoon Classes")</f>
        <v>Afternoon Classes</v>
      </c>
      <c r="T972" s="10">
        <f ca="1">IFERROR(__xludf.DUMMYFUNCTION("""COMPUTED_VALUE"""),0.541666666666666)</f>
        <v>0.54166666666666596</v>
      </c>
      <c r="U972" s="5">
        <f ca="1">IFERROR(__xludf.DUMMYFUNCTION("""COMPUTED_VALUE"""),1)</f>
        <v>1</v>
      </c>
      <c r="V972" s="5" t="str">
        <f ca="1">IFERROR(__xludf.DUMMYFUNCTION("""COMPUTED_VALUE"""),"Shots during fight between 5 student")</f>
        <v>Shots during fight between 5 student</v>
      </c>
      <c r="W972"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X972" s="5" t="str">
        <f ca="1">IFERROR(__xludf.DUMMYFUNCTION("""COMPUTED_VALUE"""),"Escalation of Dispute")</f>
        <v>Escalation of Dispute</v>
      </c>
      <c r="Y972" s="5" t="str">
        <f ca="1">IFERROR(__xludf.DUMMYFUNCTION("""COMPUTED_VALUE"""),"Victims Targeted")</f>
        <v>Victims Targeted</v>
      </c>
      <c r="Z972" s="5" t="str">
        <f ca="1">IFERROR(__xludf.DUMMYFUNCTION("""COMPUTED_VALUE"""),"Yes")</f>
        <v>Yes</v>
      </c>
      <c r="AA972" s="5" t="str">
        <f ca="1">IFERROR(__xludf.DUMMYFUNCTION("""COMPUTED_VALUE"""),"3 more people were arrested but their involvement was not revealed.")</f>
        <v>3 more people were arrested but their involvement was not revealed.</v>
      </c>
      <c r="AB972" s="5" t="str">
        <f ca="1">IFERROR(__xludf.DUMMYFUNCTION("""COMPUTED_VALUE"""),"No")</f>
        <v>No</v>
      </c>
      <c r="AC972" s="5" t="str">
        <f ca="1">IFERROR(__xludf.DUMMYFUNCTION("""COMPUTED_VALUE"""),"No")</f>
        <v>No</v>
      </c>
      <c r="AD972" s="5" t="str">
        <f ca="1">IFERROR(__xludf.DUMMYFUNCTION("""COMPUTED_VALUE"""),"No")</f>
        <v>No</v>
      </c>
      <c r="AE972" s="5" t="str">
        <f ca="1">IFERROR(__xludf.DUMMYFUNCTION("""COMPUTED_VALUE"""),"No")</f>
        <v>No</v>
      </c>
      <c r="AF972" s="5" t="str">
        <f ca="1">IFERROR(__xludf.DUMMYFUNCTION("""COMPUTED_VALUE"""),"No")</f>
        <v>No</v>
      </c>
      <c r="AG972" s="5" t="str">
        <f ca="1">IFERROR(__xludf.DUMMYFUNCTION("""COMPUTED_VALUE"""),"No")</f>
        <v>No</v>
      </c>
      <c r="AH972" s="5"/>
    </row>
    <row r="973" spans="1:34" ht="12.75">
      <c r="A973" s="5" t="str">
        <f ca="1">IFERROR(__xludf.DUMMYFUNCTION("""COMPUTED_VALUE"""),"20140312FLACM")</f>
        <v>20140312FLACM</v>
      </c>
      <c r="B973" s="8">
        <f ca="1">IFERROR(__xludf.DUMMYFUNCTION("""COMPUTED_VALUE"""),41710)</f>
        <v>41710</v>
      </c>
      <c r="C973" s="5" t="str">
        <f ca="1">IFERROR(__xludf.DUMMYFUNCTION("""COMPUTED_VALUE"""),"Academy of Knowledge Preschool")</f>
        <v>Academy of Knowledge Preschool</v>
      </c>
      <c r="D973" s="5">
        <f ca="1">IFERROR(__xludf.DUMMYFUNCTION("""COMPUTED_VALUE"""),1)</f>
        <v>1</v>
      </c>
      <c r="E973" s="5">
        <f ca="1">IFERROR(__xludf.DUMMYFUNCTION("""COMPUTED_VALUE"""),0)</f>
        <v>0</v>
      </c>
      <c r="F973" s="5">
        <f ca="1">IFERROR(__xludf.DUMMYFUNCTION("""COMPUTED_VALUE"""),1)</f>
        <v>1</v>
      </c>
      <c r="G973" s="5">
        <f ca="1">IFERROR(__xludf.DUMMYFUNCTION("""COMPUTED_VALUE"""),0)</f>
        <v>0</v>
      </c>
      <c r="H973" s="9" t="str">
        <f ca="1">IFERROR(__xludf.DUMMYFUNCTION("""COMPUTED_VALUE"""),"http://miami.cbslocal.com/2014/03/14/man-accused-of-murdering-wife-near-miami-dade-preschool/")</f>
        <v>http://miami.cbslocal.com/2014/03/14/man-accused-of-murdering-wife-near-miami-dade-preschool/</v>
      </c>
      <c r="I973" s="5">
        <f ca="1">IFERROR(__xludf.DUMMYFUNCTION("""COMPUTED_VALUE"""),1)</f>
        <v>1</v>
      </c>
      <c r="J973" s="5" t="str">
        <f ca="1">IFERROR(__xludf.DUMMYFUNCTION("""COMPUTED_VALUE"""),"Local")</f>
        <v>Local</v>
      </c>
      <c r="K973" s="5">
        <f ca="1">IFERROR(__xludf.DUMMYFUNCTION("""COMPUTED_VALUE"""),2)</f>
        <v>2</v>
      </c>
      <c r="L973" s="5" t="str">
        <f ca="1">IFERROR(__xludf.DUMMYFUNCTION("""COMPUTED_VALUE"""),"Spring")</f>
        <v>Spring</v>
      </c>
      <c r="M973" s="5" t="str">
        <f ca="1">IFERROR(__xludf.DUMMYFUNCTION("""COMPUTED_VALUE"""),"Miami")</f>
        <v>Miami</v>
      </c>
      <c r="N973" s="5" t="str">
        <f ca="1">IFERROR(__xludf.DUMMYFUNCTION("""COMPUTED_VALUE"""),"FL")</f>
        <v>FL</v>
      </c>
      <c r="O973" s="5" t="str">
        <f ca="1">IFERROR(__xludf.DUMMYFUNCTION("""COMPUTED_VALUE"""),"Other")</f>
        <v>Other</v>
      </c>
      <c r="P973" s="5" t="str">
        <f ca="1">IFERROR(__xludf.DUMMYFUNCTION("""COMPUTED_VALUE"""),"Parking Lot")</f>
        <v>Parking Lot</v>
      </c>
      <c r="Q973" s="5" t="str">
        <f ca="1">IFERROR(__xludf.DUMMYFUNCTION("""COMPUTED_VALUE"""),"Outside on School Property")</f>
        <v>Outside on School Property</v>
      </c>
      <c r="R973" s="5" t="str">
        <f ca="1">IFERROR(__xludf.DUMMYFUNCTION("""COMPUTED_VALUE"""),"Yes")</f>
        <v>Yes</v>
      </c>
      <c r="S973" s="5" t="str">
        <f ca="1">IFERROR(__xludf.DUMMYFUNCTION("""COMPUTED_VALUE"""),"Afternoon Classes")</f>
        <v>Afternoon Classes</v>
      </c>
      <c r="T973" s="10">
        <f ca="1">IFERROR(__xludf.DUMMYFUNCTION("""COMPUTED_VALUE"""),0.5)</f>
        <v>0.5</v>
      </c>
      <c r="U973" s="5">
        <f ca="1">IFERROR(__xludf.DUMMYFUNCTION("""COMPUTED_VALUE"""),1)</f>
        <v>1</v>
      </c>
      <c r="V973" s="5" t="str">
        <f ca="1">IFERROR(__xludf.DUMMYFUNCTION("""COMPUTED_VALUE"""),"Husband killed wife (teacher)")</f>
        <v>Husband killed wife (teacher)</v>
      </c>
      <c r="W973"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X973" s="5" t="str">
        <f ca="1">IFERROR(__xludf.DUMMYFUNCTION("""COMPUTED_VALUE"""),"Domestic w/ Targeted Victim")</f>
        <v>Domestic w/ Targeted Victim</v>
      </c>
      <c r="Y973" s="5" t="str">
        <f ca="1">IFERROR(__xludf.DUMMYFUNCTION("""COMPUTED_VALUE"""),"Victims Targeted")</f>
        <v>Victims Targeted</v>
      </c>
      <c r="Z973" s="5" t="str">
        <f ca="1">IFERROR(__xludf.DUMMYFUNCTION("""COMPUTED_VALUE"""),"No")</f>
        <v>No</v>
      </c>
      <c r="AA973" s="5"/>
      <c r="AB973" s="5" t="str">
        <f ca="1">IFERROR(__xludf.DUMMYFUNCTION("""COMPUTED_VALUE"""),"No")</f>
        <v>No</v>
      </c>
      <c r="AC973" s="5" t="str">
        <f ca="1">IFERROR(__xludf.DUMMYFUNCTION("""COMPUTED_VALUE"""),"No")</f>
        <v>No</v>
      </c>
      <c r="AD973" s="5" t="str">
        <f ca="1">IFERROR(__xludf.DUMMYFUNCTION("""COMPUTED_VALUE"""),"No")</f>
        <v>No</v>
      </c>
      <c r="AE973" s="5" t="str">
        <f ca="1">IFERROR(__xludf.DUMMYFUNCTION("""COMPUTED_VALUE"""),"No")</f>
        <v>No</v>
      </c>
      <c r="AF973" s="5" t="str">
        <f ca="1">IFERROR(__xludf.DUMMYFUNCTION("""COMPUTED_VALUE"""),"Yes")</f>
        <v>Yes</v>
      </c>
      <c r="AG973" s="5" t="str">
        <f ca="1">IFERROR(__xludf.DUMMYFUNCTION("""COMPUTED_VALUE"""),"No")</f>
        <v>No</v>
      </c>
      <c r="AH973" s="5" t="str">
        <f ca="1">IFERROR(__xludf.DUMMYFUNCTION("""COMPUTED_VALUE"""),"Yes")</f>
        <v>Yes</v>
      </c>
    </row>
    <row r="974" spans="1:34" ht="12.75">
      <c r="A974" s="5" t="str">
        <f ca="1">IFERROR(__xludf.DUMMYFUNCTION("""COMPUTED_VALUE"""),"20140307LAMAT")</f>
        <v>20140307LAMAT</v>
      </c>
      <c r="B974" s="8">
        <f ca="1">IFERROR(__xludf.DUMMYFUNCTION("""COMPUTED_VALUE"""),41705)</f>
        <v>41705</v>
      </c>
      <c r="C974" s="5" t="str">
        <f ca="1">IFERROR(__xludf.DUMMYFUNCTION("""COMPUTED_VALUE"""),"Madison Parish High School")</f>
        <v>Madison Parish High School</v>
      </c>
      <c r="D974" s="5">
        <f ca="1">IFERROR(__xludf.DUMMYFUNCTION("""COMPUTED_VALUE"""),0)</f>
        <v>0</v>
      </c>
      <c r="E974" s="5">
        <f ca="1">IFERROR(__xludf.DUMMYFUNCTION("""COMPUTED_VALUE"""),1)</f>
        <v>1</v>
      </c>
      <c r="F974" s="5">
        <f ca="1">IFERROR(__xludf.DUMMYFUNCTION("""COMPUTED_VALUE"""),1)</f>
        <v>1</v>
      </c>
      <c r="G974" s="5">
        <f ca="1">IFERROR(__xludf.DUMMYFUNCTION("""COMPUTED_VALUE"""),0)</f>
        <v>0</v>
      </c>
      <c r="H974"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I974" s="5"/>
      <c r="J974" s="5"/>
      <c r="K974" s="5">
        <f ca="1">IFERROR(__xludf.DUMMYFUNCTION("""COMPUTED_VALUE"""),2)</f>
        <v>2</v>
      </c>
      <c r="L974" s="5" t="str">
        <f ca="1">IFERROR(__xludf.DUMMYFUNCTION("""COMPUTED_VALUE"""),"Spring")</f>
        <v>Spring</v>
      </c>
      <c r="M974" s="5" t="str">
        <f ca="1">IFERROR(__xludf.DUMMYFUNCTION("""COMPUTED_VALUE"""),"Tallulah")</f>
        <v>Tallulah</v>
      </c>
      <c r="N974" s="5" t="str">
        <f ca="1">IFERROR(__xludf.DUMMYFUNCTION("""COMPUTED_VALUE"""),"LA")</f>
        <v>LA</v>
      </c>
      <c r="O974" s="5" t="str">
        <f ca="1">IFERROR(__xludf.DUMMYFUNCTION("""COMPUTED_VALUE"""),"High")</f>
        <v>High</v>
      </c>
      <c r="P974" s="5" t="str">
        <f ca="1">IFERROR(__xludf.DUMMYFUNCTION("""COMPUTED_VALUE"""),"Front of School")</f>
        <v>Front of School</v>
      </c>
      <c r="Q974" s="5" t="str">
        <f ca="1">IFERROR(__xludf.DUMMYFUNCTION("""COMPUTED_VALUE"""),"Outside on School Property")</f>
        <v>Outside on School Property</v>
      </c>
      <c r="R974" s="5" t="str">
        <f ca="1">IFERROR(__xludf.DUMMYFUNCTION("""COMPUTED_VALUE"""),"No")</f>
        <v>No</v>
      </c>
      <c r="S974" s="5" t="str">
        <f ca="1">IFERROR(__xludf.DUMMYFUNCTION("""COMPUTED_VALUE"""),"School Event")</f>
        <v>School Event</v>
      </c>
      <c r="T974" s="5"/>
      <c r="U974" s="5"/>
      <c r="V974" s="5" t="str">
        <f ca="1">IFERROR(__xludf.DUMMYFUNCTION("""COMPUTED_VALUE"""),"Shooting after fundraiser at high school")</f>
        <v>Shooting after fundraiser at high school</v>
      </c>
      <c r="W974" s="5" t="str">
        <f ca="1">IFERROR(__xludf.DUMMYFUNCTION("""COMPUTED_VALUE"""),"17 year old shooter shot 16 year old victim in arm during a fundraiser at the high school.")</f>
        <v>17 year old shooter shot 16 year old victim in arm during a fundraiser at the high school.</v>
      </c>
      <c r="X974" s="5" t="str">
        <f ca="1">IFERROR(__xludf.DUMMYFUNCTION("""COMPUTED_VALUE"""),"Unknown")</f>
        <v>Unknown</v>
      </c>
      <c r="Y974" s="5"/>
      <c r="Z974" s="5" t="str">
        <f ca="1">IFERROR(__xludf.DUMMYFUNCTION("""COMPUTED_VALUE"""),"No")</f>
        <v>No</v>
      </c>
      <c r="AA974" s="5"/>
      <c r="AB974" s="5" t="str">
        <f ca="1">IFERROR(__xludf.DUMMYFUNCTION("""COMPUTED_VALUE"""),"No")</f>
        <v>No</v>
      </c>
      <c r="AC974" s="5" t="str">
        <f ca="1">IFERROR(__xludf.DUMMYFUNCTION("""COMPUTED_VALUE"""),"No")</f>
        <v>No</v>
      </c>
      <c r="AD974" s="5" t="str">
        <f ca="1">IFERROR(__xludf.DUMMYFUNCTION("""COMPUTED_VALUE"""),"No")</f>
        <v>No</v>
      </c>
      <c r="AE974" s="5"/>
      <c r="AF974" s="5"/>
      <c r="AG974" s="5"/>
      <c r="AH974" s="5"/>
    </row>
    <row r="975" spans="1:34" ht="12.75">
      <c r="A975" s="5" t="str">
        <f ca="1">IFERROR(__xludf.DUMMYFUNCTION("""COMPUTED_VALUE"""),"20140220MIRAR")</f>
        <v>20140220MIRAR</v>
      </c>
      <c r="B975" s="8">
        <f ca="1">IFERROR(__xludf.DUMMYFUNCTION("""COMPUTED_VALUE"""),41690)</f>
        <v>41690</v>
      </c>
      <c r="C975" s="5" t="str">
        <f ca="1">IFERROR(__xludf.DUMMYFUNCTION("""COMPUTED_VALUE"""),"Raytown Success Academy")</f>
        <v>Raytown Success Academy</v>
      </c>
      <c r="D975" s="5">
        <f ca="1">IFERROR(__xludf.DUMMYFUNCTION("""COMPUTED_VALUE"""),1)</f>
        <v>1</v>
      </c>
      <c r="E975" s="5">
        <f ca="1">IFERROR(__xludf.DUMMYFUNCTION("""COMPUTED_VALUE"""),0)</f>
        <v>0</v>
      </c>
      <c r="F975" s="5">
        <f ca="1">IFERROR(__xludf.DUMMYFUNCTION("""COMPUTED_VALUE"""),1)</f>
        <v>1</v>
      </c>
      <c r="G975" s="5">
        <f ca="1">IFERROR(__xludf.DUMMYFUNCTION("""COMPUTED_VALUE"""),0)</f>
        <v>0</v>
      </c>
      <c r="H975" s="9" t="str">
        <f ca="1">IFERROR(__xludf.DUMMYFUNCTION("""COMPUTED_VALUE"""),"http://www.kansascity.com/news/local/crime/article9772547.html")</f>
        <v>http://www.kansascity.com/news/local/crime/article9772547.html</v>
      </c>
      <c r="I975" s="5">
        <f ca="1">IFERROR(__xludf.DUMMYFUNCTION("""COMPUTED_VALUE"""),5)</f>
        <v>5</v>
      </c>
      <c r="J975" s="5" t="str">
        <f ca="1">IFERROR(__xludf.DUMMYFUNCTION("""COMPUTED_VALUE"""),"Local")</f>
        <v>Local</v>
      </c>
      <c r="K975" s="5">
        <f ca="1">IFERROR(__xludf.DUMMYFUNCTION("""COMPUTED_VALUE"""),2)</f>
        <v>2</v>
      </c>
      <c r="L975" s="5" t="str">
        <f ca="1">IFERROR(__xludf.DUMMYFUNCTION("""COMPUTED_VALUE"""),"Winter")</f>
        <v>Winter</v>
      </c>
      <c r="M975" s="5" t="str">
        <f ca="1">IFERROR(__xludf.DUMMYFUNCTION("""COMPUTED_VALUE"""),"Raytown")</f>
        <v>Raytown</v>
      </c>
      <c r="N975" s="5" t="str">
        <f ca="1">IFERROR(__xludf.DUMMYFUNCTION("""COMPUTED_VALUE"""),"MI")</f>
        <v>MI</v>
      </c>
      <c r="O975" s="5" t="str">
        <f ca="1">IFERROR(__xludf.DUMMYFUNCTION("""COMPUTED_VALUE"""),"High")</f>
        <v>High</v>
      </c>
      <c r="P975" s="5" t="str">
        <f ca="1">IFERROR(__xludf.DUMMYFUNCTION("""COMPUTED_VALUE"""),"Parking Lot")</f>
        <v>Parking Lot</v>
      </c>
      <c r="Q975" s="5" t="str">
        <f ca="1">IFERROR(__xludf.DUMMYFUNCTION("""COMPUTED_VALUE"""),"Outside on School Property")</f>
        <v>Outside on School Property</v>
      </c>
      <c r="R975" s="5" t="str">
        <f ca="1">IFERROR(__xludf.DUMMYFUNCTION("""COMPUTED_VALUE"""),"Yes")</f>
        <v>Yes</v>
      </c>
      <c r="S975" s="5" t="str">
        <f ca="1">IFERROR(__xludf.DUMMYFUNCTION("""COMPUTED_VALUE"""),"Morning Classes")</f>
        <v>Morning Classes</v>
      </c>
      <c r="T975" s="10">
        <f ca="1">IFERROR(__xludf.DUMMYFUNCTION("""COMPUTED_VALUE"""),0.4375)</f>
        <v>0.4375</v>
      </c>
      <c r="U975" s="5">
        <f ca="1">IFERROR(__xludf.DUMMYFUNCTION("""COMPUTED_VALUE"""),1)</f>
        <v>1</v>
      </c>
      <c r="V975" s="5" t="str">
        <f ca="1">IFERROR(__xludf.DUMMYFUNCTION("""COMPUTED_VALUE"""),"Jealousy over victim dating suspect's ex-girlfriend")</f>
        <v>Jealousy over victim dating suspect's ex-girlfriend</v>
      </c>
      <c r="W975"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X975" s="5" t="str">
        <f ca="1">IFERROR(__xludf.DUMMYFUNCTION("""COMPUTED_VALUE"""),"Domestic w/ Targeted Victim")</f>
        <v>Domestic w/ Targeted Victim</v>
      </c>
      <c r="Y975" s="5" t="str">
        <f ca="1">IFERROR(__xludf.DUMMYFUNCTION("""COMPUTED_VALUE"""),"Victims Targeted")</f>
        <v>Victims Targeted</v>
      </c>
      <c r="Z975" s="5" t="str">
        <f ca="1">IFERROR(__xludf.DUMMYFUNCTION("""COMPUTED_VALUE"""),"No")</f>
        <v>No</v>
      </c>
      <c r="AA975" s="5"/>
      <c r="AB975" s="5" t="str">
        <f ca="1">IFERROR(__xludf.DUMMYFUNCTION("""COMPUTED_VALUE"""),"No")</f>
        <v>No</v>
      </c>
      <c r="AC975" s="5" t="str">
        <f ca="1">IFERROR(__xludf.DUMMYFUNCTION("""COMPUTED_VALUE"""),"No")</f>
        <v>No</v>
      </c>
      <c r="AD975" s="5" t="str">
        <f ca="1">IFERROR(__xludf.DUMMYFUNCTION("""COMPUTED_VALUE"""),"No")</f>
        <v>No</v>
      </c>
      <c r="AE975" s="5" t="str">
        <f ca="1">IFERROR(__xludf.DUMMYFUNCTION("""COMPUTED_VALUE"""),"N/A")</f>
        <v>N/A</v>
      </c>
      <c r="AF975" s="5" t="str">
        <f ca="1">IFERROR(__xludf.DUMMYFUNCTION("""COMPUTED_VALUE"""),"No")</f>
        <v>No</v>
      </c>
      <c r="AG975" s="5" t="str">
        <f ca="1">IFERROR(__xludf.DUMMYFUNCTION("""COMPUTED_VALUE"""),"No")</f>
        <v>No</v>
      </c>
      <c r="AH975" s="5"/>
    </row>
    <row r="976" spans="1:34" ht="12.75">
      <c r="A976" s="5" t="str">
        <f ca="1">IFERROR(__xludf.DUMMYFUNCTION("""COMPUTED_VALUE"""),"20140211OHCHL")</f>
        <v>20140211OHCHL</v>
      </c>
      <c r="B976" s="8">
        <f ca="1">IFERROR(__xludf.DUMMYFUNCTION("""COMPUTED_VALUE"""),41681)</f>
        <v>41681</v>
      </c>
      <c r="C976" s="5" t="str">
        <f ca="1">IFERROR(__xludf.DUMMYFUNCTION("""COMPUTED_VALUE"""),"Charles F. Brush High School")</f>
        <v>Charles F. Brush High School</v>
      </c>
      <c r="D976" s="5">
        <f ca="1">IFERROR(__xludf.DUMMYFUNCTION("""COMPUTED_VALUE"""),0)</f>
        <v>0</v>
      </c>
      <c r="E976" s="5">
        <f ca="1">IFERROR(__xludf.DUMMYFUNCTION("""COMPUTED_VALUE"""),0)</f>
        <v>0</v>
      </c>
      <c r="F976" s="5">
        <f ca="1">IFERROR(__xludf.DUMMYFUNCTION("""COMPUTED_VALUE"""),0)</f>
        <v>0</v>
      </c>
      <c r="G976" s="5">
        <f ca="1">IFERROR(__xludf.DUMMYFUNCTION("""COMPUTED_VALUE"""),0)</f>
        <v>0</v>
      </c>
      <c r="H976"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I976" s="5"/>
      <c r="J976" s="5"/>
      <c r="K976" s="5">
        <f ca="1">IFERROR(__xludf.DUMMYFUNCTION("""COMPUTED_VALUE"""),3)</f>
        <v>3</v>
      </c>
      <c r="L976" s="5" t="str">
        <f ca="1">IFERROR(__xludf.DUMMYFUNCTION("""COMPUTED_VALUE"""),"Winter")</f>
        <v>Winter</v>
      </c>
      <c r="M976" s="5" t="str">
        <f ca="1">IFERROR(__xludf.DUMMYFUNCTION("""COMPUTED_VALUE"""),"Lyndhurt")</f>
        <v>Lyndhurt</v>
      </c>
      <c r="N976" s="5" t="str">
        <f ca="1">IFERROR(__xludf.DUMMYFUNCTION("""COMPUTED_VALUE"""),"OH")</f>
        <v>OH</v>
      </c>
      <c r="O976" s="5" t="str">
        <f ca="1">IFERROR(__xludf.DUMMYFUNCTION("""COMPUTED_VALUE"""),"High")</f>
        <v>High</v>
      </c>
      <c r="P976" s="5" t="str">
        <f ca="1">IFERROR(__xludf.DUMMYFUNCTION("""COMPUTED_VALUE"""),"Parking Lot")</f>
        <v>Parking Lot</v>
      </c>
      <c r="Q976" s="5" t="str">
        <f ca="1">IFERROR(__xludf.DUMMYFUNCTION("""COMPUTED_VALUE"""),"Outside on School Property")</f>
        <v>Outside on School Property</v>
      </c>
      <c r="R976" s="5" t="str">
        <f ca="1">IFERROR(__xludf.DUMMYFUNCTION("""COMPUTED_VALUE"""),"No")</f>
        <v>No</v>
      </c>
      <c r="S976" s="5" t="str">
        <f ca="1">IFERROR(__xludf.DUMMYFUNCTION("""COMPUTED_VALUE"""),"Sport Event")</f>
        <v>Sport Event</v>
      </c>
      <c r="T976" s="10">
        <f ca="1">IFERROR(__xludf.DUMMYFUNCTION("""COMPUTED_VALUE"""),0.854166666666666)</f>
        <v>0.85416666666666596</v>
      </c>
      <c r="U976" s="5">
        <f ca="1">IFERROR(__xludf.DUMMYFUNCTION("""COMPUTED_VALUE"""),1)</f>
        <v>1</v>
      </c>
      <c r="V976" s="5" t="str">
        <f ca="1">IFERROR(__xludf.DUMMYFUNCTION("""COMPUTED_VALUE"""),"Shots fired during fight in parking lot during basketball game")</f>
        <v>Shots fired during fight in parking lot during basketball game</v>
      </c>
      <c r="W976"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X976" s="5" t="str">
        <f ca="1">IFERROR(__xludf.DUMMYFUNCTION("""COMPUTED_VALUE"""),"Escalation of Dispute")</f>
        <v>Escalation of Dispute</v>
      </c>
      <c r="Y976" s="5" t="str">
        <f ca="1">IFERROR(__xludf.DUMMYFUNCTION("""COMPUTED_VALUE"""),"Victims Targeted")</f>
        <v>Victims Targeted</v>
      </c>
      <c r="Z976" s="5" t="str">
        <f ca="1">IFERROR(__xludf.DUMMYFUNCTION("""COMPUTED_VALUE"""),"Yes")</f>
        <v>Yes</v>
      </c>
      <c r="AA976" s="5" t="str">
        <f ca="1">IFERROR(__xludf.DUMMYFUNCTION("""COMPUTED_VALUE"""),"2 arrested")</f>
        <v>2 arrested</v>
      </c>
      <c r="AB976" s="5" t="str">
        <f ca="1">IFERROR(__xludf.DUMMYFUNCTION("""COMPUTED_VALUE"""),"No")</f>
        <v>No</v>
      </c>
      <c r="AC976" s="5" t="str">
        <f ca="1">IFERROR(__xludf.DUMMYFUNCTION("""COMPUTED_VALUE"""),"No")</f>
        <v>No</v>
      </c>
      <c r="AD976" s="5" t="str">
        <f ca="1">IFERROR(__xludf.DUMMYFUNCTION("""COMPUTED_VALUE"""),"No")</f>
        <v>No</v>
      </c>
      <c r="AE976" s="5" t="str">
        <f ca="1">IFERROR(__xludf.DUMMYFUNCTION("""COMPUTED_VALUE"""),"No")</f>
        <v>No</v>
      </c>
      <c r="AF976" s="5" t="str">
        <f ca="1">IFERROR(__xludf.DUMMYFUNCTION("""COMPUTED_VALUE"""),"No")</f>
        <v>No</v>
      </c>
      <c r="AG976" s="5" t="str">
        <f ca="1">IFERROR(__xludf.DUMMYFUNCTION("""COMPUTED_VALUE"""),"No")</f>
        <v>No</v>
      </c>
      <c r="AH976" s="5"/>
    </row>
    <row r="977" spans="1:34" ht="12.75">
      <c r="A977" s="5" t="str">
        <f ca="1">IFERROR(__xludf.DUMMYFUNCTION("""COMPUTED_VALUE"""),"20140210NCSAS")</f>
        <v>20140210NCSAS</v>
      </c>
      <c r="B977" s="8">
        <f ca="1">IFERROR(__xludf.DUMMYFUNCTION("""COMPUTED_VALUE"""),41680)</f>
        <v>41680</v>
      </c>
      <c r="C977" s="5" t="str">
        <f ca="1">IFERROR(__xludf.DUMMYFUNCTION("""COMPUTED_VALUE"""),"Salisbury High School")</f>
        <v>Salisbury High School</v>
      </c>
      <c r="D977" s="5">
        <f ca="1">IFERROR(__xludf.DUMMYFUNCTION("""COMPUTED_VALUE"""),0)</f>
        <v>0</v>
      </c>
      <c r="E977" s="5">
        <f ca="1">IFERROR(__xludf.DUMMYFUNCTION("""COMPUTED_VALUE"""),1)</f>
        <v>1</v>
      </c>
      <c r="F977" s="5">
        <f ca="1">IFERROR(__xludf.DUMMYFUNCTION("""COMPUTED_VALUE"""),1)</f>
        <v>1</v>
      </c>
      <c r="G977" s="5">
        <f ca="1">IFERROR(__xludf.DUMMYFUNCTION("""COMPUTED_VALUE"""),0)</f>
        <v>0</v>
      </c>
      <c r="H977" s="9" t="str">
        <f ca="1">IFERROR(__xludf.DUMMYFUNCTION("""COMPUTED_VALUE"""),"http://www.wbtv.com/story/24683911/student-shot-at-salisbury-high-school")</f>
        <v>http://www.wbtv.com/story/24683911/student-shot-at-salisbury-high-school</v>
      </c>
      <c r="I977" s="5">
        <f ca="1">IFERROR(__xludf.DUMMYFUNCTION("""COMPUTED_VALUE"""),5)</f>
        <v>5</v>
      </c>
      <c r="J977" s="5" t="str">
        <f ca="1">IFERROR(__xludf.DUMMYFUNCTION("""COMPUTED_VALUE"""),"Local")</f>
        <v>Local</v>
      </c>
      <c r="K977" s="5">
        <f ca="1">IFERROR(__xludf.DUMMYFUNCTION("""COMPUTED_VALUE"""),2)</f>
        <v>2</v>
      </c>
      <c r="L977" s="5" t="str">
        <f ca="1">IFERROR(__xludf.DUMMYFUNCTION("""COMPUTED_VALUE"""),"Winter")</f>
        <v>Winter</v>
      </c>
      <c r="M977" s="5" t="str">
        <f ca="1">IFERROR(__xludf.DUMMYFUNCTION("""COMPUTED_VALUE"""),"Salisbury")</f>
        <v>Salisbury</v>
      </c>
      <c r="N977" s="5" t="str">
        <f ca="1">IFERROR(__xludf.DUMMYFUNCTION("""COMPUTED_VALUE"""),"NC")</f>
        <v>NC</v>
      </c>
      <c r="O977" s="5" t="str">
        <f ca="1">IFERROR(__xludf.DUMMYFUNCTION("""COMPUTED_VALUE"""),"High")</f>
        <v>High</v>
      </c>
      <c r="P977" s="5" t="str">
        <f ca="1">IFERROR(__xludf.DUMMYFUNCTION("""COMPUTED_VALUE"""),"Beside Building")</f>
        <v>Beside Building</v>
      </c>
      <c r="Q977" s="5" t="str">
        <f ca="1">IFERROR(__xludf.DUMMYFUNCTION("""COMPUTED_VALUE"""),"Outside on School Property")</f>
        <v>Outside on School Property</v>
      </c>
      <c r="R977" s="5" t="str">
        <f ca="1">IFERROR(__xludf.DUMMYFUNCTION("""COMPUTED_VALUE"""),"No")</f>
        <v>No</v>
      </c>
      <c r="S977" s="5" t="str">
        <f ca="1">IFERROR(__xludf.DUMMYFUNCTION("""COMPUTED_VALUE"""),"Dismissal")</f>
        <v>Dismissal</v>
      </c>
      <c r="T977" s="10">
        <f ca="1">IFERROR(__xludf.DUMMYFUNCTION("""COMPUTED_VALUE"""),0.5)</f>
        <v>0.5</v>
      </c>
      <c r="U977" s="5">
        <f ca="1">IFERROR(__xludf.DUMMYFUNCTION("""COMPUTED_VALUE"""),1)</f>
        <v>1</v>
      </c>
      <c r="V977" s="5" t="str">
        <f ca="1">IFERROR(__xludf.DUMMYFUNCTION("""COMPUTED_VALUE"""),"Shots during fight in gym")</f>
        <v>Shots during fight in gym</v>
      </c>
      <c r="W977"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X977" s="5" t="str">
        <f ca="1">IFERROR(__xludf.DUMMYFUNCTION("""COMPUTED_VALUE"""),"Escalation of Dispute")</f>
        <v>Escalation of Dispute</v>
      </c>
      <c r="Y977" s="5" t="str">
        <f ca="1">IFERROR(__xludf.DUMMYFUNCTION("""COMPUTED_VALUE"""),"Both")</f>
        <v>Both</v>
      </c>
      <c r="Z977" s="5" t="str">
        <f ca="1">IFERROR(__xludf.DUMMYFUNCTION("""COMPUTED_VALUE"""),"Yes")</f>
        <v>Yes</v>
      </c>
      <c r="AA977" s="5" t="str">
        <f ca="1">IFERROR(__xludf.DUMMYFUNCTION("""COMPUTED_VALUE"""),"A group of males, not students there")</f>
        <v>A group of males, not students there</v>
      </c>
      <c r="AB977" s="5" t="str">
        <f ca="1">IFERROR(__xludf.DUMMYFUNCTION("""COMPUTED_VALUE"""),"No")</f>
        <v>No</v>
      </c>
      <c r="AC977" s="5" t="str">
        <f ca="1">IFERROR(__xludf.DUMMYFUNCTION("""COMPUTED_VALUE"""),"No")</f>
        <v>No</v>
      </c>
      <c r="AD977" s="5" t="str">
        <f ca="1">IFERROR(__xludf.DUMMYFUNCTION("""COMPUTED_VALUE"""),"No")</f>
        <v>No</v>
      </c>
      <c r="AE977" s="5" t="str">
        <f ca="1">IFERROR(__xludf.DUMMYFUNCTION("""COMPUTED_VALUE"""),"No")</f>
        <v>No</v>
      </c>
      <c r="AF977" s="5" t="str">
        <f ca="1">IFERROR(__xludf.DUMMYFUNCTION("""COMPUTED_VALUE"""),"No")</f>
        <v>No</v>
      </c>
      <c r="AG977" s="5" t="str">
        <f ca="1">IFERROR(__xludf.DUMMYFUNCTION("""COMPUTED_VALUE"""),"No")</f>
        <v>No</v>
      </c>
      <c r="AH977" s="5"/>
    </row>
    <row r="978" spans="1:34" ht="12.75">
      <c r="A978" s="5" t="str">
        <f ca="1">IFERROR(__xludf.DUMMYFUNCTION("""COMPUTED_VALUE"""),"20140207ORBEB")</f>
        <v>20140207ORBEB</v>
      </c>
      <c r="B978" s="8">
        <f ca="1">IFERROR(__xludf.DUMMYFUNCTION("""COMPUTED_VALUE"""),41677)</f>
        <v>41677</v>
      </c>
      <c r="C978" s="5" t="str">
        <f ca="1">IFERROR(__xludf.DUMMYFUNCTION("""COMPUTED_VALUE"""),"Bend High School")</f>
        <v>Bend High School</v>
      </c>
      <c r="D978" s="5">
        <f ca="1">IFERROR(__xludf.DUMMYFUNCTION("""COMPUTED_VALUE"""),0)</f>
        <v>0</v>
      </c>
      <c r="E978" s="5">
        <f ca="1">IFERROR(__xludf.DUMMYFUNCTION("""COMPUTED_VALUE"""),0)</f>
        <v>0</v>
      </c>
      <c r="F978" s="5">
        <f ca="1">IFERROR(__xludf.DUMMYFUNCTION("""COMPUTED_VALUE"""),0)</f>
        <v>0</v>
      </c>
      <c r="G978" s="5">
        <f ca="1">IFERROR(__xludf.DUMMYFUNCTION("""COMPUTED_VALUE"""),1)</f>
        <v>1</v>
      </c>
      <c r="H978" s="9" t="str">
        <f ca="1">IFERROR(__xludf.DUMMYFUNCTION("""COMPUTED_VALUE"""),"https://www.bendbulletin.com/home/1790423-151/details-emerge-in-bend-high-suicide")</f>
        <v>https://www.bendbulletin.com/home/1790423-151/details-emerge-in-bend-high-suicide</v>
      </c>
      <c r="I978" s="5">
        <f ca="1">IFERROR(__xludf.DUMMYFUNCTION("""COMPUTED_VALUE"""),1)</f>
        <v>1</v>
      </c>
      <c r="J978" s="5" t="str">
        <f ca="1">IFERROR(__xludf.DUMMYFUNCTION("""COMPUTED_VALUE"""),"Local")</f>
        <v>Local</v>
      </c>
      <c r="K978" s="5">
        <f ca="1">IFERROR(__xludf.DUMMYFUNCTION("""COMPUTED_VALUE"""),2)</f>
        <v>2</v>
      </c>
      <c r="L978" s="5" t="str">
        <f ca="1">IFERROR(__xludf.DUMMYFUNCTION("""COMPUTED_VALUE"""),"Winter")</f>
        <v>Winter</v>
      </c>
      <c r="M978" s="5" t="str">
        <f ca="1">IFERROR(__xludf.DUMMYFUNCTION("""COMPUTED_VALUE"""),"Bend")</f>
        <v>Bend</v>
      </c>
      <c r="N978" s="5" t="str">
        <f ca="1">IFERROR(__xludf.DUMMYFUNCTION("""COMPUTED_VALUE"""),"OR")</f>
        <v>OR</v>
      </c>
      <c r="O978" s="5" t="str">
        <f ca="1">IFERROR(__xludf.DUMMYFUNCTION("""COMPUTED_VALUE"""),"High")</f>
        <v>High</v>
      </c>
      <c r="P978" s="5" t="str">
        <f ca="1">IFERROR(__xludf.DUMMYFUNCTION("""COMPUTED_VALUE"""),"Classroom")</f>
        <v>Classroom</v>
      </c>
      <c r="Q978" s="5" t="str">
        <f ca="1">IFERROR(__xludf.DUMMYFUNCTION("""COMPUTED_VALUE"""),"Inside School Building")</f>
        <v>Inside School Building</v>
      </c>
      <c r="R978" s="5" t="str">
        <f ca="1">IFERROR(__xludf.DUMMYFUNCTION("""COMPUTED_VALUE"""),"Yes")</f>
        <v>Yes</v>
      </c>
      <c r="S978" s="5" t="str">
        <f ca="1">IFERROR(__xludf.DUMMYFUNCTION("""COMPUTED_VALUE"""),"Morning Classes")</f>
        <v>Morning Classes</v>
      </c>
      <c r="T978" s="10">
        <f ca="1">IFERROR(__xludf.DUMMYFUNCTION("""COMPUTED_VALUE"""),0.5)</f>
        <v>0.5</v>
      </c>
      <c r="U978" s="5">
        <f ca="1">IFERROR(__xludf.DUMMYFUNCTION("""COMPUTED_VALUE"""),1)</f>
        <v>1</v>
      </c>
      <c r="V978" s="5" t="str">
        <f ca="1">IFERROR(__xludf.DUMMYFUNCTION("""COMPUTED_VALUE"""),"Suicide in classroom")</f>
        <v>Suicide in classroom</v>
      </c>
      <c r="W978"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X978" s="5" t="str">
        <f ca="1">IFERROR(__xludf.DUMMYFUNCTION("""COMPUTED_VALUE"""),"Suicide/Attempted")</f>
        <v>Suicide/Attempted</v>
      </c>
      <c r="Y978" s="5" t="str">
        <f ca="1">IFERROR(__xludf.DUMMYFUNCTION("""COMPUTED_VALUE"""),"Neither")</f>
        <v>Neither</v>
      </c>
      <c r="Z978" s="5" t="str">
        <f ca="1">IFERROR(__xludf.DUMMYFUNCTION("""COMPUTED_VALUE"""),"No")</f>
        <v>No</v>
      </c>
      <c r="AA978" s="5"/>
      <c r="AB978" s="5" t="str">
        <f ca="1">IFERROR(__xludf.DUMMYFUNCTION("""COMPUTED_VALUE"""),"No")</f>
        <v>No</v>
      </c>
      <c r="AC978" s="5" t="str">
        <f ca="1">IFERROR(__xludf.DUMMYFUNCTION("""COMPUTED_VALUE"""),"No")</f>
        <v>No</v>
      </c>
      <c r="AD978" s="5" t="str">
        <f ca="1">IFERROR(__xludf.DUMMYFUNCTION("""COMPUTED_VALUE"""),"No")</f>
        <v>No</v>
      </c>
      <c r="AE978" s="5" t="str">
        <f ca="1">IFERROR(__xludf.DUMMYFUNCTION("""COMPUTED_VALUE"""),"No")</f>
        <v>No</v>
      </c>
      <c r="AF978" s="5" t="str">
        <f ca="1">IFERROR(__xludf.DUMMYFUNCTION("""COMPUTED_VALUE"""),"No")</f>
        <v>No</v>
      </c>
      <c r="AG978" s="5" t="str">
        <f ca="1">IFERROR(__xludf.DUMMYFUNCTION("""COMPUTED_VALUE"""),"No")</f>
        <v>No</v>
      </c>
      <c r="AH978" s="5"/>
    </row>
    <row r="979" spans="1:34" ht="12.75">
      <c r="A979" s="5" t="str">
        <f ca="1">IFERROR(__xludf.DUMMYFUNCTION("""COMPUTED_VALUE"""),"20140131IANOD")</f>
        <v>20140131IANOD</v>
      </c>
      <c r="B979" s="8">
        <f ca="1">IFERROR(__xludf.DUMMYFUNCTION("""COMPUTED_VALUE"""),41670)</f>
        <v>41670</v>
      </c>
      <c r="C979" s="5" t="str">
        <f ca="1">IFERROR(__xludf.DUMMYFUNCTION("""COMPUTED_VALUE"""),"North High School")</f>
        <v>North High School</v>
      </c>
      <c r="D979" s="5">
        <f ca="1">IFERROR(__xludf.DUMMYFUNCTION("""COMPUTED_VALUE"""),0)</f>
        <v>0</v>
      </c>
      <c r="E979" s="5">
        <f ca="1">IFERROR(__xludf.DUMMYFUNCTION("""COMPUTED_VALUE"""),1)</f>
        <v>1</v>
      </c>
      <c r="F979" s="5">
        <f ca="1">IFERROR(__xludf.DUMMYFUNCTION("""COMPUTED_VALUE"""),1)</f>
        <v>1</v>
      </c>
      <c r="G979" s="5">
        <f ca="1">IFERROR(__xludf.DUMMYFUNCTION("""COMPUTED_VALUE"""),0)</f>
        <v>0</v>
      </c>
      <c r="H979" s="9" t="str">
        <f ca="1">IFERROR(__xludf.DUMMYFUNCTION("""COMPUTED_VALUE"""),"http://www.kcci.com/article/police-investigate-shooting-outside-north-high-school/6888652")</f>
        <v>http://www.kcci.com/article/police-investigate-shooting-outside-north-high-school/6888652</v>
      </c>
      <c r="I979" s="5">
        <f ca="1">IFERROR(__xludf.DUMMYFUNCTION("""COMPUTED_VALUE"""),1)</f>
        <v>1</v>
      </c>
      <c r="J979" s="5" t="str">
        <f ca="1">IFERROR(__xludf.DUMMYFUNCTION("""COMPUTED_VALUE"""),"Local")</f>
        <v>Local</v>
      </c>
      <c r="K979" s="5">
        <f ca="1">IFERROR(__xludf.DUMMYFUNCTION("""COMPUTED_VALUE"""),2)</f>
        <v>2</v>
      </c>
      <c r="L979" s="5" t="str">
        <f ca="1">IFERROR(__xludf.DUMMYFUNCTION("""COMPUTED_VALUE"""),"Winter")</f>
        <v>Winter</v>
      </c>
      <c r="M979" s="5" t="str">
        <f ca="1">IFERROR(__xludf.DUMMYFUNCTION("""COMPUTED_VALUE"""),"Des Moines")</f>
        <v>Des Moines</v>
      </c>
      <c r="N979" s="5" t="str">
        <f ca="1">IFERROR(__xludf.DUMMYFUNCTION("""COMPUTED_VALUE"""),"IA")</f>
        <v>IA</v>
      </c>
      <c r="O979" s="5" t="str">
        <f ca="1">IFERROR(__xludf.DUMMYFUNCTION("""COMPUTED_VALUE"""),"High")</f>
        <v>High</v>
      </c>
      <c r="P979" s="5" t="str">
        <f ca="1">IFERROR(__xludf.DUMMYFUNCTION("""COMPUTED_VALUE"""),"Basketball Court")</f>
        <v>Basketball Court</v>
      </c>
      <c r="Q979" s="5" t="str">
        <f ca="1">IFERROR(__xludf.DUMMYFUNCTION("""COMPUTED_VALUE"""),"Outside on School Property")</f>
        <v>Outside on School Property</v>
      </c>
      <c r="R979" s="5" t="str">
        <f ca="1">IFERROR(__xludf.DUMMYFUNCTION("""COMPUTED_VALUE"""),"No")</f>
        <v>No</v>
      </c>
      <c r="S979" s="5" t="str">
        <f ca="1">IFERROR(__xludf.DUMMYFUNCTION("""COMPUTED_VALUE"""),"Sport Event")</f>
        <v>Sport Event</v>
      </c>
      <c r="T979" s="5"/>
      <c r="U979" s="5"/>
      <c r="V979" s="5" t="str">
        <f ca="1">IFERROR(__xludf.DUMMYFUNCTION("""COMPUTED_VALUE"""),"Fight after basketball game")</f>
        <v>Fight after basketball game</v>
      </c>
      <c r="W979"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X979" s="5" t="str">
        <f ca="1">IFERROR(__xludf.DUMMYFUNCTION("""COMPUTED_VALUE"""),"Drive-by Shooting")</f>
        <v>Drive-by Shooting</v>
      </c>
      <c r="Y979" s="5" t="str">
        <f ca="1">IFERROR(__xludf.DUMMYFUNCTION("""COMPUTED_VALUE"""),"Random Shooting")</f>
        <v>Random Shooting</v>
      </c>
      <c r="Z979" s="5" t="str">
        <f ca="1">IFERROR(__xludf.DUMMYFUNCTION("""COMPUTED_VALUE"""),"Yes")</f>
        <v>Yes</v>
      </c>
      <c r="AA979" s="5" t="str">
        <f ca="1">IFERROR(__xludf.DUMMYFUNCTION("""COMPUTED_VALUE"""),"six suspects total, unknown how many fired shots")</f>
        <v>six suspects total, unknown how many fired shots</v>
      </c>
      <c r="AB979" s="5" t="str">
        <f ca="1">IFERROR(__xludf.DUMMYFUNCTION("""COMPUTED_VALUE"""),"No")</f>
        <v>No</v>
      </c>
      <c r="AC979" s="5" t="str">
        <f ca="1">IFERROR(__xludf.DUMMYFUNCTION("""COMPUTED_VALUE"""),"No")</f>
        <v>No</v>
      </c>
      <c r="AD979" s="5" t="str">
        <f ca="1">IFERROR(__xludf.DUMMYFUNCTION("""COMPUTED_VALUE"""),"No")</f>
        <v>No</v>
      </c>
      <c r="AE979" s="5" t="str">
        <f ca="1">IFERROR(__xludf.DUMMYFUNCTION("""COMPUTED_VALUE"""),"No")</f>
        <v>No</v>
      </c>
      <c r="AF979" s="5" t="str">
        <f ca="1">IFERROR(__xludf.DUMMYFUNCTION("""COMPUTED_VALUE"""),"No")</f>
        <v>No</v>
      </c>
      <c r="AG979" s="5" t="str">
        <f ca="1">IFERROR(__xludf.DUMMYFUNCTION("""COMPUTED_VALUE"""),"Yes")</f>
        <v>Yes</v>
      </c>
      <c r="AH979" s="5"/>
    </row>
    <row r="980" spans="1:34" ht="12.75">
      <c r="A980" s="5" t="str">
        <f ca="1">IFERROR(__xludf.DUMMYFUNCTION("""COMPUTED_VALUE"""),"20140131AZCEP")</f>
        <v>20140131AZCEP</v>
      </c>
      <c r="B980" s="8">
        <f ca="1">IFERROR(__xludf.DUMMYFUNCTION("""COMPUTED_VALUE"""),41670)</f>
        <v>41670</v>
      </c>
      <c r="C980" s="5" t="str">
        <f ca="1">IFERROR(__xludf.DUMMYFUNCTION("""COMPUTED_VALUE"""),"Cesar Chavez High School")</f>
        <v>Cesar Chavez High School</v>
      </c>
      <c r="D980" s="5">
        <f ca="1">IFERROR(__xludf.DUMMYFUNCTION("""COMPUTED_VALUE"""),0)</f>
        <v>0</v>
      </c>
      <c r="E980" s="5">
        <f ca="1">IFERROR(__xludf.DUMMYFUNCTION("""COMPUTED_VALUE"""),0)</f>
        <v>0</v>
      </c>
      <c r="F980" s="5">
        <f ca="1">IFERROR(__xludf.DUMMYFUNCTION("""COMPUTED_VALUE"""),0)</f>
        <v>0</v>
      </c>
      <c r="G980" s="5">
        <f ca="1">IFERROR(__xludf.DUMMYFUNCTION("""COMPUTED_VALUE"""),0)</f>
        <v>0</v>
      </c>
      <c r="H980"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I980" s="5">
        <f ca="1">IFERROR(__xludf.DUMMYFUNCTION("""COMPUTED_VALUE"""),5)</f>
        <v>5</v>
      </c>
      <c r="J980" s="5" t="str">
        <f ca="1">IFERROR(__xludf.DUMMYFUNCTION("""COMPUTED_VALUE"""),"Local")</f>
        <v>Local</v>
      </c>
      <c r="K980" s="5">
        <f ca="1">IFERROR(__xludf.DUMMYFUNCTION("""COMPUTED_VALUE"""),2)</f>
        <v>2</v>
      </c>
      <c r="L980" s="5" t="str">
        <f ca="1">IFERROR(__xludf.DUMMYFUNCTION("""COMPUTED_VALUE"""),"Winter")</f>
        <v>Winter</v>
      </c>
      <c r="M980" s="5" t="str">
        <f ca="1">IFERROR(__xludf.DUMMYFUNCTION("""COMPUTED_VALUE"""),"Phoenix")</f>
        <v>Phoenix</v>
      </c>
      <c r="N980" s="5" t="str">
        <f ca="1">IFERROR(__xludf.DUMMYFUNCTION("""COMPUTED_VALUE"""),"AZ")</f>
        <v>AZ</v>
      </c>
      <c r="O980" s="5" t="str">
        <f ca="1">IFERROR(__xludf.DUMMYFUNCTION("""COMPUTED_VALUE"""),"High")</f>
        <v>High</v>
      </c>
      <c r="P980" s="5" t="str">
        <f ca="1">IFERROR(__xludf.DUMMYFUNCTION("""COMPUTED_VALUE"""),"Basketball Court")</f>
        <v>Basketball Court</v>
      </c>
      <c r="Q980" s="5" t="str">
        <f ca="1">IFERROR(__xludf.DUMMYFUNCTION("""COMPUTED_VALUE"""),"Outside on School Property")</f>
        <v>Outside on School Property</v>
      </c>
      <c r="R980" s="5" t="str">
        <f ca="1">IFERROR(__xludf.DUMMYFUNCTION("""COMPUTED_VALUE"""),"No")</f>
        <v>No</v>
      </c>
      <c r="S980" s="5" t="str">
        <f ca="1">IFERROR(__xludf.DUMMYFUNCTION("""COMPUTED_VALUE"""),"Sport Event")</f>
        <v>Sport Event</v>
      </c>
      <c r="T980" s="5"/>
      <c r="U980" s="5"/>
      <c r="V980" s="5" t="str">
        <f ca="1">IFERROR(__xludf.DUMMYFUNCTION("""COMPUTED_VALUE"""),"Gang related following basketball game")</f>
        <v>Gang related following basketball game</v>
      </c>
      <c r="W980"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X980" s="5" t="str">
        <f ca="1">IFERROR(__xludf.DUMMYFUNCTION("""COMPUTED_VALUE"""),"Escalation of Dispute")</f>
        <v>Escalation of Dispute</v>
      </c>
      <c r="Y980" s="5" t="str">
        <f ca="1">IFERROR(__xludf.DUMMYFUNCTION("""COMPUTED_VALUE"""),"Neither")</f>
        <v>Neither</v>
      </c>
      <c r="Z980" s="5" t="str">
        <f ca="1">IFERROR(__xludf.DUMMYFUNCTION("""COMPUTED_VALUE"""),"Yes")</f>
        <v>Yes</v>
      </c>
      <c r="AA980" s="5" t="str">
        <f ca="1">IFERROR(__xludf.DUMMYFUNCTION("""COMPUTED_VALUE"""),"Deric McWilliams, 23 and Jordan Earl Norman, 17")</f>
        <v>Deric McWilliams, 23 and Jordan Earl Norman, 17</v>
      </c>
      <c r="AB980" s="5" t="str">
        <f ca="1">IFERROR(__xludf.DUMMYFUNCTION("""COMPUTED_VALUE"""),"No")</f>
        <v>No</v>
      </c>
      <c r="AC980" s="5" t="str">
        <f ca="1">IFERROR(__xludf.DUMMYFUNCTION("""COMPUTED_VALUE"""),"No")</f>
        <v>No</v>
      </c>
      <c r="AD980" s="5" t="str">
        <f ca="1">IFERROR(__xludf.DUMMYFUNCTION("""COMPUTED_VALUE"""),"No")</f>
        <v>No</v>
      </c>
      <c r="AE980" s="5" t="str">
        <f ca="1">IFERROR(__xludf.DUMMYFUNCTION("""COMPUTED_VALUE"""),"No")</f>
        <v>No</v>
      </c>
      <c r="AF980" s="5" t="str">
        <f ca="1">IFERROR(__xludf.DUMMYFUNCTION("""COMPUTED_VALUE"""),"No")</f>
        <v>No</v>
      </c>
      <c r="AG980" s="5" t="str">
        <f ca="1">IFERROR(__xludf.DUMMYFUNCTION("""COMPUTED_VALUE"""),"Yes")</f>
        <v>Yes</v>
      </c>
      <c r="AH980" s="5"/>
    </row>
    <row r="981" spans="1:34" ht="12.75">
      <c r="A981" s="5" t="str">
        <f ca="1">IFERROR(__xludf.DUMMYFUNCTION("""COMPUTED_VALUE"""),"20140128HIPRH")</f>
        <v>20140128HIPRH</v>
      </c>
      <c r="B981" s="8">
        <f ca="1">IFERROR(__xludf.DUMMYFUNCTION("""COMPUTED_VALUE"""),41667)</f>
        <v>41667</v>
      </c>
      <c r="C981" s="5" t="str">
        <f ca="1">IFERROR(__xludf.DUMMYFUNCTION("""COMPUTED_VALUE"""),"President Theodore Roosevelt High")</f>
        <v>President Theodore Roosevelt High</v>
      </c>
      <c r="D981" s="5">
        <f ca="1">IFERROR(__xludf.DUMMYFUNCTION("""COMPUTED_VALUE"""),0)</f>
        <v>0</v>
      </c>
      <c r="E981" s="5">
        <f ca="1">IFERROR(__xludf.DUMMYFUNCTION("""COMPUTED_VALUE"""),1)</f>
        <v>1</v>
      </c>
      <c r="F981" s="5">
        <f ca="1">IFERROR(__xludf.DUMMYFUNCTION("""COMPUTED_VALUE"""),1)</f>
        <v>1</v>
      </c>
      <c r="G981" s="5">
        <f ca="1">IFERROR(__xludf.DUMMYFUNCTION("""COMPUTED_VALUE"""),0)</f>
        <v>0</v>
      </c>
      <c r="H981" s="9" t="str">
        <f ca="1">IFERROR(__xludf.DUMMYFUNCTION("""COMPUTED_VALUE"""),"http://articles.chicagotribune.com/keyword/roosevelt-high-school")</f>
        <v>http://articles.chicagotribune.com/keyword/roosevelt-high-school</v>
      </c>
      <c r="I981" s="5"/>
      <c r="J981" s="5"/>
      <c r="K981" s="5">
        <f ca="1">IFERROR(__xludf.DUMMYFUNCTION("""COMPUTED_VALUE"""),2)</f>
        <v>2</v>
      </c>
      <c r="L981" s="5" t="str">
        <f ca="1">IFERROR(__xludf.DUMMYFUNCTION("""COMPUTED_VALUE"""),"Winter")</f>
        <v>Winter</v>
      </c>
      <c r="M981" s="5" t="str">
        <f ca="1">IFERROR(__xludf.DUMMYFUNCTION("""COMPUTED_VALUE"""),"Honolulu")</f>
        <v>Honolulu</v>
      </c>
      <c r="N981" s="5" t="str">
        <f ca="1">IFERROR(__xludf.DUMMYFUNCTION("""COMPUTED_VALUE"""),"HI")</f>
        <v>HI</v>
      </c>
      <c r="O981" s="5" t="str">
        <f ca="1">IFERROR(__xludf.DUMMYFUNCTION("""COMPUTED_VALUE"""),"High")</f>
        <v>High</v>
      </c>
      <c r="P981" s="5" t="str">
        <f ca="1">IFERROR(__xludf.DUMMYFUNCTION("""COMPUTED_VALUE"""),"Office")</f>
        <v>Office</v>
      </c>
      <c r="Q981" s="5" t="str">
        <f ca="1">IFERROR(__xludf.DUMMYFUNCTION("""COMPUTED_VALUE"""),"Inside School Building")</f>
        <v>Inside School Building</v>
      </c>
      <c r="R981" s="5" t="str">
        <f ca="1">IFERROR(__xludf.DUMMYFUNCTION("""COMPUTED_VALUE"""),"No")</f>
        <v>No</v>
      </c>
      <c r="S981" s="5" t="str">
        <f ca="1">IFERROR(__xludf.DUMMYFUNCTION("""COMPUTED_VALUE"""),"Not a School Day")</f>
        <v>Not a School Day</v>
      </c>
      <c r="T981" s="10">
        <f ca="1">IFERROR(__xludf.DUMMYFUNCTION("""COMPUTED_VALUE"""),0.354166666666666)</f>
        <v>0.35416666666666602</v>
      </c>
      <c r="U981" s="5">
        <f ca="1">IFERROR(__xludf.DUMMYFUNCTION("""COMPUTED_VALUE"""),1)</f>
        <v>1</v>
      </c>
      <c r="V981" s="5" t="str">
        <f ca="1">IFERROR(__xludf.DUMMYFUNCTION("""COMPUTED_VALUE"""),"Officers fired a disorderly student")</f>
        <v>Officers fired a disorderly student</v>
      </c>
      <c r="W981"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X981" s="5" t="str">
        <f ca="1">IFERROR(__xludf.DUMMYFUNCTION("""COMPUTED_VALUE"""),"Illegal Activity")</f>
        <v>Illegal Activity</v>
      </c>
      <c r="Y981" s="5" t="str">
        <f ca="1">IFERROR(__xludf.DUMMYFUNCTION("""COMPUTED_VALUE"""),"Victims Targeted")</f>
        <v>Victims Targeted</v>
      </c>
      <c r="Z981" s="5" t="str">
        <f ca="1">IFERROR(__xludf.DUMMYFUNCTION("""COMPUTED_VALUE"""),"No")</f>
        <v>No</v>
      </c>
      <c r="AA981" s="5"/>
      <c r="AB981" s="5" t="str">
        <f ca="1">IFERROR(__xludf.DUMMYFUNCTION("""COMPUTED_VALUE"""),"No")</f>
        <v>No</v>
      </c>
      <c r="AC981" s="5" t="str">
        <f ca="1">IFERROR(__xludf.DUMMYFUNCTION("""COMPUTED_VALUE"""),"No")</f>
        <v>No</v>
      </c>
      <c r="AD981" s="5" t="str">
        <f ca="1">IFERROR(__xludf.DUMMYFUNCTION("""COMPUTED_VALUE"""),"Yes")</f>
        <v>Yes</v>
      </c>
      <c r="AE981" s="5" t="str">
        <f ca="1">IFERROR(__xludf.DUMMYFUNCTION("""COMPUTED_VALUE"""),"N/A")</f>
        <v>N/A</v>
      </c>
      <c r="AF981" s="5" t="str">
        <f ca="1">IFERROR(__xludf.DUMMYFUNCTION("""COMPUTED_VALUE"""),"N/A")</f>
        <v>N/A</v>
      </c>
      <c r="AG981" s="5" t="str">
        <f ca="1">IFERROR(__xludf.DUMMYFUNCTION("""COMPUTED_VALUE"""),"N/A")</f>
        <v>N/A</v>
      </c>
      <c r="AH981" s="5" t="str">
        <f ca="1">IFERROR(__xludf.DUMMYFUNCTION("""COMPUTED_VALUE"""),"N/A")</f>
        <v>N/A</v>
      </c>
    </row>
    <row r="982" spans="1:34" ht="12.75">
      <c r="A982" s="5" t="str">
        <f ca="1">IFERROR(__xludf.DUMMYFUNCTION("""COMPUTED_VALUE"""),"20140127ILREC")</f>
        <v>20140127ILREC</v>
      </c>
      <c r="B982" s="8">
        <f ca="1">IFERROR(__xludf.DUMMYFUNCTION("""COMPUTED_VALUE"""),41666)</f>
        <v>41666</v>
      </c>
      <c r="C982" s="5" t="str">
        <f ca="1">IFERROR(__xludf.DUMMYFUNCTION("""COMPUTED_VALUE"""),"Rebound High School")</f>
        <v>Rebound High School</v>
      </c>
      <c r="D982" s="5">
        <f ca="1">IFERROR(__xludf.DUMMYFUNCTION("""COMPUTED_VALUE"""),0)</f>
        <v>0</v>
      </c>
      <c r="E982" s="5">
        <f ca="1">IFERROR(__xludf.DUMMYFUNCTION("""COMPUTED_VALUE"""),1)</f>
        <v>1</v>
      </c>
      <c r="F982" s="5">
        <f ca="1">IFERROR(__xludf.DUMMYFUNCTION("""COMPUTED_VALUE"""),1)</f>
        <v>1</v>
      </c>
      <c r="G982" s="5">
        <f ca="1">IFERROR(__xludf.DUMMYFUNCTION("""COMPUTED_VALUE"""),0)</f>
        <v>0</v>
      </c>
      <c r="H982" s="9" t="str">
        <f ca="1">IFERROR(__xludf.DUMMYFUNCTION("""COMPUTED_VALUE"""),"http://www.kfvs12.com/story/24557239/1-injured-in-shooting-on-carbondale-school-parking-lot")</f>
        <v>http://www.kfvs12.com/story/24557239/1-injured-in-shooting-on-carbondale-school-parking-lot</v>
      </c>
      <c r="I982" s="5">
        <f ca="1">IFERROR(__xludf.DUMMYFUNCTION("""COMPUTED_VALUE"""),1)</f>
        <v>1</v>
      </c>
      <c r="J982" s="5" t="str">
        <f ca="1">IFERROR(__xludf.DUMMYFUNCTION("""COMPUTED_VALUE"""),"Local")</f>
        <v>Local</v>
      </c>
      <c r="K982" s="5">
        <f ca="1">IFERROR(__xludf.DUMMYFUNCTION("""COMPUTED_VALUE"""),2)</f>
        <v>2</v>
      </c>
      <c r="L982" s="5" t="str">
        <f ca="1">IFERROR(__xludf.DUMMYFUNCTION("""COMPUTED_VALUE"""),"Winter")</f>
        <v>Winter</v>
      </c>
      <c r="M982" s="5" t="str">
        <f ca="1">IFERROR(__xludf.DUMMYFUNCTION("""COMPUTED_VALUE"""),"Carbondale")</f>
        <v>Carbondale</v>
      </c>
      <c r="N982" s="5" t="str">
        <f ca="1">IFERROR(__xludf.DUMMYFUNCTION("""COMPUTED_VALUE"""),"IL")</f>
        <v>IL</v>
      </c>
      <c r="O982" s="5" t="str">
        <f ca="1">IFERROR(__xludf.DUMMYFUNCTION("""COMPUTED_VALUE"""),"High")</f>
        <v>High</v>
      </c>
      <c r="P982" s="5" t="str">
        <f ca="1">IFERROR(__xludf.DUMMYFUNCTION("""COMPUTED_VALUE"""),"Parking Lot")</f>
        <v>Parking Lot</v>
      </c>
      <c r="Q982" s="5" t="str">
        <f ca="1">IFERROR(__xludf.DUMMYFUNCTION("""COMPUTED_VALUE"""),"Outside on School Property")</f>
        <v>Outside on School Property</v>
      </c>
      <c r="R982" s="5" t="str">
        <f ca="1">IFERROR(__xludf.DUMMYFUNCTION("""COMPUTED_VALUE"""),"Yes")</f>
        <v>Yes</v>
      </c>
      <c r="S982" s="5" t="str">
        <f ca="1">IFERROR(__xludf.DUMMYFUNCTION("""COMPUTED_VALUE"""),"Lunch")</f>
        <v>Lunch</v>
      </c>
      <c r="T982" s="10">
        <f ca="1">IFERROR(__xludf.DUMMYFUNCTION("""COMPUTED_VALUE"""),0.5)</f>
        <v>0.5</v>
      </c>
      <c r="U982" s="5">
        <f ca="1">IFERROR(__xludf.DUMMYFUNCTION("""COMPUTED_VALUE"""),1)</f>
        <v>1</v>
      </c>
      <c r="V982" s="5" t="str">
        <f ca="1">IFERROR(__xludf.DUMMYFUNCTION("""COMPUTED_VALUE"""),"Argument at lunch in parking lot")</f>
        <v>Argument at lunch in parking lot</v>
      </c>
      <c r="W982"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X982" s="5" t="str">
        <f ca="1">IFERROR(__xludf.DUMMYFUNCTION("""COMPUTED_VALUE"""),"Escalation of Dispute")</f>
        <v>Escalation of Dispute</v>
      </c>
      <c r="Y982" s="5" t="str">
        <f ca="1">IFERROR(__xludf.DUMMYFUNCTION("""COMPUTED_VALUE"""),"Victims Targeted")</f>
        <v>Victims Targeted</v>
      </c>
      <c r="Z982" s="5" t="str">
        <f ca="1">IFERROR(__xludf.DUMMYFUNCTION("""COMPUTED_VALUE"""),"Yes")</f>
        <v>Yes</v>
      </c>
      <c r="AA982" s="5" t="str">
        <f ca="1">IFERROR(__xludf.DUMMYFUNCTION("""COMPUTED_VALUE"""),"17 YO male was arrested")</f>
        <v>17 YO male was arrested</v>
      </c>
      <c r="AB982" s="5" t="str">
        <f ca="1">IFERROR(__xludf.DUMMYFUNCTION("""COMPUTED_VALUE"""),"No")</f>
        <v>No</v>
      </c>
      <c r="AC982" s="5" t="str">
        <f ca="1">IFERROR(__xludf.DUMMYFUNCTION("""COMPUTED_VALUE"""),"No")</f>
        <v>No</v>
      </c>
      <c r="AD982" s="5" t="str">
        <f ca="1">IFERROR(__xludf.DUMMYFUNCTION("""COMPUTED_VALUE"""),"No")</f>
        <v>No</v>
      </c>
      <c r="AE982" s="5"/>
      <c r="AF982" s="5" t="str">
        <f ca="1">IFERROR(__xludf.DUMMYFUNCTION("""COMPUTED_VALUE"""),"No")</f>
        <v>No</v>
      </c>
      <c r="AG982" s="5" t="str">
        <f ca="1">IFERROR(__xludf.DUMMYFUNCTION("""COMPUTED_VALUE"""),"No")</f>
        <v>No</v>
      </c>
      <c r="AH982" s="5"/>
    </row>
    <row r="983" spans="1:34" ht="12.75">
      <c r="A983" s="5" t="str">
        <f ca="1">IFERROR(__xludf.DUMMYFUNCTION("""COMPUTED_VALUE"""),"20140117PADEP")</f>
        <v>20140117PADEP</v>
      </c>
      <c r="B983" s="8">
        <f ca="1">IFERROR(__xludf.DUMMYFUNCTION("""COMPUTED_VALUE"""),41656)</f>
        <v>41656</v>
      </c>
      <c r="C983" s="5" t="str">
        <f ca="1">IFERROR(__xludf.DUMMYFUNCTION("""COMPUTED_VALUE"""),"Delaware Valley Charter School")</f>
        <v>Delaware Valley Charter School</v>
      </c>
      <c r="D983" s="5">
        <f ca="1">IFERROR(__xludf.DUMMYFUNCTION("""COMPUTED_VALUE"""),0)</f>
        <v>0</v>
      </c>
      <c r="E983" s="5">
        <f ca="1">IFERROR(__xludf.DUMMYFUNCTION("""COMPUTED_VALUE"""),2)</f>
        <v>2</v>
      </c>
      <c r="F983" s="5">
        <f ca="1">IFERROR(__xludf.DUMMYFUNCTION("""COMPUTED_VALUE"""),2)</f>
        <v>2</v>
      </c>
      <c r="G983" s="5">
        <f ca="1">IFERROR(__xludf.DUMMYFUNCTION("""COMPUTED_VALUE"""),0)</f>
        <v>0</v>
      </c>
      <c r="H983" s="9" t="str">
        <f ca="1">IFERROR(__xludf.DUMMYFUNCTION("""COMPUTED_VALUE"""),"http://www.philly.com/philly/news/2nd_teen_charged_in_Delaware_Valley_Charter_High_School_shooting.html")</f>
        <v>http://www.philly.com/philly/news/2nd_teen_charged_in_Delaware_Valley_Charter_High_School_shooting.html</v>
      </c>
      <c r="I983" s="5"/>
      <c r="J983" s="5"/>
      <c r="K983" s="5">
        <f ca="1">IFERROR(__xludf.DUMMYFUNCTION("""COMPUTED_VALUE"""),2)</f>
        <v>2</v>
      </c>
      <c r="L983" s="5" t="str">
        <f ca="1">IFERROR(__xludf.DUMMYFUNCTION("""COMPUTED_VALUE"""),"Winter")</f>
        <v>Winter</v>
      </c>
      <c r="M983" s="5" t="str">
        <f ca="1">IFERROR(__xludf.DUMMYFUNCTION("""COMPUTED_VALUE"""),"Philadelphia")</f>
        <v>Philadelphia</v>
      </c>
      <c r="N983" s="5" t="str">
        <f ca="1">IFERROR(__xludf.DUMMYFUNCTION("""COMPUTED_VALUE"""),"PA")</f>
        <v>PA</v>
      </c>
      <c r="O983" s="5" t="str">
        <f ca="1">IFERROR(__xludf.DUMMYFUNCTION("""COMPUTED_VALUE"""),"High")</f>
        <v>High</v>
      </c>
      <c r="P983" s="5" t="str">
        <f ca="1">IFERROR(__xludf.DUMMYFUNCTION("""COMPUTED_VALUE"""),"Gym")</f>
        <v>Gym</v>
      </c>
      <c r="Q983" s="5" t="str">
        <f ca="1">IFERROR(__xludf.DUMMYFUNCTION("""COMPUTED_VALUE"""),"Inside School Building")</f>
        <v>Inside School Building</v>
      </c>
      <c r="R983" s="5" t="str">
        <f ca="1">IFERROR(__xludf.DUMMYFUNCTION("""COMPUTED_VALUE"""),"No")</f>
        <v>No</v>
      </c>
      <c r="S983" s="5" t="str">
        <f ca="1">IFERROR(__xludf.DUMMYFUNCTION("""COMPUTED_VALUE"""),"Sport Event")</f>
        <v>Sport Event</v>
      </c>
      <c r="T983" s="10">
        <f ca="1">IFERROR(__xludf.DUMMYFUNCTION("""COMPUTED_VALUE"""),0.645833333333333)</f>
        <v>0.64583333333333304</v>
      </c>
      <c r="U983" s="5">
        <f ca="1">IFERROR(__xludf.DUMMYFUNCTION("""COMPUTED_VALUE"""),1)</f>
        <v>1</v>
      </c>
      <c r="V983" s="5" t="str">
        <f ca="1">IFERROR(__xludf.DUMMYFUNCTION("""COMPUTED_VALUE"""),"Fight during afternoon basketball game")</f>
        <v>Fight during afternoon basketball game</v>
      </c>
      <c r="W983"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X983" s="5" t="str">
        <f ca="1">IFERROR(__xludf.DUMMYFUNCTION("""COMPUTED_VALUE"""),"Escalation of Dispute")</f>
        <v>Escalation of Dispute</v>
      </c>
      <c r="Y983" s="5" t="str">
        <f ca="1">IFERROR(__xludf.DUMMYFUNCTION("""COMPUTED_VALUE"""),"Both")</f>
        <v>Both</v>
      </c>
      <c r="Z983" s="5" t="str">
        <f ca="1">IFERROR(__xludf.DUMMYFUNCTION("""COMPUTED_VALUE"""),"No")</f>
        <v>No</v>
      </c>
      <c r="AA983" s="5"/>
      <c r="AB983" s="5" t="str">
        <f ca="1">IFERROR(__xludf.DUMMYFUNCTION("""COMPUTED_VALUE"""),"No")</f>
        <v>No</v>
      </c>
      <c r="AC983" s="5" t="str">
        <f ca="1">IFERROR(__xludf.DUMMYFUNCTION("""COMPUTED_VALUE"""),"No")</f>
        <v>No</v>
      </c>
      <c r="AD983" s="5" t="str">
        <f ca="1">IFERROR(__xludf.DUMMYFUNCTION("""COMPUTED_VALUE"""),"No")</f>
        <v>No</v>
      </c>
      <c r="AE983" s="5" t="str">
        <f ca="1">IFERROR(__xludf.DUMMYFUNCTION("""COMPUTED_VALUE"""),"No")</f>
        <v>No</v>
      </c>
      <c r="AF983" s="5" t="str">
        <f ca="1">IFERROR(__xludf.DUMMYFUNCTION("""COMPUTED_VALUE"""),"No")</f>
        <v>No</v>
      </c>
      <c r="AG983" s="5" t="str">
        <f ca="1">IFERROR(__xludf.DUMMYFUNCTION("""COMPUTED_VALUE"""),"No")</f>
        <v>No</v>
      </c>
      <c r="AH983" s="5"/>
    </row>
    <row r="984" spans="1:34" ht="12.75">
      <c r="A984" s="5" t="str">
        <f ca="1">IFERROR(__xludf.DUMMYFUNCTION("""COMPUTED_VALUE"""),"20140114PAKIL")</f>
        <v>20140114PAKIL</v>
      </c>
      <c r="B984" s="8">
        <f ca="1">IFERROR(__xludf.DUMMYFUNCTION("""COMPUTED_VALUE"""),41653)</f>
        <v>41653</v>
      </c>
      <c r="C984" s="5" t="str">
        <f ca="1">IFERROR(__xludf.DUMMYFUNCTION("""COMPUTED_VALUE"""),"King Elementary School")</f>
        <v>King Elementary School</v>
      </c>
      <c r="D984" s="5">
        <f ca="1">IFERROR(__xludf.DUMMYFUNCTION("""COMPUTED_VALUE"""),0)</f>
        <v>0</v>
      </c>
      <c r="E984" s="5">
        <f ca="1">IFERROR(__xludf.DUMMYFUNCTION("""COMPUTED_VALUE"""),0)</f>
        <v>0</v>
      </c>
      <c r="F984" s="5">
        <f ca="1">IFERROR(__xludf.DUMMYFUNCTION("""COMPUTED_VALUE"""),0)</f>
        <v>0</v>
      </c>
      <c r="G984" s="5">
        <f ca="1">IFERROR(__xludf.DUMMYFUNCTION("""COMPUTED_VALUE"""),0)</f>
        <v>0</v>
      </c>
      <c r="H984" s="9" t="str">
        <f ca="1">IFERROR(__xludf.DUMMYFUNCTION("""COMPUTED_VALUE"""),"https://www.wgal.com/article/police-shot-fired-at-elementary-school-playground/6229898")</f>
        <v>https://www.wgal.com/article/police-shot-fired-at-elementary-school-playground/6229898</v>
      </c>
      <c r="I984" s="5">
        <f ca="1">IFERROR(__xludf.DUMMYFUNCTION("""COMPUTED_VALUE"""),1)</f>
        <v>1</v>
      </c>
      <c r="J984" s="5" t="str">
        <f ca="1">IFERROR(__xludf.DUMMYFUNCTION("""COMPUTED_VALUE"""),"Local")</f>
        <v>Local</v>
      </c>
      <c r="K984" s="5">
        <f ca="1">IFERROR(__xludf.DUMMYFUNCTION("""COMPUTED_VALUE"""),2)</f>
        <v>2</v>
      </c>
      <c r="L984" s="5" t="str">
        <f ca="1">IFERROR(__xludf.DUMMYFUNCTION("""COMPUTED_VALUE"""),"Winter")</f>
        <v>Winter</v>
      </c>
      <c r="M984" s="5" t="str">
        <f ca="1">IFERROR(__xludf.DUMMYFUNCTION("""COMPUTED_VALUE"""),"Lancaster")</f>
        <v>Lancaster</v>
      </c>
      <c r="N984" s="5" t="str">
        <f ca="1">IFERROR(__xludf.DUMMYFUNCTION("""COMPUTED_VALUE"""),"PA")</f>
        <v>PA</v>
      </c>
      <c r="O984" s="5" t="str">
        <f ca="1">IFERROR(__xludf.DUMMYFUNCTION("""COMPUTED_VALUE"""),"Elementary")</f>
        <v>Elementary</v>
      </c>
      <c r="P984" s="5" t="str">
        <f ca="1">IFERROR(__xludf.DUMMYFUNCTION("""COMPUTED_VALUE"""),"Playground")</f>
        <v>Playground</v>
      </c>
      <c r="Q984" s="5" t="str">
        <f ca="1">IFERROR(__xludf.DUMMYFUNCTION("""COMPUTED_VALUE"""),"Outside on School Property")</f>
        <v>Outside on School Property</v>
      </c>
      <c r="R984" s="5" t="str">
        <f ca="1">IFERROR(__xludf.DUMMYFUNCTION("""COMPUTED_VALUE"""),"Yes")</f>
        <v>Yes</v>
      </c>
      <c r="S984" s="5" t="str">
        <f ca="1">IFERROR(__xludf.DUMMYFUNCTION("""COMPUTED_VALUE"""),"Afternoon Classes")</f>
        <v>Afternoon Classes</v>
      </c>
      <c r="T984" s="10">
        <f ca="1">IFERROR(__xludf.DUMMYFUNCTION("""COMPUTED_VALUE"""),0.616666666666666)</f>
        <v>0.61666666666666603</v>
      </c>
      <c r="U984" s="5">
        <f ca="1">IFERROR(__xludf.DUMMYFUNCTION("""COMPUTED_VALUE"""),1)</f>
        <v>1</v>
      </c>
      <c r="V984" s="5" t="str">
        <f ca="1">IFERROR(__xludf.DUMMYFUNCTION("""COMPUTED_VALUE"""),"Shot fired on school playground")</f>
        <v>Shot fired on school playground</v>
      </c>
      <c r="W984"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X984" s="5" t="str">
        <f ca="1">IFERROR(__xludf.DUMMYFUNCTION("""COMPUTED_VALUE"""),"Unknown")</f>
        <v>Unknown</v>
      </c>
      <c r="Y984" s="5"/>
      <c r="Z984" s="5" t="str">
        <f ca="1">IFERROR(__xludf.DUMMYFUNCTION("""COMPUTED_VALUE"""),"No")</f>
        <v>No</v>
      </c>
      <c r="AA984" s="5"/>
      <c r="AB984" s="5" t="str">
        <f ca="1">IFERROR(__xludf.DUMMYFUNCTION("""COMPUTED_VALUE"""),"No")</f>
        <v>No</v>
      </c>
      <c r="AC984" s="5" t="str">
        <f ca="1">IFERROR(__xludf.DUMMYFUNCTION("""COMPUTED_VALUE"""),"No")</f>
        <v>No</v>
      </c>
      <c r="AD984" s="5" t="str">
        <f ca="1">IFERROR(__xludf.DUMMYFUNCTION("""COMPUTED_VALUE"""),"No")</f>
        <v>No</v>
      </c>
      <c r="AE984" s="5" t="str">
        <f ca="1">IFERROR(__xludf.DUMMYFUNCTION("""COMPUTED_VALUE"""),"N/A")</f>
        <v>N/A</v>
      </c>
      <c r="AF984" s="5" t="str">
        <f ca="1">IFERROR(__xludf.DUMMYFUNCTION("""COMPUTED_VALUE"""),"No")</f>
        <v>No</v>
      </c>
      <c r="AG984" s="5"/>
      <c r="AH984" s="5"/>
    </row>
    <row r="985" spans="1:34" ht="12.75">
      <c r="A985" s="5" t="str">
        <f ca="1">IFERROR(__xludf.DUMMYFUNCTION("""COMPUTED_VALUE"""),"20140114NMBER")</f>
        <v>20140114NMBER</v>
      </c>
      <c r="B985" s="8">
        <f ca="1">IFERROR(__xludf.DUMMYFUNCTION("""COMPUTED_VALUE"""),41653)</f>
        <v>41653</v>
      </c>
      <c r="C985" s="5" t="str">
        <f ca="1">IFERROR(__xludf.DUMMYFUNCTION("""COMPUTED_VALUE"""),"Berrendo Middle School")</f>
        <v>Berrendo Middle School</v>
      </c>
      <c r="D985" s="5">
        <f ca="1">IFERROR(__xludf.DUMMYFUNCTION("""COMPUTED_VALUE"""),0)</f>
        <v>0</v>
      </c>
      <c r="E985" s="5">
        <f ca="1">IFERROR(__xludf.DUMMYFUNCTION("""COMPUTED_VALUE"""),2)</f>
        <v>2</v>
      </c>
      <c r="F985" s="5">
        <f ca="1">IFERROR(__xludf.DUMMYFUNCTION("""COMPUTED_VALUE"""),2)</f>
        <v>2</v>
      </c>
      <c r="G985" s="5">
        <f ca="1">IFERROR(__xludf.DUMMYFUNCTION("""COMPUTED_VALUE"""),0)</f>
        <v>0</v>
      </c>
      <c r="H985" s="5" t="str">
        <f ca="1">IFERROR(__xludf.DUMMYFUNCTION("""COMPUTED_VALUE"""),"https://www.kcbd.com/2021/10/15/survivor-roswell-school-shooting-urges-adults-teach-kids-gun-safety/ https://www.cnn.com/2014/01/15/justice/new-mexico-school-shooting/ https://www.fbi.gov/file-repository/active-shooter-incidents-2000-2017.pdf")</f>
        <v>https://www.kcbd.com/2021/10/15/survivor-roswell-school-shooting-urges-adults-teach-kids-gun-safety/ https://www.cnn.com/2014/01/15/justice/new-mexico-school-shooting/ https://www.fbi.gov/file-repository/active-shooter-incidents-2000-2017.pdf</v>
      </c>
      <c r="I985" s="5">
        <f ca="1">IFERROR(__xludf.DUMMYFUNCTION("""COMPUTED_VALUE"""),11)</f>
        <v>11</v>
      </c>
      <c r="J985" s="5" t="str">
        <f ca="1">IFERROR(__xludf.DUMMYFUNCTION("""COMPUTED_VALUE"""),"National")</f>
        <v>National</v>
      </c>
      <c r="K985" s="5">
        <f ca="1">IFERROR(__xludf.DUMMYFUNCTION("""COMPUTED_VALUE"""),5)</f>
        <v>5</v>
      </c>
      <c r="L985" s="5" t="str">
        <f ca="1">IFERROR(__xludf.DUMMYFUNCTION("""COMPUTED_VALUE"""),"Winter")</f>
        <v>Winter</v>
      </c>
      <c r="M985" s="5" t="str">
        <f ca="1">IFERROR(__xludf.DUMMYFUNCTION("""COMPUTED_VALUE"""),"Roswell")</f>
        <v>Roswell</v>
      </c>
      <c r="N985" s="5" t="str">
        <f ca="1">IFERROR(__xludf.DUMMYFUNCTION("""COMPUTED_VALUE"""),"NM")</f>
        <v>NM</v>
      </c>
      <c r="O985" s="5" t="str">
        <f ca="1">IFERROR(__xludf.DUMMYFUNCTION("""COMPUTED_VALUE"""),"Middle")</f>
        <v>Middle</v>
      </c>
      <c r="P985" s="5" t="str">
        <f ca="1">IFERROR(__xludf.DUMMYFUNCTION("""COMPUTED_VALUE"""),"Gym")</f>
        <v>Gym</v>
      </c>
      <c r="Q985" s="5" t="str">
        <f ca="1">IFERROR(__xludf.DUMMYFUNCTION("""COMPUTED_VALUE"""),"Inside School Building")</f>
        <v>Inside School Building</v>
      </c>
      <c r="R985" s="5" t="str">
        <f ca="1">IFERROR(__xludf.DUMMYFUNCTION("""COMPUTED_VALUE"""),"Yes")</f>
        <v>Yes</v>
      </c>
      <c r="S985" s="5" t="str">
        <f ca="1">IFERROR(__xludf.DUMMYFUNCTION("""COMPUTED_VALUE"""),"Before School")</f>
        <v>Before School</v>
      </c>
      <c r="T985" s="10">
        <f ca="1">IFERROR(__xludf.DUMMYFUNCTION("""COMPUTED_VALUE"""),0.3125)</f>
        <v>0.3125</v>
      </c>
      <c r="U985" s="5">
        <f ca="1">IFERROR(__xludf.DUMMYFUNCTION("""COMPUTED_VALUE"""),1)</f>
        <v>1</v>
      </c>
      <c r="V985" s="5" t="str">
        <f ca="1">IFERROR(__xludf.DUMMYFUNCTION("""COMPUTED_VALUE"""),"Planned attack at school due to bullying")</f>
        <v>Planned attack at school due to bullying</v>
      </c>
      <c r="W985"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X985" s="5" t="str">
        <f ca="1">IFERROR(__xludf.DUMMYFUNCTION("""COMPUTED_VALUE"""),"Bullying")</f>
        <v>Bullying</v>
      </c>
      <c r="Y985" s="5" t="str">
        <f ca="1">IFERROR(__xludf.DUMMYFUNCTION("""COMPUTED_VALUE"""),"Random Shooting")</f>
        <v>Random Shooting</v>
      </c>
      <c r="Z985" s="5" t="str">
        <f ca="1">IFERROR(__xludf.DUMMYFUNCTION("""COMPUTED_VALUE"""),"No")</f>
        <v>No</v>
      </c>
      <c r="AA985" s="5"/>
      <c r="AB985" s="5" t="str">
        <f ca="1">IFERROR(__xludf.DUMMYFUNCTION("""COMPUTED_VALUE"""),"No")</f>
        <v>No</v>
      </c>
      <c r="AC985" s="5" t="str">
        <f ca="1">IFERROR(__xludf.DUMMYFUNCTION("""COMPUTED_VALUE"""),"No")</f>
        <v>No</v>
      </c>
      <c r="AD985" s="5" t="str">
        <f ca="1">IFERROR(__xludf.DUMMYFUNCTION("""COMPUTED_VALUE"""),"No")</f>
        <v>No</v>
      </c>
      <c r="AE985" s="5" t="str">
        <f ca="1">IFERROR(__xludf.DUMMYFUNCTION("""COMPUTED_VALUE"""),"Yes")</f>
        <v>Yes</v>
      </c>
      <c r="AF985" s="5" t="str">
        <f ca="1">IFERROR(__xludf.DUMMYFUNCTION("""COMPUTED_VALUE"""),"No")</f>
        <v>No</v>
      </c>
      <c r="AG985" s="5" t="str">
        <f ca="1">IFERROR(__xludf.DUMMYFUNCTION("""COMPUTED_VALUE"""),"No")</f>
        <v>No</v>
      </c>
      <c r="AH985" s="5" t="str">
        <f ca="1">IFERROR(__xludf.DUMMYFUNCTION("""COMPUTED_VALUE"""),"Yes")</f>
        <v>Yes</v>
      </c>
    </row>
    <row r="986" spans="1:34" ht="12.75">
      <c r="A986" s="5" t="str">
        <f ca="1">IFERROR(__xludf.DUMMYFUNCTION("""COMPUTED_VALUE"""),"20140114LASTB")</f>
        <v>20140114LASTB</v>
      </c>
      <c r="B986" s="8">
        <f ca="1">IFERROR(__xludf.DUMMYFUNCTION("""COMPUTED_VALUE"""),41653)</f>
        <v>41653</v>
      </c>
      <c r="C986" s="5" t="str">
        <f ca="1">IFERROR(__xludf.DUMMYFUNCTION("""COMPUTED_VALUE"""),"St. James High School")</f>
        <v>St. James High School</v>
      </c>
      <c r="D986" s="5">
        <f ca="1">IFERROR(__xludf.DUMMYFUNCTION("""COMPUTED_VALUE"""),0)</f>
        <v>0</v>
      </c>
      <c r="E986" s="5">
        <f ca="1">IFERROR(__xludf.DUMMYFUNCTION("""COMPUTED_VALUE"""),1)</f>
        <v>1</v>
      </c>
      <c r="F986" s="5">
        <f ca="1">IFERROR(__xludf.DUMMYFUNCTION("""COMPUTED_VALUE"""),1)</f>
        <v>1</v>
      </c>
      <c r="G986" s="5">
        <f ca="1">IFERROR(__xludf.DUMMYFUNCTION("""COMPUTED_VALUE"""),0)</f>
        <v>0</v>
      </c>
      <c r="H986" s="9" t="str">
        <f ca="1">IFERROR(__xludf.DUMMYFUNCTION("""COMPUTED_VALUE"""),"https://www.wbrz.com/news/man-sentenced-to-15-years-for-2014-drive-by-shooting-outside-of-st-james-high-school/")</f>
        <v>https://www.wbrz.com/news/man-sentenced-to-15-years-for-2014-drive-by-shooting-outside-of-st-james-high-school/</v>
      </c>
      <c r="I986" s="5"/>
      <c r="J986" s="5"/>
      <c r="K986" s="5">
        <f ca="1">IFERROR(__xludf.DUMMYFUNCTION("""COMPUTED_VALUE"""),4)</f>
        <v>4</v>
      </c>
      <c r="L986" s="5" t="str">
        <f ca="1">IFERROR(__xludf.DUMMYFUNCTION("""COMPUTED_VALUE"""),"Winter")</f>
        <v>Winter</v>
      </c>
      <c r="M986" s="5" t="str">
        <f ca="1">IFERROR(__xludf.DUMMYFUNCTION("""COMPUTED_VALUE"""),"Baton Rouge")</f>
        <v>Baton Rouge</v>
      </c>
      <c r="N986" s="5" t="str">
        <f ca="1">IFERROR(__xludf.DUMMYFUNCTION("""COMPUTED_VALUE"""),"LA")</f>
        <v>LA</v>
      </c>
      <c r="O986" s="5" t="str">
        <f ca="1">IFERROR(__xludf.DUMMYFUNCTION("""COMPUTED_VALUE"""),"High")</f>
        <v>High</v>
      </c>
      <c r="P986" s="5" t="str">
        <f ca="1">IFERROR(__xludf.DUMMYFUNCTION("""COMPUTED_VALUE"""),"Parking Lot")</f>
        <v>Parking Lot</v>
      </c>
      <c r="Q986" s="5" t="str">
        <f ca="1">IFERROR(__xludf.DUMMYFUNCTION("""COMPUTED_VALUE"""),"Outside on School Property")</f>
        <v>Outside on School Property</v>
      </c>
      <c r="R986" s="5" t="str">
        <f ca="1">IFERROR(__xludf.DUMMYFUNCTION("""COMPUTED_VALUE"""),"No")</f>
        <v>No</v>
      </c>
      <c r="S986" s="5" t="str">
        <f ca="1">IFERROR(__xludf.DUMMYFUNCTION("""COMPUTED_VALUE"""),"Sport Event")</f>
        <v>Sport Event</v>
      </c>
      <c r="T986" s="5"/>
      <c r="U986" s="5">
        <f ca="1">IFERROR(__xludf.DUMMYFUNCTION("""COMPUTED_VALUE"""),1)</f>
        <v>1</v>
      </c>
      <c r="V986" s="5" t="str">
        <f ca="1">IFERROR(__xludf.DUMMYFUNCTION("""COMPUTED_VALUE"""),"Drive by shooting after basketball game")</f>
        <v>Drive by shooting after basketball game</v>
      </c>
      <c r="W986" s="5" t="str">
        <f ca="1">IFERROR(__xludf.DUMMYFUNCTION("""COMPUTED_VALUE"""),"17YOM shot 19YOM in targeted drive by shooting outside of high school basketball game.")</f>
        <v>17YOM shot 19YOM in targeted drive by shooting outside of high school basketball game.</v>
      </c>
      <c r="X986" s="5" t="str">
        <f ca="1">IFERROR(__xludf.DUMMYFUNCTION("""COMPUTED_VALUE"""),"Drive-by Shooting")</f>
        <v>Drive-by Shooting</v>
      </c>
      <c r="Y986" s="5" t="str">
        <f ca="1">IFERROR(__xludf.DUMMYFUNCTION("""COMPUTED_VALUE"""),"Victims Targeted")</f>
        <v>Victims Targeted</v>
      </c>
      <c r="Z986" s="5" t="str">
        <f ca="1">IFERROR(__xludf.DUMMYFUNCTION("""COMPUTED_VALUE"""),"No")</f>
        <v>No</v>
      </c>
      <c r="AA986" s="5"/>
      <c r="AB986" s="5" t="str">
        <f ca="1">IFERROR(__xludf.DUMMYFUNCTION("""COMPUTED_VALUE"""),"No")</f>
        <v>No</v>
      </c>
      <c r="AC986" s="5" t="str">
        <f ca="1">IFERROR(__xludf.DUMMYFUNCTION("""COMPUTED_VALUE"""),"No")</f>
        <v>No</v>
      </c>
      <c r="AD986" s="5" t="str">
        <f ca="1">IFERROR(__xludf.DUMMYFUNCTION("""COMPUTED_VALUE"""),"No")</f>
        <v>No</v>
      </c>
      <c r="AE986" s="5" t="str">
        <f ca="1">IFERROR(__xludf.DUMMYFUNCTION("""COMPUTED_VALUE"""),"No")</f>
        <v>No</v>
      </c>
      <c r="AF986" s="5" t="str">
        <f ca="1">IFERROR(__xludf.DUMMYFUNCTION("""COMPUTED_VALUE"""),"No")</f>
        <v>No</v>
      </c>
      <c r="AG986" s="5" t="str">
        <f ca="1">IFERROR(__xludf.DUMMYFUNCTION("""COMPUTED_VALUE"""),"No")</f>
        <v>No</v>
      </c>
      <c r="AH986" s="5" t="str">
        <f ca="1">IFERROR(__xludf.DUMMYFUNCTION("""COMPUTED_VALUE"""),"No")</f>
        <v>No</v>
      </c>
    </row>
    <row r="987" spans="1:34" ht="12.75">
      <c r="A987" s="5" t="str">
        <f ca="1">IFERROR(__xludf.DUMMYFUNCTION("""COMPUTED_VALUE"""),"20140113CTHIN")</f>
        <v>20140113CTHIN</v>
      </c>
      <c r="B987" s="8">
        <f ca="1">IFERROR(__xludf.DUMMYFUNCTION("""COMPUTED_VALUE"""),41652)</f>
        <v>41652</v>
      </c>
      <c r="C987" s="5" t="str">
        <f ca="1">IFERROR(__xludf.DUMMYFUNCTION("""COMPUTED_VALUE"""),"Hillhouse High School")</f>
        <v>Hillhouse High School</v>
      </c>
      <c r="D987" s="5">
        <f ca="1">IFERROR(__xludf.DUMMYFUNCTION("""COMPUTED_VALUE"""),0)</f>
        <v>0</v>
      </c>
      <c r="E987" s="5">
        <f ca="1">IFERROR(__xludf.DUMMYFUNCTION("""COMPUTED_VALUE"""),1)</f>
        <v>1</v>
      </c>
      <c r="F987" s="5">
        <f ca="1">IFERROR(__xludf.DUMMYFUNCTION("""COMPUTED_VALUE"""),1)</f>
        <v>1</v>
      </c>
      <c r="G987" s="5">
        <f ca="1">IFERROR(__xludf.DUMMYFUNCTION("""COMPUTED_VALUE"""),0)</f>
        <v>0</v>
      </c>
      <c r="H987" s="9" t="str">
        <f ca="1">IFERROR(__xludf.DUMMYFUNCTION("""COMPUTED_VALUE"""),"https://www.nhregister.com/connecticut/article/New-Haven-teen-to-serve-6-years-in-two-shooting-11351580.php")</f>
        <v>https://www.nhregister.com/connecticut/article/New-Haven-teen-to-serve-6-years-in-two-shooting-11351580.php</v>
      </c>
      <c r="I987" s="5">
        <f ca="1">IFERROR(__xludf.DUMMYFUNCTION("""COMPUTED_VALUE"""),1)</f>
        <v>1</v>
      </c>
      <c r="J987" s="5" t="str">
        <f ca="1">IFERROR(__xludf.DUMMYFUNCTION("""COMPUTED_VALUE"""),"Local")</f>
        <v>Local</v>
      </c>
      <c r="K987" s="5">
        <f ca="1">IFERROR(__xludf.DUMMYFUNCTION("""COMPUTED_VALUE"""),2)</f>
        <v>2</v>
      </c>
      <c r="L987" s="5" t="str">
        <f ca="1">IFERROR(__xludf.DUMMYFUNCTION("""COMPUTED_VALUE"""),"Winter")</f>
        <v>Winter</v>
      </c>
      <c r="M987" s="5" t="str">
        <f ca="1">IFERROR(__xludf.DUMMYFUNCTION("""COMPUTED_VALUE"""),"New Haven")</f>
        <v>New Haven</v>
      </c>
      <c r="N987" s="5" t="str">
        <f ca="1">IFERROR(__xludf.DUMMYFUNCTION("""COMPUTED_VALUE"""),"CT")</f>
        <v>CT</v>
      </c>
      <c r="O987" s="5" t="str">
        <f ca="1">IFERROR(__xludf.DUMMYFUNCTION("""COMPUTED_VALUE"""),"High")</f>
        <v>High</v>
      </c>
      <c r="P987" s="5" t="str">
        <f ca="1">IFERROR(__xludf.DUMMYFUNCTION("""COMPUTED_VALUE"""),"Basketball Court")</f>
        <v>Basketball Court</v>
      </c>
      <c r="Q987" s="5" t="str">
        <f ca="1">IFERROR(__xludf.DUMMYFUNCTION("""COMPUTED_VALUE"""),"Outside on School Property")</f>
        <v>Outside on School Property</v>
      </c>
      <c r="R987" s="5" t="str">
        <f ca="1">IFERROR(__xludf.DUMMYFUNCTION("""COMPUTED_VALUE"""),"No")</f>
        <v>No</v>
      </c>
      <c r="S987" s="5" t="str">
        <f ca="1">IFERROR(__xludf.DUMMYFUNCTION("""COMPUTED_VALUE"""),"Sport Event")</f>
        <v>Sport Event</v>
      </c>
      <c r="T987" s="10">
        <f ca="1">IFERROR(__xludf.DUMMYFUNCTION("""COMPUTED_VALUE"""),0.826388888888888)</f>
        <v>0.82638888888888795</v>
      </c>
      <c r="U987" s="5">
        <f ca="1">IFERROR(__xludf.DUMMYFUNCTION("""COMPUTED_VALUE"""),1)</f>
        <v>1</v>
      </c>
      <c r="V987" s="5" t="str">
        <f ca="1">IFERROR(__xludf.DUMMYFUNCTION("""COMPUTED_VALUE"""),"Fight between rival basketball teams")</f>
        <v>Fight between rival basketball teams</v>
      </c>
      <c r="W987"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X987" s="5" t="str">
        <f ca="1">IFERROR(__xludf.DUMMYFUNCTION("""COMPUTED_VALUE"""),"Escalation of Dispute")</f>
        <v>Escalation of Dispute</v>
      </c>
      <c r="Y987" s="5" t="str">
        <f ca="1">IFERROR(__xludf.DUMMYFUNCTION("""COMPUTED_VALUE"""),"Victims Targeted")</f>
        <v>Victims Targeted</v>
      </c>
      <c r="Z987" s="5" t="str">
        <f ca="1">IFERROR(__xludf.DUMMYFUNCTION("""COMPUTED_VALUE"""),"No")</f>
        <v>No</v>
      </c>
      <c r="AA987" s="5"/>
      <c r="AB987" s="5" t="str">
        <f ca="1">IFERROR(__xludf.DUMMYFUNCTION("""COMPUTED_VALUE"""),"No")</f>
        <v>No</v>
      </c>
      <c r="AC987" s="5" t="str">
        <f ca="1">IFERROR(__xludf.DUMMYFUNCTION("""COMPUTED_VALUE"""),"No")</f>
        <v>No</v>
      </c>
      <c r="AD987" s="5" t="str">
        <f ca="1">IFERROR(__xludf.DUMMYFUNCTION("""COMPUTED_VALUE"""),"No")</f>
        <v>No</v>
      </c>
      <c r="AE987" s="5" t="str">
        <f ca="1">IFERROR(__xludf.DUMMYFUNCTION("""COMPUTED_VALUE"""),"No")</f>
        <v>No</v>
      </c>
      <c r="AF987" s="5" t="str">
        <f ca="1">IFERROR(__xludf.DUMMYFUNCTION("""COMPUTED_VALUE"""),"No")</f>
        <v>No</v>
      </c>
      <c r="AG987" s="5" t="str">
        <f ca="1">IFERROR(__xludf.DUMMYFUNCTION("""COMPUTED_VALUE"""),"Yes")</f>
        <v>Yes</v>
      </c>
      <c r="AH987" s="5"/>
    </row>
    <row r="988" spans="1:34" ht="12.75">
      <c r="A988" s="5" t="str">
        <f ca="1">IFERROR(__xludf.DUMMYFUNCTION("""COMPUTED_VALUE"""),"20140109TNLIJ")</f>
        <v>20140109TNLIJ</v>
      </c>
      <c r="B988" s="8">
        <f ca="1">IFERROR(__xludf.DUMMYFUNCTION("""COMPUTED_VALUE"""),41648)</f>
        <v>41648</v>
      </c>
      <c r="C988" s="5" t="str">
        <f ca="1">IFERROR(__xludf.DUMMYFUNCTION("""COMPUTED_VALUE"""),"Liberty Technology Magnet High School")</f>
        <v>Liberty Technology Magnet High School</v>
      </c>
      <c r="D988" s="5">
        <f ca="1">IFERROR(__xludf.DUMMYFUNCTION("""COMPUTED_VALUE"""),0)</f>
        <v>0</v>
      </c>
      <c r="E988" s="5">
        <f ca="1">IFERROR(__xludf.DUMMYFUNCTION("""COMPUTED_VALUE"""),1)</f>
        <v>1</v>
      </c>
      <c r="F988" s="5">
        <f ca="1">IFERROR(__xludf.DUMMYFUNCTION("""COMPUTED_VALUE"""),1)</f>
        <v>1</v>
      </c>
      <c r="G988" s="5">
        <f ca="1">IFERROR(__xludf.DUMMYFUNCTION("""COMPUTED_VALUE"""),0)</f>
        <v>0</v>
      </c>
      <c r="H988" s="9" t="str">
        <f ca="1">IFERROR(__xludf.DUMMYFUNCTION("""COMPUTED_VALUE"""),"http://www.wbbjtv.com/2014/01/10/police-charge-suspect-in-liberty-tech-shooting/")</f>
        <v>http://www.wbbjtv.com/2014/01/10/police-charge-suspect-in-liberty-tech-shooting/</v>
      </c>
      <c r="I988" s="5">
        <f ca="1">IFERROR(__xludf.DUMMYFUNCTION("""COMPUTED_VALUE"""),1)</f>
        <v>1</v>
      </c>
      <c r="J988" s="5" t="str">
        <f ca="1">IFERROR(__xludf.DUMMYFUNCTION("""COMPUTED_VALUE"""),"Local")</f>
        <v>Local</v>
      </c>
      <c r="K988" s="5">
        <f ca="1">IFERROR(__xludf.DUMMYFUNCTION("""COMPUTED_VALUE"""),2)</f>
        <v>2</v>
      </c>
      <c r="L988" s="5" t="str">
        <f ca="1">IFERROR(__xludf.DUMMYFUNCTION("""COMPUTED_VALUE"""),"Winter")</f>
        <v>Winter</v>
      </c>
      <c r="M988" s="5" t="str">
        <f ca="1">IFERROR(__xludf.DUMMYFUNCTION("""COMPUTED_VALUE"""),"Jackson")</f>
        <v>Jackson</v>
      </c>
      <c r="N988" s="5" t="str">
        <f ca="1">IFERROR(__xludf.DUMMYFUNCTION("""COMPUTED_VALUE"""),"TN")</f>
        <v>TN</v>
      </c>
      <c r="O988" s="5" t="str">
        <f ca="1">IFERROR(__xludf.DUMMYFUNCTION("""COMPUTED_VALUE"""),"High")</f>
        <v>High</v>
      </c>
      <c r="P988" s="5" t="str">
        <f ca="1">IFERROR(__xludf.DUMMYFUNCTION("""COMPUTED_VALUE"""),"Parking Lot")</f>
        <v>Parking Lot</v>
      </c>
      <c r="Q988" s="5" t="str">
        <f ca="1">IFERROR(__xludf.DUMMYFUNCTION("""COMPUTED_VALUE"""),"Outside on School Property")</f>
        <v>Outside on School Property</v>
      </c>
      <c r="R988" s="5" t="str">
        <f ca="1">IFERROR(__xludf.DUMMYFUNCTION("""COMPUTED_VALUE"""),"No")</f>
        <v>No</v>
      </c>
      <c r="S988" s="5" t="str">
        <f ca="1">IFERROR(__xludf.DUMMYFUNCTION("""COMPUTED_VALUE"""),"Dismissal")</f>
        <v>Dismissal</v>
      </c>
      <c r="T988" s="10">
        <f ca="1">IFERROR(__xludf.DUMMYFUNCTION("""COMPUTED_VALUE"""),0.597916666666666)</f>
        <v>0.59791666666666599</v>
      </c>
      <c r="U988" s="5">
        <f ca="1">IFERROR(__xludf.DUMMYFUNCTION("""COMPUTED_VALUE"""),1)</f>
        <v>1</v>
      </c>
      <c r="V988" s="5" t="str">
        <f ca="1">IFERROR(__xludf.DUMMYFUNCTION("""COMPUTED_VALUE"""),"Fight about a girl in parking lot")</f>
        <v>Fight about a girl in parking lot</v>
      </c>
      <c r="W988"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X988" s="5" t="str">
        <f ca="1">IFERROR(__xludf.DUMMYFUNCTION("""COMPUTED_VALUE"""),"Escalation of Dispute")</f>
        <v>Escalation of Dispute</v>
      </c>
      <c r="Y988" s="5" t="str">
        <f ca="1">IFERROR(__xludf.DUMMYFUNCTION("""COMPUTED_VALUE"""),"Victims Targeted")</f>
        <v>Victims Targeted</v>
      </c>
      <c r="Z988" s="5" t="str">
        <f ca="1">IFERROR(__xludf.DUMMYFUNCTION("""COMPUTED_VALUE"""),"No")</f>
        <v>No</v>
      </c>
      <c r="AA988" s="5"/>
      <c r="AB988" s="5" t="str">
        <f ca="1">IFERROR(__xludf.DUMMYFUNCTION("""COMPUTED_VALUE"""),"No")</f>
        <v>No</v>
      </c>
      <c r="AC988" s="5" t="str">
        <f ca="1">IFERROR(__xludf.DUMMYFUNCTION("""COMPUTED_VALUE"""),"No")</f>
        <v>No</v>
      </c>
      <c r="AD988" s="5" t="str">
        <f ca="1">IFERROR(__xludf.DUMMYFUNCTION("""COMPUTED_VALUE"""),"No")</f>
        <v>No</v>
      </c>
      <c r="AE988" s="5" t="str">
        <f ca="1">IFERROR(__xludf.DUMMYFUNCTION("""COMPUTED_VALUE"""),"No")</f>
        <v>No</v>
      </c>
      <c r="AF988" s="5" t="str">
        <f ca="1">IFERROR(__xludf.DUMMYFUNCTION("""COMPUTED_VALUE"""),"No")</f>
        <v>No</v>
      </c>
      <c r="AG988" s="5" t="str">
        <f ca="1">IFERROR(__xludf.DUMMYFUNCTION("""COMPUTED_VALUE"""),"No")</f>
        <v>No</v>
      </c>
      <c r="AH988" s="5"/>
    </row>
    <row r="989" spans="1:34" ht="12.75">
      <c r="A989" s="5" t="str">
        <f ca="1">IFERROR(__xludf.DUMMYFUNCTION("""COMPUTED_VALUE"""),"20131219CAEDF")</f>
        <v>20131219CAEDF</v>
      </c>
      <c r="B989" s="8">
        <f ca="1">IFERROR(__xludf.DUMMYFUNCTION("""COMPUTED_VALUE"""),41627)</f>
        <v>41627</v>
      </c>
      <c r="C989" s="5" t="str">
        <f ca="1">IFERROR(__xludf.DUMMYFUNCTION("""COMPUTED_VALUE"""),"Edison High School")</f>
        <v>Edison High School</v>
      </c>
      <c r="D989" s="5">
        <f ca="1">IFERROR(__xludf.DUMMYFUNCTION("""COMPUTED_VALUE"""),0)</f>
        <v>0</v>
      </c>
      <c r="E989" s="5">
        <f ca="1">IFERROR(__xludf.DUMMYFUNCTION("""COMPUTED_VALUE"""),1)</f>
        <v>1</v>
      </c>
      <c r="F989" s="5">
        <f ca="1">IFERROR(__xludf.DUMMYFUNCTION("""COMPUTED_VALUE"""),1)</f>
        <v>1</v>
      </c>
      <c r="G989" s="5">
        <f ca="1">IFERROR(__xludf.DUMMYFUNCTION("""COMPUTED_VALUE"""),0)</f>
        <v>0</v>
      </c>
      <c r="H989" s="9" t="str">
        <f ca="1">IFERROR(__xludf.DUMMYFUNCTION("""COMPUTED_VALUE"""),"https://kmph.com/archive/fresno-police-arrest-four-teens-related-to-edison-high-school-shooting")</f>
        <v>https://kmph.com/archive/fresno-police-arrest-four-teens-related-to-edison-high-school-shooting</v>
      </c>
      <c r="I989" s="5">
        <f ca="1">IFERROR(__xludf.DUMMYFUNCTION("""COMPUTED_VALUE"""),1)</f>
        <v>1</v>
      </c>
      <c r="J989" s="5" t="str">
        <f ca="1">IFERROR(__xludf.DUMMYFUNCTION("""COMPUTED_VALUE"""),"Local")</f>
        <v>Local</v>
      </c>
      <c r="K989" s="5">
        <f ca="1">IFERROR(__xludf.DUMMYFUNCTION("""COMPUTED_VALUE"""),2)</f>
        <v>2</v>
      </c>
      <c r="L989" s="5" t="str">
        <f ca="1">IFERROR(__xludf.DUMMYFUNCTION("""COMPUTED_VALUE"""),"Winter")</f>
        <v>Winter</v>
      </c>
      <c r="M989" s="5" t="str">
        <f ca="1">IFERROR(__xludf.DUMMYFUNCTION("""COMPUTED_VALUE"""),"Fresno")</f>
        <v>Fresno</v>
      </c>
      <c r="N989" s="5" t="str">
        <f ca="1">IFERROR(__xludf.DUMMYFUNCTION("""COMPUTED_VALUE"""),"CA")</f>
        <v>CA</v>
      </c>
      <c r="O989" s="5" t="str">
        <f ca="1">IFERROR(__xludf.DUMMYFUNCTION("""COMPUTED_VALUE"""),"High")</f>
        <v>High</v>
      </c>
      <c r="P989" s="5" t="str">
        <f ca="1">IFERROR(__xludf.DUMMYFUNCTION("""COMPUTED_VALUE"""),"Gym")</f>
        <v>Gym</v>
      </c>
      <c r="Q989" s="5" t="str">
        <f ca="1">IFERROR(__xludf.DUMMYFUNCTION("""COMPUTED_VALUE"""),"Inside School Building")</f>
        <v>Inside School Building</v>
      </c>
      <c r="R989" s="5" t="str">
        <f ca="1">IFERROR(__xludf.DUMMYFUNCTION("""COMPUTED_VALUE"""),"No")</f>
        <v>No</v>
      </c>
      <c r="S989" s="5" t="str">
        <f ca="1">IFERROR(__xludf.DUMMYFUNCTION("""COMPUTED_VALUE"""),"Evening")</f>
        <v>Evening</v>
      </c>
      <c r="T989" s="10">
        <f ca="1">IFERROR(__xludf.DUMMYFUNCTION("""COMPUTED_VALUE"""),0.791666666666666)</f>
        <v>0.79166666666666596</v>
      </c>
      <c r="U989" s="5">
        <f ca="1">IFERROR(__xludf.DUMMYFUNCTION("""COMPUTED_VALUE"""),1)</f>
        <v>1</v>
      </c>
      <c r="V989" s="5" t="str">
        <f ca="1">IFERROR(__xludf.DUMMYFUNCTION("""COMPUTED_VALUE"""),"Attempted robbery, victims random, spontaneous act")</f>
        <v>Attempted robbery, victims random, spontaneous act</v>
      </c>
      <c r="W989"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X989" s="5" t="str">
        <f ca="1">IFERROR(__xludf.DUMMYFUNCTION("""COMPUTED_VALUE"""),"Illegal Activity")</f>
        <v>Illegal Activity</v>
      </c>
      <c r="Y989" s="5" t="str">
        <f ca="1">IFERROR(__xludf.DUMMYFUNCTION("""COMPUTED_VALUE"""),"Random Shooting")</f>
        <v>Random Shooting</v>
      </c>
      <c r="Z989" s="5" t="str">
        <f ca="1">IFERROR(__xludf.DUMMYFUNCTION("""COMPUTED_VALUE"""),"Yes")</f>
        <v>Yes</v>
      </c>
      <c r="AA989" s="5" t="str">
        <f ca="1">IFERROR(__xludf.DUMMYFUNCTION("""COMPUTED_VALUE"""),"3 additional gang members ages 16 and 17")</f>
        <v>3 additional gang members ages 16 and 17</v>
      </c>
      <c r="AB989" s="5" t="str">
        <f ca="1">IFERROR(__xludf.DUMMYFUNCTION("""COMPUTED_VALUE"""),"No")</f>
        <v>No</v>
      </c>
      <c r="AC989" s="5" t="str">
        <f ca="1">IFERROR(__xludf.DUMMYFUNCTION("""COMPUTED_VALUE"""),"No")</f>
        <v>No</v>
      </c>
      <c r="AD989" s="5" t="str">
        <f ca="1">IFERROR(__xludf.DUMMYFUNCTION("""COMPUTED_VALUE"""),"No")</f>
        <v>No</v>
      </c>
      <c r="AE989" s="5" t="str">
        <f ca="1">IFERROR(__xludf.DUMMYFUNCTION("""COMPUTED_VALUE"""),"No")</f>
        <v>No</v>
      </c>
      <c r="AF989" s="5" t="str">
        <f ca="1">IFERROR(__xludf.DUMMYFUNCTION("""COMPUTED_VALUE"""),"No")</f>
        <v>No</v>
      </c>
      <c r="AG989" s="5" t="str">
        <f ca="1">IFERROR(__xludf.DUMMYFUNCTION("""COMPUTED_VALUE"""),"Yes")</f>
        <v>Yes</v>
      </c>
      <c r="AH989" s="5"/>
    </row>
    <row r="990" spans="1:34" ht="12.75">
      <c r="A990" s="5" t="str">
        <f ca="1">IFERROR(__xludf.DUMMYFUNCTION("""COMPUTED_VALUE"""),"20131213COARC")</f>
        <v>20131213COARC</v>
      </c>
      <c r="B990" s="8">
        <f ca="1">IFERROR(__xludf.DUMMYFUNCTION("""COMPUTED_VALUE"""),41621)</f>
        <v>41621</v>
      </c>
      <c r="C990" s="5" t="str">
        <f ca="1">IFERROR(__xludf.DUMMYFUNCTION("""COMPUTED_VALUE"""),"Arapahoe High School")</f>
        <v>Arapahoe High School</v>
      </c>
      <c r="D990" s="5">
        <f ca="1">IFERROR(__xludf.DUMMYFUNCTION("""COMPUTED_VALUE"""),1)</f>
        <v>1</v>
      </c>
      <c r="E990" s="5">
        <f ca="1">IFERROR(__xludf.DUMMYFUNCTION("""COMPUTED_VALUE"""),0)</f>
        <v>0</v>
      </c>
      <c r="F990" s="5">
        <f ca="1">IFERROR(__xludf.DUMMYFUNCTION("""COMPUTED_VALUE"""),1)</f>
        <v>1</v>
      </c>
      <c r="G990" s="5">
        <f ca="1">IFERROR(__xludf.DUMMYFUNCTION("""COMPUTED_VALUE"""),1)</f>
        <v>1</v>
      </c>
      <c r="H990"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I990" s="5">
        <f ca="1">IFERROR(__xludf.DUMMYFUNCTION("""COMPUTED_VALUE"""),1)</f>
        <v>1</v>
      </c>
      <c r="J990" s="5" t="str">
        <f ca="1">IFERROR(__xludf.DUMMYFUNCTION("""COMPUTED_VALUE"""),"National")</f>
        <v>National</v>
      </c>
      <c r="K990" s="5">
        <f ca="1">IFERROR(__xludf.DUMMYFUNCTION("""COMPUTED_VALUE"""),5)</f>
        <v>5</v>
      </c>
      <c r="L990" s="5" t="str">
        <f ca="1">IFERROR(__xludf.DUMMYFUNCTION("""COMPUTED_VALUE"""),"Winter")</f>
        <v>Winter</v>
      </c>
      <c r="M990" s="5" t="str">
        <f ca="1">IFERROR(__xludf.DUMMYFUNCTION("""COMPUTED_VALUE"""),"Centennial")</f>
        <v>Centennial</v>
      </c>
      <c r="N990" s="5" t="str">
        <f ca="1">IFERROR(__xludf.DUMMYFUNCTION("""COMPUTED_VALUE"""),"CO")</f>
        <v>CO</v>
      </c>
      <c r="O990" s="5" t="str">
        <f ca="1">IFERROR(__xludf.DUMMYFUNCTION("""COMPUTED_VALUE"""),"High")</f>
        <v>High</v>
      </c>
      <c r="P990" s="5" t="str">
        <f ca="1">IFERROR(__xludf.DUMMYFUNCTION("""COMPUTED_VALUE"""),"Other")</f>
        <v>Other</v>
      </c>
      <c r="Q990" s="5" t="str">
        <f ca="1">IFERROR(__xludf.DUMMYFUNCTION("""COMPUTED_VALUE"""),"Inside School Building")</f>
        <v>Inside School Building</v>
      </c>
      <c r="R990" s="5" t="str">
        <f ca="1">IFERROR(__xludf.DUMMYFUNCTION("""COMPUTED_VALUE"""),"Yes")</f>
        <v>Yes</v>
      </c>
      <c r="S990" s="5" t="str">
        <f ca="1">IFERROR(__xludf.DUMMYFUNCTION("""COMPUTED_VALUE"""),"Lunch")</f>
        <v>Lunch</v>
      </c>
      <c r="T990" s="10">
        <f ca="1">IFERROR(__xludf.DUMMYFUNCTION("""COMPUTED_VALUE"""),0)</f>
        <v>0</v>
      </c>
      <c r="U990" s="5">
        <f ca="1">IFERROR(__xludf.DUMMYFUNCTION("""COMPUTED_VALUE"""),2)</f>
        <v>2</v>
      </c>
      <c r="V990" s="5" t="str">
        <f ca="1">IFERROR(__xludf.DUMMYFUNCTION("""COMPUTED_VALUE"""),"Planned attack, confronted by SRO and commit suicide")</f>
        <v>Planned attack, confronted by SRO and commit suicide</v>
      </c>
      <c r="W990"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X990" s="5" t="str">
        <f ca="1">IFERROR(__xludf.DUMMYFUNCTION("""COMPUTED_VALUE"""),"Indiscriminate Shooting")</f>
        <v>Indiscriminate Shooting</v>
      </c>
      <c r="Y990" s="5" t="str">
        <f ca="1">IFERROR(__xludf.DUMMYFUNCTION("""COMPUTED_VALUE"""),"Both")</f>
        <v>Both</v>
      </c>
      <c r="Z990" s="5" t="str">
        <f ca="1">IFERROR(__xludf.DUMMYFUNCTION("""COMPUTED_VALUE"""),"No")</f>
        <v>No</v>
      </c>
      <c r="AA990" s="5"/>
      <c r="AB990" s="5" t="str">
        <f ca="1">IFERROR(__xludf.DUMMYFUNCTION("""COMPUTED_VALUE"""),"No")</f>
        <v>No</v>
      </c>
      <c r="AC990" s="5" t="str">
        <f ca="1">IFERROR(__xludf.DUMMYFUNCTION("""COMPUTED_VALUE"""),"No")</f>
        <v>No</v>
      </c>
      <c r="AD990" s="5" t="str">
        <f ca="1">IFERROR(__xludf.DUMMYFUNCTION("""COMPUTED_VALUE"""),"No")</f>
        <v>No</v>
      </c>
      <c r="AE990" s="5" t="str">
        <f ca="1">IFERROR(__xludf.DUMMYFUNCTION("""COMPUTED_VALUE"""),"Yes")</f>
        <v>Yes</v>
      </c>
      <c r="AF990" s="5" t="str">
        <f ca="1">IFERROR(__xludf.DUMMYFUNCTION("""COMPUTED_VALUE"""),"No")</f>
        <v>No</v>
      </c>
      <c r="AG990" s="5" t="str">
        <f ca="1">IFERROR(__xludf.DUMMYFUNCTION("""COMPUTED_VALUE"""),"No")</f>
        <v>No</v>
      </c>
      <c r="AH990" s="5" t="str">
        <f ca="1">IFERROR(__xludf.DUMMYFUNCTION("""COMPUTED_VALUE"""),"Yes")</f>
        <v>Yes</v>
      </c>
    </row>
    <row r="991" spans="1:34" ht="12.75">
      <c r="A991" s="5" t="str">
        <f ca="1">IFERROR(__xludf.DUMMYFUNCTION("""COMPUTED_VALUE"""),"20131204FLWEW")</f>
        <v>20131204FLWEW</v>
      </c>
      <c r="B991" s="8">
        <f ca="1">IFERROR(__xludf.DUMMYFUNCTION("""COMPUTED_VALUE"""),41612)</f>
        <v>41612</v>
      </c>
      <c r="C991" s="5" t="str">
        <f ca="1">IFERROR(__xludf.DUMMYFUNCTION("""COMPUTED_VALUE"""),"West Orange High School")</f>
        <v>West Orange High School</v>
      </c>
      <c r="D991" s="5">
        <f ca="1">IFERROR(__xludf.DUMMYFUNCTION("""COMPUTED_VALUE"""),0)</f>
        <v>0</v>
      </c>
      <c r="E991" s="5">
        <f ca="1">IFERROR(__xludf.DUMMYFUNCTION("""COMPUTED_VALUE"""),1)</f>
        <v>1</v>
      </c>
      <c r="F991" s="5">
        <f ca="1">IFERROR(__xludf.DUMMYFUNCTION("""COMPUTED_VALUE"""),1)</f>
        <v>1</v>
      </c>
      <c r="G991" s="5">
        <f ca="1">IFERROR(__xludf.DUMMYFUNCTION("""COMPUTED_VALUE"""),0)</f>
        <v>0</v>
      </c>
      <c r="H991" s="9" t="str">
        <f ca="1">IFERROR(__xludf.DUMMYFUNCTION("""COMPUTED_VALUE"""),"https://www.clickorlando.com/news/student-shot-in-face-at-west-orange-high-school-_2015110710074418")</f>
        <v>https://www.clickorlando.com/news/student-shot-in-face-at-west-orange-high-school-_2015110710074418</v>
      </c>
      <c r="I991" s="5">
        <f ca="1">IFERROR(__xludf.DUMMYFUNCTION("""COMPUTED_VALUE"""),5)</f>
        <v>5</v>
      </c>
      <c r="J991" s="5" t="str">
        <f ca="1">IFERROR(__xludf.DUMMYFUNCTION("""COMPUTED_VALUE"""),"Local")</f>
        <v>Local</v>
      </c>
      <c r="K991" s="5">
        <f ca="1">IFERROR(__xludf.DUMMYFUNCTION("""COMPUTED_VALUE"""),2)</f>
        <v>2</v>
      </c>
      <c r="L991" s="5" t="str">
        <f ca="1">IFERROR(__xludf.DUMMYFUNCTION("""COMPUTED_VALUE"""),"Winter")</f>
        <v>Winter</v>
      </c>
      <c r="M991" s="5" t="str">
        <f ca="1">IFERROR(__xludf.DUMMYFUNCTION("""COMPUTED_VALUE"""),"Winter Garden")</f>
        <v>Winter Garden</v>
      </c>
      <c r="N991" s="5" t="str">
        <f ca="1">IFERROR(__xludf.DUMMYFUNCTION("""COMPUTED_VALUE"""),"FL")</f>
        <v>FL</v>
      </c>
      <c r="O991" s="5" t="str">
        <f ca="1">IFERROR(__xludf.DUMMYFUNCTION("""COMPUTED_VALUE"""),"High")</f>
        <v>High</v>
      </c>
      <c r="P991" s="5" t="str">
        <f ca="1">IFERROR(__xludf.DUMMYFUNCTION("""COMPUTED_VALUE"""),"Beside Building")</f>
        <v>Beside Building</v>
      </c>
      <c r="Q991" s="5" t="str">
        <f ca="1">IFERROR(__xludf.DUMMYFUNCTION("""COMPUTED_VALUE"""),"Outside on School Property")</f>
        <v>Outside on School Property</v>
      </c>
      <c r="R991" s="5" t="str">
        <f ca="1">IFERROR(__xludf.DUMMYFUNCTION("""COMPUTED_VALUE"""),"No")</f>
        <v>No</v>
      </c>
      <c r="S991" s="5" t="str">
        <f ca="1">IFERROR(__xludf.DUMMYFUNCTION("""COMPUTED_VALUE"""),"Dismissal")</f>
        <v>Dismissal</v>
      </c>
      <c r="T991" s="10">
        <f ca="1">IFERROR(__xludf.DUMMYFUNCTION("""COMPUTED_VALUE"""),0.552083333333333)</f>
        <v>0.55208333333333304</v>
      </c>
      <c r="U991" s="5">
        <f ca="1">IFERROR(__xludf.DUMMYFUNCTION("""COMPUTED_VALUE"""),1)</f>
        <v>1</v>
      </c>
      <c r="V991" s="5" t="str">
        <f ca="1">IFERROR(__xludf.DUMMYFUNCTION("""COMPUTED_VALUE"""),"Shots fired during fight over cell phone")</f>
        <v>Shots fired during fight over cell phone</v>
      </c>
      <c r="W991"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X991" s="5" t="str">
        <f ca="1">IFERROR(__xludf.DUMMYFUNCTION("""COMPUTED_VALUE"""),"Escalation of Dispute")</f>
        <v>Escalation of Dispute</v>
      </c>
      <c r="Y991" s="5" t="str">
        <f ca="1">IFERROR(__xludf.DUMMYFUNCTION("""COMPUTED_VALUE"""),"Victims Targeted")</f>
        <v>Victims Targeted</v>
      </c>
      <c r="Z991" s="5" t="str">
        <f ca="1">IFERROR(__xludf.DUMMYFUNCTION("""COMPUTED_VALUE"""),"No")</f>
        <v>No</v>
      </c>
      <c r="AA991" s="5"/>
      <c r="AB991" s="5" t="str">
        <f ca="1">IFERROR(__xludf.DUMMYFUNCTION("""COMPUTED_VALUE"""),"No")</f>
        <v>No</v>
      </c>
      <c r="AC991" s="5" t="str">
        <f ca="1">IFERROR(__xludf.DUMMYFUNCTION("""COMPUTED_VALUE"""),"No")</f>
        <v>No</v>
      </c>
      <c r="AD991" s="5" t="str">
        <f ca="1">IFERROR(__xludf.DUMMYFUNCTION("""COMPUTED_VALUE"""),"No")</f>
        <v>No</v>
      </c>
      <c r="AE991" s="5" t="str">
        <f ca="1">IFERROR(__xludf.DUMMYFUNCTION("""COMPUTED_VALUE"""),"No")</f>
        <v>No</v>
      </c>
      <c r="AF991" s="5" t="str">
        <f ca="1">IFERROR(__xludf.DUMMYFUNCTION("""COMPUTED_VALUE"""),"No")</f>
        <v>No</v>
      </c>
      <c r="AG991" s="5" t="str">
        <f ca="1">IFERROR(__xludf.DUMMYFUNCTION("""COMPUTED_VALUE"""),"No")</f>
        <v>No</v>
      </c>
      <c r="AH991" s="5"/>
    </row>
    <row r="992" spans="1:34" ht="12.75">
      <c r="A992" s="5" t="str">
        <f ca="1">IFERROR(__xludf.DUMMYFUNCTION("""COMPUTED_VALUE"""),"20131113PABRP")</f>
        <v>20131113PABRP</v>
      </c>
      <c r="B992" s="8">
        <f ca="1">IFERROR(__xludf.DUMMYFUNCTION("""COMPUTED_VALUE"""),41591)</f>
        <v>41591</v>
      </c>
      <c r="C992" s="5" t="str">
        <f ca="1">IFERROR(__xludf.DUMMYFUNCTION("""COMPUTED_VALUE"""),"Brashear High School")</f>
        <v>Brashear High School</v>
      </c>
      <c r="D992" s="5">
        <f ca="1">IFERROR(__xludf.DUMMYFUNCTION("""COMPUTED_VALUE"""),0)</f>
        <v>0</v>
      </c>
      <c r="E992" s="5">
        <f ca="1">IFERROR(__xludf.DUMMYFUNCTION("""COMPUTED_VALUE"""),3)</f>
        <v>3</v>
      </c>
      <c r="F992" s="5">
        <f ca="1">IFERROR(__xludf.DUMMYFUNCTION("""COMPUTED_VALUE"""),3)</f>
        <v>3</v>
      </c>
      <c r="G992" s="5">
        <f ca="1">IFERROR(__xludf.DUMMYFUNCTION("""COMPUTED_VALUE"""),0)</f>
        <v>0</v>
      </c>
      <c r="H992" s="5" t="str">
        <f ca="1">IFERROR(__xludf.DUMMYFUNCTION("""COMPUTED_VALUE"""),"https://www.palmbeachpost.com/news/local/arrest-made-shooting-near-brashear-high-school/NGHP1kh1t1kOrBfjCno91K/  https://www.newspapers.com/image/440186960/?terms=student%2Bshot")</f>
        <v>https://www.palmbeachpost.com/news/local/arrest-made-shooting-near-brashear-high-school/NGHP1kh1t1kOrBfjCno91K/  https://www.newspapers.com/image/440186960/?terms=student%2Bshot</v>
      </c>
      <c r="I992" s="5">
        <f ca="1">IFERROR(__xludf.DUMMYFUNCTION("""COMPUTED_VALUE"""),1)</f>
        <v>1</v>
      </c>
      <c r="J992" s="5" t="str">
        <f ca="1">IFERROR(__xludf.DUMMYFUNCTION("""COMPUTED_VALUE"""),"Local")</f>
        <v>Local</v>
      </c>
      <c r="K992" s="5">
        <f ca="1">IFERROR(__xludf.DUMMYFUNCTION("""COMPUTED_VALUE"""),3)</f>
        <v>3</v>
      </c>
      <c r="L992" s="5" t="str">
        <f ca="1">IFERROR(__xludf.DUMMYFUNCTION("""COMPUTED_VALUE"""),"Fall")</f>
        <v>Fall</v>
      </c>
      <c r="M992" s="5" t="str">
        <f ca="1">IFERROR(__xludf.DUMMYFUNCTION("""COMPUTED_VALUE"""),"Pittsburgh")</f>
        <v>Pittsburgh</v>
      </c>
      <c r="N992" s="5" t="str">
        <f ca="1">IFERROR(__xludf.DUMMYFUNCTION("""COMPUTED_VALUE"""),"PA")</f>
        <v>PA</v>
      </c>
      <c r="O992" s="5" t="str">
        <f ca="1">IFERROR(__xludf.DUMMYFUNCTION("""COMPUTED_VALUE"""),"High")</f>
        <v>High</v>
      </c>
      <c r="P992" s="5" t="str">
        <f ca="1">IFERROR(__xludf.DUMMYFUNCTION("""COMPUTED_VALUE"""),"Off School Property")</f>
        <v>Off School Property</v>
      </c>
      <c r="Q992" s="5" t="str">
        <f ca="1">IFERROR(__xludf.DUMMYFUNCTION("""COMPUTED_VALUE"""),"Off School Property")</f>
        <v>Off School Property</v>
      </c>
      <c r="R992" s="5" t="str">
        <f ca="1">IFERROR(__xludf.DUMMYFUNCTION("""COMPUTED_VALUE"""),"Yes")</f>
        <v>Yes</v>
      </c>
      <c r="S992" s="5" t="str">
        <f ca="1">IFERROR(__xludf.DUMMYFUNCTION("""COMPUTED_VALUE"""),"After School")</f>
        <v>After School</v>
      </c>
      <c r="T992" s="10">
        <f ca="1">IFERROR(__xludf.DUMMYFUNCTION("""COMPUTED_VALUE"""),0.625)</f>
        <v>0.625</v>
      </c>
      <c r="U992" s="5">
        <f ca="1">IFERROR(__xludf.DUMMYFUNCTION("""COMPUTED_VALUE"""),1)</f>
        <v>1</v>
      </c>
      <c r="V992" s="5" t="str">
        <f ca="1">IFERROR(__xludf.DUMMYFUNCTION("""COMPUTED_VALUE"""),"Shooting was revenge for previous fight")</f>
        <v>Shooting was revenge for previous fight</v>
      </c>
      <c r="W992"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X992" s="5" t="str">
        <f ca="1">IFERROR(__xludf.DUMMYFUNCTION("""COMPUTED_VALUE"""),"Escalation of Dispute")</f>
        <v>Escalation of Dispute</v>
      </c>
      <c r="Y992" s="5" t="str">
        <f ca="1">IFERROR(__xludf.DUMMYFUNCTION("""COMPUTED_VALUE"""),"Victims Targeted")</f>
        <v>Victims Targeted</v>
      </c>
      <c r="Z992" s="5" t="str">
        <f ca="1">IFERROR(__xludf.DUMMYFUNCTION("""COMPUTED_VALUE"""),"Yes")</f>
        <v>Yes</v>
      </c>
      <c r="AA992"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B992" s="5" t="str">
        <f ca="1">IFERROR(__xludf.DUMMYFUNCTION("""COMPUTED_VALUE"""),"No")</f>
        <v>No</v>
      </c>
      <c r="AC992" s="5" t="str">
        <f ca="1">IFERROR(__xludf.DUMMYFUNCTION("""COMPUTED_VALUE"""),"No")</f>
        <v>No</v>
      </c>
      <c r="AD992" s="5" t="str">
        <f ca="1">IFERROR(__xludf.DUMMYFUNCTION("""COMPUTED_VALUE"""),"No")</f>
        <v>No</v>
      </c>
      <c r="AE992" s="5" t="str">
        <f ca="1">IFERROR(__xludf.DUMMYFUNCTION("""COMPUTED_VALUE"""),"No")</f>
        <v>No</v>
      </c>
      <c r="AF992" s="5" t="str">
        <f ca="1">IFERROR(__xludf.DUMMYFUNCTION("""COMPUTED_VALUE"""),"No")</f>
        <v>No</v>
      </c>
      <c r="AG992" s="5" t="str">
        <f ca="1">IFERROR(__xludf.DUMMYFUNCTION("""COMPUTED_VALUE"""),"No")</f>
        <v>No</v>
      </c>
      <c r="AH992" s="5"/>
    </row>
    <row r="993" spans="1:34" ht="12.75">
      <c r="A993" s="5" t="str">
        <f ca="1">IFERROR(__xludf.DUMMYFUNCTION("""COMPUTED_VALUE"""),"20131103GASTL")</f>
        <v>20131103GASTL</v>
      </c>
      <c r="B993" s="8">
        <f ca="1">IFERROR(__xludf.DUMMYFUNCTION("""COMPUTED_VALUE"""),41581)</f>
        <v>41581</v>
      </c>
      <c r="C993" s="5" t="str">
        <f ca="1">IFERROR(__xludf.DUMMYFUNCTION("""COMPUTED_VALUE"""),"Stephenson High School")</f>
        <v>Stephenson High School</v>
      </c>
      <c r="D993" s="5">
        <f ca="1">IFERROR(__xludf.DUMMYFUNCTION("""COMPUTED_VALUE"""),0)</f>
        <v>0</v>
      </c>
      <c r="E993" s="5">
        <f ca="1">IFERROR(__xludf.DUMMYFUNCTION("""COMPUTED_VALUE"""),1)</f>
        <v>1</v>
      </c>
      <c r="F993" s="5">
        <f ca="1">IFERROR(__xludf.DUMMYFUNCTION("""COMPUTED_VALUE"""),1)</f>
        <v>1</v>
      </c>
      <c r="G993" s="5">
        <f ca="1">IFERROR(__xludf.DUMMYFUNCTION("""COMPUTED_VALUE"""),0)</f>
        <v>0</v>
      </c>
      <c r="H993" s="9" t="str">
        <f ca="1">IFERROR(__xludf.DUMMYFUNCTION("""COMPUTED_VALUE"""),"https://patch.com/georgia/stonemountain/stephenson-high-student-shot-at-school")</f>
        <v>https://patch.com/georgia/stonemountain/stephenson-high-student-shot-at-school</v>
      </c>
      <c r="I993" s="5">
        <f ca="1">IFERROR(__xludf.DUMMYFUNCTION("""COMPUTED_VALUE"""),1)</f>
        <v>1</v>
      </c>
      <c r="J993" s="5" t="str">
        <f ca="1">IFERROR(__xludf.DUMMYFUNCTION("""COMPUTED_VALUE"""),"Local")</f>
        <v>Local</v>
      </c>
      <c r="K993" s="5">
        <f ca="1">IFERROR(__xludf.DUMMYFUNCTION("""COMPUTED_VALUE"""),2)</f>
        <v>2</v>
      </c>
      <c r="L993" s="5" t="str">
        <f ca="1">IFERROR(__xludf.DUMMYFUNCTION("""COMPUTED_VALUE"""),"Fall")</f>
        <v>Fall</v>
      </c>
      <c r="M993" s="5" t="str">
        <f ca="1">IFERROR(__xludf.DUMMYFUNCTION("""COMPUTED_VALUE"""),"Lithonia")</f>
        <v>Lithonia</v>
      </c>
      <c r="N993" s="5" t="str">
        <f ca="1">IFERROR(__xludf.DUMMYFUNCTION("""COMPUTED_VALUE"""),"GA")</f>
        <v>GA</v>
      </c>
      <c r="O993" s="5" t="str">
        <f ca="1">IFERROR(__xludf.DUMMYFUNCTION("""COMPUTED_VALUE"""),"High")</f>
        <v>High</v>
      </c>
      <c r="P993" s="5" t="str">
        <f ca="1">IFERROR(__xludf.DUMMYFUNCTION("""COMPUTED_VALUE"""),"Parking Lot")</f>
        <v>Parking Lot</v>
      </c>
      <c r="Q993" s="5" t="str">
        <f ca="1">IFERROR(__xludf.DUMMYFUNCTION("""COMPUTED_VALUE"""),"Outside on School Property")</f>
        <v>Outside on School Property</v>
      </c>
      <c r="R993" s="5" t="str">
        <f ca="1">IFERROR(__xludf.DUMMYFUNCTION("""COMPUTED_VALUE"""),"No")</f>
        <v>No</v>
      </c>
      <c r="S993" s="5" t="str">
        <f ca="1">IFERROR(__xludf.DUMMYFUNCTION("""COMPUTED_VALUE"""),"Not a School Day")</f>
        <v>Not a School Day</v>
      </c>
      <c r="T993" s="5"/>
      <c r="U993" s="5">
        <f ca="1">IFERROR(__xludf.DUMMYFUNCTION("""COMPUTED_VALUE"""),1)</f>
        <v>1</v>
      </c>
      <c r="V993" s="5" t="str">
        <f ca="1">IFERROR(__xludf.DUMMYFUNCTION("""COMPUTED_VALUE"""),"Fight between rival football teams")</f>
        <v>Fight between rival football teams</v>
      </c>
      <c r="W993"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X993" s="5" t="str">
        <f ca="1">IFERROR(__xludf.DUMMYFUNCTION("""COMPUTED_VALUE"""),"Escalation of Dispute")</f>
        <v>Escalation of Dispute</v>
      </c>
      <c r="Y993" s="5" t="str">
        <f ca="1">IFERROR(__xludf.DUMMYFUNCTION("""COMPUTED_VALUE"""),"Random Shooting")</f>
        <v>Random Shooting</v>
      </c>
      <c r="Z993" s="5" t="str">
        <f ca="1">IFERROR(__xludf.DUMMYFUNCTION("""COMPUTED_VALUE"""),"Yes")</f>
        <v>Yes</v>
      </c>
      <c r="AA993" s="5" t="str">
        <f ca="1">IFERROR(__xludf.DUMMYFUNCTION("""COMPUTED_VALUE"""),"A group of rival students")</f>
        <v>A group of rival students</v>
      </c>
      <c r="AB993" s="5" t="str">
        <f ca="1">IFERROR(__xludf.DUMMYFUNCTION("""COMPUTED_VALUE"""),"No")</f>
        <v>No</v>
      </c>
      <c r="AC993" s="5" t="str">
        <f ca="1">IFERROR(__xludf.DUMMYFUNCTION("""COMPUTED_VALUE"""),"No")</f>
        <v>No</v>
      </c>
      <c r="AD993" s="5" t="str">
        <f ca="1">IFERROR(__xludf.DUMMYFUNCTION("""COMPUTED_VALUE"""),"No")</f>
        <v>No</v>
      </c>
      <c r="AE993" s="5" t="str">
        <f ca="1">IFERROR(__xludf.DUMMYFUNCTION("""COMPUTED_VALUE"""),"No")</f>
        <v>No</v>
      </c>
      <c r="AF993" s="5" t="str">
        <f ca="1">IFERROR(__xludf.DUMMYFUNCTION("""COMPUTED_VALUE"""),"No")</f>
        <v>No</v>
      </c>
      <c r="AG993" s="5" t="str">
        <f ca="1">IFERROR(__xludf.DUMMYFUNCTION("""COMPUTED_VALUE"""),"No")</f>
        <v>No</v>
      </c>
      <c r="AH993" s="5"/>
    </row>
    <row r="994" spans="1:34" ht="12.75">
      <c r="A994" s="5" t="str">
        <f ca="1">IFERROR(__xludf.DUMMYFUNCTION("""COMPUTED_VALUE"""),"20131101IAALA")</f>
        <v>20131101IAALA</v>
      </c>
      <c r="B994" s="8">
        <f ca="1">IFERROR(__xludf.DUMMYFUNCTION("""COMPUTED_VALUE"""),41579)</f>
        <v>41579</v>
      </c>
      <c r="C994" s="5" t="str">
        <f ca="1">IFERROR(__xludf.DUMMYFUNCTION("""COMPUTED_VALUE"""),"Algona High School")</f>
        <v>Algona High School</v>
      </c>
      <c r="D994" s="5">
        <f ca="1">IFERROR(__xludf.DUMMYFUNCTION("""COMPUTED_VALUE"""),0)</f>
        <v>0</v>
      </c>
      <c r="E994" s="5">
        <f ca="1">IFERROR(__xludf.DUMMYFUNCTION("""COMPUTED_VALUE"""),0)</f>
        <v>0</v>
      </c>
      <c r="F994" s="5">
        <f ca="1">IFERROR(__xludf.DUMMYFUNCTION("""COMPUTED_VALUE"""),0)</f>
        <v>0</v>
      </c>
      <c r="G994" s="5">
        <f ca="1">IFERROR(__xludf.DUMMYFUNCTION("""COMPUTED_VALUE"""),1)</f>
        <v>1</v>
      </c>
      <c r="H994" s="9" t="str">
        <f ca="1">IFERROR(__xludf.DUMMYFUNCTION("""COMPUTED_VALUE"""),"https://whotv.com/2013/11/01/schools-closed-body-found-at-algona-school/")</f>
        <v>https://whotv.com/2013/11/01/schools-closed-body-found-at-algona-school/</v>
      </c>
      <c r="I994" s="5">
        <f ca="1">IFERROR(__xludf.DUMMYFUNCTION("""COMPUTED_VALUE"""),1)</f>
        <v>1</v>
      </c>
      <c r="J994" s="5" t="str">
        <f ca="1">IFERROR(__xludf.DUMMYFUNCTION("""COMPUTED_VALUE"""),"Local")</f>
        <v>Local</v>
      </c>
      <c r="K994" s="5">
        <f ca="1">IFERROR(__xludf.DUMMYFUNCTION("""COMPUTED_VALUE"""),2)</f>
        <v>2</v>
      </c>
      <c r="L994" s="5" t="str">
        <f ca="1">IFERROR(__xludf.DUMMYFUNCTION("""COMPUTED_VALUE"""),"Fall")</f>
        <v>Fall</v>
      </c>
      <c r="M994" s="5" t="str">
        <f ca="1">IFERROR(__xludf.DUMMYFUNCTION("""COMPUTED_VALUE"""),"Algona")</f>
        <v>Algona</v>
      </c>
      <c r="N994" s="5" t="str">
        <f ca="1">IFERROR(__xludf.DUMMYFUNCTION("""COMPUTED_VALUE"""),"IA")</f>
        <v>IA</v>
      </c>
      <c r="O994" s="5" t="str">
        <f ca="1">IFERROR(__xludf.DUMMYFUNCTION("""COMPUTED_VALUE"""),"High")</f>
        <v>High</v>
      </c>
      <c r="P994" s="5" t="str">
        <f ca="1">IFERROR(__xludf.DUMMYFUNCTION("""COMPUTED_VALUE"""),"Field (General)")</f>
        <v>Field (General)</v>
      </c>
      <c r="Q994" s="5" t="str">
        <f ca="1">IFERROR(__xludf.DUMMYFUNCTION("""COMPUTED_VALUE"""),"Outside on School Property")</f>
        <v>Outside on School Property</v>
      </c>
      <c r="R994" s="5" t="str">
        <f ca="1">IFERROR(__xludf.DUMMYFUNCTION("""COMPUTED_VALUE"""),"No")</f>
        <v>No</v>
      </c>
      <c r="S994" s="5" t="str">
        <f ca="1">IFERROR(__xludf.DUMMYFUNCTION("""COMPUTED_VALUE"""),"Night")</f>
        <v>Night</v>
      </c>
      <c r="T994" s="10">
        <f ca="1">IFERROR(__xludf.DUMMYFUNCTION("""COMPUTED_VALUE"""),0.0555555555555555)</f>
        <v>5.5555555555555497E-2</v>
      </c>
      <c r="U994" s="5">
        <f ca="1">IFERROR(__xludf.DUMMYFUNCTION("""COMPUTED_VALUE"""),1)</f>
        <v>1</v>
      </c>
      <c r="V994" s="5" t="str">
        <f ca="1">IFERROR(__xludf.DUMMYFUNCTION("""COMPUTED_VALUE"""),"Suicide on school property")</f>
        <v>Suicide on school property</v>
      </c>
      <c r="W994"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X994" s="5" t="str">
        <f ca="1">IFERROR(__xludf.DUMMYFUNCTION("""COMPUTED_VALUE"""),"Suicide/Attempted")</f>
        <v>Suicide/Attempted</v>
      </c>
      <c r="Y994" s="5" t="str">
        <f ca="1">IFERROR(__xludf.DUMMYFUNCTION("""COMPUTED_VALUE"""),"Victims Targeted")</f>
        <v>Victims Targeted</v>
      </c>
      <c r="Z994" s="5" t="str">
        <f ca="1">IFERROR(__xludf.DUMMYFUNCTION("""COMPUTED_VALUE"""),"No")</f>
        <v>No</v>
      </c>
      <c r="AA994" s="5"/>
      <c r="AB994" s="5" t="str">
        <f ca="1">IFERROR(__xludf.DUMMYFUNCTION("""COMPUTED_VALUE"""),"No")</f>
        <v>No</v>
      </c>
      <c r="AC994" s="5" t="str">
        <f ca="1">IFERROR(__xludf.DUMMYFUNCTION("""COMPUTED_VALUE"""),"No")</f>
        <v>No</v>
      </c>
      <c r="AD994" s="5" t="str">
        <f ca="1">IFERROR(__xludf.DUMMYFUNCTION("""COMPUTED_VALUE"""),"No")</f>
        <v>No</v>
      </c>
      <c r="AE994" s="5" t="str">
        <f ca="1">IFERROR(__xludf.DUMMYFUNCTION("""COMPUTED_VALUE"""),"No")</f>
        <v>No</v>
      </c>
      <c r="AF994" s="5" t="str">
        <f ca="1">IFERROR(__xludf.DUMMYFUNCTION("""COMPUTED_VALUE"""),"No")</f>
        <v>No</v>
      </c>
      <c r="AG994" s="5" t="str">
        <f ca="1">IFERROR(__xludf.DUMMYFUNCTION("""COMPUTED_VALUE"""),"No")</f>
        <v>No</v>
      </c>
      <c r="AH994" s="5"/>
    </row>
    <row r="995" spans="1:34" ht="12.75">
      <c r="A995" s="5" t="str">
        <f ca="1">IFERROR(__xludf.DUMMYFUNCTION("""COMPUTED_VALUE"""),"20131023CANEC")</f>
        <v>20131023CANEC</v>
      </c>
      <c r="B995" s="8">
        <f ca="1">IFERROR(__xludf.DUMMYFUNCTION("""COMPUTED_VALUE"""),41570)</f>
        <v>41570</v>
      </c>
      <c r="C995" s="5" t="str">
        <f ca="1">IFERROR(__xludf.DUMMYFUNCTION("""COMPUTED_VALUE"""),"Newman Elementary School")</f>
        <v>Newman Elementary School</v>
      </c>
      <c r="D995" s="5">
        <f ca="1">IFERROR(__xludf.DUMMYFUNCTION("""COMPUTED_VALUE"""),0)</f>
        <v>0</v>
      </c>
      <c r="E995" s="5">
        <f ca="1">IFERROR(__xludf.DUMMYFUNCTION("""COMPUTED_VALUE"""),3)</f>
        <v>3</v>
      </c>
      <c r="F995" s="5">
        <f ca="1">IFERROR(__xludf.DUMMYFUNCTION("""COMPUTED_VALUE"""),3)</f>
        <v>3</v>
      </c>
      <c r="G995" s="5">
        <f ca="1">IFERROR(__xludf.DUMMYFUNCTION("""COMPUTED_VALUE"""),0)</f>
        <v>0</v>
      </c>
      <c r="H995"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I995" s="5">
        <f ca="1">IFERROR(__xludf.DUMMYFUNCTION("""COMPUTED_VALUE"""),1)</f>
        <v>1</v>
      </c>
      <c r="J995" s="5" t="str">
        <f ca="1">IFERROR(__xludf.DUMMYFUNCTION("""COMPUTED_VALUE"""),"Local")</f>
        <v>Local</v>
      </c>
      <c r="K995" s="5">
        <f ca="1">IFERROR(__xludf.DUMMYFUNCTION("""COMPUTED_VALUE"""),2)</f>
        <v>2</v>
      </c>
      <c r="L995" s="5" t="str">
        <f ca="1">IFERROR(__xludf.DUMMYFUNCTION("""COMPUTED_VALUE"""),"Fall")</f>
        <v>Fall</v>
      </c>
      <c r="M995" s="5" t="str">
        <f ca="1">IFERROR(__xludf.DUMMYFUNCTION("""COMPUTED_VALUE"""),"Chino")</f>
        <v>Chino</v>
      </c>
      <c r="N995" s="5" t="str">
        <f ca="1">IFERROR(__xludf.DUMMYFUNCTION("""COMPUTED_VALUE"""),"CA")</f>
        <v>CA</v>
      </c>
      <c r="O995" s="5" t="str">
        <f ca="1">IFERROR(__xludf.DUMMYFUNCTION("""COMPUTED_VALUE"""),"Elementary")</f>
        <v>Elementary</v>
      </c>
      <c r="P995" s="5" t="str">
        <f ca="1">IFERROR(__xludf.DUMMYFUNCTION("""COMPUTED_VALUE"""),"Front of School")</f>
        <v>Front of School</v>
      </c>
      <c r="Q995" s="5" t="str">
        <f ca="1">IFERROR(__xludf.DUMMYFUNCTION("""COMPUTED_VALUE"""),"Outside on School Property")</f>
        <v>Outside on School Property</v>
      </c>
      <c r="R995" s="5" t="str">
        <f ca="1">IFERROR(__xludf.DUMMYFUNCTION("""COMPUTED_VALUE"""),"Yes")</f>
        <v>Yes</v>
      </c>
      <c r="S995" s="5" t="str">
        <f ca="1">IFERROR(__xludf.DUMMYFUNCTION("""COMPUTED_VALUE"""),"Morning Classes")</f>
        <v>Morning Classes</v>
      </c>
      <c r="T995" s="10">
        <f ca="1">IFERROR(__xludf.DUMMYFUNCTION("""COMPUTED_VALUE"""),0.468055555555555)</f>
        <v>0.468055555555555</v>
      </c>
      <c r="U995" s="5">
        <f ca="1">IFERROR(__xludf.DUMMYFUNCTION("""COMPUTED_VALUE"""),1)</f>
        <v>1</v>
      </c>
      <c r="V995" s="5" t="str">
        <f ca="1">IFERROR(__xludf.DUMMYFUNCTION("""COMPUTED_VALUE"""),"Accidental discharge during safety presentation")</f>
        <v>Accidental discharge during safety presentation</v>
      </c>
      <c r="W995"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X995" s="5" t="str">
        <f ca="1">IFERROR(__xludf.DUMMYFUNCTION("""COMPUTED_VALUE"""),"Accidental")</f>
        <v>Accidental</v>
      </c>
      <c r="Y995" s="5" t="str">
        <f ca="1">IFERROR(__xludf.DUMMYFUNCTION("""COMPUTED_VALUE"""),"Random Shooting")</f>
        <v>Random Shooting</v>
      </c>
      <c r="Z995" s="5" t="str">
        <f ca="1">IFERROR(__xludf.DUMMYFUNCTION("""COMPUTED_VALUE"""),"No")</f>
        <v>No</v>
      </c>
      <c r="AA995" s="5"/>
      <c r="AB995" s="5" t="str">
        <f ca="1">IFERROR(__xludf.DUMMYFUNCTION("""COMPUTED_VALUE"""),"No")</f>
        <v>No</v>
      </c>
      <c r="AC995" s="5" t="str">
        <f ca="1">IFERROR(__xludf.DUMMYFUNCTION("""COMPUTED_VALUE"""),"No")</f>
        <v>No</v>
      </c>
      <c r="AD995" s="5" t="str">
        <f ca="1">IFERROR(__xludf.DUMMYFUNCTION("""COMPUTED_VALUE"""),"No")</f>
        <v>No</v>
      </c>
      <c r="AE995" s="5" t="str">
        <f ca="1">IFERROR(__xludf.DUMMYFUNCTION("""COMPUTED_VALUE"""),"No")</f>
        <v>No</v>
      </c>
      <c r="AF995" s="5" t="str">
        <f ca="1">IFERROR(__xludf.DUMMYFUNCTION("""COMPUTED_VALUE"""),"No")</f>
        <v>No</v>
      </c>
      <c r="AG995" s="5" t="str">
        <f ca="1">IFERROR(__xludf.DUMMYFUNCTION("""COMPUTED_VALUE"""),"No")</f>
        <v>No</v>
      </c>
      <c r="AH995" s="5"/>
    </row>
    <row r="996" spans="1:34" ht="12.75">
      <c r="A996" s="5" t="str">
        <f ca="1">IFERROR(__xludf.DUMMYFUNCTION("""COMPUTED_VALUE"""),"20131021NVSPS")</f>
        <v>20131021NVSPS</v>
      </c>
      <c r="B996" s="8">
        <f ca="1">IFERROR(__xludf.DUMMYFUNCTION("""COMPUTED_VALUE"""),41568)</f>
        <v>41568</v>
      </c>
      <c r="C996" s="5" t="str">
        <f ca="1">IFERROR(__xludf.DUMMYFUNCTION("""COMPUTED_VALUE"""),"Sparks Middle School")</f>
        <v>Sparks Middle School</v>
      </c>
      <c r="D996" s="5">
        <f ca="1">IFERROR(__xludf.DUMMYFUNCTION("""COMPUTED_VALUE"""),1)</f>
        <v>1</v>
      </c>
      <c r="E996" s="5">
        <f ca="1">IFERROR(__xludf.DUMMYFUNCTION("""COMPUTED_VALUE"""),2)</f>
        <v>2</v>
      </c>
      <c r="F996" s="5">
        <f ca="1">IFERROR(__xludf.DUMMYFUNCTION("""COMPUTED_VALUE"""),3)</f>
        <v>3</v>
      </c>
      <c r="G996" s="5">
        <f ca="1">IFERROR(__xludf.DUMMYFUNCTION("""COMPUTED_VALUE"""),1)</f>
        <v>1</v>
      </c>
      <c r="H996"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I996" s="5">
        <f ca="1">IFERROR(__xludf.DUMMYFUNCTION("""COMPUTED_VALUE"""),11)</f>
        <v>11</v>
      </c>
      <c r="J996" s="5" t="str">
        <f ca="1">IFERROR(__xludf.DUMMYFUNCTION("""COMPUTED_VALUE"""),"National")</f>
        <v>National</v>
      </c>
      <c r="K996" s="5">
        <f ca="1">IFERROR(__xludf.DUMMYFUNCTION("""COMPUTED_VALUE"""),5)</f>
        <v>5</v>
      </c>
      <c r="L996" s="5" t="str">
        <f ca="1">IFERROR(__xludf.DUMMYFUNCTION("""COMPUTED_VALUE"""),"Fall")</f>
        <v>Fall</v>
      </c>
      <c r="M996" s="5" t="str">
        <f ca="1">IFERROR(__xludf.DUMMYFUNCTION("""COMPUTED_VALUE"""),"Sparks")</f>
        <v>Sparks</v>
      </c>
      <c r="N996" s="5" t="str">
        <f ca="1">IFERROR(__xludf.DUMMYFUNCTION("""COMPUTED_VALUE"""),"NV")</f>
        <v>NV</v>
      </c>
      <c r="O996" s="5" t="str">
        <f ca="1">IFERROR(__xludf.DUMMYFUNCTION("""COMPUTED_VALUE"""),"Middle")</f>
        <v>Middle</v>
      </c>
      <c r="P996" s="5" t="str">
        <f ca="1">IFERROR(__xludf.DUMMYFUNCTION("""COMPUTED_VALUE"""),"Beside Building")</f>
        <v>Beside Building</v>
      </c>
      <c r="Q996" s="5" t="str">
        <f ca="1">IFERROR(__xludf.DUMMYFUNCTION("""COMPUTED_VALUE"""),"Outside on School Property")</f>
        <v>Outside on School Property</v>
      </c>
      <c r="R996" s="5" t="str">
        <f ca="1">IFERROR(__xludf.DUMMYFUNCTION("""COMPUTED_VALUE"""),"Yes")</f>
        <v>Yes</v>
      </c>
      <c r="S996" s="5" t="str">
        <f ca="1">IFERROR(__xludf.DUMMYFUNCTION("""COMPUTED_VALUE"""),"Before School")</f>
        <v>Before School</v>
      </c>
      <c r="T996" s="10">
        <f ca="1">IFERROR(__xludf.DUMMYFUNCTION("""COMPUTED_VALUE"""),0.302083333333333)</f>
        <v>0.30208333333333298</v>
      </c>
      <c r="U996" s="5">
        <f ca="1">IFERROR(__xludf.DUMMYFUNCTION("""COMPUTED_VALUE"""),3)</f>
        <v>3</v>
      </c>
      <c r="V996" s="5" t="str">
        <f ca="1">IFERROR(__xludf.DUMMYFUNCTION("""COMPUTED_VALUE"""),"Planned attack following bullying")</f>
        <v>Planned attack following bullying</v>
      </c>
      <c r="W996"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X996" s="5" t="str">
        <f ca="1">IFERROR(__xludf.DUMMYFUNCTION("""COMPUTED_VALUE"""),"Indiscriminate Shooting")</f>
        <v>Indiscriminate Shooting</v>
      </c>
      <c r="Y996" s="5" t="str">
        <f ca="1">IFERROR(__xludf.DUMMYFUNCTION("""COMPUTED_VALUE"""),"Both")</f>
        <v>Both</v>
      </c>
      <c r="Z996" s="5" t="str">
        <f ca="1">IFERROR(__xludf.DUMMYFUNCTION("""COMPUTED_VALUE"""),"No")</f>
        <v>No</v>
      </c>
      <c r="AA996" s="5"/>
      <c r="AB996" s="5" t="str">
        <f ca="1">IFERROR(__xludf.DUMMYFUNCTION("""COMPUTED_VALUE"""),"No")</f>
        <v>No</v>
      </c>
      <c r="AC996" s="5" t="str">
        <f ca="1">IFERROR(__xludf.DUMMYFUNCTION("""COMPUTED_VALUE"""),"No")</f>
        <v>No</v>
      </c>
      <c r="AD996" s="5" t="str">
        <f ca="1">IFERROR(__xludf.DUMMYFUNCTION("""COMPUTED_VALUE"""),"No")</f>
        <v>No</v>
      </c>
      <c r="AE996" s="5" t="str">
        <f ca="1">IFERROR(__xludf.DUMMYFUNCTION("""COMPUTED_VALUE"""),"Yes")</f>
        <v>Yes</v>
      </c>
      <c r="AF996" s="5" t="str">
        <f ca="1">IFERROR(__xludf.DUMMYFUNCTION("""COMPUTED_VALUE"""),"No")</f>
        <v>No</v>
      </c>
      <c r="AG996" s="5" t="str">
        <f ca="1">IFERROR(__xludf.DUMMYFUNCTION("""COMPUTED_VALUE"""),"No")</f>
        <v>No</v>
      </c>
      <c r="AH996" s="5" t="str">
        <f ca="1">IFERROR(__xludf.DUMMYFUNCTION("""COMPUTED_VALUE"""),"Yes")</f>
        <v>Yes</v>
      </c>
    </row>
    <row r="997" spans="1:34" ht="12.75">
      <c r="A997" s="5" t="str">
        <f ca="1">IFERROR(__xludf.DUMMYFUNCTION("""COMPUTED_VALUE"""),"20131015TXLAA")</f>
        <v>20131015TXLAA</v>
      </c>
      <c r="B997" s="8">
        <f ca="1">IFERROR(__xludf.DUMMYFUNCTION("""COMPUTED_VALUE"""),41562)</f>
        <v>41562</v>
      </c>
      <c r="C997" s="5" t="str">
        <f ca="1">IFERROR(__xludf.DUMMYFUNCTION("""COMPUTED_VALUE"""),"Lanier High School")</f>
        <v>Lanier High School</v>
      </c>
      <c r="D997" s="5">
        <f ca="1">IFERROR(__xludf.DUMMYFUNCTION("""COMPUTED_VALUE"""),0)</f>
        <v>0</v>
      </c>
      <c r="E997" s="5">
        <f ca="1">IFERROR(__xludf.DUMMYFUNCTION("""COMPUTED_VALUE"""),0)</f>
        <v>0</v>
      </c>
      <c r="F997" s="5">
        <f ca="1">IFERROR(__xludf.DUMMYFUNCTION("""COMPUTED_VALUE"""),0)</f>
        <v>0</v>
      </c>
      <c r="G997" s="5">
        <f ca="1">IFERROR(__xludf.DUMMYFUNCTION("""COMPUTED_VALUE"""),1)</f>
        <v>1</v>
      </c>
      <c r="H997" s="9" t="str">
        <f ca="1">IFERROR(__xludf.DUMMYFUNCTION("""COMPUTED_VALUE"""),"http://www.foxnews.com/world/2013/10/17/texas-student-kills-himself-in-front-high-school-classmates.html")</f>
        <v>http://www.foxnews.com/world/2013/10/17/texas-student-kills-himself-in-front-high-school-classmates.html</v>
      </c>
      <c r="I997" s="5">
        <f ca="1">IFERROR(__xludf.DUMMYFUNCTION("""COMPUTED_VALUE"""),5)</f>
        <v>5</v>
      </c>
      <c r="J997" s="5" t="str">
        <f ca="1">IFERROR(__xludf.DUMMYFUNCTION("""COMPUTED_VALUE"""),"National")</f>
        <v>National</v>
      </c>
      <c r="K997" s="5">
        <f ca="1">IFERROR(__xludf.DUMMYFUNCTION("""COMPUTED_VALUE"""),2)</f>
        <v>2</v>
      </c>
      <c r="L997" s="5" t="str">
        <f ca="1">IFERROR(__xludf.DUMMYFUNCTION("""COMPUTED_VALUE"""),"Fall")</f>
        <v>Fall</v>
      </c>
      <c r="M997" s="5" t="str">
        <f ca="1">IFERROR(__xludf.DUMMYFUNCTION("""COMPUTED_VALUE"""),"Austin")</f>
        <v>Austin</v>
      </c>
      <c r="N997" s="5" t="str">
        <f ca="1">IFERROR(__xludf.DUMMYFUNCTION("""COMPUTED_VALUE"""),"TX")</f>
        <v>TX</v>
      </c>
      <c r="O997" s="5" t="str">
        <f ca="1">IFERROR(__xludf.DUMMYFUNCTION("""COMPUTED_VALUE"""),"High")</f>
        <v>High</v>
      </c>
      <c r="P997" s="5" t="str">
        <f ca="1">IFERROR(__xludf.DUMMYFUNCTION("""COMPUTED_VALUE"""),"Courtyard")</f>
        <v>Courtyard</v>
      </c>
      <c r="Q997" s="5" t="str">
        <f ca="1">IFERROR(__xludf.DUMMYFUNCTION("""COMPUTED_VALUE"""),"Outside on School Property")</f>
        <v>Outside on School Property</v>
      </c>
      <c r="R997" s="5" t="str">
        <f ca="1">IFERROR(__xludf.DUMMYFUNCTION("""COMPUTED_VALUE"""),"Yes")</f>
        <v>Yes</v>
      </c>
      <c r="S997" s="5" t="str">
        <f ca="1">IFERROR(__xludf.DUMMYFUNCTION("""COMPUTED_VALUE"""),"Lunch")</f>
        <v>Lunch</v>
      </c>
      <c r="T997" s="10">
        <f ca="1">IFERROR(__xludf.DUMMYFUNCTION("""COMPUTED_VALUE"""),0.502777777777777)</f>
        <v>0.50277777777777699</v>
      </c>
      <c r="U997" s="5">
        <f ca="1">IFERROR(__xludf.DUMMYFUNCTION("""COMPUTED_VALUE"""),1)</f>
        <v>1</v>
      </c>
      <c r="V997" s="5" t="str">
        <f ca="1">IFERROR(__xludf.DUMMYFUNCTION("""COMPUTED_VALUE"""),"Suicide in school courtyard")</f>
        <v>Suicide in school courtyard</v>
      </c>
      <c r="W997"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X997" s="5" t="str">
        <f ca="1">IFERROR(__xludf.DUMMYFUNCTION("""COMPUTED_VALUE"""),"Suicide/Attempted")</f>
        <v>Suicide/Attempted</v>
      </c>
      <c r="Y997" s="5" t="str">
        <f ca="1">IFERROR(__xludf.DUMMYFUNCTION("""COMPUTED_VALUE"""),"Victims Targeted")</f>
        <v>Victims Targeted</v>
      </c>
      <c r="Z997" s="5" t="str">
        <f ca="1">IFERROR(__xludf.DUMMYFUNCTION("""COMPUTED_VALUE"""),"No")</f>
        <v>No</v>
      </c>
      <c r="AA997" s="5"/>
      <c r="AB997" s="5" t="str">
        <f ca="1">IFERROR(__xludf.DUMMYFUNCTION("""COMPUTED_VALUE"""),"No")</f>
        <v>No</v>
      </c>
      <c r="AC997" s="5" t="str">
        <f ca="1">IFERROR(__xludf.DUMMYFUNCTION("""COMPUTED_VALUE"""),"No")</f>
        <v>No</v>
      </c>
      <c r="AD997" s="5" t="str">
        <f ca="1">IFERROR(__xludf.DUMMYFUNCTION("""COMPUTED_VALUE"""),"No")</f>
        <v>No</v>
      </c>
      <c r="AE997" s="5" t="str">
        <f ca="1">IFERROR(__xludf.DUMMYFUNCTION("""COMPUTED_VALUE"""),"No")</f>
        <v>No</v>
      </c>
      <c r="AF997" s="5" t="str">
        <f ca="1">IFERROR(__xludf.DUMMYFUNCTION("""COMPUTED_VALUE"""),"No")</f>
        <v>No</v>
      </c>
      <c r="AG997" s="5" t="str">
        <f ca="1">IFERROR(__xludf.DUMMYFUNCTION("""COMPUTED_VALUE"""),"No")</f>
        <v>No</v>
      </c>
      <c r="AH997" s="5"/>
    </row>
    <row r="998" spans="1:34" ht="12.75">
      <c r="A998" s="5" t="str">
        <f ca="1">IFERROR(__xludf.DUMMYFUNCTION("""COMPUTED_VALUE"""),"20131004FLAGP")</f>
        <v>20131004FLAGP</v>
      </c>
      <c r="B998" s="8">
        <f ca="1">IFERROR(__xludf.DUMMYFUNCTION("""COMPUTED_VALUE"""),41551)</f>
        <v>41551</v>
      </c>
      <c r="C998" s="5" t="str">
        <f ca="1">IFERROR(__xludf.DUMMYFUNCTION("""COMPUTED_VALUE"""),"Agape Christian Academy")</f>
        <v>Agape Christian Academy</v>
      </c>
      <c r="D998" s="5">
        <f ca="1">IFERROR(__xludf.DUMMYFUNCTION("""COMPUTED_VALUE"""),0)</f>
        <v>0</v>
      </c>
      <c r="E998" s="5">
        <f ca="1">IFERROR(__xludf.DUMMYFUNCTION("""COMPUTED_VALUE"""),2)</f>
        <v>2</v>
      </c>
      <c r="F998" s="5">
        <f ca="1">IFERROR(__xludf.DUMMYFUNCTION("""COMPUTED_VALUE"""),2)</f>
        <v>2</v>
      </c>
      <c r="G998" s="5">
        <f ca="1">IFERROR(__xludf.DUMMYFUNCTION("""COMPUTED_VALUE"""),0)</f>
        <v>0</v>
      </c>
      <c r="H998" s="9" t="str">
        <f ca="1">IFERROR(__xludf.DUMMYFUNCTION("""COMPUTED_VALUE"""),"https://www.wftv.com/news/local/teen-shot-agape-christian-academy-pine-hills/270794978")</f>
        <v>https://www.wftv.com/news/local/teen-shot-agape-christian-academy-pine-hills/270794978</v>
      </c>
      <c r="I998" s="5">
        <f ca="1">IFERROR(__xludf.DUMMYFUNCTION("""COMPUTED_VALUE"""),1)</f>
        <v>1</v>
      </c>
      <c r="J998" s="5" t="str">
        <f ca="1">IFERROR(__xludf.DUMMYFUNCTION("""COMPUTED_VALUE"""),"Local")</f>
        <v>Local</v>
      </c>
      <c r="K998" s="5">
        <f ca="1">IFERROR(__xludf.DUMMYFUNCTION("""COMPUTED_VALUE"""),2)</f>
        <v>2</v>
      </c>
      <c r="L998" s="5" t="str">
        <f ca="1">IFERROR(__xludf.DUMMYFUNCTION("""COMPUTED_VALUE"""),"Fall")</f>
        <v>Fall</v>
      </c>
      <c r="M998" s="5" t="str">
        <f ca="1">IFERROR(__xludf.DUMMYFUNCTION("""COMPUTED_VALUE"""),"Pine Hills")</f>
        <v>Pine Hills</v>
      </c>
      <c r="N998" s="5" t="str">
        <f ca="1">IFERROR(__xludf.DUMMYFUNCTION("""COMPUTED_VALUE"""),"FL")</f>
        <v>FL</v>
      </c>
      <c r="O998" s="5" t="str">
        <f ca="1">IFERROR(__xludf.DUMMYFUNCTION("""COMPUTED_VALUE"""),"K-12")</f>
        <v>K-12</v>
      </c>
      <c r="P998" s="5" t="str">
        <f ca="1">IFERROR(__xludf.DUMMYFUNCTION("""COMPUTED_VALUE"""),"Football Field/Track")</f>
        <v>Football Field/Track</v>
      </c>
      <c r="Q998" s="5" t="str">
        <f ca="1">IFERROR(__xludf.DUMMYFUNCTION("""COMPUTED_VALUE"""),"Outside on School Property")</f>
        <v>Outside on School Property</v>
      </c>
      <c r="R998" s="5" t="str">
        <f ca="1">IFERROR(__xludf.DUMMYFUNCTION("""COMPUTED_VALUE"""),"No")</f>
        <v>No</v>
      </c>
      <c r="S998" s="5" t="str">
        <f ca="1">IFERROR(__xludf.DUMMYFUNCTION("""COMPUTED_VALUE"""),"Dismissal")</f>
        <v>Dismissal</v>
      </c>
      <c r="T998" s="10">
        <f ca="1">IFERROR(__xludf.DUMMYFUNCTION("""COMPUTED_VALUE"""),0.583333333333333)</f>
        <v>0.58333333333333304</v>
      </c>
      <c r="U998" s="5">
        <f ca="1">IFERROR(__xludf.DUMMYFUNCTION("""COMPUTED_VALUE"""),1)</f>
        <v>1</v>
      </c>
      <c r="V998" s="5" t="str">
        <f ca="1">IFERROR(__xludf.DUMMYFUNCTION("""COMPUTED_VALUE"""),"Fight prior to football game, escalated Ongoing dispute")</f>
        <v>Fight prior to football game, escalated Ongoing dispute</v>
      </c>
      <c r="W998"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X998" s="5" t="str">
        <f ca="1">IFERROR(__xludf.DUMMYFUNCTION("""COMPUTED_VALUE"""),"Escalation of Dispute")</f>
        <v>Escalation of Dispute</v>
      </c>
      <c r="Y998" s="5" t="str">
        <f ca="1">IFERROR(__xludf.DUMMYFUNCTION("""COMPUTED_VALUE"""),"Both")</f>
        <v>Both</v>
      </c>
      <c r="Z998" s="5" t="str">
        <f ca="1">IFERROR(__xludf.DUMMYFUNCTION("""COMPUTED_VALUE"""),"Yes")</f>
        <v>Yes</v>
      </c>
      <c r="AA998" s="5" t="str">
        <f ca="1">IFERROR(__xludf.DUMMYFUNCTION("""COMPUTED_VALUE"""),"a group of males")</f>
        <v>a group of males</v>
      </c>
      <c r="AB998" s="5" t="str">
        <f ca="1">IFERROR(__xludf.DUMMYFUNCTION("""COMPUTED_VALUE"""),"No")</f>
        <v>No</v>
      </c>
      <c r="AC998" s="5" t="str">
        <f ca="1">IFERROR(__xludf.DUMMYFUNCTION("""COMPUTED_VALUE"""),"No")</f>
        <v>No</v>
      </c>
      <c r="AD998" s="5" t="str">
        <f ca="1">IFERROR(__xludf.DUMMYFUNCTION("""COMPUTED_VALUE"""),"No")</f>
        <v>No</v>
      </c>
      <c r="AE998" s="5" t="str">
        <f ca="1">IFERROR(__xludf.DUMMYFUNCTION("""COMPUTED_VALUE"""),"No")</f>
        <v>No</v>
      </c>
      <c r="AF998" s="5" t="str">
        <f ca="1">IFERROR(__xludf.DUMMYFUNCTION("""COMPUTED_VALUE"""),"No")</f>
        <v>No</v>
      </c>
      <c r="AG998" s="5" t="str">
        <f ca="1">IFERROR(__xludf.DUMMYFUNCTION("""COMPUTED_VALUE"""),"Yes")</f>
        <v>Yes</v>
      </c>
      <c r="AH998" s="5"/>
    </row>
    <row r="999" spans="1:34" ht="12.75">
      <c r="A999" s="5" t="str">
        <f ca="1">IFERROR(__xludf.DUMMYFUNCTION("""COMPUTED_VALUE"""),"20131002NHWIS")</f>
        <v>20131002NHWIS</v>
      </c>
      <c r="B999" s="8">
        <f ca="1">IFERROR(__xludf.DUMMYFUNCTION("""COMPUTED_VALUE"""),41549)</f>
        <v>41549</v>
      </c>
      <c r="C999" s="5" t="str">
        <f ca="1">IFERROR(__xludf.DUMMYFUNCTION("""COMPUTED_VALUE"""),"Winnisquam Regional School District")</f>
        <v>Winnisquam Regional School District</v>
      </c>
      <c r="D999" s="5">
        <f ca="1">IFERROR(__xludf.DUMMYFUNCTION("""COMPUTED_VALUE"""),0)</f>
        <v>0</v>
      </c>
      <c r="E999" s="5">
        <f ca="1">IFERROR(__xludf.DUMMYFUNCTION("""COMPUTED_VALUE"""),0)</f>
        <v>0</v>
      </c>
      <c r="F999" s="5">
        <f ca="1">IFERROR(__xludf.DUMMYFUNCTION("""COMPUTED_VALUE"""),0)</f>
        <v>0</v>
      </c>
      <c r="G999" s="5">
        <f ca="1">IFERROR(__xludf.DUMMYFUNCTION("""COMPUTED_VALUE"""),0)</f>
        <v>0</v>
      </c>
      <c r="H999" s="9" t="str">
        <f ca="1">IFERROR(__xludf.DUMMYFUNCTION("""COMPUTED_VALUE"""),"https://boston.cbslocal.com/2013/10/04/police-nh-man-fired-pellet-gun-at-school-bus-over-students-obscene-gesture/")</f>
        <v>https://boston.cbslocal.com/2013/10/04/police-nh-man-fired-pellet-gun-at-school-bus-over-students-obscene-gesture/</v>
      </c>
      <c r="I999" s="5"/>
      <c r="J999" s="5"/>
      <c r="K999" s="5">
        <f ca="1">IFERROR(__xludf.DUMMYFUNCTION("""COMPUTED_VALUE"""),2)</f>
        <v>2</v>
      </c>
      <c r="L999" s="5" t="str">
        <f ca="1">IFERROR(__xludf.DUMMYFUNCTION("""COMPUTED_VALUE"""),"Fall")</f>
        <v>Fall</v>
      </c>
      <c r="M999" s="5" t="str">
        <f ca="1">IFERROR(__xludf.DUMMYFUNCTION("""COMPUTED_VALUE"""),"Sanbornton")</f>
        <v>Sanbornton</v>
      </c>
      <c r="N999" s="5" t="str">
        <f ca="1">IFERROR(__xludf.DUMMYFUNCTION("""COMPUTED_VALUE"""),"NH")</f>
        <v>NH</v>
      </c>
      <c r="O999" s="5"/>
      <c r="P999" s="5" t="str">
        <f ca="1">IFERROR(__xludf.DUMMYFUNCTION("""COMPUTED_VALUE"""),"School Bus")</f>
        <v>School Bus</v>
      </c>
      <c r="Q999" s="5" t="str">
        <f ca="1">IFERROR(__xludf.DUMMYFUNCTION("""COMPUTED_VALUE"""),"School Bus")</f>
        <v>School Bus</v>
      </c>
      <c r="R999" s="5" t="str">
        <f ca="1">IFERROR(__xludf.DUMMYFUNCTION("""COMPUTED_VALUE"""),"Yes")</f>
        <v>Yes</v>
      </c>
      <c r="S999" s="5" t="str">
        <f ca="1">IFERROR(__xludf.DUMMYFUNCTION("""COMPUTED_VALUE"""),"After School")</f>
        <v>After School</v>
      </c>
      <c r="T999" s="5"/>
      <c r="U999" s="5"/>
      <c r="V999" s="5" t="str">
        <f ca="1">IFERROR(__xludf.DUMMYFUNCTION("""COMPUTED_VALUE"""),"Adult male fired shots at school bus after students made obscene gestures at him")</f>
        <v>Adult male fired shots at school bus after students made obscene gestures at him</v>
      </c>
      <c r="W999"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X999" s="5" t="str">
        <f ca="1">IFERROR(__xludf.DUMMYFUNCTION("""COMPUTED_VALUE"""),"Escalation of Dispute")</f>
        <v>Escalation of Dispute</v>
      </c>
      <c r="Y999" s="5" t="str">
        <f ca="1">IFERROR(__xludf.DUMMYFUNCTION("""COMPUTED_VALUE"""),"Random Shooting")</f>
        <v>Random Shooting</v>
      </c>
      <c r="Z999" s="5" t="str">
        <f ca="1">IFERROR(__xludf.DUMMYFUNCTION("""COMPUTED_VALUE"""),"No")</f>
        <v>No</v>
      </c>
      <c r="AA999" s="5"/>
      <c r="AB999" s="5" t="str">
        <f ca="1">IFERROR(__xludf.DUMMYFUNCTION("""COMPUTED_VALUE"""),"No")</f>
        <v>No</v>
      </c>
      <c r="AC999" s="5" t="str">
        <f ca="1">IFERROR(__xludf.DUMMYFUNCTION("""COMPUTED_VALUE"""),"No")</f>
        <v>No</v>
      </c>
      <c r="AD999" s="5" t="str">
        <f ca="1">IFERROR(__xludf.DUMMYFUNCTION("""COMPUTED_VALUE"""),"No")</f>
        <v>No</v>
      </c>
      <c r="AE999" s="5" t="str">
        <f ca="1">IFERROR(__xludf.DUMMYFUNCTION("""COMPUTED_VALUE"""),"No")</f>
        <v>No</v>
      </c>
      <c r="AF999" s="5" t="str">
        <f ca="1">IFERROR(__xludf.DUMMYFUNCTION("""COMPUTED_VALUE"""),"No")</f>
        <v>No</v>
      </c>
      <c r="AG999" s="5" t="str">
        <f ca="1">IFERROR(__xludf.DUMMYFUNCTION("""COMPUTED_VALUE"""),"No")</f>
        <v>No</v>
      </c>
      <c r="AH999" s="5"/>
    </row>
    <row r="1000" spans="1:34" ht="12.75">
      <c r="A1000" s="5" t="str">
        <f ca="1">IFERROR(__xludf.DUMMYFUNCTION("""COMPUTED_VALUE"""),"20130928MENEG")</f>
        <v>20130928MENEG</v>
      </c>
      <c r="B1000" s="8">
        <f ca="1">IFERROR(__xludf.DUMMYFUNCTION("""COMPUTED_VALUE"""),41545)</f>
        <v>41545</v>
      </c>
      <c r="C1000" s="5" t="str">
        <f ca="1">IFERROR(__xludf.DUMMYFUNCTION("""COMPUTED_VALUE"""),"New Gloucester High School")</f>
        <v>New Gloucester High School</v>
      </c>
      <c r="D1000" s="5">
        <f ca="1">IFERROR(__xludf.DUMMYFUNCTION("""COMPUTED_VALUE"""),0)</f>
        <v>0</v>
      </c>
      <c r="E1000" s="5">
        <f ca="1">IFERROR(__xludf.DUMMYFUNCTION("""COMPUTED_VALUE"""),0)</f>
        <v>0</v>
      </c>
      <c r="F1000" s="5">
        <f ca="1">IFERROR(__xludf.DUMMYFUNCTION("""COMPUTED_VALUE"""),0)</f>
        <v>0</v>
      </c>
      <c r="G1000" s="5">
        <f ca="1">IFERROR(__xludf.DUMMYFUNCTION("""COMPUTED_VALUE"""),1)</f>
        <v>1</v>
      </c>
      <c r="H1000" s="9" t="str">
        <f ca="1">IFERROR(__xludf.DUMMYFUNCTION("""COMPUTED_VALUE"""),"https://www.pressherald.com/2013/09/28/19-year-old-kills-himself-at-gray-new-gloucester-high-school/")</f>
        <v>https://www.pressherald.com/2013/09/28/19-year-old-kills-himself-at-gray-new-gloucester-high-school/</v>
      </c>
      <c r="I1000" s="5">
        <f ca="1">IFERROR(__xludf.DUMMYFUNCTION("""COMPUTED_VALUE"""),1)</f>
        <v>1</v>
      </c>
      <c r="J1000" s="5" t="str">
        <f ca="1">IFERROR(__xludf.DUMMYFUNCTION("""COMPUTED_VALUE"""),"Local")</f>
        <v>Local</v>
      </c>
      <c r="K1000" s="5">
        <f ca="1">IFERROR(__xludf.DUMMYFUNCTION("""COMPUTED_VALUE"""),2)</f>
        <v>2</v>
      </c>
      <c r="L1000" s="5" t="str">
        <f ca="1">IFERROR(__xludf.DUMMYFUNCTION("""COMPUTED_VALUE"""),"Fall")</f>
        <v>Fall</v>
      </c>
      <c r="M1000" s="5" t="str">
        <f ca="1">IFERROR(__xludf.DUMMYFUNCTION("""COMPUTED_VALUE"""),"Gray")</f>
        <v>Gray</v>
      </c>
      <c r="N1000" s="5" t="str">
        <f ca="1">IFERROR(__xludf.DUMMYFUNCTION("""COMPUTED_VALUE"""),"ME")</f>
        <v>ME</v>
      </c>
      <c r="O1000" s="5" t="str">
        <f ca="1">IFERROR(__xludf.DUMMYFUNCTION("""COMPUTED_VALUE"""),"High")</f>
        <v>High</v>
      </c>
      <c r="P1000" s="5" t="str">
        <f ca="1">IFERROR(__xludf.DUMMYFUNCTION("""COMPUTED_VALUE"""),"Parking Lot")</f>
        <v>Parking Lot</v>
      </c>
      <c r="Q1000" s="5" t="str">
        <f ca="1">IFERROR(__xludf.DUMMYFUNCTION("""COMPUTED_VALUE"""),"Outside on School Property")</f>
        <v>Outside on School Property</v>
      </c>
      <c r="R1000" s="5" t="str">
        <f ca="1">IFERROR(__xludf.DUMMYFUNCTION("""COMPUTED_VALUE"""),"No")</f>
        <v>No</v>
      </c>
      <c r="S1000" s="5" t="str">
        <f ca="1">IFERROR(__xludf.DUMMYFUNCTION("""COMPUTED_VALUE"""),"Not a School Day")</f>
        <v>Not a School Day</v>
      </c>
      <c r="T1000" s="10">
        <f ca="1">IFERROR(__xludf.DUMMYFUNCTION("""COMPUTED_VALUE"""),0.534722222222222)</f>
        <v>0.53472222222222199</v>
      </c>
      <c r="U1000" s="5">
        <f ca="1">IFERROR(__xludf.DUMMYFUNCTION("""COMPUTED_VALUE"""),1)</f>
        <v>1</v>
      </c>
      <c r="V1000" s="5" t="str">
        <f ca="1">IFERROR(__xludf.DUMMYFUNCTION("""COMPUTED_VALUE"""),"Suicide in school parking lot")</f>
        <v>Suicide in school parking lot</v>
      </c>
      <c r="W1000" s="5" t="str">
        <f ca="1">IFERROR(__xludf.DUMMYFUNCTION("""COMPUTED_VALUE"""),"19 year old male - no relation to school - shot himself in parking lot")</f>
        <v>19 year old male - no relation to school - shot himself in parking lot</v>
      </c>
      <c r="X1000" s="5" t="str">
        <f ca="1">IFERROR(__xludf.DUMMYFUNCTION("""COMPUTED_VALUE"""),"Suicide/Attempted")</f>
        <v>Suicide/Attempted</v>
      </c>
      <c r="Y1000" s="5" t="str">
        <f ca="1">IFERROR(__xludf.DUMMYFUNCTION("""COMPUTED_VALUE"""),"Victims Targeted")</f>
        <v>Victims Targeted</v>
      </c>
      <c r="Z1000" s="5" t="str">
        <f ca="1">IFERROR(__xludf.DUMMYFUNCTION("""COMPUTED_VALUE"""),"No")</f>
        <v>No</v>
      </c>
      <c r="AA1000" s="5"/>
      <c r="AB1000" s="5" t="str">
        <f ca="1">IFERROR(__xludf.DUMMYFUNCTION("""COMPUTED_VALUE"""),"No")</f>
        <v>No</v>
      </c>
      <c r="AC1000" s="5" t="str">
        <f ca="1">IFERROR(__xludf.DUMMYFUNCTION("""COMPUTED_VALUE"""),"No")</f>
        <v>No</v>
      </c>
      <c r="AD1000" s="5" t="str">
        <f ca="1">IFERROR(__xludf.DUMMYFUNCTION("""COMPUTED_VALUE"""),"No")</f>
        <v>No</v>
      </c>
      <c r="AE1000" s="5"/>
      <c r="AF1000" s="5"/>
      <c r="AG1000" s="5" t="str">
        <f ca="1">IFERROR(__xludf.DUMMYFUNCTION("""COMPUTED_VALUE"""),"No")</f>
        <v>No</v>
      </c>
      <c r="AH1000" s="5"/>
    </row>
    <row r="1001" spans="1:34" ht="12.75">
      <c r="A1001" s="5" t="str">
        <f ca="1">IFERROR(__xludf.DUMMYFUNCTION("""COMPUTED_VALUE"""),"20130927ILROC")</f>
        <v>20130927ILROC</v>
      </c>
      <c r="B1001" s="8">
        <f ca="1">IFERROR(__xludf.DUMMYFUNCTION("""COMPUTED_VALUE"""),41544)</f>
        <v>41544</v>
      </c>
      <c r="C1001" s="5" t="str">
        <f ca="1">IFERROR(__xludf.DUMMYFUNCTION("""COMPUTED_VALUE"""),"Roosevelt High School")</f>
        <v>Roosevelt High School</v>
      </c>
      <c r="D1001" s="5">
        <f ca="1">IFERROR(__xludf.DUMMYFUNCTION("""COMPUTED_VALUE"""),0)</f>
        <v>0</v>
      </c>
      <c r="E1001" s="5">
        <f ca="1">IFERROR(__xludf.DUMMYFUNCTION("""COMPUTED_VALUE"""),1)</f>
        <v>1</v>
      </c>
      <c r="F1001" s="5">
        <f ca="1">IFERROR(__xludf.DUMMYFUNCTION("""COMPUTED_VALUE"""),1)</f>
        <v>1</v>
      </c>
      <c r="G1001" s="5">
        <f ca="1">IFERROR(__xludf.DUMMYFUNCTION("""COMPUTED_VALUE"""),0)</f>
        <v>0</v>
      </c>
      <c r="H1001"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I1001" s="5">
        <f ca="1">IFERROR(__xludf.DUMMYFUNCTION("""COMPUTED_VALUE"""),1)</f>
        <v>1</v>
      </c>
      <c r="J1001" s="5" t="str">
        <f ca="1">IFERROR(__xludf.DUMMYFUNCTION("""COMPUTED_VALUE"""),"Local")</f>
        <v>Local</v>
      </c>
      <c r="K1001" s="5">
        <f ca="1">IFERROR(__xludf.DUMMYFUNCTION("""COMPUTED_VALUE"""),2)</f>
        <v>2</v>
      </c>
      <c r="L1001" s="5" t="str">
        <f ca="1">IFERROR(__xludf.DUMMYFUNCTION("""COMPUTED_VALUE"""),"Fall")</f>
        <v>Fall</v>
      </c>
      <c r="M1001" s="5" t="str">
        <f ca="1">IFERROR(__xludf.DUMMYFUNCTION("""COMPUTED_VALUE"""),"Chicago")</f>
        <v>Chicago</v>
      </c>
      <c r="N1001" s="5" t="str">
        <f ca="1">IFERROR(__xludf.DUMMYFUNCTION("""COMPUTED_VALUE"""),"IL")</f>
        <v>IL</v>
      </c>
      <c r="O1001" s="5" t="str">
        <f ca="1">IFERROR(__xludf.DUMMYFUNCTION("""COMPUTED_VALUE"""),"High")</f>
        <v>High</v>
      </c>
      <c r="P1001" s="5" t="str">
        <f ca="1">IFERROR(__xludf.DUMMYFUNCTION("""COMPUTED_VALUE"""),"Beside Building")</f>
        <v>Beside Building</v>
      </c>
      <c r="Q1001" s="5" t="str">
        <f ca="1">IFERROR(__xludf.DUMMYFUNCTION("""COMPUTED_VALUE"""),"Outside on School Property")</f>
        <v>Outside on School Property</v>
      </c>
      <c r="R1001" s="5" t="str">
        <f ca="1">IFERROR(__xludf.DUMMYFUNCTION("""COMPUTED_VALUE"""),"Yes")</f>
        <v>Yes</v>
      </c>
      <c r="S1001" s="5" t="str">
        <f ca="1">IFERROR(__xludf.DUMMYFUNCTION("""COMPUTED_VALUE"""),"Dismissal")</f>
        <v>Dismissal</v>
      </c>
      <c r="T1001" s="10">
        <f ca="1">IFERROR(__xludf.DUMMYFUNCTION("""COMPUTED_VALUE"""),0.600694444444444)</f>
        <v>0.60069444444444398</v>
      </c>
      <c r="U1001" s="5">
        <f ca="1">IFERROR(__xludf.DUMMYFUNCTION("""COMPUTED_VALUE"""),1)</f>
        <v>1</v>
      </c>
      <c r="V1001" s="5" t="str">
        <f ca="1">IFERROR(__xludf.DUMMYFUNCTION("""COMPUTED_VALUE"""),"Robbery outside of school")</f>
        <v>Robbery outside of school</v>
      </c>
      <c r="W1001"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X1001" s="5" t="str">
        <f ca="1">IFERROR(__xludf.DUMMYFUNCTION("""COMPUTED_VALUE"""),"Illegal Activity")</f>
        <v>Illegal Activity</v>
      </c>
      <c r="Y1001" s="5" t="str">
        <f ca="1">IFERROR(__xludf.DUMMYFUNCTION("""COMPUTED_VALUE"""),"Victims Targeted")</f>
        <v>Victims Targeted</v>
      </c>
      <c r="Z1001" s="5" t="str">
        <f ca="1">IFERROR(__xludf.DUMMYFUNCTION("""COMPUTED_VALUE"""),"Yes")</f>
        <v>Yes</v>
      </c>
      <c r="AA1001" s="5" t="str">
        <f ca="1">IFERROR(__xludf.DUMMYFUNCTION("""COMPUTED_VALUE"""),"9 year old boy - not charged")</f>
        <v>9 year old boy - not charged</v>
      </c>
      <c r="AB1001" s="5" t="str">
        <f ca="1">IFERROR(__xludf.DUMMYFUNCTION("""COMPUTED_VALUE"""),"No")</f>
        <v>No</v>
      </c>
      <c r="AC1001" s="5" t="str">
        <f ca="1">IFERROR(__xludf.DUMMYFUNCTION("""COMPUTED_VALUE"""),"No")</f>
        <v>No</v>
      </c>
      <c r="AD1001" s="5" t="str">
        <f ca="1">IFERROR(__xludf.DUMMYFUNCTION("""COMPUTED_VALUE"""),"No")</f>
        <v>No</v>
      </c>
      <c r="AE1001" s="5" t="str">
        <f ca="1">IFERROR(__xludf.DUMMYFUNCTION("""COMPUTED_VALUE"""),"No")</f>
        <v>No</v>
      </c>
      <c r="AF1001" s="5" t="str">
        <f ca="1">IFERROR(__xludf.DUMMYFUNCTION("""COMPUTED_VALUE"""),"No")</f>
        <v>No</v>
      </c>
      <c r="AG1001" s="5" t="str">
        <f ca="1">IFERROR(__xludf.DUMMYFUNCTION("""COMPUTED_VALUE"""),"No")</f>
        <v>No</v>
      </c>
      <c r="AH1001" s="5"/>
    </row>
    <row r="1002" spans="1:34" ht="12.75">
      <c r="A1002" s="5" t="str">
        <f ca="1">IFERROR(__xludf.DUMMYFUNCTION("""COMPUTED_VALUE"""),"20130830NCCAW")</f>
        <v>20130830NCCAW</v>
      </c>
      <c r="B1002" s="8">
        <f ca="1">IFERROR(__xludf.DUMMYFUNCTION("""COMPUTED_VALUE"""),41516)</f>
        <v>41516</v>
      </c>
      <c r="C1002" s="5" t="str">
        <f ca="1">IFERROR(__xludf.DUMMYFUNCTION("""COMPUTED_VALUE"""),"Carver High School")</f>
        <v>Carver High School</v>
      </c>
      <c r="D1002" s="5">
        <f ca="1">IFERROR(__xludf.DUMMYFUNCTION("""COMPUTED_VALUE"""),0)</f>
        <v>0</v>
      </c>
      <c r="E1002" s="5">
        <f ca="1">IFERROR(__xludf.DUMMYFUNCTION("""COMPUTED_VALUE"""),1)</f>
        <v>1</v>
      </c>
      <c r="F1002" s="5">
        <f ca="1">IFERROR(__xludf.DUMMYFUNCTION("""COMPUTED_VALUE"""),1)</f>
        <v>1</v>
      </c>
      <c r="G1002" s="5">
        <f ca="1">IFERROR(__xludf.DUMMYFUNCTION("""COMPUTED_VALUE"""),0)</f>
        <v>0</v>
      </c>
      <c r="H1002" s="9" t="str">
        <f ca="1">IFERROR(__xludf.DUMMYFUNCTION("""COMPUTED_VALUE"""),"https://www.journalnow.com/news/local/update--year-old-charged-in-shooting-at-carver/article_247ee7d0-11a4-11e3-b183-001a4bcf6878.html")</f>
        <v>https://www.journalnow.com/news/local/update--year-old-charged-in-shooting-at-carver/article_247ee7d0-11a4-11e3-b183-001a4bcf6878.html</v>
      </c>
      <c r="I1002" s="5">
        <f ca="1">IFERROR(__xludf.DUMMYFUNCTION("""COMPUTED_VALUE"""),5)</f>
        <v>5</v>
      </c>
      <c r="J1002" s="5" t="str">
        <f ca="1">IFERROR(__xludf.DUMMYFUNCTION("""COMPUTED_VALUE"""),"Local")</f>
        <v>Local</v>
      </c>
      <c r="K1002" s="5">
        <f ca="1">IFERROR(__xludf.DUMMYFUNCTION("""COMPUTED_VALUE"""),2)</f>
        <v>2</v>
      </c>
      <c r="L1002" s="5" t="str">
        <f ca="1">IFERROR(__xludf.DUMMYFUNCTION("""COMPUTED_VALUE"""),"Summer")</f>
        <v>Summer</v>
      </c>
      <c r="M1002" s="5" t="str">
        <f ca="1">IFERROR(__xludf.DUMMYFUNCTION("""COMPUTED_VALUE"""),"Winston-Salem")</f>
        <v>Winston-Salem</v>
      </c>
      <c r="N1002" s="5" t="str">
        <f ca="1">IFERROR(__xludf.DUMMYFUNCTION("""COMPUTED_VALUE"""),"NC")</f>
        <v>NC</v>
      </c>
      <c r="O1002" s="5" t="str">
        <f ca="1">IFERROR(__xludf.DUMMYFUNCTION("""COMPUTED_VALUE"""),"High")</f>
        <v>High</v>
      </c>
      <c r="P1002" s="5" t="str">
        <f ca="1">IFERROR(__xludf.DUMMYFUNCTION("""COMPUTED_VALUE"""),"Beside Building")</f>
        <v>Beside Building</v>
      </c>
      <c r="Q1002" s="5" t="str">
        <f ca="1">IFERROR(__xludf.DUMMYFUNCTION("""COMPUTED_VALUE"""),"Outside on School Property")</f>
        <v>Outside on School Property</v>
      </c>
      <c r="R1002" s="5" t="str">
        <f ca="1">IFERROR(__xludf.DUMMYFUNCTION("""COMPUTED_VALUE"""),"Yes")</f>
        <v>Yes</v>
      </c>
      <c r="S1002" s="5" t="str">
        <f ca="1">IFERROR(__xludf.DUMMYFUNCTION("""COMPUTED_VALUE"""),"Afternoon Classes")</f>
        <v>Afternoon Classes</v>
      </c>
      <c r="T1002" s="10">
        <f ca="1">IFERROR(__xludf.DUMMYFUNCTION("""COMPUTED_VALUE"""),0.600694444444444)</f>
        <v>0.60069444444444398</v>
      </c>
      <c r="U1002" s="5">
        <f ca="1">IFERROR(__xludf.DUMMYFUNCTION("""COMPUTED_VALUE"""),1)</f>
        <v>1</v>
      </c>
      <c r="V1002" s="5" t="str">
        <f ca="1">IFERROR(__xludf.DUMMYFUNCTION("""COMPUTED_VALUE"""),"Shots fired during fight")</f>
        <v>Shots fired during fight</v>
      </c>
      <c r="W1002"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X1002" s="5" t="str">
        <f ca="1">IFERROR(__xludf.DUMMYFUNCTION("""COMPUTED_VALUE"""),"Escalation of Dispute")</f>
        <v>Escalation of Dispute</v>
      </c>
      <c r="Y1002" s="5" t="str">
        <f ca="1">IFERROR(__xludf.DUMMYFUNCTION("""COMPUTED_VALUE"""),"Victims Targeted")</f>
        <v>Victims Targeted</v>
      </c>
      <c r="Z1002" s="5" t="str">
        <f ca="1">IFERROR(__xludf.DUMMYFUNCTION("""COMPUTED_VALUE"""),"No")</f>
        <v>No</v>
      </c>
      <c r="AA1002" s="5"/>
      <c r="AB1002" s="5" t="str">
        <f ca="1">IFERROR(__xludf.DUMMYFUNCTION("""COMPUTED_VALUE"""),"No")</f>
        <v>No</v>
      </c>
      <c r="AC1002" s="5" t="str">
        <f ca="1">IFERROR(__xludf.DUMMYFUNCTION("""COMPUTED_VALUE"""),"No")</f>
        <v>No</v>
      </c>
      <c r="AD1002" s="5" t="str">
        <f ca="1">IFERROR(__xludf.DUMMYFUNCTION("""COMPUTED_VALUE"""),"No")</f>
        <v>No</v>
      </c>
      <c r="AE1002" s="5" t="str">
        <f ca="1">IFERROR(__xludf.DUMMYFUNCTION("""COMPUTED_VALUE"""),"Yes")</f>
        <v>Yes</v>
      </c>
      <c r="AF1002" s="5" t="str">
        <f ca="1">IFERROR(__xludf.DUMMYFUNCTION("""COMPUTED_VALUE"""),"No")</f>
        <v>No</v>
      </c>
      <c r="AG1002" s="5" t="str">
        <f ca="1">IFERROR(__xludf.DUMMYFUNCTION("""COMPUTED_VALUE"""),"No")</f>
        <v>No</v>
      </c>
      <c r="AH1002" s="5"/>
    </row>
    <row r="1003" spans="1:34" ht="12.75">
      <c r="A1003" s="5" t="str">
        <f ca="1">IFERROR(__xludf.DUMMYFUNCTION("""COMPUTED_VALUE"""),"20130823MSNOS")</f>
        <v>20130823MSNOS</v>
      </c>
      <c r="B1003" s="8">
        <f ca="1">IFERROR(__xludf.DUMMYFUNCTION("""COMPUTED_VALUE"""),41509)</f>
        <v>41509</v>
      </c>
      <c r="C1003" s="5" t="str">
        <f ca="1">IFERROR(__xludf.DUMMYFUNCTION("""COMPUTED_VALUE"""),"North Panola High School")</f>
        <v>North Panola High School</v>
      </c>
      <c r="D1003" s="5">
        <f ca="1">IFERROR(__xludf.DUMMYFUNCTION("""COMPUTED_VALUE"""),1)</f>
        <v>1</v>
      </c>
      <c r="E1003" s="5">
        <f ca="1">IFERROR(__xludf.DUMMYFUNCTION("""COMPUTED_VALUE"""),2)</f>
        <v>2</v>
      </c>
      <c r="F1003" s="5">
        <f ca="1">IFERROR(__xludf.DUMMYFUNCTION("""COMPUTED_VALUE"""),3)</f>
        <v>3</v>
      </c>
      <c r="G1003" s="5">
        <f ca="1">IFERROR(__xludf.DUMMYFUNCTION("""COMPUTED_VALUE"""),0)</f>
        <v>0</v>
      </c>
      <c r="H1003" s="9" t="str">
        <f ca="1">IFERROR(__xludf.DUMMYFUNCTION("""COMPUTED_VALUE"""),"http://blog.gulflive.com/mississippi-press-news/2013/08/3_gang_members_arrested_after.html")</f>
        <v>http://blog.gulflive.com/mississippi-press-news/2013/08/3_gang_members_arrested_after.html</v>
      </c>
      <c r="I1003" s="5">
        <f ca="1">IFERROR(__xludf.DUMMYFUNCTION("""COMPUTED_VALUE"""),5)</f>
        <v>5</v>
      </c>
      <c r="J1003" s="5" t="str">
        <f ca="1">IFERROR(__xludf.DUMMYFUNCTION("""COMPUTED_VALUE"""),"Local")</f>
        <v>Local</v>
      </c>
      <c r="K1003" s="5">
        <f ca="1">IFERROR(__xludf.DUMMYFUNCTION("""COMPUTED_VALUE"""),2)</f>
        <v>2</v>
      </c>
      <c r="L1003" s="5" t="str">
        <f ca="1">IFERROR(__xludf.DUMMYFUNCTION("""COMPUTED_VALUE"""),"Summer")</f>
        <v>Summer</v>
      </c>
      <c r="M1003" s="5" t="str">
        <f ca="1">IFERROR(__xludf.DUMMYFUNCTION("""COMPUTED_VALUE"""),"Sardis")</f>
        <v>Sardis</v>
      </c>
      <c r="N1003" s="5" t="str">
        <f ca="1">IFERROR(__xludf.DUMMYFUNCTION("""COMPUTED_VALUE"""),"MS")</f>
        <v>MS</v>
      </c>
      <c r="O1003" s="5" t="str">
        <f ca="1">IFERROR(__xludf.DUMMYFUNCTION("""COMPUTED_VALUE"""),"High")</f>
        <v>High</v>
      </c>
      <c r="P1003" s="5" t="str">
        <f ca="1">IFERROR(__xludf.DUMMYFUNCTION("""COMPUTED_VALUE"""),"Football Field/Track")</f>
        <v>Football Field/Track</v>
      </c>
      <c r="Q1003" s="5" t="str">
        <f ca="1">IFERROR(__xludf.DUMMYFUNCTION("""COMPUTED_VALUE"""),"Outside on School Property")</f>
        <v>Outside on School Property</v>
      </c>
      <c r="R1003" s="5" t="str">
        <f ca="1">IFERROR(__xludf.DUMMYFUNCTION("""COMPUTED_VALUE"""),"No")</f>
        <v>No</v>
      </c>
      <c r="S1003" s="5" t="str">
        <f ca="1">IFERROR(__xludf.DUMMYFUNCTION("""COMPUTED_VALUE"""),"Evening")</f>
        <v>Evening</v>
      </c>
      <c r="T1003" s="10">
        <f ca="1">IFERROR(__xludf.DUMMYFUNCTION("""COMPUTED_VALUE"""),0.9375)</f>
        <v>0.9375</v>
      </c>
      <c r="U1003" s="5">
        <f ca="1">IFERROR(__xludf.DUMMYFUNCTION("""COMPUTED_VALUE"""),5)</f>
        <v>5</v>
      </c>
      <c r="V1003" s="5" t="str">
        <f ca="1">IFERROR(__xludf.DUMMYFUNCTION("""COMPUTED_VALUE"""),"Gang related shooting at football game")</f>
        <v>Gang related shooting at football game</v>
      </c>
      <c r="W1003"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X1003" s="5" t="str">
        <f ca="1">IFERROR(__xludf.DUMMYFUNCTION("""COMPUTED_VALUE"""),"Escalation of Dispute")</f>
        <v>Escalation of Dispute</v>
      </c>
      <c r="Y1003" s="5"/>
      <c r="Z1003" s="5" t="str">
        <f ca="1">IFERROR(__xludf.DUMMYFUNCTION("""COMPUTED_VALUE"""),"Yes")</f>
        <v>Yes</v>
      </c>
      <c r="AA1003" s="5" t="str">
        <f ca="1">IFERROR(__xludf.DUMMYFUNCTION("""COMPUTED_VALUE"""),"2 more suspects charged")</f>
        <v>2 more suspects charged</v>
      </c>
      <c r="AB1003" s="5" t="str">
        <f ca="1">IFERROR(__xludf.DUMMYFUNCTION("""COMPUTED_VALUE"""),"No")</f>
        <v>No</v>
      </c>
      <c r="AC1003" s="5" t="str">
        <f ca="1">IFERROR(__xludf.DUMMYFUNCTION("""COMPUTED_VALUE"""),"No")</f>
        <v>No</v>
      </c>
      <c r="AD1003" s="5" t="str">
        <f ca="1">IFERROR(__xludf.DUMMYFUNCTION("""COMPUTED_VALUE"""),"No")</f>
        <v>No</v>
      </c>
      <c r="AE1003" s="5" t="str">
        <f ca="1">IFERROR(__xludf.DUMMYFUNCTION("""COMPUTED_VALUE"""),"No")</f>
        <v>No</v>
      </c>
      <c r="AF1003" s="5" t="str">
        <f ca="1">IFERROR(__xludf.DUMMYFUNCTION("""COMPUTED_VALUE"""),"No")</f>
        <v>No</v>
      </c>
      <c r="AG1003" s="5" t="str">
        <f ca="1">IFERROR(__xludf.DUMMYFUNCTION("""COMPUTED_VALUE"""),"Yes")</f>
        <v>Yes</v>
      </c>
      <c r="AH1003" s="5"/>
    </row>
    <row r="1004" spans="1:34" ht="12.75">
      <c r="A1004" s="5" t="str">
        <f ca="1">IFERROR(__xludf.DUMMYFUNCTION("""COMPUTED_VALUE"""),"20130822TNWEM")</f>
        <v>20130822TNWEM</v>
      </c>
      <c r="B1004" s="8">
        <f ca="1">IFERROR(__xludf.DUMMYFUNCTION("""COMPUTED_VALUE"""),41508)</f>
        <v>41508</v>
      </c>
      <c r="C1004" s="5" t="str">
        <f ca="1">IFERROR(__xludf.DUMMYFUNCTION("""COMPUTED_VALUE"""),"Westside Elementary School")</f>
        <v>Westside Elementary School</v>
      </c>
      <c r="D1004" s="5">
        <f ca="1">IFERROR(__xludf.DUMMYFUNCTION("""COMPUTED_VALUE"""),0)</f>
        <v>0</v>
      </c>
      <c r="E1004" s="5">
        <f ca="1">IFERROR(__xludf.DUMMYFUNCTION("""COMPUTED_VALUE"""),0)</f>
        <v>0</v>
      </c>
      <c r="F1004" s="5">
        <f ca="1">IFERROR(__xludf.DUMMYFUNCTION("""COMPUTED_VALUE"""),0)</f>
        <v>0</v>
      </c>
      <c r="G1004" s="5">
        <f ca="1">IFERROR(__xludf.DUMMYFUNCTION("""COMPUTED_VALUE"""),0)</f>
        <v>0</v>
      </c>
      <c r="H1004" s="9" t="str">
        <f ca="1">IFERROR(__xludf.DUMMYFUNCTION("""COMPUTED_VALUE"""),"http://www.wmcactionnews5.com/story/23229636/5-year-old-fires-gun-in-school-cafeteria")</f>
        <v>http://www.wmcactionnews5.com/story/23229636/5-year-old-fires-gun-in-school-cafeteria</v>
      </c>
      <c r="I1004" s="5">
        <f ca="1">IFERROR(__xludf.DUMMYFUNCTION("""COMPUTED_VALUE"""),1)</f>
        <v>1</v>
      </c>
      <c r="J1004" s="5" t="str">
        <f ca="1">IFERROR(__xludf.DUMMYFUNCTION("""COMPUTED_VALUE"""),"Local")</f>
        <v>Local</v>
      </c>
      <c r="K1004" s="5">
        <f ca="1">IFERROR(__xludf.DUMMYFUNCTION("""COMPUTED_VALUE"""),2)</f>
        <v>2</v>
      </c>
      <c r="L1004" s="5" t="str">
        <f ca="1">IFERROR(__xludf.DUMMYFUNCTION("""COMPUTED_VALUE"""),"Summer")</f>
        <v>Summer</v>
      </c>
      <c r="M1004" s="5" t="str">
        <f ca="1">IFERROR(__xludf.DUMMYFUNCTION("""COMPUTED_VALUE"""),"Memphis")</f>
        <v>Memphis</v>
      </c>
      <c r="N1004" s="5" t="str">
        <f ca="1">IFERROR(__xludf.DUMMYFUNCTION("""COMPUTED_VALUE"""),"TN")</f>
        <v>TN</v>
      </c>
      <c r="O1004" s="5" t="str">
        <f ca="1">IFERROR(__xludf.DUMMYFUNCTION("""COMPUTED_VALUE"""),"Elementary")</f>
        <v>Elementary</v>
      </c>
      <c r="P1004" s="5" t="str">
        <f ca="1">IFERROR(__xludf.DUMMYFUNCTION("""COMPUTED_VALUE"""),"Cafeteria")</f>
        <v>Cafeteria</v>
      </c>
      <c r="Q1004" s="5" t="str">
        <f ca="1">IFERROR(__xludf.DUMMYFUNCTION("""COMPUTED_VALUE"""),"Inside School Building")</f>
        <v>Inside School Building</v>
      </c>
      <c r="R1004" s="5" t="str">
        <f ca="1">IFERROR(__xludf.DUMMYFUNCTION("""COMPUTED_VALUE"""),"Yes")</f>
        <v>Yes</v>
      </c>
      <c r="S1004" s="5" t="str">
        <f ca="1">IFERROR(__xludf.DUMMYFUNCTION("""COMPUTED_VALUE"""),"School Start")</f>
        <v>School Start</v>
      </c>
      <c r="T1004" s="10">
        <f ca="1">IFERROR(__xludf.DUMMYFUNCTION("""COMPUTED_VALUE"""),0.333333333333333)</f>
        <v>0.33333333333333298</v>
      </c>
      <c r="U1004" s="5">
        <f ca="1">IFERROR(__xludf.DUMMYFUNCTION("""COMPUTED_VALUE"""),1)</f>
        <v>1</v>
      </c>
      <c r="V1004" s="5" t="str">
        <f ca="1">IFERROR(__xludf.DUMMYFUNCTION("""COMPUTED_VALUE"""),"Accidental discharge in backpack")</f>
        <v>Accidental discharge in backpack</v>
      </c>
      <c r="W1004"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X1004" s="5" t="str">
        <f ca="1">IFERROR(__xludf.DUMMYFUNCTION("""COMPUTED_VALUE"""),"Accidental")</f>
        <v>Accidental</v>
      </c>
      <c r="Y1004" s="5" t="str">
        <f ca="1">IFERROR(__xludf.DUMMYFUNCTION("""COMPUTED_VALUE"""),"Neither")</f>
        <v>Neither</v>
      </c>
      <c r="Z1004" s="5" t="str">
        <f ca="1">IFERROR(__xludf.DUMMYFUNCTION("""COMPUTED_VALUE"""),"No")</f>
        <v>No</v>
      </c>
      <c r="AA1004" s="5"/>
      <c r="AB1004" s="5" t="str">
        <f ca="1">IFERROR(__xludf.DUMMYFUNCTION("""COMPUTED_VALUE"""),"No")</f>
        <v>No</v>
      </c>
      <c r="AC1004" s="5" t="str">
        <f ca="1">IFERROR(__xludf.DUMMYFUNCTION("""COMPUTED_VALUE"""),"No")</f>
        <v>No</v>
      </c>
      <c r="AD1004" s="5" t="str">
        <f ca="1">IFERROR(__xludf.DUMMYFUNCTION("""COMPUTED_VALUE"""),"No")</f>
        <v>No</v>
      </c>
      <c r="AE1004" s="5" t="str">
        <f ca="1">IFERROR(__xludf.DUMMYFUNCTION("""COMPUTED_VALUE"""),"No")</f>
        <v>No</v>
      </c>
      <c r="AF1004" s="5" t="str">
        <f ca="1">IFERROR(__xludf.DUMMYFUNCTION("""COMPUTED_VALUE"""),"No")</f>
        <v>No</v>
      </c>
      <c r="AG1004" s="5" t="str">
        <f ca="1">IFERROR(__xludf.DUMMYFUNCTION("""COMPUTED_VALUE"""),"No")</f>
        <v>No</v>
      </c>
      <c r="AH1004" s="5"/>
    </row>
    <row r="1005" spans="1:34" ht="12.75">
      <c r="A1005" s="5" t="str">
        <f ca="1">IFERROR(__xludf.DUMMYFUNCTION("""COMPUTED_VALUE"""),"20130820GAROD")</f>
        <v>20130820GAROD</v>
      </c>
      <c r="B1005" s="8">
        <f ca="1">IFERROR(__xludf.DUMMYFUNCTION("""COMPUTED_VALUE"""),41506)</f>
        <v>41506</v>
      </c>
      <c r="C1005" s="5" t="str">
        <f ca="1">IFERROR(__xludf.DUMMYFUNCTION("""COMPUTED_VALUE"""),"Ronald E. McNair Discovery Learning Academy")</f>
        <v>Ronald E. McNair Discovery Learning Academy</v>
      </c>
      <c r="D1005" s="5">
        <f ca="1">IFERROR(__xludf.DUMMYFUNCTION("""COMPUTED_VALUE"""),0)</f>
        <v>0</v>
      </c>
      <c r="E1005" s="5">
        <f ca="1">IFERROR(__xludf.DUMMYFUNCTION("""COMPUTED_VALUE"""),0)</f>
        <v>0</v>
      </c>
      <c r="F1005" s="5">
        <f ca="1">IFERROR(__xludf.DUMMYFUNCTION("""COMPUTED_VALUE"""),0)</f>
        <v>0</v>
      </c>
      <c r="G1005" s="5">
        <f ca="1">IFERROR(__xludf.DUMMYFUNCTION("""COMPUTED_VALUE"""),0)</f>
        <v>0</v>
      </c>
      <c r="H1005" s="5"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f>
        <v>https://www.nbcnews.com/news/us-news/authorities-georgia-shooting-suspect-had-nearly-500-rounds-ammunition-flna6C10968110 https://www.11alive.com/article/features/she-saved-a-school-from-a-mass-shooting-years-later-antoinette-tuff-continues-to-inspire-and-teach-tuff-tactics/85-165e5660-a34e-4b53-bc3e-d4289599417d</v>
      </c>
      <c r="I1005" s="5">
        <f ca="1">IFERROR(__xludf.DUMMYFUNCTION("""COMPUTED_VALUE"""),11)</f>
        <v>11</v>
      </c>
      <c r="J1005" s="5" t="str">
        <f ca="1">IFERROR(__xludf.DUMMYFUNCTION("""COMPUTED_VALUE"""),"International")</f>
        <v>International</v>
      </c>
      <c r="K1005" s="5">
        <f ca="1">IFERROR(__xludf.DUMMYFUNCTION("""COMPUTED_VALUE"""),4)</f>
        <v>4</v>
      </c>
      <c r="L1005" s="5" t="str">
        <f ca="1">IFERROR(__xludf.DUMMYFUNCTION("""COMPUTED_VALUE"""),"Summer")</f>
        <v>Summer</v>
      </c>
      <c r="M1005" s="5" t="str">
        <f ca="1">IFERROR(__xludf.DUMMYFUNCTION("""COMPUTED_VALUE"""),"Decatur")</f>
        <v>Decatur</v>
      </c>
      <c r="N1005" s="5" t="str">
        <f ca="1">IFERROR(__xludf.DUMMYFUNCTION("""COMPUTED_VALUE"""),"GA")</f>
        <v>GA</v>
      </c>
      <c r="O1005" s="5" t="str">
        <f ca="1">IFERROR(__xludf.DUMMYFUNCTION("""COMPUTED_VALUE"""),"Elementary")</f>
        <v>Elementary</v>
      </c>
      <c r="P1005" s="5" t="str">
        <f ca="1">IFERROR(__xludf.DUMMYFUNCTION("""COMPUTED_VALUE"""),"Office")</f>
        <v>Office</v>
      </c>
      <c r="Q1005" s="5" t="str">
        <f ca="1">IFERROR(__xludf.DUMMYFUNCTION("""COMPUTED_VALUE"""),"Inside School Building")</f>
        <v>Inside School Building</v>
      </c>
      <c r="R1005" s="5" t="str">
        <f ca="1">IFERROR(__xludf.DUMMYFUNCTION("""COMPUTED_VALUE"""),"Yes")</f>
        <v>Yes</v>
      </c>
      <c r="S1005" s="5" t="str">
        <f ca="1">IFERROR(__xludf.DUMMYFUNCTION("""COMPUTED_VALUE"""),"Morning Classes")</f>
        <v>Morning Classes</v>
      </c>
      <c r="T1005" s="10">
        <f ca="1">IFERROR(__xludf.DUMMYFUNCTION("""COMPUTED_VALUE"""),0.535416666666666)</f>
        <v>0.53541666666666599</v>
      </c>
      <c r="U1005" s="5">
        <f ca="1">IFERROR(__xludf.DUMMYFUNCTION("""COMPUTED_VALUE"""),1)</f>
        <v>1</v>
      </c>
      <c r="V1005" s="5" t="str">
        <f ca="1">IFERROR(__xludf.DUMMYFUNCTION("""COMPUTED_VALUE"""),"Bipolar, had assault rifle and multiple other weapons, exchanged fire with police outside of school")</f>
        <v>Bipolar, had assault rifle and multiple other weapons, exchanged fire with police outside of school</v>
      </c>
      <c r="W1005"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X1005" s="5" t="str">
        <f ca="1">IFERROR(__xludf.DUMMYFUNCTION("""COMPUTED_VALUE"""),"Psychosis")</f>
        <v>Psychosis</v>
      </c>
      <c r="Y1005" s="5" t="str">
        <f ca="1">IFERROR(__xludf.DUMMYFUNCTION("""COMPUTED_VALUE"""),"Victims Targeted")</f>
        <v>Victims Targeted</v>
      </c>
      <c r="Z1005" s="5" t="str">
        <f ca="1">IFERROR(__xludf.DUMMYFUNCTION("""COMPUTED_VALUE"""),"No")</f>
        <v>No</v>
      </c>
      <c r="AA1005" s="5"/>
      <c r="AB1005" s="5" t="str">
        <f ca="1">IFERROR(__xludf.DUMMYFUNCTION("""COMPUTED_VALUE"""),"Yes")</f>
        <v>Yes</v>
      </c>
      <c r="AC1005" s="5" t="str">
        <f ca="1">IFERROR(__xludf.DUMMYFUNCTION("""COMPUTED_VALUE"""),"No")</f>
        <v>No</v>
      </c>
      <c r="AD1005" s="5" t="str">
        <f ca="1">IFERROR(__xludf.DUMMYFUNCTION("""COMPUTED_VALUE"""),"No")</f>
        <v>No</v>
      </c>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IFERROR(__xludf.DUMMYFUNCTION("""COMPUTED_VALUE"""),"Yes")</f>
        <v>Yes</v>
      </c>
    </row>
    <row r="1006" spans="1:34" ht="12.75">
      <c r="A1006" s="5" t="str">
        <f ca="1">IFERROR(__xludf.DUMMYFUNCTION("""COMPUTED_VALUE"""),"20130815TNNOC")</f>
        <v>20130815TNNOC</v>
      </c>
      <c r="B1006" s="8">
        <f ca="1">IFERROR(__xludf.DUMMYFUNCTION("""COMPUTED_VALUE"""),41501)</f>
        <v>41501</v>
      </c>
      <c r="C1006" s="5" t="str">
        <f ca="1">IFERROR(__xludf.DUMMYFUNCTION("""COMPUTED_VALUE"""),"Northwest High School")</f>
        <v>Northwest High School</v>
      </c>
      <c r="D1006" s="5">
        <f ca="1">IFERROR(__xludf.DUMMYFUNCTION("""COMPUTED_VALUE"""),1)</f>
        <v>1</v>
      </c>
      <c r="E1006" s="5">
        <f ca="1">IFERROR(__xludf.DUMMYFUNCTION("""COMPUTED_VALUE"""),0)</f>
        <v>0</v>
      </c>
      <c r="F1006" s="5">
        <f ca="1">IFERROR(__xludf.DUMMYFUNCTION("""COMPUTED_VALUE"""),1)</f>
        <v>1</v>
      </c>
      <c r="G1006" s="5">
        <f ca="1">IFERROR(__xludf.DUMMYFUNCTION("""COMPUTED_VALUE"""),0)</f>
        <v>0</v>
      </c>
      <c r="H1006" s="9" t="str">
        <f ca="1">IFERROR(__xludf.DUMMYFUNCTION("""COMPUTED_VALUE"""),"https://www.theleafchronicle.com/story/news/2017/03/10/one-familys-emotional-trial-ends-without-answers/98871314/")</f>
        <v>https://www.theleafchronicle.com/story/news/2017/03/10/one-familys-emotional-trial-ends-without-answers/98871314/</v>
      </c>
      <c r="I1006" s="5">
        <f ca="1">IFERROR(__xludf.DUMMYFUNCTION("""COMPUTED_VALUE"""),5)</f>
        <v>5</v>
      </c>
      <c r="J1006" s="5" t="str">
        <f ca="1">IFERROR(__xludf.DUMMYFUNCTION("""COMPUTED_VALUE"""),"Local")</f>
        <v>Local</v>
      </c>
      <c r="K1006" s="5">
        <f ca="1">IFERROR(__xludf.DUMMYFUNCTION("""COMPUTED_VALUE"""),2)</f>
        <v>2</v>
      </c>
      <c r="L1006" s="5" t="str">
        <f ca="1">IFERROR(__xludf.DUMMYFUNCTION("""COMPUTED_VALUE"""),"Summer")</f>
        <v>Summer</v>
      </c>
      <c r="M1006" s="5" t="str">
        <f ca="1">IFERROR(__xludf.DUMMYFUNCTION("""COMPUTED_VALUE"""),"Clarksville")</f>
        <v>Clarksville</v>
      </c>
      <c r="N1006" s="5" t="str">
        <f ca="1">IFERROR(__xludf.DUMMYFUNCTION("""COMPUTED_VALUE"""),"TN")</f>
        <v>TN</v>
      </c>
      <c r="O1006" s="5" t="str">
        <f ca="1">IFERROR(__xludf.DUMMYFUNCTION("""COMPUTED_VALUE"""),"Middle")</f>
        <v>Middle</v>
      </c>
      <c r="P1006" s="5" t="str">
        <f ca="1">IFERROR(__xludf.DUMMYFUNCTION("""COMPUTED_VALUE"""),"Parking Lot")</f>
        <v>Parking Lot</v>
      </c>
      <c r="Q1006" s="5" t="str">
        <f ca="1">IFERROR(__xludf.DUMMYFUNCTION("""COMPUTED_VALUE"""),"Outside on School Property")</f>
        <v>Outside on School Property</v>
      </c>
      <c r="R1006" s="5" t="str">
        <f ca="1">IFERROR(__xludf.DUMMYFUNCTION("""COMPUTED_VALUE"""),"No")</f>
        <v>No</v>
      </c>
      <c r="S1006" s="5" t="str">
        <f ca="1">IFERROR(__xludf.DUMMYFUNCTION("""COMPUTED_VALUE"""),"Night")</f>
        <v>Night</v>
      </c>
      <c r="T1006" s="10">
        <f ca="1">IFERROR(__xludf.DUMMYFUNCTION("""COMPUTED_VALUE"""),0.0833333333333333)</f>
        <v>8.3333333333333301E-2</v>
      </c>
      <c r="U1006" s="5">
        <f ca="1">IFERROR(__xludf.DUMMYFUNCTION("""COMPUTED_VALUE"""),1)</f>
        <v>1</v>
      </c>
      <c r="V1006" s="5" t="str">
        <f ca="1">IFERROR(__xludf.DUMMYFUNCTION("""COMPUTED_VALUE"""),"Fight between non-students in school parking lot")</f>
        <v>Fight between non-students in school parking lot</v>
      </c>
      <c r="W1006"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X1006" s="5" t="str">
        <f ca="1">IFERROR(__xludf.DUMMYFUNCTION("""COMPUTED_VALUE"""),"Escalation of Dispute")</f>
        <v>Escalation of Dispute</v>
      </c>
      <c r="Y1006" s="5" t="str">
        <f ca="1">IFERROR(__xludf.DUMMYFUNCTION("""COMPUTED_VALUE"""),"Victims Targeted")</f>
        <v>Victims Targeted</v>
      </c>
      <c r="Z1006" s="5" t="str">
        <f ca="1">IFERROR(__xludf.DUMMYFUNCTION("""COMPUTED_VALUE"""),"Yes")</f>
        <v>Yes</v>
      </c>
      <c r="AA1006" s="5" t="str">
        <f ca="1">IFERROR(__xludf.DUMMYFUNCTION("""COMPUTED_VALUE"""),"Reginald Nesmith. Kevin Forman")</f>
        <v>Reginald Nesmith. Kevin Forman</v>
      </c>
      <c r="AB1006" s="5" t="str">
        <f ca="1">IFERROR(__xludf.DUMMYFUNCTION("""COMPUTED_VALUE"""),"No")</f>
        <v>No</v>
      </c>
      <c r="AC1006" s="5" t="str">
        <f ca="1">IFERROR(__xludf.DUMMYFUNCTION("""COMPUTED_VALUE"""),"No")</f>
        <v>No</v>
      </c>
      <c r="AD1006" s="5" t="str">
        <f ca="1">IFERROR(__xludf.DUMMYFUNCTION("""COMPUTED_VALUE"""),"No")</f>
        <v>No</v>
      </c>
      <c r="AE1006" s="5" t="str">
        <f ca="1">IFERROR(__xludf.DUMMYFUNCTION("""COMPUTED_VALUE"""),"No")</f>
        <v>No</v>
      </c>
      <c r="AF1006" s="5" t="str">
        <f ca="1">IFERROR(__xludf.DUMMYFUNCTION("""COMPUTED_VALUE"""),"No")</f>
        <v>No</v>
      </c>
      <c r="AG1006" s="5" t="str">
        <f ca="1">IFERROR(__xludf.DUMMYFUNCTION("""COMPUTED_VALUE"""),"No")</f>
        <v>No</v>
      </c>
      <c r="AH1006" s="5"/>
    </row>
    <row r="1007" spans="1:34" ht="12.75">
      <c r="A1007" s="5" t="str">
        <f ca="1">IFERROR(__xludf.DUMMYFUNCTION("""COMPUTED_VALUE"""),"20130619FLALW")</f>
        <v>20130619FLALW</v>
      </c>
      <c r="B1007" s="8">
        <f ca="1">IFERROR(__xludf.DUMMYFUNCTION("""COMPUTED_VALUE"""),41444)</f>
        <v>41444</v>
      </c>
      <c r="C1007" s="5" t="str">
        <f ca="1">IFERROR(__xludf.DUMMYFUNCTION("""COMPUTED_VALUE"""),"Alexander W. Dreyfoos School of the Arts")</f>
        <v>Alexander W. Dreyfoos School of the Arts</v>
      </c>
      <c r="D1007" s="5">
        <f ca="1">IFERROR(__xludf.DUMMYFUNCTION("""COMPUTED_VALUE"""),2)</f>
        <v>2</v>
      </c>
      <c r="E1007" s="5">
        <f ca="1">IFERROR(__xludf.DUMMYFUNCTION("""COMPUTED_VALUE"""),0)</f>
        <v>0</v>
      </c>
      <c r="F1007" s="5">
        <f ca="1">IFERROR(__xludf.DUMMYFUNCTION("""COMPUTED_VALUE"""),2)</f>
        <v>2</v>
      </c>
      <c r="G1007" s="5">
        <f ca="1">IFERROR(__xludf.DUMMYFUNCTION("""COMPUTED_VALUE"""),0)</f>
        <v>0</v>
      </c>
      <c r="H1007" s="9" t="str">
        <f ca="1">IFERROR(__xludf.DUMMYFUNCTION("""COMPUTED_VALUE"""),"https://www.cbsnews.com/news/two-custodians-found-shot-to-death-at-fla-high-school-police-name-person-of-interest-report-says/")</f>
        <v>https://www.cbsnews.com/news/two-custodians-found-shot-to-death-at-fla-high-school-police-name-person-of-interest-report-says/</v>
      </c>
      <c r="I1007" s="5">
        <f ca="1">IFERROR(__xludf.DUMMYFUNCTION("""COMPUTED_VALUE"""),11)</f>
        <v>11</v>
      </c>
      <c r="J1007" s="5" t="str">
        <f ca="1">IFERROR(__xludf.DUMMYFUNCTION("""COMPUTED_VALUE"""),"International")</f>
        <v>International</v>
      </c>
      <c r="K1007" s="5">
        <f ca="1">IFERROR(__xludf.DUMMYFUNCTION("""COMPUTED_VALUE"""),4)</f>
        <v>4</v>
      </c>
      <c r="L1007" s="5" t="str">
        <f ca="1">IFERROR(__xludf.DUMMYFUNCTION("""COMPUTED_VALUE"""),"Summer")</f>
        <v>Summer</v>
      </c>
      <c r="M1007" s="5" t="str">
        <f ca="1">IFERROR(__xludf.DUMMYFUNCTION("""COMPUTED_VALUE"""),"West Palm Beach")</f>
        <v>West Palm Beach</v>
      </c>
      <c r="N1007" s="5" t="str">
        <f ca="1">IFERROR(__xludf.DUMMYFUNCTION("""COMPUTED_VALUE"""),"FL")</f>
        <v>FL</v>
      </c>
      <c r="O1007" s="5" t="str">
        <f ca="1">IFERROR(__xludf.DUMMYFUNCTION("""COMPUTED_VALUE"""),"High")</f>
        <v>High</v>
      </c>
      <c r="P1007" s="5" t="str">
        <f ca="1">IFERROR(__xludf.DUMMYFUNCTION("""COMPUTED_VALUE"""),"Office")</f>
        <v>Office</v>
      </c>
      <c r="Q1007" s="5" t="str">
        <f ca="1">IFERROR(__xludf.DUMMYFUNCTION("""COMPUTED_VALUE"""),"Inside School Building")</f>
        <v>Inside School Building</v>
      </c>
      <c r="R1007" s="5" t="str">
        <f ca="1">IFERROR(__xludf.DUMMYFUNCTION("""COMPUTED_VALUE"""),"No")</f>
        <v>No</v>
      </c>
      <c r="S1007" s="5" t="str">
        <f ca="1">IFERROR(__xludf.DUMMYFUNCTION("""COMPUTED_VALUE"""),"Not a School Day")</f>
        <v>Not a School Day</v>
      </c>
      <c r="T1007" s="10">
        <f ca="1">IFERROR(__xludf.DUMMYFUNCTION("""COMPUTED_VALUE"""),0.270833333333333)</f>
        <v>0.27083333333333298</v>
      </c>
      <c r="U1007" s="5">
        <f ca="1">IFERROR(__xludf.DUMMYFUNCTION("""COMPUTED_VALUE"""),1)</f>
        <v>1</v>
      </c>
      <c r="V1007" s="5" t="str">
        <f ca="1">IFERROR(__xludf.DUMMYFUNCTION("""COMPUTED_VALUE"""),"School maintenance worker killed co-workers")</f>
        <v>School maintenance worker killed co-workers</v>
      </c>
      <c r="W1007"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X1007" s="5" t="str">
        <f ca="1">IFERROR(__xludf.DUMMYFUNCTION("""COMPUTED_VALUE"""),"Escalation of Dispute")</f>
        <v>Escalation of Dispute</v>
      </c>
      <c r="Y1007" s="5" t="str">
        <f ca="1">IFERROR(__xludf.DUMMYFUNCTION("""COMPUTED_VALUE"""),"Victims Targeted")</f>
        <v>Victims Targeted</v>
      </c>
      <c r="Z1007" s="5" t="str">
        <f ca="1">IFERROR(__xludf.DUMMYFUNCTION("""COMPUTED_VALUE"""),"No")</f>
        <v>No</v>
      </c>
      <c r="AA1007" s="5"/>
      <c r="AB1007" s="5" t="str">
        <f ca="1">IFERROR(__xludf.DUMMYFUNCTION("""COMPUTED_VALUE"""),"No")</f>
        <v>No</v>
      </c>
      <c r="AC1007" s="5" t="str">
        <f ca="1">IFERROR(__xludf.DUMMYFUNCTION("""COMPUTED_VALUE"""),"No")</f>
        <v>No</v>
      </c>
      <c r="AD1007" s="5" t="str">
        <f ca="1">IFERROR(__xludf.DUMMYFUNCTION("""COMPUTED_VALUE"""),"No")</f>
        <v>No</v>
      </c>
      <c r="AE1007" s="5" t="str">
        <f ca="1">IFERROR(__xludf.DUMMYFUNCTION("""COMPUTED_VALUE"""),"No")</f>
        <v>No</v>
      </c>
      <c r="AF1007" s="5" t="str">
        <f ca="1">IFERROR(__xludf.DUMMYFUNCTION("""COMPUTED_VALUE"""),"No")</f>
        <v>No</v>
      </c>
      <c r="AG1007" s="5" t="str">
        <f ca="1">IFERROR(__xludf.DUMMYFUNCTION("""COMPUTED_VALUE"""),"No")</f>
        <v>No</v>
      </c>
      <c r="AH1007" s="5"/>
    </row>
    <row r="1008" spans="1:34" ht="12.75">
      <c r="A1008" s="5" t="str">
        <f ca="1">IFERROR(__xludf.DUMMYFUNCTION("""COMPUTED_VALUE"""),"20130618NCHIC")</f>
        <v>20130618NCHIC</v>
      </c>
      <c r="B1008" s="8">
        <f ca="1">IFERROR(__xludf.DUMMYFUNCTION("""COMPUTED_VALUE"""),41443)</f>
        <v>41443</v>
      </c>
      <c r="C1008" s="5" t="str">
        <f ca="1">IFERROR(__xludf.DUMMYFUNCTION("""COMPUTED_VALUE"""),"Hidden Valley Elementary School")</f>
        <v>Hidden Valley Elementary School</v>
      </c>
      <c r="D1008" s="5">
        <f ca="1">IFERROR(__xludf.DUMMYFUNCTION("""COMPUTED_VALUE"""),0)</f>
        <v>0</v>
      </c>
      <c r="E1008" s="5">
        <f ca="1">IFERROR(__xludf.DUMMYFUNCTION("""COMPUTED_VALUE"""),1)</f>
        <v>1</v>
      </c>
      <c r="F1008" s="5">
        <f ca="1">IFERROR(__xludf.DUMMYFUNCTION("""COMPUTED_VALUE"""),1)</f>
        <v>1</v>
      </c>
      <c r="G1008" s="5">
        <f ca="1">IFERROR(__xludf.DUMMYFUNCTION("""COMPUTED_VALUE"""),1)</f>
        <v>1</v>
      </c>
      <c r="H1008" s="9" t="str">
        <f ca="1">IFERROR(__xludf.DUMMYFUNCTION("""COMPUTED_VALUE"""),"https://www.wsoctv.com/news/local/gunfire-school-campus-part-undercover-drug-operati/335014423")</f>
        <v>https://www.wsoctv.com/news/local/gunfire-school-campus-part-undercover-drug-operati/335014423</v>
      </c>
      <c r="I1008" s="5">
        <f ca="1">IFERROR(__xludf.DUMMYFUNCTION("""COMPUTED_VALUE"""),1)</f>
        <v>1</v>
      </c>
      <c r="J1008" s="5" t="str">
        <f ca="1">IFERROR(__xludf.DUMMYFUNCTION("""COMPUTED_VALUE"""),"Local")</f>
        <v>Local</v>
      </c>
      <c r="K1008" s="5">
        <f ca="1">IFERROR(__xludf.DUMMYFUNCTION("""COMPUTED_VALUE"""),2)</f>
        <v>2</v>
      </c>
      <c r="L1008" s="5" t="str">
        <f ca="1">IFERROR(__xludf.DUMMYFUNCTION("""COMPUTED_VALUE"""),"Summer")</f>
        <v>Summer</v>
      </c>
      <c r="M1008" s="5" t="str">
        <f ca="1">IFERROR(__xludf.DUMMYFUNCTION("""COMPUTED_VALUE"""),"Charlotte")</f>
        <v>Charlotte</v>
      </c>
      <c r="N1008" s="5" t="str">
        <f ca="1">IFERROR(__xludf.DUMMYFUNCTION("""COMPUTED_VALUE"""),"NC")</f>
        <v>NC</v>
      </c>
      <c r="O1008" s="5" t="str">
        <f ca="1">IFERROR(__xludf.DUMMYFUNCTION("""COMPUTED_VALUE"""),"Elementary")</f>
        <v>Elementary</v>
      </c>
      <c r="P1008" s="5" t="str">
        <f ca="1">IFERROR(__xludf.DUMMYFUNCTION("""COMPUTED_VALUE"""),"Parking Lot")</f>
        <v>Parking Lot</v>
      </c>
      <c r="Q1008" s="5" t="str">
        <f ca="1">IFERROR(__xludf.DUMMYFUNCTION("""COMPUTED_VALUE"""),"Outside on School Property")</f>
        <v>Outside on School Property</v>
      </c>
      <c r="R1008" s="5" t="str">
        <f ca="1">IFERROR(__xludf.DUMMYFUNCTION("""COMPUTED_VALUE"""),"No")</f>
        <v>No</v>
      </c>
      <c r="S1008" s="5" t="str">
        <f ca="1">IFERROR(__xludf.DUMMYFUNCTION("""COMPUTED_VALUE"""),"After School")</f>
        <v>After School</v>
      </c>
      <c r="T1008" s="10">
        <f ca="1">IFERROR(__xludf.DUMMYFUNCTION("""COMPUTED_VALUE"""),0.583333333333333)</f>
        <v>0.58333333333333304</v>
      </c>
      <c r="U1008" s="5">
        <f ca="1">IFERROR(__xludf.DUMMYFUNCTION("""COMPUTED_VALUE"""),1)</f>
        <v>1</v>
      </c>
      <c r="V1008" s="5" t="str">
        <f ca="1">IFERROR(__xludf.DUMMYFUNCTION("""COMPUTED_VALUE"""),"Undercover officers were shot at by suspects during drug deal")</f>
        <v>Undercover officers were shot at by suspects during drug deal</v>
      </c>
      <c r="W1008"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X1008" s="5" t="str">
        <f ca="1">IFERROR(__xludf.DUMMYFUNCTION("""COMPUTED_VALUE"""),"Illegal Activity")</f>
        <v>Illegal Activity</v>
      </c>
      <c r="Y1008" s="5" t="str">
        <f ca="1">IFERROR(__xludf.DUMMYFUNCTION("""COMPUTED_VALUE"""),"Victims Targeted")</f>
        <v>Victims Targeted</v>
      </c>
      <c r="Z1008" s="5" t="str">
        <f ca="1">IFERROR(__xludf.DUMMYFUNCTION("""COMPUTED_VALUE"""),"Yes")</f>
        <v>Yes</v>
      </c>
      <c r="AA1008" s="5" t="str">
        <f ca="1">IFERROR(__xludf.DUMMYFUNCTION("""COMPUTED_VALUE"""),"Two suspects shot at officers")</f>
        <v>Two suspects shot at officers</v>
      </c>
      <c r="AB1008" s="5" t="str">
        <f ca="1">IFERROR(__xludf.DUMMYFUNCTION("""COMPUTED_VALUE"""),"No")</f>
        <v>No</v>
      </c>
      <c r="AC1008" s="5" t="str">
        <f ca="1">IFERROR(__xludf.DUMMYFUNCTION("""COMPUTED_VALUE"""),"No")</f>
        <v>No</v>
      </c>
      <c r="AD1008" s="5" t="str">
        <f ca="1">IFERROR(__xludf.DUMMYFUNCTION("""COMPUTED_VALUE"""),"Yes")</f>
        <v>Yes</v>
      </c>
      <c r="AE1008" s="5" t="str">
        <f ca="1">IFERROR(__xludf.DUMMYFUNCTION("""COMPUTED_VALUE"""),"No")</f>
        <v>No</v>
      </c>
      <c r="AF1008" s="5" t="str">
        <f ca="1">IFERROR(__xludf.DUMMYFUNCTION("""COMPUTED_VALUE"""),"No")</f>
        <v>No</v>
      </c>
      <c r="AG1008" s="5" t="str">
        <f ca="1">IFERROR(__xludf.DUMMYFUNCTION("""COMPUTED_VALUE"""),"No")</f>
        <v>No</v>
      </c>
      <c r="AH1008" s="5"/>
    </row>
    <row r="1009" spans="1:34" ht="12.75">
      <c r="A1009" s="5" t="str">
        <f ca="1">IFERROR(__xludf.DUMMYFUNCTION("""COMPUTED_VALUE"""),"20130523FLREH")</f>
        <v>20130523FLREH</v>
      </c>
      <c r="B1009" s="8">
        <f ca="1">IFERROR(__xludf.DUMMYFUNCTION("""COMPUTED_VALUE"""),41417)</f>
        <v>41417</v>
      </c>
      <c r="C1009" s="5" t="str">
        <f ca="1">IFERROR(__xludf.DUMMYFUNCTION("""COMPUTED_VALUE"""),"Redland Middle School")</f>
        <v>Redland Middle School</v>
      </c>
      <c r="D1009" s="5">
        <f ca="1">IFERROR(__xludf.DUMMYFUNCTION("""COMPUTED_VALUE"""),0)</f>
        <v>0</v>
      </c>
      <c r="E1009" s="5">
        <f ca="1">IFERROR(__xludf.DUMMYFUNCTION("""COMPUTED_VALUE"""),1)</f>
        <v>1</v>
      </c>
      <c r="F1009" s="5">
        <f ca="1">IFERROR(__xludf.DUMMYFUNCTION("""COMPUTED_VALUE"""),1)</f>
        <v>1</v>
      </c>
      <c r="G1009" s="5">
        <f ca="1">IFERROR(__xludf.DUMMYFUNCTION("""COMPUTED_VALUE"""),0)</f>
        <v>0</v>
      </c>
      <c r="H1009"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I1009" s="5">
        <f ca="1">IFERROR(__xludf.DUMMYFUNCTION("""COMPUTED_VALUE"""),5)</f>
        <v>5</v>
      </c>
      <c r="J1009" s="5" t="str">
        <f ca="1">IFERROR(__xludf.DUMMYFUNCTION("""COMPUTED_VALUE"""),"Regional")</f>
        <v>Regional</v>
      </c>
      <c r="K1009" s="5">
        <f ca="1">IFERROR(__xludf.DUMMYFUNCTION("""COMPUTED_VALUE"""),2)</f>
        <v>2</v>
      </c>
      <c r="L1009" s="5" t="str">
        <f ca="1">IFERROR(__xludf.DUMMYFUNCTION("""COMPUTED_VALUE"""),"Spring")</f>
        <v>Spring</v>
      </c>
      <c r="M1009" s="5" t="str">
        <f ca="1">IFERROR(__xludf.DUMMYFUNCTION("""COMPUTED_VALUE"""),"Homestead")</f>
        <v>Homestead</v>
      </c>
      <c r="N1009" s="5" t="str">
        <f ca="1">IFERROR(__xludf.DUMMYFUNCTION("""COMPUTED_VALUE"""),"FL")</f>
        <v>FL</v>
      </c>
      <c r="O1009" s="5" t="str">
        <f ca="1">IFERROR(__xludf.DUMMYFUNCTION("""COMPUTED_VALUE"""),"Middle")</f>
        <v>Middle</v>
      </c>
      <c r="P1009" s="5" t="str">
        <f ca="1">IFERROR(__xludf.DUMMYFUNCTION("""COMPUTED_VALUE"""),"Classroom")</f>
        <v>Classroom</v>
      </c>
      <c r="Q1009" s="5" t="str">
        <f ca="1">IFERROR(__xludf.DUMMYFUNCTION("""COMPUTED_VALUE"""),"Inside School Building")</f>
        <v>Inside School Building</v>
      </c>
      <c r="R1009" s="5" t="str">
        <f ca="1">IFERROR(__xludf.DUMMYFUNCTION("""COMPUTED_VALUE"""),"Yes")</f>
        <v>Yes</v>
      </c>
      <c r="S1009" s="5" t="str">
        <f ca="1">IFERROR(__xludf.DUMMYFUNCTION("""COMPUTED_VALUE"""),"Afternoon Classes")</f>
        <v>Afternoon Classes</v>
      </c>
      <c r="T1009" s="10">
        <f ca="1">IFERROR(__xludf.DUMMYFUNCTION("""COMPUTED_VALUE"""),0.611111111111111)</f>
        <v>0.61111111111111105</v>
      </c>
      <c r="U1009" s="5">
        <f ca="1">IFERROR(__xludf.DUMMYFUNCTION("""COMPUTED_VALUE"""),1)</f>
        <v>1</v>
      </c>
      <c r="V1009" s="5" t="str">
        <f ca="1">IFERROR(__xludf.DUMMYFUNCTION("""COMPUTED_VALUE"""),"Accidental; gun in backpack discharged in classroom")</f>
        <v>Accidental; gun in backpack discharged in classroom</v>
      </c>
      <c r="W1009"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X1009" s="5" t="str">
        <f ca="1">IFERROR(__xludf.DUMMYFUNCTION("""COMPUTED_VALUE"""),"Accidental")</f>
        <v>Accidental</v>
      </c>
      <c r="Y1009" s="5" t="str">
        <f ca="1">IFERROR(__xludf.DUMMYFUNCTION("""COMPUTED_VALUE"""),"Random Shooting")</f>
        <v>Random Shooting</v>
      </c>
      <c r="Z1009" s="5" t="str">
        <f ca="1">IFERROR(__xludf.DUMMYFUNCTION("""COMPUTED_VALUE"""),"No")</f>
        <v>No</v>
      </c>
      <c r="AA1009" s="5"/>
      <c r="AB1009" s="5" t="str">
        <f ca="1">IFERROR(__xludf.DUMMYFUNCTION("""COMPUTED_VALUE"""),"No")</f>
        <v>No</v>
      </c>
      <c r="AC1009" s="5" t="str">
        <f ca="1">IFERROR(__xludf.DUMMYFUNCTION("""COMPUTED_VALUE"""),"No")</f>
        <v>No</v>
      </c>
      <c r="AD1009" s="5" t="str">
        <f ca="1">IFERROR(__xludf.DUMMYFUNCTION("""COMPUTED_VALUE"""),"No")</f>
        <v>No</v>
      </c>
      <c r="AE1009" s="5" t="str">
        <f ca="1">IFERROR(__xludf.DUMMYFUNCTION("""COMPUTED_VALUE"""),"No")</f>
        <v>No</v>
      </c>
      <c r="AF1009" s="5" t="str">
        <f ca="1">IFERROR(__xludf.DUMMYFUNCTION("""COMPUTED_VALUE"""),"No")</f>
        <v>No</v>
      </c>
      <c r="AG1009" s="5" t="str">
        <f ca="1">IFERROR(__xludf.DUMMYFUNCTION("""COMPUTED_VALUE"""),"No")</f>
        <v>No</v>
      </c>
      <c r="AH1009" s="5"/>
    </row>
    <row r="1010" spans="1:34" ht="12.75">
      <c r="A1010" s="5" t="str">
        <f ca="1">IFERROR(__xludf.DUMMYFUNCTION("""COMPUTED_VALUE"""),"20130513ALOSB")</f>
        <v>20130513ALOSB</v>
      </c>
      <c r="B1010" s="8">
        <f ca="1">IFERROR(__xludf.DUMMYFUNCTION("""COMPUTED_VALUE"""),41407)</f>
        <v>41407</v>
      </c>
      <c r="C1010" s="5" t="str">
        <f ca="1">IFERROR(__xludf.DUMMYFUNCTION("""COMPUTED_VALUE"""),"Ossie Ware Mitchell Middle School")</f>
        <v>Ossie Ware Mitchell Middle School</v>
      </c>
      <c r="D1010" s="5">
        <f ca="1">IFERROR(__xludf.DUMMYFUNCTION("""COMPUTED_VALUE"""),0)</f>
        <v>0</v>
      </c>
      <c r="E1010" s="5">
        <f ca="1">IFERROR(__xludf.DUMMYFUNCTION("""COMPUTED_VALUE"""),0)</f>
        <v>0</v>
      </c>
      <c r="F1010" s="5">
        <f ca="1">IFERROR(__xludf.DUMMYFUNCTION("""COMPUTED_VALUE"""),0)</f>
        <v>0</v>
      </c>
      <c r="G1010" s="5">
        <f ca="1">IFERROR(__xludf.DUMMYFUNCTION("""COMPUTED_VALUE"""),0)</f>
        <v>0</v>
      </c>
      <c r="H1010" s="9" t="str">
        <f ca="1">IFERROR(__xludf.DUMMYFUNCTION("""COMPUTED_VALUE"""),"http://www.wbrc.com/story/22251179/parent-allegedly-fires-gun-when-daughters-fight-at-school")</f>
        <v>http://www.wbrc.com/story/22251179/parent-allegedly-fires-gun-when-daughters-fight-at-school</v>
      </c>
      <c r="I1010" s="5">
        <f ca="1">IFERROR(__xludf.DUMMYFUNCTION("""COMPUTED_VALUE"""),1)</f>
        <v>1</v>
      </c>
      <c r="J1010" s="5" t="str">
        <f ca="1">IFERROR(__xludf.DUMMYFUNCTION("""COMPUTED_VALUE"""),"Local")</f>
        <v>Local</v>
      </c>
      <c r="K1010" s="5">
        <f ca="1">IFERROR(__xludf.DUMMYFUNCTION("""COMPUTED_VALUE"""),2)</f>
        <v>2</v>
      </c>
      <c r="L1010" s="5" t="str">
        <f ca="1">IFERROR(__xludf.DUMMYFUNCTION("""COMPUTED_VALUE"""),"Spring")</f>
        <v>Spring</v>
      </c>
      <c r="M1010" s="5" t="str">
        <f ca="1">IFERROR(__xludf.DUMMYFUNCTION("""COMPUTED_VALUE"""),"Birmingham")</f>
        <v>Birmingham</v>
      </c>
      <c r="N1010" s="5" t="str">
        <f ca="1">IFERROR(__xludf.DUMMYFUNCTION("""COMPUTED_VALUE"""),"AL")</f>
        <v>AL</v>
      </c>
      <c r="O1010" s="5" t="str">
        <f ca="1">IFERROR(__xludf.DUMMYFUNCTION("""COMPUTED_VALUE"""),"Middle")</f>
        <v>Middle</v>
      </c>
      <c r="P1010" s="5" t="str">
        <f ca="1">IFERROR(__xludf.DUMMYFUNCTION("""COMPUTED_VALUE"""),"Parking Lot")</f>
        <v>Parking Lot</v>
      </c>
      <c r="Q1010" s="5" t="str">
        <f ca="1">IFERROR(__xludf.DUMMYFUNCTION("""COMPUTED_VALUE"""),"Outside on School Property")</f>
        <v>Outside on School Property</v>
      </c>
      <c r="R1010" s="5" t="str">
        <f ca="1">IFERROR(__xludf.DUMMYFUNCTION("""COMPUTED_VALUE"""),"Yes")</f>
        <v>Yes</v>
      </c>
      <c r="S1010" s="5" t="str">
        <f ca="1">IFERROR(__xludf.DUMMYFUNCTION("""COMPUTED_VALUE"""),"After School")</f>
        <v>After School</v>
      </c>
      <c r="T1010" s="5"/>
      <c r="U1010" s="5">
        <f ca="1">IFERROR(__xludf.DUMMYFUNCTION("""COMPUTED_VALUE"""),1)</f>
        <v>1</v>
      </c>
      <c r="V1010" s="5" t="str">
        <f ca="1">IFERROR(__xludf.DUMMYFUNCTION("""COMPUTED_VALUE"""),"Mother of student fired shot during large fight")</f>
        <v>Mother of student fired shot during large fight</v>
      </c>
      <c r="W1010"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X1010" s="5" t="str">
        <f ca="1">IFERROR(__xludf.DUMMYFUNCTION("""COMPUTED_VALUE"""),"Escalation of Dispute")</f>
        <v>Escalation of Dispute</v>
      </c>
      <c r="Y1010" s="5" t="str">
        <f ca="1">IFERROR(__xludf.DUMMYFUNCTION("""COMPUTED_VALUE"""),"NA")</f>
        <v>NA</v>
      </c>
      <c r="Z1010" s="5" t="str">
        <f ca="1">IFERROR(__xludf.DUMMYFUNCTION("""COMPUTED_VALUE"""),"No")</f>
        <v>No</v>
      </c>
      <c r="AA1010" s="5"/>
      <c r="AB1010" s="5" t="str">
        <f ca="1">IFERROR(__xludf.DUMMYFUNCTION("""COMPUTED_VALUE"""),"No")</f>
        <v>No</v>
      </c>
      <c r="AC1010" s="5" t="str">
        <f ca="1">IFERROR(__xludf.DUMMYFUNCTION("""COMPUTED_VALUE"""),"No")</f>
        <v>No</v>
      </c>
      <c r="AD1010" s="5" t="str">
        <f ca="1">IFERROR(__xludf.DUMMYFUNCTION("""COMPUTED_VALUE"""),"No")</f>
        <v>No</v>
      </c>
      <c r="AE1010" s="5" t="str">
        <f ca="1">IFERROR(__xludf.DUMMYFUNCTION("""COMPUTED_VALUE"""),"No")</f>
        <v>No</v>
      </c>
      <c r="AF1010" s="5" t="str">
        <f ca="1">IFERROR(__xludf.DUMMYFUNCTION("""COMPUTED_VALUE"""),"No")</f>
        <v>No</v>
      </c>
      <c r="AG1010" s="5" t="str">
        <f ca="1">IFERROR(__xludf.DUMMYFUNCTION("""COMPUTED_VALUE"""),"No")</f>
        <v>No</v>
      </c>
      <c r="AH1010" s="5"/>
    </row>
    <row r="1011" spans="1:34" ht="12.75">
      <c r="A1011" s="5" t="str">
        <f ca="1">IFERROR(__xludf.DUMMYFUNCTION("""COMPUTED_VALUE"""),"20130430NMTUT")</f>
        <v>20130430NMTUT</v>
      </c>
      <c r="B1011" s="8">
        <f ca="1">IFERROR(__xludf.DUMMYFUNCTION("""COMPUTED_VALUE"""),41394)</f>
        <v>41394</v>
      </c>
      <c r="C1011" s="5" t="str">
        <f ca="1">IFERROR(__xludf.DUMMYFUNCTION("""COMPUTED_VALUE"""),"Tularosa Elementary School")</f>
        <v>Tularosa Elementary School</v>
      </c>
      <c r="D1011" s="5">
        <f ca="1">IFERROR(__xludf.DUMMYFUNCTION("""COMPUTED_VALUE"""),0)</f>
        <v>0</v>
      </c>
      <c r="E1011" s="5">
        <f ca="1">IFERROR(__xludf.DUMMYFUNCTION("""COMPUTED_VALUE"""),0)</f>
        <v>0</v>
      </c>
      <c r="F1011" s="5">
        <f ca="1">IFERROR(__xludf.DUMMYFUNCTION("""COMPUTED_VALUE"""),0)</f>
        <v>0</v>
      </c>
      <c r="G1011" s="5">
        <f ca="1">IFERROR(__xludf.DUMMYFUNCTION("""COMPUTED_VALUE"""),1)</f>
        <v>1</v>
      </c>
      <c r="H1011" s="9" t="str">
        <f ca="1">IFERROR(__xludf.DUMMYFUNCTION("""COMPUTED_VALUE"""),"https://www.abqjournal.com/253495/grand-jury-shooting-outside-school-was-justified.html")</f>
        <v>https://www.abqjournal.com/253495/grand-jury-shooting-outside-school-was-justified.html</v>
      </c>
      <c r="I1011" s="5">
        <f ca="1">IFERROR(__xludf.DUMMYFUNCTION("""COMPUTED_VALUE"""),1)</f>
        <v>1</v>
      </c>
      <c r="J1011" s="5" t="str">
        <f ca="1">IFERROR(__xludf.DUMMYFUNCTION("""COMPUTED_VALUE"""),"Local")</f>
        <v>Local</v>
      </c>
      <c r="K1011" s="5">
        <f ca="1">IFERROR(__xludf.DUMMYFUNCTION("""COMPUTED_VALUE"""),2)</f>
        <v>2</v>
      </c>
      <c r="L1011" s="5" t="str">
        <f ca="1">IFERROR(__xludf.DUMMYFUNCTION("""COMPUTED_VALUE"""),"Spring")</f>
        <v>Spring</v>
      </c>
      <c r="M1011" s="5" t="str">
        <f ca="1">IFERROR(__xludf.DUMMYFUNCTION("""COMPUTED_VALUE"""),"Tularosa")</f>
        <v>Tularosa</v>
      </c>
      <c r="N1011" s="5" t="str">
        <f ca="1">IFERROR(__xludf.DUMMYFUNCTION("""COMPUTED_VALUE"""),"NM")</f>
        <v>NM</v>
      </c>
      <c r="O1011" s="5" t="str">
        <f ca="1">IFERROR(__xludf.DUMMYFUNCTION("""COMPUTED_VALUE"""),"Elementary")</f>
        <v>Elementary</v>
      </c>
      <c r="P1011" s="5" t="str">
        <f ca="1">IFERROR(__xludf.DUMMYFUNCTION("""COMPUTED_VALUE"""),"Outside on School Property")</f>
        <v>Outside on School Property</v>
      </c>
      <c r="Q1011" s="5" t="str">
        <f ca="1">IFERROR(__xludf.DUMMYFUNCTION("""COMPUTED_VALUE"""),"Outside on School Property")</f>
        <v>Outside on School Property</v>
      </c>
      <c r="R1011" s="5" t="str">
        <f ca="1">IFERROR(__xludf.DUMMYFUNCTION("""COMPUTED_VALUE"""),"No")</f>
        <v>No</v>
      </c>
      <c r="S1011" s="5" t="str">
        <f ca="1">IFERROR(__xludf.DUMMYFUNCTION("""COMPUTED_VALUE"""),"Night")</f>
        <v>Night</v>
      </c>
      <c r="T1011" s="5"/>
      <c r="U1011" s="5"/>
      <c r="V1011" s="5" t="str">
        <f ca="1">IFERROR(__xludf.DUMMYFUNCTION("""COMPUTED_VALUE"""),"Suspect exchanged fire with officer and was shot dead on scene")</f>
        <v>Suspect exchanged fire with officer and was shot dead on scene</v>
      </c>
      <c r="W1011"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X1011" s="5" t="str">
        <f ca="1">IFERROR(__xludf.DUMMYFUNCTION("""COMPUTED_VALUE"""),"Illegal Activity")</f>
        <v>Illegal Activity</v>
      </c>
      <c r="Y1011" s="5" t="str">
        <f ca="1">IFERROR(__xludf.DUMMYFUNCTION("""COMPUTED_VALUE"""),"Victims Targeted")</f>
        <v>Victims Targeted</v>
      </c>
      <c r="Z1011" s="5" t="str">
        <f ca="1">IFERROR(__xludf.DUMMYFUNCTION("""COMPUTED_VALUE"""),"No")</f>
        <v>No</v>
      </c>
      <c r="AA1011" s="5"/>
      <c r="AB1011" s="5" t="str">
        <f ca="1">IFERROR(__xludf.DUMMYFUNCTION("""COMPUTED_VALUE"""),"No")</f>
        <v>No</v>
      </c>
      <c r="AC1011" s="5" t="str">
        <f ca="1">IFERROR(__xludf.DUMMYFUNCTION("""COMPUTED_VALUE"""),"No")</f>
        <v>No</v>
      </c>
      <c r="AD1011" s="5" t="str">
        <f ca="1">IFERROR(__xludf.DUMMYFUNCTION("""COMPUTED_VALUE"""),"Yes")</f>
        <v>Yes</v>
      </c>
      <c r="AE1011" s="5" t="str">
        <f ca="1">IFERROR(__xludf.DUMMYFUNCTION("""COMPUTED_VALUE"""),"No")</f>
        <v>No</v>
      </c>
      <c r="AF1011" s="5" t="str">
        <f ca="1">IFERROR(__xludf.DUMMYFUNCTION("""COMPUTED_VALUE"""),"No")</f>
        <v>No</v>
      </c>
      <c r="AG1011" s="5" t="str">
        <f ca="1">IFERROR(__xludf.DUMMYFUNCTION("""COMPUTED_VALUE"""),"No")</f>
        <v>No</v>
      </c>
      <c r="AH1011" s="5"/>
    </row>
    <row r="1012" spans="1:34" ht="12.75">
      <c r="A1012" s="5" t="str">
        <f ca="1">IFERROR(__xludf.DUMMYFUNCTION("""COMPUTED_VALUE"""),"20130429OHLAC")</f>
        <v>20130429OHLAC</v>
      </c>
      <c r="B1012" s="8">
        <f ca="1">IFERROR(__xludf.DUMMYFUNCTION("""COMPUTED_VALUE"""),41393)</f>
        <v>41393</v>
      </c>
      <c r="C1012" s="5" t="str">
        <f ca="1">IFERROR(__xludf.DUMMYFUNCTION("""COMPUTED_VALUE"""),"La Salle High School")</f>
        <v>La Salle High School</v>
      </c>
      <c r="D1012" s="5">
        <f ca="1">IFERROR(__xludf.DUMMYFUNCTION("""COMPUTED_VALUE"""),0)</f>
        <v>0</v>
      </c>
      <c r="E1012" s="5">
        <f ca="1">IFERROR(__xludf.DUMMYFUNCTION("""COMPUTED_VALUE"""),0)</f>
        <v>0</v>
      </c>
      <c r="F1012" s="5">
        <f ca="1">IFERROR(__xludf.DUMMYFUNCTION("""COMPUTED_VALUE"""),0)</f>
        <v>0</v>
      </c>
      <c r="G1012" s="5">
        <f ca="1">IFERROR(__xludf.DUMMYFUNCTION("""COMPUTED_VALUE"""),0)</f>
        <v>0</v>
      </c>
      <c r="H1012" s="9" t="str">
        <f ca="1">IFERROR(__xludf.DUMMYFUNCTION("""COMPUTED_VALUE"""),"https://www.cbsnews.com/news/la-salle-high-school-shooting-update-gun-used-in-ohio-classroom-came-from-home-police-say/")</f>
        <v>https://www.cbsnews.com/news/la-salle-high-school-shooting-update-gun-used-in-ohio-classroom-came-from-home-police-say/</v>
      </c>
      <c r="I1012" s="5">
        <f ca="1">IFERROR(__xludf.DUMMYFUNCTION("""COMPUTED_VALUE"""),1)</f>
        <v>1</v>
      </c>
      <c r="J1012" s="5" t="str">
        <f ca="1">IFERROR(__xludf.DUMMYFUNCTION("""COMPUTED_VALUE"""),"Local")</f>
        <v>Local</v>
      </c>
      <c r="K1012" s="5">
        <f ca="1">IFERROR(__xludf.DUMMYFUNCTION("""COMPUTED_VALUE"""),2)</f>
        <v>2</v>
      </c>
      <c r="L1012" s="5" t="str">
        <f ca="1">IFERROR(__xludf.DUMMYFUNCTION("""COMPUTED_VALUE"""),"Spring")</f>
        <v>Spring</v>
      </c>
      <c r="M1012" s="5" t="str">
        <f ca="1">IFERROR(__xludf.DUMMYFUNCTION("""COMPUTED_VALUE"""),"Cincinnati")</f>
        <v>Cincinnati</v>
      </c>
      <c r="N1012" s="5" t="str">
        <f ca="1">IFERROR(__xludf.DUMMYFUNCTION("""COMPUTED_VALUE"""),"OH")</f>
        <v>OH</v>
      </c>
      <c r="O1012" s="5" t="str">
        <f ca="1">IFERROR(__xludf.DUMMYFUNCTION("""COMPUTED_VALUE"""),"High")</f>
        <v>High</v>
      </c>
      <c r="P1012" s="5" t="str">
        <f ca="1">IFERROR(__xludf.DUMMYFUNCTION("""COMPUTED_VALUE"""),"Classroom")</f>
        <v>Classroom</v>
      </c>
      <c r="Q1012" s="5" t="str">
        <f ca="1">IFERROR(__xludf.DUMMYFUNCTION("""COMPUTED_VALUE"""),"Inside School Building")</f>
        <v>Inside School Building</v>
      </c>
      <c r="R1012" s="5" t="str">
        <f ca="1">IFERROR(__xludf.DUMMYFUNCTION("""COMPUTED_VALUE"""),"Yes")</f>
        <v>Yes</v>
      </c>
      <c r="S1012" s="5" t="str">
        <f ca="1">IFERROR(__xludf.DUMMYFUNCTION("""COMPUTED_VALUE"""),"Morning Classes")</f>
        <v>Morning Classes</v>
      </c>
      <c r="T1012" s="10">
        <f ca="1">IFERROR(__xludf.DUMMYFUNCTION("""COMPUTED_VALUE"""),0.333333333333333)</f>
        <v>0.33333333333333298</v>
      </c>
      <c r="U1012" s="5">
        <f ca="1">IFERROR(__xludf.DUMMYFUNCTION("""COMPUTED_VALUE"""),1)</f>
        <v>1</v>
      </c>
      <c r="V1012" s="5" t="str">
        <f ca="1">IFERROR(__xludf.DUMMYFUNCTION("""COMPUTED_VALUE"""),"Suicide attempt during class in classroom")</f>
        <v>Suicide attempt during class in classroom</v>
      </c>
      <c r="W1012"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X1012" s="5" t="str">
        <f ca="1">IFERROR(__xludf.DUMMYFUNCTION("""COMPUTED_VALUE"""),"Suicide/Attempted")</f>
        <v>Suicide/Attempted</v>
      </c>
      <c r="Y1012" s="5" t="str">
        <f ca="1">IFERROR(__xludf.DUMMYFUNCTION("""COMPUTED_VALUE"""),"Victims Targeted")</f>
        <v>Victims Targeted</v>
      </c>
      <c r="Z1012" s="5" t="str">
        <f ca="1">IFERROR(__xludf.DUMMYFUNCTION("""COMPUTED_VALUE"""),"No")</f>
        <v>No</v>
      </c>
      <c r="AA1012" s="5"/>
      <c r="AB1012" s="5" t="str">
        <f ca="1">IFERROR(__xludf.DUMMYFUNCTION("""COMPUTED_VALUE"""),"No")</f>
        <v>No</v>
      </c>
      <c r="AC1012" s="5" t="str">
        <f ca="1">IFERROR(__xludf.DUMMYFUNCTION("""COMPUTED_VALUE"""),"No")</f>
        <v>No</v>
      </c>
      <c r="AD1012" s="5" t="str">
        <f ca="1">IFERROR(__xludf.DUMMYFUNCTION("""COMPUTED_VALUE"""),"No")</f>
        <v>No</v>
      </c>
      <c r="AE1012" s="5"/>
      <c r="AF1012" s="5" t="str">
        <f ca="1">IFERROR(__xludf.DUMMYFUNCTION("""COMPUTED_VALUE"""),"No")</f>
        <v>No</v>
      </c>
      <c r="AG1012" s="5" t="str">
        <f ca="1">IFERROR(__xludf.DUMMYFUNCTION("""COMPUTED_VALUE"""),"No")</f>
        <v>No</v>
      </c>
      <c r="AH1012" s="5"/>
    </row>
    <row r="1013" spans="1:34" ht="12.75">
      <c r="A1013" s="5" t="str">
        <f ca="1">IFERROR(__xludf.DUMMYFUNCTION("""COMPUTED_VALUE"""),"20130416TXTET")</f>
        <v>20130416TXTET</v>
      </c>
      <c r="B1013" s="8">
        <f ca="1">IFERROR(__xludf.DUMMYFUNCTION("""COMPUTED_VALUE"""),41380)</f>
        <v>41380</v>
      </c>
      <c r="C1013" s="5" t="str">
        <f ca="1">IFERROR(__xludf.DUMMYFUNCTION("""COMPUTED_VALUE"""),"Temple High School")</f>
        <v>Temple High School</v>
      </c>
      <c r="D1013" s="5">
        <f ca="1">IFERROR(__xludf.DUMMYFUNCTION("""COMPUTED_VALUE"""),0)</f>
        <v>0</v>
      </c>
      <c r="E1013" s="5">
        <f ca="1">IFERROR(__xludf.DUMMYFUNCTION("""COMPUTED_VALUE"""),0)</f>
        <v>0</v>
      </c>
      <c r="F1013" s="5">
        <f ca="1">IFERROR(__xludf.DUMMYFUNCTION("""COMPUTED_VALUE"""),0)</f>
        <v>0</v>
      </c>
      <c r="G1013" s="5">
        <f ca="1">IFERROR(__xludf.DUMMYFUNCTION("""COMPUTED_VALUE"""),1)</f>
        <v>1</v>
      </c>
      <c r="H1013" s="9" t="str">
        <f ca="1">IFERROR(__xludf.DUMMYFUNCTION("""COMPUTED_VALUE"""),"http://ktemnews.com/student-who-shot-himself-at-temple-high-school-has-died/")</f>
        <v>http://ktemnews.com/student-who-shot-himself-at-temple-high-school-has-died/</v>
      </c>
      <c r="I1013" s="5"/>
      <c r="J1013" s="5"/>
      <c r="K1013" s="5">
        <f ca="1">IFERROR(__xludf.DUMMYFUNCTION("""COMPUTED_VALUE"""),2)</f>
        <v>2</v>
      </c>
      <c r="L1013" s="5" t="str">
        <f ca="1">IFERROR(__xludf.DUMMYFUNCTION("""COMPUTED_VALUE"""),"Spring")</f>
        <v>Spring</v>
      </c>
      <c r="M1013" s="5" t="str">
        <f ca="1">IFERROR(__xludf.DUMMYFUNCTION("""COMPUTED_VALUE"""),"Temple")</f>
        <v>Temple</v>
      </c>
      <c r="N1013" s="5" t="str">
        <f ca="1">IFERROR(__xludf.DUMMYFUNCTION("""COMPUTED_VALUE"""),"TX")</f>
        <v>TX</v>
      </c>
      <c r="O1013" s="5" t="str">
        <f ca="1">IFERROR(__xludf.DUMMYFUNCTION("""COMPUTED_VALUE"""),"High")</f>
        <v>High</v>
      </c>
      <c r="P1013" s="5" t="str">
        <f ca="1">IFERROR(__xludf.DUMMYFUNCTION("""COMPUTED_VALUE"""),"Other")</f>
        <v>Other</v>
      </c>
      <c r="Q1013" s="5" t="str">
        <f ca="1">IFERROR(__xludf.DUMMYFUNCTION("""COMPUTED_VALUE"""),"Outside on School Property")</f>
        <v>Outside on School Property</v>
      </c>
      <c r="R1013" s="5" t="str">
        <f ca="1">IFERROR(__xludf.DUMMYFUNCTION("""COMPUTED_VALUE"""),"Yes")</f>
        <v>Yes</v>
      </c>
      <c r="S1013" s="5" t="str">
        <f ca="1">IFERROR(__xludf.DUMMYFUNCTION("""COMPUTED_VALUE"""),"Morning Classes")</f>
        <v>Morning Classes</v>
      </c>
      <c r="T1013" s="5"/>
      <c r="U1013" s="5">
        <f ca="1">IFERROR(__xludf.DUMMYFUNCTION("""COMPUTED_VALUE"""),1)</f>
        <v>1</v>
      </c>
      <c r="V1013" s="5" t="str">
        <f ca="1">IFERROR(__xludf.DUMMYFUNCTION("""COMPUTED_VALUE"""),"Student shot self on school tennis court during the school day")</f>
        <v>Student shot self on school tennis court during the school day</v>
      </c>
      <c r="W1013" s="5" t="str">
        <f ca="1">IFERROR(__xludf.DUMMYFUNCTION("""COMPUTED_VALUE"""),"15YOM student shot himself in the head on the school tennis courts during morning classes.")</f>
        <v>15YOM student shot himself in the head on the school tennis courts during morning classes.</v>
      </c>
      <c r="X1013" s="5" t="str">
        <f ca="1">IFERROR(__xludf.DUMMYFUNCTION("""COMPUTED_VALUE"""),"Suicide/Attempted")</f>
        <v>Suicide/Attempted</v>
      </c>
      <c r="Y1013" s="5" t="str">
        <f ca="1">IFERROR(__xludf.DUMMYFUNCTION("""COMPUTED_VALUE"""),"Victims Targeted")</f>
        <v>Victims Targeted</v>
      </c>
      <c r="Z1013" s="5" t="str">
        <f ca="1">IFERROR(__xludf.DUMMYFUNCTION("""COMPUTED_VALUE"""),"No")</f>
        <v>No</v>
      </c>
      <c r="AA1013" s="5"/>
      <c r="AB1013" s="5" t="str">
        <f ca="1">IFERROR(__xludf.DUMMYFUNCTION("""COMPUTED_VALUE"""),"No")</f>
        <v>No</v>
      </c>
      <c r="AC1013" s="5" t="str">
        <f ca="1">IFERROR(__xludf.DUMMYFUNCTION("""COMPUTED_VALUE"""),"No")</f>
        <v>No</v>
      </c>
      <c r="AD1013" s="5" t="str">
        <f ca="1">IFERROR(__xludf.DUMMYFUNCTION("""COMPUTED_VALUE"""),"No")</f>
        <v>No</v>
      </c>
      <c r="AE1013" s="5" t="str">
        <f ca="1">IFERROR(__xludf.DUMMYFUNCTION("""COMPUTED_VALUE"""),"No")</f>
        <v>No</v>
      </c>
      <c r="AF1013" s="5" t="str">
        <f ca="1">IFERROR(__xludf.DUMMYFUNCTION("""COMPUTED_VALUE"""),"No")</f>
        <v>No</v>
      </c>
      <c r="AG1013" s="5" t="str">
        <f ca="1">IFERROR(__xludf.DUMMYFUNCTION("""COMPUTED_VALUE"""),"No")</f>
        <v>No</v>
      </c>
      <c r="AH1013" s="5"/>
    </row>
    <row r="1014" spans="1:34" ht="12.75">
      <c r="A1014" s="5" t="str">
        <f ca="1">IFERROR(__xludf.DUMMYFUNCTION("""COMPUTED_VALUE"""),"20130321MIDAS")</f>
        <v>20130321MIDAS</v>
      </c>
      <c r="B1014" s="8">
        <f ca="1">IFERROR(__xludf.DUMMYFUNCTION("""COMPUTED_VALUE"""),41354)</f>
        <v>41354</v>
      </c>
      <c r="C1014" s="5" t="str">
        <f ca="1">IFERROR(__xludf.DUMMYFUNCTION("""COMPUTED_VALUE"""),"Davidson Middle School")</f>
        <v>Davidson Middle School</v>
      </c>
      <c r="D1014" s="5">
        <f ca="1">IFERROR(__xludf.DUMMYFUNCTION("""COMPUTED_VALUE"""),0)</f>
        <v>0</v>
      </c>
      <c r="E1014" s="5">
        <f ca="1">IFERROR(__xludf.DUMMYFUNCTION("""COMPUTED_VALUE"""),0)</f>
        <v>0</v>
      </c>
      <c r="F1014" s="5">
        <f ca="1">IFERROR(__xludf.DUMMYFUNCTION("""COMPUTED_VALUE"""),0)</f>
        <v>0</v>
      </c>
      <c r="G1014" s="5">
        <f ca="1">IFERROR(__xludf.DUMMYFUNCTION("""COMPUTED_VALUE"""),1)</f>
        <v>1</v>
      </c>
      <c r="H1014" s="9" t="str">
        <f ca="1">IFERROR(__xludf.DUMMYFUNCTION("""COMPUTED_VALUE"""),"https://www.usatoday.com/story/news/nation/2013/03/21/michigan-student-13-commits-suicide/2006643/")</f>
        <v>https://www.usatoday.com/story/news/nation/2013/03/21/michigan-student-13-commits-suicide/2006643/</v>
      </c>
      <c r="I1014" s="5">
        <f ca="1">IFERROR(__xludf.DUMMYFUNCTION("""COMPUTED_VALUE"""),5)</f>
        <v>5</v>
      </c>
      <c r="J1014" s="5" t="str">
        <f ca="1">IFERROR(__xludf.DUMMYFUNCTION("""COMPUTED_VALUE"""),"Regional")</f>
        <v>Regional</v>
      </c>
      <c r="K1014" s="5">
        <f ca="1">IFERROR(__xludf.DUMMYFUNCTION("""COMPUTED_VALUE"""),2)</f>
        <v>2</v>
      </c>
      <c r="L1014" s="5" t="str">
        <f ca="1">IFERROR(__xludf.DUMMYFUNCTION("""COMPUTED_VALUE"""),"Spring")</f>
        <v>Spring</v>
      </c>
      <c r="M1014" s="5" t="str">
        <f ca="1">IFERROR(__xludf.DUMMYFUNCTION("""COMPUTED_VALUE"""),"Southgate")</f>
        <v>Southgate</v>
      </c>
      <c r="N1014" s="5" t="str">
        <f ca="1">IFERROR(__xludf.DUMMYFUNCTION("""COMPUTED_VALUE"""),"MI")</f>
        <v>MI</v>
      </c>
      <c r="O1014" s="5" t="str">
        <f ca="1">IFERROR(__xludf.DUMMYFUNCTION("""COMPUTED_VALUE"""),"Middle")</f>
        <v>Middle</v>
      </c>
      <c r="P1014" s="5" t="str">
        <f ca="1">IFERROR(__xludf.DUMMYFUNCTION("""COMPUTED_VALUE"""),"Bathroom")</f>
        <v>Bathroom</v>
      </c>
      <c r="Q1014" s="5" t="str">
        <f ca="1">IFERROR(__xludf.DUMMYFUNCTION("""COMPUTED_VALUE"""),"Inside School Building")</f>
        <v>Inside School Building</v>
      </c>
      <c r="R1014" s="5" t="str">
        <f ca="1">IFERROR(__xludf.DUMMYFUNCTION("""COMPUTED_VALUE"""),"Yes")</f>
        <v>Yes</v>
      </c>
      <c r="S1014" s="5" t="str">
        <f ca="1">IFERROR(__xludf.DUMMYFUNCTION("""COMPUTED_VALUE"""),"Before School")</f>
        <v>Before School</v>
      </c>
      <c r="T1014" s="10">
        <f ca="1">IFERROR(__xludf.DUMMYFUNCTION("""COMPUTED_VALUE"""),0.333333333333333)</f>
        <v>0.33333333333333298</v>
      </c>
      <c r="U1014" s="5">
        <f ca="1">IFERROR(__xludf.DUMMYFUNCTION("""COMPUTED_VALUE"""),1)</f>
        <v>1</v>
      </c>
      <c r="V1014" s="5" t="str">
        <f ca="1">IFERROR(__xludf.DUMMYFUNCTION("""COMPUTED_VALUE"""),"Suicide in school bathroom")</f>
        <v>Suicide in school bathroom</v>
      </c>
      <c r="W1014"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X1014" s="5" t="str">
        <f ca="1">IFERROR(__xludf.DUMMYFUNCTION("""COMPUTED_VALUE"""),"Suicide/Attempted")</f>
        <v>Suicide/Attempted</v>
      </c>
      <c r="Y1014" s="5" t="str">
        <f ca="1">IFERROR(__xludf.DUMMYFUNCTION("""COMPUTED_VALUE"""),"Victims Targeted")</f>
        <v>Victims Targeted</v>
      </c>
      <c r="Z1014" s="5" t="str">
        <f ca="1">IFERROR(__xludf.DUMMYFUNCTION("""COMPUTED_VALUE"""),"No")</f>
        <v>No</v>
      </c>
      <c r="AA1014" s="5"/>
      <c r="AB1014" s="5" t="str">
        <f ca="1">IFERROR(__xludf.DUMMYFUNCTION("""COMPUTED_VALUE"""),"No")</f>
        <v>No</v>
      </c>
      <c r="AC1014" s="5" t="str">
        <f ca="1">IFERROR(__xludf.DUMMYFUNCTION("""COMPUTED_VALUE"""),"No")</f>
        <v>No</v>
      </c>
      <c r="AD1014" s="5" t="str">
        <f ca="1">IFERROR(__xludf.DUMMYFUNCTION("""COMPUTED_VALUE"""),"No")</f>
        <v>No</v>
      </c>
      <c r="AE1014" s="5" t="str">
        <f ca="1">IFERROR(__xludf.DUMMYFUNCTION("""COMPUTED_VALUE"""),"No")</f>
        <v>No</v>
      </c>
      <c r="AF1014" s="5" t="str">
        <f ca="1">IFERROR(__xludf.DUMMYFUNCTION("""COMPUTED_VALUE"""),"No")</f>
        <v>No</v>
      </c>
      <c r="AG1014" s="5" t="str">
        <f ca="1">IFERROR(__xludf.DUMMYFUNCTION("""COMPUTED_VALUE"""),"No")</f>
        <v>No</v>
      </c>
      <c r="AH1014" s="5"/>
    </row>
    <row r="1015" spans="1:34" ht="12.75">
      <c r="A1015" s="5" t="str">
        <f ca="1">IFERROR(__xludf.DUMMYFUNCTION("""COMPUTED_VALUE"""),"20130227GAGRA")</f>
        <v>20130227GAGRA</v>
      </c>
      <c r="B1015" s="8">
        <f ca="1">IFERROR(__xludf.DUMMYFUNCTION("""COMPUTED_VALUE"""),41332)</f>
        <v>41332</v>
      </c>
      <c r="C1015" s="5" t="str">
        <f ca="1">IFERROR(__xludf.DUMMYFUNCTION("""COMPUTED_VALUE"""),"Grady High School")</f>
        <v>Grady High School</v>
      </c>
      <c r="D1015" s="5">
        <f ca="1">IFERROR(__xludf.DUMMYFUNCTION("""COMPUTED_VALUE"""),0)</f>
        <v>0</v>
      </c>
      <c r="E1015" s="5">
        <f ca="1">IFERROR(__xludf.DUMMYFUNCTION("""COMPUTED_VALUE"""),0)</f>
        <v>0</v>
      </c>
      <c r="F1015" s="5">
        <f ca="1">IFERROR(__xludf.DUMMYFUNCTION("""COMPUTED_VALUE"""),0)</f>
        <v>0</v>
      </c>
      <c r="G1015" s="5">
        <f ca="1">IFERROR(__xludf.DUMMYFUNCTION("""COMPUTED_VALUE"""),0)</f>
        <v>0</v>
      </c>
      <c r="H1015"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I1015" s="5">
        <f ca="1">IFERROR(__xludf.DUMMYFUNCTION("""COMPUTED_VALUE"""),5)</f>
        <v>5</v>
      </c>
      <c r="J1015" s="5" t="str">
        <f ca="1">IFERROR(__xludf.DUMMYFUNCTION("""COMPUTED_VALUE"""),"Regional")</f>
        <v>Regional</v>
      </c>
      <c r="K1015" s="5">
        <f ca="1">IFERROR(__xludf.DUMMYFUNCTION("""COMPUTED_VALUE"""),2)</f>
        <v>2</v>
      </c>
      <c r="L1015" s="5" t="str">
        <f ca="1">IFERROR(__xludf.DUMMYFUNCTION("""COMPUTED_VALUE"""),"Winter")</f>
        <v>Winter</v>
      </c>
      <c r="M1015" s="5" t="str">
        <f ca="1">IFERROR(__xludf.DUMMYFUNCTION("""COMPUTED_VALUE"""),"Atlanta")</f>
        <v>Atlanta</v>
      </c>
      <c r="N1015" s="5" t="str">
        <f ca="1">IFERROR(__xludf.DUMMYFUNCTION("""COMPUTED_VALUE"""),"GA")</f>
        <v>GA</v>
      </c>
      <c r="O1015" s="5" t="str">
        <f ca="1">IFERROR(__xludf.DUMMYFUNCTION("""COMPUTED_VALUE"""),"High")</f>
        <v>High</v>
      </c>
      <c r="P1015" s="5" t="str">
        <f ca="1">IFERROR(__xludf.DUMMYFUNCTION("""COMPUTED_VALUE"""),"Courtyard")</f>
        <v>Courtyard</v>
      </c>
      <c r="Q1015" s="5" t="str">
        <f ca="1">IFERROR(__xludf.DUMMYFUNCTION("""COMPUTED_VALUE"""),"Outside on School Property")</f>
        <v>Outside on School Property</v>
      </c>
      <c r="R1015" s="5" t="str">
        <f ca="1">IFERROR(__xludf.DUMMYFUNCTION("""COMPUTED_VALUE"""),"Yes")</f>
        <v>Yes</v>
      </c>
      <c r="S1015" s="5" t="str">
        <f ca="1">IFERROR(__xludf.DUMMYFUNCTION("""COMPUTED_VALUE"""),"Morning Classes")</f>
        <v>Morning Classes</v>
      </c>
      <c r="T1015" s="10">
        <f ca="1">IFERROR(__xludf.DUMMYFUNCTION("""COMPUTED_VALUE"""),0.395833333333333)</f>
        <v>0.39583333333333298</v>
      </c>
      <c r="U1015" s="5">
        <f ca="1">IFERROR(__xludf.DUMMYFUNCTION("""COMPUTED_VALUE"""),1)</f>
        <v>1</v>
      </c>
      <c r="V1015" s="5" t="str">
        <f ca="1">IFERROR(__xludf.DUMMYFUNCTION("""COMPUTED_VALUE"""),"Accidental discharge in pocket while running to class")</f>
        <v>Accidental discharge in pocket while running to class</v>
      </c>
      <c r="W1015"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X1015" s="5" t="str">
        <f ca="1">IFERROR(__xludf.DUMMYFUNCTION("""COMPUTED_VALUE"""),"Accidental")</f>
        <v>Accidental</v>
      </c>
      <c r="Y1015" s="5" t="str">
        <f ca="1">IFERROR(__xludf.DUMMYFUNCTION("""COMPUTED_VALUE"""),"Random Shooting")</f>
        <v>Random Shooting</v>
      </c>
      <c r="Z1015" s="5" t="str">
        <f ca="1">IFERROR(__xludf.DUMMYFUNCTION("""COMPUTED_VALUE"""),"No")</f>
        <v>No</v>
      </c>
      <c r="AA1015" s="5"/>
      <c r="AB1015" s="5" t="str">
        <f ca="1">IFERROR(__xludf.DUMMYFUNCTION("""COMPUTED_VALUE"""),"No")</f>
        <v>No</v>
      </c>
      <c r="AC1015" s="5" t="str">
        <f ca="1">IFERROR(__xludf.DUMMYFUNCTION("""COMPUTED_VALUE"""),"No")</f>
        <v>No</v>
      </c>
      <c r="AD1015" s="5" t="str">
        <f ca="1">IFERROR(__xludf.DUMMYFUNCTION("""COMPUTED_VALUE"""),"No")</f>
        <v>No</v>
      </c>
      <c r="AE1015" s="5" t="str">
        <f ca="1">IFERROR(__xludf.DUMMYFUNCTION("""COMPUTED_VALUE"""),"No")</f>
        <v>No</v>
      </c>
      <c r="AF1015" s="5" t="str">
        <f ca="1">IFERROR(__xludf.DUMMYFUNCTION("""COMPUTED_VALUE"""),"No")</f>
        <v>No</v>
      </c>
      <c r="AG1015" s="5" t="str">
        <f ca="1">IFERROR(__xludf.DUMMYFUNCTION("""COMPUTED_VALUE"""),"No")</f>
        <v>No</v>
      </c>
      <c r="AH1015" s="5"/>
    </row>
    <row r="1016" spans="1:34" ht="12.75">
      <c r="A1016" s="5" t="str">
        <f ca="1">IFERROR(__xludf.DUMMYFUNCTION("""COMPUTED_VALUE"""),"20130213CAHIS")</f>
        <v>20130213CAHIS</v>
      </c>
      <c r="B1016" s="8">
        <f ca="1">IFERROR(__xludf.DUMMYFUNCTION("""COMPUTED_VALUE"""),41318)</f>
        <v>41318</v>
      </c>
      <c r="C1016" s="5" t="str">
        <f ca="1">IFERROR(__xludf.DUMMYFUNCTION("""COMPUTED_VALUE"""),"Hillside Elementary School")</f>
        <v>Hillside Elementary School</v>
      </c>
      <c r="D1016" s="5">
        <f ca="1">IFERROR(__xludf.DUMMYFUNCTION("""COMPUTED_VALUE"""),1)</f>
        <v>1</v>
      </c>
      <c r="E1016" s="5">
        <f ca="1">IFERROR(__xludf.DUMMYFUNCTION("""COMPUTED_VALUE"""),0)</f>
        <v>0</v>
      </c>
      <c r="F1016" s="5">
        <f ca="1">IFERROR(__xludf.DUMMYFUNCTION("""COMPUTED_VALUE"""),1)</f>
        <v>1</v>
      </c>
      <c r="G1016" s="5">
        <f ca="1">IFERROR(__xludf.DUMMYFUNCTION("""COMPUTED_VALUE"""),0)</f>
        <v>0</v>
      </c>
      <c r="H1016" s="9" t="str">
        <f ca="1">IFERROR(__xludf.DUMMYFUNCTION("""COMPUTED_VALUE"""),"https://patch.com/california/sanleandro/man-sentenced-to-prison-for-fatal-2013-shooting-at-hillside-elementary")</f>
        <v>https://patch.com/california/sanleandro/man-sentenced-to-prison-for-fatal-2013-shooting-at-hillside-elementary</v>
      </c>
      <c r="I1016" s="5">
        <f ca="1">IFERROR(__xludf.DUMMYFUNCTION("""COMPUTED_VALUE"""),1)</f>
        <v>1</v>
      </c>
      <c r="J1016" s="5" t="str">
        <f ca="1">IFERROR(__xludf.DUMMYFUNCTION("""COMPUTED_VALUE"""),"Local")</f>
        <v>Local</v>
      </c>
      <c r="K1016" s="5">
        <f ca="1">IFERROR(__xludf.DUMMYFUNCTION("""COMPUTED_VALUE"""),2)</f>
        <v>2</v>
      </c>
      <c r="L1016" s="5" t="str">
        <f ca="1">IFERROR(__xludf.DUMMYFUNCTION("""COMPUTED_VALUE"""),"Winter")</f>
        <v>Winter</v>
      </c>
      <c r="M1016" s="5" t="str">
        <f ca="1">IFERROR(__xludf.DUMMYFUNCTION("""COMPUTED_VALUE"""),"San Leandro")</f>
        <v>San Leandro</v>
      </c>
      <c r="N1016" s="5" t="str">
        <f ca="1">IFERROR(__xludf.DUMMYFUNCTION("""COMPUTED_VALUE"""),"CA")</f>
        <v>CA</v>
      </c>
      <c r="O1016" s="5" t="str">
        <f ca="1">IFERROR(__xludf.DUMMYFUNCTION("""COMPUTED_VALUE"""),"Elementary")</f>
        <v>Elementary</v>
      </c>
      <c r="P1016" s="5" t="str">
        <f ca="1">IFERROR(__xludf.DUMMYFUNCTION("""COMPUTED_VALUE"""),"Beside Building")</f>
        <v>Beside Building</v>
      </c>
      <c r="Q1016" s="5" t="str">
        <f ca="1">IFERROR(__xludf.DUMMYFUNCTION("""COMPUTED_VALUE"""),"Outside on School Property")</f>
        <v>Outside on School Property</v>
      </c>
      <c r="R1016" s="5" t="str">
        <f ca="1">IFERROR(__xludf.DUMMYFUNCTION("""COMPUTED_VALUE"""),"No")</f>
        <v>No</v>
      </c>
      <c r="S1016" s="5" t="str">
        <f ca="1">IFERROR(__xludf.DUMMYFUNCTION("""COMPUTED_VALUE"""),"Evening")</f>
        <v>Evening</v>
      </c>
      <c r="T1016" s="10">
        <f ca="1">IFERROR(__xludf.DUMMYFUNCTION("""COMPUTED_VALUE"""),0.864583333333333)</f>
        <v>0.86458333333333304</v>
      </c>
      <c r="U1016" s="5">
        <f ca="1">IFERROR(__xludf.DUMMYFUNCTION("""COMPUTED_VALUE"""),1)</f>
        <v>1</v>
      </c>
      <c r="V1016" s="5" t="str">
        <f ca="1">IFERROR(__xludf.DUMMYFUNCTION("""COMPUTED_VALUE"""),"Anger over victim refusing to pay $5 after losing dice game")</f>
        <v>Anger over victim refusing to pay $5 after losing dice game</v>
      </c>
      <c r="W1016"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X1016" s="5" t="str">
        <f ca="1">IFERROR(__xludf.DUMMYFUNCTION("""COMPUTED_VALUE"""),"Escalation of Dispute")</f>
        <v>Escalation of Dispute</v>
      </c>
      <c r="Y1016" s="5" t="str">
        <f ca="1">IFERROR(__xludf.DUMMYFUNCTION("""COMPUTED_VALUE"""),"Victims Targeted")</f>
        <v>Victims Targeted</v>
      </c>
      <c r="Z1016" s="5" t="str">
        <f ca="1">IFERROR(__xludf.DUMMYFUNCTION("""COMPUTED_VALUE"""),"Yes")</f>
        <v>Yes</v>
      </c>
      <c r="AA1016" s="5" t="str">
        <f ca="1">IFERROR(__xludf.DUMMYFUNCTION("""COMPUTED_VALUE"""),"2 other black males were with shooter, they were not charged.")</f>
        <v>2 other black males were with shooter, they were not charged.</v>
      </c>
      <c r="AB1016" s="5" t="str">
        <f ca="1">IFERROR(__xludf.DUMMYFUNCTION("""COMPUTED_VALUE"""),"No")</f>
        <v>No</v>
      </c>
      <c r="AC1016" s="5" t="str">
        <f ca="1">IFERROR(__xludf.DUMMYFUNCTION("""COMPUTED_VALUE"""),"No")</f>
        <v>No</v>
      </c>
      <c r="AD1016" s="5" t="str">
        <f ca="1">IFERROR(__xludf.DUMMYFUNCTION("""COMPUTED_VALUE"""),"No")</f>
        <v>No</v>
      </c>
      <c r="AE1016" s="5" t="str">
        <f ca="1">IFERROR(__xludf.DUMMYFUNCTION("""COMPUTED_VALUE"""),"No")</f>
        <v>No</v>
      </c>
      <c r="AF1016" s="5" t="str">
        <f ca="1">IFERROR(__xludf.DUMMYFUNCTION("""COMPUTED_VALUE"""),"No")</f>
        <v>No</v>
      </c>
      <c r="AG1016" s="5" t="str">
        <f ca="1">IFERROR(__xludf.DUMMYFUNCTION("""COMPUTED_VALUE"""),"No")</f>
        <v>No</v>
      </c>
      <c r="AH1016" s="5"/>
    </row>
    <row r="1017" spans="1:34" ht="12.75">
      <c r="A1017" s="5" t="str">
        <f ca="1">IFERROR(__xludf.DUMMYFUNCTION("""COMPUTED_VALUE"""),"20130201MIMAD")</f>
        <v>20130201MIMAD</v>
      </c>
      <c r="B1017" s="8">
        <f ca="1">IFERROR(__xludf.DUMMYFUNCTION("""COMPUTED_VALUE"""),41306)</f>
        <v>41306</v>
      </c>
      <c r="C1017" s="5" t="str">
        <f ca="1">IFERROR(__xludf.DUMMYFUNCTION("""COMPUTED_VALUE"""),"Martin Luther King High School")</f>
        <v>Martin Luther King High School</v>
      </c>
      <c r="D1017" s="5">
        <f ca="1">IFERROR(__xludf.DUMMYFUNCTION("""COMPUTED_VALUE"""),1)</f>
        <v>1</v>
      </c>
      <c r="E1017" s="5">
        <f ca="1">IFERROR(__xludf.DUMMYFUNCTION("""COMPUTED_VALUE"""),1)</f>
        <v>1</v>
      </c>
      <c r="F1017" s="5">
        <f ca="1">IFERROR(__xludf.DUMMYFUNCTION("""COMPUTED_VALUE"""),2)</f>
        <v>2</v>
      </c>
      <c r="G1017" s="5">
        <f ca="1">IFERROR(__xludf.DUMMYFUNCTION("""COMPUTED_VALUE"""),1)</f>
        <v>1</v>
      </c>
      <c r="H1017" s="9" t="str">
        <f ca="1">IFERROR(__xludf.DUMMYFUNCTION("""COMPUTED_VALUE"""),"https://www.wxyz.com/news/man-shot-near-martin-luther-king-jr-high-school-in-detroit")</f>
        <v>https://www.wxyz.com/news/man-shot-near-martin-luther-king-jr-high-school-in-detroit</v>
      </c>
      <c r="I1017" s="5">
        <f ca="1">IFERROR(__xludf.DUMMYFUNCTION("""COMPUTED_VALUE"""),1)</f>
        <v>1</v>
      </c>
      <c r="J1017" s="5" t="str">
        <f ca="1">IFERROR(__xludf.DUMMYFUNCTION("""COMPUTED_VALUE"""),"Local")</f>
        <v>Local</v>
      </c>
      <c r="K1017" s="5">
        <f ca="1">IFERROR(__xludf.DUMMYFUNCTION("""COMPUTED_VALUE"""),2)</f>
        <v>2</v>
      </c>
      <c r="L1017" s="5" t="str">
        <f ca="1">IFERROR(__xludf.DUMMYFUNCTION("""COMPUTED_VALUE"""),"Winter")</f>
        <v>Winter</v>
      </c>
      <c r="M1017" s="5" t="str">
        <f ca="1">IFERROR(__xludf.DUMMYFUNCTION("""COMPUTED_VALUE"""),"Detroit")</f>
        <v>Detroit</v>
      </c>
      <c r="N1017" s="5" t="str">
        <f ca="1">IFERROR(__xludf.DUMMYFUNCTION("""COMPUTED_VALUE"""),"MI")</f>
        <v>MI</v>
      </c>
      <c r="O1017" s="5" t="str">
        <f ca="1">IFERROR(__xludf.DUMMYFUNCTION("""COMPUTED_VALUE"""),"High")</f>
        <v>High</v>
      </c>
      <c r="P1017" s="5" t="str">
        <f ca="1">IFERROR(__xludf.DUMMYFUNCTION("""COMPUTED_VALUE"""),"Parking Lot")</f>
        <v>Parking Lot</v>
      </c>
      <c r="Q1017" s="5" t="str">
        <f ca="1">IFERROR(__xludf.DUMMYFUNCTION("""COMPUTED_VALUE"""),"Outside on School Property")</f>
        <v>Outside on School Property</v>
      </c>
      <c r="R1017" s="5" t="str">
        <f ca="1">IFERROR(__xludf.DUMMYFUNCTION("""COMPUTED_VALUE"""),"No")</f>
        <v>No</v>
      </c>
      <c r="S1017" s="5" t="str">
        <f ca="1">IFERROR(__xludf.DUMMYFUNCTION("""COMPUTED_VALUE"""),"Evening")</f>
        <v>Evening</v>
      </c>
      <c r="T1017" s="10">
        <f ca="1">IFERROR(__xludf.DUMMYFUNCTION("""COMPUTED_VALUE"""),0.8125)</f>
        <v>0.8125</v>
      </c>
      <c r="U1017" s="5">
        <f ca="1">IFERROR(__xludf.DUMMYFUNCTION("""COMPUTED_VALUE"""),1)</f>
        <v>1</v>
      </c>
      <c r="V1017" s="5" t="str">
        <f ca="1">IFERROR(__xludf.DUMMYFUNCTION("""COMPUTED_VALUE"""),"Teens attempted to rob basketball coach, shot both of them killing one (reserve police officer)")</f>
        <v>Teens attempted to rob basketball coach, shot both of them killing one (reserve police officer)</v>
      </c>
      <c r="W1017"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X1017" s="5" t="str">
        <f ca="1">IFERROR(__xludf.DUMMYFUNCTION("""COMPUTED_VALUE"""),"Illegal Activity")</f>
        <v>Illegal Activity</v>
      </c>
      <c r="Y1017" s="5" t="str">
        <f ca="1">IFERROR(__xludf.DUMMYFUNCTION("""COMPUTED_VALUE"""),"Neither")</f>
        <v>Neither</v>
      </c>
      <c r="Z1017" s="5" t="str">
        <f ca="1">IFERROR(__xludf.DUMMYFUNCTION("""COMPUTED_VALUE"""),"Yes")</f>
        <v>Yes</v>
      </c>
      <c r="AA1017" s="5" t="str">
        <f ca="1">IFERROR(__xludf.DUMMYFUNCTION("""COMPUTED_VALUE"""),"2 suspects total, 1 handgun")</f>
        <v>2 suspects total, 1 handgun</v>
      </c>
      <c r="AB1017" s="5" t="str">
        <f ca="1">IFERROR(__xludf.DUMMYFUNCTION("""COMPUTED_VALUE"""),"No")</f>
        <v>No</v>
      </c>
      <c r="AC1017" s="5" t="str">
        <f ca="1">IFERROR(__xludf.DUMMYFUNCTION("""COMPUTED_VALUE"""),"No")</f>
        <v>No</v>
      </c>
      <c r="AD1017" s="5" t="str">
        <f ca="1">IFERROR(__xludf.DUMMYFUNCTION("""COMPUTED_VALUE"""),"Yes")</f>
        <v>Yes</v>
      </c>
      <c r="AE1017" s="5" t="str">
        <f ca="1">IFERROR(__xludf.DUMMYFUNCTION("""COMPUTED_VALUE"""),"No")</f>
        <v>No</v>
      </c>
      <c r="AF1017" s="5" t="str">
        <f ca="1">IFERROR(__xludf.DUMMYFUNCTION("""COMPUTED_VALUE"""),"No")</f>
        <v>No</v>
      </c>
      <c r="AG1017" s="5" t="str">
        <f ca="1">IFERROR(__xludf.DUMMYFUNCTION("""COMPUTED_VALUE"""),"No")</f>
        <v>No</v>
      </c>
      <c r="AH1017" s="5"/>
    </row>
    <row r="1018" spans="1:34" ht="12.75">
      <c r="A1018" s="5" t="str">
        <f ca="1">IFERROR(__xludf.DUMMYFUNCTION("""COMPUTED_VALUE"""),"20130131GAPRA")</f>
        <v>20130131GAPRA</v>
      </c>
      <c r="B1018" s="8">
        <f ca="1">IFERROR(__xludf.DUMMYFUNCTION("""COMPUTED_VALUE"""),41305)</f>
        <v>41305</v>
      </c>
      <c r="C1018" s="5" t="str">
        <f ca="1">IFERROR(__xludf.DUMMYFUNCTION("""COMPUTED_VALUE"""),"Price Middle School")</f>
        <v>Price Middle School</v>
      </c>
      <c r="D1018" s="5">
        <f ca="1">IFERROR(__xludf.DUMMYFUNCTION("""COMPUTED_VALUE"""),0)</f>
        <v>0</v>
      </c>
      <c r="E1018" s="5">
        <f ca="1">IFERROR(__xludf.DUMMYFUNCTION("""COMPUTED_VALUE"""),1)</f>
        <v>1</v>
      </c>
      <c r="F1018" s="5">
        <f ca="1">IFERROR(__xludf.DUMMYFUNCTION("""COMPUTED_VALUE"""),1)</f>
        <v>1</v>
      </c>
      <c r="G1018" s="5">
        <f ca="1">IFERROR(__xludf.DUMMYFUNCTION("""COMPUTED_VALUE"""),0)</f>
        <v>0</v>
      </c>
      <c r="H1018" s="9" t="str">
        <f ca="1">IFERROR(__xludf.DUMMYFUNCTION("""COMPUTED_VALUE"""),"https://www.cbsnews.com/news/police-teen-shot-by-fellow-student-at-ga-school/")</f>
        <v>https://www.cbsnews.com/news/police-teen-shot-by-fellow-student-at-ga-school/</v>
      </c>
      <c r="I1018" s="5">
        <f ca="1">IFERROR(__xludf.DUMMYFUNCTION("""COMPUTED_VALUE"""),5)</f>
        <v>5</v>
      </c>
      <c r="J1018" s="5" t="str">
        <f ca="1">IFERROR(__xludf.DUMMYFUNCTION("""COMPUTED_VALUE"""),"Local")</f>
        <v>Local</v>
      </c>
      <c r="K1018" s="5">
        <f ca="1">IFERROR(__xludf.DUMMYFUNCTION("""COMPUTED_VALUE"""),2)</f>
        <v>2</v>
      </c>
      <c r="L1018" s="5" t="str">
        <f ca="1">IFERROR(__xludf.DUMMYFUNCTION("""COMPUTED_VALUE"""),"Winter")</f>
        <v>Winter</v>
      </c>
      <c r="M1018" s="5" t="str">
        <f ca="1">IFERROR(__xludf.DUMMYFUNCTION("""COMPUTED_VALUE"""),"Atlanta")</f>
        <v>Atlanta</v>
      </c>
      <c r="N1018" s="5" t="str">
        <f ca="1">IFERROR(__xludf.DUMMYFUNCTION("""COMPUTED_VALUE"""),"GA")</f>
        <v>GA</v>
      </c>
      <c r="O1018" s="5" t="str">
        <f ca="1">IFERROR(__xludf.DUMMYFUNCTION("""COMPUTED_VALUE"""),"Middle")</f>
        <v>Middle</v>
      </c>
      <c r="P1018" s="5" t="str">
        <f ca="1">IFERROR(__xludf.DUMMYFUNCTION("""COMPUTED_VALUE"""),"Hallway")</f>
        <v>Hallway</v>
      </c>
      <c r="Q1018" s="5" t="str">
        <f ca="1">IFERROR(__xludf.DUMMYFUNCTION("""COMPUTED_VALUE"""),"Inside School Building")</f>
        <v>Inside School Building</v>
      </c>
      <c r="R1018" s="5" t="str">
        <f ca="1">IFERROR(__xludf.DUMMYFUNCTION("""COMPUTED_VALUE"""),"Yes")</f>
        <v>Yes</v>
      </c>
      <c r="S1018" s="5" t="str">
        <f ca="1">IFERROR(__xludf.DUMMYFUNCTION("""COMPUTED_VALUE"""),"Afternoon Classes")</f>
        <v>Afternoon Classes</v>
      </c>
      <c r="T1018" s="10">
        <f ca="1">IFERROR(__xludf.DUMMYFUNCTION("""COMPUTED_VALUE"""),0.576388888888888)</f>
        <v>0.57638888888888795</v>
      </c>
      <c r="U1018" s="5">
        <f ca="1">IFERROR(__xludf.DUMMYFUNCTION("""COMPUTED_VALUE"""),1)</f>
        <v>1</v>
      </c>
      <c r="V1018" s="5" t="str">
        <f ca="1">IFERROR(__xludf.DUMMYFUNCTION("""COMPUTED_VALUE"""),"Fight between classes; possibly gang-related")</f>
        <v>Fight between classes; possibly gang-related</v>
      </c>
      <c r="W1018"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X1018" s="5" t="str">
        <f ca="1">IFERROR(__xludf.DUMMYFUNCTION("""COMPUTED_VALUE"""),"Escalation of Dispute")</f>
        <v>Escalation of Dispute</v>
      </c>
      <c r="Y1018" s="5" t="str">
        <f ca="1">IFERROR(__xludf.DUMMYFUNCTION("""COMPUTED_VALUE"""),"Victims Targeted")</f>
        <v>Victims Targeted</v>
      </c>
      <c r="Z1018" s="5" t="str">
        <f ca="1">IFERROR(__xludf.DUMMYFUNCTION("""COMPUTED_VALUE"""),"No")</f>
        <v>No</v>
      </c>
      <c r="AA1018" s="5"/>
      <c r="AB1018" s="5" t="str">
        <f ca="1">IFERROR(__xludf.DUMMYFUNCTION("""COMPUTED_VALUE"""),"No")</f>
        <v>No</v>
      </c>
      <c r="AC1018" s="5" t="str">
        <f ca="1">IFERROR(__xludf.DUMMYFUNCTION("""COMPUTED_VALUE"""),"No")</f>
        <v>No</v>
      </c>
      <c r="AD1018" s="5" t="str">
        <f ca="1">IFERROR(__xludf.DUMMYFUNCTION("""COMPUTED_VALUE"""),"No")</f>
        <v>No</v>
      </c>
      <c r="AE1018" s="5" t="str">
        <f ca="1">IFERROR(__xludf.DUMMYFUNCTION("""COMPUTED_VALUE"""),"No")</f>
        <v>No</v>
      </c>
      <c r="AF1018" s="5" t="str">
        <f ca="1">IFERROR(__xludf.DUMMYFUNCTION("""COMPUTED_VALUE"""),"No")</f>
        <v>No</v>
      </c>
      <c r="AG1018" s="5" t="str">
        <f ca="1">IFERROR(__xludf.DUMMYFUNCTION("""COMPUTED_VALUE"""),"Yes")</f>
        <v>Yes</v>
      </c>
      <c r="AH1018" s="5"/>
    </row>
    <row r="1019" spans="1:34" ht="12.75">
      <c r="A1019" s="5" t="str">
        <f ca="1">IFERROR(__xludf.DUMMYFUNCTION("""COMPUTED_VALUE"""),"20130129ALDAM")</f>
        <v>20130129ALDAM</v>
      </c>
      <c r="B1019" s="8">
        <f ca="1">IFERROR(__xludf.DUMMYFUNCTION("""COMPUTED_VALUE"""),41303)</f>
        <v>41303</v>
      </c>
      <c r="C1019" s="5" t="str">
        <f ca="1">IFERROR(__xludf.DUMMYFUNCTION("""COMPUTED_VALUE"""),"Dale County School Bus")</f>
        <v>Dale County School Bus</v>
      </c>
      <c r="D1019" s="5">
        <f ca="1">IFERROR(__xludf.DUMMYFUNCTION("""COMPUTED_VALUE"""),1)</f>
        <v>1</v>
      </c>
      <c r="E1019" s="5">
        <f ca="1">IFERROR(__xludf.DUMMYFUNCTION("""COMPUTED_VALUE"""),0)</f>
        <v>0</v>
      </c>
      <c r="F1019" s="5">
        <f ca="1">IFERROR(__xludf.DUMMYFUNCTION("""COMPUTED_VALUE"""),1)</f>
        <v>1</v>
      </c>
      <c r="G1019" s="5">
        <f ca="1">IFERROR(__xludf.DUMMYFUNCTION("""COMPUTED_VALUE"""),0)</f>
        <v>0</v>
      </c>
      <c r="H1019"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I1019" s="5"/>
      <c r="J1019" s="5" t="str">
        <f ca="1">IFERROR(__xludf.DUMMYFUNCTION("""COMPUTED_VALUE"""),"International")</f>
        <v>International</v>
      </c>
      <c r="K1019" s="5">
        <f ca="1">IFERROR(__xludf.DUMMYFUNCTION("""COMPUTED_VALUE"""),5)</f>
        <v>5</v>
      </c>
      <c r="L1019" s="5" t="str">
        <f ca="1">IFERROR(__xludf.DUMMYFUNCTION("""COMPUTED_VALUE"""),"Winter")</f>
        <v>Winter</v>
      </c>
      <c r="M1019" s="5" t="str">
        <f ca="1">IFERROR(__xludf.DUMMYFUNCTION("""COMPUTED_VALUE"""),"Midland City")</f>
        <v>Midland City</v>
      </c>
      <c r="N1019" s="5" t="str">
        <f ca="1">IFERROR(__xludf.DUMMYFUNCTION("""COMPUTED_VALUE"""),"AL")</f>
        <v>AL</v>
      </c>
      <c r="O1019" s="5" t="str">
        <f ca="1">IFERROR(__xludf.DUMMYFUNCTION("""COMPUTED_VALUE"""),"Elementary")</f>
        <v>Elementary</v>
      </c>
      <c r="P1019" s="5" t="str">
        <f ca="1">IFERROR(__xludf.DUMMYFUNCTION("""COMPUTED_VALUE"""),"School Bus")</f>
        <v>School Bus</v>
      </c>
      <c r="Q1019" s="5" t="str">
        <f ca="1">IFERROR(__xludf.DUMMYFUNCTION("""COMPUTED_VALUE"""),"School Bus")</f>
        <v>School Bus</v>
      </c>
      <c r="R1019" s="5" t="str">
        <f ca="1">IFERROR(__xludf.DUMMYFUNCTION("""COMPUTED_VALUE"""),"Yes")</f>
        <v>Yes</v>
      </c>
      <c r="S1019" s="5" t="str">
        <f ca="1">IFERROR(__xludf.DUMMYFUNCTION("""COMPUTED_VALUE"""),"Dismissal")</f>
        <v>Dismissal</v>
      </c>
      <c r="T1019" s="10">
        <f ca="1">IFERROR(__xludf.DUMMYFUNCTION("""COMPUTED_VALUE"""),0.645833333333333)</f>
        <v>0.64583333333333304</v>
      </c>
      <c r="U1019" s="5">
        <f ca="1">IFERROR(__xludf.DUMMYFUNCTION("""COMPUTED_VALUE"""),1)</f>
        <v>1</v>
      </c>
      <c r="V1019" s="5" t="str">
        <f ca="1">IFERROR(__xludf.DUMMYFUNCTION("""COMPUTED_VALUE"""),"Man shot bus driver and abducted student from school bus")</f>
        <v>Man shot bus driver and abducted student from school bus</v>
      </c>
      <c r="W1019"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X1019" s="5" t="str">
        <f ca="1">IFERROR(__xludf.DUMMYFUNCTION("""COMPUTED_VALUE"""),"Hostage/Standoff")</f>
        <v>Hostage/Standoff</v>
      </c>
      <c r="Y1019" s="5" t="str">
        <f ca="1">IFERROR(__xludf.DUMMYFUNCTION("""COMPUTED_VALUE"""),"Random Shooting")</f>
        <v>Random Shooting</v>
      </c>
      <c r="Z1019" s="5" t="str">
        <f ca="1">IFERROR(__xludf.DUMMYFUNCTION("""COMPUTED_VALUE"""),"No")</f>
        <v>No</v>
      </c>
      <c r="AA1019" s="5"/>
      <c r="AB1019" s="5" t="str">
        <f ca="1">IFERROR(__xludf.DUMMYFUNCTION("""COMPUTED_VALUE"""),"Yes")</f>
        <v>Yes</v>
      </c>
      <c r="AC1019" s="5" t="str">
        <f ca="1">IFERROR(__xludf.DUMMYFUNCTION("""COMPUTED_VALUE"""),"No")</f>
        <v>No</v>
      </c>
      <c r="AD1019" s="5" t="str">
        <f ca="1">IFERROR(__xludf.DUMMYFUNCTION("""COMPUTED_VALUE"""),"No")</f>
        <v>No</v>
      </c>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row>
    <row r="1020" spans="1:34" ht="12.75">
      <c r="A1020" s="5" t="str">
        <f ca="1">IFERROR(__xludf.DUMMYFUNCTION("""COMPUTED_VALUE"""),"20130111MIOSD")</f>
        <v>20130111MIOSD</v>
      </c>
      <c r="B1020" s="8">
        <f ca="1">IFERROR(__xludf.DUMMYFUNCTION("""COMPUTED_VALUE"""),41285)</f>
        <v>41285</v>
      </c>
      <c r="C1020" s="5" t="str">
        <f ca="1">IFERROR(__xludf.DUMMYFUNCTION("""COMPUTED_VALUE"""),"Osborn High School")</f>
        <v>Osborn High School</v>
      </c>
      <c r="D1020" s="5">
        <f ca="1">IFERROR(__xludf.DUMMYFUNCTION("""COMPUTED_VALUE"""),0)</f>
        <v>0</v>
      </c>
      <c r="E1020" s="5">
        <f ca="1">IFERROR(__xludf.DUMMYFUNCTION("""COMPUTED_VALUE"""),1)</f>
        <v>1</v>
      </c>
      <c r="F1020" s="5">
        <f ca="1">IFERROR(__xludf.DUMMYFUNCTION("""COMPUTED_VALUE"""),1)</f>
        <v>1</v>
      </c>
      <c r="G1020" s="5">
        <f ca="1">IFERROR(__xludf.DUMMYFUNCTION("""COMPUTED_VALUE"""),0)</f>
        <v>0</v>
      </c>
      <c r="H1020" s="9" t="str">
        <f ca="1">IFERROR(__xludf.DUMMYFUNCTION("""COMPUTED_VALUE"""),"https://www.wxyz.com/news/region/detroit/16-year-old-boy-shot-at-after-basketball-game-in-detroit")</f>
        <v>https://www.wxyz.com/news/region/detroit/16-year-old-boy-shot-at-after-basketball-game-in-detroit</v>
      </c>
      <c r="I1020" s="5">
        <f ca="1">IFERROR(__xludf.DUMMYFUNCTION("""COMPUTED_VALUE"""),1)</f>
        <v>1</v>
      </c>
      <c r="J1020" s="5" t="str">
        <f ca="1">IFERROR(__xludf.DUMMYFUNCTION("""COMPUTED_VALUE"""),"Local")</f>
        <v>Local</v>
      </c>
      <c r="K1020" s="5">
        <f ca="1">IFERROR(__xludf.DUMMYFUNCTION("""COMPUTED_VALUE"""),2)</f>
        <v>2</v>
      </c>
      <c r="L1020" s="5" t="str">
        <f ca="1">IFERROR(__xludf.DUMMYFUNCTION("""COMPUTED_VALUE"""),"Winter")</f>
        <v>Winter</v>
      </c>
      <c r="M1020" s="5" t="str">
        <f ca="1">IFERROR(__xludf.DUMMYFUNCTION("""COMPUTED_VALUE"""),"Detroit")</f>
        <v>Detroit</v>
      </c>
      <c r="N1020" s="5" t="str">
        <f ca="1">IFERROR(__xludf.DUMMYFUNCTION("""COMPUTED_VALUE"""),"MI")</f>
        <v>MI</v>
      </c>
      <c r="O1020" s="5" t="str">
        <f ca="1">IFERROR(__xludf.DUMMYFUNCTION("""COMPUTED_VALUE"""),"High")</f>
        <v>High</v>
      </c>
      <c r="P1020" s="5" t="str">
        <f ca="1">IFERROR(__xludf.DUMMYFUNCTION("""COMPUTED_VALUE"""),"Basketball Court")</f>
        <v>Basketball Court</v>
      </c>
      <c r="Q1020" s="5" t="str">
        <f ca="1">IFERROR(__xludf.DUMMYFUNCTION("""COMPUTED_VALUE"""),"Off School Property")</f>
        <v>Off School Property</v>
      </c>
      <c r="R1020" s="5" t="str">
        <f ca="1">IFERROR(__xludf.DUMMYFUNCTION("""COMPUTED_VALUE"""),"No")</f>
        <v>No</v>
      </c>
      <c r="S1020" s="5" t="str">
        <f ca="1">IFERROR(__xludf.DUMMYFUNCTION("""COMPUTED_VALUE"""),"Sport Event")</f>
        <v>Sport Event</v>
      </c>
      <c r="T1020" s="5"/>
      <c r="U1020" s="5">
        <f ca="1">IFERROR(__xludf.DUMMYFUNCTION("""COMPUTED_VALUE"""),1)</f>
        <v>1</v>
      </c>
      <c r="V1020" s="5" t="str">
        <f ca="1">IFERROR(__xludf.DUMMYFUNCTION("""COMPUTED_VALUE"""),"Fight after basketball game")</f>
        <v>Fight after basketball game</v>
      </c>
      <c r="W1020"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X1020" s="5" t="str">
        <f ca="1">IFERROR(__xludf.DUMMYFUNCTION("""COMPUTED_VALUE"""),"Escalation of Dispute")</f>
        <v>Escalation of Dispute</v>
      </c>
      <c r="Y1020" s="5" t="str">
        <f ca="1">IFERROR(__xludf.DUMMYFUNCTION("""COMPUTED_VALUE"""),"Victims Targeted")</f>
        <v>Victims Targeted</v>
      </c>
      <c r="Z1020" s="5"/>
      <c r="AA1020" s="5"/>
      <c r="AB1020" s="5" t="str">
        <f ca="1">IFERROR(__xludf.DUMMYFUNCTION("""COMPUTED_VALUE"""),"No")</f>
        <v>No</v>
      </c>
      <c r="AC1020" s="5" t="str">
        <f ca="1">IFERROR(__xludf.DUMMYFUNCTION("""COMPUTED_VALUE"""),"No")</f>
        <v>No</v>
      </c>
      <c r="AD1020" s="5" t="str">
        <f ca="1">IFERROR(__xludf.DUMMYFUNCTION("""COMPUTED_VALUE"""),"No")</f>
        <v>No</v>
      </c>
      <c r="AE1020" s="5" t="str">
        <f ca="1">IFERROR(__xludf.DUMMYFUNCTION("""COMPUTED_VALUE"""),"No")</f>
        <v>No</v>
      </c>
      <c r="AF1020" s="5" t="str">
        <f ca="1">IFERROR(__xludf.DUMMYFUNCTION("""COMPUTED_VALUE"""),"No")</f>
        <v>No</v>
      </c>
      <c r="AG1020" s="5" t="str">
        <f ca="1">IFERROR(__xludf.DUMMYFUNCTION("""COMPUTED_VALUE"""),"No")</f>
        <v>No</v>
      </c>
      <c r="AH1020" s="5"/>
    </row>
    <row r="1021" spans="1:34" ht="12.75">
      <c r="A1021" s="5" t="str">
        <f ca="1">IFERROR(__xludf.DUMMYFUNCTION("""COMPUTED_VALUE"""),"20130110CATAT")</f>
        <v>20130110CATAT</v>
      </c>
      <c r="B1021" s="8">
        <f ca="1">IFERROR(__xludf.DUMMYFUNCTION("""COMPUTED_VALUE"""),41284)</f>
        <v>41284</v>
      </c>
      <c r="C1021" s="5" t="str">
        <f ca="1">IFERROR(__xludf.DUMMYFUNCTION("""COMPUTED_VALUE"""),"Taft Union High School")</f>
        <v>Taft Union High School</v>
      </c>
      <c r="D1021" s="5">
        <f ca="1">IFERROR(__xludf.DUMMYFUNCTION("""COMPUTED_VALUE"""),0)</f>
        <v>0</v>
      </c>
      <c r="E1021" s="5">
        <f ca="1">IFERROR(__xludf.DUMMYFUNCTION("""COMPUTED_VALUE"""),2)</f>
        <v>2</v>
      </c>
      <c r="F1021" s="5">
        <f ca="1">IFERROR(__xludf.DUMMYFUNCTION("""COMPUTED_VALUE"""),2)</f>
        <v>2</v>
      </c>
      <c r="G1021" s="5">
        <f ca="1">IFERROR(__xludf.DUMMYFUNCTION("""COMPUTED_VALUE"""),0)</f>
        <v>0</v>
      </c>
      <c r="H1021"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I1021" s="5">
        <f ca="1">IFERROR(__xludf.DUMMYFUNCTION("""COMPUTED_VALUE"""),11)</f>
        <v>11</v>
      </c>
      <c r="J1021" s="5" t="str">
        <f ca="1">IFERROR(__xludf.DUMMYFUNCTION("""COMPUTED_VALUE"""),"National")</f>
        <v>National</v>
      </c>
      <c r="K1021" s="5">
        <f ca="1">IFERROR(__xludf.DUMMYFUNCTION("""COMPUTED_VALUE"""),5)</f>
        <v>5</v>
      </c>
      <c r="L1021" s="5" t="str">
        <f ca="1">IFERROR(__xludf.DUMMYFUNCTION("""COMPUTED_VALUE"""),"Winter")</f>
        <v>Winter</v>
      </c>
      <c r="M1021" s="5" t="str">
        <f ca="1">IFERROR(__xludf.DUMMYFUNCTION("""COMPUTED_VALUE"""),"Taft")</f>
        <v>Taft</v>
      </c>
      <c r="N1021" s="5" t="str">
        <f ca="1">IFERROR(__xludf.DUMMYFUNCTION("""COMPUTED_VALUE"""),"CA")</f>
        <v>CA</v>
      </c>
      <c r="O1021" s="5" t="str">
        <f ca="1">IFERROR(__xludf.DUMMYFUNCTION("""COMPUTED_VALUE"""),"High")</f>
        <v>High</v>
      </c>
      <c r="P1021" s="5" t="str">
        <f ca="1">IFERROR(__xludf.DUMMYFUNCTION("""COMPUTED_VALUE"""),"Hallway")</f>
        <v>Hallway</v>
      </c>
      <c r="Q1021" s="5" t="str">
        <f ca="1">IFERROR(__xludf.DUMMYFUNCTION("""COMPUTED_VALUE"""),"Inside School Building")</f>
        <v>Inside School Building</v>
      </c>
      <c r="R1021" s="5" t="str">
        <f ca="1">IFERROR(__xludf.DUMMYFUNCTION("""COMPUTED_VALUE"""),"Yes")</f>
        <v>Yes</v>
      </c>
      <c r="S1021" s="5" t="str">
        <f ca="1">IFERROR(__xludf.DUMMYFUNCTION("""COMPUTED_VALUE"""),"Morning Classes")</f>
        <v>Morning Classes</v>
      </c>
      <c r="T1021" s="10">
        <f ca="1">IFERROR(__xludf.DUMMYFUNCTION("""COMPUTED_VALUE"""),0.375)</f>
        <v>0.375</v>
      </c>
      <c r="U1021" s="5">
        <f ca="1">IFERROR(__xludf.DUMMYFUNCTION("""COMPUTED_VALUE"""),1)</f>
        <v>1</v>
      </c>
      <c r="V1021" s="5" t="str">
        <f ca="1">IFERROR(__xludf.DUMMYFUNCTION("""COMPUTED_VALUE"""),"Targeted shooting of bully")</f>
        <v>Targeted shooting of bully</v>
      </c>
      <c r="W1021"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X1021" s="5" t="str">
        <f ca="1">IFERROR(__xludf.DUMMYFUNCTION("""COMPUTED_VALUE"""),"Bullying")</f>
        <v>Bullying</v>
      </c>
      <c r="Y1021" s="5" t="str">
        <f ca="1">IFERROR(__xludf.DUMMYFUNCTION("""COMPUTED_VALUE"""),"Both")</f>
        <v>Both</v>
      </c>
      <c r="Z1021" s="5" t="str">
        <f ca="1">IFERROR(__xludf.DUMMYFUNCTION("""COMPUTED_VALUE"""),"No")</f>
        <v>No</v>
      </c>
      <c r="AA1021" s="5"/>
      <c r="AB1021" s="5" t="str">
        <f ca="1">IFERROR(__xludf.DUMMYFUNCTION("""COMPUTED_VALUE"""),"No")</f>
        <v>No</v>
      </c>
      <c r="AC1021" s="5" t="str">
        <f ca="1">IFERROR(__xludf.DUMMYFUNCTION("""COMPUTED_VALUE"""),"No")</f>
        <v>No</v>
      </c>
      <c r="AD1021" s="5" t="str">
        <f ca="1">IFERROR(__xludf.DUMMYFUNCTION("""COMPUTED_VALUE"""),"No")</f>
        <v>No</v>
      </c>
      <c r="AE1021" s="5" t="str">
        <f ca="1">IFERROR(__xludf.DUMMYFUNCTION("""COMPUTED_VALUE"""),"Yes")</f>
        <v>Yes</v>
      </c>
      <c r="AF1021" s="5" t="str">
        <f ca="1">IFERROR(__xludf.DUMMYFUNCTION("""COMPUTED_VALUE"""),"No")</f>
        <v>No</v>
      </c>
      <c r="AG1021" s="5" t="str">
        <f ca="1">IFERROR(__xludf.DUMMYFUNCTION("""COMPUTED_VALUE"""),"No")</f>
        <v>No</v>
      </c>
      <c r="AH1021" s="5" t="str">
        <f ca="1">IFERROR(__xludf.DUMMYFUNCTION("""COMPUTED_VALUE"""),"Yes")</f>
        <v>Yes</v>
      </c>
    </row>
    <row r="1022" spans="1:34" ht="12.75">
      <c r="A1022" s="5" t="str">
        <f ca="1">IFERROR(__xludf.DUMMYFUNCTION("""COMPUTED_VALUE"""),"20130107FLAPF")</f>
        <v>20130107FLAPF</v>
      </c>
      <c r="B1022" s="8">
        <f ca="1">IFERROR(__xludf.DUMMYFUNCTION("""COMPUTED_VALUE"""),41281)</f>
        <v>41281</v>
      </c>
      <c r="C1022" s="5" t="str">
        <f ca="1">IFERROR(__xludf.DUMMYFUNCTION("""COMPUTED_VALUE"""),"Apostolic Revival Center Christian School")</f>
        <v>Apostolic Revival Center Christian School</v>
      </c>
      <c r="D1022" s="5">
        <f ca="1">IFERROR(__xludf.DUMMYFUNCTION("""COMPUTED_VALUE"""),1)</f>
        <v>1</v>
      </c>
      <c r="E1022" s="5">
        <f ca="1">IFERROR(__xludf.DUMMYFUNCTION("""COMPUTED_VALUE"""),0)</f>
        <v>0</v>
      </c>
      <c r="F1022" s="5">
        <f ca="1">IFERROR(__xludf.DUMMYFUNCTION("""COMPUTED_VALUE"""),1)</f>
        <v>1</v>
      </c>
      <c r="G1022" s="5">
        <f ca="1">IFERROR(__xludf.DUMMYFUNCTION("""COMPUTED_VALUE"""),0)</f>
        <v>0</v>
      </c>
      <c r="H1022" s="9" t="str">
        <f ca="1">IFERROR(__xludf.DUMMYFUNCTION("""COMPUTED_VALUE"""),"https://www.usatoday.com/story/news/nation/2013/01/08/school-shooting-florida/1817149/")</f>
        <v>https://www.usatoday.com/story/news/nation/2013/01/08/school-shooting-florida/1817149/</v>
      </c>
      <c r="I1022" s="5">
        <f ca="1">IFERROR(__xludf.DUMMYFUNCTION("""COMPUTED_VALUE"""),5)</f>
        <v>5</v>
      </c>
      <c r="J1022" s="5" t="str">
        <f ca="1">IFERROR(__xludf.DUMMYFUNCTION("""COMPUTED_VALUE"""),"Local")</f>
        <v>Local</v>
      </c>
      <c r="K1022" s="5">
        <f ca="1">IFERROR(__xludf.DUMMYFUNCTION("""COMPUTED_VALUE"""),2)</f>
        <v>2</v>
      </c>
      <c r="L1022" s="5" t="str">
        <f ca="1">IFERROR(__xludf.DUMMYFUNCTION("""COMPUTED_VALUE"""),"Winter")</f>
        <v>Winter</v>
      </c>
      <c r="M1022" s="5" t="str">
        <f ca="1">IFERROR(__xludf.DUMMYFUNCTION("""COMPUTED_VALUE"""),"Fort Myers")</f>
        <v>Fort Myers</v>
      </c>
      <c r="N1022" s="5" t="str">
        <f ca="1">IFERROR(__xludf.DUMMYFUNCTION("""COMPUTED_VALUE"""),"FL")</f>
        <v>FL</v>
      </c>
      <c r="O1022" s="5" t="str">
        <f ca="1">IFERROR(__xludf.DUMMYFUNCTION("""COMPUTED_VALUE"""),"K-8")</f>
        <v>K-8</v>
      </c>
      <c r="P1022" s="5" t="str">
        <f ca="1">IFERROR(__xludf.DUMMYFUNCTION("""COMPUTED_VALUE"""),"Parking Lot")</f>
        <v>Parking Lot</v>
      </c>
      <c r="Q1022" s="5" t="str">
        <f ca="1">IFERROR(__xludf.DUMMYFUNCTION("""COMPUTED_VALUE"""),"Outside on School Property")</f>
        <v>Outside on School Property</v>
      </c>
      <c r="R1022" s="5" t="str">
        <f ca="1">IFERROR(__xludf.DUMMYFUNCTION("""COMPUTED_VALUE"""),"Yes")</f>
        <v>Yes</v>
      </c>
      <c r="S1022" s="5" t="str">
        <f ca="1">IFERROR(__xludf.DUMMYFUNCTION("""COMPUTED_VALUE"""),"Morning Classes")</f>
        <v>Morning Classes</v>
      </c>
      <c r="T1022" s="10">
        <f ca="1">IFERROR(__xludf.DUMMYFUNCTION("""COMPUTED_VALUE"""),0.458333333333333)</f>
        <v>0.45833333333333298</v>
      </c>
      <c r="U1022" s="5">
        <f ca="1">IFERROR(__xludf.DUMMYFUNCTION("""COMPUTED_VALUE"""),1)</f>
        <v>1</v>
      </c>
      <c r="V1022" s="5" t="str">
        <f ca="1">IFERROR(__xludf.DUMMYFUNCTION("""COMPUTED_VALUE"""),"Gang shooting outside of school")</f>
        <v>Gang shooting outside of school</v>
      </c>
      <c r="W1022"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X1022" s="5" t="str">
        <f ca="1">IFERROR(__xludf.DUMMYFUNCTION("""COMPUTED_VALUE"""),"Escalation of Dispute")</f>
        <v>Escalation of Dispute</v>
      </c>
      <c r="Y1022" s="5" t="str">
        <f ca="1">IFERROR(__xludf.DUMMYFUNCTION("""COMPUTED_VALUE"""),"Victims Targeted")</f>
        <v>Victims Targeted</v>
      </c>
      <c r="Z1022" s="5"/>
      <c r="AA1022" s="5"/>
      <c r="AB1022" s="5" t="str">
        <f ca="1">IFERROR(__xludf.DUMMYFUNCTION("""COMPUTED_VALUE"""),"No")</f>
        <v>No</v>
      </c>
      <c r="AC1022" s="5" t="str">
        <f ca="1">IFERROR(__xludf.DUMMYFUNCTION("""COMPUTED_VALUE"""),"No")</f>
        <v>No</v>
      </c>
      <c r="AD1022" s="5" t="str">
        <f ca="1">IFERROR(__xludf.DUMMYFUNCTION("""COMPUTED_VALUE"""),"No")</f>
        <v>No</v>
      </c>
      <c r="AE1022" s="5" t="str">
        <f ca="1">IFERROR(__xludf.DUMMYFUNCTION("""COMPUTED_VALUE"""),"N/A")</f>
        <v>N/A</v>
      </c>
      <c r="AF1022" s="5" t="str">
        <f ca="1">IFERROR(__xludf.DUMMYFUNCTION("""COMPUTED_VALUE"""),"No")</f>
        <v>No</v>
      </c>
      <c r="AG1022" s="5" t="str">
        <f ca="1">IFERROR(__xludf.DUMMYFUNCTION("""COMPUTED_VALUE"""),"Yes")</f>
        <v>Yes</v>
      </c>
      <c r="AH1022" s="5"/>
    </row>
    <row r="1023" spans="1:34" ht="12.75">
      <c r="A1023" s="5" t="str">
        <f ca="1">IFERROR(__xludf.DUMMYFUNCTION("""COMPUTED_VALUE"""),"20121214CTSAN")</f>
        <v>20121214CTSAN</v>
      </c>
      <c r="B1023" s="8">
        <f ca="1">IFERROR(__xludf.DUMMYFUNCTION("""COMPUTED_VALUE"""),41257)</f>
        <v>41257</v>
      </c>
      <c r="C1023" s="5" t="str">
        <f ca="1">IFERROR(__xludf.DUMMYFUNCTION("""COMPUTED_VALUE"""),"Sandy Hook Elementary School")</f>
        <v>Sandy Hook Elementary School</v>
      </c>
      <c r="D1023" s="5">
        <f ca="1">IFERROR(__xludf.DUMMYFUNCTION("""COMPUTED_VALUE"""),26)</f>
        <v>26</v>
      </c>
      <c r="E1023" s="5">
        <f ca="1">IFERROR(__xludf.DUMMYFUNCTION("""COMPUTED_VALUE"""),0)</f>
        <v>0</v>
      </c>
      <c r="F1023" s="5">
        <f ca="1">IFERROR(__xludf.DUMMYFUNCTION("""COMPUTED_VALUE"""),26)</f>
        <v>26</v>
      </c>
      <c r="G1023" s="5">
        <f ca="1">IFERROR(__xludf.DUMMYFUNCTION("""COMPUTED_VALUE"""),1)</f>
        <v>1</v>
      </c>
      <c r="H1023"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I1023" s="5">
        <f ca="1">IFERROR(__xludf.DUMMYFUNCTION("""COMPUTED_VALUE"""),100)</f>
        <v>100</v>
      </c>
      <c r="J1023" s="5" t="str">
        <f ca="1">IFERROR(__xludf.DUMMYFUNCTION("""COMPUTED_VALUE"""),"International")</f>
        <v>International</v>
      </c>
      <c r="K1023" s="5">
        <f ca="1">IFERROR(__xludf.DUMMYFUNCTION("""COMPUTED_VALUE"""),5)</f>
        <v>5</v>
      </c>
      <c r="L1023" s="5" t="str">
        <f ca="1">IFERROR(__xludf.DUMMYFUNCTION("""COMPUTED_VALUE"""),"Winter")</f>
        <v>Winter</v>
      </c>
      <c r="M1023" s="5" t="str">
        <f ca="1">IFERROR(__xludf.DUMMYFUNCTION("""COMPUTED_VALUE"""),"Newtown")</f>
        <v>Newtown</v>
      </c>
      <c r="N1023" s="5" t="str">
        <f ca="1">IFERROR(__xludf.DUMMYFUNCTION("""COMPUTED_VALUE"""),"CT")</f>
        <v>CT</v>
      </c>
      <c r="O1023" s="5" t="str">
        <f ca="1">IFERROR(__xludf.DUMMYFUNCTION("""COMPUTED_VALUE"""),"Elementary")</f>
        <v>Elementary</v>
      </c>
      <c r="P1023" s="5" t="str">
        <f ca="1">IFERROR(__xludf.DUMMYFUNCTION("""COMPUTED_VALUE"""),"Classroom")</f>
        <v>Classroom</v>
      </c>
      <c r="Q1023" s="5" t="str">
        <f ca="1">IFERROR(__xludf.DUMMYFUNCTION("""COMPUTED_VALUE"""),"Inside School Building")</f>
        <v>Inside School Building</v>
      </c>
      <c r="R1023" s="5" t="str">
        <f ca="1">IFERROR(__xludf.DUMMYFUNCTION("""COMPUTED_VALUE"""),"Yes")</f>
        <v>Yes</v>
      </c>
      <c r="S1023" s="5" t="str">
        <f ca="1">IFERROR(__xludf.DUMMYFUNCTION("""COMPUTED_VALUE"""),"Morning Classes")</f>
        <v>Morning Classes</v>
      </c>
      <c r="T1023" s="10">
        <f ca="1">IFERROR(__xludf.DUMMYFUNCTION("""COMPUTED_VALUE"""),0.399305555555555)</f>
        <v>0.39930555555555503</v>
      </c>
      <c r="U1023" s="5">
        <f ca="1">IFERROR(__xludf.DUMMYFUNCTION("""COMPUTED_VALUE"""),5)</f>
        <v>5</v>
      </c>
      <c r="V1023" s="5" t="str">
        <f ca="1">IFERROR(__xludf.DUMMYFUNCTION("""COMPUTED_VALUE"""),"Shooter though society was broken and mass shooting helps save children from negative influence")</f>
        <v>Shooter though society was broken and mass shooting helps save children from negative influence</v>
      </c>
      <c r="W1023"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X1023" s="5" t="str">
        <f ca="1">IFERROR(__xludf.DUMMYFUNCTION("""COMPUTED_VALUE"""),"Indiscriminate Shooting")</f>
        <v>Indiscriminate Shooting</v>
      </c>
      <c r="Y1023" s="5" t="str">
        <f ca="1">IFERROR(__xludf.DUMMYFUNCTION("""COMPUTED_VALUE"""),"Random Shooting")</f>
        <v>Random Shooting</v>
      </c>
      <c r="Z1023" s="5" t="str">
        <f ca="1">IFERROR(__xludf.DUMMYFUNCTION("""COMPUTED_VALUE"""),"No")</f>
        <v>No</v>
      </c>
      <c r="AA1023" s="5"/>
      <c r="AB1023" s="5" t="str">
        <f ca="1">IFERROR(__xludf.DUMMYFUNCTION("""COMPUTED_VALUE"""),"No")</f>
        <v>No</v>
      </c>
      <c r="AC1023" s="5" t="str">
        <f ca="1">IFERROR(__xludf.DUMMYFUNCTION("""COMPUTED_VALUE"""),"No")</f>
        <v>No</v>
      </c>
      <c r="AD1023" s="5" t="str">
        <f ca="1">IFERROR(__xludf.DUMMYFUNCTION("""COMPUTED_VALUE"""),"No")</f>
        <v>No</v>
      </c>
      <c r="AE1023" s="5"/>
      <c r="AF1023" s="5" t="str">
        <f ca="1">IFERROR(__xludf.DUMMYFUNCTION("""COMPUTED_VALUE"""),"No")</f>
        <v>No</v>
      </c>
      <c r="AG1023" s="5" t="str">
        <f ca="1">IFERROR(__xludf.DUMMYFUNCTION("""COMPUTED_VALUE"""),"No")</f>
        <v>No</v>
      </c>
      <c r="AH1023" s="5" t="str">
        <f ca="1">IFERROR(__xludf.DUMMYFUNCTION("""COMPUTED_VALUE"""),"Yes")</f>
        <v>Yes</v>
      </c>
    </row>
    <row r="1024" spans="1:34" ht="12.75">
      <c r="A1024" s="5" t="str">
        <f ca="1">IFERROR(__xludf.DUMMYFUNCTION("""COMPUTED_VALUE"""),"20121210TXSPH")</f>
        <v>20121210TXSPH</v>
      </c>
      <c r="B1024" s="8">
        <f ca="1">IFERROR(__xludf.DUMMYFUNCTION("""COMPUTED_VALUE"""),41253)</f>
        <v>41253</v>
      </c>
      <c r="C1024" s="5" t="str">
        <f ca="1">IFERROR(__xludf.DUMMYFUNCTION("""COMPUTED_VALUE"""),"Spring Woods High School")</f>
        <v>Spring Woods High School</v>
      </c>
      <c r="D1024" s="5">
        <f ca="1">IFERROR(__xludf.DUMMYFUNCTION("""COMPUTED_VALUE"""),0)</f>
        <v>0</v>
      </c>
      <c r="E1024" s="5">
        <f ca="1">IFERROR(__xludf.DUMMYFUNCTION("""COMPUTED_VALUE"""),0)</f>
        <v>0</v>
      </c>
      <c r="F1024" s="5">
        <f ca="1">IFERROR(__xludf.DUMMYFUNCTION("""COMPUTED_VALUE"""),0)</f>
        <v>0</v>
      </c>
      <c r="G1024" s="5">
        <f ca="1">IFERROR(__xludf.DUMMYFUNCTION("""COMPUTED_VALUE"""),0)</f>
        <v>0</v>
      </c>
      <c r="H1024" s="9" t="str">
        <f ca="1">IFERROR(__xludf.DUMMYFUNCTION("""COMPUTED_VALUE"""),"https://abc13.com/archive/8915159/")</f>
        <v>https://abc13.com/archive/8915159/</v>
      </c>
      <c r="I1024" s="5">
        <f ca="1">IFERROR(__xludf.DUMMYFUNCTION("""COMPUTED_VALUE"""),1)</f>
        <v>1</v>
      </c>
      <c r="J1024" s="5" t="str">
        <f ca="1">IFERROR(__xludf.DUMMYFUNCTION("""COMPUTED_VALUE"""),"Local")</f>
        <v>Local</v>
      </c>
      <c r="K1024" s="5">
        <f ca="1">IFERROR(__xludf.DUMMYFUNCTION("""COMPUTED_VALUE"""),2)</f>
        <v>2</v>
      </c>
      <c r="L1024" s="5" t="str">
        <f ca="1">IFERROR(__xludf.DUMMYFUNCTION("""COMPUTED_VALUE"""),"Winter")</f>
        <v>Winter</v>
      </c>
      <c r="M1024" s="5" t="str">
        <f ca="1">IFERROR(__xludf.DUMMYFUNCTION("""COMPUTED_VALUE"""),"Houston")</f>
        <v>Houston</v>
      </c>
      <c r="N1024" s="5" t="str">
        <f ca="1">IFERROR(__xludf.DUMMYFUNCTION("""COMPUTED_VALUE"""),"TX")</f>
        <v>TX</v>
      </c>
      <c r="O1024" s="5" t="str">
        <f ca="1">IFERROR(__xludf.DUMMYFUNCTION("""COMPUTED_VALUE"""),"High")</f>
        <v>High</v>
      </c>
      <c r="P1024" s="5" t="str">
        <f ca="1">IFERROR(__xludf.DUMMYFUNCTION("""COMPUTED_VALUE"""),"Classroom")</f>
        <v>Classroom</v>
      </c>
      <c r="Q1024" s="5" t="str">
        <f ca="1">IFERROR(__xludf.DUMMYFUNCTION("""COMPUTED_VALUE"""),"Inside School Building")</f>
        <v>Inside School Building</v>
      </c>
      <c r="R1024" s="5" t="str">
        <f ca="1">IFERROR(__xludf.DUMMYFUNCTION("""COMPUTED_VALUE"""),"Yes")</f>
        <v>Yes</v>
      </c>
      <c r="S1024" s="5" t="str">
        <f ca="1">IFERROR(__xludf.DUMMYFUNCTION("""COMPUTED_VALUE"""),"Morning Classes")</f>
        <v>Morning Classes</v>
      </c>
      <c r="T1024" s="10">
        <f ca="1">IFERROR(__xludf.DUMMYFUNCTION("""COMPUTED_VALUE"""),0.458333333333333)</f>
        <v>0.45833333333333298</v>
      </c>
      <c r="U1024" s="5">
        <f ca="1">IFERROR(__xludf.DUMMYFUNCTION("""COMPUTED_VALUE"""),1)</f>
        <v>1</v>
      </c>
      <c r="V1024" s="5" t="str">
        <f ca="1">IFERROR(__xludf.DUMMYFUNCTION("""COMPUTED_VALUE"""),"Showing off gun, accidentally fired, arrested by officer assigned to school")</f>
        <v>Showing off gun, accidentally fired, arrested by officer assigned to school</v>
      </c>
      <c r="W1024"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X1024" s="5" t="str">
        <f ca="1">IFERROR(__xludf.DUMMYFUNCTION("""COMPUTED_VALUE"""),"Accidental")</f>
        <v>Accidental</v>
      </c>
      <c r="Y1024" s="5" t="str">
        <f ca="1">IFERROR(__xludf.DUMMYFUNCTION("""COMPUTED_VALUE"""),"Neither")</f>
        <v>Neither</v>
      </c>
      <c r="Z1024" s="5" t="str">
        <f ca="1">IFERROR(__xludf.DUMMYFUNCTION("""COMPUTED_VALUE"""),"No")</f>
        <v>No</v>
      </c>
      <c r="AA1024" s="5"/>
      <c r="AB1024" s="5" t="str">
        <f ca="1">IFERROR(__xludf.DUMMYFUNCTION("""COMPUTED_VALUE"""),"No")</f>
        <v>No</v>
      </c>
      <c r="AC1024" s="5" t="str">
        <f ca="1">IFERROR(__xludf.DUMMYFUNCTION("""COMPUTED_VALUE"""),"No")</f>
        <v>No</v>
      </c>
      <c r="AD1024" s="5" t="str">
        <f ca="1">IFERROR(__xludf.DUMMYFUNCTION("""COMPUTED_VALUE"""),"No")</f>
        <v>No</v>
      </c>
      <c r="AE1024" s="5" t="str">
        <f ca="1">IFERROR(__xludf.DUMMYFUNCTION("""COMPUTED_VALUE"""),"No")</f>
        <v>No</v>
      </c>
      <c r="AF1024" s="5" t="str">
        <f ca="1">IFERROR(__xludf.DUMMYFUNCTION("""COMPUTED_VALUE"""),"No")</f>
        <v>No</v>
      </c>
      <c r="AG1024" s="5" t="str">
        <f ca="1">IFERROR(__xludf.DUMMYFUNCTION("""COMPUTED_VALUE"""),"No")</f>
        <v>No</v>
      </c>
      <c r="AH1024" s="5"/>
    </row>
    <row r="1025" spans="1:34" ht="12.75">
      <c r="A1025" s="5" t="str">
        <f ca="1">IFERROR(__xludf.DUMMYFUNCTION("""COMPUTED_VALUE"""),"20121019ILBAC")</f>
        <v>20121019ILBAC</v>
      </c>
      <c r="B1025" s="8">
        <f ca="1">IFERROR(__xludf.DUMMYFUNCTION("""COMPUTED_VALUE"""),41201)</f>
        <v>41201</v>
      </c>
      <c r="C1025" s="5" t="str">
        <f ca="1">IFERROR(__xludf.DUMMYFUNCTION("""COMPUTED_VALUE"""),"Banner Academy South")</f>
        <v>Banner Academy South</v>
      </c>
      <c r="D1025" s="5">
        <f ca="1">IFERROR(__xludf.DUMMYFUNCTION("""COMPUTED_VALUE"""),1)</f>
        <v>1</v>
      </c>
      <c r="E1025" s="5">
        <f ca="1">IFERROR(__xludf.DUMMYFUNCTION("""COMPUTED_VALUE"""),0)</f>
        <v>0</v>
      </c>
      <c r="F1025" s="5">
        <f ca="1">IFERROR(__xludf.DUMMYFUNCTION("""COMPUTED_VALUE"""),1)</f>
        <v>1</v>
      </c>
      <c r="G1025" s="5">
        <f ca="1">IFERROR(__xludf.DUMMYFUNCTION("""COMPUTED_VALUE"""),0)</f>
        <v>0</v>
      </c>
      <c r="H1025"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I1025" s="5">
        <f ca="1">IFERROR(__xludf.DUMMYFUNCTION("""COMPUTED_VALUE"""),1)</f>
        <v>1</v>
      </c>
      <c r="J1025" s="5" t="str">
        <f ca="1">IFERROR(__xludf.DUMMYFUNCTION("""COMPUTED_VALUE"""),"Local")</f>
        <v>Local</v>
      </c>
      <c r="K1025" s="5">
        <f ca="1">IFERROR(__xludf.DUMMYFUNCTION("""COMPUTED_VALUE"""),3)</f>
        <v>3</v>
      </c>
      <c r="L1025" s="5" t="str">
        <f ca="1">IFERROR(__xludf.DUMMYFUNCTION("""COMPUTED_VALUE"""),"Fall")</f>
        <v>Fall</v>
      </c>
      <c r="M1025" s="5" t="str">
        <f ca="1">IFERROR(__xludf.DUMMYFUNCTION("""COMPUTED_VALUE"""),"Chicago")</f>
        <v>Chicago</v>
      </c>
      <c r="N1025" s="5" t="str">
        <f ca="1">IFERROR(__xludf.DUMMYFUNCTION("""COMPUTED_VALUE"""),"IL")</f>
        <v>IL</v>
      </c>
      <c r="O1025" s="5" t="str">
        <f ca="1">IFERROR(__xludf.DUMMYFUNCTION("""COMPUTED_VALUE"""),"Other")</f>
        <v>Other</v>
      </c>
      <c r="P1025" s="5" t="str">
        <f ca="1">IFERROR(__xludf.DUMMYFUNCTION("""COMPUTED_VALUE"""),"Beside Building")</f>
        <v>Beside Building</v>
      </c>
      <c r="Q1025" s="5" t="str">
        <f ca="1">IFERROR(__xludf.DUMMYFUNCTION("""COMPUTED_VALUE"""),"Outside on School Property")</f>
        <v>Outside on School Property</v>
      </c>
      <c r="R1025" s="5" t="str">
        <f ca="1">IFERROR(__xludf.DUMMYFUNCTION("""COMPUTED_VALUE"""),"No")</f>
        <v>No</v>
      </c>
      <c r="S1025" s="5" t="str">
        <f ca="1">IFERROR(__xludf.DUMMYFUNCTION("""COMPUTED_VALUE"""),"After School")</f>
        <v>After School</v>
      </c>
      <c r="T1025" s="5"/>
      <c r="U1025" s="5"/>
      <c r="V1025" s="5" t="str">
        <f ca="1">IFERROR(__xludf.DUMMYFUNCTION("""COMPUTED_VALUE"""),"Victim shot during robbery")</f>
        <v>Victim shot during robbery</v>
      </c>
      <c r="W1025"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X1025" s="5" t="str">
        <f ca="1">IFERROR(__xludf.DUMMYFUNCTION("""COMPUTED_VALUE"""),"Illegal Activity")</f>
        <v>Illegal Activity</v>
      </c>
      <c r="Y1025" s="5" t="str">
        <f ca="1">IFERROR(__xludf.DUMMYFUNCTION("""COMPUTED_VALUE"""),"Victims Targeted")</f>
        <v>Victims Targeted</v>
      </c>
      <c r="Z1025" s="5" t="str">
        <f ca="1">IFERROR(__xludf.DUMMYFUNCTION("""COMPUTED_VALUE"""),"Yes")</f>
        <v>Yes</v>
      </c>
      <c r="AA1025" s="5" t="str">
        <f ca="1">IFERROR(__xludf.DUMMYFUNCTION("""COMPUTED_VALUE"""),"Jarone Carter 16")</f>
        <v>Jarone Carter 16</v>
      </c>
      <c r="AB1025" s="5" t="str">
        <f ca="1">IFERROR(__xludf.DUMMYFUNCTION("""COMPUTED_VALUE"""),"No")</f>
        <v>No</v>
      </c>
      <c r="AC1025" s="5" t="str">
        <f ca="1">IFERROR(__xludf.DUMMYFUNCTION("""COMPUTED_VALUE"""),"No")</f>
        <v>No</v>
      </c>
      <c r="AD1025" s="5" t="str">
        <f ca="1">IFERROR(__xludf.DUMMYFUNCTION("""COMPUTED_VALUE"""),"No")</f>
        <v>No</v>
      </c>
      <c r="AE1025" s="5" t="str">
        <f ca="1">IFERROR(__xludf.DUMMYFUNCTION("""COMPUTED_VALUE"""),"No")</f>
        <v>No</v>
      </c>
      <c r="AF1025" s="5" t="str">
        <f ca="1">IFERROR(__xludf.DUMMYFUNCTION("""COMPUTED_VALUE"""),"No")</f>
        <v>No</v>
      </c>
      <c r="AG1025" s="5" t="str">
        <f ca="1">IFERROR(__xludf.DUMMYFUNCTION("""COMPUTED_VALUE"""),"No")</f>
        <v>No</v>
      </c>
      <c r="AH1025" s="5"/>
    </row>
    <row r="1026" spans="1:34" ht="12.75">
      <c r="A1026" s="5" t="str">
        <f ca="1">IFERROR(__xludf.DUMMYFUNCTION("""COMPUTED_VALUE"""),"20121012NDFAF")</f>
        <v>20121012NDFAF</v>
      </c>
      <c r="B1026" s="8">
        <f ca="1">IFERROR(__xludf.DUMMYFUNCTION("""COMPUTED_VALUE"""),41194)</f>
        <v>41194</v>
      </c>
      <c r="C1026" s="5" t="str">
        <f ca="1">IFERROR(__xludf.DUMMYFUNCTION("""COMPUTED_VALUE"""),"Fairmount Public School")</f>
        <v>Fairmount Public School</v>
      </c>
      <c r="D1026" s="5">
        <f ca="1">IFERROR(__xludf.DUMMYFUNCTION("""COMPUTED_VALUE"""),0)</f>
        <v>0</v>
      </c>
      <c r="E1026" s="5">
        <f ca="1">IFERROR(__xludf.DUMMYFUNCTION("""COMPUTED_VALUE"""),0)</f>
        <v>0</v>
      </c>
      <c r="F1026" s="5">
        <f ca="1">IFERROR(__xludf.DUMMYFUNCTION("""COMPUTED_VALUE"""),0)</f>
        <v>0</v>
      </c>
      <c r="G1026" s="5">
        <f ca="1">IFERROR(__xludf.DUMMYFUNCTION("""COMPUTED_VALUE"""),0)</f>
        <v>0</v>
      </c>
      <c r="H1026"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I1026" s="5"/>
      <c r="J1026" s="5"/>
      <c r="K1026" s="5">
        <f ca="1">IFERROR(__xludf.DUMMYFUNCTION("""COMPUTED_VALUE"""),3)</f>
        <v>3</v>
      </c>
      <c r="L1026" s="5" t="str">
        <f ca="1">IFERROR(__xludf.DUMMYFUNCTION("""COMPUTED_VALUE"""),"Fall")</f>
        <v>Fall</v>
      </c>
      <c r="M1026" s="5" t="str">
        <f ca="1">IFERROR(__xludf.DUMMYFUNCTION("""COMPUTED_VALUE"""),"Fairmont")</f>
        <v>Fairmont</v>
      </c>
      <c r="N1026" s="5" t="str">
        <f ca="1">IFERROR(__xludf.DUMMYFUNCTION("""COMPUTED_VALUE"""),"ND")</f>
        <v>ND</v>
      </c>
      <c r="O1026" s="5" t="str">
        <f ca="1">IFERROR(__xludf.DUMMYFUNCTION("""COMPUTED_VALUE"""),"High")</f>
        <v>High</v>
      </c>
      <c r="P1026" s="5" t="str">
        <f ca="1">IFERROR(__xludf.DUMMYFUNCTION("""COMPUTED_VALUE"""),"Classroom")</f>
        <v>Classroom</v>
      </c>
      <c r="Q1026" s="5" t="str">
        <f ca="1">IFERROR(__xludf.DUMMYFUNCTION("""COMPUTED_VALUE"""),"Inside School Building")</f>
        <v>Inside School Building</v>
      </c>
      <c r="R1026" s="5" t="str">
        <f ca="1">IFERROR(__xludf.DUMMYFUNCTION("""COMPUTED_VALUE"""),"Yes")</f>
        <v>Yes</v>
      </c>
      <c r="S1026" s="5" t="str">
        <f ca="1">IFERROR(__xludf.DUMMYFUNCTION("""COMPUTED_VALUE"""),"Morning Classes")</f>
        <v>Morning Classes</v>
      </c>
      <c r="T1026" s="5"/>
      <c r="U1026" s="5">
        <f ca="1">IFERROR(__xludf.DUMMYFUNCTION("""COMPUTED_VALUE"""),1)</f>
        <v>1</v>
      </c>
      <c r="V1026" s="5" t="str">
        <f ca="1">IFERROR(__xludf.DUMMYFUNCTION("""COMPUTED_VALUE"""),"Student shot self in the front of the classroom")</f>
        <v>Student shot self in the front of the classroom</v>
      </c>
      <c r="W1026"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X1026" s="5" t="str">
        <f ca="1">IFERROR(__xludf.DUMMYFUNCTION("""COMPUTED_VALUE"""),"Suicide/Attempted")</f>
        <v>Suicide/Attempted</v>
      </c>
      <c r="Y1026" s="5" t="str">
        <f ca="1">IFERROR(__xludf.DUMMYFUNCTION("""COMPUTED_VALUE"""),"Victims Targeted")</f>
        <v>Victims Targeted</v>
      </c>
      <c r="Z1026" s="5" t="str">
        <f ca="1">IFERROR(__xludf.DUMMYFUNCTION("""COMPUTED_VALUE"""),"No")</f>
        <v>No</v>
      </c>
      <c r="AA1026" s="5"/>
      <c r="AB1026" s="5" t="str">
        <f ca="1">IFERROR(__xludf.DUMMYFUNCTION("""COMPUTED_VALUE"""),"No")</f>
        <v>No</v>
      </c>
      <c r="AC1026" s="5" t="str">
        <f ca="1">IFERROR(__xludf.DUMMYFUNCTION("""COMPUTED_VALUE"""),"No")</f>
        <v>No</v>
      </c>
      <c r="AD1026" s="5" t="str">
        <f ca="1">IFERROR(__xludf.DUMMYFUNCTION("""COMPUTED_VALUE"""),"No")</f>
        <v>No</v>
      </c>
      <c r="AE1026" s="5" t="str">
        <f ca="1">IFERROR(__xludf.DUMMYFUNCTION("""COMPUTED_VALUE"""),"No")</f>
        <v>No</v>
      </c>
      <c r="AF1026" s="5" t="str">
        <f ca="1">IFERROR(__xludf.DUMMYFUNCTION("""COMPUTED_VALUE"""),"No")</f>
        <v>No</v>
      </c>
      <c r="AG1026" s="5" t="str">
        <f ca="1">IFERROR(__xludf.DUMMYFUNCTION("""COMPUTED_VALUE"""),"No")</f>
        <v>No</v>
      </c>
      <c r="AH1026" s="5"/>
    </row>
    <row r="1027" spans="1:34" ht="12.75">
      <c r="A1027" s="5" t="str">
        <f ca="1">IFERROR(__xludf.DUMMYFUNCTION("""COMPUTED_VALUE"""),"20120926OKSTS")</f>
        <v>20120926OKSTS</v>
      </c>
      <c r="B1027" s="8">
        <f ca="1">IFERROR(__xludf.DUMMYFUNCTION("""COMPUTED_VALUE"""),41178)</f>
        <v>41178</v>
      </c>
      <c r="C1027" s="5" t="str">
        <f ca="1">IFERROR(__xludf.DUMMYFUNCTION("""COMPUTED_VALUE"""),"Stillwater Junior High School")</f>
        <v>Stillwater Junior High School</v>
      </c>
      <c r="D1027" s="5">
        <f ca="1">IFERROR(__xludf.DUMMYFUNCTION("""COMPUTED_VALUE"""),0)</f>
        <v>0</v>
      </c>
      <c r="E1027" s="5">
        <f ca="1">IFERROR(__xludf.DUMMYFUNCTION("""COMPUTED_VALUE"""),0)</f>
        <v>0</v>
      </c>
      <c r="F1027" s="5">
        <f ca="1">IFERROR(__xludf.DUMMYFUNCTION("""COMPUTED_VALUE"""),0)</f>
        <v>0</v>
      </c>
      <c r="G1027" s="5">
        <f ca="1">IFERROR(__xludf.DUMMYFUNCTION("""COMPUTED_VALUE"""),1)</f>
        <v>1</v>
      </c>
      <c r="H1027" s="9" t="str">
        <f ca="1">IFERROR(__xludf.DUMMYFUNCTION("""COMPUTED_VALUE"""),"https://www.newspapers.com/image/452822197")</f>
        <v>https://www.newspapers.com/image/452822197</v>
      </c>
      <c r="I1027" s="5">
        <f ca="1">IFERROR(__xludf.DUMMYFUNCTION("""COMPUTED_VALUE"""),11)</f>
        <v>11</v>
      </c>
      <c r="J1027" s="5" t="str">
        <f ca="1">IFERROR(__xludf.DUMMYFUNCTION("""COMPUTED_VALUE"""),"National")</f>
        <v>National</v>
      </c>
      <c r="K1027" s="5">
        <f ca="1">IFERROR(__xludf.DUMMYFUNCTION("""COMPUTED_VALUE"""),3)</f>
        <v>3</v>
      </c>
      <c r="L1027" s="5" t="str">
        <f ca="1">IFERROR(__xludf.DUMMYFUNCTION("""COMPUTED_VALUE"""),"Fall")</f>
        <v>Fall</v>
      </c>
      <c r="M1027" s="5" t="str">
        <f ca="1">IFERROR(__xludf.DUMMYFUNCTION("""COMPUTED_VALUE"""),"Stillwater")</f>
        <v>Stillwater</v>
      </c>
      <c r="N1027" s="5" t="str">
        <f ca="1">IFERROR(__xludf.DUMMYFUNCTION("""COMPUTED_VALUE"""),"OK")</f>
        <v>OK</v>
      </c>
      <c r="O1027" s="5" t="str">
        <f ca="1">IFERROR(__xludf.DUMMYFUNCTION("""COMPUTED_VALUE"""),"Junior High")</f>
        <v>Junior High</v>
      </c>
      <c r="P1027" s="5" t="str">
        <f ca="1">IFERROR(__xludf.DUMMYFUNCTION("""COMPUTED_VALUE"""),"Hallway")</f>
        <v>Hallway</v>
      </c>
      <c r="Q1027" s="5" t="str">
        <f ca="1">IFERROR(__xludf.DUMMYFUNCTION("""COMPUTED_VALUE"""),"Inside School Building")</f>
        <v>Inside School Building</v>
      </c>
      <c r="R1027" s="5" t="str">
        <f ca="1">IFERROR(__xludf.DUMMYFUNCTION("""COMPUTED_VALUE"""),"Yes")</f>
        <v>Yes</v>
      </c>
      <c r="S1027" s="5" t="str">
        <f ca="1">IFERROR(__xludf.DUMMYFUNCTION("""COMPUTED_VALUE"""),"Before School")</f>
        <v>Before School</v>
      </c>
      <c r="T1027" s="10">
        <f ca="1">IFERROR(__xludf.DUMMYFUNCTION("""COMPUTED_VALUE"""),0.326388888888888)</f>
        <v>0.32638888888888801</v>
      </c>
      <c r="U1027" s="5">
        <f ca="1">IFERROR(__xludf.DUMMYFUNCTION("""COMPUTED_VALUE"""),1)</f>
        <v>1</v>
      </c>
      <c r="V1027" s="5" t="str">
        <f ca="1">IFERROR(__xludf.DUMMYFUNCTION("""COMPUTED_VALUE"""),"Suicide in school hallway following bullying")</f>
        <v>Suicide in school hallway following bullying</v>
      </c>
      <c r="W1027"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X1027" s="5" t="str">
        <f ca="1">IFERROR(__xludf.DUMMYFUNCTION("""COMPUTED_VALUE"""),"Suicide/Attempted")</f>
        <v>Suicide/Attempted</v>
      </c>
      <c r="Y1027" s="5" t="str">
        <f ca="1">IFERROR(__xludf.DUMMYFUNCTION("""COMPUTED_VALUE"""),"Victims Targeted")</f>
        <v>Victims Targeted</v>
      </c>
      <c r="Z1027" s="5" t="str">
        <f ca="1">IFERROR(__xludf.DUMMYFUNCTION("""COMPUTED_VALUE"""),"No")</f>
        <v>No</v>
      </c>
      <c r="AA1027" s="5"/>
      <c r="AB1027" s="5" t="str">
        <f ca="1">IFERROR(__xludf.DUMMYFUNCTION("""COMPUTED_VALUE"""),"No")</f>
        <v>No</v>
      </c>
      <c r="AC1027" s="5" t="str">
        <f ca="1">IFERROR(__xludf.DUMMYFUNCTION("""COMPUTED_VALUE"""),"No")</f>
        <v>No</v>
      </c>
      <c r="AD1027" s="5" t="str">
        <f ca="1">IFERROR(__xludf.DUMMYFUNCTION("""COMPUTED_VALUE"""),"No")</f>
        <v>No</v>
      </c>
      <c r="AE1027" s="5" t="str">
        <f ca="1">IFERROR(__xludf.DUMMYFUNCTION("""COMPUTED_VALUE"""),"No")</f>
        <v>No</v>
      </c>
      <c r="AF1027" s="5" t="str">
        <f ca="1">IFERROR(__xludf.DUMMYFUNCTION("""COMPUTED_VALUE"""),"No")</f>
        <v>No</v>
      </c>
      <c r="AG1027" s="5" t="str">
        <f ca="1">IFERROR(__xludf.DUMMYFUNCTION("""COMPUTED_VALUE"""),"No")</f>
        <v>No</v>
      </c>
      <c r="AH1027" s="5"/>
    </row>
    <row r="1028" spans="1:34" ht="12.75">
      <c r="A1028" s="5" t="str">
        <f ca="1">IFERROR(__xludf.DUMMYFUNCTION("""COMPUTED_VALUE"""),"20120907ILNON")</f>
        <v>20120907ILNON</v>
      </c>
      <c r="B1028" s="8">
        <f ca="1">IFERROR(__xludf.DUMMYFUNCTION("""COMPUTED_VALUE"""),41159)</f>
        <v>41159</v>
      </c>
      <c r="C1028" s="5" t="str">
        <f ca="1">IFERROR(__xludf.DUMMYFUNCTION("""COMPUTED_VALUE"""),"Normal Community High School")</f>
        <v>Normal Community High School</v>
      </c>
      <c r="D1028" s="5">
        <f ca="1">IFERROR(__xludf.DUMMYFUNCTION("""COMPUTED_VALUE"""),0)</f>
        <v>0</v>
      </c>
      <c r="E1028" s="5">
        <f ca="1">IFERROR(__xludf.DUMMYFUNCTION("""COMPUTED_VALUE"""),0)</f>
        <v>0</v>
      </c>
      <c r="F1028" s="5">
        <f ca="1">IFERROR(__xludf.DUMMYFUNCTION("""COMPUTED_VALUE"""),0)</f>
        <v>0</v>
      </c>
      <c r="G1028" s="5">
        <f ca="1">IFERROR(__xludf.DUMMYFUNCTION("""COMPUTED_VALUE"""),0)</f>
        <v>0</v>
      </c>
      <c r="H1028" s="9" t="str">
        <f ca="1">IFERROR(__xludf.DUMMYFUNCTION("""COMPUTED_VALUE"""),"http://www.pantagraph.com/news/local/crime-and-courts/boy-gets-juvenile-prison-term-for-nchs-shooting/article_6ddfd6ea-85e1-11e2-aff0-0019bb2963f4.html")</f>
        <v>http://www.pantagraph.com/news/local/crime-and-courts/boy-gets-juvenile-prison-term-for-nchs-shooting/article_6ddfd6ea-85e1-11e2-aff0-0019bb2963f4.html</v>
      </c>
      <c r="I1028" s="5">
        <f ca="1">IFERROR(__xludf.DUMMYFUNCTION("""COMPUTED_VALUE"""),5)</f>
        <v>5</v>
      </c>
      <c r="J1028" s="5" t="str">
        <f ca="1">IFERROR(__xludf.DUMMYFUNCTION("""COMPUTED_VALUE"""),"Regional")</f>
        <v>Regional</v>
      </c>
      <c r="K1028" s="5">
        <f ca="1">IFERROR(__xludf.DUMMYFUNCTION("""COMPUTED_VALUE"""),3)</f>
        <v>3</v>
      </c>
      <c r="L1028" s="5" t="str">
        <f ca="1">IFERROR(__xludf.DUMMYFUNCTION("""COMPUTED_VALUE"""),"Fall")</f>
        <v>Fall</v>
      </c>
      <c r="M1028" s="5" t="str">
        <f ca="1">IFERROR(__xludf.DUMMYFUNCTION("""COMPUTED_VALUE"""),"Normal")</f>
        <v>Normal</v>
      </c>
      <c r="N1028" s="5" t="str">
        <f ca="1">IFERROR(__xludf.DUMMYFUNCTION("""COMPUTED_VALUE"""),"IL")</f>
        <v>IL</v>
      </c>
      <c r="O1028" s="5" t="str">
        <f ca="1">IFERROR(__xludf.DUMMYFUNCTION("""COMPUTED_VALUE"""),"High")</f>
        <v>High</v>
      </c>
      <c r="P1028" s="5" t="str">
        <f ca="1">IFERROR(__xludf.DUMMYFUNCTION("""COMPUTED_VALUE"""),"Classroom")</f>
        <v>Classroom</v>
      </c>
      <c r="Q1028" s="5" t="str">
        <f ca="1">IFERROR(__xludf.DUMMYFUNCTION("""COMPUTED_VALUE"""),"Inside School Building")</f>
        <v>Inside School Building</v>
      </c>
      <c r="R1028" s="5" t="str">
        <f ca="1">IFERROR(__xludf.DUMMYFUNCTION("""COMPUTED_VALUE"""),"Yes")</f>
        <v>Yes</v>
      </c>
      <c r="S1028" s="5" t="str">
        <f ca="1">IFERROR(__xludf.DUMMYFUNCTION("""COMPUTED_VALUE"""),"Morning Classes")</f>
        <v>Morning Classes</v>
      </c>
      <c r="T1028" s="10">
        <f ca="1">IFERROR(__xludf.DUMMYFUNCTION("""COMPUTED_VALUE"""),0.333333333333333)</f>
        <v>0.33333333333333298</v>
      </c>
      <c r="U1028" s="5"/>
      <c r="V1028" s="5" t="str">
        <f ca="1">IFERROR(__xludf.DUMMYFUNCTION("""COMPUTED_VALUE"""),"Fired shots into ceiling and held class hostage")</f>
        <v>Fired shots into ceiling and held class hostage</v>
      </c>
      <c r="W1028"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X1028" s="5" t="str">
        <f ca="1">IFERROR(__xludf.DUMMYFUNCTION("""COMPUTED_VALUE"""),"Hostage/Standoff")</f>
        <v>Hostage/Standoff</v>
      </c>
      <c r="Y1028" s="5" t="str">
        <f ca="1">IFERROR(__xludf.DUMMYFUNCTION("""COMPUTED_VALUE"""),"Neither")</f>
        <v>Neither</v>
      </c>
      <c r="Z1028" s="5" t="str">
        <f ca="1">IFERROR(__xludf.DUMMYFUNCTION("""COMPUTED_VALUE"""),"No")</f>
        <v>No</v>
      </c>
      <c r="AA1028" s="5"/>
      <c r="AB1028" s="5" t="str">
        <f ca="1">IFERROR(__xludf.DUMMYFUNCTION("""COMPUTED_VALUE"""),"Yes")</f>
        <v>Yes</v>
      </c>
      <c r="AC1028" s="5" t="str">
        <f ca="1">IFERROR(__xludf.DUMMYFUNCTION("""COMPUTED_VALUE"""),"No")</f>
        <v>No</v>
      </c>
      <c r="AD1028" s="5" t="str">
        <f ca="1">IFERROR(__xludf.DUMMYFUNCTION("""COMPUTED_VALUE"""),"No")</f>
        <v>No</v>
      </c>
      <c r="AE1028" s="5" t="str">
        <f ca="1">IFERROR(__xludf.DUMMYFUNCTION("""COMPUTED_VALUE"""),"Yes")</f>
        <v>Yes</v>
      </c>
      <c r="AF1028" s="5" t="str">
        <f ca="1">IFERROR(__xludf.DUMMYFUNCTION("""COMPUTED_VALUE"""),"No")</f>
        <v>No</v>
      </c>
      <c r="AG1028" s="5" t="str">
        <f ca="1">IFERROR(__xludf.DUMMYFUNCTION("""COMPUTED_VALUE"""),"No")</f>
        <v>No</v>
      </c>
      <c r="AH1028" s="5" t="str">
        <f ca="1">IFERROR(__xludf.DUMMYFUNCTION("""COMPUTED_VALUE"""),"Yes")</f>
        <v>Yes</v>
      </c>
    </row>
    <row r="1029" spans="1:34" ht="12.75">
      <c r="A1029" s="5" t="str">
        <f ca="1">IFERROR(__xludf.DUMMYFUNCTION("""COMPUTED_VALUE"""),"20120827MDPEP")</f>
        <v>20120827MDPEP</v>
      </c>
      <c r="B1029" s="8">
        <f ca="1">IFERROR(__xludf.DUMMYFUNCTION("""COMPUTED_VALUE"""),41148)</f>
        <v>41148</v>
      </c>
      <c r="C1029" s="5" t="str">
        <f ca="1">IFERROR(__xludf.DUMMYFUNCTION("""COMPUTED_VALUE"""),"Perry Hall High School")</f>
        <v>Perry Hall High School</v>
      </c>
      <c r="D1029" s="5">
        <f ca="1">IFERROR(__xludf.DUMMYFUNCTION("""COMPUTED_VALUE"""),0)</f>
        <v>0</v>
      </c>
      <c r="E1029" s="5">
        <f ca="1">IFERROR(__xludf.DUMMYFUNCTION("""COMPUTED_VALUE"""),1)</f>
        <v>1</v>
      </c>
      <c r="F1029" s="5">
        <f ca="1">IFERROR(__xludf.DUMMYFUNCTION("""COMPUTED_VALUE"""),1)</f>
        <v>1</v>
      </c>
      <c r="G1029" s="5">
        <f ca="1">IFERROR(__xludf.DUMMYFUNCTION("""COMPUTED_VALUE"""),0)</f>
        <v>0</v>
      </c>
      <c r="H1029"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I1029" s="5">
        <f ca="1">IFERROR(__xludf.DUMMYFUNCTION("""COMPUTED_VALUE"""),100)</f>
        <v>100</v>
      </c>
      <c r="J1029" s="5" t="str">
        <f ca="1">IFERROR(__xludf.DUMMYFUNCTION("""COMPUTED_VALUE"""),"International")</f>
        <v>International</v>
      </c>
      <c r="K1029" s="5">
        <f ca="1">IFERROR(__xludf.DUMMYFUNCTION("""COMPUTED_VALUE"""),5)</f>
        <v>5</v>
      </c>
      <c r="L1029" s="5" t="str">
        <f ca="1">IFERROR(__xludf.DUMMYFUNCTION("""COMPUTED_VALUE"""),"Summer")</f>
        <v>Summer</v>
      </c>
      <c r="M1029" s="5" t="str">
        <f ca="1">IFERROR(__xludf.DUMMYFUNCTION("""COMPUTED_VALUE"""),"Perry Hall")</f>
        <v>Perry Hall</v>
      </c>
      <c r="N1029" s="5" t="str">
        <f ca="1">IFERROR(__xludf.DUMMYFUNCTION("""COMPUTED_VALUE"""),"MD")</f>
        <v>MD</v>
      </c>
      <c r="O1029" s="5" t="str">
        <f ca="1">IFERROR(__xludf.DUMMYFUNCTION("""COMPUTED_VALUE"""),"High")</f>
        <v>High</v>
      </c>
      <c r="P1029" s="5" t="str">
        <f ca="1">IFERROR(__xludf.DUMMYFUNCTION("""COMPUTED_VALUE"""),"Cafeteria")</f>
        <v>Cafeteria</v>
      </c>
      <c r="Q1029" s="5" t="str">
        <f ca="1">IFERROR(__xludf.DUMMYFUNCTION("""COMPUTED_VALUE"""),"Inside School Building")</f>
        <v>Inside School Building</v>
      </c>
      <c r="R1029" s="5" t="str">
        <f ca="1">IFERROR(__xludf.DUMMYFUNCTION("""COMPUTED_VALUE"""),"Yes")</f>
        <v>Yes</v>
      </c>
      <c r="S1029" s="5" t="str">
        <f ca="1">IFERROR(__xludf.DUMMYFUNCTION("""COMPUTED_VALUE"""),"Morning Classes")</f>
        <v>Morning Classes</v>
      </c>
      <c r="T1029" s="10">
        <f ca="1">IFERROR(__xludf.DUMMYFUNCTION("""COMPUTED_VALUE"""),0.447916666666666)</f>
        <v>0.44791666666666602</v>
      </c>
      <c r="U1029" s="5">
        <f ca="1">IFERROR(__xludf.DUMMYFUNCTION("""COMPUTED_VALUE"""),1)</f>
        <v>1</v>
      </c>
      <c r="V1029" s="5" t="str">
        <f ca="1">IFERROR(__xludf.DUMMYFUNCTION("""COMPUTED_VALUE"""),"Fired shotgun in cafeteria, tackled by school employee and other students")</f>
        <v>Fired shotgun in cafeteria, tackled by school employee and other students</v>
      </c>
      <c r="W1029"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X1029" s="5" t="str">
        <f ca="1">IFERROR(__xludf.DUMMYFUNCTION("""COMPUTED_VALUE"""),"Indiscriminate Shooting")</f>
        <v>Indiscriminate Shooting</v>
      </c>
      <c r="Y1029" s="5" t="str">
        <f ca="1">IFERROR(__xludf.DUMMYFUNCTION("""COMPUTED_VALUE"""),"Random Shooting")</f>
        <v>Random Shooting</v>
      </c>
      <c r="Z1029" s="5" t="str">
        <f ca="1">IFERROR(__xludf.DUMMYFUNCTION("""COMPUTED_VALUE"""),"No")</f>
        <v>No</v>
      </c>
      <c r="AA1029" s="5"/>
      <c r="AB1029" s="5" t="str">
        <f ca="1">IFERROR(__xludf.DUMMYFUNCTION("""COMPUTED_VALUE"""),"No")</f>
        <v>No</v>
      </c>
      <c r="AC1029" s="5" t="str">
        <f ca="1">IFERROR(__xludf.DUMMYFUNCTION("""COMPUTED_VALUE"""),"No")</f>
        <v>No</v>
      </c>
      <c r="AD1029" s="5" t="str">
        <f ca="1">IFERROR(__xludf.DUMMYFUNCTION("""COMPUTED_VALUE"""),"No")</f>
        <v>No</v>
      </c>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IFERROR(__xludf.DUMMYFUNCTION("""COMPUTED_VALUE"""),"Yes")</f>
        <v>Yes</v>
      </c>
    </row>
    <row r="1030" spans="1:34" ht="12.75">
      <c r="A1030" s="5" t="str">
        <f ca="1">IFERROR(__xludf.DUMMYFUNCTION("""COMPUTED_VALUE"""),"20120824GABAH")</f>
        <v>20120824GABAH</v>
      </c>
      <c r="B1030" s="8">
        <f ca="1">IFERROR(__xludf.DUMMYFUNCTION("""COMPUTED_VALUE"""),41145)</f>
        <v>41145</v>
      </c>
      <c r="C1030" s="5" t="str">
        <f ca="1">IFERROR(__xludf.DUMMYFUNCTION("""COMPUTED_VALUE"""),"Banks County High School")</f>
        <v>Banks County High School</v>
      </c>
      <c r="D1030" s="5">
        <f ca="1">IFERROR(__xludf.DUMMYFUNCTION("""COMPUTED_VALUE"""),0)</f>
        <v>0</v>
      </c>
      <c r="E1030" s="5">
        <f ca="1">IFERROR(__xludf.DUMMYFUNCTION("""COMPUTED_VALUE"""),0)</f>
        <v>0</v>
      </c>
      <c r="F1030" s="5">
        <f ca="1">IFERROR(__xludf.DUMMYFUNCTION("""COMPUTED_VALUE"""),0)</f>
        <v>0</v>
      </c>
      <c r="G1030" s="5">
        <f ca="1">IFERROR(__xludf.DUMMYFUNCTION("""COMPUTED_VALUE"""),1)</f>
        <v>1</v>
      </c>
      <c r="H1030" s="9" t="str">
        <f ca="1">IFERROR(__xludf.DUMMYFUNCTION("""COMPUTED_VALUE"""),"https://921wlhr.com/banks-county-hs-students-mourn-loss-of-two-classmates/")</f>
        <v>https://921wlhr.com/banks-county-hs-students-mourn-loss-of-two-classmates/</v>
      </c>
      <c r="I1030" s="5"/>
      <c r="J1030" s="5"/>
      <c r="K1030" s="5">
        <f ca="1">IFERROR(__xludf.DUMMYFUNCTION("""COMPUTED_VALUE"""),3)</f>
        <v>3</v>
      </c>
      <c r="L1030" s="5" t="str">
        <f ca="1">IFERROR(__xludf.DUMMYFUNCTION("""COMPUTED_VALUE"""),"Summer")</f>
        <v>Summer</v>
      </c>
      <c r="M1030" s="5" t="str">
        <f ca="1">IFERROR(__xludf.DUMMYFUNCTION("""COMPUTED_VALUE"""),"Homer")</f>
        <v>Homer</v>
      </c>
      <c r="N1030" s="5" t="str">
        <f ca="1">IFERROR(__xludf.DUMMYFUNCTION("""COMPUTED_VALUE"""),"GA")</f>
        <v>GA</v>
      </c>
      <c r="O1030" s="5" t="str">
        <f ca="1">IFERROR(__xludf.DUMMYFUNCTION("""COMPUTED_VALUE"""),"High")</f>
        <v>High</v>
      </c>
      <c r="P1030" s="5" t="str">
        <f ca="1">IFERROR(__xludf.DUMMYFUNCTION("""COMPUTED_VALUE"""),"Bathroom")</f>
        <v>Bathroom</v>
      </c>
      <c r="Q1030" s="5" t="str">
        <f ca="1">IFERROR(__xludf.DUMMYFUNCTION("""COMPUTED_VALUE"""),"Inside School Building")</f>
        <v>Inside School Building</v>
      </c>
      <c r="R1030" s="5" t="str">
        <f ca="1">IFERROR(__xludf.DUMMYFUNCTION("""COMPUTED_VALUE"""),"Yes")</f>
        <v>Yes</v>
      </c>
      <c r="S1030" s="5" t="str">
        <f ca="1">IFERROR(__xludf.DUMMYFUNCTION("""COMPUTED_VALUE"""),"Morning Classes")</f>
        <v>Morning Classes</v>
      </c>
      <c r="T1030" s="10">
        <f ca="1">IFERROR(__xludf.DUMMYFUNCTION("""COMPUTED_VALUE"""),0.333333333333333)</f>
        <v>0.33333333333333298</v>
      </c>
      <c r="U1030" s="5">
        <f ca="1">IFERROR(__xludf.DUMMYFUNCTION("""COMPUTED_VALUE"""),1)</f>
        <v>1</v>
      </c>
      <c r="V1030" s="5" t="str">
        <f ca="1">IFERROR(__xludf.DUMMYFUNCTION("""COMPUTED_VALUE"""),"15 YOM student shot self in school bathroom")</f>
        <v>15 YOM student shot self in school bathroom</v>
      </c>
      <c r="W1030"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X1030" s="5" t="str">
        <f ca="1">IFERROR(__xludf.DUMMYFUNCTION("""COMPUTED_VALUE"""),"Suicide/Attempted")</f>
        <v>Suicide/Attempted</v>
      </c>
      <c r="Y1030" s="5" t="str">
        <f ca="1">IFERROR(__xludf.DUMMYFUNCTION("""COMPUTED_VALUE"""),"Victims Targeted")</f>
        <v>Victims Targeted</v>
      </c>
      <c r="Z1030" s="5" t="str">
        <f ca="1">IFERROR(__xludf.DUMMYFUNCTION("""COMPUTED_VALUE"""),"No")</f>
        <v>No</v>
      </c>
      <c r="AA1030" s="5"/>
      <c r="AB1030" s="5" t="str">
        <f ca="1">IFERROR(__xludf.DUMMYFUNCTION("""COMPUTED_VALUE"""),"No")</f>
        <v>No</v>
      </c>
      <c r="AC1030" s="5" t="str">
        <f ca="1">IFERROR(__xludf.DUMMYFUNCTION("""COMPUTED_VALUE"""),"No")</f>
        <v>No</v>
      </c>
      <c r="AD1030" s="5" t="str">
        <f ca="1">IFERROR(__xludf.DUMMYFUNCTION("""COMPUTED_VALUE"""),"No")</f>
        <v>No</v>
      </c>
      <c r="AE1030" s="5"/>
      <c r="AF1030" s="5" t="str">
        <f ca="1">IFERROR(__xludf.DUMMYFUNCTION("""COMPUTED_VALUE"""),"No")</f>
        <v>No</v>
      </c>
      <c r="AG1030" s="5" t="str">
        <f ca="1">IFERROR(__xludf.DUMMYFUNCTION("""COMPUTED_VALUE"""),"No")</f>
        <v>No</v>
      </c>
      <c r="AH1030" s="5"/>
    </row>
    <row r="1031" spans="1:34" ht="12.75">
      <c r="A1031" s="5" t="str">
        <f ca="1">IFERROR(__xludf.DUMMYFUNCTION("""COMPUTED_VALUE"""),"20120816TNHAM")</f>
        <v>20120816TNHAM</v>
      </c>
      <c r="B1031" s="8">
        <f ca="1">IFERROR(__xludf.DUMMYFUNCTION("""COMPUTED_VALUE"""),41137)</f>
        <v>41137</v>
      </c>
      <c r="C1031" s="5" t="str">
        <f ca="1">IFERROR(__xludf.DUMMYFUNCTION("""COMPUTED_VALUE"""),"Hamilton High School")</f>
        <v>Hamilton High School</v>
      </c>
      <c r="D1031" s="5">
        <f ca="1">IFERROR(__xludf.DUMMYFUNCTION("""COMPUTED_VALUE"""),0)</f>
        <v>0</v>
      </c>
      <c r="E1031" s="5">
        <f ca="1">IFERROR(__xludf.DUMMYFUNCTION("""COMPUTED_VALUE"""),0)</f>
        <v>0</v>
      </c>
      <c r="F1031" s="5">
        <f ca="1">IFERROR(__xludf.DUMMYFUNCTION("""COMPUTED_VALUE"""),0)</f>
        <v>0</v>
      </c>
      <c r="G1031" s="5">
        <f ca="1">IFERROR(__xludf.DUMMYFUNCTION("""COMPUTED_VALUE"""),0)</f>
        <v>0</v>
      </c>
      <c r="H1031" s="9" t="str">
        <f ca="1">IFERROR(__xludf.DUMMYFUNCTION("""COMPUTED_VALUE"""),"http://www.wmcactionnews5.com/story/19307558/students-shot-at-outside-memphis-high-school")</f>
        <v>http://www.wmcactionnews5.com/story/19307558/students-shot-at-outside-memphis-high-school</v>
      </c>
      <c r="I1031" s="5">
        <f ca="1">IFERROR(__xludf.DUMMYFUNCTION("""COMPUTED_VALUE"""),1)</f>
        <v>1</v>
      </c>
      <c r="J1031" s="5" t="str">
        <f ca="1">IFERROR(__xludf.DUMMYFUNCTION("""COMPUTED_VALUE"""),"Local")</f>
        <v>Local</v>
      </c>
      <c r="K1031" s="5">
        <f ca="1">IFERROR(__xludf.DUMMYFUNCTION("""COMPUTED_VALUE"""),2)</f>
        <v>2</v>
      </c>
      <c r="L1031" s="5" t="str">
        <f ca="1">IFERROR(__xludf.DUMMYFUNCTION("""COMPUTED_VALUE"""),"Summer")</f>
        <v>Summer</v>
      </c>
      <c r="M1031" s="5" t="str">
        <f ca="1">IFERROR(__xludf.DUMMYFUNCTION("""COMPUTED_VALUE"""),"Memphis")</f>
        <v>Memphis</v>
      </c>
      <c r="N1031" s="5" t="str">
        <f ca="1">IFERROR(__xludf.DUMMYFUNCTION("""COMPUTED_VALUE"""),"TN")</f>
        <v>TN</v>
      </c>
      <c r="O1031" s="5" t="str">
        <f ca="1">IFERROR(__xludf.DUMMYFUNCTION("""COMPUTED_VALUE"""),"High")</f>
        <v>High</v>
      </c>
      <c r="P1031" s="5" t="str">
        <f ca="1">IFERROR(__xludf.DUMMYFUNCTION("""COMPUTED_VALUE"""),"Front of School")</f>
        <v>Front of School</v>
      </c>
      <c r="Q1031" s="5" t="str">
        <f ca="1">IFERROR(__xludf.DUMMYFUNCTION("""COMPUTED_VALUE"""),"Outside on School Property")</f>
        <v>Outside on School Property</v>
      </c>
      <c r="R1031" s="5" t="str">
        <f ca="1">IFERROR(__xludf.DUMMYFUNCTION("""COMPUTED_VALUE"""),"No")</f>
        <v>No</v>
      </c>
      <c r="S1031" s="5" t="str">
        <f ca="1">IFERROR(__xludf.DUMMYFUNCTION("""COMPUTED_VALUE"""),"Evening")</f>
        <v>Evening</v>
      </c>
      <c r="T1031" s="10">
        <f ca="1">IFERROR(__xludf.DUMMYFUNCTION("""COMPUTED_VALUE"""),0.708333333333333)</f>
        <v>0.70833333333333304</v>
      </c>
      <c r="U1031" s="5">
        <f ca="1">IFERROR(__xludf.DUMMYFUNCTION("""COMPUTED_VALUE"""),1)</f>
        <v>1</v>
      </c>
      <c r="V1031" s="5" t="str">
        <f ca="1">IFERROR(__xludf.DUMMYFUNCTION("""COMPUTED_VALUE"""),"Gang retaliation for prior incident")</f>
        <v>Gang retaliation for prior incident</v>
      </c>
      <c r="W1031"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X1031" s="5" t="str">
        <f ca="1">IFERROR(__xludf.DUMMYFUNCTION("""COMPUTED_VALUE"""),"Escalation of Dispute")</f>
        <v>Escalation of Dispute</v>
      </c>
      <c r="Y1031" s="5" t="str">
        <f ca="1">IFERROR(__xludf.DUMMYFUNCTION("""COMPUTED_VALUE"""),"Victims Targeted")</f>
        <v>Victims Targeted</v>
      </c>
      <c r="Z1031" s="5"/>
      <c r="AA1031" s="5"/>
      <c r="AB1031" s="5" t="str">
        <f ca="1">IFERROR(__xludf.DUMMYFUNCTION("""COMPUTED_VALUE"""),"No")</f>
        <v>No</v>
      </c>
      <c r="AC1031" s="5" t="str">
        <f ca="1">IFERROR(__xludf.DUMMYFUNCTION("""COMPUTED_VALUE"""),"No")</f>
        <v>No</v>
      </c>
      <c r="AD1031" s="5" t="str">
        <f ca="1">IFERROR(__xludf.DUMMYFUNCTION("""COMPUTED_VALUE"""),"No")</f>
        <v>No</v>
      </c>
      <c r="AE1031" s="5" t="str">
        <f ca="1">IFERROR(__xludf.DUMMYFUNCTION("""COMPUTED_VALUE"""),"No")</f>
        <v>No</v>
      </c>
      <c r="AF1031" s="5" t="str">
        <f ca="1">IFERROR(__xludf.DUMMYFUNCTION("""COMPUTED_VALUE"""),"No")</f>
        <v>No</v>
      </c>
      <c r="AG1031" s="5" t="str">
        <f ca="1">IFERROR(__xludf.DUMMYFUNCTION("""COMPUTED_VALUE"""),"Yes")</f>
        <v>Yes</v>
      </c>
      <c r="AH1031" s="5"/>
    </row>
    <row r="1032" spans="1:34" ht="12.75">
      <c r="A1032" s="5" t="str">
        <f ca="1">IFERROR(__xludf.DUMMYFUNCTION("""COMPUTED_VALUE"""),"20120706RINAP")</f>
        <v>20120706RINAP</v>
      </c>
      <c r="B1032" s="8">
        <f ca="1">IFERROR(__xludf.DUMMYFUNCTION("""COMPUTED_VALUE"""),41096)</f>
        <v>41096</v>
      </c>
      <c r="C1032" s="5" t="str">
        <f ca="1">IFERROR(__xludf.DUMMYFUNCTION("""COMPUTED_VALUE"""),"Nathaniel Greene Elementary School")</f>
        <v>Nathaniel Greene Elementary School</v>
      </c>
      <c r="D1032" s="5">
        <f ca="1">IFERROR(__xludf.DUMMYFUNCTION("""COMPUTED_VALUE"""),1)</f>
        <v>1</v>
      </c>
      <c r="E1032" s="5">
        <f ca="1">IFERROR(__xludf.DUMMYFUNCTION("""COMPUTED_VALUE"""),0)</f>
        <v>0</v>
      </c>
      <c r="F1032" s="5">
        <f ca="1">IFERROR(__xludf.DUMMYFUNCTION("""COMPUTED_VALUE"""),1)</f>
        <v>1</v>
      </c>
      <c r="G1032" s="5">
        <f ca="1">IFERROR(__xludf.DUMMYFUNCTION("""COMPUTED_VALUE"""),0)</f>
        <v>0</v>
      </c>
      <c r="H1032" s="9" t="str">
        <f ca="1">IFERROR(__xludf.DUMMYFUNCTION("""COMPUTED_VALUE"""),"https://www.abc6.com/story/18962837/pawtucket-police-investigate-shooting-behind-fire-station")</f>
        <v>https://www.abc6.com/story/18962837/pawtucket-police-investigate-shooting-behind-fire-station</v>
      </c>
      <c r="I1032" s="5"/>
      <c r="J1032" s="5"/>
      <c r="K1032" s="5">
        <f ca="1">IFERROR(__xludf.DUMMYFUNCTION("""COMPUTED_VALUE"""),3)</f>
        <v>3</v>
      </c>
      <c r="L1032" s="5" t="str">
        <f ca="1">IFERROR(__xludf.DUMMYFUNCTION("""COMPUTED_VALUE"""),"Summer")</f>
        <v>Summer</v>
      </c>
      <c r="M1032" s="5" t="str">
        <f ca="1">IFERROR(__xludf.DUMMYFUNCTION("""COMPUTED_VALUE"""),"Pawtucket")</f>
        <v>Pawtucket</v>
      </c>
      <c r="N1032" s="5" t="str">
        <f ca="1">IFERROR(__xludf.DUMMYFUNCTION("""COMPUTED_VALUE"""),"RI")</f>
        <v>RI</v>
      </c>
      <c r="O1032" s="5" t="str">
        <f ca="1">IFERROR(__xludf.DUMMYFUNCTION("""COMPUTED_VALUE"""),"Elementary")</f>
        <v>Elementary</v>
      </c>
      <c r="P1032" s="5" t="str">
        <f ca="1">IFERROR(__xludf.DUMMYFUNCTION("""COMPUTED_VALUE"""),"Beside Building")</f>
        <v>Beside Building</v>
      </c>
      <c r="Q1032" s="5" t="str">
        <f ca="1">IFERROR(__xludf.DUMMYFUNCTION("""COMPUTED_VALUE"""),"Outside on School Property")</f>
        <v>Outside on School Property</v>
      </c>
      <c r="R1032" s="5" t="str">
        <f ca="1">IFERROR(__xludf.DUMMYFUNCTION("""COMPUTED_VALUE"""),"No")</f>
        <v>No</v>
      </c>
      <c r="S1032" s="5" t="str">
        <f ca="1">IFERROR(__xludf.DUMMYFUNCTION("""COMPUTED_VALUE"""),"Night")</f>
        <v>Night</v>
      </c>
      <c r="T1032" s="10">
        <f ca="1">IFERROR(__xludf.DUMMYFUNCTION("""COMPUTED_VALUE"""),0.125)</f>
        <v>0.125</v>
      </c>
      <c r="U1032" s="5">
        <f ca="1">IFERROR(__xludf.DUMMYFUNCTION("""COMPUTED_VALUE"""),1)</f>
        <v>1</v>
      </c>
      <c r="V1032" s="5" t="str">
        <f ca="1">IFERROR(__xludf.DUMMYFUNCTION("""COMPUTED_VALUE"""),"20YOM shot and killed behind school")</f>
        <v>20YOM shot and killed behind school</v>
      </c>
      <c r="W1032" s="5" t="str">
        <f ca="1">IFERROR(__xludf.DUMMYFUNCTION("""COMPUTED_VALUE"""),"20YOM shot and killed by 20YOM behind elementary school following ongoing dispute with the shooter.")</f>
        <v>20YOM shot and killed by 20YOM behind elementary school following ongoing dispute with the shooter.</v>
      </c>
      <c r="X1032" s="5" t="str">
        <f ca="1">IFERROR(__xludf.DUMMYFUNCTION("""COMPUTED_VALUE"""),"Escalation of Dispute")</f>
        <v>Escalation of Dispute</v>
      </c>
      <c r="Y1032" s="5" t="str">
        <f ca="1">IFERROR(__xludf.DUMMYFUNCTION("""COMPUTED_VALUE"""),"Victims Targeted")</f>
        <v>Victims Targeted</v>
      </c>
      <c r="Z1032" s="5" t="str">
        <f ca="1">IFERROR(__xludf.DUMMYFUNCTION("""COMPUTED_VALUE"""),"No")</f>
        <v>No</v>
      </c>
      <c r="AA1032" s="5"/>
      <c r="AB1032" s="5" t="str">
        <f ca="1">IFERROR(__xludf.DUMMYFUNCTION("""COMPUTED_VALUE"""),"No")</f>
        <v>No</v>
      </c>
      <c r="AC1032" s="5" t="str">
        <f ca="1">IFERROR(__xludf.DUMMYFUNCTION("""COMPUTED_VALUE"""),"No")</f>
        <v>No</v>
      </c>
      <c r="AD1032" s="5" t="str">
        <f ca="1">IFERROR(__xludf.DUMMYFUNCTION("""COMPUTED_VALUE"""),"No")</f>
        <v>No</v>
      </c>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row>
    <row r="1033" spans="1:34" ht="12.75">
      <c r="A1033" s="5" t="str">
        <f ca="1">IFERROR(__xludf.DUMMYFUNCTION("""COMPUTED_VALUE"""),"20120525NCMAC")</f>
        <v>20120525NCMAC</v>
      </c>
      <c r="B1033" s="8">
        <f ca="1">IFERROR(__xludf.DUMMYFUNCTION("""COMPUTED_VALUE"""),41054)</f>
        <v>41054</v>
      </c>
      <c r="C1033" s="5" t="str">
        <f ca="1">IFERROR(__xludf.DUMMYFUNCTION("""COMPUTED_VALUE"""),"Mary Scroggs Elementary School")</f>
        <v>Mary Scroggs Elementary School</v>
      </c>
      <c r="D1033" s="5">
        <f ca="1">IFERROR(__xludf.DUMMYFUNCTION("""COMPUTED_VALUE"""),1)</f>
        <v>1</v>
      </c>
      <c r="E1033" s="5">
        <f ca="1">IFERROR(__xludf.DUMMYFUNCTION("""COMPUTED_VALUE"""),0)</f>
        <v>0</v>
      </c>
      <c r="F1033" s="5">
        <f ca="1">IFERROR(__xludf.DUMMYFUNCTION("""COMPUTED_VALUE"""),1)</f>
        <v>1</v>
      </c>
      <c r="G1033" s="5">
        <f ca="1">IFERROR(__xludf.DUMMYFUNCTION("""COMPUTED_VALUE"""),0)</f>
        <v>0</v>
      </c>
      <c r="H1033" s="9" t="str">
        <f ca="1">IFERROR(__xludf.DUMMYFUNCTION("""COMPUTED_VALUE"""),"http://www.dailytarheel.com/article/2014/10/man-pleads-guilty-of-murder-in-scroggs-elementary-shooting")</f>
        <v>http://www.dailytarheel.com/article/2014/10/man-pleads-guilty-of-murder-in-scroggs-elementary-shooting</v>
      </c>
      <c r="I1033" s="5">
        <f ca="1">IFERROR(__xludf.DUMMYFUNCTION("""COMPUTED_VALUE"""),5)</f>
        <v>5</v>
      </c>
      <c r="J1033" s="5" t="str">
        <f ca="1">IFERROR(__xludf.DUMMYFUNCTION("""COMPUTED_VALUE"""),"Local")</f>
        <v>Local</v>
      </c>
      <c r="K1033" s="5">
        <f ca="1">IFERROR(__xludf.DUMMYFUNCTION("""COMPUTED_VALUE"""),3)</f>
        <v>3</v>
      </c>
      <c r="L1033" s="5" t="str">
        <f ca="1">IFERROR(__xludf.DUMMYFUNCTION("""COMPUTED_VALUE"""),"Spring")</f>
        <v>Spring</v>
      </c>
      <c r="M1033" s="5" t="str">
        <f ca="1">IFERROR(__xludf.DUMMYFUNCTION("""COMPUTED_VALUE"""),"Chapel Hill")</f>
        <v>Chapel Hill</v>
      </c>
      <c r="N1033" s="5" t="str">
        <f ca="1">IFERROR(__xludf.DUMMYFUNCTION("""COMPUTED_VALUE"""),"NC")</f>
        <v>NC</v>
      </c>
      <c r="O1033" s="5" t="str">
        <f ca="1">IFERROR(__xludf.DUMMYFUNCTION("""COMPUTED_VALUE"""),"Elementary")</f>
        <v>Elementary</v>
      </c>
      <c r="P1033" s="5" t="str">
        <f ca="1">IFERROR(__xludf.DUMMYFUNCTION("""COMPUTED_VALUE"""),"Parking Lot")</f>
        <v>Parking Lot</v>
      </c>
      <c r="Q1033" s="5" t="str">
        <f ca="1">IFERROR(__xludf.DUMMYFUNCTION("""COMPUTED_VALUE"""),"Outside on School Property")</f>
        <v>Outside on School Property</v>
      </c>
      <c r="R1033" s="5" t="str">
        <f ca="1">IFERROR(__xludf.DUMMYFUNCTION("""COMPUTED_VALUE"""),"Yes")</f>
        <v>Yes</v>
      </c>
      <c r="S1033" s="5" t="str">
        <f ca="1">IFERROR(__xludf.DUMMYFUNCTION("""COMPUTED_VALUE"""),"Dismissal")</f>
        <v>Dismissal</v>
      </c>
      <c r="T1033" s="10">
        <f ca="1">IFERROR(__xludf.DUMMYFUNCTION("""COMPUTED_VALUE"""),0.586111111111111)</f>
        <v>0.58611111111111103</v>
      </c>
      <c r="U1033" s="5">
        <f ca="1">IFERROR(__xludf.DUMMYFUNCTION("""COMPUTED_VALUE"""),1)</f>
        <v>1</v>
      </c>
      <c r="V1033" s="5" t="str">
        <f ca="1">IFERROR(__xludf.DUMMYFUNCTION("""COMPUTED_VALUE"""),"Killed estranged wife at school")</f>
        <v>Killed estranged wife at school</v>
      </c>
      <c r="W1033"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X1033" s="5" t="str">
        <f ca="1">IFERROR(__xludf.DUMMYFUNCTION("""COMPUTED_VALUE"""),"Domestic w/ Targeted Victim")</f>
        <v>Domestic w/ Targeted Victim</v>
      </c>
      <c r="Y1033" s="5" t="str">
        <f ca="1">IFERROR(__xludf.DUMMYFUNCTION("""COMPUTED_VALUE"""),"Victims Targeted")</f>
        <v>Victims Targeted</v>
      </c>
      <c r="Z1033" s="5" t="str">
        <f ca="1">IFERROR(__xludf.DUMMYFUNCTION("""COMPUTED_VALUE"""),"No")</f>
        <v>No</v>
      </c>
      <c r="AA1033" s="5"/>
      <c r="AB1033" s="5" t="str">
        <f ca="1">IFERROR(__xludf.DUMMYFUNCTION("""COMPUTED_VALUE"""),"No")</f>
        <v>No</v>
      </c>
      <c r="AC1033" s="5" t="str">
        <f ca="1">IFERROR(__xludf.DUMMYFUNCTION("""COMPUTED_VALUE"""),"No")</f>
        <v>No</v>
      </c>
      <c r="AD1033" s="5" t="str">
        <f ca="1">IFERROR(__xludf.DUMMYFUNCTION("""COMPUTED_VALUE"""),"No")</f>
        <v>No</v>
      </c>
      <c r="AE1033" s="5" t="str">
        <f ca="1">IFERROR(__xludf.DUMMYFUNCTION("""COMPUTED_VALUE"""),"No")</f>
        <v>No</v>
      </c>
      <c r="AF1033" s="5" t="str">
        <f ca="1">IFERROR(__xludf.DUMMYFUNCTION("""COMPUTED_VALUE"""),"Yes")</f>
        <v>Yes</v>
      </c>
      <c r="AG1033" s="5" t="str">
        <f ca="1">IFERROR(__xludf.DUMMYFUNCTION("""COMPUTED_VALUE"""),"No")</f>
        <v>No</v>
      </c>
      <c r="AH1033" s="5"/>
    </row>
    <row r="1034" spans="1:34" ht="12.75">
      <c r="A1034" s="5" t="str">
        <f ca="1">IFERROR(__xludf.DUMMYFUNCTION("""COMPUTED_VALUE"""),"20120525AZWEA")</f>
        <v>20120525AZWEA</v>
      </c>
      <c r="B1034" s="8">
        <f ca="1">IFERROR(__xludf.DUMMYFUNCTION("""COMPUTED_VALUE"""),41054)</f>
        <v>41054</v>
      </c>
      <c r="C1034" s="5" t="str">
        <f ca="1">IFERROR(__xludf.DUMMYFUNCTION("""COMPUTED_VALUE"""),"West View High School")</f>
        <v>West View High School</v>
      </c>
      <c r="D1034" s="5">
        <f ca="1">IFERROR(__xludf.DUMMYFUNCTION("""COMPUTED_VALUE"""),1)</f>
        <v>1</v>
      </c>
      <c r="E1034" s="5">
        <f ca="1">IFERROR(__xludf.DUMMYFUNCTION("""COMPUTED_VALUE"""),0)</f>
        <v>0</v>
      </c>
      <c r="F1034" s="5">
        <f ca="1">IFERROR(__xludf.DUMMYFUNCTION("""COMPUTED_VALUE"""),1)</f>
        <v>1</v>
      </c>
      <c r="G1034" s="5">
        <f ca="1">IFERROR(__xludf.DUMMYFUNCTION("""COMPUTED_VALUE"""),0)</f>
        <v>0</v>
      </c>
      <c r="H1034"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I1034" s="5"/>
      <c r="J1034" s="5"/>
      <c r="K1034" s="5">
        <f ca="1">IFERROR(__xludf.DUMMYFUNCTION("""COMPUTED_VALUE"""),5)</f>
        <v>5</v>
      </c>
      <c r="L1034" s="5" t="str">
        <f ca="1">IFERROR(__xludf.DUMMYFUNCTION("""COMPUTED_VALUE"""),"Spring")</f>
        <v>Spring</v>
      </c>
      <c r="M1034" s="5" t="str">
        <f ca="1">IFERROR(__xludf.DUMMYFUNCTION("""COMPUTED_VALUE"""),"Avondale")</f>
        <v>Avondale</v>
      </c>
      <c r="N1034" s="5" t="str">
        <f ca="1">IFERROR(__xludf.DUMMYFUNCTION("""COMPUTED_VALUE"""),"AZ")</f>
        <v>AZ</v>
      </c>
      <c r="O1034" s="5" t="str">
        <f ca="1">IFERROR(__xludf.DUMMYFUNCTION("""COMPUTED_VALUE"""),"High")</f>
        <v>High</v>
      </c>
      <c r="P1034" s="5" t="str">
        <f ca="1">IFERROR(__xludf.DUMMYFUNCTION("""COMPUTED_VALUE"""),"Parking Lot")</f>
        <v>Parking Lot</v>
      </c>
      <c r="Q1034" s="5" t="str">
        <f ca="1">IFERROR(__xludf.DUMMYFUNCTION("""COMPUTED_VALUE"""),"Outside on School Property")</f>
        <v>Outside on School Property</v>
      </c>
      <c r="R1034" s="5" t="str">
        <f ca="1">IFERROR(__xludf.DUMMYFUNCTION("""COMPUTED_VALUE"""),"Yes")</f>
        <v>Yes</v>
      </c>
      <c r="S1034" s="5" t="str">
        <f ca="1">IFERROR(__xludf.DUMMYFUNCTION("""COMPUTED_VALUE"""),"School Event")</f>
        <v>School Event</v>
      </c>
      <c r="T1034" s="10">
        <f ca="1">IFERROR(__xludf.DUMMYFUNCTION("""COMPUTED_VALUE"""),0.579861111111111)</f>
        <v>0.57986111111111105</v>
      </c>
      <c r="U1034" s="5">
        <f ca="1">IFERROR(__xludf.DUMMYFUNCTION("""COMPUTED_VALUE"""),1)</f>
        <v>1</v>
      </c>
      <c r="V1034" s="5" t="str">
        <f ca="1">IFERROR(__xludf.DUMMYFUNCTION("""COMPUTED_VALUE"""),"Domestic violence")</f>
        <v>Domestic violence</v>
      </c>
      <c r="W1034"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X1034" s="5" t="str">
        <f ca="1">IFERROR(__xludf.DUMMYFUNCTION("""COMPUTED_VALUE"""),"Domestic w/ Targeted Victim")</f>
        <v>Domestic w/ Targeted Victim</v>
      </c>
      <c r="Y1034" s="5" t="str">
        <f ca="1">IFERROR(__xludf.DUMMYFUNCTION("""COMPUTED_VALUE"""),"Victims Targeted")</f>
        <v>Victims Targeted</v>
      </c>
      <c r="Z1034" s="5" t="str">
        <f ca="1">IFERROR(__xludf.DUMMYFUNCTION("""COMPUTED_VALUE"""),"No")</f>
        <v>No</v>
      </c>
      <c r="AA1034" s="5"/>
      <c r="AB1034" s="5" t="str">
        <f ca="1">IFERROR(__xludf.DUMMYFUNCTION("""COMPUTED_VALUE"""),"No")</f>
        <v>No</v>
      </c>
      <c r="AC1034" s="5" t="str">
        <f ca="1">IFERROR(__xludf.DUMMYFUNCTION("""COMPUTED_VALUE"""),"No")</f>
        <v>No</v>
      </c>
      <c r="AD1034" s="5" t="str">
        <f ca="1">IFERROR(__xludf.DUMMYFUNCTION("""COMPUTED_VALUE"""),"No")</f>
        <v>No</v>
      </c>
      <c r="AE1034" s="5" t="str">
        <f ca="1">IFERROR(__xludf.DUMMYFUNCTION("""COMPUTED_VALUE"""),"No")</f>
        <v>No</v>
      </c>
      <c r="AF1034" s="5" t="str">
        <f ca="1">IFERROR(__xludf.DUMMYFUNCTION("""COMPUTED_VALUE"""),"Yes")</f>
        <v>Yes</v>
      </c>
      <c r="AG1034" s="5" t="str">
        <f ca="1">IFERROR(__xludf.DUMMYFUNCTION("""COMPUTED_VALUE"""),"No")</f>
        <v>No</v>
      </c>
      <c r="AH1034" s="5" t="str">
        <f ca="1">IFERROR(__xludf.DUMMYFUNCTION("""COMPUTED_VALUE"""),"No")</f>
        <v>No</v>
      </c>
    </row>
    <row r="1035" spans="1:34" ht="12.75">
      <c r="A1035" s="5" t="str">
        <f ca="1">IFERROR(__xludf.DUMMYFUNCTION("""COMPUTED_VALUE"""),"20120401ARKIR")</f>
        <v>20120401ARKIR</v>
      </c>
      <c r="B1035" s="8">
        <f ca="1">IFERROR(__xludf.DUMMYFUNCTION("""COMPUTED_VALUE"""),41000)</f>
        <v>41000</v>
      </c>
      <c r="C1035" s="5" t="str">
        <f ca="1">IFERROR(__xludf.DUMMYFUNCTION("""COMPUTED_VALUE"""),"Kirksey Middle School")</f>
        <v>Kirksey Middle School</v>
      </c>
      <c r="D1035" s="5">
        <f ca="1">IFERROR(__xludf.DUMMYFUNCTION("""COMPUTED_VALUE"""),0)</f>
        <v>0</v>
      </c>
      <c r="E1035" s="5">
        <f ca="1">IFERROR(__xludf.DUMMYFUNCTION("""COMPUTED_VALUE"""),1)</f>
        <v>1</v>
      </c>
      <c r="F1035" s="5">
        <f ca="1">IFERROR(__xludf.DUMMYFUNCTION("""COMPUTED_VALUE"""),1)</f>
        <v>1</v>
      </c>
      <c r="G1035" s="5">
        <f ca="1">IFERROR(__xludf.DUMMYFUNCTION("""COMPUTED_VALUE"""),0)</f>
        <v>0</v>
      </c>
      <c r="H1035"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I1035" s="5">
        <f ca="1">IFERROR(__xludf.DUMMYFUNCTION("""COMPUTED_VALUE"""),1)</f>
        <v>1</v>
      </c>
      <c r="J1035" s="5" t="str">
        <f ca="1">IFERROR(__xludf.DUMMYFUNCTION("""COMPUTED_VALUE"""),"Local")</f>
        <v>Local</v>
      </c>
      <c r="K1035" s="5">
        <f ca="1">IFERROR(__xludf.DUMMYFUNCTION("""COMPUTED_VALUE"""),2)</f>
        <v>2</v>
      </c>
      <c r="L1035" s="5" t="str">
        <f ca="1">IFERROR(__xludf.DUMMYFUNCTION("""COMPUTED_VALUE"""),"Spring")</f>
        <v>Spring</v>
      </c>
      <c r="M1035" s="5" t="str">
        <f ca="1">IFERROR(__xludf.DUMMYFUNCTION("""COMPUTED_VALUE"""),"Rogers")</f>
        <v>Rogers</v>
      </c>
      <c r="N1035" s="5" t="str">
        <f ca="1">IFERROR(__xludf.DUMMYFUNCTION("""COMPUTED_VALUE"""),"AR")</f>
        <v>AR</v>
      </c>
      <c r="O1035" s="5" t="str">
        <f ca="1">IFERROR(__xludf.DUMMYFUNCTION("""COMPUTED_VALUE"""),"Middle")</f>
        <v>Middle</v>
      </c>
      <c r="P1035" s="5" t="str">
        <f ca="1">IFERROR(__xludf.DUMMYFUNCTION("""COMPUTED_VALUE"""),"Parking Lot")</f>
        <v>Parking Lot</v>
      </c>
      <c r="Q1035" s="5" t="str">
        <f ca="1">IFERROR(__xludf.DUMMYFUNCTION("""COMPUTED_VALUE"""),"Outside on School Property")</f>
        <v>Outside on School Property</v>
      </c>
      <c r="R1035" s="5" t="str">
        <f ca="1">IFERROR(__xludf.DUMMYFUNCTION("""COMPUTED_VALUE"""),"No")</f>
        <v>No</v>
      </c>
      <c r="S1035" s="5" t="str">
        <f ca="1">IFERROR(__xludf.DUMMYFUNCTION("""COMPUTED_VALUE"""),"Evening")</f>
        <v>Evening</v>
      </c>
      <c r="T1035" s="10">
        <f ca="1">IFERROR(__xludf.DUMMYFUNCTION("""COMPUTED_VALUE"""),0.915277777777777)</f>
        <v>0.91527777777777697</v>
      </c>
      <c r="U1035" s="5">
        <f ca="1">IFERROR(__xludf.DUMMYFUNCTION("""COMPUTED_VALUE"""),1)</f>
        <v>1</v>
      </c>
      <c r="V1035" s="5" t="str">
        <f ca="1">IFERROR(__xludf.DUMMYFUNCTION("""COMPUTED_VALUE"""),"Fight in school parking lot")</f>
        <v>Fight in school parking lot</v>
      </c>
      <c r="W1035"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X1035" s="5" t="str">
        <f ca="1">IFERROR(__xludf.DUMMYFUNCTION("""COMPUTED_VALUE"""),"Escalation of Dispute")</f>
        <v>Escalation of Dispute</v>
      </c>
      <c r="Y1035" s="5" t="str">
        <f ca="1">IFERROR(__xludf.DUMMYFUNCTION("""COMPUTED_VALUE"""),"Both")</f>
        <v>Both</v>
      </c>
      <c r="Z1035" s="5" t="str">
        <f ca="1">IFERROR(__xludf.DUMMYFUNCTION("""COMPUTED_VALUE"""),"No")</f>
        <v>No</v>
      </c>
      <c r="AA1035" s="5"/>
      <c r="AB1035" s="5" t="str">
        <f ca="1">IFERROR(__xludf.DUMMYFUNCTION("""COMPUTED_VALUE"""),"No")</f>
        <v>No</v>
      </c>
      <c r="AC1035" s="5" t="str">
        <f ca="1">IFERROR(__xludf.DUMMYFUNCTION("""COMPUTED_VALUE"""),"No")</f>
        <v>No</v>
      </c>
      <c r="AD1035" s="5" t="str">
        <f ca="1">IFERROR(__xludf.DUMMYFUNCTION("""COMPUTED_VALUE"""),"No")</f>
        <v>No</v>
      </c>
      <c r="AE1035" s="5" t="str">
        <f ca="1">IFERROR(__xludf.DUMMYFUNCTION("""COMPUTED_VALUE"""),"No")</f>
        <v>No</v>
      </c>
      <c r="AF1035" s="5" t="str">
        <f ca="1">IFERROR(__xludf.DUMMYFUNCTION("""COMPUTED_VALUE"""),"No")</f>
        <v>No</v>
      </c>
      <c r="AG1035" s="5" t="str">
        <f ca="1">IFERROR(__xludf.DUMMYFUNCTION("""COMPUTED_VALUE"""),"No")</f>
        <v>No</v>
      </c>
      <c r="AH1035" s="5"/>
    </row>
    <row r="1036" spans="1:34" ht="12.75">
      <c r="A1036" s="5" t="str">
        <f ca="1">IFERROR(__xludf.DUMMYFUNCTION("""COMPUTED_VALUE"""),"20120315ALLEM")</f>
        <v>20120315ALLEM</v>
      </c>
      <c r="B1036" s="8">
        <f ca="1">IFERROR(__xludf.DUMMYFUNCTION("""COMPUTED_VALUE"""),40983)</f>
        <v>40983</v>
      </c>
      <c r="C1036" s="5" t="str">
        <f ca="1">IFERROR(__xludf.DUMMYFUNCTION("""COMPUTED_VALUE"""),"LeFlore High School")</f>
        <v>LeFlore High School</v>
      </c>
      <c r="D1036" s="5">
        <f ca="1">IFERROR(__xludf.DUMMYFUNCTION("""COMPUTED_VALUE"""),0)</f>
        <v>0</v>
      </c>
      <c r="E1036" s="5">
        <f ca="1">IFERROR(__xludf.DUMMYFUNCTION("""COMPUTED_VALUE"""),0)</f>
        <v>0</v>
      </c>
      <c r="F1036" s="5">
        <f ca="1">IFERROR(__xludf.DUMMYFUNCTION("""COMPUTED_VALUE"""),0)</f>
        <v>0</v>
      </c>
      <c r="G1036" s="5">
        <f ca="1">IFERROR(__xludf.DUMMYFUNCTION("""COMPUTED_VALUE"""),0)</f>
        <v>0</v>
      </c>
      <c r="H1036"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I1036" s="5">
        <f ca="1">IFERROR(__xludf.DUMMYFUNCTION("""COMPUTED_VALUE"""),1)</f>
        <v>1</v>
      </c>
      <c r="J1036" s="5" t="str">
        <f ca="1">IFERROR(__xludf.DUMMYFUNCTION("""COMPUTED_VALUE"""),"Local")</f>
        <v>Local</v>
      </c>
      <c r="K1036" s="5">
        <f ca="1">IFERROR(__xludf.DUMMYFUNCTION("""COMPUTED_VALUE"""),4)</f>
        <v>4</v>
      </c>
      <c r="L1036" s="5" t="str">
        <f ca="1">IFERROR(__xludf.DUMMYFUNCTION("""COMPUTED_VALUE"""),"Spring")</f>
        <v>Spring</v>
      </c>
      <c r="M1036" s="5" t="str">
        <f ca="1">IFERROR(__xludf.DUMMYFUNCTION("""COMPUTED_VALUE"""),"Mobile")</f>
        <v>Mobile</v>
      </c>
      <c r="N1036" s="5" t="str">
        <f ca="1">IFERROR(__xludf.DUMMYFUNCTION("""COMPUTED_VALUE"""),"AL")</f>
        <v>AL</v>
      </c>
      <c r="O1036" s="5" t="str">
        <f ca="1">IFERROR(__xludf.DUMMYFUNCTION("""COMPUTED_VALUE"""),"High")</f>
        <v>High</v>
      </c>
      <c r="P1036" s="5" t="str">
        <f ca="1">IFERROR(__xludf.DUMMYFUNCTION("""COMPUTED_VALUE"""),"Parking Lot")</f>
        <v>Parking Lot</v>
      </c>
      <c r="Q1036" s="5" t="str">
        <f ca="1">IFERROR(__xludf.DUMMYFUNCTION("""COMPUTED_VALUE"""),"Outside on School Property")</f>
        <v>Outside on School Property</v>
      </c>
      <c r="R1036" s="5" t="str">
        <f ca="1">IFERROR(__xludf.DUMMYFUNCTION("""COMPUTED_VALUE"""),"Yes")</f>
        <v>Yes</v>
      </c>
      <c r="S1036" s="5" t="str">
        <f ca="1">IFERROR(__xludf.DUMMYFUNCTION("""COMPUTED_VALUE"""),"Morning Classes")</f>
        <v>Morning Classes</v>
      </c>
      <c r="T1036" s="10">
        <f ca="1">IFERROR(__xludf.DUMMYFUNCTION("""COMPUTED_VALUE"""),0.451388888888888)</f>
        <v>0.45138888888888801</v>
      </c>
      <c r="U1036" s="5">
        <f ca="1">IFERROR(__xludf.DUMMYFUNCTION("""COMPUTED_VALUE"""),1)</f>
        <v>1</v>
      </c>
      <c r="V1036" s="5" t="str">
        <f ca="1">IFERROR(__xludf.DUMMYFUNCTION("""COMPUTED_VALUE"""),"Targeted gang shooting in school")</f>
        <v>Targeted gang shooting in school</v>
      </c>
      <c r="W1036"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X1036" s="5" t="str">
        <f ca="1">IFERROR(__xludf.DUMMYFUNCTION("""COMPUTED_VALUE"""),"Escalation of Dispute")</f>
        <v>Escalation of Dispute</v>
      </c>
      <c r="Y1036" s="5" t="str">
        <f ca="1">IFERROR(__xludf.DUMMYFUNCTION("""COMPUTED_VALUE"""),"Victims Targeted")</f>
        <v>Victims Targeted</v>
      </c>
      <c r="Z1036" s="5" t="str">
        <f ca="1">IFERROR(__xludf.DUMMYFUNCTION("""COMPUTED_VALUE"""),"Yes")</f>
        <v>Yes</v>
      </c>
      <c r="AA1036" s="5" t="str">
        <f ca="1">IFERROR(__xludf.DUMMYFUNCTION("""COMPUTED_VALUE"""),"Julian Demond Woods, 15; possibly 1 more M")</f>
        <v>Julian Demond Woods, 15; possibly 1 more M</v>
      </c>
      <c r="AB1036" s="5" t="str">
        <f ca="1">IFERROR(__xludf.DUMMYFUNCTION("""COMPUTED_VALUE"""),"No")</f>
        <v>No</v>
      </c>
      <c r="AC1036" s="5" t="str">
        <f ca="1">IFERROR(__xludf.DUMMYFUNCTION("""COMPUTED_VALUE"""),"No")</f>
        <v>No</v>
      </c>
      <c r="AD1036" s="5" t="str">
        <f ca="1">IFERROR(__xludf.DUMMYFUNCTION("""COMPUTED_VALUE"""),"No")</f>
        <v>No</v>
      </c>
      <c r="AE1036" s="5" t="str">
        <f ca="1">IFERROR(__xludf.DUMMYFUNCTION("""COMPUTED_VALUE"""),"No")</f>
        <v>No</v>
      </c>
      <c r="AF1036" s="5" t="str">
        <f ca="1">IFERROR(__xludf.DUMMYFUNCTION("""COMPUTED_VALUE"""),"No")</f>
        <v>No</v>
      </c>
      <c r="AG1036" s="5" t="str">
        <f ca="1">IFERROR(__xludf.DUMMYFUNCTION("""COMPUTED_VALUE"""),"Yes")</f>
        <v>Yes</v>
      </c>
      <c r="AH1036" s="5"/>
    </row>
    <row r="1037" spans="1:34" ht="12.75">
      <c r="A1037" s="5" t="str">
        <f ca="1">IFERROR(__xludf.DUMMYFUNCTION("""COMPUTED_VALUE"""),"20120306FLEPJ")</f>
        <v>20120306FLEPJ</v>
      </c>
      <c r="B1037" s="8">
        <f ca="1">IFERROR(__xludf.DUMMYFUNCTION("""COMPUTED_VALUE"""),40974)</f>
        <v>40974</v>
      </c>
      <c r="C1037" s="5" t="str">
        <f ca="1">IFERROR(__xludf.DUMMYFUNCTION("""COMPUTED_VALUE"""),"Episcopal School of Jacksonville")</f>
        <v>Episcopal School of Jacksonville</v>
      </c>
      <c r="D1037" s="5">
        <f ca="1">IFERROR(__xludf.DUMMYFUNCTION("""COMPUTED_VALUE"""),1)</f>
        <v>1</v>
      </c>
      <c r="E1037" s="5">
        <f ca="1">IFERROR(__xludf.DUMMYFUNCTION("""COMPUTED_VALUE"""),0)</f>
        <v>0</v>
      </c>
      <c r="F1037" s="5">
        <f ca="1">IFERROR(__xludf.DUMMYFUNCTION("""COMPUTED_VALUE"""),1)</f>
        <v>1</v>
      </c>
      <c r="G1037" s="5">
        <f ca="1">IFERROR(__xludf.DUMMYFUNCTION("""COMPUTED_VALUE"""),1)</f>
        <v>1</v>
      </c>
      <c r="H1037"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I1037" s="5">
        <f ca="1">IFERROR(__xludf.DUMMYFUNCTION("""COMPUTED_VALUE"""),11)</f>
        <v>11</v>
      </c>
      <c r="J1037" s="5" t="str">
        <f ca="1">IFERROR(__xludf.DUMMYFUNCTION("""COMPUTED_VALUE"""),"International")</f>
        <v>International</v>
      </c>
      <c r="K1037" s="5">
        <f ca="1">IFERROR(__xludf.DUMMYFUNCTION("""COMPUTED_VALUE"""),4)</f>
        <v>4</v>
      </c>
      <c r="L1037" s="5" t="str">
        <f ca="1">IFERROR(__xludf.DUMMYFUNCTION("""COMPUTED_VALUE"""),"Spring")</f>
        <v>Spring</v>
      </c>
      <c r="M1037" s="5" t="str">
        <f ca="1">IFERROR(__xludf.DUMMYFUNCTION("""COMPUTED_VALUE"""),"Jacksonville")</f>
        <v>Jacksonville</v>
      </c>
      <c r="N1037" s="5" t="str">
        <f ca="1">IFERROR(__xludf.DUMMYFUNCTION("""COMPUTED_VALUE"""),"FL")</f>
        <v>FL</v>
      </c>
      <c r="O1037" s="5" t="str">
        <f ca="1">IFERROR(__xludf.DUMMYFUNCTION("""COMPUTED_VALUE"""),"Unknown")</f>
        <v>Unknown</v>
      </c>
      <c r="P1037" s="5" t="str">
        <f ca="1">IFERROR(__xludf.DUMMYFUNCTION("""COMPUTED_VALUE"""),"Office")</f>
        <v>Office</v>
      </c>
      <c r="Q1037" s="5" t="str">
        <f ca="1">IFERROR(__xludf.DUMMYFUNCTION("""COMPUTED_VALUE"""),"Inside School Building")</f>
        <v>Inside School Building</v>
      </c>
      <c r="R1037" s="5" t="str">
        <f ca="1">IFERROR(__xludf.DUMMYFUNCTION("""COMPUTED_VALUE"""),"Yes")</f>
        <v>Yes</v>
      </c>
      <c r="S1037" s="5" t="str">
        <f ca="1">IFERROR(__xludf.DUMMYFUNCTION("""COMPUTED_VALUE"""),"Afternoon Classes")</f>
        <v>Afternoon Classes</v>
      </c>
      <c r="T1037" s="10">
        <f ca="1">IFERROR(__xludf.DUMMYFUNCTION("""COMPUTED_VALUE"""),0.552083333333333)</f>
        <v>0.55208333333333304</v>
      </c>
      <c r="U1037" s="5"/>
      <c r="V1037" s="5" t="str">
        <f ca="1">IFERROR(__xludf.DUMMYFUNCTION("""COMPUTED_VALUE"""),"Fired teacher killed principal and self")</f>
        <v>Fired teacher killed principal and self</v>
      </c>
      <c r="W1037"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X1037" s="5" t="str">
        <f ca="1">IFERROR(__xludf.DUMMYFUNCTION("""COMPUTED_VALUE"""),"Anger Over Grade/Suspension/Discipline")</f>
        <v>Anger Over Grade/Suspension/Discipline</v>
      </c>
      <c r="Y1037" s="5" t="str">
        <f ca="1">IFERROR(__xludf.DUMMYFUNCTION("""COMPUTED_VALUE"""),"Victims Targeted")</f>
        <v>Victims Targeted</v>
      </c>
      <c r="Z1037" s="5" t="str">
        <f ca="1">IFERROR(__xludf.DUMMYFUNCTION("""COMPUTED_VALUE"""),"No")</f>
        <v>No</v>
      </c>
      <c r="AA1037" s="5"/>
      <c r="AB1037" s="5" t="str">
        <f ca="1">IFERROR(__xludf.DUMMYFUNCTION("""COMPUTED_VALUE"""),"No")</f>
        <v>No</v>
      </c>
      <c r="AC1037" s="5" t="str">
        <f ca="1">IFERROR(__xludf.DUMMYFUNCTION("""COMPUTED_VALUE"""),"No")</f>
        <v>No</v>
      </c>
      <c r="AD1037" s="5" t="str">
        <f ca="1">IFERROR(__xludf.DUMMYFUNCTION("""COMPUTED_VALUE"""),"No")</f>
        <v>No</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IFERROR(__xludf.DUMMYFUNCTION("""COMPUTED_VALUE"""),"Yes")</f>
        <v>Yes</v>
      </c>
    </row>
    <row r="1038" spans="1:34" ht="12.75">
      <c r="A1038" s="5" t="str">
        <f ca="1">IFERROR(__xludf.DUMMYFUNCTION("""COMPUTED_VALUE"""),"20120227OHCHC")</f>
        <v>20120227OHCHC</v>
      </c>
      <c r="B1038" s="8">
        <f ca="1">IFERROR(__xludf.DUMMYFUNCTION("""COMPUTED_VALUE"""),40966)</f>
        <v>40966</v>
      </c>
      <c r="C1038" s="5" t="str">
        <f ca="1">IFERROR(__xludf.DUMMYFUNCTION("""COMPUTED_VALUE"""),"Chardon High School")</f>
        <v>Chardon High School</v>
      </c>
      <c r="D1038" s="5">
        <f ca="1">IFERROR(__xludf.DUMMYFUNCTION("""COMPUTED_VALUE"""),3)</f>
        <v>3</v>
      </c>
      <c r="E1038" s="5">
        <f ca="1">IFERROR(__xludf.DUMMYFUNCTION("""COMPUTED_VALUE"""),3)</f>
        <v>3</v>
      </c>
      <c r="F1038" s="5">
        <f ca="1">IFERROR(__xludf.DUMMYFUNCTION("""COMPUTED_VALUE"""),6)</f>
        <v>6</v>
      </c>
      <c r="G1038" s="5">
        <f ca="1">IFERROR(__xludf.DUMMYFUNCTION("""COMPUTED_VALUE"""),0)</f>
        <v>0</v>
      </c>
      <c r="H1038"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I1038" s="5">
        <f ca="1">IFERROR(__xludf.DUMMYFUNCTION("""COMPUTED_VALUE"""),11)</f>
        <v>11</v>
      </c>
      <c r="J1038" s="5" t="str">
        <f ca="1">IFERROR(__xludf.DUMMYFUNCTION("""COMPUTED_VALUE"""),"National")</f>
        <v>National</v>
      </c>
      <c r="K1038" s="5">
        <f ca="1">IFERROR(__xludf.DUMMYFUNCTION("""COMPUTED_VALUE"""),5)</f>
        <v>5</v>
      </c>
      <c r="L1038" s="5" t="str">
        <f ca="1">IFERROR(__xludf.DUMMYFUNCTION("""COMPUTED_VALUE"""),"Winter")</f>
        <v>Winter</v>
      </c>
      <c r="M1038" s="5" t="str">
        <f ca="1">IFERROR(__xludf.DUMMYFUNCTION("""COMPUTED_VALUE"""),"Chardon")</f>
        <v>Chardon</v>
      </c>
      <c r="N1038" s="5" t="str">
        <f ca="1">IFERROR(__xludf.DUMMYFUNCTION("""COMPUTED_VALUE"""),"OH")</f>
        <v>OH</v>
      </c>
      <c r="O1038" s="5" t="str">
        <f ca="1">IFERROR(__xludf.DUMMYFUNCTION("""COMPUTED_VALUE"""),"High")</f>
        <v>High</v>
      </c>
      <c r="P1038" s="5" t="str">
        <f ca="1">IFERROR(__xludf.DUMMYFUNCTION("""COMPUTED_VALUE"""),"Cafeteria")</f>
        <v>Cafeteria</v>
      </c>
      <c r="Q1038" s="5" t="str">
        <f ca="1">IFERROR(__xludf.DUMMYFUNCTION("""COMPUTED_VALUE"""),"Inside School Building")</f>
        <v>Inside School Building</v>
      </c>
      <c r="R1038" s="5" t="str">
        <f ca="1">IFERROR(__xludf.DUMMYFUNCTION("""COMPUTED_VALUE"""),"Yes")</f>
        <v>Yes</v>
      </c>
      <c r="S1038" s="5" t="str">
        <f ca="1">IFERROR(__xludf.DUMMYFUNCTION("""COMPUTED_VALUE"""),"School Start")</f>
        <v>School Start</v>
      </c>
      <c r="T1038" s="10">
        <f ca="1">IFERROR(__xludf.DUMMYFUNCTION("""COMPUTED_VALUE"""),0.3125)</f>
        <v>0.3125</v>
      </c>
      <c r="U1038" s="5"/>
      <c r="V1038" s="5" t="str">
        <f ca="1">IFERROR(__xludf.DUMMYFUNCTION("""COMPUTED_VALUE"""),"Planned attack, fired at random victims then walked out of school to surrender to police")</f>
        <v>Planned attack, fired at random victims then walked out of school to surrender to police</v>
      </c>
      <c r="W1038"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X1038" s="5" t="str">
        <f ca="1">IFERROR(__xludf.DUMMYFUNCTION("""COMPUTED_VALUE"""),"Indiscriminate Shooting")</f>
        <v>Indiscriminate Shooting</v>
      </c>
      <c r="Y1038" s="5" t="str">
        <f ca="1">IFERROR(__xludf.DUMMYFUNCTION("""COMPUTED_VALUE"""),"Random Shooting")</f>
        <v>Random Shooting</v>
      </c>
      <c r="Z1038" s="5" t="str">
        <f ca="1">IFERROR(__xludf.DUMMYFUNCTION("""COMPUTED_VALUE"""),"No")</f>
        <v>No</v>
      </c>
      <c r="AA1038" s="5"/>
      <c r="AB1038" s="5" t="str">
        <f ca="1">IFERROR(__xludf.DUMMYFUNCTION("""COMPUTED_VALUE"""),"No")</f>
        <v>No</v>
      </c>
      <c r="AC1038" s="5" t="str">
        <f ca="1">IFERROR(__xludf.DUMMYFUNCTION("""COMPUTED_VALUE"""),"No")</f>
        <v>No</v>
      </c>
      <c r="AD1038" s="5" t="str">
        <f ca="1">IFERROR(__xludf.DUMMYFUNCTION("""COMPUTED_VALUE"""),"No")</f>
        <v>No</v>
      </c>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IFERROR(__xludf.DUMMYFUNCTION("""COMPUTED_VALUE"""),"Yes")</f>
        <v>Yes</v>
      </c>
    </row>
    <row r="1039" spans="1:34" ht="12.75">
      <c r="A1039" s="5" t="str">
        <f ca="1">IFERROR(__xludf.DUMMYFUNCTION("""COMPUTED_VALUE"""),"20120222WAARB")</f>
        <v>20120222WAARB</v>
      </c>
      <c r="B1039" s="8">
        <f ca="1">IFERROR(__xludf.DUMMYFUNCTION("""COMPUTED_VALUE"""),40961)</f>
        <v>40961</v>
      </c>
      <c r="C1039" s="5" t="str">
        <f ca="1">IFERROR(__xludf.DUMMYFUNCTION("""COMPUTED_VALUE"""),"Armin Jahr Elementary School")</f>
        <v>Armin Jahr Elementary School</v>
      </c>
      <c r="D1039" s="5">
        <f ca="1">IFERROR(__xludf.DUMMYFUNCTION("""COMPUTED_VALUE"""),0)</f>
        <v>0</v>
      </c>
      <c r="E1039" s="5">
        <f ca="1">IFERROR(__xludf.DUMMYFUNCTION("""COMPUTED_VALUE"""),1)</f>
        <v>1</v>
      </c>
      <c r="F1039" s="5">
        <f ca="1">IFERROR(__xludf.DUMMYFUNCTION("""COMPUTED_VALUE"""),1)</f>
        <v>1</v>
      </c>
      <c r="G1039" s="5">
        <f ca="1">IFERROR(__xludf.DUMMYFUNCTION("""COMPUTED_VALUE"""),0)</f>
        <v>0</v>
      </c>
      <c r="H1039"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I1039" s="5">
        <f ca="1">IFERROR(__xludf.DUMMYFUNCTION("""COMPUTED_VALUE"""),11)</f>
        <v>11</v>
      </c>
      <c r="J1039" s="5" t="str">
        <f ca="1">IFERROR(__xludf.DUMMYFUNCTION("""COMPUTED_VALUE"""),"National")</f>
        <v>National</v>
      </c>
      <c r="K1039" s="5">
        <f ca="1">IFERROR(__xludf.DUMMYFUNCTION("""COMPUTED_VALUE"""),5)</f>
        <v>5</v>
      </c>
      <c r="L1039" s="5" t="str">
        <f ca="1">IFERROR(__xludf.DUMMYFUNCTION("""COMPUTED_VALUE"""),"Winter")</f>
        <v>Winter</v>
      </c>
      <c r="M1039" s="5" t="str">
        <f ca="1">IFERROR(__xludf.DUMMYFUNCTION("""COMPUTED_VALUE"""),"Bremerton")</f>
        <v>Bremerton</v>
      </c>
      <c r="N1039" s="5" t="str">
        <f ca="1">IFERROR(__xludf.DUMMYFUNCTION("""COMPUTED_VALUE"""),"WA")</f>
        <v>WA</v>
      </c>
      <c r="O1039" s="5" t="str">
        <f ca="1">IFERROR(__xludf.DUMMYFUNCTION("""COMPUTED_VALUE"""),"Elementary")</f>
        <v>Elementary</v>
      </c>
      <c r="P1039" s="5" t="str">
        <f ca="1">IFERROR(__xludf.DUMMYFUNCTION("""COMPUTED_VALUE"""),"Hallway")</f>
        <v>Hallway</v>
      </c>
      <c r="Q1039" s="5" t="str">
        <f ca="1">IFERROR(__xludf.DUMMYFUNCTION("""COMPUTED_VALUE"""),"Inside School Building")</f>
        <v>Inside School Building</v>
      </c>
      <c r="R1039" s="5" t="str">
        <f ca="1">IFERROR(__xludf.DUMMYFUNCTION("""COMPUTED_VALUE"""),"Yes")</f>
        <v>Yes</v>
      </c>
      <c r="S1039" s="5" t="str">
        <f ca="1">IFERROR(__xludf.DUMMYFUNCTION("""COMPUTED_VALUE"""),"Dismissal")</f>
        <v>Dismissal</v>
      </c>
      <c r="T1039" s="10">
        <f ca="1">IFERROR(__xludf.DUMMYFUNCTION("""COMPUTED_VALUE"""),0.5625)</f>
        <v>0.5625</v>
      </c>
      <c r="U1039" s="5">
        <f ca="1">IFERROR(__xludf.DUMMYFUNCTION("""COMPUTED_VALUE"""),1)</f>
        <v>1</v>
      </c>
      <c r="V1039" s="5" t="str">
        <f ca="1">IFERROR(__xludf.DUMMYFUNCTION("""COMPUTED_VALUE"""),"Accidental discharge in backpack")</f>
        <v>Accidental discharge in backpack</v>
      </c>
      <c r="W1039"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X1039" s="5" t="str">
        <f ca="1">IFERROR(__xludf.DUMMYFUNCTION("""COMPUTED_VALUE"""),"Accidental")</f>
        <v>Accidental</v>
      </c>
      <c r="Y1039" s="5" t="str">
        <f ca="1">IFERROR(__xludf.DUMMYFUNCTION("""COMPUTED_VALUE"""),"Random Shooting")</f>
        <v>Random Shooting</v>
      </c>
      <c r="Z1039" s="5" t="str">
        <f ca="1">IFERROR(__xludf.DUMMYFUNCTION("""COMPUTED_VALUE"""),"Yes")</f>
        <v>Yes</v>
      </c>
      <c r="AA1039" s="5" t="str">
        <f ca="1">IFERROR(__xludf.DUMMYFUNCTION("""COMPUTED_VALUE"""),"Shooter brought the gun to give to another student")</f>
        <v>Shooter brought the gun to give to another student</v>
      </c>
      <c r="AB1039" s="5" t="str">
        <f ca="1">IFERROR(__xludf.DUMMYFUNCTION("""COMPUTED_VALUE"""),"No")</f>
        <v>No</v>
      </c>
      <c r="AC1039" s="5" t="str">
        <f ca="1">IFERROR(__xludf.DUMMYFUNCTION("""COMPUTED_VALUE"""),"No")</f>
        <v>No</v>
      </c>
      <c r="AD1039" s="5" t="str">
        <f ca="1">IFERROR(__xludf.DUMMYFUNCTION("""COMPUTED_VALUE"""),"No")</f>
        <v>No</v>
      </c>
      <c r="AE1039" s="5" t="str">
        <f ca="1">IFERROR(__xludf.DUMMYFUNCTION("""COMPUTED_VALUE"""),"Yes")</f>
        <v>Yes</v>
      </c>
      <c r="AF1039" s="5" t="str">
        <f ca="1">IFERROR(__xludf.DUMMYFUNCTION("""COMPUTED_VALUE"""),"No")</f>
        <v>No</v>
      </c>
      <c r="AG1039" s="5" t="str">
        <f ca="1">IFERROR(__xludf.DUMMYFUNCTION("""COMPUTED_VALUE"""),"No")</f>
        <v>No</v>
      </c>
      <c r="AH1039" s="5" t="str">
        <f ca="1">IFERROR(__xludf.DUMMYFUNCTION("""COMPUTED_VALUE"""),"No")</f>
        <v>No</v>
      </c>
    </row>
    <row r="1040" spans="1:34" ht="12.75">
      <c r="A1040" s="5" t="str">
        <f ca="1">IFERROR(__xludf.DUMMYFUNCTION("""COMPUTED_VALUE"""),"20120210NHWAW")</f>
        <v>20120210NHWAW</v>
      </c>
      <c r="B1040" s="8">
        <f ca="1">IFERROR(__xludf.DUMMYFUNCTION("""COMPUTED_VALUE"""),40949)</f>
        <v>40949</v>
      </c>
      <c r="C1040" s="5" t="str">
        <f ca="1">IFERROR(__xludf.DUMMYFUNCTION("""COMPUTED_VALUE"""),"Walpole Elementary School")</f>
        <v>Walpole Elementary School</v>
      </c>
      <c r="D1040" s="5">
        <f ca="1">IFERROR(__xludf.DUMMYFUNCTION("""COMPUTED_VALUE"""),0)</f>
        <v>0</v>
      </c>
      <c r="E1040" s="5">
        <f ca="1">IFERROR(__xludf.DUMMYFUNCTION("""COMPUTED_VALUE"""),0)</f>
        <v>0</v>
      </c>
      <c r="F1040" s="5">
        <f ca="1">IFERROR(__xludf.DUMMYFUNCTION("""COMPUTED_VALUE"""),0)</f>
        <v>0</v>
      </c>
      <c r="G1040" s="5">
        <f ca="1">IFERROR(__xludf.DUMMYFUNCTION("""COMPUTED_VALUE"""),0)</f>
        <v>0</v>
      </c>
      <c r="H1040" s="9" t="str">
        <f ca="1">IFERROR(__xludf.DUMMYFUNCTION("""COMPUTED_VALUE"""),"https://www.cbsnews.com/news/14-year-old-shoots-self-in-nh-school-cafeteria/")</f>
        <v>https://www.cbsnews.com/news/14-year-old-shoots-self-in-nh-school-cafeteria/</v>
      </c>
      <c r="I1040" s="5">
        <f ca="1">IFERROR(__xludf.DUMMYFUNCTION("""COMPUTED_VALUE"""),11)</f>
        <v>11</v>
      </c>
      <c r="J1040" s="5" t="str">
        <f ca="1">IFERROR(__xludf.DUMMYFUNCTION("""COMPUTED_VALUE"""),"National")</f>
        <v>National</v>
      </c>
      <c r="K1040" s="5">
        <f ca="1">IFERROR(__xludf.DUMMYFUNCTION("""COMPUTED_VALUE"""),2)</f>
        <v>2</v>
      </c>
      <c r="L1040" s="5" t="str">
        <f ca="1">IFERROR(__xludf.DUMMYFUNCTION("""COMPUTED_VALUE"""),"Winter")</f>
        <v>Winter</v>
      </c>
      <c r="M1040" s="5" t="str">
        <f ca="1">IFERROR(__xludf.DUMMYFUNCTION("""COMPUTED_VALUE"""),"Walpole")</f>
        <v>Walpole</v>
      </c>
      <c r="N1040" s="5" t="str">
        <f ca="1">IFERROR(__xludf.DUMMYFUNCTION("""COMPUTED_VALUE"""),"NH")</f>
        <v>NH</v>
      </c>
      <c r="O1040" s="5" t="str">
        <f ca="1">IFERROR(__xludf.DUMMYFUNCTION("""COMPUTED_VALUE"""),"Elementary")</f>
        <v>Elementary</v>
      </c>
      <c r="P1040" s="5" t="str">
        <f ca="1">IFERROR(__xludf.DUMMYFUNCTION("""COMPUTED_VALUE"""),"Cafeteria")</f>
        <v>Cafeteria</v>
      </c>
      <c r="Q1040" s="5" t="str">
        <f ca="1">IFERROR(__xludf.DUMMYFUNCTION("""COMPUTED_VALUE"""),"Inside School Building")</f>
        <v>Inside School Building</v>
      </c>
      <c r="R1040" s="5" t="str">
        <f ca="1">IFERROR(__xludf.DUMMYFUNCTION("""COMPUTED_VALUE"""),"Yes")</f>
        <v>Yes</v>
      </c>
      <c r="S1040" s="5" t="str">
        <f ca="1">IFERROR(__xludf.DUMMYFUNCTION("""COMPUTED_VALUE"""),"Lunch")</f>
        <v>Lunch</v>
      </c>
      <c r="T1040" s="10">
        <f ca="1">IFERROR(__xludf.DUMMYFUNCTION("""COMPUTED_VALUE"""),0.458333333333333)</f>
        <v>0.45833333333333298</v>
      </c>
      <c r="U1040" s="5">
        <f ca="1">IFERROR(__xludf.DUMMYFUNCTION("""COMPUTED_VALUE"""),1)</f>
        <v>1</v>
      </c>
      <c r="V1040" s="5" t="str">
        <f ca="1">IFERROR(__xludf.DUMMYFUNCTION("""COMPUTED_VALUE"""),"Attempted suicide in cafeteria")</f>
        <v>Attempted suicide in cafeteria</v>
      </c>
      <c r="W1040"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X1040" s="5" t="str">
        <f ca="1">IFERROR(__xludf.DUMMYFUNCTION("""COMPUTED_VALUE"""),"Suicide/Attempted")</f>
        <v>Suicide/Attempted</v>
      </c>
      <c r="Y1040" s="5" t="str">
        <f ca="1">IFERROR(__xludf.DUMMYFUNCTION("""COMPUTED_VALUE"""),"Victims Targeted")</f>
        <v>Victims Targeted</v>
      </c>
      <c r="Z1040" s="5" t="str">
        <f ca="1">IFERROR(__xludf.DUMMYFUNCTION("""COMPUTED_VALUE"""),"No")</f>
        <v>No</v>
      </c>
      <c r="AA1040" s="5"/>
      <c r="AB1040" s="5" t="str">
        <f ca="1">IFERROR(__xludf.DUMMYFUNCTION("""COMPUTED_VALUE"""),"No")</f>
        <v>No</v>
      </c>
      <c r="AC1040" s="5" t="str">
        <f ca="1">IFERROR(__xludf.DUMMYFUNCTION("""COMPUTED_VALUE"""),"No")</f>
        <v>No</v>
      </c>
      <c r="AD1040" s="5" t="str">
        <f ca="1">IFERROR(__xludf.DUMMYFUNCTION("""COMPUTED_VALUE"""),"No")</f>
        <v>No</v>
      </c>
      <c r="AE1040" s="5"/>
      <c r="AF1040" s="5" t="str">
        <f ca="1">IFERROR(__xludf.DUMMYFUNCTION("""COMPUTED_VALUE"""),"No")</f>
        <v>No</v>
      </c>
      <c r="AG1040" s="5" t="str">
        <f ca="1">IFERROR(__xludf.DUMMYFUNCTION("""COMPUTED_VALUE"""),"No")</f>
        <v>No</v>
      </c>
      <c r="AH1040" s="5"/>
    </row>
    <row r="1041" spans="1:34" ht="12.75">
      <c r="A1041" s="5" t="str">
        <f ca="1">IFERROR(__xludf.DUMMYFUNCTION("""COMPUTED_VALUE"""),"20120110TXNOH")</f>
        <v>20120110TXNOH</v>
      </c>
      <c r="B1041" s="8">
        <f ca="1">IFERROR(__xludf.DUMMYFUNCTION("""COMPUTED_VALUE"""),40918)</f>
        <v>40918</v>
      </c>
      <c r="C1041" s="5" t="str">
        <f ca="1">IFERROR(__xludf.DUMMYFUNCTION("""COMPUTED_VALUE"""),"North Forest High School")</f>
        <v>North Forest High School</v>
      </c>
      <c r="D1041" s="5">
        <f ca="1">IFERROR(__xludf.DUMMYFUNCTION("""COMPUTED_VALUE"""),0)</f>
        <v>0</v>
      </c>
      <c r="E1041" s="5">
        <f ca="1">IFERROR(__xludf.DUMMYFUNCTION("""COMPUTED_VALUE"""),1)</f>
        <v>1</v>
      </c>
      <c r="F1041" s="5">
        <f ca="1">IFERROR(__xludf.DUMMYFUNCTION("""COMPUTED_VALUE"""),1)</f>
        <v>1</v>
      </c>
      <c r="G1041" s="5">
        <f ca="1">IFERROR(__xludf.DUMMYFUNCTION("""COMPUTED_VALUE"""),0)</f>
        <v>0</v>
      </c>
      <c r="H1041" s="9" t="str">
        <f ca="1">IFERROR(__xludf.DUMMYFUNCTION("""COMPUTED_VALUE"""),"https://www.chron.com/news/houston-texas/article/Teen-shot-at-North-Forest-High-School-2457718.php")</f>
        <v>https://www.chron.com/news/houston-texas/article/Teen-shot-at-North-Forest-High-School-2457718.php</v>
      </c>
      <c r="I1041" s="5">
        <f ca="1">IFERROR(__xludf.DUMMYFUNCTION("""COMPUTED_VALUE"""),5)</f>
        <v>5</v>
      </c>
      <c r="J1041" s="5" t="str">
        <f ca="1">IFERROR(__xludf.DUMMYFUNCTION("""COMPUTED_VALUE"""),"Local")</f>
        <v>Local</v>
      </c>
      <c r="K1041" s="5">
        <f ca="1">IFERROR(__xludf.DUMMYFUNCTION("""COMPUTED_VALUE"""),2)</f>
        <v>2</v>
      </c>
      <c r="L1041" s="5" t="str">
        <f ca="1">IFERROR(__xludf.DUMMYFUNCTION("""COMPUTED_VALUE"""),"Winter")</f>
        <v>Winter</v>
      </c>
      <c r="M1041" s="5" t="str">
        <f ca="1">IFERROR(__xludf.DUMMYFUNCTION("""COMPUTED_VALUE"""),"Houston")</f>
        <v>Houston</v>
      </c>
      <c r="N1041" s="5" t="str">
        <f ca="1">IFERROR(__xludf.DUMMYFUNCTION("""COMPUTED_VALUE"""),"TX")</f>
        <v>TX</v>
      </c>
      <c r="O1041" s="5" t="str">
        <f ca="1">IFERROR(__xludf.DUMMYFUNCTION("""COMPUTED_VALUE"""),"High")</f>
        <v>High</v>
      </c>
      <c r="P1041" s="5" t="str">
        <f ca="1">IFERROR(__xludf.DUMMYFUNCTION("""COMPUTED_VALUE"""),"Hallway")</f>
        <v>Hallway</v>
      </c>
      <c r="Q1041" s="5" t="str">
        <f ca="1">IFERROR(__xludf.DUMMYFUNCTION("""COMPUTED_VALUE"""),"Inside School Building")</f>
        <v>Inside School Building</v>
      </c>
      <c r="R1041" s="5" t="str">
        <f ca="1">IFERROR(__xludf.DUMMYFUNCTION("""COMPUTED_VALUE"""),"Yes")</f>
        <v>Yes</v>
      </c>
      <c r="S1041" s="5" t="str">
        <f ca="1">IFERROR(__xludf.DUMMYFUNCTION("""COMPUTED_VALUE"""),"Afternoon Classes")</f>
        <v>Afternoon Classes</v>
      </c>
      <c r="T1041" s="10">
        <f ca="1">IFERROR(__xludf.DUMMYFUNCTION("""COMPUTED_VALUE"""),0.520833333333333)</f>
        <v>0.52083333333333304</v>
      </c>
      <c r="U1041" s="5">
        <f ca="1">IFERROR(__xludf.DUMMYFUNCTION("""COMPUTED_VALUE"""),1)</f>
        <v>1</v>
      </c>
      <c r="V1041" s="5" t="str">
        <f ca="1">IFERROR(__xludf.DUMMYFUNCTION("""COMPUTED_VALUE"""),"Shot bully during dispute")</f>
        <v>Shot bully during dispute</v>
      </c>
      <c r="W1041"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X1041" s="5" t="str">
        <f ca="1">IFERROR(__xludf.DUMMYFUNCTION("""COMPUTED_VALUE"""),"Bullying")</f>
        <v>Bullying</v>
      </c>
      <c r="Y1041" s="5" t="str">
        <f ca="1">IFERROR(__xludf.DUMMYFUNCTION("""COMPUTED_VALUE"""),"Both")</f>
        <v>Both</v>
      </c>
      <c r="Z1041" s="5" t="str">
        <f ca="1">IFERROR(__xludf.DUMMYFUNCTION("""COMPUTED_VALUE"""),"No")</f>
        <v>No</v>
      </c>
      <c r="AA1041" s="5"/>
      <c r="AB1041" s="5" t="str">
        <f ca="1">IFERROR(__xludf.DUMMYFUNCTION("""COMPUTED_VALUE"""),"No")</f>
        <v>No</v>
      </c>
      <c r="AC1041" s="5" t="str">
        <f ca="1">IFERROR(__xludf.DUMMYFUNCTION("""COMPUTED_VALUE"""),"No")</f>
        <v>No</v>
      </c>
      <c r="AD1041" s="5" t="str">
        <f ca="1">IFERROR(__xludf.DUMMYFUNCTION("""COMPUTED_VALUE"""),"No")</f>
        <v>No</v>
      </c>
      <c r="AE1041" s="5"/>
      <c r="AF1041" s="5" t="str">
        <f ca="1">IFERROR(__xludf.DUMMYFUNCTION("""COMPUTED_VALUE"""),"No")</f>
        <v>No</v>
      </c>
      <c r="AG1041" s="5" t="str">
        <f ca="1">IFERROR(__xludf.DUMMYFUNCTION("""COMPUTED_VALUE"""),"No")</f>
        <v>No</v>
      </c>
      <c r="AH1041" s="5"/>
    </row>
    <row r="1042" spans="1:34" ht="12.75">
      <c r="A1042" s="5" t="str">
        <f ca="1">IFERROR(__xludf.DUMMYFUNCTION("""COMPUTED_VALUE"""),"20120104TXCUB")</f>
        <v>20120104TXCUB</v>
      </c>
      <c r="B1042" s="8">
        <f ca="1">IFERROR(__xludf.DUMMYFUNCTION("""COMPUTED_VALUE"""),40912)</f>
        <v>40912</v>
      </c>
      <c r="C1042" s="5" t="str">
        <f ca="1">IFERROR(__xludf.DUMMYFUNCTION("""COMPUTED_VALUE"""),"Cummings Middle School")</f>
        <v>Cummings Middle School</v>
      </c>
      <c r="D1042" s="5">
        <f ca="1">IFERROR(__xludf.DUMMYFUNCTION("""COMPUTED_VALUE"""),0)</f>
        <v>0</v>
      </c>
      <c r="E1042" s="5">
        <f ca="1">IFERROR(__xludf.DUMMYFUNCTION("""COMPUTED_VALUE"""),0)</f>
        <v>0</v>
      </c>
      <c r="F1042" s="5">
        <f ca="1">IFERROR(__xludf.DUMMYFUNCTION("""COMPUTED_VALUE"""),0)</f>
        <v>0</v>
      </c>
      <c r="G1042" s="5">
        <f ca="1">IFERROR(__xludf.DUMMYFUNCTION("""COMPUTED_VALUE"""),1)</f>
        <v>1</v>
      </c>
      <c r="H1042" s="9" t="str">
        <f ca="1">IFERROR(__xludf.DUMMYFUNCTION("""COMPUTED_VALUE"""),"https://www.mysanantonio.com/news/local_news/article/Deadly-day-in-Brownsville-2440652.php")</f>
        <v>https://www.mysanantonio.com/news/local_news/article/Deadly-day-in-Brownsville-2440652.php</v>
      </c>
      <c r="I1042" s="5"/>
      <c r="J1042" s="5" t="str">
        <f ca="1">IFERROR(__xludf.DUMMYFUNCTION("""COMPUTED_VALUE"""),"Regional")</f>
        <v>Regional</v>
      </c>
      <c r="K1042" s="5">
        <f ca="1">IFERROR(__xludf.DUMMYFUNCTION("""COMPUTED_VALUE"""),2)</f>
        <v>2</v>
      </c>
      <c r="L1042" s="5" t="str">
        <f ca="1">IFERROR(__xludf.DUMMYFUNCTION("""COMPUTED_VALUE"""),"Winter")</f>
        <v>Winter</v>
      </c>
      <c r="M1042" s="5" t="str">
        <f ca="1">IFERROR(__xludf.DUMMYFUNCTION("""COMPUTED_VALUE"""),"Brownsville")</f>
        <v>Brownsville</v>
      </c>
      <c r="N1042" s="5" t="str">
        <f ca="1">IFERROR(__xludf.DUMMYFUNCTION("""COMPUTED_VALUE"""),"TX")</f>
        <v>TX</v>
      </c>
      <c r="O1042" s="5" t="str">
        <f ca="1">IFERROR(__xludf.DUMMYFUNCTION("""COMPUTED_VALUE"""),"Middle")</f>
        <v>Middle</v>
      </c>
      <c r="P1042" s="5" t="str">
        <f ca="1">IFERROR(__xludf.DUMMYFUNCTION("""COMPUTED_VALUE"""),"Hallway")</f>
        <v>Hallway</v>
      </c>
      <c r="Q1042" s="5" t="str">
        <f ca="1">IFERROR(__xludf.DUMMYFUNCTION("""COMPUTED_VALUE"""),"Inside School Building")</f>
        <v>Inside School Building</v>
      </c>
      <c r="R1042" s="5" t="str">
        <f ca="1">IFERROR(__xludf.DUMMYFUNCTION("""COMPUTED_VALUE"""),"Yes")</f>
        <v>Yes</v>
      </c>
      <c r="S1042" s="5" t="str">
        <f ca="1">IFERROR(__xludf.DUMMYFUNCTION("""COMPUTED_VALUE"""),"School Start")</f>
        <v>School Start</v>
      </c>
      <c r="T1042" s="10">
        <f ca="1">IFERROR(__xludf.DUMMYFUNCTION("""COMPUTED_VALUE"""),0.333333333333333)</f>
        <v>0.33333333333333298</v>
      </c>
      <c r="U1042" s="5">
        <f ca="1">IFERROR(__xludf.DUMMYFUNCTION("""COMPUTED_VALUE"""),1)</f>
        <v>1</v>
      </c>
      <c r="V1042" s="5" t="str">
        <f ca="1">IFERROR(__xludf.DUMMYFUNCTION("""COMPUTED_VALUE"""),"Police officer killed student holding airsoft pistol")</f>
        <v>Police officer killed student holding airsoft pistol</v>
      </c>
      <c r="W1042"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X1042" s="5" t="str">
        <f ca="1">IFERROR(__xludf.DUMMYFUNCTION("""COMPUTED_VALUE"""),"Self-defense")</f>
        <v>Self-defense</v>
      </c>
      <c r="Y1042" s="5" t="str">
        <f ca="1">IFERROR(__xludf.DUMMYFUNCTION("""COMPUTED_VALUE"""),"Neither")</f>
        <v>Neither</v>
      </c>
      <c r="Z1042" s="5" t="str">
        <f ca="1">IFERROR(__xludf.DUMMYFUNCTION("""COMPUTED_VALUE"""),"No")</f>
        <v>No</v>
      </c>
      <c r="AA1042" s="5"/>
      <c r="AB1042" s="5" t="str">
        <f ca="1">IFERROR(__xludf.DUMMYFUNCTION("""COMPUTED_VALUE"""),"No")</f>
        <v>No</v>
      </c>
      <c r="AC1042" s="5" t="str">
        <f ca="1">IFERROR(__xludf.DUMMYFUNCTION("""COMPUTED_VALUE"""),"No")</f>
        <v>No</v>
      </c>
      <c r="AD1042" s="5" t="str">
        <f ca="1">IFERROR(__xludf.DUMMYFUNCTION("""COMPUTED_VALUE"""),"Yes")</f>
        <v>Yes</v>
      </c>
      <c r="AE1042" s="5" t="str">
        <f ca="1">IFERROR(__xludf.DUMMYFUNCTION("""COMPUTED_VALUE"""),"N/A")</f>
        <v>N/A</v>
      </c>
      <c r="AF1042" s="5" t="str">
        <f ca="1">IFERROR(__xludf.DUMMYFUNCTION("""COMPUTED_VALUE"""),"N/A")</f>
        <v>N/A</v>
      </c>
      <c r="AG1042" s="5" t="str">
        <f ca="1">IFERROR(__xludf.DUMMYFUNCTION("""COMPUTED_VALUE"""),"N/A")</f>
        <v>N/A</v>
      </c>
      <c r="AH1042" s="5" t="str">
        <f ca="1">IFERROR(__xludf.DUMMYFUNCTION("""COMPUTED_VALUE"""),"N/A")</f>
        <v>N/A</v>
      </c>
    </row>
    <row r="1043" spans="1:34" ht="12.75">
      <c r="A1043" s="5" t="str">
        <f ca="1">IFERROR(__xludf.DUMMYFUNCTION("""COMPUTED_VALUE"""),"20111228MINOF")</f>
        <v>20111228MINOF</v>
      </c>
      <c r="B1043" s="8">
        <f ca="1">IFERROR(__xludf.DUMMYFUNCTION("""COMPUTED_VALUE"""),40905)</f>
        <v>40905</v>
      </c>
      <c r="C1043" s="5" t="str">
        <f ca="1">IFERROR(__xludf.DUMMYFUNCTION("""COMPUTED_VALUE"""),"Northern High School")</f>
        <v>Northern High School</v>
      </c>
      <c r="D1043" s="5">
        <f ca="1">IFERROR(__xludf.DUMMYFUNCTION("""COMPUTED_VALUE"""),0)</f>
        <v>0</v>
      </c>
      <c r="E1043" s="5">
        <f ca="1">IFERROR(__xludf.DUMMYFUNCTION("""COMPUTED_VALUE"""),1)</f>
        <v>1</v>
      </c>
      <c r="F1043" s="5">
        <f ca="1">IFERROR(__xludf.DUMMYFUNCTION("""COMPUTED_VALUE"""),1)</f>
        <v>1</v>
      </c>
      <c r="G1043" s="5">
        <f ca="1">IFERROR(__xludf.DUMMYFUNCTION("""COMPUTED_VALUE"""),0)</f>
        <v>0</v>
      </c>
      <c r="H1043"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I1043" s="5"/>
      <c r="J1043" s="5"/>
      <c r="K1043" s="5">
        <f ca="1">IFERROR(__xludf.DUMMYFUNCTION("""COMPUTED_VALUE"""),3)</f>
        <v>3</v>
      </c>
      <c r="L1043" s="5" t="str">
        <f ca="1">IFERROR(__xludf.DUMMYFUNCTION("""COMPUTED_VALUE"""),"Winter")</f>
        <v>Winter</v>
      </c>
      <c r="M1043" s="5" t="str">
        <f ca="1">IFERROR(__xludf.DUMMYFUNCTION("""COMPUTED_VALUE"""),"Flint")</f>
        <v>Flint</v>
      </c>
      <c r="N1043" s="5" t="str">
        <f ca="1">IFERROR(__xludf.DUMMYFUNCTION("""COMPUTED_VALUE"""),"MI")</f>
        <v>MI</v>
      </c>
      <c r="O1043" s="5" t="str">
        <f ca="1">IFERROR(__xludf.DUMMYFUNCTION("""COMPUTED_VALUE"""),"High")</f>
        <v>High</v>
      </c>
      <c r="P1043" s="5" t="str">
        <f ca="1">IFERROR(__xludf.DUMMYFUNCTION("""COMPUTED_VALUE"""),"Beside Building")</f>
        <v>Beside Building</v>
      </c>
      <c r="Q1043" s="5" t="str">
        <f ca="1">IFERROR(__xludf.DUMMYFUNCTION("""COMPUTED_VALUE"""),"Outside on School Property")</f>
        <v>Outside on School Property</v>
      </c>
      <c r="R1043" s="5" t="str">
        <f ca="1">IFERROR(__xludf.DUMMYFUNCTION("""COMPUTED_VALUE"""),"No")</f>
        <v>No</v>
      </c>
      <c r="S1043" s="5" t="str">
        <f ca="1">IFERROR(__xludf.DUMMYFUNCTION("""COMPUTED_VALUE"""),"Sport Event")</f>
        <v>Sport Event</v>
      </c>
      <c r="T1043" s="5"/>
      <c r="U1043" s="5">
        <f ca="1">IFERROR(__xludf.DUMMYFUNCTION("""COMPUTED_VALUE"""),1)</f>
        <v>1</v>
      </c>
      <c r="V1043" s="5" t="str">
        <f ca="1">IFERROR(__xludf.DUMMYFUNCTION("""COMPUTED_VALUE"""),"Shots fired during fight outside of school during basketball game")</f>
        <v>Shots fired during fight outside of school during basketball game</v>
      </c>
      <c r="W1043"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X1043" s="5" t="str">
        <f ca="1">IFERROR(__xludf.DUMMYFUNCTION("""COMPUTED_VALUE"""),"Escalation of Dispute")</f>
        <v>Escalation of Dispute</v>
      </c>
      <c r="Y1043" s="5"/>
      <c r="Z1043" s="5" t="str">
        <f ca="1">IFERROR(__xludf.DUMMYFUNCTION("""COMPUTED_VALUE"""),"Yes")</f>
        <v>Yes</v>
      </c>
      <c r="AA1043" s="5" t="str">
        <f ca="1">IFERROR(__xludf.DUMMYFUNCTION("""COMPUTED_VALUE"""),"2 arrested")</f>
        <v>2 arrested</v>
      </c>
      <c r="AB1043" s="5" t="str">
        <f ca="1">IFERROR(__xludf.DUMMYFUNCTION("""COMPUTED_VALUE"""),"No")</f>
        <v>No</v>
      </c>
      <c r="AC1043" s="5" t="str">
        <f ca="1">IFERROR(__xludf.DUMMYFUNCTION("""COMPUTED_VALUE"""),"No")</f>
        <v>No</v>
      </c>
      <c r="AD1043" s="5" t="str">
        <f ca="1">IFERROR(__xludf.DUMMYFUNCTION("""COMPUTED_VALUE"""),"No")</f>
        <v>No</v>
      </c>
      <c r="AE1043" s="5" t="str">
        <f ca="1">IFERROR(__xludf.DUMMYFUNCTION("""COMPUTED_VALUE"""),"No")</f>
        <v>No</v>
      </c>
      <c r="AF1043" s="5" t="str">
        <f ca="1">IFERROR(__xludf.DUMMYFUNCTION("""COMPUTED_VALUE"""),"No")</f>
        <v>No</v>
      </c>
      <c r="AG1043" s="5" t="str">
        <f ca="1">IFERROR(__xludf.DUMMYFUNCTION("""COMPUTED_VALUE"""),"No")</f>
        <v>No</v>
      </c>
      <c r="AH1043" s="5"/>
    </row>
    <row r="1044" spans="1:34" ht="12.75">
      <c r="A1044" s="5" t="str">
        <f ca="1">IFERROR(__xludf.DUMMYFUNCTION("""COMPUTED_VALUE"""),"20111212TXHAE")</f>
        <v>20111212TXHAE</v>
      </c>
      <c r="B1044" s="8">
        <f ca="1">IFERROR(__xludf.DUMMYFUNCTION("""COMPUTED_VALUE"""),40889)</f>
        <v>40889</v>
      </c>
      <c r="C1044" s="5" t="str">
        <f ca="1">IFERROR(__xludf.DUMMYFUNCTION("""COMPUTED_VALUE"""),"Harwell Middle School")</f>
        <v>Harwell Middle School</v>
      </c>
      <c r="D1044" s="5">
        <f ca="1">IFERROR(__xludf.DUMMYFUNCTION("""COMPUTED_VALUE"""),0)</f>
        <v>0</v>
      </c>
      <c r="E1044" s="5">
        <f ca="1">IFERROR(__xludf.DUMMYFUNCTION("""COMPUTED_VALUE"""),2)</f>
        <v>2</v>
      </c>
      <c r="F1044" s="5">
        <f ca="1">IFERROR(__xludf.DUMMYFUNCTION("""COMPUTED_VALUE"""),2)</f>
        <v>2</v>
      </c>
      <c r="G1044" s="5">
        <f ca="1">IFERROR(__xludf.DUMMYFUNCTION("""COMPUTED_VALUE"""),0)</f>
        <v>0</v>
      </c>
      <c r="H1044"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I1044" s="5"/>
      <c r="J1044" s="5"/>
      <c r="K1044" s="5">
        <f ca="1">IFERROR(__xludf.DUMMYFUNCTION("""COMPUTED_VALUE"""),3)</f>
        <v>3</v>
      </c>
      <c r="L1044" s="5" t="str">
        <f ca="1">IFERROR(__xludf.DUMMYFUNCTION("""COMPUTED_VALUE"""),"Winter")</f>
        <v>Winter</v>
      </c>
      <c r="M1044" s="5" t="str">
        <f ca="1">IFERROR(__xludf.DUMMYFUNCTION("""COMPUTED_VALUE"""),"Edinburg")</f>
        <v>Edinburg</v>
      </c>
      <c r="N1044" s="5" t="str">
        <f ca="1">IFERROR(__xludf.DUMMYFUNCTION("""COMPUTED_VALUE"""),"TX")</f>
        <v>TX</v>
      </c>
      <c r="O1044" s="5" t="str">
        <f ca="1">IFERROR(__xludf.DUMMYFUNCTION("""COMPUTED_VALUE"""),"Middle")</f>
        <v>Middle</v>
      </c>
      <c r="P1044" s="5" t="str">
        <f ca="1">IFERROR(__xludf.DUMMYFUNCTION("""COMPUTED_VALUE"""),"Basketball Court")</f>
        <v>Basketball Court</v>
      </c>
      <c r="Q1044" s="5" t="str">
        <f ca="1">IFERROR(__xludf.DUMMYFUNCTION("""COMPUTED_VALUE"""),"Outside on School Property")</f>
        <v>Outside on School Property</v>
      </c>
      <c r="R1044" s="5" t="str">
        <f ca="1">IFERROR(__xludf.DUMMYFUNCTION("""COMPUTED_VALUE"""),"Yes")</f>
        <v>Yes</v>
      </c>
      <c r="S1044" s="5" t="str">
        <f ca="1">IFERROR(__xludf.DUMMYFUNCTION("""COMPUTED_VALUE"""),"After School")</f>
        <v>After School</v>
      </c>
      <c r="T1044" s="10">
        <f ca="1">IFERROR(__xludf.DUMMYFUNCTION("""COMPUTED_VALUE"""),0.697916666666666)</f>
        <v>0.69791666666666596</v>
      </c>
      <c r="U1044" s="5">
        <f ca="1">IFERROR(__xludf.DUMMYFUNCTION("""COMPUTED_VALUE"""),1)</f>
        <v>1</v>
      </c>
      <c r="V1044" s="5" t="str">
        <f ca="1">IFERROR(__xludf.DUMMYFUNCTION("""COMPUTED_VALUE"""),"Shooter was target practicing 1 mile away")</f>
        <v>Shooter was target practicing 1 mile away</v>
      </c>
      <c r="W1044"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X1044" s="5" t="str">
        <f ca="1">IFERROR(__xludf.DUMMYFUNCTION("""COMPUTED_VALUE"""),"Accidental")</f>
        <v>Accidental</v>
      </c>
      <c r="Y1044" s="5"/>
      <c r="Z1044" s="5" t="str">
        <f ca="1">IFERROR(__xludf.DUMMYFUNCTION("""COMPUTED_VALUE"""),"No")</f>
        <v>No</v>
      </c>
      <c r="AA1044" s="5"/>
      <c r="AB1044" s="5" t="str">
        <f ca="1">IFERROR(__xludf.DUMMYFUNCTION("""COMPUTED_VALUE"""),"No")</f>
        <v>No</v>
      </c>
      <c r="AC1044" s="5" t="str">
        <f ca="1">IFERROR(__xludf.DUMMYFUNCTION("""COMPUTED_VALUE"""),"No")</f>
        <v>No</v>
      </c>
      <c r="AD1044" s="5" t="str">
        <f ca="1">IFERROR(__xludf.DUMMYFUNCTION("""COMPUTED_VALUE"""),"No")</f>
        <v>No</v>
      </c>
      <c r="AE1044" s="5" t="str">
        <f ca="1">IFERROR(__xludf.DUMMYFUNCTION("""COMPUTED_VALUE"""),"No")</f>
        <v>No</v>
      </c>
      <c r="AF1044" s="5" t="str">
        <f ca="1">IFERROR(__xludf.DUMMYFUNCTION("""COMPUTED_VALUE"""),"No")</f>
        <v>No</v>
      </c>
      <c r="AG1044" s="5" t="str">
        <f ca="1">IFERROR(__xludf.DUMMYFUNCTION("""COMPUTED_VALUE"""),"No")</f>
        <v>No</v>
      </c>
      <c r="AH1044" s="5"/>
    </row>
    <row r="1045" spans="1:34" ht="12.75">
      <c r="A1045" s="5" t="str">
        <f ca="1">IFERROR(__xludf.DUMMYFUNCTION("""COMPUTED_VALUE"""),"20111024NCCAF")</f>
        <v>20111024NCCAF</v>
      </c>
      <c r="B1045" s="8">
        <f ca="1">IFERROR(__xludf.DUMMYFUNCTION("""COMPUTED_VALUE"""),40840)</f>
        <v>40840</v>
      </c>
      <c r="C1045" s="5" t="str">
        <f ca="1">IFERROR(__xludf.DUMMYFUNCTION("""COMPUTED_VALUE"""),"Cape Fear High School")</f>
        <v>Cape Fear High School</v>
      </c>
      <c r="D1045" s="5">
        <f ca="1">IFERROR(__xludf.DUMMYFUNCTION("""COMPUTED_VALUE"""),0)</f>
        <v>0</v>
      </c>
      <c r="E1045" s="5">
        <f ca="1">IFERROR(__xludf.DUMMYFUNCTION("""COMPUTED_VALUE"""),1)</f>
        <v>1</v>
      </c>
      <c r="F1045" s="5">
        <f ca="1">IFERROR(__xludf.DUMMYFUNCTION("""COMPUTED_VALUE"""),1)</f>
        <v>1</v>
      </c>
      <c r="G1045" s="5">
        <f ca="1">IFERROR(__xludf.DUMMYFUNCTION("""COMPUTED_VALUE"""),0)</f>
        <v>0</v>
      </c>
      <c r="H1045" s="9" t="str">
        <f ca="1">IFERROR(__xludf.DUMMYFUNCTION("""COMPUTED_VALUE"""),"http://www.fayobserver.com/news/20180817/cape-fear-high-shooting-lawsuit-settled-for-2-million")</f>
        <v>http://www.fayobserver.com/news/20180817/cape-fear-high-shooting-lawsuit-settled-for-2-million</v>
      </c>
      <c r="I1045" s="5">
        <f ca="1">IFERROR(__xludf.DUMMYFUNCTION("""COMPUTED_VALUE"""),11)</f>
        <v>11</v>
      </c>
      <c r="J1045" s="5" t="str">
        <f ca="1">IFERROR(__xludf.DUMMYFUNCTION("""COMPUTED_VALUE"""),"National")</f>
        <v>National</v>
      </c>
      <c r="K1045" s="5">
        <f ca="1">IFERROR(__xludf.DUMMYFUNCTION("""COMPUTED_VALUE"""),3)</f>
        <v>3</v>
      </c>
      <c r="L1045" s="5" t="str">
        <f ca="1">IFERROR(__xludf.DUMMYFUNCTION("""COMPUTED_VALUE"""),"Fall")</f>
        <v>Fall</v>
      </c>
      <c r="M1045" s="5" t="str">
        <f ca="1">IFERROR(__xludf.DUMMYFUNCTION("""COMPUTED_VALUE"""),"Fayetteville")</f>
        <v>Fayetteville</v>
      </c>
      <c r="N1045" s="5" t="str">
        <f ca="1">IFERROR(__xludf.DUMMYFUNCTION("""COMPUTED_VALUE"""),"NC")</f>
        <v>NC</v>
      </c>
      <c r="O1045" s="5" t="str">
        <f ca="1">IFERROR(__xludf.DUMMYFUNCTION("""COMPUTED_VALUE"""),"High")</f>
        <v>High</v>
      </c>
      <c r="P1045" s="5" t="str">
        <f ca="1">IFERROR(__xludf.DUMMYFUNCTION("""COMPUTED_VALUE"""),"Beside Building")</f>
        <v>Beside Building</v>
      </c>
      <c r="Q1045" s="5" t="str">
        <f ca="1">IFERROR(__xludf.DUMMYFUNCTION("""COMPUTED_VALUE"""),"Outside on School Property")</f>
        <v>Outside on School Property</v>
      </c>
      <c r="R1045" s="5" t="str">
        <f ca="1">IFERROR(__xludf.DUMMYFUNCTION("""COMPUTED_VALUE"""),"Yes")</f>
        <v>Yes</v>
      </c>
      <c r="S1045" s="5" t="str">
        <f ca="1">IFERROR(__xludf.DUMMYFUNCTION("""COMPUTED_VALUE"""),"Afternoon Classes")</f>
        <v>Afternoon Classes</v>
      </c>
      <c r="T1045" s="10">
        <f ca="1">IFERROR(__xludf.DUMMYFUNCTION("""COMPUTED_VALUE"""),0.541666666666666)</f>
        <v>0.54166666666666596</v>
      </c>
      <c r="U1045" s="5">
        <f ca="1">IFERROR(__xludf.DUMMYFUNCTION("""COMPUTED_VALUE"""),1)</f>
        <v>1</v>
      </c>
      <c r="V1045" s="5" t="str">
        <f ca="1">IFERROR(__xludf.DUMMYFUNCTION("""COMPUTED_VALUE"""),"Revenge for prior fight, missed intended target")</f>
        <v>Revenge for prior fight, missed intended target</v>
      </c>
      <c r="W1045"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X1045" s="5" t="str">
        <f ca="1">IFERROR(__xludf.DUMMYFUNCTION("""COMPUTED_VALUE"""),"Escalation of Dispute")</f>
        <v>Escalation of Dispute</v>
      </c>
      <c r="Y1045" s="5" t="str">
        <f ca="1">IFERROR(__xludf.DUMMYFUNCTION("""COMPUTED_VALUE"""),"Random Shooting")</f>
        <v>Random Shooting</v>
      </c>
      <c r="Z1045" s="5" t="str">
        <f ca="1">IFERROR(__xludf.DUMMYFUNCTION("""COMPUTED_VALUE"""),"Yes")</f>
        <v>Yes</v>
      </c>
      <c r="AA1045" s="5" t="str">
        <f ca="1">IFERROR(__xludf.DUMMYFUNCTION("""COMPUTED_VALUE"""),"Ta'Von McLaurin, 18, was charged with felonious aiding and abetting")</f>
        <v>Ta'Von McLaurin, 18, was charged with felonious aiding and abetting</v>
      </c>
      <c r="AB1045" s="5" t="str">
        <f ca="1">IFERROR(__xludf.DUMMYFUNCTION("""COMPUTED_VALUE"""),"No")</f>
        <v>No</v>
      </c>
      <c r="AC1045" s="5" t="str">
        <f ca="1">IFERROR(__xludf.DUMMYFUNCTION("""COMPUTED_VALUE"""),"No")</f>
        <v>No</v>
      </c>
      <c r="AD1045" s="5" t="str">
        <f ca="1">IFERROR(__xludf.DUMMYFUNCTION("""COMPUTED_VALUE"""),"No")</f>
        <v>No</v>
      </c>
      <c r="AE1045" s="5" t="str">
        <f ca="1">IFERROR(__xludf.DUMMYFUNCTION("""COMPUTED_VALUE"""),"No")</f>
        <v>No</v>
      </c>
      <c r="AF1045" s="5" t="str">
        <f ca="1">IFERROR(__xludf.DUMMYFUNCTION("""COMPUTED_VALUE"""),"No")</f>
        <v>No</v>
      </c>
      <c r="AG1045" s="5" t="str">
        <f ca="1">IFERROR(__xludf.DUMMYFUNCTION("""COMPUTED_VALUE"""),"No")</f>
        <v>No</v>
      </c>
      <c r="AH1045" s="5"/>
    </row>
    <row r="1046" spans="1:34" ht="12.75">
      <c r="A1046" s="5" t="str">
        <f ca="1">IFERROR(__xludf.DUMMYFUNCTION("""COMPUTED_VALUE"""),"20110930ORWIP")</f>
        <v>20110930ORWIP</v>
      </c>
      <c r="B1046" s="8">
        <f ca="1">IFERROR(__xludf.DUMMYFUNCTION("""COMPUTED_VALUE"""),40816)</f>
        <v>40816</v>
      </c>
      <c r="C1046" s="5" t="str">
        <f ca="1">IFERROR(__xludf.DUMMYFUNCTION("""COMPUTED_VALUE"""),"Wilson High School")</f>
        <v>Wilson High School</v>
      </c>
      <c r="D1046" s="5">
        <f ca="1">IFERROR(__xludf.DUMMYFUNCTION("""COMPUTED_VALUE"""),0)</f>
        <v>0</v>
      </c>
      <c r="E1046" s="5">
        <f ca="1">IFERROR(__xludf.DUMMYFUNCTION("""COMPUTED_VALUE"""),0)</f>
        <v>0</v>
      </c>
      <c r="F1046" s="5">
        <f ca="1">IFERROR(__xludf.DUMMYFUNCTION("""COMPUTED_VALUE"""),0)</f>
        <v>0</v>
      </c>
      <c r="G1046" s="5">
        <f ca="1">IFERROR(__xludf.DUMMYFUNCTION("""COMPUTED_VALUE"""),0)</f>
        <v>0</v>
      </c>
      <c r="H1046" s="9" t="str">
        <f ca="1">IFERROR(__xludf.DUMMYFUNCTION("""COMPUTED_VALUE"""),"https://www.kgw.com/article/news/4-arrested-for-shots-fired-outside-wilson-high/283-73396732")</f>
        <v>https://www.kgw.com/article/news/4-arrested-for-shots-fired-outside-wilson-high/283-73396732</v>
      </c>
      <c r="I1046" s="5"/>
      <c r="J1046" s="5"/>
      <c r="K1046" s="5">
        <f ca="1">IFERROR(__xludf.DUMMYFUNCTION("""COMPUTED_VALUE"""),3)</f>
        <v>3</v>
      </c>
      <c r="L1046" s="5" t="str">
        <f ca="1">IFERROR(__xludf.DUMMYFUNCTION("""COMPUTED_VALUE"""),"Fall")</f>
        <v>Fall</v>
      </c>
      <c r="M1046" s="5" t="str">
        <f ca="1">IFERROR(__xludf.DUMMYFUNCTION("""COMPUTED_VALUE"""),"Portland")</f>
        <v>Portland</v>
      </c>
      <c r="N1046" s="5" t="str">
        <f ca="1">IFERROR(__xludf.DUMMYFUNCTION("""COMPUTED_VALUE"""),"OR")</f>
        <v>OR</v>
      </c>
      <c r="O1046" s="5" t="str">
        <f ca="1">IFERROR(__xludf.DUMMYFUNCTION("""COMPUTED_VALUE"""),"High")</f>
        <v>High</v>
      </c>
      <c r="P1046" s="5" t="str">
        <f ca="1">IFERROR(__xludf.DUMMYFUNCTION("""COMPUTED_VALUE"""),"Parking Lot")</f>
        <v>Parking Lot</v>
      </c>
      <c r="Q1046" s="5" t="str">
        <f ca="1">IFERROR(__xludf.DUMMYFUNCTION("""COMPUTED_VALUE"""),"Outside on School Property")</f>
        <v>Outside on School Property</v>
      </c>
      <c r="R1046" s="5" t="str">
        <f ca="1">IFERROR(__xludf.DUMMYFUNCTION("""COMPUTED_VALUE"""),"No")</f>
        <v>No</v>
      </c>
      <c r="S1046" s="5" t="str">
        <f ca="1">IFERROR(__xludf.DUMMYFUNCTION("""COMPUTED_VALUE"""),"Sport Event")</f>
        <v>Sport Event</v>
      </c>
      <c r="T1046" s="10">
        <f ca="1">IFERROR(__xludf.DUMMYFUNCTION("""COMPUTED_VALUE"""),0.875)</f>
        <v>0.875</v>
      </c>
      <c r="U1046" s="5">
        <f ca="1">IFERROR(__xludf.DUMMYFUNCTION("""COMPUTED_VALUE"""),1)</f>
        <v>1</v>
      </c>
      <c r="V1046" s="5" t="str">
        <f ca="1">IFERROR(__xludf.DUMMYFUNCTION("""COMPUTED_VALUE"""),"Shots fired at crowd school parking lot following fight earlier in the day")</f>
        <v>Shots fired at crowd school parking lot following fight earlier in the day</v>
      </c>
      <c r="W1046"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X1046" s="5" t="str">
        <f ca="1">IFERROR(__xludf.DUMMYFUNCTION("""COMPUTED_VALUE"""),"Drive-by Shooting")</f>
        <v>Drive-by Shooting</v>
      </c>
      <c r="Y1046" s="5" t="str">
        <f ca="1">IFERROR(__xludf.DUMMYFUNCTION("""COMPUTED_VALUE"""),"Victims Targeted")</f>
        <v>Victims Targeted</v>
      </c>
      <c r="Z1046" s="5" t="str">
        <f ca="1">IFERROR(__xludf.DUMMYFUNCTION("""COMPUTED_VALUE"""),"Yes")</f>
        <v>Yes</v>
      </c>
      <c r="AA1046" s="5" t="str">
        <f ca="1">IFERROR(__xludf.DUMMYFUNCTION("""COMPUTED_VALUE"""),"17-year-old Austin Michael Whittaker and 16-year-old Garrison Elwood Britton on charges of attempted assault")</f>
        <v>17-year-old Austin Michael Whittaker and 16-year-old Garrison Elwood Britton on charges of attempted assault</v>
      </c>
      <c r="AB1046" s="5" t="str">
        <f ca="1">IFERROR(__xludf.DUMMYFUNCTION("""COMPUTED_VALUE"""),"No")</f>
        <v>No</v>
      </c>
      <c r="AC1046" s="5" t="str">
        <f ca="1">IFERROR(__xludf.DUMMYFUNCTION("""COMPUTED_VALUE"""),"No")</f>
        <v>No</v>
      </c>
      <c r="AD1046" s="5" t="str">
        <f ca="1">IFERROR(__xludf.DUMMYFUNCTION("""COMPUTED_VALUE"""),"No")</f>
        <v>No</v>
      </c>
      <c r="AE1046" s="5" t="str">
        <f ca="1">IFERROR(__xludf.DUMMYFUNCTION("""COMPUTED_VALUE"""),"No")</f>
        <v>No</v>
      </c>
      <c r="AF1046" s="5" t="str">
        <f ca="1">IFERROR(__xludf.DUMMYFUNCTION("""COMPUTED_VALUE"""),"No")</f>
        <v>No</v>
      </c>
      <c r="AG1046" s="5" t="str">
        <f ca="1">IFERROR(__xludf.DUMMYFUNCTION("""COMPUTED_VALUE"""),"Yes")</f>
        <v>Yes</v>
      </c>
      <c r="AH1046" s="5" t="str">
        <f ca="1">IFERROR(__xludf.DUMMYFUNCTION("""COMPUTED_VALUE"""),"No")</f>
        <v>No</v>
      </c>
    </row>
    <row r="1047" spans="1:34" ht="12.75">
      <c r="A1047" s="5" t="str">
        <f ca="1">IFERROR(__xludf.DUMMYFUNCTION("""COMPUTED_VALUE"""),"20110930NCGAC")</f>
        <v>20110930NCGAC</v>
      </c>
      <c r="B1047" s="8">
        <f ca="1">IFERROR(__xludf.DUMMYFUNCTION("""COMPUTED_VALUE"""),40816)</f>
        <v>40816</v>
      </c>
      <c r="C1047" s="5" t="str">
        <f ca="1">IFERROR(__xludf.DUMMYFUNCTION("""COMPUTED_VALUE"""),"Garinger High School")</f>
        <v>Garinger High School</v>
      </c>
      <c r="D1047" s="5">
        <f ca="1">IFERROR(__xludf.DUMMYFUNCTION("""COMPUTED_VALUE"""),0)</f>
        <v>0</v>
      </c>
      <c r="E1047" s="5">
        <f ca="1">IFERROR(__xludf.DUMMYFUNCTION("""COMPUTED_VALUE"""),1)</f>
        <v>1</v>
      </c>
      <c r="F1047" s="5">
        <f ca="1">IFERROR(__xludf.DUMMYFUNCTION("""COMPUTED_VALUE"""),1)</f>
        <v>1</v>
      </c>
      <c r="G1047" s="5">
        <f ca="1">IFERROR(__xludf.DUMMYFUNCTION("""COMPUTED_VALUE"""),0)</f>
        <v>0</v>
      </c>
      <c r="H1047" s="9" t="str">
        <f ca="1">IFERROR(__xludf.DUMMYFUNCTION("""COMPUTED_VALUE"""),"https://www.wbtv.com/story/15592235/man-shot-twice-at-garinger-high-school-police-say/")</f>
        <v>https://www.wbtv.com/story/15592235/man-shot-twice-at-garinger-high-school-police-say/</v>
      </c>
      <c r="I1047" s="5"/>
      <c r="J1047" s="5"/>
      <c r="K1047" s="5">
        <f ca="1">IFERROR(__xludf.DUMMYFUNCTION("""COMPUTED_VALUE"""),3)</f>
        <v>3</v>
      </c>
      <c r="L1047" s="5" t="str">
        <f ca="1">IFERROR(__xludf.DUMMYFUNCTION("""COMPUTED_VALUE"""),"Fall")</f>
        <v>Fall</v>
      </c>
      <c r="M1047" s="5" t="str">
        <f ca="1">IFERROR(__xludf.DUMMYFUNCTION("""COMPUTED_VALUE"""),"Charlotte")</f>
        <v>Charlotte</v>
      </c>
      <c r="N1047" s="5" t="str">
        <f ca="1">IFERROR(__xludf.DUMMYFUNCTION("""COMPUTED_VALUE"""),"NC")</f>
        <v>NC</v>
      </c>
      <c r="O1047" s="5" t="str">
        <f ca="1">IFERROR(__xludf.DUMMYFUNCTION("""COMPUTED_VALUE"""),"High")</f>
        <v>High</v>
      </c>
      <c r="P1047" s="5" t="str">
        <f ca="1">IFERROR(__xludf.DUMMYFUNCTION("""COMPUTED_VALUE"""),"Parking Lot")</f>
        <v>Parking Lot</v>
      </c>
      <c r="Q1047" s="5" t="str">
        <f ca="1">IFERROR(__xludf.DUMMYFUNCTION("""COMPUTED_VALUE"""),"Outside on School Property")</f>
        <v>Outside on School Property</v>
      </c>
      <c r="R1047" s="5" t="str">
        <f ca="1">IFERROR(__xludf.DUMMYFUNCTION("""COMPUTED_VALUE"""),"No")</f>
        <v>No</v>
      </c>
      <c r="S1047" s="5" t="str">
        <f ca="1">IFERROR(__xludf.DUMMYFUNCTION("""COMPUTED_VALUE"""),"Sport Event")</f>
        <v>Sport Event</v>
      </c>
      <c r="T1047" s="10">
        <f ca="1">IFERROR(__xludf.DUMMYFUNCTION("""COMPUTED_VALUE"""),0.916666666666666)</f>
        <v>0.91666666666666596</v>
      </c>
      <c r="U1047" s="5">
        <f ca="1">IFERROR(__xludf.DUMMYFUNCTION("""COMPUTED_VALUE"""),1)</f>
        <v>1</v>
      </c>
      <c r="V1047" s="5" t="str">
        <f ca="1">IFERROR(__xludf.DUMMYFUNCTION("""COMPUTED_VALUE"""),"Teen shot in parking lot during football game")</f>
        <v>Teen shot in parking lot during football game</v>
      </c>
      <c r="W1047"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X1047" s="5" t="str">
        <f ca="1">IFERROR(__xludf.DUMMYFUNCTION("""COMPUTED_VALUE"""),"Escalation of Dispute")</f>
        <v>Escalation of Dispute</v>
      </c>
      <c r="Y1047" s="5" t="str">
        <f ca="1">IFERROR(__xludf.DUMMYFUNCTION("""COMPUTED_VALUE"""),"Victims Targeted")</f>
        <v>Victims Targeted</v>
      </c>
      <c r="Z1047" s="5"/>
      <c r="AA1047" s="5"/>
      <c r="AB1047" s="5" t="str">
        <f ca="1">IFERROR(__xludf.DUMMYFUNCTION("""COMPUTED_VALUE"""),"No")</f>
        <v>No</v>
      </c>
      <c r="AC1047" s="5" t="str">
        <f ca="1">IFERROR(__xludf.DUMMYFUNCTION("""COMPUTED_VALUE"""),"No")</f>
        <v>No</v>
      </c>
      <c r="AD1047" s="5" t="str">
        <f ca="1">IFERROR(__xludf.DUMMYFUNCTION("""COMPUTED_VALUE"""),"No")</f>
        <v>No</v>
      </c>
      <c r="AE1047" s="5" t="str">
        <f ca="1">IFERROR(__xludf.DUMMYFUNCTION("""COMPUTED_VALUE"""),"No")</f>
        <v>No</v>
      </c>
      <c r="AF1047" s="5" t="str">
        <f ca="1">IFERROR(__xludf.DUMMYFUNCTION("""COMPUTED_VALUE"""),"No")</f>
        <v>No</v>
      </c>
      <c r="AG1047" s="5" t="str">
        <f ca="1">IFERROR(__xludf.DUMMYFUNCTION("""COMPUTED_VALUE"""),"Yes")</f>
        <v>Yes</v>
      </c>
      <c r="AH1047" s="5" t="str">
        <f ca="1">IFERROR(__xludf.DUMMYFUNCTION("""COMPUTED_VALUE"""),"No")</f>
        <v>No</v>
      </c>
    </row>
    <row r="1048" spans="1:34" ht="12.75">
      <c r="A1048" s="5" t="str">
        <f ca="1">IFERROR(__xludf.DUMMYFUNCTION("""COMPUTED_VALUE"""),"20110923WAISS")</f>
        <v>20110923WAISS</v>
      </c>
      <c r="B1048" s="8">
        <f ca="1">IFERROR(__xludf.DUMMYFUNCTION("""COMPUTED_VALUE"""),40809)</f>
        <v>40809</v>
      </c>
      <c r="C1048" s="5" t="str">
        <f ca="1">IFERROR(__xludf.DUMMYFUNCTION("""COMPUTED_VALUE"""),"Issaquah High School")</f>
        <v>Issaquah High School</v>
      </c>
      <c r="D1048" s="5">
        <f ca="1">IFERROR(__xludf.DUMMYFUNCTION("""COMPUTED_VALUE"""),0)</f>
        <v>0</v>
      </c>
      <c r="E1048" s="5">
        <f ca="1">IFERROR(__xludf.DUMMYFUNCTION("""COMPUTED_VALUE"""),0)</f>
        <v>0</v>
      </c>
      <c r="F1048" s="5">
        <f ca="1">IFERROR(__xludf.DUMMYFUNCTION("""COMPUTED_VALUE"""),0)</f>
        <v>0</v>
      </c>
      <c r="G1048" s="5">
        <f ca="1">IFERROR(__xludf.DUMMYFUNCTION("""COMPUTED_VALUE"""),1)</f>
        <v>1</v>
      </c>
      <c r="H1048"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I1048" s="5"/>
      <c r="J1048" s="5"/>
      <c r="K1048" s="5">
        <f ca="1">IFERROR(__xludf.DUMMYFUNCTION("""COMPUTED_VALUE"""),3)</f>
        <v>3</v>
      </c>
      <c r="L1048" s="5" t="str">
        <f ca="1">IFERROR(__xludf.DUMMYFUNCTION("""COMPUTED_VALUE"""),"Fall")</f>
        <v>Fall</v>
      </c>
      <c r="M1048" s="5" t="str">
        <f ca="1">IFERROR(__xludf.DUMMYFUNCTION("""COMPUTED_VALUE"""),"Seattle")</f>
        <v>Seattle</v>
      </c>
      <c r="N1048" s="5" t="str">
        <f ca="1">IFERROR(__xludf.DUMMYFUNCTION("""COMPUTED_VALUE"""),"WA")</f>
        <v>WA</v>
      </c>
      <c r="O1048" s="5" t="str">
        <f ca="1">IFERROR(__xludf.DUMMYFUNCTION("""COMPUTED_VALUE"""),"High")</f>
        <v>High</v>
      </c>
      <c r="P1048" s="5" t="str">
        <f ca="1">IFERROR(__xludf.DUMMYFUNCTION("""COMPUTED_VALUE"""),"Football Field/Track")</f>
        <v>Football Field/Track</v>
      </c>
      <c r="Q1048" s="5" t="str">
        <f ca="1">IFERROR(__xludf.DUMMYFUNCTION("""COMPUTED_VALUE"""),"Off School Property")</f>
        <v>Off School Property</v>
      </c>
      <c r="R1048" s="5" t="str">
        <f ca="1">IFERROR(__xludf.DUMMYFUNCTION("""COMPUTED_VALUE"""),"No")</f>
        <v>No</v>
      </c>
      <c r="S1048" s="5" t="str">
        <f ca="1">IFERROR(__xludf.DUMMYFUNCTION("""COMPUTED_VALUE"""),"Sport Event")</f>
        <v>Sport Event</v>
      </c>
      <c r="T1048" s="10">
        <f ca="1">IFERROR(__xludf.DUMMYFUNCTION("""COMPUTED_VALUE"""),0.791666666666666)</f>
        <v>0.79166666666666596</v>
      </c>
      <c r="U1048" s="5"/>
      <c r="V1048"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W1048"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X1048" s="5" t="str">
        <f ca="1">IFERROR(__xludf.DUMMYFUNCTION("""COMPUTED_VALUE"""),"Indiscriminate Shooting")</f>
        <v>Indiscriminate Shooting</v>
      </c>
      <c r="Y1048" s="5"/>
      <c r="Z1048" s="5" t="str">
        <f ca="1">IFERROR(__xludf.DUMMYFUNCTION("""COMPUTED_VALUE"""),"No")</f>
        <v>No</v>
      </c>
      <c r="AA1048" s="5"/>
      <c r="AB1048" s="5" t="str">
        <f ca="1">IFERROR(__xludf.DUMMYFUNCTION("""COMPUTED_VALUE"""),"No")</f>
        <v>No</v>
      </c>
      <c r="AC1048" s="5" t="str">
        <f ca="1">IFERROR(__xludf.DUMMYFUNCTION("""COMPUTED_VALUE"""),"No")</f>
        <v>No</v>
      </c>
      <c r="AD1048" s="5" t="str">
        <f ca="1">IFERROR(__xludf.DUMMYFUNCTION("""COMPUTED_VALUE"""),"No")</f>
        <v>No</v>
      </c>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IFERROR(__xludf.DUMMYFUNCTION("""COMPUTED_VALUE"""),"Yes")</f>
        <v>Yes</v>
      </c>
    </row>
    <row r="1049" spans="1:34" ht="12.75">
      <c r="A1049" s="5" t="str">
        <f ca="1">IFERROR(__xludf.DUMMYFUNCTION("""COMPUTED_VALUE"""),"20110523HIHIP")</f>
        <v>20110523HIHIP</v>
      </c>
      <c r="B1049" s="8">
        <f ca="1">IFERROR(__xludf.DUMMYFUNCTION("""COMPUTED_VALUE"""),40686)</f>
        <v>40686</v>
      </c>
      <c r="C1049" s="5" t="str">
        <f ca="1">IFERROR(__xludf.DUMMYFUNCTION("""COMPUTED_VALUE"""),"Highlands Intermediate School")</f>
        <v>Highlands Intermediate School</v>
      </c>
      <c r="D1049" s="5">
        <f ca="1">IFERROR(__xludf.DUMMYFUNCTION("""COMPUTED_VALUE"""),0)</f>
        <v>0</v>
      </c>
      <c r="E1049" s="5">
        <f ca="1">IFERROR(__xludf.DUMMYFUNCTION("""COMPUTED_VALUE"""),1)</f>
        <v>1</v>
      </c>
      <c r="F1049" s="5">
        <f ca="1">IFERROR(__xludf.DUMMYFUNCTION("""COMPUTED_VALUE"""),1)</f>
        <v>1</v>
      </c>
      <c r="G1049" s="5">
        <f ca="1">IFERROR(__xludf.DUMMYFUNCTION("""COMPUTED_VALUE"""),0)</f>
        <v>0</v>
      </c>
      <c r="H1049"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I1049" s="5">
        <f ca="1">IFERROR(__xludf.DUMMYFUNCTION("""COMPUTED_VALUE"""),1)</f>
        <v>1</v>
      </c>
      <c r="J1049" s="5" t="str">
        <f ca="1">IFERROR(__xludf.DUMMYFUNCTION("""COMPUTED_VALUE"""),"Local")</f>
        <v>Local</v>
      </c>
      <c r="K1049" s="5">
        <f ca="1">IFERROR(__xludf.DUMMYFUNCTION("""COMPUTED_VALUE"""),3)</f>
        <v>3</v>
      </c>
      <c r="L1049" s="5" t="str">
        <f ca="1">IFERROR(__xludf.DUMMYFUNCTION("""COMPUTED_VALUE"""),"Spring")</f>
        <v>Spring</v>
      </c>
      <c r="M1049" s="5" t="str">
        <f ca="1">IFERROR(__xludf.DUMMYFUNCTION("""COMPUTED_VALUE"""),"Pearl City")</f>
        <v>Pearl City</v>
      </c>
      <c r="N1049" s="5" t="str">
        <f ca="1">IFERROR(__xludf.DUMMYFUNCTION("""COMPUTED_VALUE"""),"HI")</f>
        <v>HI</v>
      </c>
      <c r="O1049" s="5" t="str">
        <f ca="1">IFERROR(__xludf.DUMMYFUNCTION("""COMPUTED_VALUE"""),"Middle")</f>
        <v>Middle</v>
      </c>
      <c r="P1049" s="5" t="str">
        <f ca="1">IFERROR(__xludf.DUMMYFUNCTION("""COMPUTED_VALUE"""),"Beside Building")</f>
        <v>Beside Building</v>
      </c>
      <c r="Q1049" s="5" t="str">
        <f ca="1">IFERROR(__xludf.DUMMYFUNCTION("""COMPUTED_VALUE"""),"Outside on School Property")</f>
        <v>Outside on School Property</v>
      </c>
      <c r="R1049" s="5" t="str">
        <f ca="1">IFERROR(__xludf.DUMMYFUNCTION("""COMPUTED_VALUE"""),"Yes")</f>
        <v>Yes</v>
      </c>
      <c r="S1049" s="5" t="str">
        <f ca="1">IFERROR(__xludf.DUMMYFUNCTION("""COMPUTED_VALUE"""),"Before School")</f>
        <v>Before School</v>
      </c>
      <c r="T1049" s="10">
        <f ca="1">IFERROR(__xludf.DUMMYFUNCTION("""COMPUTED_VALUE"""),0.270833333333333)</f>
        <v>0.27083333333333298</v>
      </c>
      <c r="U1049" s="5">
        <f ca="1">IFERROR(__xludf.DUMMYFUNCTION("""COMPUTED_VALUE"""),1)</f>
        <v>1</v>
      </c>
      <c r="V1049" s="5" t="str">
        <f ca="1">IFERROR(__xludf.DUMMYFUNCTION("""COMPUTED_VALUE"""),"Accidental discharge when handling gun found behind school")</f>
        <v>Accidental discharge when handling gun found behind school</v>
      </c>
      <c r="W1049"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X1049" s="5" t="str">
        <f ca="1">IFERROR(__xludf.DUMMYFUNCTION("""COMPUTED_VALUE"""),"Accidental")</f>
        <v>Accidental</v>
      </c>
      <c r="Y1049" s="5" t="str">
        <f ca="1">IFERROR(__xludf.DUMMYFUNCTION("""COMPUTED_VALUE"""),"Random Shooting")</f>
        <v>Random Shooting</v>
      </c>
      <c r="Z1049" s="5" t="str">
        <f ca="1">IFERROR(__xludf.DUMMYFUNCTION("""COMPUTED_VALUE"""),"No")</f>
        <v>No</v>
      </c>
      <c r="AA1049" s="5"/>
      <c r="AB1049" s="5" t="str">
        <f ca="1">IFERROR(__xludf.DUMMYFUNCTION("""COMPUTED_VALUE"""),"No")</f>
        <v>No</v>
      </c>
      <c r="AC1049" s="5" t="str">
        <f ca="1">IFERROR(__xludf.DUMMYFUNCTION("""COMPUTED_VALUE"""),"No")</f>
        <v>No</v>
      </c>
      <c r="AD1049" s="5" t="str">
        <f ca="1">IFERROR(__xludf.DUMMYFUNCTION("""COMPUTED_VALUE"""),"No")</f>
        <v>No</v>
      </c>
      <c r="AE1049" s="5" t="str">
        <f ca="1">IFERROR(__xludf.DUMMYFUNCTION("""COMPUTED_VALUE"""),"No")</f>
        <v>No</v>
      </c>
      <c r="AF1049" s="5" t="str">
        <f ca="1">IFERROR(__xludf.DUMMYFUNCTION("""COMPUTED_VALUE"""),"No")</f>
        <v>No</v>
      </c>
      <c r="AG1049" s="5" t="str">
        <f ca="1">IFERROR(__xludf.DUMMYFUNCTION("""COMPUTED_VALUE"""),"No")</f>
        <v>No</v>
      </c>
      <c r="AH1049" s="5"/>
    </row>
    <row r="1050" spans="1:34" ht="12.75">
      <c r="A1050" s="5" t="str">
        <f ca="1">IFERROR(__xludf.DUMMYFUNCTION("""COMPUTED_VALUE"""),"20110517WAHOE")</f>
        <v>20110517WAHOE</v>
      </c>
      <c r="B1050" s="8">
        <f ca="1">IFERROR(__xludf.DUMMYFUNCTION("""COMPUTED_VALUE"""),40680)</f>
        <v>40680</v>
      </c>
      <c r="C1050" s="5" t="str">
        <f ca="1">IFERROR(__xludf.DUMMYFUNCTION("""COMPUTED_VALUE"""),"Horizon Elementary School")</f>
        <v>Horizon Elementary School</v>
      </c>
      <c r="D1050" s="5">
        <f ca="1">IFERROR(__xludf.DUMMYFUNCTION("""COMPUTED_VALUE"""),0)</f>
        <v>0</v>
      </c>
      <c r="E1050" s="5">
        <f ca="1">IFERROR(__xludf.DUMMYFUNCTION("""COMPUTED_VALUE"""),1)</f>
        <v>1</v>
      </c>
      <c r="F1050" s="5">
        <f ca="1">IFERROR(__xludf.DUMMYFUNCTION("""COMPUTED_VALUE"""),1)</f>
        <v>1</v>
      </c>
      <c r="G1050" s="5">
        <f ca="1">IFERROR(__xludf.DUMMYFUNCTION("""COMPUTED_VALUE"""),0)</f>
        <v>0</v>
      </c>
      <c r="H1050" s="9" t="str">
        <f ca="1">IFERROR(__xludf.DUMMYFUNCTION("""COMPUTED_VALUE"""),"https://www.heraldnet.com/news/marysville-teen-sentenced-to-10-years-for-shooting-outside-everett-school/")</f>
        <v>https://www.heraldnet.com/news/marysville-teen-sentenced-to-10-years-for-shooting-outside-everett-school/</v>
      </c>
      <c r="I1050" s="5">
        <f ca="1">IFERROR(__xludf.DUMMYFUNCTION("""COMPUTED_VALUE"""),1)</f>
        <v>1</v>
      </c>
      <c r="J1050" s="5" t="str">
        <f ca="1">IFERROR(__xludf.DUMMYFUNCTION("""COMPUTED_VALUE"""),"Local")</f>
        <v>Local</v>
      </c>
      <c r="K1050" s="5">
        <f ca="1">IFERROR(__xludf.DUMMYFUNCTION("""COMPUTED_VALUE"""),3)</f>
        <v>3</v>
      </c>
      <c r="L1050" s="5" t="str">
        <f ca="1">IFERROR(__xludf.DUMMYFUNCTION("""COMPUTED_VALUE"""),"Spring")</f>
        <v>Spring</v>
      </c>
      <c r="M1050" s="5" t="str">
        <f ca="1">IFERROR(__xludf.DUMMYFUNCTION("""COMPUTED_VALUE"""),"Everett")</f>
        <v>Everett</v>
      </c>
      <c r="N1050" s="5" t="str">
        <f ca="1">IFERROR(__xludf.DUMMYFUNCTION("""COMPUTED_VALUE"""),"WA")</f>
        <v>WA</v>
      </c>
      <c r="O1050" s="5" t="str">
        <f ca="1">IFERROR(__xludf.DUMMYFUNCTION("""COMPUTED_VALUE"""),"Elementary")</f>
        <v>Elementary</v>
      </c>
      <c r="P1050" s="5" t="str">
        <f ca="1">IFERROR(__xludf.DUMMYFUNCTION("""COMPUTED_VALUE"""),"Basketball Court")</f>
        <v>Basketball Court</v>
      </c>
      <c r="Q1050" s="5" t="str">
        <f ca="1">IFERROR(__xludf.DUMMYFUNCTION("""COMPUTED_VALUE"""),"Outside on School Property")</f>
        <v>Outside on School Property</v>
      </c>
      <c r="R1050" s="5" t="str">
        <f ca="1">IFERROR(__xludf.DUMMYFUNCTION("""COMPUTED_VALUE"""),"No")</f>
        <v>No</v>
      </c>
      <c r="S1050" s="5" t="str">
        <f ca="1">IFERROR(__xludf.DUMMYFUNCTION("""COMPUTED_VALUE"""),"Evening")</f>
        <v>Evening</v>
      </c>
      <c r="T1050" s="10">
        <f ca="1">IFERROR(__xludf.DUMMYFUNCTION("""COMPUTED_VALUE"""),0.770833333333333)</f>
        <v>0.77083333333333304</v>
      </c>
      <c r="U1050" s="5">
        <f ca="1">IFERROR(__xludf.DUMMYFUNCTION("""COMPUTED_VALUE"""),1)</f>
        <v>1</v>
      </c>
      <c r="V1050" s="5" t="str">
        <f ca="1">IFERROR(__xludf.DUMMYFUNCTION("""COMPUTED_VALUE"""),"Argument on the outdoor basketball court, result of an ongoing gang feud")</f>
        <v>Argument on the outdoor basketball court, result of an ongoing gang feud</v>
      </c>
      <c r="W1050"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X1050" s="5" t="str">
        <f ca="1">IFERROR(__xludf.DUMMYFUNCTION("""COMPUTED_VALUE"""),"Escalation of Dispute")</f>
        <v>Escalation of Dispute</v>
      </c>
      <c r="Y1050" s="5" t="str">
        <f ca="1">IFERROR(__xludf.DUMMYFUNCTION("""COMPUTED_VALUE"""),"Victims Targeted")</f>
        <v>Victims Targeted</v>
      </c>
      <c r="Z1050" s="5"/>
      <c r="AA1050" s="5"/>
      <c r="AB1050" s="5" t="str">
        <f ca="1">IFERROR(__xludf.DUMMYFUNCTION("""COMPUTED_VALUE"""),"No")</f>
        <v>No</v>
      </c>
      <c r="AC1050" s="5" t="str">
        <f ca="1">IFERROR(__xludf.DUMMYFUNCTION("""COMPUTED_VALUE"""),"No")</f>
        <v>No</v>
      </c>
      <c r="AD1050" s="5" t="str">
        <f ca="1">IFERROR(__xludf.DUMMYFUNCTION("""COMPUTED_VALUE"""),"No")</f>
        <v>No</v>
      </c>
      <c r="AE1050" s="5" t="str">
        <f ca="1">IFERROR(__xludf.DUMMYFUNCTION("""COMPUTED_VALUE"""),"No")</f>
        <v>No</v>
      </c>
      <c r="AF1050" s="5" t="str">
        <f ca="1">IFERROR(__xludf.DUMMYFUNCTION("""COMPUTED_VALUE"""),"No")</f>
        <v>No</v>
      </c>
      <c r="AG1050" s="5" t="str">
        <f ca="1">IFERROR(__xludf.DUMMYFUNCTION("""COMPUTED_VALUE"""),"Yes")</f>
        <v>Yes</v>
      </c>
      <c r="AH1050" s="5"/>
    </row>
    <row r="1051" spans="1:34" ht="12.75">
      <c r="A1051" s="5" t="str">
        <f ca="1">IFERROR(__xludf.DUMMYFUNCTION("""COMPUTED_VALUE"""),"20110419TXBEH")</f>
        <v>20110419TXBEH</v>
      </c>
      <c r="B1051" s="8">
        <f ca="1">IFERROR(__xludf.DUMMYFUNCTION("""COMPUTED_VALUE"""),40652)</f>
        <v>40652</v>
      </c>
      <c r="C1051" s="5" t="str">
        <f ca="1">IFERROR(__xludf.DUMMYFUNCTION("""COMPUTED_VALUE"""),"Betsy Ross Elementary School")</f>
        <v>Betsy Ross Elementary School</v>
      </c>
      <c r="D1051" s="5">
        <f ca="1">IFERROR(__xludf.DUMMYFUNCTION("""COMPUTED_VALUE"""),0)</f>
        <v>0</v>
      </c>
      <c r="E1051" s="5">
        <f ca="1">IFERROR(__xludf.DUMMYFUNCTION("""COMPUTED_VALUE"""),3)</f>
        <v>3</v>
      </c>
      <c r="F1051" s="5">
        <f ca="1">IFERROR(__xludf.DUMMYFUNCTION("""COMPUTED_VALUE"""),3)</f>
        <v>3</v>
      </c>
      <c r="G1051" s="5">
        <f ca="1">IFERROR(__xludf.DUMMYFUNCTION("""COMPUTED_VALUE"""),0)</f>
        <v>0</v>
      </c>
      <c r="H1051"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I1051" s="5">
        <f ca="1">IFERROR(__xludf.DUMMYFUNCTION("""COMPUTED_VALUE"""),5)</f>
        <v>5</v>
      </c>
      <c r="J1051" s="5" t="str">
        <f ca="1">IFERROR(__xludf.DUMMYFUNCTION("""COMPUTED_VALUE"""),"National")</f>
        <v>National</v>
      </c>
      <c r="K1051" s="5">
        <f ca="1">IFERROR(__xludf.DUMMYFUNCTION("""COMPUTED_VALUE"""),4)</f>
        <v>4</v>
      </c>
      <c r="L1051" s="5" t="str">
        <f ca="1">IFERROR(__xludf.DUMMYFUNCTION("""COMPUTED_VALUE"""),"Spring")</f>
        <v>Spring</v>
      </c>
      <c r="M1051" s="5" t="str">
        <f ca="1">IFERROR(__xludf.DUMMYFUNCTION("""COMPUTED_VALUE"""),"Houston")</f>
        <v>Houston</v>
      </c>
      <c r="N1051" s="5" t="str">
        <f ca="1">IFERROR(__xludf.DUMMYFUNCTION("""COMPUTED_VALUE"""),"TX")</f>
        <v>TX</v>
      </c>
      <c r="O1051" s="5" t="str">
        <f ca="1">IFERROR(__xludf.DUMMYFUNCTION("""COMPUTED_VALUE"""),"Elementary")</f>
        <v>Elementary</v>
      </c>
      <c r="P1051" s="5" t="str">
        <f ca="1">IFERROR(__xludf.DUMMYFUNCTION("""COMPUTED_VALUE"""),"Cafeteria")</f>
        <v>Cafeteria</v>
      </c>
      <c r="Q1051" s="5" t="str">
        <f ca="1">IFERROR(__xludf.DUMMYFUNCTION("""COMPUTED_VALUE"""),"Inside School Building")</f>
        <v>Inside School Building</v>
      </c>
      <c r="R1051" s="5" t="str">
        <f ca="1">IFERROR(__xludf.DUMMYFUNCTION("""COMPUTED_VALUE"""),"Yes")</f>
        <v>Yes</v>
      </c>
      <c r="S1051" s="5" t="str">
        <f ca="1">IFERROR(__xludf.DUMMYFUNCTION("""COMPUTED_VALUE"""),"Lunch")</f>
        <v>Lunch</v>
      </c>
      <c r="T1051" s="10">
        <f ca="1">IFERROR(__xludf.DUMMYFUNCTION("""COMPUTED_VALUE"""),0.458333333333333)</f>
        <v>0.45833333333333298</v>
      </c>
      <c r="U1051" s="5">
        <f ca="1">IFERROR(__xludf.DUMMYFUNCTION("""COMPUTED_VALUE"""),1)</f>
        <v>1</v>
      </c>
      <c r="V1051" s="5" t="str">
        <f ca="1">IFERROR(__xludf.DUMMYFUNCTION("""COMPUTED_VALUE"""),"Gun fell out of pocket of 6 YOM student in cafeteria, injured 3")</f>
        <v>Gun fell out of pocket of 6 YOM student in cafeteria, injured 3</v>
      </c>
      <c r="W1051"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X1051" s="5" t="str">
        <f ca="1">IFERROR(__xludf.DUMMYFUNCTION("""COMPUTED_VALUE"""),"Accidental")</f>
        <v>Accidental</v>
      </c>
      <c r="Y1051" s="5" t="str">
        <f ca="1">IFERROR(__xludf.DUMMYFUNCTION("""COMPUTED_VALUE"""),"Random Shooting")</f>
        <v>Random Shooting</v>
      </c>
      <c r="Z1051" s="5" t="str">
        <f ca="1">IFERROR(__xludf.DUMMYFUNCTION("""COMPUTED_VALUE"""),"No")</f>
        <v>No</v>
      </c>
      <c r="AA1051" s="5"/>
      <c r="AB1051" s="5" t="str">
        <f ca="1">IFERROR(__xludf.DUMMYFUNCTION("""COMPUTED_VALUE"""),"No")</f>
        <v>No</v>
      </c>
      <c r="AC1051" s="5" t="str">
        <f ca="1">IFERROR(__xludf.DUMMYFUNCTION("""COMPUTED_VALUE"""),"No")</f>
        <v>No</v>
      </c>
      <c r="AD1051" s="5" t="str">
        <f ca="1">IFERROR(__xludf.DUMMYFUNCTION("""COMPUTED_VALUE"""),"No")</f>
        <v>No</v>
      </c>
      <c r="AE1051" s="5" t="str">
        <f ca="1">IFERROR(__xludf.DUMMYFUNCTION("""COMPUTED_VALUE"""),"No")</f>
        <v>No</v>
      </c>
      <c r="AF1051" s="5" t="str">
        <f ca="1">IFERROR(__xludf.DUMMYFUNCTION("""COMPUTED_VALUE"""),"No")</f>
        <v>No</v>
      </c>
      <c r="AG1051" s="5" t="str">
        <f ca="1">IFERROR(__xludf.DUMMYFUNCTION("""COMPUTED_VALUE"""),"No")</f>
        <v>No</v>
      </c>
      <c r="AH1051" s="5"/>
    </row>
    <row r="1052" spans="1:34" ht="12.75">
      <c r="A1052" s="5" t="str">
        <f ca="1">IFERROR(__xludf.DUMMYFUNCTION("""COMPUTED_VALUE"""),"20110413FLSHA")</f>
        <v>20110413FLSHA</v>
      </c>
      <c r="B1052" s="8">
        <f ca="1">IFERROR(__xludf.DUMMYFUNCTION("""COMPUTED_VALUE"""),40646)</f>
        <v>40646</v>
      </c>
      <c r="C1052" s="5" t="str">
        <f ca="1">IFERROR(__xludf.DUMMYFUNCTION("""COMPUTED_VALUE"""),"Sheeler Charter High School")</f>
        <v>Sheeler Charter High School</v>
      </c>
      <c r="D1052" s="5">
        <f ca="1">IFERROR(__xludf.DUMMYFUNCTION("""COMPUTED_VALUE"""),0)</f>
        <v>0</v>
      </c>
      <c r="E1052" s="5">
        <f ca="1">IFERROR(__xludf.DUMMYFUNCTION("""COMPUTED_VALUE"""),1)</f>
        <v>1</v>
      </c>
      <c r="F1052" s="5">
        <f ca="1">IFERROR(__xludf.DUMMYFUNCTION("""COMPUTED_VALUE"""),1)</f>
        <v>1</v>
      </c>
      <c r="G1052" s="5">
        <f ca="1">IFERROR(__xludf.DUMMYFUNCTION("""COMPUTED_VALUE"""),0)</f>
        <v>0</v>
      </c>
      <c r="H1052"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I1052" s="5">
        <f ca="1">IFERROR(__xludf.DUMMYFUNCTION("""COMPUTED_VALUE"""),1)</f>
        <v>1</v>
      </c>
      <c r="J1052" s="5" t="str">
        <f ca="1">IFERROR(__xludf.DUMMYFUNCTION("""COMPUTED_VALUE"""),"Local")</f>
        <v>Local</v>
      </c>
      <c r="K1052" s="5">
        <f ca="1">IFERROR(__xludf.DUMMYFUNCTION("""COMPUTED_VALUE"""),3)</f>
        <v>3</v>
      </c>
      <c r="L1052" s="5" t="str">
        <f ca="1">IFERROR(__xludf.DUMMYFUNCTION("""COMPUTED_VALUE"""),"Spring")</f>
        <v>Spring</v>
      </c>
      <c r="M1052" s="5" t="str">
        <f ca="1">IFERROR(__xludf.DUMMYFUNCTION("""COMPUTED_VALUE"""),"Apopka")</f>
        <v>Apopka</v>
      </c>
      <c r="N1052" s="5" t="str">
        <f ca="1">IFERROR(__xludf.DUMMYFUNCTION("""COMPUTED_VALUE"""),"FL")</f>
        <v>FL</v>
      </c>
      <c r="O1052" s="5" t="str">
        <f ca="1">IFERROR(__xludf.DUMMYFUNCTION("""COMPUTED_VALUE"""),"High")</f>
        <v>High</v>
      </c>
      <c r="P1052" s="5" t="str">
        <f ca="1">IFERROR(__xludf.DUMMYFUNCTION("""COMPUTED_VALUE"""),"Parking Lot")</f>
        <v>Parking Lot</v>
      </c>
      <c r="Q1052" s="5" t="str">
        <f ca="1">IFERROR(__xludf.DUMMYFUNCTION("""COMPUTED_VALUE"""),"Outside on School Property")</f>
        <v>Outside on School Property</v>
      </c>
      <c r="R1052" s="5" t="str">
        <f ca="1">IFERROR(__xludf.DUMMYFUNCTION("""COMPUTED_VALUE"""),"Yes")</f>
        <v>Yes</v>
      </c>
      <c r="S1052" s="5" t="str">
        <f ca="1">IFERROR(__xludf.DUMMYFUNCTION("""COMPUTED_VALUE"""),"Lunch")</f>
        <v>Lunch</v>
      </c>
      <c r="T1052" s="10">
        <f ca="1">IFERROR(__xludf.DUMMYFUNCTION("""COMPUTED_VALUE"""),0.5)</f>
        <v>0.5</v>
      </c>
      <c r="U1052" s="5">
        <f ca="1">IFERROR(__xludf.DUMMYFUNCTION("""COMPUTED_VALUE"""),1)</f>
        <v>1</v>
      </c>
      <c r="V1052" s="5" t="str">
        <f ca="1">IFERROR(__xludf.DUMMYFUNCTION("""COMPUTED_VALUE"""),"Fight in school parking lot")</f>
        <v>Fight in school parking lot</v>
      </c>
      <c r="W1052"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X1052" s="5" t="str">
        <f ca="1">IFERROR(__xludf.DUMMYFUNCTION("""COMPUTED_VALUE"""),"Escalation of Dispute")</f>
        <v>Escalation of Dispute</v>
      </c>
      <c r="Y1052" s="5" t="str">
        <f ca="1">IFERROR(__xludf.DUMMYFUNCTION("""COMPUTED_VALUE"""),"Both")</f>
        <v>Both</v>
      </c>
      <c r="Z1052" s="5" t="str">
        <f ca="1">IFERROR(__xludf.DUMMYFUNCTION("""COMPUTED_VALUE"""),"Yes")</f>
        <v>Yes</v>
      </c>
      <c r="AA1052" s="5" t="str">
        <f ca="1">IFERROR(__xludf.DUMMYFUNCTION("""COMPUTED_VALUE"""),"Other non-student (17 YOM) accomplice was shot accidentally, later charged with battery and trespassing")</f>
        <v>Other non-student (17 YOM) accomplice was shot accidentally, later charged with battery and trespassing</v>
      </c>
      <c r="AB1052" s="5" t="str">
        <f ca="1">IFERROR(__xludf.DUMMYFUNCTION("""COMPUTED_VALUE"""),"No")</f>
        <v>No</v>
      </c>
      <c r="AC1052" s="5" t="str">
        <f ca="1">IFERROR(__xludf.DUMMYFUNCTION("""COMPUTED_VALUE"""),"No")</f>
        <v>No</v>
      </c>
      <c r="AD1052" s="5" t="str">
        <f ca="1">IFERROR(__xludf.DUMMYFUNCTION("""COMPUTED_VALUE"""),"No")</f>
        <v>No</v>
      </c>
      <c r="AE1052" s="5" t="str">
        <f ca="1">IFERROR(__xludf.DUMMYFUNCTION("""COMPUTED_VALUE"""),"No")</f>
        <v>No</v>
      </c>
      <c r="AF1052" s="5" t="str">
        <f ca="1">IFERROR(__xludf.DUMMYFUNCTION("""COMPUTED_VALUE"""),"No")</f>
        <v>No</v>
      </c>
      <c r="AG1052" s="5" t="str">
        <f ca="1">IFERROR(__xludf.DUMMYFUNCTION("""COMPUTED_VALUE"""),"No")</f>
        <v>No</v>
      </c>
      <c r="AH1052" s="5"/>
    </row>
    <row r="1053" spans="1:34" ht="12.75">
      <c r="A1053" s="5" t="str">
        <f ca="1">IFERROR(__xludf.DUMMYFUNCTION("""COMPUTED_VALUE"""),"20110330TXWOH")</f>
        <v>20110330TXWOH</v>
      </c>
      <c r="B1053" s="8">
        <f ca="1">IFERROR(__xludf.DUMMYFUNCTION("""COMPUTED_VALUE"""),40632)</f>
        <v>40632</v>
      </c>
      <c r="C1053" s="5" t="str">
        <f ca="1">IFERROR(__xludf.DUMMYFUNCTION("""COMPUTED_VALUE"""),"Worthing High School")</f>
        <v>Worthing High School</v>
      </c>
      <c r="D1053" s="5">
        <f ca="1">IFERROR(__xludf.DUMMYFUNCTION("""COMPUTED_VALUE"""),1)</f>
        <v>1</v>
      </c>
      <c r="E1053" s="5">
        <f ca="1">IFERROR(__xludf.DUMMYFUNCTION("""COMPUTED_VALUE"""),5)</f>
        <v>5</v>
      </c>
      <c r="F1053" s="5">
        <f ca="1">IFERROR(__xludf.DUMMYFUNCTION("""COMPUTED_VALUE"""),6)</f>
        <v>6</v>
      </c>
      <c r="G1053" s="5">
        <f ca="1">IFERROR(__xludf.DUMMYFUNCTION("""COMPUTED_VALUE"""),0)</f>
        <v>0</v>
      </c>
      <c r="H1053" s="9" t="str">
        <f ca="1">IFERROR(__xludf.DUMMYFUNCTION("""COMPUTED_VALUE"""),"https://abc13.com/archive/8044190/")</f>
        <v>https://abc13.com/archive/8044190/</v>
      </c>
      <c r="I1053" s="5">
        <f ca="1">IFERROR(__xludf.DUMMYFUNCTION("""COMPUTED_VALUE"""),5)</f>
        <v>5</v>
      </c>
      <c r="J1053" s="5" t="str">
        <f ca="1">IFERROR(__xludf.DUMMYFUNCTION("""COMPUTED_VALUE"""),"Local")</f>
        <v>Local</v>
      </c>
      <c r="K1053" s="5">
        <f ca="1">IFERROR(__xludf.DUMMYFUNCTION("""COMPUTED_VALUE"""),2)</f>
        <v>2</v>
      </c>
      <c r="L1053" s="5" t="str">
        <f ca="1">IFERROR(__xludf.DUMMYFUNCTION("""COMPUTED_VALUE"""),"Spring")</f>
        <v>Spring</v>
      </c>
      <c r="M1053" s="5" t="str">
        <f ca="1">IFERROR(__xludf.DUMMYFUNCTION("""COMPUTED_VALUE"""),"Houston")</f>
        <v>Houston</v>
      </c>
      <c r="N1053" s="5" t="str">
        <f ca="1">IFERROR(__xludf.DUMMYFUNCTION("""COMPUTED_VALUE"""),"TX")</f>
        <v>TX</v>
      </c>
      <c r="O1053" s="5" t="str">
        <f ca="1">IFERROR(__xludf.DUMMYFUNCTION("""COMPUTED_VALUE"""),"High")</f>
        <v>High</v>
      </c>
      <c r="P1053" s="5" t="str">
        <f ca="1">IFERROR(__xludf.DUMMYFUNCTION("""COMPUTED_VALUE"""),"Football Field/Track")</f>
        <v>Football Field/Track</v>
      </c>
      <c r="Q1053" s="5" t="str">
        <f ca="1">IFERROR(__xludf.DUMMYFUNCTION("""COMPUTED_VALUE"""),"Outside on School Property")</f>
        <v>Outside on School Property</v>
      </c>
      <c r="R1053" s="5" t="str">
        <f ca="1">IFERROR(__xludf.DUMMYFUNCTION("""COMPUTED_VALUE"""),"No")</f>
        <v>No</v>
      </c>
      <c r="S1053" s="5" t="str">
        <f ca="1">IFERROR(__xludf.DUMMYFUNCTION("""COMPUTED_VALUE"""),"Sport Event")</f>
        <v>Sport Event</v>
      </c>
      <c r="T1053" s="10">
        <f ca="1">IFERROR(__xludf.DUMMYFUNCTION("""COMPUTED_VALUE"""),0.78125)</f>
        <v>0.78125</v>
      </c>
      <c r="U1053" s="5">
        <f ca="1">IFERROR(__xludf.DUMMYFUNCTION("""COMPUTED_VALUE"""),1)</f>
        <v>1</v>
      </c>
      <c r="V1053" s="5" t="str">
        <f ca="1">IFERROR(__xludf.DUMMYFUNCTION("""COMPUTED_VALUE"""),"Gang related shooting at football game")</f>
        <v>Gang related shooting at football game</v>
      </c>
      <c r="W1053"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X1053" s="5" t="str">
        <f ca="1">IFERROR(__xludf.DUMMYFUNCTION("""COMPUTED_VALUE"""),"Escalation of Dispute")</f>
        <v>Escalation of Dispute</v>
      </c>
      <c r="Y1053" s="5" t="str">
        <f ca="1">IFERROR(__xludf.DUMMYFUNCTION("""COMPUTED_VALUE"""),"Both")</f>
        <v>Both</v>
      </c>
      <c r="Z1053" s="5"/>
      <c r="AA1053" s="5"/>
      <c r="AB1053" s="5" t="str">
        <f ca="1">IFERROR(__xludf.DUMMYFUNCTION("""COMPUTED_VALUE"""),"No")</f>
        <v>No</v>
      </c>
      <c r="AC1053" s="5" t="str">
        <f ca="1">IFERROR(__xludf.DUMMYFUNCTION("""COMPUTED_VALUE"""),"No")</f>
        <v>No</v>
      </c>
      <c r="AD1053" s="5" t="str">
        <f ca="1">IFERROR(__xludf.DUMMYFUNCTION("""COMPUTED_VALUE"""),"No")</f>
        <v>No</v>
      </c>
      <c r="AE1053" s="5" t="str">
        <f ca="1">IFERROR(__xludf.DUMMYFUNCTION("""COMPUTED_VALUE"""),"No")</f>
        <v>No</v>
      </c>
      <c r="AF1053" s="5" t="str">
        <f ca="1">IFERROR(__xludf.DUMMYFUNCTION("""COMPUTED_VALUE"""),"No")</f>
        <v>No</v>
      </c>
      <c r="AG1053" s="5" t="str">
        <f ca="1">IFERROR(__xludf.DUMMYFUNCTION("""COMPUTED_VALUE"""),"Yes")</f>
        <v>Yes</v>
      </c>
      <c r="AH1053" s="5"/>
    </row>
    <row r="1054" spans="1:34" ht="12.75">
      <c r="A1054" s="5" t="str">
        <f ca="1">IFERROR(__xludf.DUMMYFUNCTION("""COMPUTED_VALUE"""),"20110325INMAM")</f>
        <v>20110325INMAM</v>
      </c>
      <c r="B1054" s="8">
        <f ca="1">IFERROR(__xludf.DUMMYFUNCTION("""COMPUTED_VALUE"""),40627)</f>
        <v>40627</v>
      </c>
      <c r="C1054" s="5" t="str">
        <f ca="1">IFERROR(__xludf.DUMMYFUNCTION("""COMPUTED_VALUE"""),"Martinsville West Middle School")</f>
        <v>Martinsville West Middle School</v>
      </c>
      <c r="D1054" s="5">
        <f ca="1">IFERROR(__xludf.DUMMYFUNCTION("""COMPUTED_VALUE"""),0)</f>
        <v>0</v>
      </c>
      <c r="E1054" s="5">
        <f ca="1">IFERROR(__xludf.DUMMYFUNCTION("""COMPUTED_VALUE"""),1)</f>
        <v>1</v>
      </c>
      <c r="F1054" s="5">
        <f ca="1">IFERROR(__xludf.DUMMYFUNCTION("""COMPUTED_VALUE"""),1)</f>
        <v>1</v>
      </c>
      <c r="G1054" s="5">
        <f ca="1">IFERROR(__xludf.DUMMYFUNCTION("""COMPUTED_VALUE"""),0)</f>
        <v>0</v>
      </c>
      <c r="H1054" s="9" t="str">
        <f ca="1">IFERROR(__xludf.DUMMYFUNCTION("""COMPUTED_VALUE"""),"https://www.courtlistener.com/pdf/2012/06/11/michael_phelps_v._state_of_indiana.pdf")</f>
        <v>https://www.courtlistener.com/pdf/2012/06/11/michael_phelps_v._state_of_indiana.pdf</v>
      </c>
      <c r="I1054" s="5">
        <f ca="1">IFERROR(__xludf.DUMMYFUNCTION("""COMPUTED_VALUE"""),11)</f>
        <v>11</v>
      </c>
      <c r="J1054" s="5" t="str">
        <f ca="1">IFERROR(__xludf.DUMMYFUNCTION("""COMPUTED_VALUE"""),"National")</f>
        <v>National</v>
      </c>
      <c r="K1054" s="5">
        <f ca="1">IFERROR(__xludf.DUMMYFUNCTION("""COMPUTED_VALUE"""),5)</f>
        <v>5</v>
      </c>
      <c r="L1054" s="5" t="str">
        <f ca="1">IFERROR(__xludf.DUMMYFUNCTION("""COMPUTED_VALUE"""),"Spring")</f>
        <v>Spring</v>
      </c>
      <c r="M1054" s="5" t="str">
        <f ca="1">IFERROR(__xludf.DUMMYFUNCTION("""COMPUTED_VALUE"""),"Martinsville")</f>
        <v>Martinsville</v>
      </c>
      <c r="N1054" s="5" t="str">
        <f ca="1">IFERROR(__xludf.DUMMYFUNCTION("""COMPUTED_VALUE"""),"IN")</f>
        <v>IN</v>
      </c>
      <c r="O1054" s="5" t="str">
        <f ca="1">IFERROR(__xludf.DUMMYFUNCTION("""COMPUTED_VALUE"""),"Middle")</f>
        <v>Middle</v>
      </c>
      <c r="P1054" s="5" t="str">
        <f ca="1">IFERROR(__xludf.DUMMYFUNCTION("""COMPUTED_VALUE"""),"Hallway")</f>
        <v>Hallway</v>
      </c>
      <c r="Q1054" s="5" t="str">
        <f ca="1">IFERROR(__xludf.DUMMYFUNCTION("""COMPUTED_VALUE"""),"Inside School Building")</f>
        <v>Inside School Building</v>
      </c>
      <c r="R1054" s="5" t="str">
        <f ca="1">IFERROR(__xludf.DUMMYFUNCTION("""COMPUTED_VALUE"""),"Yes")</f>
        <v>Yes</v>
      </c>
      <c r="S1054" s="5" t="str">
        <f ca="1">IFERROR(__xludf.DUMMYFUNCTION("""COMPUTED_VALUE"""),"Before School")</f>
        <v>Before School</v>
      </c>
      <c r="T1054" s="10">
        <f ca="1">IFERROR(__xludf.DUMMYFUNCTION("""COMPUTED_VALUE"""),0.291666666666666)</f>
        <v>0.29166666666666602</v>
      </c>
      <c r="U1054" s="5">
        <f ca="1">IFERROR(__xludf.DUMMYFUNCTION("""COMPUTED_VALUE"""),1)</f>
        <v>1</v>
      </c>
      <c r="V1054" s="5" t="str">
        <f ca="1">IFERROR(__xludf.DUMMYFUNCTION("""COMPUTED_VALUE"""),"Shooter and victim had multiple prior fights")</f>
        <v>Shooter and victim had multiple prior fights</v>
      </c>
      <c r="W1054"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X1054" s="5" t="str">
        <f ca="1">IFERROR(__xludf.DUMMYFUNCTION("""COMPUTED_VALUE"""),"Escalation of Dispute")</f>
        <v>Escalation of Dispute</v>
      </c>
      <c r="Y1054" s="5" t="str">
        <f ca="1">IFERROR(__xludf.DUMMYFUNCTION("""COMPUTED_VALUE"""),"Victims Targeted")</f>
        <v>Victims Targeted</v>
      </c>
      <c r="Z1054" s="5" t="str">
        <f ca="1">IFERROR(__xludf.DUMMYFUNCTION("""COMPUTED_VALUE"""),"No")</f>
        <v>No</v>
      </c>
      <c r="AA1054" s="5"/>
      <c r="AB1054" s="5" t="str">
        <f ca="1">IFERROR(__xludf.DUMMYFUNCTION("""COMPUTED_VALUE"""),"No")</f>
        <v>No</v>
      </c>
      <c r="AC1054" s="5" t="str">
        <f ca="1">IFERROR(__xludf.DUMMYFUNCTION("""COMPUTED_VALUE"""),"No")</f>
        <v>No</v>
      </c>
      <c r="AD1054" s="5" t="str">
        <f ca="1">IFERROR(__xludf.DUMMYFUNCTION("""COMPUTED_VALUE"""),"No")</f>
        <v>No</v>
      </c>
      <c r="AE1054" s="5" t="str">
        <f ca="1">IFERROR(__xludf.DUMMYFUNCTION("""COMPUTED_VALUE"""),"No")</f>
        <v>No</v>
      </c>
      <c r="AF1054" s="5" t="str">
        <f ca="1">IFERROR(__xludf.DUMMYFUNCTION("""COMPUTED_VALUE"""),"Yes")</f>
        <v>Yes</v>
      </c>
      <c r="AG1054" s="5" t="str">
        <f ca="1">IFERROR(__xludf.DUMMYFUNCTION("""COMPUTED_VALUE"""),"No")</f>
        <v>No</v>
      </c>
      <c r="AH1054" s="5"/>
    </row>
    <row r="1055" spans="1:34" ht="12.75">
      <c r="A1055" s="5" t="str">
        <f ca="1">IFERROR(__xludf.DUMMYFUNCTION("""COMPUTED_VALUE"""),"20110202CALOP")</f>
        <v>20110202CALOP</v>
      </c>
      <c r="B1055" s="8">
        <f ca="1">IFERROR(__xludf.DUMMYFUNCTION("""COMPUTED_VALUE"""),40576)</f>
        <v>40576</v>
      </c>
      <c r="C1055" s="5" t="str">
        <f ca="1">IFERROR(__xludf.DUMMYFUNCTION("""COMPUTED_VALUE"""),"Louisiana Schnell Elementary School")</f>
        <v>Louisiana Schnell Elementary School</v>
      </c>
      <c r="D1055" s="5">
        <f ca="1">IFERROR(__xludf.DUMMYFUNCTION("""COMPUTED_VALUE"""),1)</f>
        <v>1</v>
      </c>
      <c r="E1055" s="5">
        <f ca="1">IFERROR(__xludf.DUMMYFUNCTION("""COMPUTED_VALUE"""),0)</f>
        <v>0</v>
      </c>
      <c r="F1055" s="5">
        <f ca="1">IFERROR(__xludf.DUMMYFUNCTION("""COMPUTED_VALUE"""),1)</f>
        <v>1</v>
      </c>
      <c r="G1055" s="5">
        <f ca="1">IFERROR(__xludf.DUMMYFUNCTION("""COMPUTED_VALUE"""),0)</f>
        <v>0</v>
      </c>
      <c r="H1055" s="9" t="str">
        <f ca="1">IFERROR(__xludf.DUMMYFUNCTION("""COMPUTED_VALUE"""),"https://sacramento.cbslocal.com/2012/04/24/verdict-reached-in-placerville-principal-slaying/")</f>
        <v>https://sacramento.cbslocal.com/2012/04/24/verdict-reached-in-placerville-principal-slaying/</v>
      </c>
      <c r="I1055" s="5">
        <f ca="1">IFERROR(__xludf.DUMMYFUNCTION("""COMPUTED_VALUE"""),5)</f>
        <v>5</v>
      </c>
      <c r="J1055" s="5" t="str">
        <f ca="1">IFERROR(__xludf.DUMMYFUNCTION("""COMPUTED_VALUE"""),"National")</f>
        <v>National</v>
      </c>
      <c r="K1055" s="5">
        <f ca="1">IFERROR(__xludf.DUMMYFUNCTION("""COMPUTED_VALUE"""),4)</f>
        <v>4</v>
      </c>
      <c r="L1055" s="5" t="str">
        <f ca="1">IFERROR(__xludf.DUMMYFUNCTION("""COMPUTED_VALUE"""),"Winter")</f>
        <v>Winter</v>
      </c>
      <c r="M1055" s="5" t="str">
        <f ca="1">IFERROR(__xludf.DUMMYFUNCTION("""COMPUTED_VALUE"""),"Placerville")</f>
        <v>Placerville</v>
      </c>
      <c r="N1055" s="5" t="str">
        <f ca="1">IFERROR(__xludf.DUMMYFUNCTION("""COMPUTED_VALUE"""),"CA")</f>
        <v>CA</v>
      </c>
      <c r="O1055" s="5" t="str">
        <f ca="1">IFERROR(__xludf.DUMMYFUNCTION("""COMPUTED_VALUE"""),"Elementary")</f>
        <v>Elementary</v>
      </c>
      <c r="P1055" s="5" t="str">
        <f ca="1">IFERROR(__xludf.DUMMYFUNCTION("""COMPUTED_VALUE"""),"Office")</f>
        <v>Office</v>
      </c>
      <c r="Q1055" s="5" t="str">
        <f ca="1">IFERROR(__xludf.DUMMYFUNCTION("""COMPUTED_VALUE"""),"Inside School Building")</f>
        <v>Inside School Building</v>
      </c>
      <c r="R1055" s="5" t="str">
        <f ca="1">IFERROR(__xludf.DUMMYFUNCTION("""COMPUTED_VALUE"""),"Yes")</f>
        <v>Yes</v>
      </c>
      <c r="S1055" s="5" t="str">
        <f ca="1">IFERROR(__xludf.DUMMYFUNCTION("""COMPUTED_VALUE"""),"Morning Classes")</f>
        <v>Morning Classes</v>
      </c>
      <c r="T1055" s="10">
        <f ca="1">IFERROR(__xludf.DUMMYFUNCTION("""COMPUTED_VALUE"""),0.442361111111111)</f>
        <v>0.44236111111111098</v>
      </c>
      <c r="U1055" s="5">
        <f ca="1">IFERROR(__xludf.DUMMYFUNCTION("""COMPUTED_VALUE"""),1)</f>
        <v>1</v>
      </c>
      <c r="V1055" s="5" t="str">
        <f ca="1">IFERROR(__xludf.DUMMYFUNCTION("""COMPUTED_VALUE"""),"Dispute over hiring of new employee")</f>
        <v>Dispute over hiring of new employee</v>
      </c>
      <c r="W1055"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X1055" s="5" t="str">
        <f ca="1">IFERROR(__xludf.DUMMYFUNCTION("""COMPUTED_VALUE"""),"Escalation of Dispute")</f>
        <v>Escalation of Dispute</v>
      </c>
      <c r="Y1055" s="5" t="str">
        <f ca="1">IFERROR(__xludf.DUMMYFUNCTION("""COMPUTED_VALUE"""),"Victims Targeted")</f>
        <v>Victims Targeted</v>
      </c>
      <c r="Z1055" s="5" t="str">
        <f ca="1">IFERROR(__xludf.DUMMYFUNCTION("""COMPUTED_VALUE"""),"No")</f>
        <v>No</v>
      </c>
      <c r="AA1055" s="5"/>
      <c r="AB1055" s="5" t="str">
        <f ca="1">IFERROR(__xludf.DUMMYFUNCTION("""COMPUTED_VALUE"""),"No")</f>
        <v>No</v>
      </c>
      <c r="AC1055" s="5" t="str">
        <f ca="1">IFERROR(__xludf.DUMMYFUNCTION("""COMPUTED_VALUE"""),"No")</f>
        <v>No</v>
      </c>
      <c r="AD1055" s="5" t="str">
        <f ca="1">IFERROR(__xludf.DUMMYFUNCTION("""COMPUTED_VALUE"""),"No")</f>
        <v>No</v>
      </c>
      <c r="AE1055" s="5" t="str">
        <f ca="1">IFERROR(__xludf.DUMMYFUNCTION("""COMPUTED_VALUE"""),"No")</f>
        <v>No</v>
      </c>
      <c r="AF1055" s="5" t="str">
        <f ca="1">IFERROR(__xludf.DUMMYFUNCTION("""COMPUTED_VALUE"""),"No")</f>
        <v>No</v>
      </c>
      <c r="AG1055" s="5" t="str">
        <f ca="1">IFERROR(__xludf.DUMMYFUNCTION("""COMPUTED_VALUE"""),"No")</f>
        <v>No</v>
      </c>
      <c r="AH1055" s="5"/>
    </row>
    <row r="1056" spans="1:34" ht="12.75">
      <c r="A1056" s="5" t="str">
        <f ca="1">IFERROR(__xludf.DUMMYFUNCTION("""COMPUTED_VALUE"""),"20110118CAGAL")</f>
        <v>20110118CAGAL</v>
      </c>
      <c r="B1056" s="8">
        <f ca="1">IFERROR(__xludf.DUMMYFUNCTION("""COMPUTED_VALUE"""),40561)</f>
        <v>40561</v>
      </c>
      <c r="C1056" s="5" t="str">
        <f ca="1">IFERROR(__xludf.DUMMYFUNCTION("""COMPUTED_VALUE"""),"Gardena High School")</f>
        <v>Gardena High School</v>
      </c>
      <c r="D1056" s="5">
        <f ca="1">IFERROR(__xludf.DUMMYFUNCTION("""COMPUTED_VALUE"""),0)</f>
        <v>0</v>
      </c>
      <c r="E1056" s="5">
        <f ca="1">IFERROR(__xludf.DUMMYFUNCTION("""COMPUTED_VALUE"""),2)</f>
        <v>2</v>
      </c>
      <c r="F1056" s="5">
        <f ca="1">IFERROR(__xludf.DUMMYFUNCTION("""COMPUTED_VALUE"""),2)</f>
        <v>2</v>
      </c>
      <c r="G1056" s="5">
        <f ca="1">IFERROR(__xludf.DUMMYFUNCTION("""COMPUTED_VALUE"""),0)</f>
        <v>0</v>
      </c>
      <c r="H1056" s="9" t="str">
        <f ca="1">IFERROR(__xludf.DUMMYFUNCTION("""COMPUTED_VALUE"""),"https://www.dailybreeze.com/2011/04/11/gardena-high-student-gets-9-months-for-having-gun-that-discharged/")</f>
        <v>https://www.dailybreeze.com/2011/04/11/gardena-high-student-gets-9-months-for-having-gun-that-discharged/</v>
      </c>
      <c r="I1056" s="5">
        <f ca="1">IFERROR(__xludf.DUMMYFUNCTION("""COMPUTED_VALUE"""),5)</f>
        <v>5</v>
      </c>
      <c r="J1056" s="5" t="str">
        <f ca="1">IFERROR(__xludf.DUMMYFUNCTION("""COMPUTED_VALUE"""),"National")</f>
        <v>National</v>
      </c>
      <c r="K1056" s="5">
        <f ca="1">IFERROR(__xludf.DUMMYFUNCTION("""COMPUTED_VALUE"""),4)</f>
        <v>4</v>
      </c>
      <c r="L1056" s="5" t="str">
        <f ca="1">IFERROR(__xludf.DUMMYFUNCTION("""COMPUTED_VALUE"""),"Winter")</f>
        <v>Winter</v>
      </c>
      <c r="M1056" s="5" t="str">
        <f ca="1">IFERROR(__xludf.DUMMYFUNCTION("""COMPUTED_VALUE"""),"Los Angeles")</f>
        <v>Los Angeles</v>
      </c>
      <c r="N1056" s="5" t="str">
        <f ca="1">IFERROR(__xludf.DUMMYFUNCTION("""COMPUTED_VALUE"""),"CA")</f>
        <v>CA</v>
      </c>
      <c r="O1056" s="5" t="str">
        <f ca="1">IFERROR(__xludf.DUMMYFUNCTION("""COMPUTED_VALUE"""),"High")</f>
        <v>High</v>
      </c>
      <c r="P1056" s="5" t="str">
        <f ca="1">IFERROR(__xludf.DUMMYFUNCTION("""COMPUTED_VALUE"""),"Classroom")</f>
        <v>Classroom</v>
      </c>
      <c r="Q1056" s="5" t="str">
        <f ca="1">IFERROR(__xludf.DUMMYFUNCTION("""COMPUTED_VALUE"""),"Inside School Building")</f>
        <v>Inside School Building</v>
      </c>
      <c r="R1056" s="5" t="str">
        <f ca="1">IFERROR(__xludf.DUMMYFUNCTION("""COMPUTED_VALUE"""),"Yes")</f>
        <v>Yes</v>
      </c>
      <c r="S1056" s="5" t="str">
        <f ca="1">IFERROR(__xludf.DUMMYFUNCTION("""COMPUTED_VALUE"""),"Morning Classes")</f>
        <v>Morning Classes</v>
      </c>
      <c r="T1056" s="10">
        <f ca="1">IFERROR(__xludf.DUMMYFUNCTION("""COMPUTED_VALUE"""),0.444444444444444)</f>
        <v>0.44444444444444398</v>
      </c>
      <c r="U1056" s="5">
        <f ca="1">IFERROR(__xludf.DUMMYFUNCTION("""COMPUTED_VALUE"""),1)</f>
        <v>1</v>
      </c>
      <c r="V1056" s="5" t="str">
        <f ca="1">IFERROR(__xludf.DUMMYFUNCTION("""COMPUTED_VALUE"""),"Gun was in backpack, accidentally went off striking two students")</f>
        <v>Gun was in backpack, accidentally went off striking two students</v>
      </c>
      <c r="W1056"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X1056" s="5" t="str">
        <f ca="1">IFERROR(__xludf.DUMMYFUNCTION("""COMPUTED_VALUE"""),"Accidental")</f>
        <v>Accidental</v>
      </c>
      <c r="Y1056" s="5" t="str">
        <f ca="1">IFERROR(__xludf.DUMMYFUNCTION("""COMPUTED_VALUE"""),"Random Shooting")</f>
        <v>Random Shooting</v>
      </c>
      <c r="Z1056" s="5" t="str">
        <f ca="1">IFERROR(__xludf.DUMMYFUNCTION("""COMPUTED_VALUE"""),"Yes")</f>
        <v>Yes</v>
      </c>
      <c r="AA1056" s="5" t="str">
        <f ca="1">IFERROR(__xludf.DUMMYFUNCTION("""COMPUTED_VALUE"""),"15YOF and 16YOM helped shooter change and get rid of backpack, no charges")</f>
        <v>15YOF and 16YOM helped shooter change and get rid of backpack, no charges</v>
      </c>
      <c r="AB1056" s="5" t="str">
        <f ca="1">IFERROR(__xludf.DUMMYFUNCTION("""COMPUTED_VALUE"""),"No")</f>
        <v>No</v>
      </c>
      <c r="AC1056" s="5" t="str">
        <f ca="1">IFERROR(__xludf.DUMMYFUNCTION("""COMPUTED_VALUE"""),"No")</f>
        <v>No</v>
      </c>
      <c r="AD1056" s="5" t="str">
        <f ca="1">IFERROR(__xludf.DUMMYFUNCTION("""COMPUTED_VALUE"""),"No")</f>
        <v>No</v>
      </c>
      <c r="AE1056" s="5" t="str">
        <f ca="1">IFERROR(__xludf.DUMMYFUNCTION("""COMPUTED_VALUE"""),"No")</f>
        <v>No</v>
      </c>
      <c r="AF1056" s="5" t="str">
        <f ca="1">IFERROR(__xludf.DUMMYFUNCTION("""COMPUTED_VALUE"""),"No")</f>
        <v>No</v>
      </c>
      <c r="AG1056" s="5" t="str">
        <f ca="1">IFERROR(__xludf.DUMMYFUNCTION("""COMPUTED_VALUE"""),"No")</f>
        <v>No</v>
      </c>
      <c r="AH1056" s="5"/>
    </row>
    <row r="1057" spans="1:34" ht="12.75">
      <c r="A1057" s="5" t="str">
        <f ca="1">IFERROR(__xludf.DUMMYFUNCTION("""COMPUTED_VALUE"""),"20110105NEMIO")</f>
        <v>20110105NEMIO</v>
      </c>
      <c r="B1057" s="8">
        <f ca="1">IFERROR(__xludf.DUMMYFUNCTION("""COMPUTED_VALUE"""),40548)</f>
        <v>40548</v>
      </c>
      <c r="C1057" s="5" t="str">
        <f ca="1">IFERROR(__xludf.DUMMYFUNCTION("""COMPUTED_VALUE"""),"Millard South High School")</f>
        <v>Millard South High School</v>
      </c>
      <c r="D1057" s="5">
        <f ca="1">IFERROR(__xludf.DUMMYFUNCTION("""COMPUTED_VALUE"""),1)</f>
        <v>1</v>
      </c>
      <c r="E1057" s="5">
        <f ca="1">IFERROR(__xludf.DUMMYFUNCTION("""COMPUTED_VALUE"""),1)</f>
        <v>1</v>
      </c>
      <c r="F1057" s="5">
        <f ca="1">IFERROR(__xludf.DUMMYFUNCTION("""COMPUTED_VALUE"""),2)</f>
        <v>2</v>
      </c>
      <c r="G1057" s="5">
        <f ca="1">IFERROR(__xludf.DUMMYFUNCTION("""COMPUTED_VALUE"""),1)</f>
        <v>1</v>
      </c>
      <c r="H1057" s="9" t="str">
        <f ca="1">IFERROR(__xludf.DUMMYFUNCTION("""COMPUTED_VALUE"""),"https://journalstar.com/news/state-and-regional/nebraska/the-millard-south-shooting-timeline/article_ef16c15d-c67e-54b5-b4fa-0742edc6085d.html")</f>
        <v>https://journalstar.com/news/state-and-regional/nebraska/the-millard-south-shooting-timeline/article_ef16c15d-c67e-54b5-b4fa-0742edc6085d.html</v>
      </c>
      <c r="I1057" s="5">
        <f ca="1">IFERROR(__xludf.DUMMYFUNCTION("""COMPUTED_VALUE"""),11)</f>
        <v>11</v>
      </c>
      <c r="J1057" s="5" t="str">
        <f ca="1">IFERROR(__xludf.DUMMYFUNCTION("""COMPUTED_VALUE"""),"National")</f>
        <v>National</v>
      </c>
      <c r="K1057" s="5">
        <f ca="1">IFERROR(__xludf.DUMMYFUNCTION("""COMPUTED_VALUE"""),5)</f>
        <v>5</v>
      </c>
      <c r="L1057" s="5" t="str">
        <f ca="1">IFERROR(__xludf.DUMMYFUNCTION("""COMPUTED_VALUE"""),"Winter")</f>
        <v>Winter</v>
      </c>
      <c r="M1057" s="5" t="str">
        <f ca="1">IFERROR(__xludf.DUMMYFUNCTION("""COMPUTED_VALUE"""),"Omaha")</f>
        <v>Omaha</v>
      </c>
      <c r="N1057" s="5" t="str">
        <f ca="1">IFERROR(__xludf.DUMMYFUNCTION("""COMPUTED_VALUE"""),"NE")</f>
        <v>NE</v>
      </c>
      <c r="O1057" s="5" t="str">
        <f ca="1">IFERROR(__xludf.DUMMYFUNCTION("""COMPUTED_VALUE"""),"High")</f>
        <v>High</v>
      </c>
      <c r="P1057" s="5" t="str">
        <f ca="1">IFERROR(__xludf.DUMMYFUNCTION("""COMPUTED_VALUE"""),"Office")</f>
        <v>Office</v>
      </c>
      <c r="Q1057" s="5" t="str">
        <f ca="1">IFERROR(__xludf.DUMMYFUNCTION("""COMPUTED_VALUE"""),"Inside School Building")</f>
        <v>Inside School Building</v>
      </c>
      <c r="R1057" s="5" t="str">
        <f ca="1">IFERROR(__xludf.DUMMYFUNCTION("""COMPUTED_VALUE"""),"Yes")</f>
        <v>Yes</v>
      </c>
      <c r="S1057" s="5" t="str">
        <f ca="1">IFERROR(__xludf.DUMMYFUNCTION("""COMPUTED_VALUE"""),"Lunch")</f>
        <v>Lunch</v>
      </c>
      <c r="T1057" s="10">
        <f ca="1">IFERROR(__xludf.DUMMYFUNCTION("""COMPUTED_VALUE"""),0.53125)</f>
        <v>0.53125</v>
      </c>
      <c r="U1057" s="5">
        <f ca="1">IFERROR(__xludf.DUMMYFUNCTION("""COMPUTED_VALUE"""),1)</f>
        <v>1</v>
      </c>
      <c r="V1057" s="5" t="str">
        <f ca="1">IFERROR(__xludf.DUMMYFUNCTION("""COMPUTED_VALUE"""),"Shot principal and vice principal, fired at other staff, fled in vehicle and killed self")</f>
        <v>Shot principal and vice principal, fired at other staff, fled in vehicle and killed self</v>
      </c>
      <c r="W1057"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X1057" s="5" t="str">
        <f ca="1">IFERROR(__xludf.DUMMYFUNCTION("""COMPUTED_VALUE"""),"Anger Over Grade/Suspension/Discipline")</f>
        <v>Anger Over Grade/Suspension/Discipline</v>
      </c>
      <c r="Y1057" s="5" t="str">
        <f ca="1">IFERROR(__xludf.DUMMYFUNCTION("""COMPUTED_VALUE"""),"Both")</f>
        <v>Both</v>
      </c>
      <c r="Z1057" s="5" t="str">
        <f ca="1">IFERROR(__xludf.DUMMYFUNCTION("""COMPUTED_VALUE"""),"No")</f>
        <v>No</v>
      </c>
      <c r="AA1057" s="5"/>
      <c r="AB1057" s="5" t="str">
        <f ca="1">IFERROR(__xludf.DUMMYFUNCTION("""COMPUTED_VALUE"""),"No")</f>
        <v>No</v>
      </c>
      <c r="AC1057" s="5" t="str">
        <f ca="1">IFERROR(__xludf.DUMMYFUNCTION("""COMPUTED_VALUE"""),"No")</f>
        <v>No</v>
      </c>
      <c r="AD1057" s="5" t="str">
        <f ca="1">IFERROR(__xludf.DUMMYFUNCTION("""COMPUTED_VALUE"""),"No")</f>
        <v>No</v>
      </c>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IFERROR(__xludf.DUMMYFUNCTION("""COMPUTED_VALUE"""),"Yes")</f>
        <v>Yes</v>
      </c>
    </row>
    <row r="1058" spans="1:34" ht="12.75">
      <c r="A1058" s="5" t="str">
        <f ca="1">IFERROR(__xludf.DUMMYFUNCTION("""COMPUTED_VALUE"""),"20110104INCRC")</f>
        <v>20110104INCRC</v>
      </c>
      <c r="B1058" s="8">
        <f ca="1">IFERROR(__xludf.DUMMYFUNCTION("""COMPUTED_VALUE"""),40547)</f>
        <v>40547</v>
      </c>
      <c r="C1058" s="5" t="str">
        <f ca="1">IFERROR(__xludf.DUMMYFUNCTION("""COMPUTED_VALUE"""),"Crown Point School bus")</f>
        <v>Crown Point School bus</v>
      </c>
      <c r="D1058" s="5">
        <f ca="1">IFERROR(__xludf.DUMMYFUNCTION("""COMPUTED_VALUE"""),0)</f>
        <v>0</v>
      </c>
      <c r="E1058" s="5">
        <f ca="1">IFERROR(__xludf.DUMMYFUNCTION("""COMPUTED_VALUE"""),0)</f>
        <v>0</v>
      </c>
      <c r="F1058" s="5">
        <f ca="1">IFERROR(__xludf.DUMMYFUNCTION("""COMPUTED_VALUE"""),0)</f>
        <v>0</v>
      </c>
      <c r="G1058" s="5">
        <f ca="1">IFERROR(__xludf.DUMMYFUNCTION("""COMPUTED_VALUE"""),0)</f>
        <v>0</v>
      </c>
      <c r="H1058" s="9" t="str">
        <f ca="1">IFERROR(__xludf.DUMMYFUNCTION("""COMPUTED_VALUE"""),"https://www.newspapers.com/image/310759931/?terms=school%2B%2Bbus%2Bshooting")</f>
        <v>https://www.newspapers.com/image/310759931/?terms=school%2B%2Bbus%2Bshooting</v>
      </c>
      <c r="I1058" s="5"/>
      <c r="J1058" s="5"/>
      <c r="K1058" s="5">
        <f ca="1">IFERROR(__xludf.DUMMYFUNCTION("""COMPUTED_VALUE"""),2)</f>
        <v>2</v>
      </c>
      <c r="L1058" s="5" t="str">
        <f ca="1">IFERROR(__xludf.DUMMYFUNCTION("""COMPUTED_VALUE"""),"Winter")</f>
        <v>Winter</v>
      </c>
      <c r="M1058" s="5" t="str">
        <f ca="1">IFERROR(__xludf.DUMMYFUNCTION("""COMPUTED_VALUE"""),"Crown Point")</f>
        <v>Crown Point</v>
      </c>
      <c r="N1058" s="5" t="str">
        <f ca="1">IFERROR(__xludf.DUMMYFUNCTION("""COMPUTED_VALUE"""),"IN")</f>
        <v>IN</v>
      </c>
      <c r="O1058" s="5" t="str">
        <f ca="1">IFERROR(__xludf.DUMMYFUNCTION("""COMPUTED_VALUE"""),"K-12")</f>
        <v>K-12</v>
      </c>
      <c r="P1058" s="5" t="str">
        <f ca="1">IFERROR(__xludf.DUMMYFUNCTION("""COMPUTED_VALUE"""),"School Bus")</f>
        <v>School Bus</v>
      </c>
      <c r="Q1058" s="5" t="str">
        <f ca="1">IFERROR(__xludf.DUMMYFUNCTION("""COMPUTED_VALUE"""),"School Bus")</f>
        <v>School Bus</v>
      </c>
      <c r="R1058" s="5" t="str">
        <f ca="1">IFERROR(__xludf.DUMMYFUNCTION("""COMPUTED_VALUE"""),"No")</f>
        <v>No</v>
      </c>
      <c r="S1058" s="5" t="str">
        <f ca="1">IFERROR(__xludf.DUMMYFUNCTION("""COMPUTED_VALUE"""),"Before School")</f>
        <v>Before School</v>
      </c>
      <c r="T1058" s="10">
        <f ca="1">IFERROR(__xludf.DUMMYFUNCTION("""COMPUTED_VALUE"""),0.25)</f>
        <v>0.25</v>
      </c>
      <c r="U1058" s="5">
        <f ca="1">IFERROR(__xludf.DUMMYFUNCTION("""COMPUTED_VALUE"""),1)</f>
        <v>1</v>
      </c>
      <c r="V1058" s="5" t="str">
        <f ca="1">IFERROR(__xludf.DUMMYFUNCTION("""COMPUTED_VALUE"""),"Back window of school bus shot with BB gun - no injuries")</f>
        <v>Back window of school bus shot with BB gun - no injuries</v>
      </c>
      <c r="W1058"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X1058" s="5" t="str">
        <f ca="1">IFERROR(__xludf.DUMMYFUNCTION("""COMPUTED_VALUE"""),"Intentional Property Damage")</f>
        <v>Intentional Property Damage</v>
      </c>
      <c r="Y1058" s="5" t="str">
        <f ca="1">IFERROR(__xludf.DUMMYFUNCTION("""COMPUTED_VALUE"""),"NA")</f>
        <v>NA</v>
      </c>
      <c r="Z1058" s="5"/>
      <c r="AA1058" s="5"/>
      <c r="AB1058" s="5" t="str">
        <f ca="1">IFERROR(__xludf.DUMMYFUNCTION("""COMPUTED_VALUE"""),"No")</f>
        <v>No</v>
      </c>
      <c r="AC1058" s="5" t="str">
        <f ca="1">IFERROR(__xludf.DUMMYFUNCTION("""COMPUTED_VALUE"""),"No")</f>
        <v>No</v>
      </c>
      <c r="AD1058" s="5" t="str">
        <f ca="1">IFERROR(__xludf.DUMMYFUNCTION("""COMPUTED_VALUE"""),"No")</f>
        <v>No</v>
      </c>
      <c r="AE1058" s="5" t="str">
        <f ca="1">IFERROR(__xludf.DUMMYFUNCTION("""COMPUTED_VALUE"""),"N/A")</f>
        <v>N/A</v>
      </c>
      <c r="AF1058" s="5"/>
      <c r="AG1058" s="5"/>
      <c r="AH1058" s="5"/>
    </row>
    <row r="1059" spans="1:34" ht="12.75">
      <c r="A1059" s="5" t="str">
        <f ca="1">IFERROR(__xludf.DUMMYFUNCTION("""COMPUTED_VALUE"""),"20101206COAUA")</f>
        <v>20101206COAUA</v>
      </c>
      <c r="B1059" s="8">
        <f ca="1">IFERROR(__xludf.DUMMYFUNCTION("""COMPUTED_VALUE"""),40518)</f>
        <v>40518</v>
      </c>
      <c r="C1059" s="5" t="str">
        <f ca="1">IFERROR(__xludf.DUMMYFUNCTION("""COMPUTED_VALUE"""),"Aurora Central High School")</f>
        <v>Aurora Central High School</v>
      </c>
      <c r="D1059" s="5">
        <f ca="1">IFERROR(__xludf.DUMMYFUNCTION("""COMPUTED_VALUE"""),0)</f>
        <v>0</v>
      </c>
      <c r="E1059" s="5">
        <f ca="1">IFERROR(__xludf.DUMMYFUNCTION("""COMPUTED_VALUE"""),1)</f>
        <v>1</v>
      </c>
      <c r="F1059" s="5">
        <f ca="1">IFERROR(__xludf.DUMMYFUNCTION("""COMPUTED_VALUE"""),1)</f>
        <v>1</v>
      </c>
      <c r="G1059" s="5">
        <f ca="1">IFERROR(__xludf.DUMMYFUNCTION("""COMPUTED_VALUE"""),0)</f>
        <v>0</v>
      </c>
      <c r="H1059" s="9" t="str">
        <f ca="1">IFERROR(__xludf.DUMMYFUNCTION("""COMPUTED_VALUE"""),"https://www.denverpost.com/2015/11/19/court-reverses-conviction-in-2010-aurora-shooting-that-paralyzed-victim/")</f>
        <v>https://www.denverpost.com/2015/11/19/court-reverses-conviction-in-2010-aurora-shooting-that-paralyzed-victim/</v>
      </c>
      <c r="I1059" s="5">
        <f ca="1">IFERROR(__xludf.DUMMYFUNCTION("""COMPUTED_VALUE"""),5)</f>
        <v>5</v>
      </c>
      <c r="J1059" s="5" t="str">
        <f ca="1">IFERROR(__xludf.DUMMYFUNCTION("""COMPUTED_VALUE"""),"Local")</f>
        <v>Local</v>
      </c>
      <c r="K1059" s="5">
        <f ca="1">IFERROR(__xludf.DUMMYFUNCTION("""COMPUTED_VALUE"""),4)</f>
        <v>4</v>
      </c>
      <c r="L1059" s="5" t="str">
        <f ca="1">IFERROR(__xludf.DUMMYFUNCTION("""COMPUTED_VALUE"""),"Winter")</f>
        <v>Winter</v>
      </c>
      <c r="M1059" s="5" t="str">
        <f ca="1">IFERROR(__xludf.DUMMYFUNCTION("""COMPUTED_VALUE"""),"Aurora")</f>
        <v>Aurora</v>
      </c>
      <c r="N1059" s="5" t="str">
        <f ca="1">IFERROR(__xludf.DUMMYFUNCTION("""COMPUTED_VALUE"""),"CO")</f>
        <v>CO</v>
      </c>
      <c r="O1059" s="5" t="str">
        <f ca="1">IFERROR(__xludf.DUMMYFUNCTION("""COMPUTED_VALUE"""),"High")</f>
        <v>High</v>
      </c>
      <c r="P1059" s="5" t="str">
        <f ca="1">IFERROR(__xludf.DUMMYFUNCTION("""COMPUTED_VALUE"""),"Front of School")</f>
        <v>Front of School</v>
      </c>
      <c r="Q1059" s="5" t="str">
        <f ca="1">IFERROR(__xludf.DUMMYFUNCTION("""COMPUTED_VALUE"""),"Outside on School Property")</f>
        <v>Outside on School Property</v>
      </c>
      <c r="R1059" s="5" t="str">
        <f ca="1">IFERROR(__xludf.DUMMYFUNCTION("""COMPUTED_VALUE"""),"No")</f>
        <v>No</v>
      </c>
      <c r="S1059" s="5" t="str">
        <f ca="1">IFERROR(__xludf.DUMMYFUNCTION("""COMPUTED_VALUE"""),"Dismissal")</f>
        <v>Dismissal</v>
      </c>
      <c r="T1059" s="10">
        <f ca="1">IFERROR(__xludf.DUMMYFUNCTION("""COMPUTED_VALUE"""),0.604166666666666)</f>
        <v>0.60416666666666596</v>
      </c>
      <c r="U1059" s="5">
        <f ca="1">IFERROR(__xludf.DUMMYFUNCTION("""COMPUTED_VALUE"""),1)</f>
        <v>1</v>
      </c>
      <c r="V1059" s="5" t="str">
        <f ca="1">IFERROR(__xludf.DUMMYFUNCTION("""COMPUTED_VALUE"""),"Bystander student shot during drive-by, gang related")</f>
        <v>Bystander student shot during drive-by, gang related</v>
      </c>
      <c r="W1059"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X1059" s="5" t="str">
        <f ca="1">IFERROR(__xludf.DUMMYFUNCTION("""COMPUTED_VALUE"""),"Drive-by Shooting")</f>
        <v>Drive-by Shooting</v>
      </c>
      <c r="Y1059" s="5" t="str">
        <f ca="1">IFERROR(__xludf.DUMMYFUNCTION("""COMPUTED_VALUE"""),"Both")</f>
        <v>Both</v>
      </c>
      <c r="Z1059" s="5" t="str">
        <f ca="1">IFERROR(__xludf.DUMMYFUNCTION("""COMPUTED_VALUE"""),"Yes")</f>
        <v>Yes</v>
      </c>
      <c r="AA1059" s="5" t="str">
        <f ca="1">IFERROR(__xludf.DUMMYFUNCTION("""COMPUTED_VALUE"""),"the driver of the car, no arrest")</f>
        <v>the driver of the car, no arrest</v>
      </c>
      <c r="AB1059" s="5" t="str">
        <f ca="1">IFERROR(__xludf.DUMMYFUNCTION("""COMPUTED_VALUE"""),"No")</f>
        <v>No</v>
      </c>
      <c r="AC1059" s="5" t="str">
        <f ca="1">IFERROR(__xludf.DUMMYFUNCTION("""COMPUTED_VALUE"""),"No")</f>
        <v>No</v>
      </c>
      <c r="AD1059" s="5" t="str">
        <f ca="1">IFERROR(__xludf.DUMMYFUNCTION("""COMPUTED_VALUE"""),"No")</f>
        <v>No</v>
      </c>
      <c r="AE1059" s="5" t="str">
        <f ca="1">IFERROR(__xludf.DUMMYFUNCTION("""COMPUTED_VALUE"""),"No")</f>
        <v>No</v>
      </c>
      <c r="AF1059" s="5" t="str">
        <f ca="1">IFERROR(__xludf.DUMMYFUNCTION("""COMPUTED_VALUE"""),"No")</f>
        <v>No</v>
      </c>
      <c r="AG1059" s="5" t="str">
        <f ca="1">IFERROR(__xludf.DUMMYFUNCTION("""COMPUTED_VALUE"""),"Yes")</f>
        <v>Yes</v>
      </c>
      <c r="AH1059" s="5"/>
    </row>
    <row r="1060" spans="1:34" ht="12.75">
      <c r="A1060" s="5" t="str">
        <f ca="1">IFERROR(__xludf.DUMMYFUNCTION("""COMPUTED_VALUE"""),"20101129WIMAM")</f>
        <v>20101129WIMAM</v>
      </c>
      <c r="B1060" s="8">
        <f ca="1">IFERROR(__xludf.DUMMYFUNCTION("""COMPUTED_VALUE"""),40511)</f>
        <v>40511</v>
      </c>
      <c r="C1060" s="5" t="str">
        <f ca="1">IFERROR(__xludf.DUMMYFUNCTION("""COMPUTED_VALUE"""),"Marinette High School")</f>
        <v>Marinette High School</v>
      </c>
      <c r="D1060" s="5">
        <f ca="1">IFERROR(__xludf.DUMMYFUNCTION("""COMPUTED_VALUE"""),0)</f>
        <v>0</v>
      </c>
      <c r="E1060" s="5">
        <f ca="1">IFERROR(__xludf.DUMMYFUNCTION("""COMPUTED_VALUE"""),0)</f>
        <v>0</v>
      </c>
      <c r="F1060" s="5">
        <f ca="1">IFERROR(__xludf.DUMMYFUNCTION("""COMPUTED_VALUE"""),0)</f>
        <v>0</v>
      </c>
      <c r="G1060" s="5">
        <f ca="1">IFERROR(__xludf.DUMMYFUNCTION("""COMPUTED_VALUE"""),1)</f>
        <v>1</v>
      </c>
      <c r="H1060"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I1060" s="5">
        <f ca="1">IFERROR(__xludf.DUMMYFUNCTION("""COMPUTED_VALUE"""),11)</f>
        <v>11</v>
      </c>
      <c r="J1060" s="5" t="str">
        <f ca="1">IFERROR(__xludf.DUMMYFUNCTION("""COMPUTED_VALUE"""),"International")</f>
        <v>International</v>
      </c>
      <c r="K1060" s="5">
        <f ca="1">IFERROR(__xludf.DUMMYFUNCTION("""COMPUTED_VALUE"""),2)</f>
        <v>2</v>
      </c>
      <c r="L1060" s="5" t="str">
        <f ca="1">IFERROR(__xludf.DUMMYFUNCTION("""COMPUTED_VALUE"""),"Fall")</f>
        <v>Fall</v>
      </c>
      <c r="M1060" s="5" t="str">
        <f ca="1">IFERROR(__xludf.DUMMYFUNCTION("""COMPUTED_VALUE"""),"Marinette")</f>
        <v>Marinette</v>
      </c>
      <c r="N1060" s="5" t="str">
        <f ca="1">IFERROR(__xludf.DUMMYFUNCTION("""COMPUTED_VALUE"""),"WI")</f>
        <v>WI</v>
      </c>
      <c r="O1060" s="5" t="str">
        <f ca="1">IFERROR(__xludf.DUMMYFUNCTION("""COMPUTED_VALUE"""),"High")</f>
        <v>High</v>
      </c>
      <c r="P1060" s="5" t="str">
        <f ca="1">IFERROR(__xludf.DUMMYFUNCTION("""COMPUTED_VALUE"""),"Classroom")</f>
        <v>Classroom</v>
      </c>
      <c r="Q1060" s="5" t="str">
        <f ca="1">IFERROR(__xludf.DUMMYFUNCTION("""COMPUTED_VALUE"""),"Inside School Building")</f>
        <v>Inside School Building</v>
      </c>
      <c r="R1060" s="5" t="str">
        <f ca="1">IFERROR(__xludf.DUMMYFUNCTION("""COMPUTED_VALUE"""),"No")</f>
        <v>No</v>
      </c>
      <c r="S1060" s="5" t="str">
        <f ca="1">IFERROR(__xludf.DUMMYFUNCTION("""COMPUTED_VALUE"""),"Evening")</f>
        <v>Evening</v>
      </c>
      <c r="T1060" s="10">
        <f ca="1">IFERROR(__xludf.DUMMYFUNCTION("""COMPUTED_VALUE"""),0.8125)</f>
        <v>0.8125</v>
      </c>
      <c r="U1060" s="5">
        <f ca="1">IFERROR(__xludf.DUMMYFUNCTION("""COMPUTED_VALUE"""),1)</f>
        <v>1</v>
      </c>
      <c r="V1060" s="5" t="str">
        <f ca="1">IFERROR(__xludf.DUMMYFUNCTION("""COMPUTED_VALUE"""),"Took class hostage before commiting suicide when police entered")</f>
        <v>Took class hostage before commiting suicide when police entered</v>
      </c>
      <c r="W1060"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X1060" s="5" t="str">
        <f ca="1">IFERROR(__xludf.DUMMYFUNCTION("""COMPUTED_VALUE"""),"Hostage/Standoff")</f>
        <v>Hostage/Standoff</v>
      </c>
      <c r="Y1060" s="5" t="str">
        <f ca="1">IFERROR(__xludf.DUMMYFUNCTION("""COMPUTED_VALUE"""),"Victims Targeted")</f>
        <v>Victims Targeted</v>
      </c>
      <c r="Z1060" s="5" t="str">
        <f ca="1">IFERROR(__xludf.DUMMYFUNCTION("""COMPUTED_VALUE"""),"No")</f>
        <v>No</v>
      </c>
      <c r="AA1060" s="5"/>
      <c r="AB1060" s="5" t="str">
        <f ca="1">IFERROR(__xludf.DUMMYFUNCTION("""COMPUTED_VALUE"""),"Yes")</f>
        <v>Yes</v>
      </c>
      <c r="AC1060" s="5" t="str">
        <f ca="1">IFERROR(__xludf.DUMMYFUNCTION("""COMPUTED_VALUE"""),"Yes")</f>
        <v>Yes</v>
      </c>
      <c r="AD1060" s="5" t="str">
        <f ca="1">IFERROR(__xludf.DUMMYFUNCTION("""COMPUTED_VALUE"""),"No")</f>
        <v>No</v>
      </c>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IFERROR(__xludf.DUMMYFUNCTION("""COMPUTED_VALUE"""),"Yes")</f>
        <v>Yes</v>
      </c>
    </row>
    <row r="1061" spans="1:34" ht="12.75">
      <c r="A1061" s="5" t="str">
        <f ca="1">IFERROR(__xludf.DUMMYFUNCTION("""COMPUTED_VALUE"""),"20101023KSTOT")</f>
        <v>20101023KSTOT</v>
      </c>
      <c r="B1061" s="8">
        <f ca="1">IFERROR(__xludf.DUMMYFUNCTION("""COMPUTED_VALUE"""),40474)</f>
        <v>40474</v>
      </c>
      <c r="C1061" s="5" t="str">
        <f ca="1">IFERROR(__xludf.DUMMYFUNCTION("""COMPUTED_VALUE"""),"Topeka West High School")</f>
        <v>Topeka West High School</v>
      </c>
      <c r="D1061" s="5">
        <f ca="1">IFERROR(__xludf.DUMMYFUNCTION("""COMPUTED_VALUE"""),1)</f>
        <v>1</v>
      </c>
      <c r="E1061" s="5">
        <f ca="1">IFERROR(__xludf.DUMMYFUNCTION("""COMPUTED_VALUE"""),1)</f>
        <v>1</v>
      </c>
      <c r="F1061" s="5">
        <f ca="1">IFERROR(__xludf.DUMMYFUNCTION("""COMPUTED_VALUE"""),2)</f>
        <v>2</v>
      </c>
      <c r="G1061" s="5">
        <f ca="1">IFERROR(__xludf.DUMMYFUNCTION("""COMPUTED_VALUE"""),0)</f>
        <v>0</v>
      </c>
      <c r="H1061"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I1061" s="5">
        <f ca="1">IFERROR(__xludf.DUMMYFUNCTION("""COMPUTED_VALUE"""),11)</f>
        <v>11</v>
      </c>
      <c r="J1061" s="5" t="str">
        <f ca="1">IFERROR(__xludf.DUMMYFUNCTION("""COMPUTED_VALUE"""),"Local")</f>
        <v>Local</v>
      </c>
      <c r="K1061" s="5">
        <f ca="1">IFERROR(__xludf.DUMMYFUNCTION("""COMPUTED_VALUE"""),5)</f>
        <v>5</v>
      </c>
      <c r="L1061" s="5" t="str">
        <f ca="1">IFERROR(__xludf.DUMMYFUNCTION("""COMPUTED_VALUE"""),"Fall")</f>
        <v>Fall</v>
      </c>
      <c r="M1061" s="5" t="str">
        <f ca="1">IFERROR(__xludf.DUMMYFUNCTION("""COMPUTED_VALUE"""),"Topeka")</f>
        <v>Topeka</v>
      </c>
      <c r="N1061" s="5" t="str">
        <f ca="1">IFERROR(__xludf.DUMMYFUNCTION("""COMPUTED_VALUE"""),"KS")</f>
        <v>KS</v>
      </c>
      <c r="O1061" s="5" t="str">
        <f ca="1">IFERROR(__xludf.DUMMYFUNCTION("""COMPUTED_VALUE"""),"High")</f>
        <v>High</v>
      </c>
      <c r="P1061" s="5" t="str">
        <f ca="1">IFERROR(__xludf.DUMMYFUNCTION("""COMPUTED_VALUE"""),"Field (General)")</f>
        <v>Field (General)</v>
      </c>
      <c r="Q1061" s="5" t="str">
        <f ca="1">IFERROR(__xludf.DUMMYFUNCTION("""COMPUTED_VALUE"""),"Outside on School Property")</f>
        <v>Outside on School Property</v>
      </c>
      <c r="R1061" s="5" t="str">
        <f ca="1">IFERROR(__xludf.DUMMYFUNCTION("""COMPUTED_VALUE"""),"No")</f>
        <v>No</v>
      </c>
      <c r="S1061" s="5" t="str">
        <f ca="1">IFERROR(__xludf.DUMMYFUNCTION("""COMPUTED_VALUE"""),"Evening")</f>
        <v>Evening</v>
      </c>
      <c r="T1061" s="10">
        <f ca="1">IFERROR(__xludf.DUMMYFUNCTION("""COMPUTED_VALUE"""),0.9375)</f>
        <v>0.9375</v>
      </c>
      <c r="U1061" s="5">
        <f ca="1">IFERROR(__xludf.DUMMYFUNCTION("""COMPUTED_VALUE"""),1)</f>
        <v>1</v>
      </c>
      <c r="V1061" s="5" t="str">
        <f ca="1">IFERROR(__xludf.DUMMYFUNCTION("""COMPUTED_VALUE"""),"Drug deal gone bad")</f>
        <v>Drug deal gone bad</v>
      </c>
      <c r="W1061"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X1061" s="5" t="str">
        <f ca="1">IFERROR(__xludf.DUMMYFUNCTION("""COMPUTED_VALUE"""),"Illegal Activity")</f>
        <v>Illegal Activity</v>
      </c>
      <c r="Y1061" s="5" t="str">
        <f ca="1">IFERROR(__xludf.DUMMYFUNCTION("""COMPUTED_VALUE"""),"Victims Targeted")</f>
        <v>Victims Targeted</v>
      </c>
      <c r="Z1061" s="5" t="str">
        <f ca="1">IFERROR(__xludf.DUMMYFUNCTION("""COMPUTED_VALUE"""),"Yes")</f>
        <v>Yes</v>
      </c>
      <c r="AA1061"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B1061" s="5" t="str">
        <f ca="1">IFERROR(__xludf.DUMMYFUNCTION("""COMPUTED_VALUE"""),"No")</f>
        <v>No</v>
      </c>
      <c r="AC1061" s="5" t="str">
        <f ca="1">IFERROR(__xludf.DUMMYFUNCTION("""COMPUTED_VALUE"""),"No")</f>
        <v>No</v>
      </c>
      <c r="AD1061" s="5" t="str">
        <f ca="1">IFERROR(__xludf.DUMMYFUNCTION("""COMPUTED_VALUE"""),"No")</f>
        <v>No</v>
      </c>
      <c r="AE1061" s="5" t="str">
        <f ca="1">IFERROR(__xludf.DUMMYFUNCTION("""COMPUTED_VALUE"""),"No")</f>
        <v>No</v>
      </c>
      <c r="AF1061" s="5" t="str">
        <f ca="1">IFERROR(__xludf.DUMMYFUNCTION("""COMPUTED_VALUE"""),"No")</f>
        <v>No</v>
      </c>
      <c r="AG1061" s="5" t="str">
        <f ca="1">IFERROR(__xludf.DUMMYFUNCTION("""COMPUTED_VALUE"""),"No")</f>
        <v>No</v>
      </c>
      <c r="AH1061" s="5"/>
    </row>
    <row r="1062" spans="1:34" ht="12.75">
      <c r="A1062" s="5" t="str">
        <f ca="1">IFERROR(__xludf.DUMMYFUNCTION("""COMPUTED_VALUE"""),"20101008CAKEC")</f>
        <v>20101008CAKEC</v>
      </c>
      <c r="B1062" s="8">
        <f ca="1">IFERROR(__xludf.DUMMYFUNCTION("""COMPUTED_VALUE"""),40459)</f>
        <v>40459</v>
      </c>
      <c r="C1062" s="5" t="str">
        <f ca="1">IFERROR(__xludf.DUMMYFUNCTION("""COMPUTED_VALUE"""),"Kelly Elementary School")</f>
        <v>Kelly Elementary School</v>
      </c>
      <c r="D1062" s="5">
        <f ca="1">IFERROR(__xludf.DUMMYFUNCTION("""COMPUTED_VALUE"""),0)</f>
        <v>0</v>
      </c>
      <c r="E1062" s="5">
        <f ca="1">IFERROR(__xludf.DUMMYFUNCTION("""COMPUTED_VALUE"""),2)</f>
        <v>2</v>
      </c>
      <c r="F1062" s="5">
        <f ca="1">IFERROR(__xludf.DUMMYFUNCTION("""COMPUTED_VALUE"""),2)</f>
        <v>2</v>
      </c>
      <c r="G1062" s="5">
        <f ca="1">IFERROR(__xludf.DUMMYFUNCTION("""COMPUTED_VALUE"""),0)</f>
        <v>0</v>
      </c>
      <c r="H1062"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I1062" s="5"/>
      <c r="J1062" s="5"/>
      <c r="K1062" s="5">
        <f ca="1">IFERROR(__xludf.DUMMYFUNCTION("""COMPUTED_VALUE"""),5)</f>
        <v>5</v>
      </c>
      <c r="L1062" s="5" t="str">
        <f ca="1">IFERROR(__xludf.DUMMYFUNCTION("""COMPUTED_VALUE"""),"Fall")</f>
        <v>Fall</v>
      </c>
      <c r="M1062" s="5" t="str">
        <f ca="1">IFERROR(__xludf.DUMMYFUNCTION("""COMPUTED_VALUE"""),"Carlsbad")</f>
        <v>Carlsbad</v>
      </c>
      <c r="N1062" s="5" t="str">
        <f ca="1">IFERROR(__xludf.DUMMYFUNCTION("""COMPUTED_VALUE"""),"CA")</f>
        <v>CA</v>
      </c>
      <c r="O1062" s="5" t="str">
        <f ca="1">IFERROR(__xludf.DUMMYFUNCTION("""COMPUTED_VALUE"""),"Elementary")</f>
        <v>Elementary</v>
      </c>
      <c r="P1062" s="5" t="str">
        <f ca="1">IFERROR(__xludf.DUMMYFUNCTION("""COMPUTED_VALUE"""),"Playground")</f>
        <v>Playground</v>
      </c>
      <c r="Q1062" s="5" t="str">
        <f ca="1">IFERROR(__xludf.DUMMYFUNCTION("""COMPUTED_VALUE"""),"Outside on School Property")</f>
        <v>Outside on School Property</v>
      </c>
      <c r="R1062" s="5" t="str">
        <f ca="1">IFERROR(__xludf.DUMMYFUNCTION("""COMPUTED_VALUE"""),"Yes")</f>
        <v>Yes</v>
      </c>
      <c r="S1062" s="5" t="str">
        <f ca="1">IFERROR(__xludf.DUMMYFUNCTION("""COMPUTED_VALUE"""),"Lunch")</f>
        <v>Lunch</v>
      </c>
      <c r="T1062" s="10">
        <f ca="1">IFERROR(__xludf.DUMMYFUNCTION("""COMPUTED_VALUE"""),0.5)</f>
        <v>0.5</v>
      </c>
      <c r="U1062" s="5">
        <f ca="1">IFERROR(__xludf.DUMMYFUNCTION("""COMPUTED_VALUE"""),2)</f>
        <v>2</v>
      </c>
      <c r="V1062" s="5" t="str">
        <f ca="1">IFERROR(__xludf.DUMMYFUNCTION("""COMPUTED_VALUE"""),"Fired shot at school playground, struck by driver who saw shooting occuring")</f>
        <v>Fired shot at school playground, struck by driver who saw shooting occuring</v>
      </c>
      <c r="W1062"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X1062" s="5" t="str">
        <f ca="1">IFERROR(__xludf.DUMMYFUNCTION("""COMPUTED_VALUE"""),"Indiscriminate Shooting")</f>
        <v>Indiscriminate Shooting</v>
      </c>
      <c r="Y1062" s="5" t="str">
        <f ca="1">IFERROR(__xludf.DUMMYFUNCTION("""COMPUTED_VALUE"""),"Random Shooting")</f>
        <v>Random Shooting</v>
      </c>
      <c r="Z1062" s="5" t="str">
        <f ca="1">IFERROR(__xludf.DUMMYFUNCTION("""COMPUTED_VALUE"""),"No")</f>
        <v>No</v>
      </c>
      <c r="AA1062" s="5"/>
      <c r="AB1062" s="5" t="str">
        <f ca="1">IFERROR(__xludf.DUMMYFUNCTION("""COMPUTED_VALUE"""),"No")</f>
        <v>No</v>
      </c>
      <c r="AC1062" s="5" t="str">
        <f ca="1">IFERROR(__xludf.DUMMYFUNCTION("""COMPUTED_VALUE"""),"No")</f>
        <v>No</v>
      </c>
      <c r="AD1062" s="5" t="str">
        <f ca="1">IFERROR(__xludf.DUMMYFUNCTION("""COMPUTED_VALUE"""),"No")</f>
        <v>No</v>
      </c>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IFERROR(__xludf.DUMMYFUNCTION("""COMPUTED_VALUE"""),"Yes")</f>
        <v>Yes</v>
      </c>
    </row>
    <row r="1063" spans="1:34" ht="12.75">
      <c r="A1063" s="5" t="str">
        <f ca="1">IFERROR(__xludf.DUMMYFUNCTION("""COMPUTED_VALUE"""),"20101001CAALS")</f>
        <v>20101001CAALS</v>
      </c>
      <c r="B1063" s="8">
        <f ca="1">IFERROR(__xludf.DUMMYFUNCTION("""COMPUTED_VALUE"""),40452)</f>
        <v>40452</v>
      </c>
      <c r="C1063" s="5" t="str">
        <f ca="1">IFERROR(__xludf.DUMMYFUNCTION("""COMPUTED_VALUE"""),"Alisal High School")</f>
        <v>Alisal High School</v>
      </c>
      <c r="D1063" s="5">
        <f ca="1">IFERROR(__xludf.DUMMYFUNCTION("""COMPUTED_VALUE"""),1)</f>
        <v>1</v>
      </c>
      <c r="E1063" s="5">
        <f ca="1">IFERROR(__xludf.DUMMYFUNCTION("""COMPUTED_VALUE"""),0)</f>
        <v>0</v>
      </c>
      <c r="F1063" s="5">
        <f ca="1">IFERROR(__xludf.DUMMYFUNCTION("""COMPUTED_VALUE"""),1)</f>
        <v>1</v>
      </c>
      <c r="G1063" s="5">
        <f ca="1">IFERROR(__xludf.DUMMYFUNCTION("""COMPUTED_VALUE"""),0)</f>
        <v>0</v>
      </c>
      <c r="H1063"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I1063" s="5"/>
      <c r="J1063" s="5"/>
      <c r="K1063" s="5">
        <f ca="1">IFERROR(__xludf.DUMMYFUNCTION("""COMPUTED_VALUE"""),2)</f>
        <v>2</v>
      </c>
      <c r="L1063" s="5" t="str">
        <f ca="1">IFERROR(__xludf.DUMMYFUNCTION("""COMPUTED_VALUE"""),"Fall")</f>
        <v>Fall</v>
      </c>
      <c r="M1063" s="5" t="str">
        <f ca="1">IFERROR(__xludf.DUMMYFUNCTION("""COMPUTED_VALUE"""),"Salinas")</f>
        <v>Salinas</v>
      </c>
      <c r="N1063" s="5" t="str">
        <f ca="1">IFERROR(__xludf.DUMMYFUNCTION("""COMPUTED_VALUE"""),"CA")</f>
        <v>CA</v>
      </c>
      <c r="O1063" s="5" t="str">
        <f ca="1">IFERROR(__xludf.DUMMYFUNCTION("""COMPUTED_VALUE"""),"High")</f>
        <v>High</v>
      </c>
      <c r="P1063" s="5" t="str">
        <f ca="1">IFERROR(__xludf.DUMMYFUNCTION("""COMPUTED_VALUE"""),"Beside Building")</f>
        <v>Beside Building</v>
      </c>
      <c r="Q1063" s="5" t="str">
        <f ca="1">IFERROR(__xludf.DUMMYFUNCTION("""COMPUTED_VALUE"""),"Outside on School Property")</f>
        <v>Outside on School Property</v>
      </c>
      <c r="R1063" s="5" t="str">
        <f ca="1">IFERROR(__xludf.DUMMYFUNCTION("""COMPUTED_VALUE"""),"Yes")</f>
        <v>Yes</v>
      </c>
      <c r="S1063" s="5" t="str">
        <f ca="1">IFERROR(__xludf.DUMMYFUNCTION("""COMPUTED_VALUE"""),"School Start")</f>
        <v>School Start</v>
      </c>
      <c r="T1063" s="10">
        <f ca="1">IFERROR(__xludf.DUMMYFUNCTION("""COMPUTED_VALUE"""),0.328472222222222)</f>
        <v>0.328472222222222</v>
      </c>
      <c r="U1063" s="5">
        <f ca="1">IFERROR(__xludf.DUMMYFUNCTION("""COMPUTED_VALUE"""),1)</f>
        <v>1</v>
      </c>
      <c r="V1063" s="5" t="str">
        <f ca="1">IFERROR(__xludf.DUMMYFUNCTION("""COMPUTED_VALUE"""),"Gang-related shooting outside of school.")</f>
        <v>Gang-related shooting outside of school.</v>
      </c>
      <c r="W1063"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X1063" s="5" t="str">
        <f ca="1">IFERROR(__xludf.DUMMYFUNCTION("""COMPUTED_VALUE"""),"Escalation of Dispute")</f>
        <v>Escalation of Dispute</v>
      </c>
      <c r="Y1063" s="5" t="str">
        <f ca="1">IFERROR(__xludf.DUMMYFUNCTION("""COMPUTED_VALUE"""),"Victims Targeted")</f>
        <v>Victims Targeted</v>
      </c>
      <c r="Z1063" s="5"/>
      <c r="AA1063" s="5"/>
      <c r="AB1063" s="5" t="str">
        <f ca="1">IFERROR(__xludf.DUMMYFUNCTION("""COMPUTED_VALUE"""),"No")</f>
        <v>No</v>
      </c>
      <c r="AC1063" s="5" t="str">
        <f ca="1">IFERROR(__xludf.DUMMYFUNCTION("""COMPUTED_VALUE"""),"No")</f>
        <v>No</v>
      </c>
      <c r="AD1063" s="5" t="str">
        <f ca="1">IFERROR(__xludf.DUMMYFUNCTION("""COMPUTED_VALUE"""),"No")</f>
        <v>No</v>
      </c>
      <c r="AE1063" s="5"/>
      <c r="AF1063" s="5" t="str">
        <f ca="1">IFERROR(__xludf.DUMMYFUNCTION("""COMPUTED_VALUE"""),"No")</f>
        <v>No</v>
      </c>
      <c r="AG1063" s="5" t="str">
        <f ca="1">IFERROR(__xludf.DUMMYFUNCTION("""COMPUTED_VALUE"""),"Yes")</f>
        <v>Yes</v>
      </c>
      <c r="AH1063" s="5"/>
    </row>
    <row r="1064" spans="1:34" ht="12.75">
      <c r="A1064" s="5" t="str">
        <f ca="1">IFERROR(__xludf.DUMMYFUNCTION("""COMPUTED_VALUE"""),"20100921SCSOC")</f>
        <v>20100921SCSOC</v>
      </c>
      <c r="B1064" s="8">
        <f ca="1">IFERROR(__xludf.DUMMYFUNCTION("""COMPUTED_VALUE"""),40442)</f>
        <v>40442</v>
      </c>
      <c r="C1064" s="5" t="str">
        <f ca="1">IFERROR(__xludf.DUMMYFUNCTION("""COMPUTED_VALUE"""),"Socastee High School")</f>
        <v>Socastee High School</v>
      </c>
      <c r="D1064" s="5">
        <f ca="1">IFERROR(__xludf.DUMMYFUNCTION("""COMPUTED_VALUE"""),0)</f>
        <v>0</v>
      </c>
      <c r="E1064" s="5">
        <f ca="1">IFERROR(__xludf.DUMMYFUNCTION("""COMPUTED_VALUE"""),1)</f>
        <v>1</v>
      </c>
      <c r="F1064" s="5">
        <f ca="1">IFERROR(__xludf.DUMMYFUNCTION("""COMPUTED_VALUE"""),1)</f>
        <v>1</v>
      </c>
      <c r="G1064" s="5">
        <f ca="1">IFERROR(__xludf.DUMMYFUNCTION("""COMPUTED_VALUE"""),0)</f>
        <v>0</v>
      </c>
      <c r="H1064"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I1064" s="5"/>
      <c r="J1064" s="5"/>
      <c r="K1064" s="5">
        <f ca="1">IFERROR(__xludf.DUMMYFUNCTION("""COMPUTED_VALUE"""),4)</f>
        <v>4</v>
      </c>
      <c r="L1064" s="5" t="str">
        <f ca="1">IFERROR(__xludf.DUMMYFUNCTION("""COMPUTED_VALUE"""),"Fall")</f>
        <v>Fall</v>
      </c>
      <c r="M1064" s="5" t="str">
        <f ca="1">IFERROR(__xludf.DUMMYFUNCTION("""COMPUTED_VALUE"""),"Conway")</f>
        <v>Conway</v>
      </c>
      <c r="N1064" s="5" t="str">
        <f ca="1">IFERROR(__xludf.DUMMYFUNCTION("""COMPUTED_VALUE"""),"SC")</f>
        <v>SC</v>
      </c>
      <c r="O1064" s="5" t="str">
        <f ca="1">IFERROR(__xludf.DUMMYFUNCTION("""COMPUTED_VALUE"""),"High")</f>
        <v>High</v>
      </c>
      <c r="P1064" s="5" t="str">
        <f ca="1">IFERROR(__xludf.DUMMYFUNCTION("""COMPUTED_VALUE"""),"Office")</f>
        <v>Office</v>
      </c>
      <c r="Q1064" s="5" t="str">
        <f ca="1">IFERROR(__xludf.DUMMYFUNCTION("""COMPUTED_VALUE"""),"Inside School Building")</f>
        <v>Inside School Building</v>
      </c>
      <c r="R1064" s="5" t="str">
        <f ca="1">IFERROR(__xludf.DUMMYFUNCTION("""COMPUTED_VALUE"""),"Yes")</f>
        <v>Yes</v>
      </c>
      <c r="S1064" s="5" t="str">
        <f ca="1">IFERROR(__xludf.DUMMYFUNCTION("""COMPUTED_VALUE"""),"Afternoon Classes")</f>
        <v>Afternoon Classes</v>
      </c>
      <c r="T1064" s="10">
        <f ca="1">IFERROR(__xludf.DUMMYFUNCTION("""COMPUTED_VALUE"""),0.583333333333333)</f>
        <v>0.58333333333333304</v>
      </c>
      <c r="U1064" s="5">
        <f ca="1">IFERROR(__xludf.DUMMYFUNCTION("""COMPUTED_VALUE"""),1)</f>
        <v>1</v>
      </c>
      <c r="V1064" s="5" t="str">
        <f ca="1">IFERROR(__xludf.DUMMYFUNCTION("""COMPUTED_VALUE"""),"Fired shot at SRO when officer searched his bag")</f>
        <v>Fired shot at SRO when officer searched his bag</v>
      </c>
      <c r="W1064"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X1064" s="5" t="str">
        <f ca="1">IFERROR(__xludf.DUMMYFUNCTION("""COMPUTED_VALUE"""),"Bullying")</f>
        <v>Bullying</v>
      </c>
      <c r="Y1064" s="5" t="str">
        <f ca="1">IFERROR(__xludf.DUMMYFUNCTION("""COMPUTED_VALUE"""),"Victims Targeted")</f>
        <v>Victims Targeted</v>
      </c>
      <c r="Z1064" s="5" t="str">
        <f ca="1">IFERROR(__xludf.DUMMYFUNCTION("""COMPUTED_VALUE"""),"No")</f>
        <v>No</v>
      </c>
      <c r="AA1064" s="5"/>
      <c r="AB1064" s="5" t="str">
        <f ca="1">IFERROR(__xludf.DUMMYFUNCTION("""COMPUTED_VALUE"""),"No")</f>
        <v>No</v>
      </c>
      <c r="AC1064" s="5" t="str">
        <f ca="1">IFERROR(__xludf.DUMMYFUNCTION("""COMPUTED_VALUE"""),"No")</f>
        <v>No</v>
      </c>
      <c r="AD1064" s="5" t="str">
        <f ca="1">IFERROR(__xludf.DUMMYFUNCTION("""COMPUTED_VALUE"""),"No")</f>
        <v>No</v>
      </c>
      <c r="AE1064" s="5" t="str">
        <f ca="1">IFERROR(__xludf.DUMMYFUNCTION("""COMPUTED_VALUE"""),"Yes")</f>
        <v>Yes</v>
      </c>
      <c r="AF1064" s="5" t="str">
        <f ca="1">IFERROR(__xludf.DUMMYFUNCTION("""COMPUTED_VALUE"""),"No")</f>
        <v>No</v>
      </c>
      <c r="AG1064" s="5" t="str">
        <f ca="1">IFERROR(__xludf.DUMMYFUNCTION("""COMPUTED_VALUE"""),"No")</f>
        <v>No</v>
      </c>
      <c r="AH1064" s="5" t="str">
        <f ca="1">IFERROR(__xludf.DUMMYFUNCTION("""COMPUTED_VALUE"""),"Yes")</f>
        <v>Yes</v>
      </c>
    </row>
    <row r="1065" spans="1:34" ht="12.75">
      <c r="A1065" s="5" t="str">
        <f ca="1">IFERROR(__xludf.DUMMYFUNCTION("""COMPUTED_VALUE"""),"20100908MIMUD")</f>
        <v>20100908MIMUD</v>
      </c>
      <c r="B1065" s="8">
        <f ca="1">IFERROR(__xludf.DUMMYFUNCTION("""COMPUTED_VALUE"""),40429)</f>
        <v>40429</v>
      </c>
      <c r="C1065" s="5" t="str">
        <f ca="1">IFERROR(__xludf.DUMMYFUNCTION("""COMPUTED_VALUE"""),"Mumford High School")</f>
        <v>Mumford High School</v>
      </c>
      <c r="D1065" s="5">
        <f ca="1">IFERROR(__xludf.DUMMYFUNCTION("""COMPUTED_VALUE"""),0)</f>
        <v>0</v>
      </c>
      <c r="E1065" s="5">
        <f ca="1">IFERROR(__xludf.DUMMYFUNCTION("""COMPUTED_VALUE"""),2)</f>
        <v>2</v>
      </c>
      <c r="F1065" s="5">
        <f ca="1">IFERROR(__xludf.DUMMYFUNCTION("""COMPUTED_VALUE"""),2)</f>
        <v>2</v>
      </c>
      <c r="G1065" s="5">
        <f ca="1">IFERROR(__xludf.DUMMYFUNCTION("""COMPUTED_VALUE"""),0)</f>
        <v>0</v>
      </c>
      <c r="H1065"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I1065" s="5"/>
      <c r="J1065" s="5"/>
      <c r="K1065" s="5">
        <f ca="1">IFERROR(__xludf.DUMMYFUNCTION("""COMPUTED_VALUE"""),2)</f>
        <v>2</v>
      </c>
      <c r="L1065" s="5" t="str">
        <f ca="1">IFERROR(__xludf.DUMMYFUNCTION("""COMPUTED_VALUE"""),"Fall")</f>
        <v>Fall</v>
      </c>
      <c r="M1065" s="5" t="str">
        <f ca="1">IFERROR(__xludf.DUMMYFUNCTION("""COMPUTED_VALUE"""),"Detroit")</f>
        <v>Detroit</v>
      </c>
      <c r="N1065" s="5" t="str">
        <f ca="1">IFERROR(__xludf.DUMMYFUNCTION("""COMPUTED_VALUE"""),"MI")</f>
        <v>MI</v>
      </c>
      <c r="O1065" s="5" t="str">
        <f ca="1">IFERROR(__xludf.DUMMYFUNCTION("""COMPUTED_VALUE"""),"High")</f>
        <v>High</v>
      </c>
      <c r="P1065" s="5" t="str">
        <f ca="1">IFERROR(__xludf.DUMMYFUNCTION("""COMPUTED_VALUE"""),"Beside Building")</f>
        <v>Beside Building</v>
      </c>
      <c r="Q1065" s="5" t="str">
        <f ca="1">IFERROR(__xludf.DUMMYFUNCTION("""COMPUTED_VALUE"""),"Outside on School Property")</f>
        <v>Outside on School Property</v>
      </c>
      <c r="R1065" s="5" t="str">
        <f ca="1">IFERROR(__xludf.DUMMYFUNCTION("""COMPUTED_VALUE"""),"Yes")</f>
        <v>Yes</v>
      </c>
      <c r="S1065" s="5"/>
      <c r="T1065" s="10">
        <f ca="1">IFERROR(__xludf.DUMMYFUNCTION("""COMPUTED_VALUE"""),0.645833333333333)</f>
        <v>0.64583333333333304</v>
      </c>
      <c r="U1065" s="5">
        <f ca="1">IFERROR(__xludf.DUMMYFUNCTION("""COMPUTED_VALUE"""),1)</f>
        <v>1</v>
      </c>
      <c r="V1065" s="5" t="str">
        <f ca="1">IFERROR(__xludf.DUMMYFUNCTION("""COMPUTED_VALUE"""),"Fight outside of school")</f>
        <v>Fight outside of school</v>
      </c>
      <c r="W1065"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X1065" s="5" t="str">
        <f ca="1">IFERROR(__xludf.DUMMYFUNCTION("""COMPUTED_VALUE"""),"Escalation of Dispute")</f>
        <v>Escalation of Dispute</v>
      </c>
      <c r="Y1065" s="5" t="str">
        <f ca="1">IFERROR(__xludf.DUMMYFUNCTION("""COMPUTED_VALUE"""),"Random Shooting")</f>
        <v>Random Shooting</v>
      </c>
      <c r="Z1065" s="5"/>
      <c r="AA1065" s="5"/>
      <c r="AB1065" s="5" t="str">
        <f ca="1">IFERROR(__xludf.DUMMYFUNCTION("""COMPUTED_VALUE"""),"No")</f>
        <v>No</v>
      </c>
      <c r="AC1065" s="5" t="str">
        <f ca="1">IFERROR(__xludf.DUMMYFUNCTION("""COMPUTED_VALUE"""),"No")</f>
        <v>No</v>
      </c>
      <c r="AD1065" s="5" t="str">
        <f ca="1">IFERROR(__xludf.DUMMYFUNCTION("""COMPUTED_VALUE"""),"No")</f>
        <v>No</v>
      </c>
      <c r="AE1065" s="5" t="str">
        <f ca="1">IFERROR(__xludf.DUMMYFUNCTION("""COMPUTED_VALUE"""),"No")</f>
        <v>No</v>
      </c>
      <c r="AF1065" s="5" t="str">
        <f ca="1">IFERROR(__xludf.DUMMYFUNCTION("""COMPUTED_VALUE"""),"No")</f>
        <v>No</v>
      </c>
      <c r="AG1065" s="5" t="str">
        <f ca="1">IFERROR(__xludf.DUMMYFUNCTION("""COMPUTED_VALUE"""),"No")</f>
        <v>No</v>
      </c>
      <c r="AH1065" s="5"/>
    </row>
    <row r="1066" spans="1:34" ht="12.75">
      <c r="A1066" s="5" t="str">
        <f ca="1">IFERROR(__xludf.DUMMYFUNCTION("""COMPUTED_VALUE"""),"20100830TNSUB")</f>
        <v>20100830TNSUB</v>
      </c>
      <c r="B1066" s="8">
        <f ca="1">IFERROR(__xludf.DUMMYFUNCTION("""COMPUTED_VALUE"""),40420)</f>
        <v>40420</v>
      </c>
      <c r="C1066" s="5" t="str">
        <f ca="1">IFERROR(__xludf.DUMMYFUNCTION("""COMPUTED_VALUE"""),"Sullivan Central High School")</f>
        <v>Sullivan Central High School</v>
      </c>
      <c r="D1066" s="5">
        <f ca="1">IFERROR(__xludf.DUMMYFUNCTION("""COMPUTED_VALUE"""),1)</f>
        <v>1</v>
      </c>
      <c r="E1066" s="5">
        <f ca="1">IFERROR(__xludf.DUMMYFUNCTION("""COMPUTED_VALUE"""),0)</f>
        <v>0</v>
      </c>
      <c r="F1066" s="5">
        <f ca="1">IFERROR(__xludf.DUMMYFUNCTION("""COMPUTED_VALUE"""),1)</f>
        <v>1</v>
      </c>
      <c r="G1066" s="5">
        <f ca="1">IFERROR(__xludf.DUMMYFUNCTION("""COMPUTED_VALUE"""),0)</f>
        <v>0</v>
      </c>
      <c r="H1066"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I1066" s="5"/>
      <c r="J1066" s="5"/>
      <c r="K1066" s="5">
        <f ca="1">IFERROR(__xludf.DUMMYFUNCTION("""COMPUTED_VALUE"""),5)</f>
        <v>5</v>
      </c>
      <c r="L1066" s="5" t="str">
        <f ca="1">IFERROR(__xludf.DUMMYFUNCTION("""COMPUTED_VALUE"""),"Summer")</f>
        <v>Summer</v>
      </c>
      <c r="M1066" s="5" t="str">
        <f ca="1">IFERROR(__xludf.DUMMYFUNCTION("""COMPUTED_VALUE"""),"Blountville")</f>
        <v>Blountville</v>
      </c>
      <c r="N1066" s="5" t="str">
        <f ca="1">IFERROR(__xludf.DUMMYFUNCTION("""COMPUTED_VALUE"""),"TN")</f>
        <v>TN</v>
      </c>
      <c r="O1066" s="5" t="str">
        <f ca="1">IFERROR(__xludf.DUMMYFUNCTION("""COMPUTED_VALUE"""),"High")</f>
        <v>High</v>
      </c>
      <c r="P1066" s="5" t="str">
        <f ca="1">IFERROR(__xludf.DUMMYFUNCTION("""COMPUTED_VALUE"""),"Hallway")</f>
        <v>Hallway</v>
      </c>
      <c r="Q1066" s="5" t="str">
        <f ca="1">IFERROR(__xludf.DUMMYFUNCTION("""COMPUTED_VALUE"""),"Inside School Building")</f>
        <v>Inside School Building</v>
      </c>
      <c r="R1066" s="5" t="str">
        <f ca="1">IFERROR(__xludf.DUMMYFUNCTION("""COMPUTED_VALUE"""),"Yes")</f>
        <v>Yes</v>
      </c>
      <c r="S1066" s="5" t="str">
        <f ca="1">IFERROR(__xludf.DUMMYFUNCTION("""COMPUTED_VALUE"""),"Morning Classes")</f>
        <v>Morning Classes</v>
      </c>
      <c r="T1066" s="10">
        <f ca="1">IFERROR(__xludf.DUMMYFUNCTION("""COMPUTED_VALUE"""),0.386111111111111)</f>
        <v>0.38611111111111102</v>
      </c>
      <c r="U1066" s="5">
        <f ca="1">IFERROR(__xludf.DUMMYFUNCTION("""COMPUTED_VALUE"""),10)</f>
        <v>10</v>
      </c>
      <c r="V1066" s="5" t="str">
        <f ca="1">IFERROR(__xludf.DUMMYFUNCTION("""COMPUTED_VALUE"""),"Officer shot adult male who had gun at school after standoff")</f>
        <v>Officer shot adult male who had gun at school after standoff</v>
      </c>
      <c r="W1066"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X1066" s="5" t="str">
        <f ca="1">IFERROR(__xludf.DUMMYFUNCTION("""COMPUTED_VALUE"""),"Hostage/Standoff")</f>
        <v>Hostage/Standoff</v>
      </c>
      <c r="Y1066" s="5" t="str">
        <f ca="1">IFERROR(__xludf.DUMMYFUNCTION("""COMPUTED_VALUE"""),"Victims Targeted")</f>
        <v>Victims Targeted</v>
      </c>
      <c r="Z1066" s="5" t="str">
        <f ca="1">IFERROR(__xludf.DUMMYFUNCTION("""COMPUTED_VALUE"""),"No")</f>
        <v>No</v>
      </c>
      <c r="AA1066" s="5"/>
      <c r="AB1066" s="5" t="str">
        <f ca="1">IFERROR(__xludf.DUMMYFUNCTION("""COMPUTED_VALUE"""),"Yes")</f>
        <v>Yes</v>
      </c>
      <c r="AC1066" s="5" t="str">
        <f ca="1">IFERROR(__xludf.DUMMYFUNCTION("""COMPUTED_VALUE"""),"No")</f>
        <v>No</v>
      </c>
      <c r="AD1066" s="5" t="str">
        <f ca="1">IFERROR(__xludf.DUMMYFUNCTION("""COMPUTED_VALUE"""),"No")</f>
        <v>No</v>
      </c>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IFERROR(__xludf.DUMMYFUNCTION("""COMPUTED_VALUE"""),"Yes")</f>
        <v>Yes</v>
      </c>
    </row>
    <row r="1067" spans="1:34" ht="12.75">
      <c r="A1067" s="5" t="str">
        <f ca="1">IFERROR(__xludf.DUMMYFUNCTION("""COMPUTED_VALUE"""),"20100518CASOS")</f>
        <v>20100518CASOS</v>
      </c>
      <c r="B1067" s="8">
        <f ca="1">IFERROR(__xludf.DUMMYFUNCTION("""COMPUTED_VALUE"""),40316)</f>
        <v>40316</v>
      </c>
      <c r="C1067" s="5" t="str">
        <f ca="1">IFERROR(__xludf.DUMMYFUNCTION("""COMPUTED_VALUE"""),"South Gate High School")</f>
        <v>South Gate High School</v>
      </c>
      <c r="D1067" s="5">
        <f ca="1">IFERROR(__xludf.DUMMYFUNCTION("""COMPUTED_VALUE"""),0)</f>
        <v>0</v>
      </c>
      <c r="E1067" s="5">
        <f ca="1">IFERROR(__xludf.DUMMYFUNCTION("""COMPUTED_VALUE"""),1)</f>
        <v>1</v>
      </c>
      <c r="F1067" s="5">
        <f ca="1">IFERROR(__xludf.DUMMYFUNCTION("""COMPUTED_VALUE"""),1)</f>
        <v>1</v>
      </c>
      <c r="G1067" s="5">
        <f ca="1">IFERROR(__xludf.DUMMYFUNCTION("""COMPUTED_VALUE"""),0)</f>
        <v>0</v>
      </c>
      <c r="H1067" s="5" t="str">
        <f ca="1">IFERROR(__xludf.DUMMYFUNCTION("""COMPUTED_VALUE"""),"https://abc7.com/archive/7448106/ .  https://www.dailynews.com/2010/05/18/student-at-south-gate-high-school-shot-on-campus/")</f>
        <v>https://abc7.com/archive/7448106/ .  https://www.dailynews.com/2010/05/18/student-at-south-gate-high-school-shot-on-campus/</v>
      </c>
      <c r="I1067" s="5"/>
      <c r="J1067" s="5"/>
      <c r="K1067" s="5">
        <f ca="1">IFERROR(__xludf.DUMMYFUNCTION("""COMPUTED_VALUE"""),3)</f>
        <v>3</v>
      </c>
      <c r="L1067" s="5" t="str">
        <f ca="1">IFERROR(__xludf.DUMMYFUNCTION("""COMPUTED_VALUE"""),"Spring")</f>
        <v>Spring</v>
      </c>
      <c r="M1067" s="5" t="str">
        <f ca="1">IFERROR(__xludf.DUMMYFUNCTION("""COMPUTED_VALUE"""),"South Gate")</f>
        <v>South Gate</v>
      </c>
      <c r="N1067" s="5" t="str">
        <f ca="1">IFERROR(__xludf.DUMMYFUNCTION("""COMPUTED_VALUE"""),"CA")</f>
        <v>CA</v>
      </c>
      <c r="O1067" s="5" t="str">
        <f ca="1">IFERROR(__xludf.DUMMYFUNCTION("""COMPUTED_VALUE"""),"High")</f>
        <v>High</v>
      </c>
      <c r="P1067" s="5" t="str">
        <f ca="1">IFERROR(__xludf.DUMMYFUNCTION("""COMPUTED_VALUE"""),"Beside Building")</f>
        <v>Beside Building</v>
      </c>
      <c r="Q1067" s="5" t="str">
        <f ca="1">IFERROR(__xludf.DUMMYFUNCTION("""COMPUTED_VALUE"""),"Outside on School Property")</f>
        <v>Outside on School Property</v>
      </c>
      <c r="R1067" s="5" t="str">
        <f ca="1">IFERROR(__xludf.DUMMYFUNCTION("""COMPUTED_VALUE"""),"Yes")</f>
        <v>Yes</v>
      </c>
      <c r="S1067" s="5" t="str">
        <f ca="1">IFERROR(__xludf.DUMMYFUNCTION("""COMPUTED_VALUE"""),"Before School")</f>
        <v>Before School</v>
      </c>
      <c r="T1067" s="10">
        <f ca="1">IFERROR(__xludf.DUMMYFUNCTION("""COMPUTED_VALUE"""),0.327083333333333)</f>
        <v>0.327083333333333</v>
      </c>
      <c r="U1067" s="5">
        <f ca="1">IFERROR(__xludf.DUMMYFUNCTION("""COMPUTED_VALUE"""),1)</f>
        <v>1</v>
      </c>
      <c r="V1067" s="5" t="str">
        <f ca="1">IFERROR(__xludf.DUMMYFUNCTION("""COMPUTED_VALUE"""),"Targeted shooting outside of school")</f>
        <v>Targeted shooting outside of school</v>
      </c>
      <c r="W1067"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X1067" s="5" t="str">
        <f ca="1">IFERROR(__xludf.DUMMYFUNCTION("""COMPUTED_VALUE"""),"Escalation of Dispute")</f>
        <v>Escalation of Dispute</v>
      </c>
      <c r="Y1067" s="5" t="str">
        <f ca="1">IFERROR(__xludf.DUMMYFUNCTION("""COMPUTED_VALUE"""),"Both")</f>
        <v>Both</v>
      </c>
      <c r="Z1067" s="5"/>
      <c r="AA1067" s="5"/>
      <c r="AB1067" s="5" t="str">
        <f ca="1">IFERROR(__xludf.DUMMYFUNCTION("""COMPUTED_VALUE"""),"No")</f>
        <v>No</v>
      </c>
      <c r="AC1067" s="5" t="str">
        <f ca="1">IFERROR(__xludf.DUMMYFUNCTION("""COMPUTED_VALUE"""),"No")</f>
        <v>No</v>
      </c>
      <c r="AD1067" s="5" t="str">
        <f ca="1">IFERROR(__xludf.DUMMYFUNCTION("""COMPUTED_VALUE"""),"No")</f>
        <v>No</v>
      </c>
      <c r="AE1067" s="5"/>
      <c r="AF1067" s="5"/>
      <c r="AG1067" s="5"/>
      <c r="AH1067" s="5"/>
    </row>
    <row r="1068" spans="1:34" ht="12.75">
      <c r="A1068" s="5" t="str">
        <f ca="1">IFERROR(__xludf.DUMMYFUNCTION("""COMPUTED_VALUE"""),"20100428VAWOP")</f>
        <v>20100428VAWOP</v>
      </c>
      <c r="B1068" s="8">
        <f ca="1">IFERROR(__xludf.DUMMYFUNCTION("""COMPUTED_VALUE"""),40296)</f>
        <v>40296</v>
      </c>
      <c r="C1068" s="5" t="str">
        <f ca="1">IFERROR(__xludf.DUMMYFUNCTION("""COMPUTED_VALUE"""),"Woodrow Wilson High School")</f>
        <v>Woodrow Wilson High School</v>
      </c>
      <c r="D1068" s="5">
        <f ca="1">IFERROR(__xludf.DUMMYFUNCTION("""COMPUTED_VALUE"""),0)</f>
        <v>0</v>
      </c>
      <c r="E1068" s="5">
        <f ca="1">IFERROR(__xludf.DUMMYFUNCTION("""COMPUTED_VALUE"""),0)</f>
        <v>0</v>
      </c>
      <c r="F1068" s="5">
        <f ca="1">IFERROR(__xludf.DUMMYFUNCTION("""COMPUTED_VALUE"""),0)</f>
        <v>0</v>
      </c>
      <c r="G1068" s="5">
        <f ca="1">IFERROR(__xludf.DUMMYFUNCTION("""COMPUTED_VALUE"""),0)</f>
        <v>0</v>
      </c>
      <c r="H1068"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I1068" s="5"/>
      <c r="J1068" s="5"/>
      <c r="K1068" s="5">
        <f ca="1">IFERROR(__xludf.DUMMYFUNCTION("""COMPUTED_VALUE"""),3)</f>
        <v>3</v>
      </c>
      <c r="L1068" s="5" t="str">
        <f ca="1">IFERROR(__xludf.DUMMYFUNCTION("""COMPUTED_VALUE"""),"Spring")</f>
        <v>Spring</v>
      </c>
      <c r="M1068" s="5" t="str">
        <f ca="1">IFERROR(__xludf.DUMMYFUNCTION("""COMPUTED_VALUE"""),"Portsmouth")</f>
        <v>Portsmouth</v>
      </c>
      <c r="N1068" s="5" t="str">
        <f ca="1">IFERROR(__xludf.DUMMYFUNCTION("""COMPUTED_VALUE"""),"VA")</f>
        <v>VA</v>
      </c>
      <c r="O1068" s="5" t="str">
        <f ca="1">IFERROR(__xludf.DUMMYFUNCTION("""COMPUTED_VALUE"""),"High")</f>
        <v>High</v>
      </c>
      <c r="P1068" s="5" t="str">
        <f ca="1">IFERROR(__xludf.DUMMYFUNCTION("""COMPUTED_VALUE"""),"Cafeteria")</f>
        <v>Cafeteria</v>
      </c>
      <c r="Q1068" s="5" t="str">
        <f ca="1">IFERROR(__xludf.DUMMYFUNCTION("""COMPUTED_VALUE"""),"Inside School Building")</f>
        <v>Inside School Building</v>
      </c>
      <c r="R1068" s="5" t="str">
        <f ca="1">IFERROR(__xludf.DUMMYFUNCTION("""COMPUTED_VALUE"""),"Yes")</f>
        <v>Yes</v>
      </c>
      <c r="S1068" s="5" t="str">
        <f ca="1">IFERROR(__xludf.DUMMYFUNCTION("""COMPUTED_VALUE"""),"Lunch")</f>
        <v>Lunch</v>
      </c>
      <c r="T1068" s="10">
        <f ca="1">IFERROR(__xludf.DUMMYFUNCTION("""COMPUTED_VALUE"""),0.510416666666666)</f>
        <v>0.51041666666666596</v>
      </c>
      <c r="U1068" s="5">
        <f ca="1">IFERROR(__xludf.DUMMYFUNCTION("""COMPUTED_VALUE"""),1)</f>
        <v>1</v>
      </c>
      <c r="V1068" s="5" t="str">
        <f ca="1">IFERROR(__xludf.DUMMYFUNCTION("""COMPUTED_VALUE"""),"Fired shots into ceiling of cafeteria")</f>
        <v>Fired shots into ceiling of cafeteria</v>
      </c>
      <c r="W1068"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X1068" s="5" t="str">
        <f ca="1">IFERROR(__xludf.DUMMYFUNCTION("""COMPUTED_VALUE"""),"Bullying")</f>
        <v>Bullying</v>
      </c>
      <c r="Y1068" s="5" t="str">
        <f ca="1">IFERROR(__xludf.DUMMYFUNCTION("""COMPUTED_VALUE"""),"Neither")</f>
        <v>Neither</v>
      </c>
      <c r="Z1068" s="5"/>
      <c r="AA1068" s="5"/>
      <c r="AB1068" s="5" t="str">
        <f ca="1">IFERROR(__xludf.DUMMYFUNCTION("""COMPUTED_VALUE"""),"No")</f>
        <v>No</v>
      </c>
      <c r="AC1068" s="5" t="str">
        <f ca="1">IFERROR(__xludf.DUMMYFUNCTION("""COMPUTED_VALUE"""),"No")</f>
        <v>No</v>
      </c>
      <c r="AD1068" s="5" t="str">
        <f ca="1">IFERROR(__xludf.DUMMYFUNCTION("""COMPUTED_VALUE"""),"No")</f>
        <v>No</v>
      </c>
      <c r="AE1068" s="5" t="str">
        <f ca="1">IFERROR(__xludf.DUMMYFUNCTION("""COMPUTED_VALUE"""),"Yes")</f>
        <v>Yes</v>
      </c>
      <c r="AF1068" s="5" t="str">
        <f ca="1">IFERROR(__xludf.DUMMYFUNCTION("""COMPUTED_VALUE"""),"No")</f>
        <v>No</v>
      </c>
      <c r="AG1068" s="5" t="str">
        <f ca="1">IFERROR(__xludf.DUMMYFUNCTION("""COMPUTED_VALUE"""),"No")</f>
        <v>No</v>
      </c>
      <c r="AH1068" s="5" t="str">
        <f ca="1">IFERROR(__xludf.DUMMYFUNCTION("""COMPUTED_VALUE"""),"Yes")</f>
        <v>Yes</v>
      </c>
    </row>
    <row r="1069" spans="1:34" ht="12.75">
      <c r="A1069" s="5" t="str">
        <f ca="1">IFERROR(__xludf.DUMMYFUNCTION("""COMPUTED_VALUE"""),"20100226WABIT")</f>
        <v>20100226WABIT</v>
      </c>
      <c r="B1069" s="8">
        <f ca="1">IFERROR(__xludf.DUMMYFUNCTION("""COMPUTED_VALUE"""),40235)</f>
        <v>40235</v>
      </c>
      <c r="C1069" s="5" t="str">
        <f ca="1">IFERROR(__xludf.DUMMYFUNCTION("""COMPUTED_VALUE"""),"Birney Elementary School")</f>
        <v>Birney Elementary School</v>
      </c>
      <c r="D1069" s="5">
        <f ca="1">IFERROR(__xludf.DUMMYFUNCTION("""COMPUTED_VALUE"""),1)</f>
        <v>1</v>
      </c>
      <c r="E1069" s="5">
        <f ca="1">IFERROR(__xludf.DUMMYFUNCTION("""COMPUTED_VALUE"""),0)</f>
        <v>0</v>
      </c>
      <c r="F1069" s="5">
        <f ca="1">IFERROR(__xludf.DUMMYFUNCTION("""COMPUTED_VALUE"""),1)</f>
        <v>1</v>
      </c>
      <c r="G1069" s="5">
        <f ca="1">IFERROR(__xludf.DUMMYFUNCTION("""COMPUTED_VALUE"""),0)</f>
        <v>0</v>
      </c>
      <c r="H1069"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I1069" s="5"/>
      <c r="J1069" s="5"/>
      <c r="K1069" s="5">
        <f ca="1">IFERROR(__xludf.DUMMYFUNCTION("""COMPUTED_VALUE"""),3)</f>
        <v>3</v>
      </c>
      <c r="L1069" s="5" t="str">
        <f ca="1">IFERROR(__xludf.DUMMYFUNCTION("""COMPUTED_VALUE"""),"Winter")</f>
        <v>Winter</v>
      </c>
      <c r="M1069" s="5" t="str">
        <f ca="1">IFERROR(__xludf.DUMMYFUNCTION("""COMPUTED_VALUE"""),"Tacoma")</f>
        <v>Tacoma</v>
      </c>
      <c r="N1069" s="5" t="str">
        <f ca="1">IFERROR(__xludf.DUMMYFUNCTION("""COMPUTED_VALUE"""),"WA")</f>
        <v>WA</v>
      </c>
      <c r="O1069" s="5" t="str">
        <f ca="1">IFERROR(__xludf.DUMMYFUNCTION("""COMPUTED_VALUE"""),"Elementary")</f>
        <v>Elementary</v>
      </c>
      <c r="P1069" s="5" t="str">
        <f ca="1">IFERROR(__xludf.DUMMYFUNCTION("""COMPUTED_VALUE"""),"Beside Building")</f>
        <v>Beside Building</v>
      </c>
      <c r="Q1069" s="5" t="str">
        <f ca="1">IFERROR(__xludf.DUMMYFUNCTION("""COMPUTED_VALUE"""),"Outside on School Property")</f>
        <v>Outside on School Property</v>
      </c>
      <c r="R1069" s="5" t="str">
        <f ca="1">IFERROR(__xludf.DUMMYFUNCTION("""COMPUTED_VALUE"""),"Yes")</f>
        <v>Yes</v>
      </c>
      <c r="S1069" s="5" t="str">
        <f ca="1">IFERROR(__xludf.DUMMYFUNCTION("""COMPUTED_VALUE"""),"Before School")</f>
        <v>Before School</v>
      </c>
      <c r="T1069" s="5"/>
      <c r="U1069" s="5">
        <f ca="1">IFERROR(__xludf.DUMMYFUNCTION("""COMPUTED_VALUE"""),1)</f>
        <v>1</v>
      </c>
      <c r="V1069" s="5" t="str">
        <f ca="1">IFERROR(__xludf.DUMMYFUNCTION("""COMPUTED_VALUE"""),"Stalker killed teacher")</f>
        <v>Stalker killed teacher</v>
      </c>
      <c r="W1069"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X1069" s="5" t="str">
        <f ca="1">IFERROR(__xludf.DUMMYFUNCTION("""COMPUTED_VALUE"""),"Domestic w/ Targeted Victim")</f>
        <v>Domestic w/ Targeted Victim</v>
      </c>
      <c r="Y1069" s="5" t="str">
        <f ca="1">IFERROR(__xludf.DUMMYFUNCTION("""COMPUTED_VALUE"""),"Victims Targeted")</f>
        <v>Victims Targeted</v>
      </c>
      <c r="Z1069" s="5"/>
      <c r="AA1069" s="5"/>
      <c r="AB1069" s="5" t="str">
        <f ca="1">IFERROR(__xludf.DUMMYFUNCTION("""COMPUTED_VALUE"""),"No")</f>
        <v>No</v>
      </c>
      <c r="AC1069" s="5" t="str">
        <f ca="1">IFERROR(__xludf.DUMMYFUNCTION("""COMPUTED_VALUE"""),"No")</f>
        <v>No</v>
      </c>
      <c r="AD1069" s="5" t="str">
        <f ca="1">IFERROR(__xludf.DUMMYFUNCTION("""COMPUTED_VALUE"""),"No")</f>
        <v>No</v>
      </c>
      <c r="AE1069" s="5" t="str">
        <f ca="1">IFERROR(__xludf.DUMMYFUNCTION("""COMPUTED_VALUE"""),"No")</f>
        <v>No</v>
      </c>
      <c r="AF1069" s="5" t="str">
        <f ca="1">IFERROR(__xludf.DUMMYFUNCTION("""COMPUTED_VALUE"""),"No")</f>
        <v>No</v>
      </c>
      <c r="AG1069" s="5" t="str">
        <f ca="1">IFERROR(__xludf.DUMMYFUNCTION("""COMPUTED_VALUE"""),"No")</f>
        <v>No</v>
      </c>
      <c r="AH1069" s="5"/>
    </row>
    <row r="1070" spans="1:34" ht="12.75">
      <c r="A1070" s="5" t="str">
        <f ca="1">IFERROR(__xludf.DUMMYFUNCTION("""COMPUTED_VALUE"""),"20100223CODEL")</f>
        <v>20100223CODEL</v>
      </c>
      <c r="B1070" s="8">
        <f ca="1">IFERROR(__xludf.DUMMYFUNCTION("""COMPUTED_VALUE"""),40232)</f>
        <v>40232</v>
      </c>
      <c r="C1070" s="5" t="str">
        <f ca="1">IFERROR(__xludf.DUMMYFUNCTION("""COMPUTED_VALUE"""),"Deer Creek Middle School")</f>
        <v>Deer Creek Middle School</v>
      </c>
      <c r="D1070" s="5">
        <f ca="1">IFERROR(__xludf.DUMMYFUNCTION("""COMPUTED_VALUE"""),0)</f>
        <v>0</v>
      </c>
      <c r="E1070" s="5">
        <f ca="1">IFERROR(__xludf.DUMMYFUNCTION("""COMPUTED_VALUE"""),2)</f>
        <v>2</v>
      </c>
      <c r="F1070" s="5">
        <f ca="1">IFERROR(__xludf.DUMMYFUNCTION("""COMPUTED_VALUE"""),2)</f>
        <v>2</v>
      </c>
      <c r="G1070" s="5">
        <f ca="1">IFERROR(__xludf.DUMMYFUNCTION("""COMPUTED_VALUE"""),0)</f>
        <v>0</v>
      </c>
      <c r="H1070"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I1070" s="5"/>
      <c r="J1070" s="5" t="str">
        <f ca="1">IFERROR(__xludf.DUMMYFUNCTION("""COMPUTED_VALUE"""),"Regional")</f>
        <v>Regional</v>
      </c>
      <c r="K1070" s="5">
        <f ca="1">IFERROR(__xludf.DUMMYFUNCTION("""COMPUTED_VALUE"""),5)</f>
        <v>5</v>
      </c>
      <c r="L1070" s="5" t="str">
        <f ca="1">IFERROR(__xludf.DUMMYFUNCTION("""COMPUTED_VALUE"""),"Winter")</f>
        <v>Winter</v>
      </c>
      <c r="M1070" s="5" t="str">
        <f ca="1">IFERROR(__xludf.DUMMYFUNCTION("""COMPUTED_VALUE"""),"Littleton")</f>
        <v>Littleton</v>
      </c>
      <c r="N1070" s="5" t="str">
        <f ca="1">IFERROR(__xludf.DUMMYFUNCTION("""COMPUTED_VALUE"""),"CO")</f>
        <v>CO</v>
      </c>
      <c r="O1070" s="5" t="str">
        <f ca="1">IFERROR(__xludf.DUMMYFUNCTION("""COMPUTED_VALUE"""),"Middle")</f>
        <v>Middle</v>
      </c>
      <c r="P1070" s="5" t="str">
        <f ca="1">IFERROR(__xludf.DUMMYFUNCTION("""COMPUTED_VALUE"""),"Front of School")</f>
        <v>Front of School</v>
      </c>
      <c r="Q1070" s="5" t="str">
        <f ca="1">IFERROR(__xludf.DUMMYFUNCTION("""COMPUTED_VALUE"""),"Outside on School Property")</f>
        <v>Outside on School Property</v>
      </c>
      <c r="R1070" s="5" t="str">
        <f ca="1">IFERROR(__xludf.DUMMYFUNCTION("""COMPUTED_VALUE"""),"Yes")</f>
        <v>Yes</v>
      </c>
      <c r="S1070" s="5" t="str">
        <f ca="1">IFERROR(__xludf.DUMMYFUNCTION("""COMPUTED_VALUE"""),"Dismissal")</f>
        <v>Dismissal</v>
      </c>
      <c r="T1070" s="10">
        <f ca="1">IFERROR(__xludf.DUMMYFUNCTION("""COMPUTED_VALUE"""),0.634722222222222)</f>
        <v>0.63472222222222197</v>
      </c>
      <c r="U1070" s="5">
        <f ca="1">IFERROR(__xludf.DUMMYFUNCTION("""COMPUTED_VALUE"""),1)</f>
        <v>1</v>
      </c>
      <c r="V1070" s="5" t="str">
        <f ca="1">IFERROR(__xludf.DUMMYFUNCTION("""COMPUTED_VALUE"""),"Shot two students outside of school, tackled by teacher, severe mental illness")</f>
        <v>Shot two students outside of school, tackled by teacher, severe mental illness</v>
      </c>
      <c r="W1070"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X1070" s="5" t="str">
        <f ca="1">IFERROR(__xludf.DUMMYFUNCTION("""COMPUTED_VALUE"""),"Psychosis")</f>
        <v>Psychosis</v>
      </c>
      <c r="Y1070" s="5" t="str">
        <f ca="1">IFERROR(__xludf.DUMMYFUNCTION("""COMPUTED_VALUE"""),"Random Shooting")</f>
        <v>Random Shooting</v>
      </c>
      <c r="Z1070" s="5" t="str">
        <f ca="1">IFERROR(__xludf.DUMMYFUNCTION("""COMPUTED_VALUE"""),"No")</f>
        <v>No</v>
      </c>
      <c r="AA1070" s="5"/>
      <c r="AB1070" s="5" t="str">
        <f ca="1">IFERROR(__xludf.DUMMYFUNCTION("""COMPUTED_VALUE"""),"No")</f>
        <v>No</v>
      </c>
      <c r="AC1070" s="5" t="str">
        <f ca="1">IFERROR(__xludf.DUMMYFUNCTION("""COMPUTED_VALUE"""),"No")</f>
        <v>No</v>
      </c>
      <c r="AD1070" s="5" t="str">
        <f ca="1">IFERROR(__xludf.DUMMYFUNCTION("""COMPUTED_VALUE"""),"No")</f>
        <v>No</v>
      </c>
      <c r="AE1070" s="5"/>
      <c r="AF1070" s="5" t="str">
        <f ca="1">IFERROR(__xludf.DUMMYFUNCTION("""COMPUTED_VALUE"""),"No")</f>
        <v>No</v>
      </c>
      <c r="AG1070" s="5" t="str">
        <f ca="1">IFERROR(__xludf.DUMMYFUNCTION("""COMPUTED_VALUE"""),"No")</f>
        <v>No</v>
      </c>
      <c r="AH1070" s="5" t="str">
        <f ca="1">IFERROR(__xludf.DUMMYFUNCTION("""COMPUTED_VALUE"""),"Yes")</f>
        <v>Yes</v>
      </c>
    </row>
    <row r="1071" spans="1:34" ht="12.75">
      <c r="A1071" s="5" t="str">
        <f ca="1">IFERROR(__xludf.DUMMYFUNCTION("""COMPUTED_VALUE"""),"20100210TNINK")</f>
        <v>20100210TNINK</v>
      </c>
      <c r="B1071" s="8">
        <f ca="1">IFERROR(__xludf.DUMMYFUNCTION("""COMPUTED_VALUE"""),40219)</f>
        <v>40219</v>
      </c>
      <c r="C1071" s="5" t="str">
        <f ca="1">IFERROR(__xludf.DUMMYFUNCTION("""COMPUTED_VALUE"""),"Inskip Elementary School")</f>
        <v>Inskip Elementary School</v>
      </c>
      <c r="D1071" s="5">
        <f ca="1">IFERROR(__xludf.DUMMYFUNCTION("""COMPUTED_VALUE"""),0)</f>
        <v>0</v>
      </c>
      <c r="E1071" s="5">
        <f ca="1">IFERROR(__xludf.DUMMYFUNCTION("""COMPUTED_VALUE"""),2)</f>
        <v>2</v>
      </c>
      <c r="F1071" s="5">
        <f ca="1">IFERROR(__xludf.DUMMYFUNCTION("""COMPUTED_VALUE"""),2)</f>
        <v>2</v>
      </c>
      <c r="G1071" s="5">
        <f ca="1">IFERROR(__xludf.DUMMYFUNCTION("""COMPUTED_VALUE"""),0)</f>
        <v>0</v>
      </c>
      <c r="H1071"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I1071" s="5"/>
      <c r="J1071" s="5" t="str">
        <f ca="1">IFERROR(__xludf.DUMMYFUNCTION("""COMPUTED_VALUE"""),"Local")</f>
        <v>Local</v>
      </c>
      <c r="K1071" s="5">
        <f ca="1">IFERROR(__xludf.DUMMYFUNCTION("""COMPUTED_VALUE"""),5)</f>
        <v>5</v>
      </c>
      <c r="L1071" s="5" t="str">
        <f ca="1">IFERROR(__xludf.DUMMYFUNCTION("""COMPUTED_VALUE"""),"Winter")</f>
        <v>Winter</v>
      </c>
      <c r="M1071" s="5" t="str">
        <f ca="1">IFERROR(__xludf.DUMMYFUNCTION("""COMPUTED_VALUE"""),"Knoxville")</f>
        <v>Knoxville</v>
      </c>
      <c r="N1071" s="5" t="str">
        <f ca="1">IFERROR(__xludf.DUMMYFUNCTION("""COMPUTED_VALUE"""),"TN")</f>
        <v>TN</v>
      </c>
      <c r="O1071" s="5" t="str">
        <f ca="1">IFERROR(__xludf.DUMMYFUNCTION("""COMPUTED_VALUE"""),"High")</f>
        <v>High</v>
      </c>
      <c r="P1071" s="5" t="str">
        <f ca="1">IFERROR(__xludf.DUMMYFUNCTION("""COMPUTED_VALUE"""),"Office")</f>
        <v>Office</v>
      </c>
      <c r="Q1071" s="5" t="str">
        <f ca="1">IFERROR(__xludf.DUMMYFUNCTION("""COMPUTED_VALUE"""),"Inside School Building")</f>
        <v>Inside School Building</v>
      </c>
      <c r="R1071" s="5" t="str">
        <f ca="1">IFERROR(__xludf.DUMMYFUNCTION("""COMPUTED_VALUE"""),"No")</f>
        <v>No</v>
      </c>
      <c r="S1071" s="5" t="str">
        <f ca="1">IFERROR(__xludf.DUMMYFUNCTION("""COMPUTED_VALUE"""),"After School")</f>
        <v>After School</v>
      </c>
      <c r="T1071" s="10">
        <f ca="1">IFERROR(__xludf.DUMMYFUNCTION("""COMPUTED_VALUE"""),0.541666666666666)</f>
        <v>0.54166666666666596</v>
      </c>
      <c r="U1071" s="5">
        <f ca="1">IFERROR(__xludf.DUMMYFUNCTION("""COMPUTED_VALUE"""),1)</f>
        <v>1</v>
      </c>
      <c r="V1071" s="5" t="str">
        <f ca="1">IFERROR(__xludf.DUMMYFUNCTION("""COMPUTED_VALUE"""),"Teacher told he wasn't being rehired next year, shot principal and asst principal")</f>
        <v>Teacher told he wasn't being rehired next year, shot principal and asst principal</v>
      </c>
      <c r="W1071"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X1071" s="5" t="str">
        <f ca="1">IFERROR(__xludf.DUMMYFUNCTION("""COMPUTED_VALUE"""),"Anger Over Grade/Suspension/Discipline")</f>
        <v>Anger Over Grade/Suspension/Discipline</v>
      </c>
      <c r="Y1071" s="5" t="str">
        <f ca="1">IFERROR(__xludf.DUMMYFUNCTION("""COMPUTED_VALUE"""),"Victims Targeted")</f>
        <v>Victims Targeted</v>
      </c>
      <c r="Z1071" s="5" t="str">
        <f ca="1">IFERROR(__xludf.DUMMYFUNCTION("""COMPUTED_VALUE"""),"No")</f>
        <v>No</v>
      </c>
      <c r="AA1071" s="5"/>
      <c r="AB1071" s="5" t="str">
        <f ca="1">IFERROR(__xludf.DUMMYFUNCTION("""COMPUTED_VALUE"""),"No")</f>
        <v>No</v>
      </c>
      <c r="AC1071" s="5" t="str">
        <f ca="1">IFERROR(__xludf.DUMMYFUNCTION("""COMPUTED_VALUE"""),"No")</f>
        <v>No</v>
      </c>
      <c r="AD1071" s="5" t="str">
        <f ca="1">IFERROR(__xludf.DUMMYFUNCTION("""COMPUTED_VALUE"""),"No")</f>
        <v>No</v>
      </c>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row>
    <row r="1072" spans="1:34" ht="12.75">
      <c r="A1072" s="5" t="str">
        <f ca="1">IFERROR(__xludf.DUMMYFUNCTION("""COMPUTED_VALUE"""),"20100205ALDIM")</f>
        <v>20100205ALDIM</v>
      </c>
      <c r="B1072" s="8">
        <f ca="1">IFERROR(__xludf.DUMMYFUNCTION("""COMPUTED_VALUE"""),40214)</f>
        <v>40214</v>
      </c>
      <c r="C1072" s="5" t="str">
        <f ca="1">IFERROR(__xludf.DUMMYFUNCTION("""COMPUTED_VALUE"""),"Discovery Middle School")</f>
        <v>Discovery Middle School</v>
      </c>
      <c r="D1072" s="5">
        <f ca="1">IFERROR(__xludf.DUMMYFUNCTION("""COMPUTED_VALUE"""),1)</f>
        <v>1</v>
      </c>
      <c r="E1072" s="5">
        <f ca="1">IFERROR(__xludf.DUMMYFUNCTION("""COMPUTED_VALUE"""),0)</f>
        <v>0</v>
      </c>
      <c r="F1072" s="5">
        <f ca="1">IFERROR(__xludf.DUMMYFUNCTION("""COMPUTED_VALUE"""),1)</f>
        <v>1</v>
      </c>
      <c r="G1072" s="5">
        <f ca="1">IFERROR(__xludf.DUMMYFUNCTION("""COMPUTED_VALUE"""),0)</f>
        <v>0</v>
      </c>
      <c r="H1072"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I1072" s="5"/>
      <c r="J1072" s="5"/>
      <c r="K1072" s="5">
        <f ca="1">IFERROR(__xludf.DUMMYFUNCTION("""COMPUTED_VALUE"""),4)</f>
        <v>4</v>
      </c>
      <c r="L1072" s="5" t="str">
        <f ca="1">IFERROR(__xludf.DUMMYFUNCTION("""COMPUTED_VALUE"""),"Winter")</f>
        <v>Winter</v>
      </c>
      <c r="M1072" s="5" t="str">
        <f ca="1">IFERROR(__xludf.DUMMYFUNCTION("""COMPUTED_VALUE"""),"Madison")</f>
        <v>Madison</v>
      </c>
      <c r="N1072" s="5" t="str">
        <f ca="1">IFERROR(__xludf.DUMMYFUNCTION("""COMPUTED_VALUE"""),"AL")</f>
        <v>AL</v>
      </c>
      <c r="O1072" s="5" t="str">
        <f ca="1">IFERROR(__xludf.DUMMYFUNCTION("""COMPUTED_VALUE"""),"Middle")</f>
        <v>Middle</v>
      </c>
      <c r="P1072" s="5" t="str">
        <f ca="1">IFERROR(__xludf.DUMMYFUNCTION("""COMPUTED_VALUE"""),"Hallway")</f>
        <v>Hallway</v>
      </c>
      <c r="Q1072" s="5" t="str">
        <f ca="1">IFERROR(__xludf.DUMMYFUNCTION("""COMPUTED_VALUE"""),"Inside School Building")</f>
        <v>Inside School Building</v>
      </c>
      <c r="R1072" s="5" t="str">
        <f ca="1">IFERROR(__xludf.DUMMYFUNCTION("""COMPUTED_VALUE"""),"Yes")</f>
        <v>Yes</v>
      </c>
      <c r="S1072" s="5" t="str">
        <f ca="1">IFERROR(__xludf.DUMMYFUNCTION("""COMPUTED_VALUE"""),"Afternoon Classes")</f>
        <v>Afternoon Classes</v>
      </c>
      <c r="T1072" s="10">
        <f ca="1">IFERROR(__xludf.DUMMYFUNCTION("""COMPUTED_VALUE"""),0.572916666666666)</f>
        <v>0.57291666666666596</v>
      </c>
      <c r="U1072" s="5">
        <f ca="1">IFERROR(__xludf.DUMMYFUNCTION("""COMPUTED_VALUE"""),1)</f>
        <v>1</v>
      </c>
      <c r="V1072" s="5" t="str">
        <f ca="1">IFERROR(__xludf.DUMMYFUNCTION("""COMPUTED_VALUE"""),"Student in head by another student in hallway, details remain unclear")</f>
        <v>Student in head by another student in hallway, details remain unclear</v>
      </c>
      <c r="W1072"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X1072" s="5" t="str">
        <f ca="1">IFERROR(__xludf.DUMMYFUNCTION("""COMPUTED_VALUE"""),"Psychosis")</f>
        <v>Psychosis</v>
      </c>
      <c r="Y1072" s="5" t="str">
        <f ca="1">IFERROR(__xludf.DUMMYFUNCTION("""COMPUTED_VALUE"""),"Victims Targeted")</f>
        <v>Victims Targeted</v>
      </c>
      <c r="Z1072" s="5" t="str">
        <f ca="1">IFERROR(__xludf.DUMMYFUNCTION("""COMPUTED_VALUE"""),"No")</f>
        <v>No</v>
      </c>
      <c r="AA1072" s="5"/>
      <c r="AB1072" s="5" t="str">
        <f ca="1">IFERROR(__xludf.DUMMYFUNCTION("""COMPUTED_VALUE"""),"No")</f>
        <v>No</v>
      </c>
      <c r="AC1072" s="5" t="str">
        <f ca="1">IFERROR(__xludf.DUMMYFUNCTION("""COMPUTED_VALUE"""),"No")</f>
        <v>No</v>
      </c>
      <c r="AD1072" s="5" t="str">
        <f ca="1">IFERROR(__xludf.DUMMYFUNCTION("""COMPUTED_VALUE"""),"No")</f>
        <v>No</v>
      </c>
      <c r="AE1072" s="5"/>
      <c r="AF1072" s="5" t="str">
        <f ca="1">IFERROR(__xludf.DUMMYFUNCTION("""COMPUTED_VALUE"""),"No")</f>
        <v>No</v>
      </c>
      <c r="AG1072" s="5"/>
      <c r="AH1072" s="5" t="str">
        <f ca="1">IFERROR(__xludf.DUMMYFUNCTION("""COMPUTED_VALUE"""),"Yes")</f>
        <v>Yes</v>
      </c>
    </row>
    <row r="1073" spans="1:34" ht="12.75">
      <c r="A1073" s="5" t="str">
        <f ca="1">IFERROR(__xludf.DUMMYFUNCTION("""COMPUTED_VALUE"""),"20100120ALLIL")</f>
        <v>20100120ALLIL</v>
      </c>
      <c r="B1073" s="8">
        <f ca="1">IFERROR(__xludf.DUMMYFUNCTION("""COMPUTED_VALUE"""),40198)</f>
        <v>40198</v>
      </c>
      <c r="C1073" s="5" t="str">
        <f ca="1">IFERROR(__xludf.DUMMYFUNCTION("""COMPUTED_VALUE"""),"Livington High School")</f>
        <v>Livington High School</v>
      </c>
      <c r="D1073" s="5">
        <f ca="1">IFERROR(__xludf.DUMMYFUNCTION("""COMPUTED_VALUE"""),0)</f>
        <v>0</v>
      </c>
      <c r="E1073" s="5">
        <f ca="1">IFERROR(__xludf.DUMMYFUNCTION("""COMPUTED_VALUE"""),1)</f>
        <v>1</v>
      </c>
      <c r="F1073" s="5">
        <f ca="1">IFERROR(__xludf.DUMMYFUNCTION("""COMPUTED_VALUE"""),1)</f>
        <v>1</v>
      </c>
      <c r="G1073" s="5">
        <f ca="1">IFERROR(__xludf.DUMMYFUNCTION("""COMPUTED_VALUE"""),0)</f>
        <v>0</v>
      </c>
      <c r="H1073"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I1073" s="5"/>
      <c r="J1073" s="5"/>
      <c r="K1073" s="5">
        <f ca="1">IFERROR(__xludf.DUMMYFUNCTION("""COMPUTED_VALUE"""),3)</f>
        <v>3</v>
      </c>
      <c r="L1073" s="5" t="str">
        <f ca="1">IFERROR(__xludf.DUMMYFUNCTION("""COMPUTED_VALUE"""),"Winter")</f>
        <v>Winter</v>
      </c>
      <c r="M1073" s="5" t="str">
        <f ca="1">IFERROR(__xludf.DUMMYFUNCTION("""COMPUTED_VALUE"""),"Livington")</f>
        <v>Livington</v>
      </c>
      <c r="N1073" s="5" t="str">
        <f ca="1">IFERROR(__xludf.DUMMYFUNCTION("""COMPUTED_VALUE"""),"AL")</f>
        <v>AL</v>
      </c>
      <c r="O1073" s="5" t="str">
        <f ca="1">IFERROR(__xludf.DUMMYFUNCTION("""COMPUTED_VALUE"""),"High")</f>
        <v>High</v>
      </c>
      <c r="P1073" s="5" t="str">
        <f ca="1">IFERROR(__xludf.DUMMYFUNCTION("""COMPUTED_VALUE"""),"Beside Building")</f>
        <v>Beside Building</v>
      </c>
      <c r="Q1073" s="5" t="str">
        <f ca="1">IFERROR(__xludf.DUMMYFUNCTION("""COMPUTED_VALUE"""),"Outside on School Property")</f>
        <v>Outside on School Property</v>
      </c>
      <c r="R1073" s="5" t="str">
        <f ca="1">IFERROR(__xludf.DUMMYFUNCTION("""COMPUTED_VALUE"""),"Yes")</f>
        <v>Yes</v>
      </c>
      <c r="S1073" s="5" t="str">
        <f ca="1">IFERROR(__xludf.DUMMYFUNCTION("""COMPUTED_VALUE"""),"Afternoon Classes")</f>
        <v>Afternoon Classes</v>
      </c>
      <c r="T1073" s="10">
        <f ca="1">IFERROR(__xludf.DUMMYFUNCTION("""COMPUTED_VALUE"""),0.625)</f>
        <v>0.625</v>
      </c>
      <c r="U1073" s="5">
        <f ca="1">IFERROR(__xludf.DUMMYFUNCTION("""COMPUTED_VALUE"""),1)</f>
        <v>1</v>
      </c>
      <c r="V1073" s="5" t="str">
        <f ca="1">IFERROR(__xludf.DUMMYFUNCTION("""COMPUTED_VALUE"""),"Husband killed wife outside of school")</f>
        <v>Husband killed wife outside of school</v>
      </c>
      <c r="W1073"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X1073" s="5" t="str">
        <f ca="1">IFERROR(__xludf.DUMMYFUNCTION("""COMPUTED_VALUE"""),"Domestic w/ Targeted Victim")</f>
        <v>Domestic w/ Targeted Victim</v>
      </c>
      <c r="Y1073" s="5" t="str">
        <f ca="1">IFERROR(__xludf.DUMMYFUNCTION("""COMPUTED_VALUE"""),"Victims Targeted")</f>
        <v>Victims Targeted</v>
      </c>
      <c r="Z1073" s="5" t="str">
        <f ca="1">IFERROR(__xludf.DUMMYFUNCTION("""COMPUTED_VALUE"""),"No")</f>
        <v>No</v>
      </c>
      <c r="AA1073" s="5"/>
      <c r="AB1073" s="5" t="str">
        <f ca="1">IFERROR(__xludf.DUMMYFUNCTION("""COMPUTED_VALUE"""),"No")</f>
        <v>No</v>
      </c>
      <c r="AC1073" s="5" t="str">
        <f ca="1">IFERROR(__xludf.DUMMYFUNCTION("""COMPUTED_VALUE"""),"No")</f>
        <v>No</v>
      </c>
      <c r="AD1073" s="5" t="str">
        <f ca="1">IFERROR(__xludf.DUMMYFUNCTION("""COMPUTED_VALUE"""),"No")</f>
        <v>No</v>
      </c>
      <c r="AE1073" s="5" t="str">
        <f ca="1">IFERROR(__xludf.DUMMYFUNCTION("""COMPUTED_VALUE"""),"No")</f>
        <v>No</v>
      </c>
      <c r="AF1073" s="5" t="str">
        <f ca="1">IFERROR(__xludf.DUMMYFUNCTION("""COMPUTED_VALUE"""),"Yes")</f>
        <v>Yes</v>
      </c>
      <c r="AG1073" s="5" t="str">
        <f ca="1">IFERROR(__xludf.DUMMYFUNCTION("""COMPUTED_VALUE"""),"No")</f>
        <v>No</v>
      </c>
      <c r="AH1073" s="5" t="str">
        <f ca="1">IFERROR(__xludf.DUMMYFUNCTION("""COMPUTED_VALUE"""),"No")</f>
        <v>No</v>
      </c>
    </row>
    <row r="1074" spans="1:34" ht="12.75">
      <c r="A1074" s="5" t="str">
        <f ca="1">IFERROR(__xludf.DUMMYFUNCTION("""COMPUTED_VALUE"""),"20091211LABOS")</f>
        <v>20091211LABOS</v>
      </c>
      <c r="B1074" s="8">
        <f ca="1">IFERROR(__xludf.DUMMYFUNCTION("""COMPUTED_VALUE"""),40158)</f>
        <v>40158</v>
      </c>
      <c r="C1074" s="5" t="str">
        <f ca="1">IFERROR(__xludf.DUMMYFUNCTION("""COMPUTED_VALUE"""),"Booker T. Washington High School")</f>
        <v>Booker T. Washington High School</v>
      </c>
      <c r="D1074" s="5">
        <f ca="1">IFERROR(__xludf.DUMMYFUNCTION("""COMPUTED_VALUE"""),0)</f>
        <v>0</v>
      </c>
      <c r="E1074" s="5">
        <f ca="1">IFERROR(__xludf.DUMMYFUNCTION("""COMPUTED_VALUE"""),1)</f>
        <v>1</v>
      </c>
      <c r="F1074" s="5">
        <f ca="1">IFERROR(__xludf.DUMMYFUNCTION("""COMPUTED_VALUE"""),1)</f>
        <v>1</v>
      </c>
      <c r="G1074" s="5">
        <f ca="1">IFERROR(__xludf.DUMMYFUNCTION("""COMPUTED_VALUE"""),0)</f>
        <v>0</v>
      </c>
      <c r="H1074" s="9" t="str">
        <f ca="1">IFERROR(__xludf.DUMMYFUNCTION("""COMPUTED_VALUE"""),"https://www.ktbs.com/news/police-btw-shooter-was-spurned-lover/article_655e08f3-5404-5896-a955-81611d1a56b3.html")</f>
        <v>https://www.ktbs.com/news/police-btw-shooter-was-spurned-lover/article_655e08f3-5404-5896-a955-81611d1a56b3.html</v>
      </c>
      <c r="I1074" s="5"/>
      <c r="J1074" s="5"/>
      <c r="K1074" s="5">
        <f ca="1">IFERROR(__xludf.DUMMYFUNCTION("""COMPUTED_VALUE"""),2)</f>
        <v>2</v>
      </c>
      <c r="L1074" s="5" t="str">
        <f ca="1">IFERROR(__xludf.DUMMYFUNCTION("""COMPUTED_VALUE"""),"Winter")</f>
        <v>Winter</v>
      </c>
      <c r="M1074" s="5" t="str">
        <f ca="1">IFERROR(__xludf.DUMMYFUNCTION("""COMPUTED_VALUE"""),"Shreveport")</f>
        <v>Shreveport</v>
      </c>
      <c r="N1074" s="5" t="str">
        <f ca="1">IFERROR(__xludf.DUMMYFUNCTION("""COMPUTED_VALUE"""),"LA")</f>
        <v>LA</v>
      </c>
      <c r="O1074" s="5" t="str">
        <f ca="1">IFERROR(__xludf.DUMMYFUNCTION("""COMPUTED_VALUE"""),"High")</f>
        <v>High</v>
      </c>
      <c r="P1074" s="5" t="str">
        <f ca="1">IFERROR(__xludf.DUMMYFUNCTION("""COMPUTED_VALUE"""),"Parking Lot")</f>
        <v>Parking Lot</v>
      </c>
      <c r="Q1074" s="5" t="str">
        <f ca="1">IFERROR(__xludf.DUMMYFUNCTION("""COMPUTED_VALUE"""),"Outside on School Property")</f>
        <v>Outside on School Property</v>
      </c>
      <c r="R1074" s="5" t="str">
        <f ca="1">IFERROR(__xludf.DUMMYFUNCTION("""COMPUTED_VALUE"""),"Yes")</f>
        <v>Yes</v>
      </c>
      <c r="S1074" s="5" t="str">
        <f ca="1">IFERROR(__xludf.DUMMYFUNCTION("""COMPUTED_VALUE"""),"School Start")</f>
        <v>School Start</v>
      </c>
      <c r="T1074" s="10">
        <f ca="1">IFERROR(__xludf.DUMMYFUNCTION("""COMPUTED_VALUE"""),0.340277777777777)</f>
        <v>0.34027777777777701</v>
      </c>
      <c r="U1074" s="5">
        <f ca="1">IFERROR(__xludf.DUMMYFUNCTION("""COMPUTED_VALUE"""),1)</f>
        <v>1</v>
      </c>
      <c r="V1074" s="5" t="str">
        <f ca="1">IFERROR(__xludf.DUMMYFUNCTION("""COMPUTED_VALUE"""),"Waited for ex-girlfriend and shot her outside of school")</f>
        <v>Waited for ex-girlfriend and shot her outside of school</v>
      </c>
      <c r="W1074"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X1074" s="5" t="str">
        <f ca="1">IFERROR(__xludf.DUMMYFUNCTION("""COMPUTED_VALUE"""),"Domestic w/ Targeted Victim")</f>
        <v>Domestic w/ Targeted Victim</v>
      </c>
      <c r="Y1074" s="5" t="str">
        <f ca="1">IFERROR(__xludf.DUMMYFUNCTION("""COMPUTED_VALUE"""),"Victims Targeted")</f>
        <v>Victims Targeted</v>
      </c>
      <c r="Z1074" s="5" t="str">
        <f ca="1">IFERROR(__xludf.DUMMYFUNCTION("""COMPUTED_VALUE"""),"No")</f>
        <v>No</v>
      </c>
      <c r="AA1074" s="5"/>
      <c r="AB1074" s="5" t="str">
        <f ca="1">IFERROR(__xludf.DUMMYFUNCTION("""COMPUTED_VALUE"""),"No")</f>
        <v>No</v>
      </c>
      <c r="AC1074" s="5" t="str">
        <f ca="1">IFERROR(__xludf.DUMMYFUNCTION("""COMPUTED_VALUE"""),"No")</f>
        <v>No</v>
      </c>
      <c r="AD1074" s="5" t="str">
        <f ca="1">IFERROR(__xludf.DUMMYFUNCTION("""COMPUTED_VALUE"""),"No")</f>
        <v>No</v>
      </c>
      <c r="AE1074" s="5" t="str">
        <f ca="1">IFERROR(__xludf.DUMMYFUNCTION("""COMPUTED_VALUE"""),"No")</f>
        <v>No</v>
      </c>
      <c r="AF1074" s="5" t="str">
        <f ca="1">IFERROR(__xludf.DUMMYFUNCTION("""COMPUTED_VALUE"""),"Yes")</f>
        <v>Yes</v>
      </c>
      <c r="AG1074" s="5" t="str">
        <f ca="1">IFERROR(__xludf.DUMMYFUNCTION("""COMPUTED_VALUE"""),"No")</f>
        <v>No</v>
      </c>
      <c r="AH1074" s="5"/>
    </row>
    <row r="1075" spans="1:34" ht="12.75">
      <c r="A1075" s="5" t="str">
        <f ca="1">IFERROR(__xludf.DUMMYFUNCTION("""COMPUTED_VALUE"""),"20091106PAHAW")</f>
        <v>20091106PAHAW</v>
      </c>
      <c r="B1075" s="8">
        <f ca="1">IFERROR(__xludf.DUMMYFUNCTION("""COMPUTED_VALUE"""),40123)</f>
        <v>40123</v>
      </c>
      <c r="C1075" s="5" t="str">
        <f ca="1">IFERROR(__xludf.DUMMYFUNCTION("""COMPUTED_VALUE"""),"Hamilton High School (bus)")</f>
        <v>Hamilton High School (bus)</v>
      </c>
      <c r="D1075" s="5">
        <f ca="1">IFERROR(__xludf.DUMMYFUNCTION("""COMPUTED_VALUE"""),0)</f>
        <v>0</v>
      </c>
      <c r="E1075" s="5">
        <f ca="1">IFERROR(__xludf.DUMMYFUNCTION("""COMPUTED_VALUE"""),1)</f>
        <v>1</v>
      </c>
      <c r="F1075" s="5">
        <f ca="1">IFERROR(__xludf.DUMMYFUNCTION("""COMPUTED_VALUE"""),1)</f>
        <v>1</v>
      </c>
      <c r="G1075" s="5">
        <f ca="1">IFERROR(__xludf.DUMMYFUNCTION("""COMPUTED_VALUE"""),0)</f>
        <v>0</v>
      </c>
      <c r="H1075"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I1075" s="5"/>
      <c r="J1075" s="5"/>
      <c r="K1075" s="5">
        <f ca="1">IFERROR(__xludf.DUMMYFUNCTION("""COMPUTED_VALUE"""),3)</f>
        <v>3</v>
      </c>
      <c r="L1075" s="5" t="str">
        <f ca="1">IFERROR(__xludf.DUMMYFUNCTION("""COMPUTED_VALUE"""),"Fall")</f>
        <v>Fall</v>
      </c>
      <c r="M1075" s="5" t="str">
        <f ca="1">IFERROR(__xludf.DUMMYFUNCTION("""COMPUTED_VALUE"""),"West Philadelphia")</f>
        <v>West Philadelphia</v>
      </c>
      <c r="N1075" s="5" t="str">
        <f ca="1">IFERROR(__xludf.DUMMYFUNCTION("""COMPUTED_VALUE"""),"PA")</f>
        <v>PA</v>
      </c>
      <c r="O1075" s="5" t="str">
        <f ca="1">IFERROR(__xludf.DUMMYFUNCTION("""COMPUTED_VALUE"""),"High")</f>
        <v>High</v>
      </c>
      <c r="P1075" s="5" t="str">
        <f ca="1">IFERROR(__xludf.DUMMYFUNCTION("""COMPUTED_VALUE"""),"School Bus")</f>
        <v>School Bus</v>
      </c>
      <c r="Q1075" s="5" t="str">
        <f ca="1">IFERROR(__xludf.DUMMYFUNCTION("""COMPUTED_VALUE"""),"School Bus")</f>
        <v>School Bus</v>
      </c>
      <c r="R1075" s="5" t="str">
        <f ca="1">IFERROR(__xludf.DUMMYFUNCTION("""COMPUTED_VALUE"""),"Yes")</f>
        <v>Yes</v>
      </c>
      <c r="S1075" s="5" t="str">
        <f ca="1">IFERROR(__xludf.DUMMYFUNCTION("""COMPUTED_VALUE"""),"Before School")</f>
        <v>Before School</v>
      </c>
      <c r="T1075" s="10">
        <f ca="1">IFERROR(__xludf.DUMMYFUNCTION("""COMPUTED_VALUE"""),0.333333333333333)</f>
        <v>0.33333333333333298</v>
      </c>
      <c r="U1075" s="5">
        <f ca="1">IFERROR(__xludf.DUMMYFUNCTION("""COMPUTED_VALUE"""),1)</f>
        <v>1</v>
      </c>
      <c r="V1075" s="5" t="str">
        <f ca="1">IFERROR(__xludf.DUMMYFUNCTION("""COMPUTED_VALUE"""),"Targeted shooting on school bus")</f>
        <v>Targeted shooting on school bus</v>
      </c>
      <c r="W1075"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X1075" s="5" t="str">
        <f ca="1">IFERROR(__xludf.DUMMYFUNCTION("""COMPUTED_VALUE"""),"Bullying")</f>
        <v>Bullying</v>
      </c>
      <c r="Y1075" s="5" t="str">
        <f ca="1">IFERROR(__xludf.DUMMYFUNCTION("""COMPUTED_VALUE"""),"Victims Targeted")</f>
        <v>Victims Targeted</v>
      </c>
      <c r="Z1075" s="5"/>
      <c r="AA1075" s="5"/>
      <c r="AB1075" s="5" t="str">
        <f ca="1">IFERROR(__xludf.DUMMYFUNCTION("""COMPUTED_VALUE"""),"No")</f>
        <v>No</v>
      </c>
      <c r="AC1075" s="5" t="str">
        <f ca="1">IFERROR(__xludf.DUMMYFUNCTION("""COMPUTED_VALUE"""),"No")</f>
        <v>No</v>
      </c>
      <c r="AD1075" s="5" t="str">
        <f ca="1">IFERROR(__xludf.DUMMYFUNCTION("""COMPUTED_VALUE"""),"No")</f>
        <v>No</v>
      </c>
      <c r="AE1075" s="5" t="str">
        <f ca="1">IFERROR(__xludf.DUMMYFUNCTION("""COMPUTED_VALUE"""),"Yes")</f>
        <v>Yes</v>
      </c>
      <c r="AF1075" s="5" t="str">
        <f ca="1">IFERROR(__xludf.DUMMYFUNCTION("""COMPUTED_VALUE"""),"No")</f>
        <v>No</v>
      </c>
      <c r="AG1075" s="5" t="str">
        <f ca="1">IFERROR(__xludf.DUMMYFUNCTION("""COMPUTED_VALUE"""),"No")</f>
        <v>No</v>
      </c>
      <c r="AH1075" s="5"/>
    </row>
    <row r="1076" spans="1:34" ht="12.75">
      <c r="A1076" s="5" t="str">
        <f ca="1">IFERROR(__xludf.DUMMYFUNCTION("""COMPUTED_VALUE"""),"20091030CAWIL")</f>
        <v>20091030CAWIL</v>
      </c>
      <c r="B1076" s="8">
        <f ca="1">IFERROR(__xludf.DUMMYFUNCTION("""COMPUTED_VALUE"""),40116)</f>
        <v>40116</v>
      </c>
      <c r="C1076" s="5" t="str">
        <f ca="1">IFERROR(__xludf.DUMMYFUNCTION("""COMPUTED_VALUE"""),"Wilson High School")</f>
        <v>Wilson High School</v>
      </c>
      <c r="D1076" s="5">
        <f ca="1">IFERROR(__xludf.DUMMYFUNCTION("""COMPUTED_VALUE"""),1)</f>
        <v>1</v>
      </c>
      <c r="E1076" s="5">
        <f ca="1">IFERROR(__xludf.DUMMYFUNCTION("""COMPUTED_VALUE"""),2)</f>
        <v>2</v>
      </c>
      <c r="F1076" s="5">
        <f ca="1">IFERROR(__xludf.DUMMYFUNCTION("""COMPUTED_VALUE"""),3)</f>
        <v>3</v>
      </c>
      <c r="G1076" s="5">
        <f ca="1">IFERROR(__xludf.DUMMYFUNCTION("""COMPUTED_VALUE"""),0)</f>
        <v>0</v>
      </c>
      <c r="H1076"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I1076" s="5"/>
      <c r="J1076" s="5"/>
      <c r="K1076" s="5">
        <f ca="1">IFERROR(__xludf.DUMMYFUNCTION("""COMPUTED_VALUE"""),3)</f>
        <v>3</v>
      </c>
      <c r="L1076" s="5" t="str">
        <f ca="1">IFERROR(__xludf.DUMMYFUNCTION("""COMPUTED_VALUE"""),"Fall")</f>
        <v>Fall</v>
      </c>
      <c r="M1076" s="5" t="str">
        <f ca="1">IFERROR(__xludf.DUMMYFUNCTION("""COMPUTED_VALUE"""),"Long Beach")</f>
        <v>Long Beach</v>
      </c>
      <c r="N1076" s="5" t="str">
        <f ca="1">IFERROR(__xludf.DUMMYFUNCTION("""COMPUTED_VALUE"""),"CA")</f>
        <v>CA</v>
      </c>
      <c r="O1076" s="5" t="str">
        <f ca="1">IFERROR(__xludf.DUMMYFUNCTION("""COMPUTED_VALUE"""),"High")</f>
        <v>High</v>
      </c>
      <c r="P1076" s="5" t="str">
        <f ca="1">IFERROR(__xludf.DUMMYFUNCTION("""COMPUTED_VALUE"""),"Football Field/Track")</f>
        <v>Football Field/Track</v>
      </c>
      <c r="Q1076" s="5" t="str">
        <f ca="1">IFERROR(__xludf.DUMMYFUNCTION("""COMPUTED_VALUE"""),"Outside on School Property")</f>
        <v>Outside on School Property</v>
      </c>
      <c r="R1076" s="5" t="str">
        <f ca="1">IFERROR(__xludf.DUMMYFUNCTION("""COMPUTED_VALUE"""),"No")</f>
        <v>No</v>
      </c>
      <c r="S1076" s="5" t="str">
        <f ca="1">IFERROR(__xludf.DUMMYFUNCTION("""COMPUTED_VALUE"""),"Sport Event")</f>
        <v>Sport Event</v>
      </c>
      <c r="T1076" s="5"/>
      <c r="U1076" s="5">
        <f ca="1">IFERROR(__xludf.DUMMYFUNCTION("""COMPUTED_VALUE"""),1)</f>
        <v>1</v>
      </c>
      <c r="V1076" s="5" t="str">
        <f ca="1">IFERROR(__xludf.DUMMYFUNCTION("""COMPUTED_VALUE"""),"Gang related shooting - bystander killed")</f>
        <v>Gang related shooting - bystander killed</v>
      </c>
      <c r="W1076"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X1076" s="5" t="str">
        <f ca="1">IFERROR(__xludf.DUMMYFUNCTION("""COMPUTED_VALUE"""),"Escalation of Dispute")</f>
        <v>Escalation of Dispute</v>
      </c>
      <c r="Y1076" s="5" t="str">
        <f ca="1">IFERROR(__xludf.DUMMYFUNCTION("""COMPUTED_VALUE"""),"Both")</f>
        <v>Both</v>
      </c>
      <c r="Z1076" s="5" t="str">
        <f ca="1">IFERROR(__xludf.DUMMYFUNCTION("""COMPUTED_VALUE"""),"No")</f>
        <v>No</v>
      </c>
      <c r="AA1076" s="5"/>
      <c r="AB1076" s="5" t="str">
        <f ca="1">IFERROR(__xludf.DUMMYFUNCTION("""COMPUTED_VALUE"""),"No")</f>
        <v>No</v>
      </c>
      <c r="AC1076" s="5" t="str">
        <f ca="1">IFERROR(__xludf.DUMMYFUNCTION("""COMPUTED_VALUE"""),"No")</f>
        <v>No</v>
      </c>
      <c r="AD1076" s="5" t="str">
        <f ca="1">IFERROR(__xludf.DUMMYFUNCTION("""COMPUTED_VALUE"""),"No")</f>
        <v>No</v>
      </c>
      <c r="AE1076" s="5" t="str">
        <f ca="1">IFERROR(__xludf.DUMMYFUNCTION("""COMPUTED_VALUE"""),"No")</f>
        <v>No</v>
      </c>
      <c r="AF1076" s="5" t="str">
        <f ca="1">IFERROR(__xludf.DUMMYFUNCTION("""COMPUTED_VALUE"""),"No")</f>
        <v>No</v>
      </c>
      <c r="AG1076" s="5" t="str">
        <f ca="1">IFERROR(__xludf.DUMMYFUNCTION("""COMPUTED_VALUE"""),"Yes")</f>
        <v>Yes</v>
      </c>
      <c r="AH1076" s="5"/>
    </row>
    <row r="1077" spans="1:34" ht="12.75">
      <c r="A1077" s="5" t="str">
        <f ca="1">IFERROR(__xludf.DUMMYFUNCTION("""COMPUTED_VALUE"""),"20091016SCCAC")</f>
        <v>20091016SCCAC</v>
      </c>
      <c r="B1077" s="8">
        <f ca="1">IFERROR(__xludf.DUMMYFUNCTION("""COMPUTED_VALUE"""),40102)</f>
        <v>40102</v>
      </c>
      <c r="C1077" s="5" t="str">
        <f ca="1">IFERROR(__xludf.DUMMYFUNCTION("""COMPUTED_VALUE"""),"Carolina Forest High School")</f>
        <v>Carolina Forest High School</v>
      </c>
      <c r="D1077" s="5">
        <f ca="1">IFERROR(__xludf.DUMMYFUNCTION("""COMPUTED_VALUE"""),1)</f>
        <v>1</v>
      </c>
      <c r="E1077" s="5">
        <f ca="1">IFERROR(__xludf.DUMMYFUNCTION("""COMPUTED_VALUE"""),0)</f>
        <v>0</v>
      </c>
      <c r="F1077" s="5">
        <f ca="1">IFERROR(__xludf.DUMMYFUNCTION("""COMPUTED_VALUE"""),1)</f>
        <v>1</v>
      </c>
      <c r="G1077" s="5">
        <f ca="1">IFERROR(__xludf.DUMMYFUNCTION("""COMPUTED_VALUE"""),0)</f>
        <v>0</v>
      </c>
      <c r="H1077" s="9" t="str">
        <f ca="1">IFERROR(__xludf.DUMMYFUNCTION("""COMPUTED_VALUE"""),"http://www.wistv.com/story/23589594/school-shootings-in-south-carolina")</f>
        <v>http://www.wistv.com/story/23589594/school-shootings-in-south-carolina</v>
      </c>
      <c r="I1077" s="5"/>
      <c r="J1077" s="5"/>
      <c r="K1077" s="5">
        <f ca="1">IFERROR(__xludf.DUMMYFUNCTION("""COMPUTED_VALUE"""),2)</f>
        <v>2</v>
      </c>
      <c r="L1077" s="5" t="str">
        <f ca="1">IFERROR(__xludf.DUMMYFUNCTION("""COMPUTED_VALUE"""),"Fall")</f>
        <v>Fall</v>
      </c>
      <c r="M1077" s="5" t="str">
        <f ca="1">IFERROR(__xludf.DUMMYFUNCTION("""COMPUTED_VALUE"""),"Conway")</f>
        <v>Conway</v>
      </c>
      <c r="N1077" s="5" t="str">
        <f ca="1">IFERROR(__xludf.DUMMYFUNCTION("""COMPUTED_VALUE"""),"SC")</f>
        <v>SC</v>
      </c>
      <c r="O1077" s="5" t="str">
        <f ca="1">IFERROR(__xludf.DUMMYFUNCTION("""COMPUTED_VALUE"""),"High")</f>
        <v>High</v>
      </c>
      <c r="P1077" s="5" t="str">
        <f ca="1">IFERROR(__xludf.DUMMYFUNCTION("""COMPUTED_VALUE"""),"Inside School Building")</f>
        <v>Inside School Building</v>
      </c>
      <c r="Q1077" s="5" t="str">
        <f ca="1">IFERROR(__xludf.DUMMYFUNCTION("""COMPUTED_VALUE"""),"Inside School Building")</f>
        <v>Inside School Building</v>
      </c>
      <c r="R1077" s="5" t="str">
        <f ca="1">IFERROR(__xludf.DUMMYFUNCTION("""COMPUTED_VALUE"""),"Yes")</f>
        <v>Yes</v>
      </c>
      <c r="S1077" s="5" t="str">
        <f ca="1">IFERROR(__xludf.DUMMYFUNCTION("""COMPUTED_VALUE"""),"Morning Classes")</f>
        <v>Morning Classes</v>
      </c>
      <c r="T1077" s="10">
        <f ca="1">IFERROR(__xludf.DUMMYFUNCTION("""COMPUTED_VALUE"""),0.350694444444444)</f>
        <v>0.35069444444444398</v>
      </c>
      <c r="U1077" s="5">
        <f ca="1">IFERROR(__xludf.DUMMYFUNCTION("""COMPUTED_VALUE"""),1)</f>
        <v>1</v>
      </c>
      <c r="V1077" s="5" t="str">
        <f ca="1">IFERROR(__xludf.DUMMYFUNCTION("""COMPUTED_VALUE"""),"SRO shot autistic student in self defense, student had knife")</f>
        <v>SRO shot autistic student in self defense, student had knife</v>
      </c>
      <c r="W1077" s="5" t="str">
        <f ca="1">IFERROR(__xludf.DUMMYFUNCTION("""COMPUTED_VALUE"""),"Autistic student with knife assaulted the SRO. SRO shot and killed the student in self defense.")</f>
        <v>Autistic student with knife assaulted the SRO. SRO shot and killed the student in self defense.</v>
      </c>
      <c r="X1077" s="5" t="str">
        <f ca="1">IFERROR(__xludf.DUMMYFUNCTION("""COMPUTED_VALUE"""),"Self-defense")</f>
        <v>Self-defense</v>
      </c>
      <c r="Y1077" s="5" t="str">
        <f ca="1">IFERROR(__xludf.DUMMYFUNCTION("""COMPUTED_VALUE"""),"Victims Targeted")</f>
        <v>Victims Targeted</v>
      </c>
      <c r="Z1077" s="5" t="str">
        <f ca="1">IFERROR(__xludf.DUMMYFUNCTION("""COMPUTED_VALUE"""),"No")</f>
        <v>No</v>
      </c>
      <c r="AA1077" s="5"/>
      <c r="AB1077" s="5" t="str">
        <f ca="1">IFERROR(__xludf.DUMMYFUNCTION("""COMPUTED_VALUE"""),"No")</f>
        <v>No</v>
      </c>
      <c r="AC1077" s="5" t="str">
        <f ca="1">IFERROR(__xludf.DUMMYFUNCTION("""COMPUTED_VALUE"""),"No")</f>
        <v>No</v>
      </c>
      <c r="AD1077" s="5" t="str">
        <f ca="1">IFERROR(__xludf.DUMMYFUNCTION("""COMPUTED_VALUE"""),"Yes")</f>
        <v>Yes</v>
      </c>
      <c r="AE1077" s="5" t="str">
        <f ca="1">IFERROR(__xludf.DUMMYFUNCTION("""COMPUTED_VALUE"""),"N/A")</f>
        <v>N/A</v>
      </c>
      <c r="AF1077" s="5" t="str">
        <f ca="1">IFERROR(__xludf.DUMMYFUNCTION("""COMPUTED_VALUE"""),"N/A")</f>
        <v>N/A</v>
      </c>
      <c r="AG1077" s="5" t="str">
        <f ca="1">IFERROR(__xludf.DUMMYFUNCTION("""COMPUTED_VALUE"""),"N/A")</f>
        <v>N/A</v>
      </c>
      <c r="AH1077" s="5" t="str">
        <f ca="1">IFERROR(__xludf.DUMMYFUNCTION("""COMPUTED_VALUE"""),"N/A")</f>
        <v>N/A</v>
      </c>
    </row>
    <row r="1078" spans="1:34" ht="12.75">
      <c r="A1078" s="5" t="str">
        <f ca="1">IFERROR(__xludf.DUMMYFUNCTION("""COMPUTED_VALUE"""),"20091008NYMAM")</f>
        <v>20091008NYMAM</v>
      </c>
      <c r="B1078" s="8">
        <f ca="1">IFERROR(__xludf.DUMMYFUNCTION("""COMPUTED_VALUE"""),40094)</f>
        <v>40094</v>
      </c>
      <c r="C1078" s="5" t="str">
        <f ca="1">IFERROR(__xludf.DUMMYFUNCTION("""COMPUTED_VALUE"""),"Mattituck Junior-Senior High School")</f>
        <v>Mattituck Junior-Senior High School</v>
      </c>
      <c r="D1078" s="5">
        <f ca="1">IFERROR(__xludf.DUMMYFUNCTION("""COMPUTED_VALUE"""),0)</f>
        <v>0</v>
      </c>
      <c r="E1078" s="5">
        <f ca="1">IFERROR(__xludf.DUMMYFUNCTION("""COMPUTED_VALUE"""),1)</f>
        <v>1</v>
      </c>
      <c r="F1078" s="5">
        <f ca="1">IFERROR(__xludf.DUMMYFUNCTION("""COMPUTED_VALUE"""),1)</f>
        <v>1</v>
      </c>
      <c r="G1078" s="5">
        <f ca="1">IFERROR(__xludf.DUMMYFUNCTION("""COMPUTED_VALUE"""),0)</f>
        <v>0</v>
      </c>
      <c r="H1078"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I1078" s="5"/>
      <c r="J1078" s="5"/>
      <c r="K1078" s="5">
        <f ca="1">IFERROR(__xludf.DUMMYFUNCTION("""COMPUTED_VALUE"""),3)</f>
        <v>3</v>
      </c>
      <c r="L1078" s="5" t="str">
        <f ca="1">IFERROR(__xludf.DUMMYFUNCTION("""COMPUTED_VALUE"""),"Fall")</f>
        <v>Fall</v>
      </c>
      <c r="M1078" s="5" t="str">
        <f ca="1">IFERROR(__xludf.DUMMYFUNCTION("""COMPUTED_VALUE"""),"Mattituck")</f>
        <v>Mattituck</v>
      </c>
      <c r="N1078" s="5" t="str">
        <f ca="1">IFERROR(__xludf.DUMMYFUNCTION("""COMPUTED_VALUE"""),"NY")</f>
        <v>NY</v>
      </c>
      <c r="O1078" s="11">
        <f ca="1">IFERROR(__xludf.DUMMYFUNCTION("""COMPUTED_VALUE"""),44724)</f>
        <v>44724</v>
      </c>
      <c r="P1078" s="5" t="str">
        <f ca="1">IFERROR(__xludf.DUMMYFUNCTION("""COMPUTED_VALUE"""),"Classroom")</f>
        <v>Classroom</v>
      </c>
      <c r="Q1078" s="5" t="str">
        <f ca="1">IFERROR(__xludf.DUMMYFUNCTION("""COMPUTED_VALUE"""),"Inside School Building")</f>
        <v>Inside School Building</v>
      </c>
      <c r="R1078" s="5" t="str">
        <f ca="1">IFERROR(__xludf.DUMMYFUNCTION("""COMPUTED_VALUE"""),"Yes")</f>
        <v>Yes</v>
      </c>
      <c r="S1078" s="5" t="str">
        <f ca="1">IFERROR(__xludf.DUMMYFUNCTION("""COMPUTED_VALUE"""),"Afternoon Classes")</f>
        <v>Afternoon Classes</v>
      </c>
      <c r="T1078" s="10">
        <f ca="1">IFERROR(__xludf.DUMMYFUNCTION("""COMPUTED_VALUE"""),0.578472222222222)</f>
        <v>0.57847222222222205</v>
      </c>
      <c r="U1078" s="5">
        <f ca="1">IFERROR(__xludf.DUMMYFUNCTION("""COMPUTED_VALUE"""),1)</f>
        <v>1</v>
      </c>
      <c r="V1078" s="5" t="str">
        <f ca="1">IFERROR(__xludf.DUMMYFUNCTION("""COMPUTED_VALUE"""),"Cleaning weapon off school property, round hit student")</f>
        <v>Cleaning weapon off school property, round hit student</v>
      </c>
      <c r="W1078"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X1078" s="5" t="str">
        <f ca="1">IFERROR(__xludf.DUMMYFUNCTION("""COMPUTED_VALUE"""),"Accidental")</f>
        <v>Accidental</v>
      </c>
      <c r="Y1078" s="5" t="str">
        <f ca="1">IFERROR(__xludf.DUMMYFUNCTION("""COMPUTED_VALUE"""),"Random Shooting")</f>
        <v>Random Shooting</v>
      </c>
      <c r="Z1078" s="5" t="str">
        <f ca="1">IFERROR(__xludf.DUMMYFUNCTION("""COMPUTED_VALUE"""),"No")</f>
        <v>No</v>
      </c>
      <c r="AA1078" s="5"/>
      <c r="AB1078" s="5" t="str">
        <f ca="1">IFERROR(__xludf.DUMMYFUNCTION("""COMPUTED_VALUE"""),"No")</f>
        <v>No</v>
      </c>
      <c r="AC1078" s="5" t="str">
        <f ca="1">IFERROR(__xludf.DUMMYFUNCTION("""COMPUTED_VALUE"""),"No")</f>
        <v>No</v>
      </c>
      <c r="AD1078" s="5" t="str">
        <f ca="1">IFERROR(__xludf.DUMMYFUNCTION("""COMPUTED_VALUE"""),"No")</f>
        <v>No</v>
      </c>
      <c r="AE1078" s="5" t="str">
        <f ca="1">IFERROR(__xludf.DUMMYFUNCTION("""COMPUTED_VALUE"""),"No")</f>
        <v>No</v>
      </c>
      <c r="AF1078" s="5" t="str">
        <f ca="1">IFERROR(__xludf.DUMMYFUNCTION("""COMPUTED_VALUE"""),"No")</f>
        <v>No</v>
      </c>
      <c r="AG1078" s="5" t="str">
        <f ca="1">IFERROR(__xludf.DUMMYFUNCTION("""COMPUTED_VALUE"""),"No")</f>
        <v>No</v>
      </c>
      <c r="AH1078" s="5"/>
    </row>
    <row r="1079" spans="1:34" ht="12.75">
      <c r="A1079" s="5" t="str">
        <f ca="1">IFERROR(__xludf.DUMMYFUNCTION("""COMPUTED_VALUE"""),"20090916VAVIG")</f>
        <v>20090916VAVIG</v>
      </c>
      <c r="B1079" s="8">
        <f ca="1">IFERROR(__xludf.DUMMYFUNCTION("""COMPUTED_VALUE"""),40072)</f>
        <v>40072</v>
      </c>
      <c r="C1079" s="5" t="str">
        <f ca="1">IFERROR(__xludf.DUMMYFUNCTION("""COMPUTED_VALUE"""),"Virginia Randolph Community High School")</f>
        <v>Virginia Randolph Community High School</v>
      </c>
      <c r="D1079" s="5">
        <f ca="1">IFERROR(__xludf.DUMMYFUNCTION("""COMPUTED_VALUE"""),0)</f>
        <v>0</v>
      </c>
      <c r="E1079" s="5">
        <f ca="1">IFERROR(__xludf.DUMMYFUNCTION("""COMPUTED_VALUE"""),0)</f>
        <v>0</v>
      </c>
      <c r="F1079" s="5">
        <f ca="1">IFERROR(__xludf.DUMMYFUNCTION("""COMPUTED_VALUE"""),0)</f>
        <v>0</v>
      </c>
      <c r="G1079" s="5">
        <f ca="1">IFERROR(__xludf.DUMMYFUNCTION("""COMPUTED_VALUE"""),0)</f>
        <v>0</v>
      </c>
      <c r="H1079"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I1079" s="5"/>
      <c r="J1079" s="5"/>
      <c r="K1079" s="5">
        <f ca="1">IFERROR(__xludf.DUMMYFUNCTION("""COMPUTED_VALUE"""),1)</f>
        <v>1</v>
      </c>
      <c r="L1079" s="5" t="str">
        <f ca="1">IFERROR(__xludf.DUMMYFUNCTION("""COMPUTED_VALUE"""),"Fall")</f>
        <v>Fall</v>
      </c>
      <c r="M1079" s="5" t="str">
        <f ca="1">IFERROR(__xludf.DUMMYFUNCTION("""COMPUTED_VALUE"""),"Glen Allen")</f>
        <v>Glen Allen</v>
      </c>
      <c r="N1079" s="5" t="str">
        <f ca="1">IFERROR(__xludf.DUMMYFUNCTION("""COMPUTED_VALUE"""),"VA")</f>
        <v>VA</v>
      </c>
      <c r="O1079" s="5" t="str">
        <f ca="1">IFERROR(__xludf.DUMMYFUNCTION("""COMPUTED_VALUE"""),"High")</f>
        <v>High</v>
      </c>
      <c r="P1079" s="5" t="str">
        <f ca="1">IFERROR(__xludf.DUMMYFUNCTION("""COMPUTED_VALUE"""),"Playground")</f>
        <v>Playground</v>
      </c>
      <c r="Q1079" s="5" t="str">
        <f ca="1">IFERROR(__xludf.DUMMYFUNCTION("""COMPUTED_VALUE"""),"Outside on School Property")</f>
        <v>Outside on School Property</v>
      </c>
      <c r="R1079" s="5" t="str">
        <f ca="1">IFERROR(__xludf.DUMMYFUNCTION("""COMPUTED_VALUE"""),"Yes")</f>
        <v>Yes</v>
      </c>
      <c r="S1079" s="5" t="str">
        <f ca="1">IFERROR(__xludf.DUMMYFUNCTION("""COMPUTED_VALUE"""),"Afternoon Classes")</f>
        <v>Afternoon Classes</v>
      </c>
      <c r="T1079" s="10">
        <f ca="1">IFERROR(__xludf.DUMMYFUNCTION("""COMPUTED_VALUE"""),0.520833333333333)</f>
        <v>0.52083333333333304</v>
      </c>
      <c r="U1079" s="5">
        <f ca="1">IFERROR(__xludf.DUMMYFUNCTION("""COMPUTED_VALUE"""),1)</f>
        <v>1</v>
      </c>
      <c r="V1079" s="5" t="str">
        <f ca="1">IFERROR(__xludf.DUMMYFUNCTION("""COMPUTED_VALUE"""),"Shot at specific targets following bullying, shots missed")</f>
        <v>Shot at specific targets following bullying, shots missed</v>
      </c>
      <c r="W1079"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X1079" s="5" t="str">
        <f ca="1">IFERROR(__xludf.DUMMYFUNCTION("""COMPUTED_VALUE"""),"Bullying")</f>
        <v>Bullying</v>
      </c>
      <c r="Y1079" s="5" t="str">
        <f ca="1">IFERROR(__xludf.DUMMYFUNCTION("""COMPUTED_VALUE"""),"Victims Targeted")</f>
        <v>Victims Targeted</v>
      </c>
      <c r="Z1079" s="5"/>
      <c r="AA1079" s="5"/>
      <c r="AB1079" s="5" t="str">
        <f ca="1">IFERROR(__xludf.DUMMYFUNCTION("""COMPUTED_VALUE"""),"No")</f>
        <v>No</v>
      </c>
      <c r="AC1079" s="5" t="str">
        <f ca="1">IFERROR(__xludf.DUMMYFUNCTION("""COMPUTED_VALUE"""),"No")</f>
        <v>No</v>
      </c>
      <c r="AD1079" s="5" t="str">
        <f ca="1">IFERROR(__xludf.DUMMYFUNCTION("""COMPUTED_VALUE"""),"No")</f>
        <v>No</v>
      </c>
      <c r="AE1079" s="5"/>
      <c r="AF1079" s="5"/>
      <c r="AG1079" s="5" t="str">
        <f ca="1">IFERROR(__xludf.DUMMYFUNCTION("""COMPUTED_VALUE"""),"No")</f>
        <v>No</v>
      </c>
      <c r="AH1079" s="5"/>
    </row>
    <row r="1080" spans="1:34" ht="12.75">
      <c r="A1080" s="5" t="str">
        <f ca="1">IFERROR(__xludf.DUMMYFUNCTION("""COMPUTED_VALUE"""),"20090908CTSTS")</f>
        <v>20090908CTSTS</v>
      </c>
      <c r="B1080" s="8">
        <f ca="1">IFERROR(__xludf.DUMMYFUNCTION("""COMPUTED_VALUE"""),40064)</f>
        <v>40064</v>
      </c>
      <c r="C1080" s="5" t="str">
        <f ca="1">IFERROR(__xludf.DUMMYFUNCTION("""COMPUTED_VALUE"""),"Stamford Academy")</f>
        <v>Stamford Academy</v>
      </c>
      <c r="D1080" s="5">
        <f ca="1">IFERROR(__xludf.DUMMYFUNCTION("""COMPUTED_VALUE"""),0)</f>
        <v>0</v>
      </c>
      <c r="E1080" s="5">
        <f ca="1">IFERROR(__xludf.DUMMYFUNCTION("""COMPUTED_VALUE"""),0)</f>
        <v>0</v>
      </c>
      <c r="F1080" s="5">
        <f ca="1">IFERROR(__xludf.DUMMYFUNCTION("""COMPUTED_VALUE"""),0)</f>
        <v>0</v>
      </c>
      <c r="G1080" s="5">
        <f ca="1">IFERROR(__xludf.DUMMYFUNCTION("""COMPUTED_VALUE"""),0)</f>
        <v>0</v>
      </c>
      <c r="H1080"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I1080" s="5"/>
      <c r="J1080" s="5"/>
      <c r="K1080" s="5">
        <f ca="1">IFERROR(__xludf.DUMMYFUNCTION("""COMPUTED_VALUE"""),3)</f>
        <v>3</v>
      </c>
      <c r="L1080" s="5" t="str">
        <f ca="1">IFERROR(__xludf.DUMMYFUNCTION("""COMPUTED_VALUE"""),"Fall")</f>
        <v>Fall</v>
      </c>
      <c r="M1080" s="5" t="str">
        <f ca="1">IFERROR(__xludf.DUMMYFUNCTION("""COMPUTED_VALUE"""),"Stamford")</f>
        <v>Stamford</v>
      </c>
      <c r="N1080" s="5" t="str">
        <f ca="1">IFERROR(__xludf.DUMMYFUNCTION("""COMPUTED_VALUE"""),"CT")</f>
        <v>CT</v>
      </c>
      <c r="O1080" s="5" t="str">
        <f ca="1">IFERROR(__xludf.DUMMYFUNCTION("""COMPUTED_VALUE"""),"High")</f>
        <v>High</v>
      </c>
      <c r="P1080" s="5" t="str">
        <f ca="1">IFERROR(__xludf.DUMMYFUNCTION("""COMPUTED_VALUE"""),"Parking Lot")</f>
        <v>Parking Lot</v>
      </c>
      <c r="Q1080" s="5" t="str">
        <f ca="1">IFERROR(__xludf.DUMMYFUNCTION("""COMPUTED_VALUE"""),"Outside on School Property")</f>
        <v>Outside on School Property</v>
      </c>
      <c r="R1080" s="5" t="str">
        <f ca="1">IFERROR(__xludf.DUMMYFUNCTION("""COMPUTED_VALUE"""),"Yes")</f>
        <v>Yes</v>
      </c>
      <c r="S1080" s="5" t="str">
        <f ca="1">IFERROR(__xludf.DUMMYFUNCTION("""COMPUTED_VALUE"""),"School Start")</f>
        <v>School Start</v>
      </c>
      <c r="T1080" s="10">
        <f ca="1">IFERROR(__xludf.DUMMYFUNCTION("""COMPUTED_VALUE"""),0.336805555555555)</f>
        <v>0.33680555555555503</v>
      </c>
      <c r="U1080" s="5">
        <f ca="1">IFERROR(__xludf.DUMMYFUNCTION("""COMPUTED_VALUE"""),1)</f>
        <v>1</v>
      </c>
      <c r="V1080" s="5" t="str">
        <f ca="1">IFERROR(__xludf.DUMMYFUNCTION("""COMPUTED_VALUE"""),"Shots fired at a large crowd during a fight")</f>
        <v>Shots fired at a large crowd during a fight</v>
      </c>
      <c r="W1080"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X1080" s="5" t="str">
        <f ca="1">IFERROR(__xludf.DUMMYFUNCTION("""COMPUTED_VALUE"""),"Escalation of Dispute")</f>
        <v>Escalation of Dispute</v>
      </c>
      <c r="Y1080" s="5" t="str">
        <f ca="1">IFERROR(__xludf.DUMMYFUNCTION("""COMPUTED_VALUE"""),"Victims Targeted")</f>
        <v>Victims Targeted</v>
      </c>
      <c r="Z1080" s="5"/>
      <c r="AA1080" s="5"/>
      <c r="AB1080" s="5" t="str">
        <f ca="1">IFERROR(__xludf.DUMMYFUNCTION("""COMPUTED_VALUE"""),"No")</f>
        <v>No</v>
      </c>
      <c r="AC1080" s="5" t="str">
        <f ca="1">IFERROR(__xludf.DUMMYFUNCTION("""COMPUTED_VALUE"""),"No")</f>
        <v>No</v>
      </c>
      <c r="AD1080" s="5" t="str">
        <f ca="1">IFERROR(__xludf.DUMMYFUNCTION("""COMPUTED_VALUE"""),"No")</f>
        <v>No</v>
      </c>
      <c r="AE1080" s="5" t="str">
        <f ca="1">IFERROR(__xludf.DUMMYFUNCTION("""COMPUTED_VALUE"""),"No")</f>
        <v>No</v>
      </c>
      <c r="AF1080" s="5" t="str">
        <f ca="1">IFERROR(__xludf.DUMMYFUNCTION("""COMPUTED_VALUE"""),"No")</f>
        <v>No</v>
      </c>
      <c r="AG1080" s="5" t="str">
        <f ca="1">IFERROR(__xludf.DUMMYFUNCTION("""COMPUTED_VALUE"""),"No")</f>
        <v>No</v>
      </c>
      <c r="AH1080" s="5"/>
    </row>
    <row r="1081" spans="1:34" ht="12.75">
      <c r="A1081" s="5" t="str">
        <f ca="1">IFERROR(__xludf.DUMMYFUNCTION("""COMPUTED_VALUE"""),"20090827NCWEF")</f>
        <v>20090827NCWEF</v>
      </c>
      <c r="B1081" s="8">
        <f ca="1">IFERROR(__xludf.DUMMYFUNCTION("""COMPUTED_VALUE"""),40052)</f>
        <v>40052</v>
      </c>
      <c r="C1081" s="5" t="str">
        <f ca="1">IFERROR(__xludf.DUMMYFUNCTION("""COMPUTED_VALUE"""),"Westover High School")</f>
        <v>Westover High School</v>
      </c>
      <c r="D1081" s="5">
        <f ca="1">IFERROR(__xludf.DUMMYFUNCTION("""COMPUTED_VALUE"""),0)</f>
        <v>0</v>
      </c>
      <c r="E1081" s="5">
        <f ca="1">IFERROR(__xludf.DUMMYFUNCTION("""COMPUTED_VALUE"""),0)</f>
        <v>0</v>
      </c>
      <c r="F1081" s="5">
        <f ca="1">IFERROR(__xludf.DUMMYFUNCTION("""COMPUTED_VALUE"""),0)</f>
        <v>0</v>
      </c>
      <c r="G1081" s="5">
        <f ca="1">IFERROR(__xludf.DUMMYFUNCTION("""COMPUTED_VALUE"""),0)</f>
        <v>0</v>
      </c>
      <c r="H1081" s="9" t="str">
        <f ca="1">IFERROR(__xludf.DUMMYFUNCTION("""COMPUTED_VALUE"""),"https://www.wral.com/teen-charged-with-firing-handgun-at-westover-high/5885748/")</f>
        <v>https://www.wral.com/teen-charged-with-firing-handgun-at-westover-high/5885748/</v>
      </c>
      <c r="I1081" s="5"/>
      <c r="J1081" s="5"/>
      <c r="K1081" s="5">
        <f ca="1">IFERROR(__xludf.DUMMYFUNCTION("""COMPUTED_VALUE"""),2)</f>
        <v>2</v>
      </c>
      <c r="L1081" s="5" t="str">
        <f ca="1">IFERROR(__xludf.DUMMYFUNCTION("""COMPUTED_VALUE"""),"Summer")</f>
        <v>Summer</v>
      </c>
      <c r="M1081" s="5" t="str">
        <f ca="1">IFERROR(__xludf.DUMMYFUNCTION("""COMPUTED_VALUE"""),"Fayetteville")</f>
        <v>Fayetteville</v>
      </c>
      <c r="N1081" s="5" t="str">
        <f ca="1">IFERROR(__xludf.DUMMYFUNCTION("""COMPUTED_VALUE"""),"NC")</f>
        <v>NC</v>
      </c>
      <c r="O1081" s="5" t="str">
        <f ca="1">IFERROR(__xludf.DUMMYFUNCTION("""COMPUTED_VALUE"""),"High")</f>
        <v>High</v>
      </c>
      <c r="P1081" s="5" t="str">
        <f ca="1">IFERROR(__xludf.DUMMYFUNCTION("""COMPUTED_VALUE"""),"Beside Building")</f>
        <v>Beside Building</v>
      </c>
      <c r="Q1081" s="5" t="str">
        <f ca="1">IFERROR(__xludf.DUMMYFUNCTION("""COMPUTED_VALUE"""),"Outside on School Property")</f>
        <v>Outside on School Property</v>
      </c>
      <c r="R1081" s="5" t="str">
        <f ca="1">IFERROR(__xludf.DUMMYFUNCTION("""COMPUTED_VALUE"""),"No")</f>
        <v>No</v>
      </c>
      <c r="S1081" s="5" t="str">
        <f ca="1">IFERROR(__xludf.DUMMYFUNCTION("""COMPUTED_VALUE"""),"After School")</f>
        <v>After School</v>
      </c>
      <c r="T1081" s="10">
        <f ca="1">IFERROR(__xludf.DUMMYFUNCTION("""COMPUTED_VALUE"""),0.666666666666666)</f>
        <v>0.66666666666666596</v>
      </c>
      <c r="U1081" s="5">
        <f ca="1">IFERROR(__xludf.DUMMYFUNCTION("""COMPUTED_VALUE"""),1)</f>
        <v>1</v>
      </c>
      <c r="V1081" s="5" t="str">
        <f ca="1">IFERROR(__xludf.DUMMYFUNCTION("""COMPUTED_VALUE"""),"Fight between student and 22YOM, student fired pistol, missed, and fled")</f>
        <v>Fight between student and 22YOM, student fired pistol, missed, and fled</v>
      </c>
      <c r="W1081"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X1081" s="5" t="str">
        <f ca="1">IFERROR(__xludf.DUMMYFUNCTION("""COMPUTED_VALUE"""),"Escalation of Dispute")</f>
        <v>Escalation of Dispute</v>
      </c>
      <c r="Y1081" s="5" t="str">
        <f ca="1">IFERROR(__xludf.DUMMYFUNCTION("""COMPUTED_VALUE"""),"Victims Targeted")</f>
        <v>Victims Targeted</v>
      </c>
      <c r="Z1081" s="5" t="str">
        <f ca="1">IFERROR(__xludf.DUMMYFUNCTION("""COMPUTED_VALUE"""),"No")</f>
        <v>No</v>
      </c>
      <c r="AA1081" s="5"/>
      <c r="AB1081" s="5" t="str">
        <f ca="1">IFERROR(__xludf.DUMMYFUNCTION("""COMPUTED_VALUE"""),"No")</f>
        <v>No</v>
      </c>
      <c r="AC1081" s="5" t="str">
        <f ca="1">IFERROR(__xludf.DUMMYFUNCTION("""COMPUTED_VALUE"""),"No")</f>
        <v>No</v>
      </c>
      <c r="AD1081" s="5" t="str">
        <f ca="1">IFERROR(__xludf.DUMMYFUNCTION("""COMPUTED_VALUE"""),"No")</f>
        <v>No</v>
      </c>
      <c r="AE1081" s="5" t="str">
        <f ca="1">IFERROR(__xludf.DUMMYFUNCTION("""COMPUTED_VALUE"""),"No")</f>
        <v>No</v>
      </c>
      <c r="AF1081" s="5" t="str">
        <f ca="1">IFERROR(__xludf.DUMMYFUNCTION("""COMPUTED_VALUE"""),"No")</f>
        <v>No</v>
      </c>
      <c r="AG1081" s="5" t="str">
        <f ca="1">IFERROR(__xludf.DUMMYFUNCTION("""COMPUTED_VALUE"""),"No")</f>
        <v>No</v>
      </c>
      <c r="AH1081" s="5"/>
    </row>
    <row r="1082" spans="1:34" ht="12.75">
      <c r="A1082" s="5" t="str">
        <f ca="1">IFERROR(__xludf.DUMMYFUNCTION("""COMPUTED_VALUE"""),"20090624IAAPP")</f>
        <v>20090624IAAPP</v>
      </c>
      <c r="B1082" s="8">
        <f ca="1">IFERROR(__xludf.DUMMYFUNCTION("""COMPUTED_VALUE"""),39988)</f>
        <v>39988</v>
      </c>
      <c r="C1082" s="5" t="str">
        <f ca="1">IFERROR(__xludf.DUMMYFUNCTION("""COMPUTED_VALUE"""),"Aplington-Parkersburg High School")</f>
        <v>Aplington-Parkersburg High School</v>
      </c>
      <c r="D1082" s="5">
        <f ca="1">IFERROR(__xludf.DUMMYFUNCTION("""COMPUTED_VALUE"""),1)</f>
        <v>1</v>
      </c>
      <c r="E1082" s="5">
        <f ca="1">IFERROR(__xludf.DUMMYFUNCTION("""COMPUTED_VALUE"""),0)</f>
        <v>0</v>
      </c>
      <c r="F1082" s="5">
        <f ca="1">IFERROR(__xludf.DUMMYFUNCTION("""COMPUTED_VALUE"""),1)</f>
        <v>1</v>
      </c>
      <c r="G1082" s="5">
        <f ca="1">IFERROR(__xludf.DUMMYFUNCTION("""COMPUTED_VALUE"""),0)</f>
        <v>0</v>
      </c>
      <c r="H1082"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I1082" s="5"/>
      <c r="J1082" s="5"/>
      <c r="K1082" s="5">
        <f ca="1">IFERROR(__xludf.DUMMYFUNCTION("""COMPUTED_VALUE"""),3)</f>
        <v>3</v>
      </c>
      <c r="L1082" s="5" t="str">
        <f ca="1">IFERROR(__xludf.DUMMYFUNCTION("""COMPUTED_VALUE"""),"Summer")</f>
        <v>Summer</v>
      </c>
      <c r="M1082" s="5" t="str">
        <f ca="1">IFERROR(__xludf.DUMMYFUNCTION("""COMPUTED_VALUE"""),"Parkersburg")</f>
        <v>Parkersburg</v>
      </c>
      <c r="N1082" s="5" t="str">
        <f ca="1">IFERROR(__xludf.DUMMYFUNCTION("""COMPUTED_VALUE"""),"IA")</f>
        <v>IA</v>
      </c>
      <c r="O1082" s="5" t="str">
        <f ca="1">IFERROR(__xludf.DUMMYFUNCTION("""COMPUTED_VALUE"""),"High")</f>
        <v>High</v>
      </c>
      <c r="P1082" s="5" t="str">
        <f ca="1">IFERROR(__xludf.DUMMYFUNCTION("""COMPUTED_VALUE"""),"Gym")</f>
        <v>Gym</v>
      </c>
      <c r="Q1082" s="5" t="str">
        <f ca="1">IFERROR(__xludf.DUMMYFUNCTION("""COMPUTED_VALUE"""),"Inside School Building")</f>
        <v>Inside School Building</v>
      </c>
      <c r="R1082" s="5" t="str">
        <f ca="1">IFERROR(__xludf.DUMMYFUNCTION("""COMPUTED_VALUE"""),"Yes")</f>
        <v>Yes</v>
      </c>
      <c r="S1082" s="5" t="str">
        <f ca="1">IFERROR(__xludf.DUMMYFUNCTION("""COMPUTED_VALUE"""),"Morning Classes")</f>
        <v>Morning Classes</v>
      </c>
      <c r="T1082" s="10">
        <f ca="1">IFERROR(__xludf.DUMMYFUNCTION("""COMPUTED_VALUE"""),0.333333333333333)</f>
        <v>0.33333333333333298</v>
      </c>
      <c r="U1082" s="5">
        <f ca="1">IFERROR(__xludf.DUMMYFUNCTION("""COMPUTED_VALUE"""),1)</f>
        <v>1</v>
      </c>
      <c r="V1082" s="5" t="str">
        <f ca="1">IFERROR(__xludf.DUMMYFUNCTION("""COMPUTED_VALUE"""),"Delusional former student thought coach was the devil")</f>
        <v>Delusional former student thought coach was the devil</v>
      </c>
      <c r="W1082"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X1082" s="5" t="str">
        <f ca="1">IFERROR(__xludf.DUMMYFUNCTION("""COMPUTED_VALUE"""),"Psychosis")</f>
        <v>Psychosis</v>
      </c>
      <c r="Y1082" s="5" t="str">
        <f ca="1">IFERROR(__xludf.DUMMYFUNCTION("""COMPUTED_VALUE"""),"Victims Targeted")</f>
        <v>Victims Targeted</v>
      </c>
      <c r="Z1082" s="5" t="str">
        <f ca="1">IFERROR(__xludf.DUMMYFUNCTION("""COMPUTED_VALUE"""),"No")</f>
        <v>No</v>
      </c>
      <c r="AA1082" s="5"/>
      <c r="AB1082" s="5" t="str">
        <f ca="1">IFERROR(__xludf.DUMMYFUNCTION("""COMPUTED_VALUE"""),"No")</f>
        <v>No</v>
      </c>
      <c r="AC1082" s="5" t="str">
        <f ca="1">IFERROR(__xludf.DUMMYFUNCTION("""COMPUTED_VALUE"""),"No")</f>
        <v>No</v>
      </c>
      <c r="AD1082" s="5" t="str">
        <f ca="1">IFERROR(__xludf.DUMMYFUNCTION("""COMPUTED_VALUE"""),"No")</f>
        <v>No</v>
      </c>
      <c r="AE1082" s="5"/>
      <c r="AF1082" s="5" t="str">
        <f ca="1">IFERROR(__xludf.DUMMYFUNCTION("""COMPUTED_VALUE"""),"No")</f>
        <v>No</v>
      </c>
      <c r="AG1082" s="5" t="str">
        <f ca="1">IFERROR(__xludf.DUMMYFUNCTION("""COMPUTED_VALUE"""),"No")</f>
        <v>No</v>
      </c>
      <c r="AH1082" s="5"/>
    </row>
    <row r="1083" spans="1:34" ht="12.75">
      <c r="A1083" s="5" t="str">
        <f ca="1">IFERROR(__xludf.DUMMYFUNCTION("""COMPUTED_VALUE"""),"20090615CAINS")</f>
        <v>20090615CAINS</v>
      </c>
      <c r="B1083" s="8">
        <f ca="1">IFERROR(__xludf.DUMMYFUNCTION("""COMPUTED_VALUE"""),39979)</f>
        <v>39979</v>
      </c>
      <c r="C1083" s="5" t="str">
        <f ca="1">IFERROR(__xludf.DUMMYFUNCTION("""COMPUTED_VALUE"""),"International Studies Academy")</f>
        <v>International Studies Academy</v>
      </c>
      <c r="D1083" s="5">
        <f ca="1">IFERROR(__xludf.DUMMYFUNCTION("""COMPUTED_VALUE"""),0)</f>
        <v>0</v>
      </c>
      <c r="E1083" s="5">
        <f ca="1">IFERROR(__xludf.DUMMYFUNCTION("""COMPUTED_VALUE"""),3)</f>
        <v>3</v>
      </c>
      <c r="F1083" s="5">
        <f ca="1">IFERROR(__xludf.DUMMYFUNCTION("""COMPUTED_VALUE"""),3)</f>
        <v>3</v>
      </c>
      <c r="G1083" s="5">
        <f ca="1">IFERROR(__xludf.DUMMYFUNCTION("""COMPUTED_VALUE"""),0)</f>
        <v>0</v>
      </c>
      <c r="H1083"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I1083" s="5"/>
      <c r="J1083" s="5"/>
      <c r="K1083" s="5">
        <f ca="1">IFERROR(__xludf.DUMMYFUNCTION("""COMPUTED_VALUE"""),2)</f>
        <v>2</v>
      </c>
      <c r="L1083" s="5" t="str">
        <f ca="1">IFERROR(__xludf.DUMMYFUNCTION("""COMPUTED_VALUE"""),"Summer")</f>
        <v>Summer</v>
      </c>
      <c r="M1083" s="5" t="str">
        <f ca="1">IFERROR(__xludf.DUMMYFUNCTION("""COMPUTED_VALUE"""),"San Francisco")</f>
        <v>San Francisco</v>
      </c>
      <c r="N1083" s="5" t="str">
        <f ca="1">IFERROR(__xludf.DUMMYFUNCTION("""COMPUTED_VALUE"""),"CA")</f>
        <v>CA</v>
      </c>
      <c r="O1083" s="5" t="str">
        <f ca="1">IFERROR(__xludf.DUMMYFUNCTION("""COMPUTED_VALUE"""),"Other")</f>
        <v>Other</v>
      </c>
      <c r="P1083" s="5" t="str">
        <f ca="1">IFERROR(__xludf.DUMMYFUNCTION("""COMPUTED_VALUE"""),"Beside Building")</f>
        <v>Beside Building</v>
      </c>
      <c r="Q1083" s="5" t="str">
        <f ca="1">IFERROR(__xludf.DUMMYFUNCTION("""COMPUTED_VALUE"""),"Outside on School Property")</f>
        <v>Outside on School Property</v>
      </c>
      <c r="R1083" s="5" t="str">
        <f ca="1">IFERROR(__xludf.DUMMYFUNCTION("""COMPUTED_VALUE"""),"Yes")</f>
        <v>Yes</v>
      </c>
      <c r="S1083" s="5" t="str">
        <f ca="1">IFERROR(__xludf.DUMMYFUNCTION("""COMPUTED_VALUE"""),"Morning Classes")</f>
        <v>Morning Classes</v>
      </c>
      <c r="T1083" s="5"/>
      <c r="U1083" s="5">
        <f ca="1">IFERROR(__xludf.DUMMYFUNCTION("""COMPUTED_VALUE"""),1)</f>
        <v>1</v>
      </c>
      <c r="V1083" s="5" t="str">
        <f ca="1">IFERROR(__xludf.DUMMYFUNCTION("""COMPUTED_VALUE"""),"Gang-related shooting outside of school.")</f>
        <v>Gang-related shooting outside of school.</v>
      </c>
      <c r="W1083"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X1083" s="5" t="str">
        <f ca="1">IFERROR(__xludf.DUMMYFUNCTION("""COMPUTED_VALUE"""),"Escalation of Dispute")</f>
        <v>Escalation of Dispute</v>
      </c>
      <c r="Y1083" s="5"/>
      <c r="Z1083" s="5"/>
      <c r="AA1083" s="5"/>
      <c r="AB1083" s="5" t="str">
        <f ca="1">IFERROR(__xludf.DUMMYFUNCTION("""COMPUTED_VALUE"""),"No")</f>
        <v>No</v>
      </c>
      <c r="AC1083" s="5" t="str">
        <f ca="1">IFERROR(__xludf.DUMMYFUNCTION("""COMPUTED_VALUE"""),"No")</f>
        <v>No</v>
      </c>
      <c r="AD1083" s="5" t="str">
        <f ca="1">IFERROR(__xludf.DUMMYFUNCTION("""COMPUTED_VALUE"""),"No")</f>
        <v>No</v>
      </c>
      <c r="AE1083" s="5"/>
      <c r="AF1083" s="5" t="str">
        <f ca="1">IFERROR(__xludf.DUMMYFUNCTION("""COMPUTED_VALUE"""),"No")</f>
        <v>No</v>
      </c>
      <c r="AG1083" s="5" t="str">
        <f ca="1">IFERROR(__xludf.DUMMYFUNCTION("""COMPUTED_VALUE"""),"Yes")</f>
        <v>Yes</v>
      </c>
      <c r="AH1083" s="5"/>
    </row>
    <row r="1084" spans="1:34" ht="12.75">
      <c r="A1084" s="5" t="str">
        <f ca="1">IFERROR(__xludf.DUMMYFUNCTION("""COMPUTED_VALUE"""),"20090518LALAL")</f>
        <v>20090518LALAL</v>
      </c>
      <c r="B1084" s="8">
        <f ca="1">IFERROR(__xludf.DUMMYFUNCTION("""COMPUTED_VALUE"""),39951)</f>
        <v>39951</v>
      </c>
      <c r="C1084" s="5" t="str">
        <f ca="1">IFERROR(__xludf.DUMMYFUNCTION("""COMPUTED_VALUE"""),"Larose-Cut Off Middle School")</f>
        <v>Larose-Cut Off Middle School</v>
      </c>
      <c r="D1084" s="5">
        <f ca="1">IFERROR(__xludf.DUMMYFUNCTION("""COMPUTED_VALUE"""),0)</f>
        <v>0</v>
      </c>
      <c r="E1084" s="5">
        <f ca="1">IFERROR(__xludf.DUMMYFUNCTION("""COMPUTED_VALUE"""),0)</f>
        <v>0</v>
      </c>
      <c r="F1084" s="5">
        <f ca="1">IFERROR(__xludf.DUMMYFUNCTION("""COMPUTED_VALUE"""),0)</f>
        <v>0</v>
      </c>
      <c r="G1084" s="5">
        <f ca="1">IFERROR(__xludf.DUMMYFUNCTION("""COMPUTED_VALUE"""),1)</f>
        <v>1</v>
      </c>
      <c r="H1084"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I1084" s="5"/>
      <c r="J1084" s="5" t="str">
        <f ca="1">IFERROR(__xludf.DUMMYFUNCTION("""COMPUTED_VALUE"""),"National")</f>
        <v>National</v>
      </c>
      <c r="K1084" s="5">
        <f ca="1">IFERROR(__xludf.DUMMYFUNCTION("""COMPUTED_VALUE"""),5)</f>
        <v>5</v>
      </c>
      <c r="L1084" s="5" t="str">
        <f ca="1">IFERROR(__xludf.DUMMYFUNCTION("""COMPUTED_VALUE"""),"Spring")</f>
        <v>Spring</v>
      </c>
      <c r="M1084" s="5" t="str">
        <f ca="1">IFERROR(__xludf.DUMMYFUNCTION("""COMPUTED_VALUE"""),"Larose")</f>
        <v>Larose</v>
      </c>
      <c r="N1084" s="5" t="str">
        <f ca="1">IFERROR(__xludf.DUMMYFUNCTION("""COMPUTED_VALUE"""),"LA")</f>
        <v>LA</v>
      </c>
      <c r="O1084" s="5" t="str">
        <f ca="1">IFERROR(__xludf.DUMMYFUNCTION("""COMPUTED_VALUE"""),"Middle")</f>
        <v>Middle</v>
      </c>
      <c r="P1084" s="5" t="str">
        <f ca="1">IFERROR(__xludf.DUMMYFUNCTION("""COMPUTED_VALUE"""),"Classroom")</f>
        <v>Classroom</v>
      </c>
      <c r="Q1084" s="5" t="str">
        <f ca="1">IFERROR(__xludf.DUMMYFUNCTION("""COMPUTED_VALUE"""),"Inside School Building")</f>
        <v>Inside School Building</v>
      </c>
      <c r="R1084" s="5" t="str">
        <f ca="1">IFERROR(__xludf.DUMMYFUNCTION("""COMPUTED_VALUE"""),"Yes")</f>
        <v>Yes</v>
      </c>
      <c r="S1084" s="5" t="str">
        <f ca="1">IFERROR(__xludf.DUMMYFUNCTION("""COMPUTED_VALUE"""),"Morning Classes")</f>
        <v>Morning Classes</v>
      </c>
      <c r="T1084" s="10">
        <f ca="1">IFERROR(__xludf.DUMMYFUNCTION("""COMPUTED_VALUE"""),0.375)</f>
        <v>0.375</v>
      </c>
      <c r="U1084" s="5">
        <f ca="1">IFERROR(__xludf.DUMMYFUNCTION("""COMPUTED_VALUE"""),1)</f>
        <v>1</v>
      </c>
      <c r="V1084" s="5" t="str">
        <f ca="1">IFERROR(__xludf.DUMMYFUNCTION("""COMPUTED_VALUE"""),"Planned attack, gun misfired, shooter fled and commit suicide")</f>
        <v>Planned attack, gun misfired, shooter fled and commit suicide</v>
      </c>
      <c r="W1084"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X1084" s="5" t="str">
        <f ca="1">IFERROR(__xludf.DUMMYFUNCTION("""COMPUTED_VALUE"""),"Indiscriminate Shooting")</f>
        <v>Indiscriminate Shooting</v>
      </c>
      <c r="Y1084" s="5"/>
      <c r="Z1084" s="5" t="str">
        <f ca="1">IFERROR(__xludf.DUMMYFUNCTION("""COMPUTED_VALUE"""),"No")</f>
        <v>No</v>
      </c>
      <c r="AA1084" s="5"/>
      <c r="AB1084" s="5" t="str">
        <f ca="1">IFERROR(__xludf.DUMMYFUNCTION("""COMPUTED_VALUE"""),"No")</f>
        <v>No</v>
      </c>
      <c r="AC1084" s="5" t="str">
        <f ca="1">IFERROR(__xludf.DUMMYFUNCTION("""COMPUTED_VALUE"""),"No")</f>
        <v>No</v>
      </c>
      <c r="AD1084" s="5" t="str">
        <f ca="1">IFERROR(__xludf.DUMMYFUNCTION("""COMPUTED_VALUE"""),"No")</f>
        <v>No</v>
      </c>
      <c r="AE1084" s="5"/>
      <c r="AF1084" s="5" t="str">
        <f ca="1">IFERROR(__xludf.DUMMYFUNCTION("""COMPUTED_VALUE"""),"No")</f>
        <v>No</v>
      </c>
      <c r="AG1084" s="5" t="str">
        <f ca="1">IFERROR(__xludf.DUMMYFUNCTION("""COMPUTED_VALUE"""),"No")</f>
        <v>No</v>
      </c>
      <c r="AH1084" s="5" t="str">
        <f ca="1">IFERROR(__xludf.DUMMYFUNCTION("""COMPUTED_VALUE"""),"Yes")</f>
        <v>Yes</v>
      </c>
    </row>
    <row r="1085" spans="1:34" ht="12.75">
      <c r="A1085" s="5" t="str">
        <f ca="1">IFERROR(__xludf.DUMMYFUNCTION("""COMPUTED_VALUE"""),"20090505NYCAC")</f>
        <v>20090505NYCAC</v>
      </c>
      <c r="B1085" s="8">
        <f ca="1">IFERROR(__xludf.DUMMYFUNCTION("""COMPUTED_VALUE"""),39938)</f>
        <v>39938</v>
      </c>
      <c r="C1085" s="5" t="str">
        <f ca="1">IFERROR(__xludf.DUMMYFUNCTION("""COMPUTED_VALUE"""),"Canandaigua Academy")</f>
        <v>Canandaigua Academy</v>
      </c>
      <c r="D1085" s="5">
        <f ca="1">IFERROR(__xludf.DUMMYFUNCTION("""COMPUTED_VALUE"""),0)</f>
        <v>0</v>
      </c>
      <c r="E1085" s="5">
        <f ca="1">IFERROR(__xludf.DUMMYFUNCTION("""COMPUTED_VALUE"""),0)</f>
        <v>0</v>
      </c>
      <c r="F1085" s="5">
        <f ca="1">IFERROR(__xludf.DUMMYFUNCTION("""COMPUTED_VALUE"""),0)</f>
        <v>0</v>
      </c>
      <c r="G1085" s="5">
        <f ca="1">IFERROR(__xludf.DUMMYFUNCTION("""COMPUTED_VALUE"""),1)</f>
        <v>1</v>
      </c>
      <c r="H1085"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I1085" s="5"/>
      <c r="J1085" s="5"/>
      <c r="K1085" s="5">
        <f ca="1">IFERROR(__xludf.DUMMYFUNCTION("""COMPUTED_VALUE"""),4)</f>
        <v>4</v>
      </c>
      <c r="L1085" s="5" t="str">
        <f ca="1">IFERROR(__xludf.DUMMYFUNCTION("""COMPUTED_VALUE"""),"Spring")</f>
        <v>Spring</v>
      </c>
      <c r="M1085" s="5" t="str">
        <f ca="1">IFERROR(__xludf.DUMMYFUNCTION("""COMPUTED_VALUE"""),"Canandaigua")</f>
        <v>Canandaigua</v>
      </c>
      <c r="N1085" s="5" t="str">
        <f ca="1">IFERROR(__xludf.DUMMYFUNCTION("""COMPUTED_VALUE"""),"NY")</f>
        <v>NY</v>
      </c>
      <c r="O1085" s="5" t="str">
        <f ca="1">IFERROR(__xludf.DUMMYFUNCTION("""COMPUTED_VALUE"""),"High")</f>
        <v>High</v>
      </c>
      <c r="P1085" s="5" t="str">
        <f ca="1">IFERROR(__xludf.DUMMYFUNCTION("""COMPUTED_VALUE"""),"Bathroom")</f>
        <v>Bathroom</v>
      </c>
      <c r="Q1085" s="5" t="str">
        <f ca="1">IFERROR(__xludf.DUMMYFUNCTION("""COMPUTED_VALUE"""),"Inside School Building")</f>
        <v>Inside School Building</v>
      </c>
      <c r="R1085" s="5" t="str">
        <f ca="1">IFERROR(__xludf.DUMMYFUNCTION("""COMPUTED_VALUE"""),"Yes")</f>
        <v>Yes</v>
      </c>
      <c r="S1085" s="5" t="str">
        <f ca="1">IFERROR(__xludf.DUMMYFUNCTION("""COMPUTED_VALUE"""),"Morning Classes")</f>
        <v>Morning Classes</v>
      </c>
      <c r="T1085" s="10">
        <f ca="1">IFERROR(__xludf.DUMMYFUNCTION("""COMPUTED_VALUE"""),0.434027777777777)</f>
        <v>0.43402777777777701</v>
      </c>
      <c r="U1085" s="5">
        <f ca="1">IFERROR(__xludf.DUMMYFUNCTION("""COMPUTED_VALUE"""),1)</f>
        <v>1</v>
      </c>
      <c r="V1085" s="5" t="str">
        <f ca="1">IFERROR(__xludf.DUMMYFUNCTION("""COMPUTED_VALUE"""),"Suicide in bathroom, had plan to attack school")</f>
        <v>Suicide in bathroom, had plan to attack school</v>
      </c>
      <c r="W1085"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X1085" s="5" t="str">
        <f ca="1">IFERROR(__xludf.DUMMYFUNCTION("""COMPUTED_VALUE"""),"Indiscriminate Shooting")</f>
        <v>Indiscriminate Shooting</v>
      </c>
      <c r="Y1085" s="5" t="str">
        <f ca="1">IFERROR(__xludf.DUMMYFUNCTION("""COMPUTED_VALUE"""),"Victims Targeted")</f>
        <v>Victims Targeted</v>
      </c>
      <c r="Z1085" s="5" t="str">
        <f ca="1">IFERROR(__xludf.DUMMYFUNCTION("""COMPUTED_VALUE"""),"No")</f>
        <v>No</v>
      </c>
      <c r="AA1085" s="5"/>
      <c r="AB1085" s="5" t="str">
        <f ca="1">IFERROR(__xludf.DUMMYFUNCTION("""COMPUTED_VALUE"""),"No")</f>
        <v>No</v>
      </c>
      <c r="AC1085" s="5" t="str">
        <f ca="1">IFERROR(__xludf.DUMMYFUNCTION("""COMPUTED_VALUE"""),"No")</f>
        <v>No</v>
      </c>
      <c r="AD1085" s="5" t="str">
        <f ca="1">IFERROR(__xludf.DUMMYFUNCTION("""COMPUTED_VALUE"""),"No")</f>
        <v>No</v>
      </c>
      <c r="AE1085" s="5"/>
      <c r="AF1085" s="5"/>
      <c r="AG1085" s="5" t="str">
        <f ca="1">IFERROR(__xludf.DUMMYFUNCTION("""COMPUTED_VALUE"""),"No")</f>
        <v>No</v>
      </c>
      <c r="AH1085" s="5" t="str">
        <f ca="1">IFERROR(__xludf.DUMMYFUNCTION("""COMPUTED_VALUE"""),"Yes")</f>
        <v>Yes</v>
      </c>
    </row>
    <row r="1086" spans="1:34" ht="12.75">
      <c r="A1086" s="5" t="str">
        <f ca="1">IFERROR(__xludf.DUMMYFUNCTION("""COMPUTED_VALUE"""),"20090501WISHS")</f>
        <v>20090501WISHS</v>
      </c>
      <c r="B1086" s="8">
        <f ca="1">IFERROR(__xludf.DUMMYFUNCTION("""COMPUTED_VALUE"""),39934)</f>
        <v>39934</v>
      </c>
      <c r="C1086" s="5" t="str">
        <f ca="1">IFERROR(__xludf.DUMMYFUNCTION("""COMPUTED_VALUE"""),"Sheboygan High School")</f>
        <v>Sheboygan High School</v>
      </c>
      <c r="D1086" s="5">
        <f ca="1">IFERROR(__xludf.DUMMYFUNCTION("""COMPUTED_VALUE"""),0)</f>
        <v>0</v>
      </c>
      <c r="E1086" s="5">
        <f ca="1">IFERROR(__xludf.DUMMYFUNCTION("""COMPUTED_VALUE"""),0)</f>
        <v>0</v>
      </c>
      <c r="F1086" s="5">
        <f ca="1">IFERROR(__xludf.DUMMYFUNCTION("""COMPUTED_VALUE"""),0)</f>
        <v>0</v>
      </c>
      <c r="G1086" s="5">
        <f ca="1">IFERROR(__xludf.DUMMYFUNCTION("""COMPUTED_VALUE"""),1)</f>
        <v>1</v>
      </c>
      <c r="H1086" s="9" t="str">
        <f ca="1">IFERROR(__xludf.DUMMYFUNCTION("""COMPUTED_VALUE"""),"http://www.wsaw.com/home/headlines/44225502.html")</f>
        <v>http://www.wsaw.com/home/headlines/44225502.html</v>
      </c>
      <c r="I1086" s="5"/>
      <c r="J1086" s="5"/>
      <c r="K1086" s="5">
        <f ca="1">IFERROR(__xludf.DUMMYFUNCTION("""COMPUTED_VALUE"""),2)</f>
        <v>2</v>
      </c>
      <c r="L1086" s="5" t="str">
        <f ca="1">IFERROR(__xludf.DUMMYFUNCTION("""COMPUTED_VALUE"""),"Spring")</f>
        <v>Spring</v>
      </c>
      <c r="M1086" s="5" t="str">
        <f ca="1">IFERROR(__xludf.DUMMYFUNCTION("""COMPUTED_VALUE"""),"Sheboygan")</f>
        <v>Sheboygan</v>
      </c>
      <c r="N1086" s="5" t="str">
        <f ca="1">IFERROR(__xludf.DUMMYFUNCTION("""COMPUTED_VALUE"""),"WI")</f>
        <v>WI</v>
      </c>
      <c r="O1086" s="5" t="str">
        <f ca="1">IFERROR(__xludf.DUMMYFUNCTION("""COMPUTED_VALUE"""),"High")</f>
        <v>High</v>
      </c>
      <c r="P1086" s="5" t="str">
        <f ca="1">IFERROR(__xludf.DUMMYFUNCTION("""COMPUTED_VALUE"""),"Parking Lot")</f>
        <v>Parking Lot</v>
      </c>
      <c r="Q1086" s="5" t="str">
        <f ca="1">IFERROR(__xludf.DUMMYFUNCTION("""COMPUTED_VALUE"""),"Outside on School Property")</f>
        <v>Outside on School Property</v>
      </c>
      <c r="R1086" s="5" t="str">
        <f ca="1">IFERROR(__xludf.DUMMYFUNCTION("""COMPUTED_VALUE"""),"Yes")</f>
        <v>Yes</v>
      </c>
      <c r="S1086" s="5" t="str">
        <f ca="1">IFERROR(__xludf.DUMMYFUNCTION("""COMPUTED_VALUE"""),"After School")</f>
        <v>After School</v>
      </c>
      <c r="T1086" s="10">
        <f ca="1">IFERROR(__xludf.DUMMYFUNCTION("""COMPUTED_VALUE"""),0.652777777777777)</f>
        <v>0.65277777777777701</v>
      </c>
      <c r="U1086" s="5">
        <f ca="1">IFERROR(__xludf.DUMMYFUNCTION("""COMPUTED_VALUE"""),1)</f>
        <v>1</v>
      </c>
      <c r="V1086" s="5" t="str">
        <f ca="1">IFERROR(__xludf.DUMMYFUNCTION("""COMPUTED_VALUE"""),"Suicide in school parking lot")</f>
        <v>Suicide in school parking lot</v>
      </c>
      <c r="W1086"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X1086" s="5" t="str">
        <f ca="1">IFERROR(__xludf.DUMMYFUNCTION("""COMPUTED_VALUE"""),"Suicide/Attempted")</f>
        <v>Suicide/Attempted</v>
      </c>
      <c r="Y1086" s="5" t="str">
        <f ca="1">IFERROR(__xludf.DUMMYFUNCTION("""COMPUTED_VALUE"""),"Victims Targeted")</f>
        <v>Victims Targeted</v>
      </c>
      <c r="Z1086" s="5" t="str">
        <f ca="1">IFERROR(__xludf.DUMMYFUNCTION("""COMPUTED_VALUE"""),"No")</f>
        <v>No</v>
      </c>
      <c r="AA1086" s="5"/>
      <c r="AB1086" s="5" t="str">
        <f ca="1">IFERROR(__xludf.DUMMYFUNCTION("""COMPUTED_VALUE"""),"No")</f>
        <v>No</v>
      </c>
      <c r="AC1086" s="5" t="str">
        <f ca="1">IFERROR(__xludf.DUMMYFUNCTION("""COMPUTED_VALUE"""),"No")</f>
        <v>No</v>
      </c>
      <c r="AD1086" s="5" t="str">
        <f ca="1">IFERROR(__xludf.DUMMYFUNCTION("""COMPUTED_VALUE"""),"No")</f>
        <v>No</v>
      </c>
      <c r="AE1086" s="5"/>
      <c r="AF1086" s="5"/>
      <c r="AG1086" s="5" t="str">
        <f ca="1">IFERROR(__xludf.DUMMYFUNCTION("""COMPUTED_VALUE"""),"No")</f>
        <v>No</v>
      </c>
      <c r="AH1086" s="5"/>
    </row>
    <row r="1087" spans="1:34" ht="12.75">
      <c r="A1087" s="5" t="str">
        <f ca="1">IFERROR(__xludf.DUMMYFUNCTION("""COMPUTED_VALUE"""),"20090413CALOL")</f>
        <v>20090413CALOL</v>
      </c>
      <c r="B1087" s="8">
        <f ca="1">IFERROR(__xludf.DUMMYFUNCTION("""COMPUTED_VALUE"""),39916)</f>
        <v>39916</v>
      </c>
      <c r="C1087" s="5" t="str">
        <f ca="1">IFERROR(__xludf.DUMMYFUNCTION("""COMPUTED_VALUE"""),"Locke High School")</f>
        <v>Locke High School</v>
      </c>
      <c r="D1087" s="5">
        <f ca="1">IFERROR(__xludf.DUMMYFUNCTION("""COMPUTED_VALUE"""),0)</f>
        <v>0</v>
      </c>
      <c r="E1087" s="5">
        <f ca="1">IFERROR(__xludf.DUMMYFUNCTION("""COMPUTED_VALUE"""),1)</f>
        <v>1</v>
      </c>
      <c r="F1087" s="5">
        <f ca="1">IFERROR(__xludf.DUMMYFUNCTION("""COMPUTED_VALUE"""),1)</f>
        <v>1</v>
      </c>
      <c r="G1087" s="5">
        <f ca="1">IFERROR(__xludf.DUMMYFUNCTION("""COMPUTED_VALUE"""),0)</f>
        <v>0</v>
      </c>
      <c r="H1087" s="9" t="str">
        <f ca="1">IFERROR(__xludf.DUMMYFUNCTION("""COMPUTED_VALUE"""),"http://www.latimes.com/la-me-locke01_ki20l0nc-photo.html")</f>
        <v>http://www.latimes.com/la-me-locke01_ki20l0nc-photo.html</v>
      </c>
      <c r="I1087" s="5"/>
      <c r="J1087" s="5"/>
      <c r="K1087" s="5">
        <f ca="1">IFERROR(__xludf.DUMMYFUNCTION("""COMPUTED_VALUE"""),2)</f>
        <v>2</v>
      </c>
      <c r="L1087" s="5" t="str">
        <f ca="1">IFERROR(__xludf.DUMMYFUNCTION("""COMPUTED_VALUE"""),"Spring")</f>
        <v>Spring</v>
      </c>
      <c r="M1087" s="5" t="str">
        <f ca="1">IFERROR(__xludf.DUMMYFUNCTION("""COMPUTED_VALUE"""),"Los Angeles")</f>
        <v>Los Angeles</v>
      </c>
      <c r="N1087" s="5" t="str">
        <f ca="1">IFERROR(__xludf.DUMMYFUNCTION("""COMPUTED_VALUE"""),"CA")</f>
        <v>CA</v>
      </c>
      <c r="O1087" s="5" t="str">
        <f ca="1">IFERROR(__xludf.DUMMYFUNCTION("""COMPUTED_VALUE"""),"High")</f>
        <v>High</v>
      </c>
      <c r="P1087" s="5" t="str">
        <f ca="1">IFERROR(__xludf.DUMMYFUNCTION("""COMPUTED_VALUE"""),"Front of School")</f>
        <v>Front of School</v>
      </c>
      <c r="Q1087" s="5" t="str">
        <f ca="1">IFERROR(__xludf.DUMMYFUNCTION("""COMPUTED_VALUE"""),"Outside on School Property")</f>
        <v>Outside on School Property</v>
      </c>
      <c r="R1087" s="5" t="str">
        <f ca="1">IFERROR(__xludf.DUMMYFUNCTION("""COMPUTED_VALUE"""),"Yes")</f>
        <v>Yes</v>
      </c>
      <c r="S1087" s="5" t="str">
        <f ca="1">IFERROR(__xludf.DUMMYFUNCTION("""COMPUTED_VALUE"""),"Before School")</f>
        <v>Before School</v>
      </c>
      <c r="T1087" s="5"/>
      <c r="U1087" s="5">
        <f ca="1">IFERROR(__xludf.DUMMYFUNCTION("""COMPUTED_VALUE"""),1)</f>
        <v>1</v>
      </c>
      <c r="V1087" s="5" t="str">
        <f ca="1">IFERROR(__xludf.DUMMYFUNCTION("""COMPUTED_VALUE"""),"Gang related shooting in front of school")</f>
        <v>Gang related shooting in front of school</v>
      </c>
      <c r="W1087"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X1087" s="5" t="str">
        <f ca="1">IFERROR(__xludf.DUMMYFUNCTION("""COMPUTED_VALUE"""),"Escalation of Dispute")</f>
        <v>Escalation of Dispute</v>
      </c>
      <c r="Y1087" s="5" t="str">
        <f ca="1">IFERROR(__xludf.DUMMYFUNCTION("""COMPUTED_VALUE"""),"Victims Targeted")</f>
        <v>Victims Targeted</v>
      </c>
      <c r="Z1087" s="5"/>
      <c r="AA1087" s="5"/>
      <c r="AB1087" s="5" t="str">
        <f ca="1">IFERROR(__xludf.DUMMYFUNCTION("""COMPUTED_VALUE"""),"No")</f>
        <v>No</v>
      </c>
      <c r="AC1087" s="5" t="str">
        <f ca="1">IFERROR(__xludf.DUMMYFUNCTION("""COMPUTED_VALUE"""),"No")</f>
        <v>No</v>
      </c>
      <c r="AD1087" s="5" t="str">
        <f ca="1">IFERROR(__xludf.DUMMYFUNCTION("""COMPUTED_VALUE"""),"No")</f>
        <v>No</v>
      </c>
      <c r="AE1087" s="5"/>
      <c r="AF1087" s="5"/>
      <c r="AG1087" s="5" t="str">
        <f ca="1">IFERROR(__xludf.DUMMYFUNCTION("""COMPUTED_VALUE"""),"Yes")</f>
        <v>Yes</v>
      </c>
      <c r="AH1087" s="5"/>
    </row>
    <row r="1088" spans="1:34" ht="12.75">
      <c r="A1088" s="5" t="str">
        <f ca="1">IFERROR(__xludf.DUMMYFUNCTION("""COMPUTED_VALUE"""),"20090311TXCYH")</f>
        <v>20090311TXCYH</v>
      </c>
      <c r="B1088" s="8">
        <f ca="1">IFERROR(__xludf.DUMMYFUNCTION("""COMPUTED_VALUE"""),39883)</f>
        <v>39883</v>
      </c>
      <c r="C1088" s="5" t="str">
        <f ca="1">IFERROR(__xludf.DUMMYFUNCTION("""COMPUTED_VALUE"""),"Cypress Ridge High School")</f>
        <v>Cypress Ridge High School</v>
      </c>
      <c r="D1088" s="5">
        <f ca="1">IFERROR(__xludf.DUMMYFUNCTION("""COMPUTED_VALUE"""),0)</f>
        <v>0</v>
      </c>
      <c r="E1088" s="5">
        <f ca="1">IFERROR(__xludf.DUMMYFUNCTION("""COMPUTED_VALUE"""),0)</f>
        <v>0</v>
      </c>
      <c r="F1088" s="5">
        <f ca="1">IFERROR(__xludf.DUMMYFUNCTION("""COMPUTED_VALUE"""),0)</f>
        <v>0</v>
      </c>
      <c r="G1088" s="5">
        <f ca="1">IFERROR(__xludf.DUMMYFUNCTION("""COMPUTED_VALUE"""),0)</f>
        <v>0</v>
      </c>
      <c r="H1088" s="9" t="str">
        <f ca="1">IFERROR(__xludf.DUMMYFUNCTION("""COMPUTED_VALUE"""),"https://abc13.com/archive/6704811/")</f>
        <v>https://abc13.com/archive/6704811/</v>
      </c>
      <c r="I1088" s="5"/>
      <c r="J1088" s="5"/>
      <c r="K1088" s="5">
        <f ca="1">IFERROR(__xludf.DUMMYFUNCTION("""COMPUTED_VALUE"""),2)</f>
        <v>2</v>
      </c>
      <c r="L1088" s="5" t="str">
        <f ca="1">IFERROR(__xludf.DUMMYFUNCTION("""COMPUTED_VALUE"""),"Spring")</f>
        <v>Spring</v>
      </c>
      <c r="M1088" s="5" t="str">
        <f ca="1">IFERROR(__xludf.DUMMYFUNCTION("""COMPUTED_VALUE"""),"Houston")</f>
        <v>Houston</v>
      </c>
      <c r="N1088" s="5" t="str">
        <f ca="1">IFERROR(__xludf.DUMMYFUNCTION("""COMPUTED_VALUE"""),"TX")</f>
        <v>TX</v>
      </c>
      <c r="O1088" s="5" t="str">
        <f ca="1">IFERROR(__xludf.DUMMYFUNCTION("""COMPUTED_VALUE"""),"High")</f>
        <v>High</v>
      </c>
      <c r="P1088" s="5" t="str">
        <f ca="1">IFERROR(__xludf.DUMMYFUNCTION("""COMPUTED_VALUE"""),"Bathroom")</f>
        <v>Bathroom</v>
      </c>
      <c r="Q1088" s="5" t="str">
        <f ca="1">IFERROR(__xludf.DUMMYFUNCTION("""COMPUTED_VALUE"""),"Inside School Building")</f>
        <v>Inside School Building</v>
      </c>
      <c r="R1088" s="5" t="str">
        <f ca="1">IFERROR(__xludf.DUMMYFUNCTION("""COMPUTED_VALUE"""),"Yes")</f>
        <v>Yes</v>
      </c>
      <c r="S1088" s="5" t="str">
        <f ca="1">IFERROR(__xludf.DUMMYFUNCTION("""COMPUTED_VALUE"""),"Before School")</f>
        <v>Before School</v>
      </c>
      <c r="T1088" s="5"/>
      <c r="U1088" s="5">
        <f ca="1">IFERROR(__xludf.DUMMYFUNCTION("""COMPUTED_VALUE"""),1)</f>
        <v>1</v>
      </c>
      <c r="V1088" s="5" t="str">
        <f ca="1">IFERROR(__xludf.DUMMYFUNCTION("""COMPUTED_VALUE"""),"Accidental shooting in school bathroom")</f>
        <v>Accidental shooting in school bathroom</v>
      </c>
      <c r="W1088"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X1088" s="5" t="str">
        <f ca="1">IFERROR(__xludf.DUMMYFUNCTION("""COMPUTED_VALUE"""),"Accidental")</f>
        <v>Accidental</v>
      </c>
      <c r="Y1088" s="5" t="str">
        <f ca="1">IFERROR(__xludf.DUMMYFUNCTION("""COMPUTED_VALUE"""),"NA")</f>
        <v>NA</v>
      </c>
      <c r="Z1088" s="5" t="str">
        <f ca="1">IFERROR(__xludf.DUMMYFUNCTION("""COMPUTED_VALUE"""),"Yes")</f>
        <v>Yes</v>
      </c>
      <c r="AA1088" s="5" t="str">
        <f ca="1">IFERROR(__xludf.DUMMYFUNCTION("""COMPUTED_VALUE"""),"More than one student arrested")</f>
        <v>More than one student arrested</v>
      </c>
      <c r="AB1088" s="5" t="str">
        <f ca="1">IFERROR(__xludf.DUMMYFUNCTION("""COMPUTED_VALUE"""),"No")</f>
        <v>No</v>
      </c>
      <c r="AC1088" s="5" t="str">
        <f ca="1">IFERROR(__xludf.DUMMYFUNCTION("""COMPUTED_VALUE"""),"No")</f>
        <v>No</v>
      </c>
      <c r="AD1088" s="5" t="str">
        <f ca="1">IFERROR(__xludf.DUMMYFUNCTION("""COMPUTED_VALUE"""),"No")</f>
        <v>No</v>
      </c>
      <c r="AE1088" s="5" t="str">
        <f ca="1">IFERROR(__xludf.DUMMYFUNCTION("""COMPUTED_VALUE"""),"N/A")</f>
        <v>N/A</v>
      </c>
      <c r="AF1088" s="5" t="str">
        <f ca="1">IFERROR(__xludf.DUMMYFUNCTION("""COMPUTED_VALUE"""),"N/A")</f>
        <v>N/A</v>
      </c>
      <c r="AG1088" s="5" t="str">
        <f ca="1">IFERROR(__xludf.DUMMYFUNCTION("""COMPUTED_VALUE"""),"No")</f>
        <v>No</v>
      </c>
      <c r="AH1088" s="5"/>
    </row>
    <row r="1089" spans="1:34" ht="12.75">
      <c r="A1089" s="5" t="str">
        <f ca="1">IFERROR(__xludf.DUMMYFUNCTION("""COMPUTED_VALUE"""),"20090310FLRIJ")</f>
        <v>20090310FLRIJ</v>
      </c>
      <c r="B1089" s="8">
        <f ca="1">IFERROR(__xludf.DUMMYFUNCTION("""COMPUTED_VALUE"""),39882)</f>
        <v>39882</v>
      </c>
      <c r="C1089" s="5" t="str">
        <f ca="1">IFERROR(__xludf.DUMMYFUNCTION("""COMPUTED_VALUE"""),"Ribault High School")</f>
        <v>Ribault High School</v>
      </c>
      <c r="D1089" s="5">
        <f ca="1">IFERROR(__xludf.DUMMYFUNCTION("""COMPUTED_VALUE"""),0)</f>
        <v>0</v>
      </c>
      <c r="E1089" s="5">
        <f ca="1">IFERROR(__xludf.DUMMYFUNCTION("""COMPUTED_VALUE"""),0)</f>
        <v>0</v>
      </c>
      <c r="F1089" s="5">
        <f ca="1">IFERROR(__xludf.DUMMYFUNCTION("""COMPUTED_VALUE"""),0)</f>
        <v>0</v>
      </c>
      <c r="G1089" s="5">
        <f ca="1">IFERROR(__xludf.DUMMYFUNCTION("""COMPUTED_VALUE"""),0)</f>
        <v>0</v>
      </c>
      <c r="H1089" s="9" t="str">
        <f ca="1">IFERROR(__xludf.DUMMYFUNCTION("""COMPUTED_VALUE"""),"http://www.jacksonville.com/news/metro/crime/2009-03-10/story/police_responding_to_shots_fired_at_ribault_high_school")</f>
        <v>http://www.jacksonville.com/news/metro/crime/2009-03-10/story/police_responding_to_shots_fired_at_ribault_high_school</v>
      </c>
      <c r="I1089" s="5"/>
      <c r="J1089" s="5"/>
      <c r="K1089" s="5">
        <f ca="1">IFERROR(__xludf.DUMMYFUNCTION("""COMPUTED_VALUE"""),2)</f>
        <v>2</v>
      </c>
      <c r="L1089" s="5" t="str">
        <f ca="1">IFERROR(__xludf.DUMMYFUNCTION("""COMPUTED_VALUE"""),"Spring")</f>
        <v>Spring</v>
      </c>
      <c r="M1089" s="5" t="str">
        <f ca="1">IFERROR(__xludf.DUMMYFUNCTION("""COMPUTED_VALUE"""),"Jacksonville")</f>
        <v>Jacksonville</v>
      </c>
      <c r="N1089" s="5" t="str">
        <f ca="1">IFERROR(__xludf.DUMMYFUNCTION("""COMPUTED_VALUE"""),"FL")</f>
        <v>FL</v>
      </c>
      <c r="O1089" s="5" t="str">
        <f ca="1">IFERROR(__xludf.DUMMYFUNCTION("""COMPUTED_VALUE"""),"High")</f>
        <v>High</v>
      </c>
      <c r="P1089" s="5" t="str">
        <f ca="1">IFERROR(__xludf.DUMMYFUNCTION("""COMPUTED_VALUE"""),"Hallway")</f>
        <v>Hallway</v>
      </c>
      <c r="Q1089" s="5" t="str">
        <f ca="1">IFERROR(__xludf.DUMMYFUNCTION("""COMPUTED_VALUE"""),"Inside School Building")</f>
        <v>Inside School Building</v>
      </c>
      <c r="R1089" s="5" t="str">
        <f ca="1">IFERROR(__xludf.DUMMYFUNCTION("""COMPUTED_VALUE"""),"Yes")</f>
        <v>Yes</v>
      </c>
      <c r="S1089" s="5" t="str">
        <f ca="1">IFERROR(__xludf.DUMMYFUNCTION("""COMPUTED_VALUE"""),"School Start")</f>
        <v>School Start</v>
      </c>
      <c r="T1089" s="10">
        <f ca="1">IFERROR(__xludf.DUMMYFUNCTION("""COMPUTED_VALUE"""),0.306944444444444)</f>
        <v>0.30694444444444402</v>
      </c>
      <c r="U1089" s="5">
        <f ca="1">IFERROR(__xludf.DUMMYFUNCTION("""COMPUTED_VALUE"""),1)</f>
        <v>1</v>
      </c>
      <c r="V1089" s="5" t="str">
        <f ca="1">IFERROR(__xludf.DUMMYFUNCTION("""COMPUTED_VALUE"""),"Fight between two groups of students ongoing for weeks")</f>
        <v>Fight between two groups of students ongoing for weeks</v>
      </c>
      <c r="W1089"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X1089" s="5" t="str">
        <f ca="1">IFERROR(__xludf.DUMMYFUNCTION("""COMPUTED_VALUE"""),"Escalation of Dispute")</f>
        <v>Escalation of Dispute</v>
      </c>
      <c r="Y1089" s="5"/>
      <c r="Z1089" s="5"/>
      <c r="AA1089" s="5"/>
      <c r="AB1089" s="5" t="str">
        <f ca="1">IFERROR(__xludf.DUMMYFUNCTION("""COMPUTED_VALUE"""),"No")</f>
        <v>No</v>
      </c>
      <c r="AC1089" s="5" t="str">
        <f ca="1">IFERROR(__xludf.DUMMYFUNCTION("""COMPUTED_VALUE"""),"No")</f>
        <v>No</v>
      </c>
      <c r="AD1089" s="5" t="str">
        <f ca="1">IFERROR(__xludf.DUMMYFUNCTION("""COMPUTED_VALUE"""),"No")</f>
        <v>No</v>
      </c>
      <c r="AE1089" s="5" t="str">
        <f ca="1">IFERROR(__xludf.DUMMYFUNCTION("""COMPUTED_VALUE"""),"No")</f>
        <v>No</v>
      </c>
      <c r="AF1089" s="5" t="str">
        <f ca="1">IFERROR(__xludf.DUMMYFUNCTION("""COMPUTED_VALUE"""),"No")</f>
        <v>No</v>
      </c>
      <c r="AG1089" s="5" t="str">
        <f ca="1">IFERROR(__xludf.DUMMYFUNCTION("""COMPUTED_VALUE"""),"No")</f>
        <v>No</v>
      </c>
      <c r="AH1089" s="5"/>
    </row>
    <row r="1090" spans="1:34" ht="12.75">
      <c r="A1090" s="5" t="str">
        <f ca="1">IFERROR(__xludf.DUMMYFUNCTION("""COMPUTED_VALUE"""),"20090306NCWEF")</f>
        <v>20090306NCWEF</v>
      </c>
      <c r="B1090" s="8">
        <f ca="1">IFERROR(__xludf.DUMMYFUNCTION("""COMPUTED_VALUE"""),39878)</f>
        <v>39878</v>
      </c>
      <c r="C1090" s="5" t="str">
        <f ca="1">IFERROR(__xludf.DUMMYFUNCTION("""COMPUTED_VALUE"""),"Westover High School")</f>
        <v>Westover High School</v>
      </c>
      <c r="D1090" s="5">
        <f ca="1">IFERROR(__xludf.DUMMYFUNCTION("""COMPUTED_VALUE"""),0)</f>
        <v>0</v>
      </c>
      <c r="E1090" s="5">
        <f ca="1">IFERROR(__xludf.DUMMYFUNCTION("""COMPUTED_VALUE"""),1)</f>
        <v>1</v>
      </c>
      <c r="F1090" s="5">
        <f ca="1">IFERROR(__xludf.DUMMYFUNCTION("""COMPUTED_VALUE"""),1)</f>
        <v>1</v>
      </c>
      <c r="G1090" s="5">
        <f ca="1">IFERROR(__xludf.DUMMYFUNCTION("""COMPUTED_VALUE"""),0)</f>
        <v>0</v>
      </c>
      <c r="H1090" s="9" t="str">
        <f ca="1">IFERROR(__xludf.DUMMYFUNCTION("""COMPUTED_VALUE"""),"https://www.wral.com/news/local/story/4689449/")</f>
        <v>https://www.wral.com/news/local/story/4689449/</v>
      </c>
      <c r="I1090" s="5"/>
      <c r="J1090" s="5"/>
      <c r="K1090" s="5">
        <f ca="1">IFERROR(__xludf.DUMMYFUNCTION("""COMPUTED_VALUE"""),2)</f>
        <v>2</v>
      </c>
      <c r="L1090" s="5" t="str">
        <f ca="1">IFERROR(__xludf.DUMMYFUNCTION("""COMPUTED_VALUE"""),"Spring")</f>
        <v>Spring</v>
      </c>
      <c r="M1090" s="5" t="str">
        <f ca="1">IFERROR(__xludf.DUMMYFUNCTION("""COMPUTED_VALUE"""),"Fayetteville")</f>
        <v>Fayetteville</v>
      </c>
      <c r="N1090" s="5" t="str">
        <f ca="1">IFERROR(__xludf.DUMMYFUNCTION("""COMPUTED_VALUE"""),"NC")</f>
        <v>NC</v>
      </c>
      <c r="O1090" s="5" t="str">
        <f ca="1">IFERROR(__xludf.DUMMYFUNCTION("""COMPUTED_VALUE"""),"High")</f>
        <v>High</v>
      </c>
      <c r="P1090" s="5" t="str">
        <f ca="1">IFERROR(__xludf.DUMMYFUNCTION("""COMPUTED_VALUE"""),"Parking Lot")</f>
        <v>Parking Lot</v>
      </c>
      <c r="Q1090" s="5" t="str">
        <f ca="1">IFERROR(__xludf.DUMMYFUNCTION("""COMPUTED_VALUE"""),"Outside on School Property")</f>
        <v>Outside on School Property</v>
      </c>
      <c r="R1090" s="5" t="str">
        <f ca="1">IFERROR(__xludf.DUMMYFUNCTION("""COMPUTED_VALUE"""),"No")</f>
        <v>No</v>
      </c>
      <c r="S1090" s="5" t="str">
        <f ca="1">IFERROR(__xludf.DUMMYFUNCTION("""COMPUTED_VALUE"""),"School Event")</f>
        <v>School Event</v>
      </c>
      <c r="T1090" s="10">
        <f ca="1">IFERROR(__xludf.DUMMYFUNCTION("""COMPUTED_VALUE"""),0.916666666666666)</f>
        <v>0.91666666666666596</v>
      </c>
      <c r="U1090" s="5">
        <f ca="1">IFERROR(__xludf.DUMMYFUNCTION("""COMPUTED_VALUE"""),1)</f>
        <v>1</v>
      </c>
      <c r="V1090" s="5" t="str">
        <f ca="1">IFERROR(__xludf.DUMMYFUNCTION("""COMPUTED_VALUE"""),"Fight erupted into shots fired outside school - victim shot in foot")</f>
        <v>Fight erupted into shots fired outside school - victim shot in foot</v>
      </c>
      <c r="W1090"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X1090" s="5" t="str">
        <f ca="1">IFERROR(__xludf.DUMMYFUNCTION("""COMPUTED_VALUE"""),"Escalation of Dispute")</f>
        <v>Escalation of Dispute</v>
      </c>
      <c r="Y1090" s="5" t="str">
        <f ca="1">IFERROR(__xludf.DUMMYFUNCTION("""COMPUTED_VALUE"""),"Random Shooting")</f>
        <v>Random Shooting</v>
      </c>
      <c r="Z1090" s="5"/>
      <c r="AA1090" s="5"/>
      <c r="AB1090" s="5" t="str">
        <f ca="1">IFERROR(__xludf.DUMMYFUNCTION("""COMPUTED_VALUE"""),"No")</f>
        <v>No</v>
      </c>
      <c r="AC1090" s="5" t="str">
        <f ca="1">IFERROR(__xludf.DUMMYFUNCTION("""COMPUTED_VALUE"""),"No")</f>
        <v>No</v>
      </c>
      <c r="AD1090" s="5" t="str">
        <f ca="1">IFERROR(__xludf.DUMMYFUNCTION("""COMPUTED_VALUE"""),"No")</f>
        <v>No</v>
      </c>
      <c r="AE1090" s="5" t="str">
        <f ca="1">IFERROR(__xludf.DUMMYFUNCTION("""COMPUTED_VALUE"""),"No")</f>
        <v>No</v>
      </c>
      <c r="AF1090" s="5" t="str">
        <f ca="1">IFERROR(__xludf.DUMMYFUNCTION("""COMPUTED_VALUE"""),"No")</f>
        <v>No</v>
      </c>
      <c r="AG1090" s="5" t="str">
        <f ca="1">IFERROR(__xludf.DUMMYFUNCTION("""COMPUTED_VALUE"""),"No")</f>
        <v>No</v>
      </c>
      <c r="AH1090" s="5"/>
    </row>
    <row r="1091" spans="1:34" ht="12.75">
      <c r="A1091" s="5" t="str">
        <f ca="1">IFERROR(__xludf.DUMMYFUNCTION("""COMPUTED_VALUE"""),"20090302SDROS")</f>
        <v>20090302SDROS</v>
      </c>
      <c r="B1091" s="8">
        <f ca="1">IFERROR(__xludf.DUMMYFUNCTION("""COMPUTED_VALUE"""),39874)</f>
        <v>39874</v>
      </c>
      <c r="C1091" s="5" t="str">
        <f ca="1">IFERROR(__xludf.DUMMYFUNCTION("""COMPUTED_VALUE"""),"Robert Frost Elementary School")</f>
        <v>Robert Frost Elementary School</v>
      </c>
      <c r="D1091" s="5">
        <f ca="1">IFERROR(__xludf.DUMMYFUNCTION("""COMPUTED_VALUE"""),0)</f>
        <v>0</v>
      </c>
      <c r="E1091" s="5">
        <f ca="1">IFERROR(__xludf.DUMMYFUNCTION("""COMPUTED_VALUE"""),0)</f>
        <v>0</v>
      </c>
      <c r="F1091" s="5">
        <f ca="1">IFERROR(__xludf.DUMMYFUNCTION("""COMPUTED_VALUE"""),0)</f>
        <v>0</v>
      </c>
      <c r="G1091" s="5">
        <f ca="1">IFERROR(__xludf.DUMMYFUNCTION("""COMPUTED_VALUE"""),0)</f>
        <v>0</v>
      </c>
      <c r="H1091" s="9" t="str">
        <f ca="1">IFERROR(__xludf.DUMMYFUNCTION("""COMPUTED_VALUE"""),"https://www.newspapers.com/image/243883968/?terms=robert%2Bfrost%2Belementary%2BSCHOOL")</f>
        <v>https://www.newspapers.com/image/243883968/?terms=robert%2Bfrost%2Belementary%2BSCHOOL</v>
      </c>
      <c r="I1091" s="5"/>
      <c r="J1091" s="5"/>
      <c r="K1091" s="5">
        <f ca="1">IFERROR(__xludf.DUMMYFUNCTION("""COMPUTED_VALUE"""),2)</f>
        <v>2</v>
      </c>
      <c r="L1091" s="5" t="str">
        <f ca="1">IFERROR(__xludf.DUMMYFUNCTION("""COMPUTED_VALUE"""),"Spring")</f>
        <v>Spring</v>
      </c>
      <c r="M1091" s="5" t="str">
        <f ca="1">IFERROR(__xludf.DUMMYFUNCTION("""COMPUTED_VALUE"""),"Sioux Falls")</f>
        <v>Sioux Falls</v>
      </c>
      <c r="N1091" s="5" t="str">
        <f ca="1">IFERROR(__xludf.DUMMYFUNCTION("""COMPUTED_VALUE"""),"SD")</f>
        <v>SD</v>
      </c>
      <c r="O1091" s="5" t="str">
        <f ca="1">IFERROR(__xludf.DUMMYFUNCTION("""COMPUTED_VALUE"""),"Elementary")</f>
        <v>Elementary</v>
      </c>
      <c r="P1091" s="5" t="str">
        <f ca="1">IFERROR(__xludf.DUMMYFUNCTION("""COMPUTED_VALUE"""),"Beside Building")</f>
        <v>Beside Building</v>
      </c>
      <c r="Q1091" s="5" t="str">
        <f ca="1">IFERROR(__xludf.DUMMYFUNCTION("""COMPUTED_VALUE"""),"Outside on School Property")</f>
        <v>Outside on School Property</v>
      </c>
      <c r="R1091" s="5" t="str">
        <f ca="1">IFERROR(__xludf.DUMMYFUNCTION("""COMPUTED_VALUE"""),"Yes")</f>
        <v>Yes</v>
      </c>
      <c r="S1091" s="5" t="str">
        <f ca="1">IFERROR(__xludf.DUMMYFUNCTION("""COMPUTED_VALUE"""),"Dismissal")</f>
        <v>Dismissal</v>
      </c>
      <c r="T1091" s="10">
        <f ca="1">IFERROR(__xludf.DUMMYFUNCTION("""COMPUTED_VALUE"""),0.618055555555555)</f>
        <v>0.61805555555555503</v>
      </c>
      <c r="U1091" s="5">
        <f ca="1">IFERROR(__xludf.DUMMYFUNCTION("""COMPUTED_VALUE"""),1)</f>
        <v>1</v>
      </c>
      <c r="V1091" s="5" t="str">
        <f ca="1">IFERROR(__xludf.DUMMYFUNCTION("""COMPUTED_VALUE"""),"Shots fired during fight.")</f>
        <v>Shots fired during fight.</v>
      </c>
      <c r="W1091"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X1091" s="5" t="str">
        <f ca="1">IFERROR(__xludf.DUMMYFUNCTION("""COMPUTED_VALUE"""),"Escalation of Dispute")</f>
        <v>Escalation of Dispute</v>
      </c>
      <c r="Y1091" s="5" t="str">
        <f ca="1">IFERROR(__xludf.DUMMYFUNCTION("""COMPUTED_VALUE"""),"Victims Targeted")</f>
        <v>Victims Targeted</v>
      </c>
      <c r="Z1091" s="5" t="str">
        <f ca="1">IFERROR(__xludf.DUMMYFUNCTION("""COMPUTED_VALUE"""),"No")</f>
        <v>No</v>
      </c>
      <c r="AA1091" s="5"/>
      <c r="AB1091" s="5" t="str">
        <f ca="1">IFERROR(__xludf.DUMMYFUNCTION("""COMPUTED_VALUE"""),"No")</f>
        <v>No</v>
      </c>
      <c r="AC1091" s="5" t="str">
        <f ca="1">IFERROR(__xludf.DUMMYFUNCTION("""COMPUTED_VALUE"""),"No")</f>
        <v>No</v>
      </c>
      <c r="AD1091" s="5" t="str">
        <f ca="1">IFERROR(__xludf.DUMMYFUNCTION("""COMPUTED_VALUE"""),"No")</f>
        <v>No</v>
      </c>
      <c r="AE1091" s="5"/>
      <c r="AF1091" s="5" t="str">
        <f ca="1">IFERROR(__xludf.DUMMYFUNCTION("""COMPUTED_VALUE"""),"No")</f>
        <v>No</v>
      </c>
      <c r="AG1091" s="5" t="str">
        <f ca="1">IFERROR(__xludf.DUMMYFUNCTION("""COMPUTED_VALUE"""),"No")</f>
        <v>No</v>
      </c>
      <c r="AH1091" s="5"/>
    </row>
    <row r="1092" spans="1:34" ht="12.75">
      <c r="A1092" s="5" t="str">
        <f ca="1">IFERROR(__xludf.DUMMYFUNCTION("""COMPUTED_VALUE"""),"20090223CTBRN")</f>
        <v>20090223CTBRN</v>
      </c>
      <c r="B1092" s="8">
        <f ca="1">IFERROR(__xludf.DUMMYFUNCTION("""COMPUTED_VALUE"""),39867)</f>
        <v>39867</v>
      </c>
      <c r="C1092" s="5" t="str">
        <f ca="1">IFERROR(__xludf.DUMMYFUNCTION("""COMPUTED_VALUE"""),"Brien McMahon High School")</f>
        <v>Brien McMahon High School</v>
      </c>
      <c r="D1092" s="5">
        <f ca="1">IFERROR(__xludf.DUMMYFUNCTION("""COMPUTED_VALUE"""),0)</f>
        <v>0</v>
      </c>
      <c r="E1092" s="5">
        <f ca="1">IFERROR(__xludf.DUMMYFUNCTION("""COMPUTED_VALUE"""),0)</f>
        <v>0</v>
      </c>
      <c r="F1092" s="5">
        <f ca="1">IFERROR(__xludf.DUMMYFUNCTION("""COMPUTED_VALUE"""),0)</f>
        <v>0</v>
      </c>
      <c r="G1092" s="5">
        <f ca="1">IFERROR(__xludf.DUMMYFUNCTION("""COMPUTED_VALUE"""),0)</f>
        <v>0</v>
      </c>
      <c r="H1092"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I1092" s="5"/>
      <c r="J1092" s="5"/>
      <c r="K1092" s="5">
        <f ca="1">IFERROR(__xludf.DUMMYFUNCTION("""COMPUTED_VALUE"""),3)</f>
        <v>3</v>
      </c>
      <c r="L1092" s="5" t="str">
        <f ca="1">IFERROR(__xludf.DUMMYFUNCTION("""COMPUTED_VALUE"""),"Winter")</f>
        <v>Winter</v>
      </c>
      <c r="M1092" s="5" t="str">
        <f ca="1">IFERROR(__xludf.DUMMYFUNCTION("""COMPUTED_VALUE"""),"Norwalk")</f>
        <v>Norwalk</v>
      </c>
      <c r="N1092" s="5" t="str">
        <f ca="1">IFERROR(__xludf.DUMMYFUNCTION("""COMPUTED_VALUE"""),"CT")</f>
        <v>CT</v>
      </c>
      <c r="O1092" s="5" t="str">
        <f ca="1">IFERROR(__xludf.DUMMYFUNCTION("""COMPUTED_VALUE"""),"High")</f>
        <v>High</v>
      </c>
      <c r="P1092" s="5" t="str">
        <f ca="1">IFERROR(__xludf.DUMMYFUNCTION("""COMPUTED_VALUE"""),"Parking Lot")</f>
        <v>Parking Lot</v>
      </c>
      <c r="Q1092" s="5" t="str">
        <f ca="1">IFERROR(__xludf.DUMMYFUNCTION("""COMPUTED_VALUE"""),"Outside on School Property")</f>
        <v>Outside on School Property</v>
      </c>
      <c r="R1092" s="5" t="str">
        <f ca="1">IFERROR(__xludf.DUMMYFUNCTION("""COMPUTED_VALUE"""),"No")</f>
        <v>No</v>
      </c>
      <c r="S1092" s="5" t="str">
        <f ca="1">IFERROR(__xludf.DUMMYFUNCTION("""COMPUTED_VALUE"""),"Sport Event")</f>
        <v>Sport Event</v>
      </c>
      <c r="T1092" s="10">
        <f ca="1">IFERROR(__xludf.DUMMYFUNCTION("""COMPUTED_VALUE"""),0.854166666666666)</f>
        <v>0.85416666666666596</v>
      </c>
      <c r="U1092" s="5">
        <f ca="1">IFERROR(__xludf.DUMMYFUNCTION("""COMPUTED_VALUE"""),1)</f>
        <v>1</v>
      </c>
      <c r="V1092" s="5" t="str">
        <f ca="1">IFERROR(__xludf.DUMMYFUNCTION("""COMPUTED_VALUE"""),"Gang-related shooting after basketball game")</f>
        <v>Gang-related shooting after basketball game</v>
      </c>
      <c r="W1092"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X1092" s="5" t="str">
        <f ca="1">IFERROR(__xludf.DUMMYFUNCTION("""COMPUTED_VALUE"""),"Accidental")</f>
        <v>Accidental</v>
      </c>
      <c r="Y1092" s="5"/>
      <c r="Z1092" s="5"/>
      <c r="AA1092" s="5"/>
      <c r="AB1092" s="5" t="str">
        <f ca="1">IFERROR(__xludf.DUMMYFUNCTION("""COMPUTED_VALUE"""),"No")</f>
        <v>No</v>
      </c>
      <c r="AC1092" s="5" t="str">
        <f ca="1">IFERROR(__xludf.DUMMYFUNCTION("""COMPUTED_VALUE"""),"No")</f>
        <v>No</v>
      </c>
      <c r="AD1092" s="5" t="str">
        <f ca="1">IFERROR(__xludf.DUMMYFUNCTION("""COMPUTED_VALUE"""),"No")</f>
        <v>No</v>
      </c>
      <c r="AE1092" s="5"/>
      <c r="AF1092" s="5"/>
      <c r="AG1092" s="5" t="str">
        <f ca="1">IFERROR(__xludf.DUMMYFUNCTION("""COMPUTED_VALUE"""),"Yes")</f>
        <v>Yes</v>
      </c>
      <c r="AH1092" s="5"/>
    </row>
    <row r="1093" spans="1:34" ht="12.75">
      <c r="A1093" s="5" t="str">
        <f ca="1">IFERROR(__xludf.DUMMYFUNCTION("""COMPUTED_VALUE"""),"20090220CAJOH")</f>
        <v>20090220CAJOH</v>
      </c>
      <c r="B1093" s="8">
        <f ca="1">IFERROR(__xludf.DUMMYFUNCTION("""COMPUTED_VALUE"""),39864)</f>
        <v>39864</v>
      </c>
      <c r="C1093" s="5" t="str">
        <f ca="1">IFERROR(__xludf.DUMMYFUNCTION("""COMPUTED_VALUE"""),"John Muir Elementary School")</f>
        <v>John Muir Elementary School</v>
      </c>
      <c r="D1093" s="5">
        <f ca="1">IFERROR(__xludf.DUMMYFUNCTION("""COMPUTED_VALUE"""),0)</f>
        <v>0</v>
      </c>
      <c r="E1093" s="5">
        <f ca="1">IFERROR(__xludf.DUMMYFUNCTION("""COMPUTED_VALUE"""),0)</f>
        <v>0</v>
      </c>
      <c r="F1093" s="5">
        <f ca="1">IFERROR(__xludf.DUMMYFUNCTION("""COMPUTED_VALUE"""),0)</f>
        <v>0</v>
      </c>
      <c r="G1093" s="5">
        <f ca="1">IFERROR(__xludf.DUMMYFUNCTION("""COMPUTED_VALUE"""),0)</f>
        <v>0</v>
      </c>
      <c r="H1093" s="9" t="str">
        <f ca="1">IFERROR(__xludf.DUMMYFUNCTION("""COMPUTED_VALUE"""),"https://www.columbine-angels.com/School_Violence_2008-2009.htm")</f>
        <v>https://www.columbine-angels.com/School_Violence_2008-2009.htm</v>
      </c>
      <c r="I1093" s="5"/>
      <c r="J1093" s="5"/>
      <c r="K1093" s="5">
        <f ca="1">IFERROR(__xludf.DUMMYFUNCTION("""COMPUTED_VALUE"""),1)</f>
        <v>1</v>
      </c>
      <c r="L1093" s="5" t="str">
        <f ca="1">IFERROR(__xludf.DUMMYFUNCTION("""COMPUTED_VALUE"""),"Winter")</f>
        <v>Winter</v>
      </c>
      <c r="M1093" s="5" t="str">
        <f ca="1">IFERROR(__xludf.DUMMYFUNCTION("""COMPUTED_VALUE"""),"Hayward")</f>
        <v>Hayward</v>
      </c>
      <c r="N1093" s="5" t="str">
        <f ca="1">IFERROR(__xludf.DUMMYFUNCTION("""COMPUTED_VALUE"""),"CA")</f>
        <v>CA</v>
      </c>
      <c r="O1093" s="5" t="str">
        <f ca="1">IFERROR(__xludf.DUMMYFUNCTION("""COMPUTED_VALUE"""),"Elementary")</f>
        <v>Elementary</v>
      </c>
      <c r="P1093" s="5" t="str">
        <f ca="1">IFERROR(__xludf.DUMMYFUNCTION("""COMPUTED_VALUE"""),"Beside Building")</f>
        <v>Beside Building</v>
      </c>
      <c r="Q1093" s="5" t="str">
        <f ca="1">IFERROR(__xludf.DUMMYFUNCTION("""COMPUTED_VALUE"""),"Outside on School Property")</f>
        <v>Outside on School Property</v>
      </c>
      <c r="R1093" s="5" t="str">
        <f ca="1">IFERROR(__xludf.DUMMYFUNCTION("""COMPUTED_VALUE"""),"Yes")</f>
        <v>Yes</v>
      </c>
      <c r="S1093" s="5" t="str">
        <f ca="1">IFERROR(__xludf.DUMMYFUNCTION("""COMPUTED_VALUE"""),"Lunch")</f>
        <v>Lunch</v>
      </c>
      <c r="T1093" s="10">
        <f ca="1">IFERROR(__xludf.DUMMYFUNCTION("""COMPUTED_VALUE"""),0.5)</f>
        <v>0.5</v>
      </c>
      <c r="U1093" s="5">
        <f ca="1">IFERROR(__xludf.DUMMYFUNCTION("""COMPUTED_VALUE"""),1)</f>
        <v>1</v>
      </c>
      <c r="V1093" s="5" t="str">
        <f ca="1">IFERROR(__xludf.DUMMYFUNCTION("""COMPUTED_VALUE"""),"Shooter fired at adult male walking with child then fled")</f>
        <v>Shooter fired at adult male walking with child then fled</v>
      </c>
      <c r="W1093"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X1093" s="5" t="str">
        <f ca="1">IFERROR(__xludf.DUMMYFUNCTION("""COMPUTED_VALUE"""),"Drive-by Shooting")</f>
        <v>Drive-by Shooting</v>
      </c>
      <c r="Y1093" s="5" t="str">
        <f ca="1">IFERROR(__xludf.DUMMYFUNCTION("""COMPUTED_VALUE"""),"Victims Targeted")</f>
        <v>Victims Targeted</v>
      </c>
      <c r="Z1093" s="5" t="str">
        <f ca="1">IFERROR(__xludf.DUMMYFUNCTION("""COMPUTED_VALUE"""),"No")</f>
        <v>No</v>
      </c>
      <c r="AA1093" s="5"/>
      <c r="AB1093" s="5" t="str">
        <f ca="1">IFERROR(__xludf.DUMMYFUNCTION("""COMPUTED_VALUE"""),"No")</f>
        <v>No</v>
      </c>
      <c r="AC1093" s="5" t="str">
        <f ca="1">IFERROR(__xludf.DUMMYFUNCTION("""COMPUTED_VALUE"""),"No")</f>
        <v>No</v>
      </c>
      <c r="AD1093" s="5" t="str">
        <f ca="1">IFERROR(__xludf.DUMMYFUNCTION("""COMPUTED_VALUE"""),"No")</f>
        <v>No</v>
      </c>
      <c r="AE1093" s="5" t="str">
        <f ca="1">IFERROR(__xludf.DUMMYFUNCTION("""COMPUTED_VALUE"""),"No")</f>
        <v>No</v>
      </c>
      <c r="AF1093" s="5" t="str">
        <f ca="1">IFERROR(__xludf.DUMMYFUNCTION("""COMPUTED_VALUE"""),"No")</f>
        <v>No</v>
      </c>
      <c r="AG1093" s="5"/>
      <c r="AH1093" s="5"/>
    </row>
    <row r="1094" spans="1:34" ht="12.75">
      <c r="A1094" s="5" t="str">
        <f ca="1">IFERROR(__xludf.DUMMYFUNCTION("""COMPUTED_VALUE"""),"20090217MICED")</f>
        <v>20090217MICED</v>
      </c>
      <c r="B1094" s="8">
        <f ca="1">IFERROR(__xludf.DUMMYFUNCTION("""COMPUTED_VALUE"""),39861)</f>
        <v>39861</v>
      </c>
      <c r="C1094" s="5" t="str">
        <f ca="1">IFERROR(__xludf.DUMMYFUNCTION("""COMPUTED_VALUE"""),"Central High School")</f>
        <v>Central High School</v>
      </c>
      <c r="D1094" s="5">
        <f ca="1">IFERROR(__xludf.DUMMYFUNCTION("""COMPUTED_VALUE"""),0)</f>
        <v>0</v>
      </c>
      <c r="E1094" s="5">
        <f ca="1">IFERROR(__xludf.DUMMYFUNCTION("""COMPUTED_VALUE"""),1)</f>
        <v>1</v>
      </c>
      <c r="F1094" s="5">
        <f ca="1">IFERROR(__xludf.DUMMYFUNCTION("""COMPUTED_VALUE"""),1)</f>
        <v>1</v>
      </c>
      <c r="G1094" s="5">
        <f ca="1">IFERROR(__xludf.DUMMYFUNCTION("""COMPUTED_VALUE"""),0)</f>
        <v>0</v>
      </c>
      <c r="H1094" s="9" t="str">
        <f ca="1">IFERROR(__xludf.DUMMYFUNCTION("""COMPUTED_VALUE"""),"https://www.newspapers.com/image/362815804/?terms=central%2Bhigh%2Bschool%2Bshooting%2Bdetroit")</f>
        <v>https://www.newspapers.com/image/362815804/?terms=central%2Bhigh%2Bschool%2Bshooting%2Bdetroit</v>
      </c>
      <c r="I1094" s="5"/>
      <c r="J1094" s="5"/>
      <c r="K1094" s="5">
        <f ca="1">IFERROR(__xludf.DUMMYFUNCTION("""COMPUTED_VALUE"""),2)</f>
        <v>2</v>
      </c>
      <c r="L1094" s="5" t="str">
        <f ca="1">IFERROR(__xludf.DUMMYFUNCTION("""COMPUTED_VALUE"""),"Winter")</f>
        <v>Winter</v>
      </c>
      <c r="M1094" s="5" t="str">
        <f ca="1">IFERROR(__xludf.DUMMYFUNCTION("""COMPUTED_VALUE"""),"Detroit")</f>
        <v>Detroit</v>
      </c>
      <c r="N1094" s="5" t="str">
        <f ca="1">IFERROR(__xludf.DUMMYFUNCTION("""COMPUTED_VALUE"""),"MI")</f>
        <v>MI</v>
      </c>
      <c r="O1094" s="5" t="str">
        <f ca="1">IFERROR(__xludf.DUMMYFUNCTION("""COMPUTED_VALUE"""),"High")</f>
        <v>High</v>
      </c>
      <c r="P1094" s="5" t="str">
        <f ca="1">IFERROR(__xludf.DUMMYFUNCTION("""COMPUTED_VALUE"""),"Hallway")</f>
        <v>Hallway</v>
      </c>
      <c r="Q1094" s="5" t="str">
        <f ca="1">IFERROR(__xludf.DUMMYFUNCTION("""COMPUTED_VALUE"""),"Inside School Building")</f>
        <v>Inside School Building</v>
      </c>
      <c r="R1094" s="5" t="str">
        <f ca="1">IFERROR(__xludf.DUMMYFUNCTION("""COMPUTED_VALUE"""),"Yes")</f>
        <v>Yes</v>
      </c>
      <c r="S1094" s="5" t="str">
        <f ca="1">IFERROR(__xludf.DUMMYFUNCTION("""COMPUTED_VALUE"""),"Afternoon Classes")</f>
        <v>Afternoon Classes</v>
      </c>
      <c r="T1094" s="10">
        <f ca="1">IFERROR(__xludf.DUMMYFUNCTION("""COMPUTED_VALUE"""),0.597222222222222)</f>
        <v>0.59722222222222199</v>
      </c>
      <c r="U1094" s="5">
        <f ca="1">IFERROR(__xludf.DUMMYFUNCTION("""COMPUTED_VALUE"""),2)</f>
        <v>2</v>
      </c>
      <c r="V1094" s="5" t="str">
        <f ca="1">IFERROR(__xludf.DUMMYFUNCTION("""COMPUTED_VALUE"""),"Shots fired during argument in school hallway")</f>
        <v>Shots fired during argument in school hallway</v>
      </c>
      <c r="W1094"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X1094" s="5" t="str">
        <f ca="1">IFERROR(__xludf.DUMMYFUNCTION("""COMPUTED_VALUE"""),"Escalation of Dispute")</f>
        <v>Escalation of Dispute</v>
      </c>
      <c r="Y1094" s="5" t="str">
        <f ca="1">IFERROR(__xludf.DUMMYFUNCTION("""COMPUTED_VALUE"""),"Both")</f>
        <v>Both</v>
      </c>
      <c r="Z1094" s="5"/>
      <c r="AA1094" s="5"/>
      <c r="AB1094" s="5" t="str">
        <f ca="1">IFERROR(__xludf.DUMMYFUNCTION("""COMPUTED_VALUE"""),"No")</f>
        <v>No</v>
      </c>
      <c r="AC1094" s="5" t="str">
        <f ca="1">IFERROR(__xludf.DUMMYFUNCTION("""COMPUTED_VALUE"""),"No")</f>
        <v>No</v>
      </c>
      <c r="AD1094" s="5" t="str">
        <f ca="1">IFERROR(__xludf.DUMMYFUNCTION("""COMPUTED_VALUE"""),"No")</f>
        <v>No</v>
      </c>
      <c r="AE1094" s="5" t="str">
        <f ca="1">IFERROR(__xludf.DUMMYFUNCTION("""COMPUTED_VALUE"""),"No")</f>
        <v>No</v>
      </c>
      <c r="AF1094" s="5" t="str">
        <f ca="1">IFERROR(__xludf.DUMMYFUNCTION("""COMPUTED_VALUE"""),"No")</f>
        <v>No</v>
      </c>
      <c r="AG1094" s="5" t="str">
        <f ca="1">IFERROR(__xludf.DUMMYFUNCTION("""COMPUTED_VALUE"""),"No")</f>
        <v>No</v>
      </c>
      <c r="AH1094" s="5"/>
    </row>
    <row r="1095" spans="1:34" ht="12.75">
      <c r="A1095" s="5" t="str">
        <f ca="1">IFERROR(__xludf.DUMMYFUNCTION("""COMPUTED_VALUE"""),"20090211NCSCZ")</f>
        <v>20090211NCSCZ</v>
      </c>
      <c r="B1095" s="8">
        <f ca="1">IFERROR(__xludf.DUMMYFUNCTION("""COMPUTED_VALUE"""),39855)</f>
        <v>39855</v>
      </c>
      <c r="C1095" s="5" t="str">
        <f ca="1">IFERROR(__xludf.DUMMYFUNCTION("""COMPUTED_VALUE"""),"School bus")</f>
        <v>School bus</v>
      </c>
      <c r="D1095" s="5">
        <f ca="1">IFERROR(__xludf.DUMMYFUNCTION("""COMPUTED_VALUE"""),0)</f>
        <v>0</v>
      </c>
      <c r="E1095" s="5">
        <f ca="1">IFERROR(__xludf.DUMMYFUNCTION("""COMPUTED_VALUE"""),1)</f>
        <v>1</v>
      </c>
      <c r="F1095" s="5">
        <f ca="1">IFERROR(__xludf.DUMMYFUNCTION("""COMPUTED_VALUE"""),1)</f>
        <v>1</v>
      </c>
      <c r="G1095" s="5">
        <f ca="1">IFERROR(__xludf.DUMMYFUNCTION("""COMPUTED_VALUE"""),0)</f>
        <v>0</v>
      </c>
      <c r="H1095"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I1095" s="5"/>
      <c r="J1095" s="5"/>
      <c r="K1095" s="5">
        <f ca="1">IFERROR(__xludf.DUMMYFUNCTION("""COMPUTED_VALUE"""),3)</f>
        <v>3</v>
      </c>
      <c r="L1095" s="5" t="str">
        <f ca="1">IFERROR(__xludf.DUMMYFUNCTION("""COMPUTED_VALUE"""),"Winter")</f>
        <v>Winter</v>
      </c>
      <c r="M1095" s="5" t="str">
        <f ca="1">IFERROR(__xludf.DUMMYFUNCTION("""COMPUTED_VALUE"""),"Zebulon")</f>
        <v>Zebulon</v>
      </c>
      <c r="N1095" s="5" t="str">
        <f ca="1">IFERROR(__xludf.DUMMYFUNCTION("""COMPUTED_VALUE"""),"NC")</f>
        <v>NC</v>
      </c>
      <c r="O1095" s="5" t="str">
        <f ca="1">IFERROR(__xludf.DUMMYFUNCTION("""COMPUTED_VALUE"""),"Other")</f>
        <v>Other</v>
      </c>
      <c r="P1095" s="5" t="str">
        <f ca="1">IFERROR(__xludf.DUMMYFUNCTION("""COMPUTED_VALUE"""),"School Bus")</f>
        <v>School Bus</v>
      </c>
      <c r="Q1095" s="5" t="str">
        <f ca="1">IFERROR(__xludf.DUMMYFUNCTION("""COMPUTED_VALUE"""),"School Bus")</f>
        <v>School Bus</v>
      </c>
      <c r="R1095" s="5" t="str">
        <f ca="1">IFERROR(__xludf.DUMMYFUNCTION("""COMPUTED_VALUE"""),"Yes")</f>
        <v>Yes</v>
      </c>
      <c r="S1095" s="5" t="str">
        <f ca="1">IFERROR(__xludf.DUMMYFUNCTION("""COMPUTED_VALUE"""),"Before School")</f>
        <v>Before School</v>
      </c>
      <c r="T1095" s="5"/>
      <c r="U1095" s="5">
        <f ca="1">IFERROR(__xludf.DUMMYFUNCTION("""COMPUTED_VALUE"""),1)</f>
        <v>1</v>
      </c>
      <c r="V1095" s="5" t="str">
        <f ca="1">IFERROR(__xludf.DUMMYFUNCTION("""COMPUTED_VALUE"""),"Showing gun to friend on school bus")</f>
        <v>Showing gun to friend on school bus</v>
      </c>
      <c r="W1095"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X1095" s="5" t="str">
        <f ca="1">IFERROR(__xludf.DUMMYFUNCTION("""COMPUTED_VALUE"""),"Accidental")</f>
        <v>Accidental</v>
      </c>
      <c r="Y1095" s="5" t="str">
        <f ca="1">IFERROR(__xludf.DUMMYFUNCTION("""COMPUTED_VALUE"""),"Random Shooting")</f>
        <v>Random Shooting</v>
      </c>
      <c r="Z1095" s="5" t="str">
        <f ca="1">IFERROR(__xludf.DUMMYFUNCTION("""COMPUTED_VALUE"""),"No")</f>
        <v>No</v>
      </c>
      <c r="AA1095" s="5"/>
      <c r="AB1095" s="5" t="str">
        <f ca="1">IFERROR(__xludf.DUMMYFUNCTION("""COMPUTED_VALUE"""),"No")</f>
        <v>No</v>
      </c>
      <c r="AC1095" s="5" t="str">
        <f ca="1">IFERROR(__xludf.DUMMYFUNCTION("""COMPUTED_VALUE"""),"No")</f>
        <v>No</v>
      </c>
      <c r="AD1095" s="5" t="str">
        <f ca="1">IFERROR(__xludf.DUMMYFUNCTION("""COMPUTED_VALUE"""),"No")</f>
        <v>No</v>
      </c>
      <c r="AE1095" s="5" t="str">
        <f ca="1">IFERROR(__xludf.DUMMYFUNCTION("""COMPUTED_VALUE"""),"No")</f>
        <v>No</v>
      </c>
      <c r="AF1095" s="5" t="str">
        <f ca="1">IFERROR(__xludf.DUMMYFUNCTION("""COMPUTED_VALUE"""),"No")</f>
        <v>No</v>
      </c>
      <c r="AG1095" s="5" t="str">
        <f ca="1">IFERROR(__xludf.DUMMYFUNCTION("""COMPUTED_VALUE"""),"No")</f>
        <v>No</v>
      </c>
      <c r="AH1095" s="5"/>
    </row>
    <row r="1096" spans="1:34" ht="12.75">
      <c r="A1096" s="5" t="str">
        <f ca="1">IFERROR(__xludf.DUMMYFUNCTION("""COMPUTED_VALUE"""),"20090210CABAE")</f>
        <v>20090210CABAE</v>
      </c>
      <c r="B1096" s="8">
        <f ca="1">IFERROR(__xludf.DUMMYFUNCTION("""COMPUTED_VALUE"""),39854)</f>
        <v>39854</v>
      </c>
      <c r="C1096" s="5" t="str">
        <f ca="1">IFERROR(__xludf.DUMMYFUNCTION("""COMPUTED_VALUE"""),"Baker Elementary School")</f>
        <v>Baker Elementary School</v>
      </c>
      <c r="D1096" s="5">
        <f ca="1">IFERROR(__xludf.DUMMYFUNCTION("""COMPUTED_VALUE"""),0)</f>
        <v>0</v>
      </c>
      <c r="E1096" s="5">
        <f ca="1">IFERROR(__xludf.DUMMYFUNCTION("""COMPUTED_VALUE"""),0)</f>
        <v>0</v>
      </c>
      <c r="F1096" s="5">
        <f ca="1">IFERROR(__xludf.DUMMYFUNCTION("""COMPUTED_VALUE"""),0)</f>
        <v>0</v>
      </c>
      <c r="G1096" s="5">
        <f ca="1">IFERROR(__xludf.DUMMYFUNCTION("""COMPUTED_VALUE"""),0)</f>
        <v>0</v>
      </c>
      <c r="H1096" s="9" t="str">
        <f ca="1">IFERROR(__xludf.DUMMYFUNCTION("""COMPUTED_VALUE"""),"https://abc7.com/archive/6651899/")</f>
        <v>https://abc7.com/archive/6651899/</v>
      </c>
      <c r="I1096" s="5"/>
      <c r="J1096" s="5"/>
      <c r="K1096" s="5">
        <f ca="1">IFERROR(__xludf.DUMMYFUNCTION("""COMPUTED_VALUE"""),2)</f>
        <v>2</v>
      </c>
      <c r="L1096" s="5" t="str">
        <f ca="1">IFERROR(__xludf.DUMMYFUNCTION("""COMPUTED_VALUE"""),"Winter")</f>
        <v>Winter</v>
      </c>
      <c r="M1096" s="5" t="str">
        <f ca="1">IFERROR(__xludf.DUMMYFUNCTION("""COMPUTED_VALUE"""),"El Monte")</f>
        <v>El Monte</v>
      </c>
      <c r="N1096" s="5" t="str">
        <f ca="1">IFERROR(__xludf.DUMMYFUNCTION("""COMPUTED_VALUE"""),"CA")</f>
        <v>CA</v>
      </c>
      <c r="O1096" s="5" t="str">
        <f ca="1">IFERROR(__xludf.DUMMYFUNCTION("""COMPUTED_VALUE"""),"Elementary")</f>
        <v>Elementary</v>
      </c>
      <c r="P1096" s="5" t="str">
        <f ca="1">IFERROR(__xludf.DUMMYFUNCTION("""COMPUTED_VALUE"""),"Beside Building")</f>
        <v>Beside Building</v>
      </c>
      <c r="Q1096" s="5" t="str">
        <f ca="1">IFERROR(__xludf.DUMMYFUNCTION("""COMPUTED_VALUE"""),"Outside on School Property")</f>
        <v>Outside on School Property</v>
      </c>
      <c r="R1096" s="5" t="str">
        <f ca="1">IFERROR(__xludf.DUMMYFUNCTION("""COMPUTED_VALUE"""),"Yes")</f>
        <v>Yes</v>
      </c>
      <c r="S1096" s="5" t="str">
        <f ca="1">IFERROR(__xludf.DUMMYFUNCTION("""COMPUTED_VALUE"""),"Dismissal")</f>
        <v>Dismissal</v>
      </c>
      <c r="T1096" s="10">
        <f ca="1">IFERROR(__xludf.DUMMYFUNCTION("""COMPUTED_VALUE"""),0.583333333333333)</f>
        <v>0.58333333333333304</v>
      </c>
      <c r="U1096" s="5">
        <f ca="1">IFERROR(__xludf.DUMMYFUNCTION("""COMPUTED_VALUE"""),1)</f>
        <v>1</v>
      </c>
      <c r="V1096" s="5" t="str">
        <f ca="1">IFERROR(__xludf.DUMMYFUNCTION("""COMPUTED_VALUE"""),"Student fired gun into ground outside of school")</f>
        <v>Student fired gun into ground outside of school</v>
      </c>
      <c r="W1096"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X1096" s="5" t="str">
        <f ca="1">IFERROR(__xludf.DUMMYFUNCTION("""COMPUTED_VALUE"""),"Accidental")</f>
        <v>Accidental</v>
      </c>
      <c r="Y1096" s="5" t="str">
        <f ca="1">IFERROR(__xludf.DUMMYFUNCTION("""COMPUTED_VALUE"""),"NA")</f>
        <v>NA</v>
      </c>
      <c r="Z1096" s="5" t="str">
        <f ca="1">IFERROR(__xludf.DUMMYFUNCTION("""COMPUTED_VALUE"""),"No")</f>
        <v>No</v>
      </c>
      <c r="AA1096" s="5"/>
      <c r="AB1096" s="5" t="str">
        <f ca="1">IFERROR(__xludf.DUMMYFUNCTION("""COMPUTED_VALUE"""),"No")</f>
        <v>No</v>
      </c>
      <c r="AC1096" s="5" t="str">
        <f ca="1">IFERROR(__xludf.DUMMYFUNCTION("""COMPUTED_VALUE"""),"No")</f>
        <v>No</v>
      </c>
      <c r="AD1096" s="5" t="str">
        <f ca="1">IFERROR(__xludf.DUMMYFUNCTION("""COMPUTED_VALUE"""),"No")</f>
        <v>No</v>
      </c>
      <c r="AE1096" s="5" t="str">
        <f ca="1">IFERROR(__xludf.DUMMYFUNCTION("""COMPUTED_VALUE"""),"No")</f>
        <v>No</v>
      </c>
      <c r="AF1096" s="5" t="str">
        <f ca="1">IFERROR(__xludf.DUMMYFUNCTION("""COMPUTED_VALUE"""),"No")</f>
        <v>No</v>
      </c>
      <c r="AG1096" s="5" t="str">
        <f ca="1">IFERROR(__xludf.DUMMYFUNCTION("""COMPUTED_VALUE"""),"No")</f>
        <v>No</v>
      </c>
      <c r="AH1096" s="5"/>
    </row>
    <row r="1097" spans="1:34" ht="12.75">
      <c r="A1097" s="5" t="str">
        <f ca="1">IFERROR(__xludf.DUMMYFUNCTION("""COMPUTED_VALUE"""),"20090127NCCLC")</f>
        <v>20090127NCCLC</v>
      </c>
      <c r="B1097" s="8">
        <f ca="1">IFERROR(__xludf.DUMMYFUNCTION("""COMPUTED_VALUE"""),39840)</f>
        <v>39840</v>
      </c>
      <c r="C1097" s="5" t="str">
        <f ca="1">IFERROR(__xludf.DUMMYFUNCTION("""COMPUTED_VALUE"""),"Clayton High School")</f>
        <v>Clayton High School</v>
      </c>
      <c r="D1097" s="5">
        <f ca="1">IFERROR(__xludf.DUMMYFUNCTION("""COMPUTED_VALUE"""),0)</f>
        <v>0</v>
      </c>
      <c r="E1097" s="5">
        <f ca="1">IFERROR(__xludf.DUMMYFUNCTION("""COMPUTED_VALUE"""),0)</f>
        <v>0</v>
      </c>
      <c r="F1097" s="5">
        <f ca="1">IFERROR(__xludf.DUMMYFUNCTION("""COMPUTED_VALUE"""),0)</f>
        <v>0</v>
      </c>
      <c r="G1097" s="5">
        <f ca="1">IFERROR(__xludf.DUMMYFUNCTION("""COMPUTED_VALUE"""),0)</f>
        <v>0</v>
      </c>
      <c r="H1097"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I1097" s="5"/>
      <c r="J1097" s="5"/>
      <c r="K1097" s="5">
        <f ca="1">IFERROR(__xludf.DUMMYFUNCTION("""COMPUTED_VALUE"""),3)</f>
        <v>3</v>
      </c>
      <c r="L1097" s="5" t="str">
        <f ca="1">IFERROR(__xludf.DUMMYFUNCTION("""COMPUTED_VALUE"""),"Winter")</f>
        <v>Winter</v>
      </c>
      <c r="M1097" s="5" t="str">
        <f ca="1">IFERROR(__xludf.DUMMYFUNCTION("""COMPUTED_VALUE"""),"Clayton")</f>
        <v>Clayton</v>
      </c>
      <c r="N1097" s="5" t="str">
        <f ca="1">IFERROR(__xludf.DUMMYFUNCTION("""COMPUTED_VALUE"""),"NC")</f>
        <v>NC</v>
      </c>
      <c r="O1097" s="5" t="str">
        <f ca="1">IFERROR(__xludf.DUMMYFUNCTION("""COMPUTED_VALUE"""),"High")</f>
        <v>High</v>
      </c>
      <c r="P1097" s="5" t="str">
        <f ca="1">IFERROR(__xludf.DUMMYFUNCTION("""COMPUTED_VALUE"""),"Beside Building")</f>
        <v>Beside Building</v>
      </c>
      <c r="Q1097" s="5" t="str">
        <f ca="1">IFERROR(__xludf.DUMMYFUNCTION("""COMPUTED_VALUE"""),"Outside on School Property")</f>
        <v>Outside on School Property</v>
      </c>
      <c r="R1097" s="5" t="str">
        <f ca="1">IFERROR(__xludf.DUMMYFUNCTION("""COMPUTED_VALUE"""),"No")</f>
        <v>No</v>
      </c>
      <c r="S1097" s="5" t="str">
        <f ca="1">IFERROR(__xludf.DUMMYFUNCTION("""COMPUTED_VALUE"""),"Sport Event")</f>
        <v>Sport Event</v>
      </c>
      <c r="T1097" s="5"/>
      <c r="U1097" s="5">
        <f ca="1">IFERROR(__xludf.DUMMYFUNCTION("""COMPUTED_VALUE"""),1)</f>
        <v>1</v>
      </c>
      <c r="V1097" s="5" t="str">
        <f ca="1">IFERROR(__xludf.DUMMYFUNCTION("""COMPUTED_VALUE"""),"Shooting at rival gang members during basketball game")</f>
        <v>Shooting at rival gang members during basketball game</v>
      </c>
      <c r="W1097"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X1097" s="5" t="str">
        <f ca="1">IFERROR(__xludf.DUMMYFUNCTION("""COMPUTED_VALUE"""),"Escalation of Dispute")</f>
        <v>Escalation of Dispute</v>
      </c>
      <c r="Y1097" s="5" t="str">
        <f ca="1">IFERROR(__xludf.DUMMYFUNCTION("""COMPUTED_VALUE"""),"NA")</f>
        <v>NA</v>
      </c>
      <c r="Z1097" s="5" t="str">
        <f ca="1">IFERROR(__xludf.DUMMYFUNCTION("""COMPUTED_VALUE"""),"Yes")</f>
        <v>Yes</v>
      </c>
      <c r="AA1097" s="5" t="str">
        <f ca="1">IFERROR(__xludf.DUMMYFUNCTION("""COMPUTED_VALUE"""),"Dashawn Ray (16) - pled guilty to be an accessory and order to finish high school.")</f>
        <v>Dashawn Ray (16) - pled guilty to be an accessory and order to finish high school.</v>
      </c>
      <c r="AB1097" s="5" t="str">
        <f ca="1">IFERROR(__xludf.DUMMYFUNCTION("""COMPUTED_VALUE"""),"No")</f>
        <v>No</v>
      </c>
      <c r="AC1097" s="5" t="str">
        <f ca="1">IFERROR(__xludf.DUMMYFUNCTION("""COMPUTED_VALUE"""),"No")</f>
        <v>No</v>
      </c>
      <c r="AD1097" s="5" t="str">
        <f ca="1">IFERROR(__xludf.DUMMYFUNCTION("""COMPUTED_VALUE"""),"No")</f>
        <v>No</v>
      </c>
      <c r="AE1097" s="5" t="str">
        <f ca="1">IFERROR(__xludf.DUMMYFUNCTION("""COMPUTED_VALUE"""),"No")</f>
        <v>No</v>
      </c>
      <c r="AF1097" s="5" t="str">
        <f ca="1">IFERROR(__xludf.DUMMYFUNCTION("""COMPUTED_VALUE"""),"No")</f>
        <v>No</v>
      </c>
      <c r="AG1097" s="5" t="str">
        <f ca="1">IFERROR(__xludf.DUMMYFUNCTION("""COMPUTED_VALUE"""),"Yes")</f>
        <v>Yes</v>
      </c>
      <c r="AH1097" s="5"/>
    </row>
    <row r="1098" spans="1:34" ht="12.75">
      <c r="A1098" s="5" t="str">
        <f ca="1">IFERROR(__xludf.DUMMYFUNCTION("""COMPUTED_VALUE"""),"20090123ILCAC")</f>
        <v>20090123ILCAC</v>
      </c>
      <c r="B1098" s="8">
        <f ca="1">IFERROR(__xludf.DUMMYFUNCTION("""COMPUTED_VALUE"""),39836)</f>
        <v>39836</v>
      </c>
      <c r="C1098" s="5" t="str">
        <f ca="1">IFERROR(__xludf.DUMMYFUNCTION("""COMPUTED_VALUE"""),"Cahokia High School")</f>
        <v>Cahokia High School</v>
      </c>
      <c r="D1098" s="5">
        <f ca="1">IFERROR(__xludf.DUMMYFUNCTION("""COMPUTED_VALUE"""),1)</f>
        <v>1</v>
      </c>
      <c r="E1098" s="5">
        <f ca="1">IFERROR(__xludf.DUMMYFUNCTION("""COMPUTED_VALUE"""),0)</f>
        <v>0</v>
      </c>
      <c r="F1098" s="5">
        <f ca="1">IFERROR(__xludf.DUMMYFUNCTION("""COMPUTED_VALUE"""),1)</f>
        <v>1</v>
      </c>
      <c r="G1098" s="5">
        <f ca="1">IFERROR(__xludf.DUMMYFUNCTION("""COMPUTED_VALUE"""),0)</f>
        <v>0</v>
      </c>
      <c r="H1098"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I1098" s="5"/>
      <c r="J1098" s="5"/>
      <c r="K1098" s="5">
        <f ca="1">IFERROR(__xludf.DUMMYFUNCTION("""COMPUTED_VALUE"""),3)</f>
        <v>3</v>
      </c>
      <c r="L1098" s="5" t="str">
        <f ca="1">IFERROR(__xludf.DUMMYFUNCTION("""COMPUTED_VALUE"""),"Winter")</f>
        <v>Winter</v>
      </c>
      <c r="M1098" s="5" t="str">
        <f ca="1">IFERROR(__xludf.DUMMYFUNCTION("""COMPUTED_VALUE"""),"Cahokia")</f>
        <v>Cahokia</v>
      </c>
      <c r="N1098" s="5" t="str">
        <f ca="1">IFERROR(__xludf.DUMMYFUNCTION("""COMPUTED_VALUE"""),"IL")</f>
        <v>IL</v>
      </c>
      <c r="O1098" s="5" t="str">
        <f ca="1">IFERROR(__xludf.DUMMYFUNCTION("""COMPUTED_VALUE"""),"High")</f>
        <v>High</v>
      </c>
      <c r="P1098" s="5" t="str">
        <f ca="1">IFERROR(__xludf.DUMMYFUNCTION("""COMPUTED_VALUE"""),"Parking Lot")</f>
        <v>Parking Lot</v>
      </c>
      <c r="Q1098" s="5" t="str">
        <f ca="1">IFERROR(__xludf.DUMMYFUNCTION("""COMPUTED_VALUE"""),"Outside on School Property")</f>
        <v>Outside on School Property</v>
      </c>
      <c r="R1098" s="5" t="str">
        <f ca="1">IFERROR(__xludf.DUMMYFUNCTION("""COMPUTED_VALUE"""),"No")</f>
        <v>No</v>
      </c>
      <c r="S1098" s="5" t="str">
        <f ca="1">IFERROR(__xludf.DUMMYFUNCTION("""COMPUTED_VALUE"""),"Sport Event")</f>
        <v>Sport Event</v>
      </c>
      <c r="T1098" s="5"/>
      <c r="U1098" s="5">
        <f ca="1">IFERROR(__xludf.DUMMYFUNCTION("""COMPUTED_VALUE"""),1)</f>
        <v>1</v>
      </c>
      <c r="V1098" s="5" t="str">
        <f ca="1">IFERROR(__xludf.DUMMYFUNCTION("""COMPUTED_VALUE"""),"Gang related shooting outside of school")</f>
        <v>Gang related shooting outside of school</v>
      </c>
      <c r="W1098"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X1098" s="5" t="str">
        <f ca="1">IFERROR(__xludf.DUMMYFUNCTION("""COMPUTED_VALUE"""),"Escalation of Dispute")</f>
        <v>Escalation of Dispute</v>
      </c>
      <c r="Y1098" s="5" t="str">
        <f ca="1">IFERROR(__xludf.DUMMYFUNCTION("""COMPUTED_VALUE"""),"Victims Targeted")</f>
        <v>Victims Targeted</v>
      </c>
      <c r="Z1098" s="5" t="str">
        <f ca="1">IFERROR(__xludf.DUMMYFUNCTION("""COMPUTED_VALUE"""),"No")</f>
        <v>No</v>
      </c>
      <c r="AA1098" s="5"/>
      <c r="AB1098" s="5" t="str">
        <f ca="1">IFERROR(__xludf.DUMMYFUNCTION("""COMPUTED_VALUE"""),"No")</f>
        <v>No</v>
      </c>
      <c r="AC1098" s="5" t="str">
        <f ca="1">IFERROR(__xludf.DUMMYFUNCTION("""COMPUTED_VALUE"""),"No")</f>
        <v>No</v>
      </c>
      <c r="AD1098" s="5" t="str">
        <f ca="1">IFERROR(__xludf.DUMMYFUNCTION("""COMPUTED_VALUE"""),"No")</f>
        <v>No</v>
      </c>
      <c r="AE1098" s="5" t="str">
        <f ca="1">IFERROR(__xludf.DUMMYFUNCTION("""COMPUTED_VALUE"""),"No")</f>
        <v>No</v>
      </c>
      <c r="AF1098" s="5" t="str">
        <f ca="1">IFERROR(__xludf.DUMMYFUNCTION("""COMPUTED_VALUE"""),"No")</f>
        <v>No</v>
      </c>
      <c r="AG1098" s="5" t="str">
        <f ca="1">IFERROR(__xludf.DUMMYFUNCTION("""COMPUTED_VALUE"""),"No")</f>
        <v>No</v>
      </c>
      <c r="AH1098" s="5"/>
    </row>
    <row r="1099" spans="1:34" ht="12.75">
      <c r="A1099" s="5" t="str">
        <f ca="1">IFERROR(__xludf.DUMMYFUNCTION("""COMPUTED_VALUE"""),"20090120PAEAE")</f>
        <v>20090120PAEAE</v>
      </c>
      <c r="B1099" s="8">
        <f ca="1">IFERROR(__xludf.DUMMYFUNCTION("""COMPUTED_VALUE"""),39833)</f>
        <v>39833</v>
      </c>
      <c r="C1099" s="5" t="str">
        <f ca="1">IFERROR(__xludf.DUMMYFUNCTION("""COMPUTED_VALUE"""),"East High School")</f>
        <v>East High School</v>
      </c>
      <c r="D1099" s="5">
        <f ca="1">IFERROR(__xludf.DUMMYFUNCTION("""COMPUTED_VALUE"""),0)</f>
        <v>0</v>
      </c>
      <c r="E1099" s="5">
        <f ca="1">IFERROR(__xludf.DUMMYFUNCTION("""COMPUTED_VALUE"""),1)</f>
        <v>1</v>
      </c>
      <c r="F1099" s="5">
        <f ca="1">IFERROR(__xludf.DUMMYFUNCTION("""COMPUTED_VALUE"""),1)</f>
        <v>1</v>
      </c>
      <c r="G1099" s="5">
        <f ca="1">IFERROR(__xludf.DUMMYFUNCTION("""COMPUTED_VALUE"""),0)</f>
        <v>0</v>
      </c>
      <c r="H1099" s="9" t="str">
        <f ca="1">IFERROR(__xludf.DUMMYFUNCTION("""COMPUTED_VALUE"""),"https://www.columbine-angels.com/School_Violence_2008-2009.htm")</f>
        <v>https://www.columbine-angels.com/School_Violence_2008-2009.htm</v>
      </c>
      <c r="I1099" s="5"/>
      <c r="J1099" s="5"/>
      <c r="K1099" s="5">
        <f ca="1">IFERROR(__xludf.DUMMYFUNCTION("""COMPUTED_VALUE"""),1)</f>
        <v>1</v>
      </c>
      <c r="L1099" s="5" t="str">
        <f ca="1">IFERROR(__xludf.DUMMYFUNCTION("""COMPUTED_VALUE"""),"Winter")</f>
        <v>Winter</v>
      </c>
      <c r="M1099" s="5" t="str">
        <f ca="1">IFERROR(__xludf.DUMMYFUNCTION("""COMPUTED_VALUE"""),"Erie")</f>
        <v>Erie</v>
      </c>
      <c r="N1099" s="5" t="str">
        <f ca="1">IFERROR(__xludf.DUMMYFUNCTION("""COMPUTED_VALUE"""),"PA")</f>
        <v>PA</v>
      </c>
      <c r="O1099" s="5" t="str">
        <f ca="1">IFERROR(__xludf.DUMMYFUNCTION("""COMPUTED_VALUE"""),"High")</f>
        <v>High</v>
      </c>
      <c r="P1099" s="5" t="str">
        <f ca="1">IFERROR(__xludf.DUMMYFUNCTION("""COMPUTED_VALUE"""),"Gym")</f>
        <v>Gym</v>
      </c>
      <c r="Q1099" s="5" t="str">
        <f ca="1">IFERROR(__xludf.DUMMYFUNCTION("""COMPUTED_VALUE"""),"Inside School Building")</f>
        <v>Inside School Building</v>
      </c>
      <c r="R1099" s="5" t="str">
        <f ca="1">IFERROR(__xludf.DUMMYFUNCTION("""COMPUTED_VALUE"""),"No")</f>
        <v>No</v>
      </c>
      <c r="S1099" s="5" t="str">
        <f ca="1">IFERROR(__xludf.DUMMYFUNCTION("""COMPUTED_VALUE"""),"Sport Event")</f>
        <v>Sport Event</v>
      </c>
      <c r="T1099" s="10">
        <f ca="1">IFERROR(__xludf.DUMMYFUNCTION("""COMPUTED_VALUE"""),0.848611111111111)</f>
        <v>0.84861111111111098</v>
      </c>
      <c r="U1099" s="5">
        <f ca="1">IFERROR(__xludf.DUMMYFUNCTION("""COMPUTED_VALUE"""),1)</f>
        <v>1</v>
      </c>
      <c r="V1099" s="5" t="str">
        <f ca="1">IFERROR(__xludf.DUMMYFUNCTION("""COMPUTED_VALUE"""),"Shot fired in gym during basketball game, bystander struck")</f>
        <v>Shot fired in gym during basketball game, bystander struck</v>
      </c>
      <c r="W1099"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X1099" s="5" t="str">
        <f ca="1">IFERROR(__xludf.DUMMYFUNCTION("""COMPUTED_VALUE"""),"Escalation of Dispute")</f>
        <v>Escalation of Dispute</v>
      </c>
      <c r="Y1099" s="5" t="str">
        <f ca="1">IFERROR(__xludf.DUMMYFUNCTION("""COMPUTED_VALUE"""),"Both")</f>
        <v>Both</v>
      </c>
      <c r="Z1099" s="5" t="str">
        <f ca="1">IFERROR(__xludf.DUMMYFUNCTION("""COMPUTED_VALUE"""),"Yes")</f>
        <v>Yes</v>
      </c>
      <c r="AA1099" s="5" t="str">
        <f ca="1">IFERROR(__xludf.DUMMYFUNCTION("""COMPUTED_VALUE"""),"Three teens fled")</f>
        <v>Three teens fled</v>
      </c>
      <c r="AB1099" s="5" t="str">
        <f ca="1">IFERROR(__xludf.DUMMYFUNCTION("""COMPUTED_VALUE"""),"No")</f>
        <v>No</v>
      </c>
      <c r="AC1099" s="5" t="str">
        <f ca="1">IFERROR(__xludf.DUMMYFUNCTION("""COMPUTED_VALUE"""),"No")</f>
        <v>No</v>
      </c>
      <c r="AD1099" s="5" t="str">
        <f ca="1">IFERROR(__xludf.DUMMYFUNCTION("""COMPUTED_VALUE"""),"No")</f>
        <v>No</v>
      </c>
      <c r="AE1099" s="5" t="str">
        <f ca="1">IFERROR(__xludf.DUMMYFUNCTION("""COMPUTED_VALUE"""),"No")</f>
        <v>No</v>
      </c>
      <c r="AF1099" s="5" t="str">
        <f ca="1">IFERROR(__xludf.DUMMYFUNCTION("""COMPUTED_VALUE"""),"No")</f>
        <v>No</v>
      </c>
      <c r="AG1099" s="5" t="str">
        <f ca="1">IFERROR(__xludf.DUMMYFUNCTION("""COMPUTED_VALUE"""),"No")</f>
        <v>No</v>
      </c>
      <c r="AH1099" s="5"/>
    </row>
    <row r="1100" spans="1:34" ht="12.75">
      <c r="A1100" s="5" t="str">
        <f ca="1">IFERROR(__xludf.DUMMYFUNCTION("""COMPUTED_VALUE"""),"20090120MIBEM")</f>
        <v>20090120MIBEM</v>
      </c>
      <c r="B1100" s="8">
        <f ca="1">IFERROR(__xludf.DUMMYFUNCTION("""COMPUTED_VALUE"""),39833)</f>
        <v>39833</v>
      </c>
      <c r="C1100" s="5" t="str">
        <f ca="1">IFERROR(__xludf.DUMMYFUNCTION("""COMPUTED_VALUE"""),"Beecher High School")</f>
        <v>Beecher High School</v>
      </c>
      <c r="D1100" s="5">
        <f ca="1">IFERROR(__xludf.DUMMYFUNCTION("""COMPUTED_VALUE"""),0)</f>
        <v>0</v>
      </c>
      <c r="E1100" s="5">
        <f ca="1">IFERROR(__xludf.DUMMYFUNCTION("""COMPUTED_VALUE"""),4)</f>
        <v>4</v>
      </c>
      <c r="F1100" s="5">
        <f ca="1">IFERROR(__xludf.DUMMYFUNCTION("""COMPUTED_VALUE"""),4)</f>
        <v>4</v>
      </c>
      <c r="G1100" s="5">
        <f ca="1">IFERROR(__xludf.DUMMYFUNCTION("""COMPUTED_VALUE"""),0)</f>
        <v>0</v>
      </c>
      <c r="H1100" s="9" t="str">
        <f ca="1">IFERROR(__xludf.DUMMYFUNCTION("""COMPUTED_VALUE"""),"https://www.mlive.com/news/flint/index.ssf/2009/01/four_shot_outside_beecher_high.html")</f>
        <v>https://www.mlive.com/news/flint/index.ssf/2009/01/four_shot_outside_beecher_high.html</v>
      </c>
      <c r="I1100" s="5"/>
      <c r="J1100" s="5"/>
      <c r="K1100" s="5">
        <f ca="1">IFERROR(__xludf.DUMMYFUNCTION("""COMPUTED_VALUE"""),2)</f>
        <v>2</v>
      </c>
      <c r="L1100" s="5" t="str">
        <f ca="1">IFERROR(__xludf.DUMMYFUNCTION("""COMPUTED_VALUE"""),"Winter")</f>
        <v>Winter</v>
      </c>
      <c r="M1100" s="5" t="str">
        <f ca="1">IFERROR(__xludf.DUMMYFUNCTION("""COMPUTED_VALUE"""),"Mount Morris Township")</f>
        <v>Mount Morris Township</v>
      </c>
      <c r="N1100" s="5" t="str">
        <f ca="1">IFERROR(__xludf.DUMMYFUNCTION("""COMPUTED_VALUE"""),"MI")</f>
        <v>MI</v>
      </c>
      <c r="O1100" s="5" t="str">
        <f ca="1">IFERROR(__xludf.DUMMYFUNCTION("""COMPUTED_VALUE"""),"High")</f>
        <v>High</v>
      </c>
      <c r="P1100" s="5" t="str">
        <f ca="1">IFERROR(__xludf.DUMMYFUNCTION("""COMPUTED_VALUE"""),"Basketball Court")</f>
        <v>Basketball Court</v>
      </c>
      <c r="Q1100" s="5" t="str">
        <f ca="1">IFERROR(__xludf.DUMMYFUNCTION("""COMPUTED_VALUE"""),"Outside on School Property")</f>
        <v>Outside on School Property</v>
      </c>
      <c r="R1100" s="5" t="str">
        <f ca="1">IFERROR(__xludf.DUMMYFUNCTION("""COMPUTED_VALUE"""),"No")</f>
        <v>No</v>
      </c>
      <c r="S1100" s="5" t="str">
        <f ca="1">IFERROR(__xludf.DUMMYFUNCTION("""COMPUTED_VALUE"""),"Sport Event")</f>
        <v>Sport Event</v>
      </c>
      <c r="T1100" s="5"/>
      <c r="U1100" s="5">
        <f ca="1">IFERROR(__xludf.DUMMYFUNCTION("""COMPUTED_VALUE"""),1)</f>
        <v>1</v>
      </c>
      <c r="V1100" s="5" t="str">
        <f ca="1">IFERROR(__xludf.DUMMYFUNCTION("""COMPUTED_VALUE"""),"Fight during basketball game")</f>
        <v>Fight during basketball game</v>
      </c>
      <c r="W1100"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X1100" s="5" t="str">
        <f ca="1">IFERROR(__xludf.DUMMYFUNCTION("""COMPUTED_VALUE"""),"Escalation of Dispute")</f>
        <v>Escalation of Dispute</v>
      </c>
      <c r="Y1100" s="5"/>
      <c r="Z1100" s="5" t="str">
        <f ca="1">IFERROR(__xludf.DUMMYFUNCTION("""COMPUTED_VALUE"""),"Yes")</f>
        <v>Yes</v>
      </c>
      <c r="AA1100" s="5" t="str">
        <f ca="1">IFERROR(__xludf.DUMMYFUNCTION("""COMPUTED_VALUE"""),"William J. Dixon, age 17, was also charged and considered accomplice")</f>
        <v>William J. Dixon, age 17, was also charged and considered accomplice</v>
      </c>
      <c r="AB1100" s="5" t="str">
        <f ca="1">IFERROR(__xludf.DUMMYFUNCTION("""COMPUTED_VALUE"""),"No")</f>
        <v>No</v>
      </c>
      <c r="AC1100" s="5" t="str">
        <f ca="1">IFERROR(__xludf.DUMMYFUNCTION("""COMPUTED_VALUE"""),"No")</f>
        <v>No</v>
      </c>
      <c r="AD1100" s="5" t="str">
        <f ca="1">IFERROR(__xludf.DUMMYFUNCTION("""COMPUTED_VALUE"""),"No")</f>
        <v>No</v>
      </c>
      <c r="AE1100" s="5"/>
      <c r="AF1100" s="5" t="str">
        <f ca="1">IFERROR(__xludf.DUMMYFUNCTION("""COMPUTED_VALUE"""),"No")</f>
        <v>No</v>
      </c>
      <c r="AG1100" s="5" t="str">
        <f ca="1">IFERROR(__xludf.DUMMYFUNCTION("""COMPUTED_VALUE"""),"No")</f>
        <v>No</v>
      </c>
      <c r="AH1100" s="5"/>
    </row>
    <row r="1101" spans="1:34" ht="12.75">
      <c r="A1101" s="5" t="str">
        <f ca="1">IFERROR(__xludf.DUMMYFUNCTION("""COMPUTED_VALUE"""),"20090120ILCOC")</f>
        <v>20090120ILCOC</v>
      </c>
      <c r="B1101" s="8">
        <f ca="1">IFERROR(__xludf.DUMMYFUNCTION("""COMPUTED_VALUE"""),39833)</f>
        <v>39833</v>
      </c>
      <c r="C1101" s="5" t="str">
        <f ca="1">IFERROR(__xludf.DUMMYFUNCTION("""COMPUTED_VALUE"""),"Collins HIgh School")</f>
        <v>Collins HIgh School</v>
      </c>
      <c r="D1101" s="5">
        <f ca="1">IFERROR(__xludf.DUMMYFUNCTION("""COMPUTED_VALUE"""),0)</f>
        <v>0</v>
      </c>
      <c r="E1101" s="5">
        <f ca="1">IFERROR(__xludf.DUMMYFUNCTION("""COMPUTED_VALUE"""),1)</f>
        <v>1</v>
      </c>
      <c r="F1101" s="5">
        <f ca="1">IFERROR(__xludf.DUMMYFUNCTION("""COMPUTED_VALUE"""),1)</f>
        <v>1</v>
      </c>
      <c r="G1101" s="5">
        <f ca="1">IFERROR(__xludf.DUMMYFUNCTION("""COMPUTED_VALUE"""),0)</f>
        <v>0</v>
      </c>
      <c r="H1101"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I1101" s="5"/>
      <c r="J1101" s="5"/>
      <c r="K1101" s="5">
        <f ca="1">IFERROR(__xludf.DUMMYFUNCTION("""COMPUTED_VALUE"""),3)</f>
        <v>3</v>
      </c>
      <c r="L1101" s="5" t="str">
        <f ca="1">IFERROR(__xludf.DUMMYFUNCTION("""COMPUTED_VALUE"""),"Winter")</f>
        <v>Winter</v>
      </c>
      <c r="M1101" s="5" t="str">
        <f ca="1">IFERROR(__xludf.DUMMYFUNCTION("""COMPUTED_VALUE"""),"Chicago")</f>
        <v>Chicago</v>
      </c>
      <c r="N1101" s="5" t="str">
        <f ca="1">IFERROR(__xludf.DUMMYFUNCTION("""COMPUTED_VALUE"""),"IL")</f>
        <v>IL</v>
      </c>
      <c r="O1101" s="5" t="str">
        <f ca="1">IFERROR(__xludf.DUMMYFUNCTION("""COMPUTED_VALUE"""),"High")</f>
        <v>High</v>
      </c>
      <c r="P1101" s="5" t="str">
        <f ca="1">IFERROR(__xludf.DUMMYFUNCTION("""COMPUTED_VALUE"""),"Basketball Court")</f>
        <v>Basketball Court</v>
      </c>
      <c r="Q1101" s="5" t="str">
        <f ca="1">IFERROR(__xludf.DUMMYFUNCTION("""COMPUTED_VALUE"""),"Outside on School Property")</f>
        <v>Outside on School Property</v>
      </c>
      <c r="R1101" s="5" t="str">
        <f ca="1">IFERROR(__xludf.DUMMYFUNCTION("""COMPUTED_VALUE"""),"No")</f>
        <v>No</v>
      </c>
      <c r="S1101" s="5" t="str">
        <f ca="1">IFERROR(__xludf.DUMMYFUNCTION("""COMPUTED_VALUE"""),"Sport Event")</f>
        <v>Sport Event</v>
      </c>
      <c r="T1101" s="5"/>
      <c r="U1101" s="5">
        <f ca="1">IFERROR(__xludf.DUMMYFUNCTION("""COMPUTED_VALUE"""),1)</f>
        <v>1</v>
      </c>
      <c r="V1101" s="5" t="str">
        <f ca="1">IFERROR(__xludf.DUMMYFUNCTION("""COMPUTED_VALUE"""),"Fight during basketball game")</f>
        <v>Fight during basketball game</v>
      </c>
      <c r="W1101"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X1101" s="5" t="str">
        <f ca="1">IFERROR(__xludf.DUMMYFUNCTION("""COMPUTED_VALUE"""),"Escalation of Dispute")</f>
        <v>Escalation of Dispute</v>
      </c>
      <c r="Y1101" s="5"/>
      <c r="Z1101" s="5"/>
      <c r="AA1101" s="5"/>
      <c r="AB1101" s="5" t="str">
        <f ca="1">IFERROR(__xludf.DUMMYFUNCTION("""COMPUTED_VALUE"""),"No")</f>
        <v>No</v>
      </c>
      <c r="AC1101" s="5" t="str">
        <f ca="1">IFERROR(__xludf.DUMMYFUNCTION("""COMPUTED_VALUE"""),"No")</f>
        <v>No</v>
      </c>
      <c r="AD1101" s="5" t="str">
        <f ca="1">IFERROR(__xludf.DUMMYFUNCTION("""COMPUTED_VALUE"""),"No")</f>
        <v>No</v>
      </c>
      <c r="AE1101" s="5" t="str">
        <f ca="1">IFERROR(__xludf.DUMMYFUNCTION("""COMPUTED_VALUE"""),"No")</f>
        <v>No</v>
      </c>
      <c r="AF1101" s="5" t="str">
        <f ca="1">IFERROR(__xludf.DUMMYFUNCTION("""COMPUTED_VALUE"""),"No")</f>
        <v>No</v>
      </c>
      <c r="AG1101" s="5" t="str">
        <f ca="1">IFERROR(__xludf.DUMMYFUNCTION("""COMPUTED_VALUE"""),"No")</f>
        <v>No</v>
      </c>
      <c r="AH1101" s="5"/>
    </row>
    <row r="1102" spans="1:34" ht="12.75">
      <c r="A1102" s="5" t="str">
        <f ca="1">IFERROR(__xludf.DUMMYFUNCTION("""COMPUTED_VALUE"""),"20090114ILPEC")</f>
        <v>20090114ILPEC</v>
      </c>
      <c r="B1102" s="8">
        <f ca="1">IFERROR(__xludf.DUMMYFUNCTION("""COMPUTED_VALUE"""),39827)</f>
        <v>39827</v>
      </c>
      <c r="C1102" s="5" t="str">
        <f ca="1">IFERROR(__xludf.DUMMYFUNCTION("""COMPUTED_VALUE"""),"Perspectives Charter School")</f>
        <v>Perspectives Charter School</v>
      </c>
      <c r="D1102" s="5">
        <f ca="1">IFERROR(__xludf.DUMMYFUNCTION("""COMPUTED_VALUE"""),0)</f>
        <v>0</v>
      </c>
      <c r="E1102" s="5">
        <f ca="1">IFERROR(__xludf.DUMMYFUNCTION("""COMPUTED_VALUE"""),3)</f>
        <v>3</v>
      </c>
      <c r="F1102" s="5">
        <f ca="1">IFERROR(__xludf.DUMMYFUNCTION("""COMPUTED_VALUE"""),3)</f>
        <v>3</v>
      </c>
      <c r="G1102" s="5">
        <f ca="1">IFERROR(__xludf.DUMMYFUNCTION("""COMPUTED_VALUE"""),0)</f>
        <v>0</v>
      </c>
      <c r="H1102"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I1102" s="5"/>
      <c r="J1102" s="5"/>
      <c r="K1102" s="5">
        <f ca="1">IFERROR(__xludf.DUMMYFUNCTION("""COMPUTED_VALUE"""),2)</f>
        <v>2</v>
      </c>
      <c r="L1102" s="5" t="str">
        <f ca="1">IFERROR(__xludf.DUMMYFUNCTION("""COMPUTED_VALUE"""),"Winter")</f>
        <v>Winter</v>
      </c>
      <c r="M1102" s="5" t="str">
        <f ca="1">IFERROR(__xludf.DUMMYFUNCTION("""COMPUTED_VALUE"""),"Chicago")</f>
        <v>Chicago</v>
      </c>
      <c r="N1102" s="5" t="str">
        <f ca="1">IFERROR(__xludf.DUMMYFUNCTION("""COMPUTED_VALUE"""),"IL")</f>
        <v>IL</v>
      </c>
      <c r="O1102" s="5" t="str">
        <f ca="1">IFERROR(__xludf.DUMMYFUNCTION("""COMPUTED_VALUE"""),"Middle")</f>
        <v>Middle</v>
      </c>
      <c r="P1102" s="5" t="str">
        <f ca="1">IFERROR(__xludf.DUMMYFUNCTION("""COMPUTED_VALUE"""),"School Bus")</f>
        <v>School Bus</v>
      </c>
      <c r="Q1102" s="5" t="str">
        <f ca="1">IFERROR(__xludf.DUMMYFUNCTION("""COMPUTED_VALUE"""),"School Bus")</f>
        <v>School Bus</v>
      </c>
      <c r="R1102" s="5" t="str">
        <f ca="1">IFERROR(__xludf.DUMMYFUNCTION("""COMPUTED_VALUE"""),"Yes")</f>
        <v>Yes</v>
      </c>
      <c r="S1102" s="5" t="str">
        <f ca="1">IFERROR(__xludf.DUMMYFUNCTION("""COMPUTED_VALUE"""),"Morning Classes")</f>
        <v>Morning Classes</v>
      </c>
      <c r="T1102" s="10">
        <f ca="1">IFERROR(__xludf.DUMMYFUNCTION("""COMPUTED_VALUE"""),0.466666666666666)</f>
        <v>0.46666666666666601</v>
      </c>
      <c r="U1102" s="5">
        <f ca="1">IFERROR(__xludf.DUMMYFUNCTION("""COMPUTED_VALUE"""),1)</f>
        <v>1</v>
      </c>
      <c r="V1102" s="5" t="str">
        <f ca="1">IFERROR(__xludf.DUMMYFUNCTION("""COMPUTED_VALUE"""),"Shooter in ski mask fired shot that hit school bus, unclear if it was his target")</f>
        <v>Shooter in ski mask fired shot that hit school bus, unclear if it was his target</v>
      </c>
      <c r="W1102"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X1102" s="5" t="str">
        <f ca="1">IFERROR(__xludf.DUMMYFUNCTION("""COMPUTED_VALUE"""),"Unknown")</f>
        <v>Unknown</v>
      </c>
      <c r="Y1102" s="5" t="str">
        <f ca="1">IFERROR(__xludf.DUMMYFUNCTION("""COMPUTED_VALUE"""),"Random Shooting")</f>
        <v>Random Shooting</v>
      </c>
      <c r="Z1102" s="5" t="str">
        <f ca="1">IFERROR(__xludf.DUMMYFUNCTION("""COMPUTED_VALUE"""),"No")</f>
        <v>No</v>
      </c>
      <c r="AA1102" s="5"/>
      <c r="AB1102" s="5" t="str">
        <f ca="1">IFERROR(__xludf.DUMMYFUNCTION("""COMPUTED_VALUE"""),"No")</f>
        <v>No</v>
      </c>
      <c r="AC1102" s="5" t="str">
        <f ca="1">IFERROR(__xludf.DUMMYFUNCTION("""COMPUTED_VALUE"""),"No")</f>
        <v>No</v>
      </c>
      <c r="AD1102" s="5" t="str">
        <f ca="1">IFERROR(__xludf.DUMMYFUNCTION("""COMPUTED_VALUE"""),"No")</f>
        <v>No</v>
      </c>
      <c r="AE1102" s="5" t="str">
        <f ca="1">IFERROR(__xludf.DUMMYFUNCTION("""COMPUTED_VALUE"""),"No")</f>
        <v>No</v>
      </c>
      <c r="AF1102" s="5" t="str">
        <f ca="1">IFERROR(__xludf.DUMMYFUNCTION("""COMPUTED_VALUE"""),"No")</f>
        <v>No</v>
      </c>
      <c r="AG1102" s="5"/>
      <c r="AH1102" s="5"/>
    </row>
    <row r="1103" spans="1:34" ht="12.75">
      <c r="A1103" s="5" t="str">
        <f ca="1">IFERROR(__xludf.DUMMYFUNCTION("""COMPUTED_VALUE"""),"20090109ILDUC")</f>
        <v>20090109ILDUC</v>
      </c>
      <c r="B1103" s="8">
        <f ca="1">IFERROR(__xludf.DUMMYFUNCTION("""COMPUTED_VALUE"""),39822)</f>
        <v>39822</v>
      </c>
      <c r="C1103" s="5" t="str">
        <f ca="1">IFERROR(__xludf.DUMMYFUNCTION("""COMPUTED_VALUE"""),"Dunbar High School")</f>
        <v>Dunbar High School</v>
      </c>
      <c r="D1103" s="5">
        <f ca="1">IFERROR(__xludf.DUMMYFUNCTION("""COMPUTED_VALUE"""),0)</f>
        <v>0</v>
      </c>
      <c r="E1103" s="5">
        <f ca="1">IFERROR(__xludf.DUMMYFUNCTION("""COMPUTED_VALUE"""),5)</f>
        <v>5</v>
      </c>
      <c r="F1103" s="5">
        <f ca="1">IFERROR(__xludf.DUMMYFUNCTION("""COMPUTED_VALUE"""),5)</f>
        <v>5</v>
      </c>
      <c r="G1103" s="5">
        <f ca="1">IFERROR(__xludf.DUMMYFUNCTION("""COMPUTED_VALUE"""),0)</f>
        <v>0</v>
      </c>
      <c r="H1103" s="9" t="str">
        <f ca="1">IFERROR(__xludf.DUMMYFUNCTION("""COMPUTED_VALUE"""),"http://www.cnn.com/2009/CRIME/01/10/school.shooting/index.html")</f>
        <v>http://www.cnn.com/2009/CRIME/01/10/school.shooting/index.html</v>
      </c>
      <c r="I1103" s="5"/>
      <c r="J1103" s="5"/>
      <c r="K1103" s="5">
        <f ca="1">IFERROR(__xludf.DUMMYFUNCTION("""COMPUTED_VALUE"""),2)</f>
        <v>2</v>
      </c>
      <c r="L1103" s="5" t="str">
        <f ca="1">IFERROR(__xludf.DUMMYFUNCTION("""COMPUTED_VALUE"""),"Winter")</f>
        <v>Winter</v>
      </c>
      <c r="M1103" s="5" t="str">
        <f ca="1">IFERROR(__xludf.DUMMYFUNCTION("""COMPUTED_VALUE"""),"Chicago")</f>
        <v>Chicago</v>
      </c>
      <c r="N1103" s="5" t="str">
        <f ca="1">IFERROR(__xludf.DUMMYFUNCTION("""COMPUTED_VALUE"""),"IL")</f>
        <v>IL</v>
      </c>
      <c r="O1103" s="5" t="str">
        <f ca="1">IFERROR(__xludf.DUMMYFUNCTION("""COMPUTED_VALUE"""),"High")</f>
        <v>High</v>
      </c>
      <c r="P1103" s="5" t="str">
        <f ca="1">IFERROR(__xludf.DUMMYFUNCTION("""COMPUTED_VALUE"""),"Basketball Court")</f>
        <v>Basketball Court</v>
      </c>
      <c r="Q1103" s="5" t="str">
        <f ca="1">IFERROR(__xludf.DUMMYFUNCTION("""COMPUTED_VALUE"""),"Outside on School Property")</f>
        <v>Outside on School Property</v>
      </c>
      <c r="R1103" s="5" t="str">
        <f ca="1">IFERROR(__xludf.DUMMYFUNCTION("""COMPUTED_VALUE"""),"No")</f>
        <v>No</v>
      </c>
      <c r="S1103" s="5" t="str">
        <f ca="1">IFERROR(__xludf.DUMMYFUNCTION("""COMPUTED_VALUE"""),"Sport Event")</f>
        <v>Sport Event</v>
      </c>
      <c r="T1103" s="10">
        <f ca="1">IFERROR(__xludf.DUMMYFUNCTION("""COMPUTED_VALUE"""),0.833333333333333)</f>
        <v>0.83333333333333304</v>
      </c>
      <c r="U1103" s="5">
        <f ca="1">IFERROR(__xludf.DUMMYFUNCTION("""COMPUTED_VALUE"""),1)</f>
        <v>1</v>
      </c>
      <c r="V1103" s="5" t="str">
        <f ca="1">IFERROR(__xludf.DUMMYFUNCTION("""COMPUTED_VALUE"""),"Gang-related drive-by shooting after basketball game")</f>
        <v>Gang-related drive-by shooting after basketball game</v>
      </c>
      <c r="W1103"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X1103" s="5" t="str">
        <f ca="1">IFERROR(__xludf.DUMMYFUNCTION("""COMPUTED_VALUE"""),"Drive-by Shooting")</f>
        <v>Drive-by Shooting</v>
      </c>
      <c r="Y1103" s="5" t="str">
        <f ca="1">IFERROR(__xludf.DUMMYFUNCTION("""COMPUTED_VALUE"""),"Both")</f>
        <v>Both</v>
      </c>
      <c r="Z1103" s="5"/>
      <c r="AA1103" s="5"/>
      <c r="AB1103" s="5" t="str">
        <f ca="1">IFERROR(__xludf.DUMMYFUNCTION("""COMPUTED_VALUE"""),"No")</f>
        <v>No</v>
      </c>
      <c r="AC1103" s="5" t="str">
        <f ca="1">IFERROR(__xludf.DUMMYFUNCTION("""COMPUTED_VALUE"""),"No")</f>
        <v>No</v>
      </c>
      <c r="AD1103" s="5" t="str">
        <f ca="1">IFERROR(__xludf.DUMMYFUNCTION("""COMPUTED_VALUE"""),"No")</f>
        <v>No</v>
      </c>
      <c r="AE1103" s="5" t="str">
        <f ca="1">IFERROR(__xludf.DUMMYFUNCTION("""COMPUTED_VALUE"""),"No")</f>
        <v>No</v>
      </c>
      <c r="AF1103" s="5" t="str">
        <f ca="1">IFERROR(__xludf.DUMMYFUNCTION("""COMPUTED_VALUE"""),"No")</f>
        <v>No</v>
      </c>
      <c r="AG1103" s="5" t="str">
        <f ca="1">IFERROR(__xludf.DUMMYFUNCTION("""COMPUTED_VALUE"""),"Yes")</f>
        <v>Yes</v>
      </c>
      <c r="AH1103" s="5"/>
    </row>
    <row r="1104" spans="1:34" ht="12.75">
      <c r="A1104" s="5" t="str">
        <f ca="1">IFERROR(__xludf.DUMMYFUNCTION("""COMPUTED_VALUE"""),"20090108DEWIN")</f>
        <v>20090108DEWIN</v>
      </c>
      <c r="B1104" s="8">
        <f ca="1">IFERROR(__xludf.DUMMYFUNCTION("""COMPUTED_VALUE"""),39821)</f>
        <v>39821</v>
      </c>
      <c r="C1104" s="5" t="str">
        <f ca="1">IFERROR(__xludf.DUMMYFUNCTION("""COMPUTED_VALUE"""),"William Penn High School")</f>
        <v>William Penn High School</v>
      </c>
      <c r="D1104" s="5">
        <f ca="1">IFERROR(__xludf.DUMMYFUNCTION("""COMPUTED_VALUE"""),0)</f>
        <v>0</v>
      </c>
      <c r="E1104" s="5">
        <f ca="1">IFERROR(__xludf.DUMMYFUNCTION("""COMPUTED_VALUE"""),2)</f>
        <v>2</v>
      </c>
      <c r="F1104" s="5">
        <f ca="1">IFERROR(__xludf.DUMMYFUNCTION("""COMPUTED_VALUE"""),2)</f>
        <v>2</v>
      </c>
      <c r="G1104" s="5">
        <f ca="1">IFERROR(__xludf.DUMMYFUNCTION("""COMPUTED_VALUE"""),0)</f>
        <v>0</v>
      </c>
      <c r="H1104"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I1104" s="5"/>
      <c r="J1104" s="5"/>
      <c r="K1104" s="5">
        <f ca="1">IFERROR(__xludf.DUMMYFUNCTION("""COMPUTED_VALUE"""),3)</f>
        <v>3</v>
      </c>
      <c r="L1104" s="5" t="str">
        <f ca="1">IFERROR(__xludf.DUMMYFUNCTION("""COMPUTED_VALUE"""),"Winter")</f>
        <v>Winter</v>
      </c>
      <c r="M1104" s="5" t="str">
        <f ca="1">IFERROR(__xludf.DUMMYFUNCTION("""COMPUTED_VALUE"""),"New Castle")</f>
        <v>New Castle</v>
      </c>
      <c r="N1104" s="5" t="str">
        <f ca="1">IFERROR(__xludf.DUMMYFUNCTION("""COMPUTED_VALUE"""),"DE")</f>
        <v>DE</v>
      </c>
      <c r="O1104" s="5" t="str">
        <f ca="1">IFERROR(__xludf.DUMMYFUNCTION("""COMPUTED_VALUE"""),"High")</f>
        <v>High</v>
      </c>
      <c r="P1104" s="5" t="str">
        <f ca="1">IFERROR(__xludf.DUMMYFUNCTION("""COMPUTED_VALUE"""),"Gym")</f>
        <v>Gym</v>
      </c>
      <c r="Q1104" s="5" t="str">
        <f ca="1">IFERROR(__xludf.DUMMYFUNCTION("""COMPUTED_VALUE"""),"Inside School Building")</f>
        <v>Inside School Building</v>
      </c>
      <c r="R1104" s="5" t="str">
        <f ca="1">IFERROR(__xludf.DUMMYFUNCTION("""COMPUTED_VALUE"""),"No")</f>
        <v>No</v>
      </c>
      <c r="S1104" s="5" t="str">
        <f ca="1">IFERROR(__xludf.DUMMYFUNCTION("""COMPUTED_VALUE"""),"Sport Event")</f>
        <v>Sport Event</v>
      </c>
      <c r="T1104" s="10">
        <f ca="1">IFERROR(__xludf.DUMMYFUNCTION("""COMPUTED_VALUE"""),0.854166666666666)</f>
        <v>0.85416666666666596</v>
      </c>
      <c r="U1104" s="5">
        <f ca="1">IFERROR(__xludf.DUMMYFUNCTION("""COMPUTED_VALUE"""),1)</f>
        <v>1</v>
      </c>
      <c r="V1104" s="5" t="str">
        <f ca="1">IFERROR(__xludf.DUMMYFUNCTION("""COMPUTED_VALUE"""),"Officer tried to break up fight between students, following fight, gun discharged striking uninvolved student")</f>
        <v>Officer tried to break up fight between students, following fight, gun discharged striking uninvolved student</v>
      </c>
      <c r="W1104"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X1104" s="5" t="str">
        <f ca="1">IFERROR(__xludf.DUMMYFUNCTION("""COMPUTED_VALUE"""),"Accidental")</f>
        <v>Accidental</v>
      </c>
      <c r="Y1104" s="5" t="str">
        <f ca="1">IFERROR(__xludf.DUMMYFUNCTION("""COMPUTED_VALUE"""),"Random Shooting")</f>
        <v>Random Shooting</v>
      </c>
      <c r="Z1104" s="5" t="str">
        <f ca="1">IFERROR(__xludf.DUMMYFUNCTION("""COMPUTED_VALUE"""),"No")</f>
        <v>No</v>
      </c>
      <c r="AA1104" s="5"/>
      <c r="AB1104" s="5" t="str">
        <f ca="1">IFERROR(__xludf.DUMMYFUNCTION("""COMPUTED_VALUE"""),"No")</f>
        <v>No</v>
      </c>
      <c r="AC1104" s="5" t="str">
        <f ca="1">IFERROR(__xludf.DUMMYFUNCTION("""COMPUTED_VALUE"""),"No")</f>
        <v>No</v>
      </c>
      <c r="AD1104" s="5" t="str">
        <f ca="1">IFERROR(__xludf.DUMMYFUNCTION("""COMPUTED_VALUE"""),"No")</f>
        <v>No</v>
      </c>
      <c r="AE1104" s="5" t="str">
        <f ca="1">IFERROR(__xludf.DUMMYFUNCTION("""COMPUTED_VALUE"""),"No")</f>
        <v>No</v>
      </c>
      <c r="AF1104" s="5" t="str">
        <f ca="1">IFERROR(__xludf.DUMMYFUNCTION("""COMPUTED_VALUE"""),"No")</f>
        <v>No</v>
      </c>
      <c r="AG1104" s="5" t="str">
        <f ca="1">IFERROR(__xludf.DUMMYFUNCTION("""COMPUTED_VALUE"""),"No")</f>
        <v>No</v>
      </c>
      <c r="AH1104" s="5"/>
    </row>
    <row r="1105" spans="1:34" ht="12.75">
      <c r="A1105" s="5" t="str">
        <f ca="1">IFERROR(__xludf.DUMMYFUNCTION("""COMPUTED_VALUE"""),"20081231OKKEN")</f>
        <v>20081231OKKEN</v>
      </c>
      <c r="B1105" s="8">
        <f ca="1">IFERROR(__xludf.DUMMYFUNCTION("""COMPUTED_VALUE"""),39813)</f>
        <v>39813</v>
      </c>
      <c r="C1105" s="5" t="str">
        <f ca="1">IFERROR(__xludf.DUMMYFUNCTION("""COMPUTED_VALUE"""),"Kennedy Elementary School")</f>
        <v>Kennedy Elementary School</v>
      </c>
      <c r="D1105" s="5">
        <f ca="1">IFERROR(__xludf.DUMMYFUNCTION("""COMPUTED_VALUE"""),0)</f>
        <v>0</v>
      </c>
      <c r="E1105" s="5">
        <f ca="1">IFERROR(__xludf.DUMMYFUNCTION("""COMPUTED_VALUE"""),0)</f>
        <v>0</v>
      </c>
      <c r="F1105" s="5">
        <f ca="1">IFERROR(__xludf.DUMMYFUNCTION("""COMPUTED_VALUE"""),0)</f>
        <v>0</v>
      </c>
      <c r="G1105" s="5">
        <f ca="1">IFERROR(__xludf.DUMMYFUNCTION("""COMPUTED_VALUE"""),1)</f>
        <v>1</v>
      </c>
      <c r="H1105" s="9" t="str">
        <f ca="1">IFERROR(__xludf.DUMMYFUNCTION("""COMPUTED_VALUE"""),"https://www.columbine-angels.com/School_Violence_2008-2009.htm")</f>
        <v>https://www.columbine-angels.com/School_Violence_2008-2009.htm</v>
      </c>
      <c r="I1105" s="5"/>
      <c r="J1105" s="5"/>
      <c r="K1105" s="5">
        <f ca="1">IFERROR(__xludf.DUMMYFUNCTION("""COMPUTED_VALUE"""),1)</f>
        <v>1</v>
      </c>
      <c r="L1105" s="5" t="str">
        <f ca="1">IFERROR(__xludf.DUMMYFUNCTION("""COMPUTED_VALUE"""),"Winter")</f>
        <v>Winter</v>
      </c>
      <c r="M1105" s="5" t="str">
        <f ca="1">IFERROR(__xludf.DUMMYFUNCTION("""COMPUTED_VALUE"""),"Norman")</f>
        <v>Norman</v>
      </c>
      <c r="N1105" s="5" t="str">
        <f ca="1">IFERROR(__xludf.DUMMYFUNCTION("""COMPUTED_VALUE"""),"OK")</f>
        <v>OK</v>
      </c>
      <c r="O1105" s="5" t="str">
        <f ca="1">IFERROR(__xludf.DUMMYFUNCTION("""COMPUTED_VALUE"""),"Elementary")</f>
        <v>Elementary</v>
      </c>
      <c r="P1105" s="5" t="str">
        <f ca="1">IFERROR(__xludf.DUMMYFUNCTION("""COMPUTED_VALUE"""),"Outside on School Property")</f>
        <v>Outside on School Property</v>
      </c>
      <c r="Q1105" s="5" t="str">
        <f ca="1">IFERROR(__xludf.DUMMYFUNCTION("""COMPUTED_VALUE"""),"Outside on School Property")</f>
        <v>Outside on School Property</v>
      </c>
      <c r="R1105" s="5" t="str">
        <f ca="1">IFERROR(__xludf.DUMMYFUNCTION("""COMPUTED_VALUE"""),"No")</f>
        <v>No</v>
      </c>
      <c r="S1105" s="5" t="str">
        <f ca="1">IFERROR(__xludf.DUMMYFUNCTION("""COMPUTED_VALUE"""),"Not a School Day")</f>
        <v>Not a School Day</v>
      </c>
      <c r="T1105" s="5"/>
      <c r="U1105" s="5">
        <f ca="1">IFERROR(__xludf.DUMMYFUNCTION("""COMPUTED_VALUE"""),1)</f>
        <v>1</v>
      </c>
      <c r="V1105" s="5" t="str">
        <f ca="1">IFERROR(__xludf.DUMMYFUNCTION("""COMPUTED_VALUE"""),"Commit suicide outside of school")</f>
        <v>Commit suicide outside of school</v>
      </c>
      <c r="W1105" s="5" t="str">
        <f ca="1">IFERROR(__xludf.DUMMYFUNCTION("""COMPUTED_VALUE"""),"68YOM commit suicide outside of school.")</f>
        <v>68YOM commit suicide outside of school.</v>
      </c>
      <c r="X1105" s="5" t="str">
        <f ca="1">IFERROR(__xludf.DUMMYFUNCTION("""COMPUTED_VALUE"""),"Suicide/Attempted")</f>
        <v>Suicide/Attempted</v>
      </c>
      <c r="Y1105" s="5" t="str">
        <f ca="1">IFERROR(__xludf.DUMMYFUNCTION("""COMPUTED_VALUE"""),"Victims Targeted")</f>
        <v>Victims Targeted</v>
      </c>
      <c r="Z1105" s="5" t="str">
        <f ca="1">IFERROR(__xludf.DUMMYFUNCTION("""COMPUTED_VALUE"""),"No")</f>
        <v>No</v>
      </c>
      <c r="AA1105" s="5"/>
      <c r="AB1105" s="5" t="str">
        <f ca="1">IFERROR(__xludf.DUMMYFUNCTION("""COMPUTED_VALUE"""),"No")</f>
        <v>No</v>
      </c>
      <c r="AC1105" s="5" t="str">
        <f ca="1">IFERROR(__xludf.DUMMYFUNCTION("""COMPUTED_VALUE"""),"No")</f>
        <v>No</v>
      </c>
      <c r="AD1105" s="5" t="str">
        <f ca="1">IFERROR(__xludf.DUMMYFUNCTION("""COMPUTED_VALUE"""),"No")</f>
        <v>No</v>
      </c>
      <c r="AE1105" s="5" t="str">
        <f ca="1">IFERROR(__xludf.DUMMYFUNCTION("""COMPUTED_VALUE"""),"No")</f>
        <v>No</v>
      </c>
      <c r="AF1105" s="5" t="str">
        <f ca="1">IFERROR(__xludf.DUMMYFUNCTION("""COMPUTED_VALUE"""),"No")</f>
        <v>No</v>
      </c>
      <c r="AG1105" s="5" t="str">
        <f ca="1">IFERROR(__xludf.DUMMYFUNCTION("""COMPUTED_VALUE"""),"No")</f>
        <v>No</v>
      </c>
      <c r="AH1105" s="5"/>
    </row>
    <row r="1106" spans="1:34" ht="12.75">
      <c r="A1106" s="5" t="str">
        <f ca="1">IFERROR(__xludf.DUMMYFUNCTION("""COMPUTED_VALUE"""),"20081231GASHS")</f>
        <v>20081231GASHS</v>
      </c>
      <c r="B1106" s="8">
        <f ca="1">IFERROR(__xludf.DUMMYFUNCTION("""COMPUTED_VALUE"""),39813)</f>
        <v>39813</v>
      </c>
      <c r="C1106" s="5" t="str">
        <f ca="1">IFERROR(__xludf.DUMMYFUNCTION("""COMPUTED_VALUE"""),"Shuman Middle School")</f>
        <v>Shuman Middle School</v>
      </c>
      <c r="D1106" s="5">
        <f ca="1">IFERROR(__xludf.DUMMYFUNCTION("""COMPUTED_VALUE"""),0)</f>
        <v>0</v>
      </c>
      <c r="E1106" s="5">
        <f ca="1">IFERROR(__xludf.DUMMYFUNCTION("""COMPUTED_VALUE"""),1)</f>
        <v>1</v>
      </c>
      <c r="F1106" s="5">
        <f ca="1">IFERROR(__xludf.DUMMYFUNCTION("""COMPUTED_VALUE"""),1)</f>
        <v>1</v>
      </c>
      <c r="G1106" s="5">
        <f ca="1">IFERROR(__xludf.DUMMYFUNCTION("""COMPUTED_VALUE"""),0)</f>
        <v>0</v>
      </c>
      <c r="H1106" s="9" t="str">
        <f ca="1">IFERROR(__xludf.DUMMYFUNCTION("""COMPUTED_VALUE"""),"https://www.columbine-angels.com/School_Violence_2008-2009.htm")</f>
        <v>https://www.columbine-angels.com/School_Violence_2008-2009.htm</v>
      </c>
      <c r="I1106" s="5"/>
      <c r="J1106" s="5"/>
      <c r="K1106" s="5">
        <f ca="1">IFERROR(__xludf.DUMMYFUNCTION("""COMPUTED_VALUE"""),1)</f>
        <v>1</v>
      </c>
      <c r="L1106" s="5" t="str">
        <f ca="1">IFERROR(__xludf.DUMMYFUNCTION("""COMPUTED_VALUE"""),"Winter")</f>
        <v>Winter</v>
      </c>
      <c r="M1106" s="5" t="str">
        <f ca="1">IFERROR(__xludf.DUMMYFUNCTION("""COMPUTED_VALUE"""),"Savannah")</f>
        <v>Savannah</v>
      </c>
      <c r="N1106" s="5" t="str">
        <f ca="1">IFERROR(__xludf.DUMMYFUNCTION("""COMPUTED_VALUE"""),"GA")</f>
        <v>GA</v>
      </c>
      <c r="O1106" s="5" t="str">
        <f ca="1">IFERROR(__xludf.DUMMYFUNCTION("""COMPUTED_VALUE"""),"Middle")</f>
        <v>Middle</v>
      </c>
      <c r="P1106" s="5" t="str">
        <f ca="1">IFERROR(__xludf.DUMMYFUNCTION("""COMPUTED_VALUE"""),"Beside Building")</f>
        <v>Beside Building</v>
      </c>
      <c r="Q1106" s="5" t="str">
        <f ca="1">IFERROR(__xludf.DUMMYFUNCTION("""COMPUTED_VALUE"""),"Outside on School Property")</f>
        <v>Outside on School Property</v>
      </c>
      <c r="R1106" s="5" t="str">
        <f ca="1">IFERROR(__xludf.DUMMYFUNCTION("""COMPUTED_VALUE"""),"No")</f>
        <v>No</v>
      </c>
      <c r="S1106" s="5" t="str">
        <f ca="1">IFERROR(__xludf.DUMMYFUNCTION("""COMPUTED_VALUE"""),"Evening")</f>
        <v>Evening</v>
      </c>
      <c r="T1106" s="5"/>
      <c r="U1106" s="5">
        <f ca="1">IFERROR(__xludf.DUMMYFUNCTION("""COMPUTED_VALUE"""),1)</f>
        <v>1</v>
      </c>
      <c r="V1106" s="5" t="str">
        <f ca="1">IFERROR(__xludf.DUMMYFUNCTION("""COMPUTED_VALUE"""),"Shotgun fired during fight between 4 women, employee struck")</f>
        <v>Shotgun fired during fight between 4 women, employee struck</v>
      </c>
      <c r="W1106"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X1106" s="5" t="str">
        <f ca="1">IFERROR(__xludf.DUMMYFUNCTION("""COMPUTED_VALUE"""),"Escalation of Dispute")</f>
        <v>Escalation of Dispute</v>
      </c>
      <c r="Y1106" s="5" t="str">
        <f ca="1">IFERROR(__xludf.DUMMYFUNCTION("""COMPUTED_VALUE"""),"Random Shooting")</f>
        <v>Random Shooting</v>
      </c>
      <c r="Z1106" s="5" t="str">
        <f ca="1">IFERROR(__xludf.DUMMYFUNCTION("""COMPUTED_VALUE"""),"No")</f>
        <v>No</v>
      </c>
      <c r="AA1106" s="5"/>
      <c r="AB1106" s="5" t="str">
        <f ca="1">IFERROR(__xludf.DUMMYFUNCTION("""COMPUTED_VALUE"""),"No")</f>
        <v>No</v>
      </c>
      <c r="AC1106" s="5" t="str">
        <f ca="1">IFERROR(__xludf.DUMMYFUNCTION("""COMPUTED_VALUE"""),"No")</f>
        <v>No</v>
      </c>
      <c r="AD1106" s="5" t="str">
        <f ca="1">IFERROR(__xludf.DUMMYFUNCTION("""COMPUTED_VALUE"""),"No")</f>
        <v>No</v>
      </c>
      <c r="AE1106" s="5" t="str">
        <f ca="1">IFERROR(__xludf.DUMMYFUNCTION("""COMPUTED_VALUE"""),"No")</f>
        <v>No</v>
      </c>
      <c r="AF1106" s="5" t="str">
        <f ca="1">IFERROR(__xludf.DUMMYFUNCTION("""COMPUTED_VALUE"""),"No")</f>
        <v>No</v>
      </c>
      <c r="AG1106" s="5" t="str">
        <f ca="1">IFERROR(__xludf.DUMMYFUNCTION("""COMPUTED_VALUE"""),"No")</f>
        <v>No</v>
      </c>
      <c r="AH1106" s="5"/>
    </row>
    <row r="1107" spans="1:34" ht="12.75">
      <c r="A1107" s="5" t="str">
        <f ca="1">IFERROR(__xludf.DUMMYFUNCTION("""COMPUTED_VALUE"""),"20081227PAWIP")</f>
        <v>20081227PAWIP</v>
      </c>
      <c r="B1107" s="8">
        <f ca="1">IFERROR(__xludf.DUMMYFUNCTION("""COMPUTED_VALUE"""),39809)</f>
        <v>39809</v>
      </c>
      <c r="C1107" s="5" t="str">
        <f ca="1">IFERROR(__xludf.DUMMYFUNCTION("""COMPUTED_VALUE"""),"William H. Harrison Elementary School")</f>
        <v>William H. Harrison Elementary School</v>
      </c>
      <c r="D1107" s="5">
        <f ca="1">IFERROR(__xludf.DUMMYFUNCTION("""COMPUTED_VALUE"""),0)</f>
        <v>0</v>
      </c>
      <c r="E1107" s="5">
        <f ca="1">IFERROR(__xludf.DUMMYFUNCTION("""COMPUTED_VALUE"""),2)</f>
        <v>2</v>
      </c>
      <c r="F1107" s="5">
        <f ca="1">IFERROR(__xludf.DUMMYFUNCTION("""COMPUTED_VALUE"""),2)</f>
        <v>2</v>
      </c>
      <c r="G1107" s="5">
        <f ca="1">IFERROR(__xludf.DUMMYFUNCTION("""COMPUTED_VALUE"""),0)</f>
        <v>0</v>
      </c>
      <c r="H1107" s="9" t="str">
        <f ca="1">IFERROR(__xludf.DUMMYFUNCTION("""COMPUTED_VALUE"""),"https://www.columbine-angels.com/School_Violence_2008-2009.htm")</f>
        <v>https://www.columbine-angels.com/School_Violence_2008-2009.htm</v>
      </c>
      <c r="I1107" s="5"/>
      <c r="J1107" s="5"/>
      <c r="K1107" s="5">
        <f ca="1">IFERROR(__xludf.DUMMYFUNCTION("""COMPUTED_VALUE"""),1)</f>
        <v>1</v>
      </c>
      <c r="L1107" s="5" t="str">
        <f ca="1">IFERROR(__xludf.DUMMYFUNCTION("""COMPUTED_VALUE"""),"Winter")</f>
        <v>Winter</v>
      </c>
      <c r="M1107" s="5" t="str">
        <f ca="1">IFERROR(__xludf.DUMMYFUNCTION("""COMPUTED_VALUE"""),"Philadelphia")</f>
        <v>Philadelphia</v>
      </c>
      <c r="N1107" s="5" t="str">
        <f ca="1">IFERROR(__xludf.DUMMYFUNCTION("""COMPUTED_VALUE"""),"PA")</f>
        <v>PA</v>
      </c>
      <c r="O1107" s="5" t="str">
        <f ca="1">IFERROR(__xludf.DUMMYFUNCTION("""COMPUTED_VALUE"""),"Elementary")</f>
        <v>Elementary</v>
      </c>
      <c r="P1107" s="5" t="str">
        <f ca="1">IFERROR(__xludf.DUMMYFUNCTION("""COMPUTED_VALUE"""),"Beside Building")</f>
        <v>Beside Building</v>
      </c>
      <c r="Q1107" s="5" t="str">
        <f ca="1">IFERROR(__xludf.DUMMYFUNCTION("""COMPUTED_VALUE"""),"Outside on School Property")</f>
        <v>Outside on School Property</v>
      </c>
      <c r="R1107" s="5" t="str">
        <f ca="1">IFERROR(__xludf.DUMMYFUNCTION("""COMPUTED_VALUE"""),"No")</f>
        <v>No</v>
      </c>
      <c r="S1107" s="5" t="str">
        <f ca="1">IFERROR(__xludf.DUMMYFUNCTION("""COMPUTED_VALUE"""),"Not a School Day")</f>
        <v>Not a School Day</v>
      </c>
      <c r="T1107" s="10">
        <f ca="1">IFERROR(__xludf.DUMMYFUNCTION("""COMPUTED_VALUE"""),0.416666666666666)</f>
        <v>0.41666666666666602</v>
      </c>
      <c r="U1107" s="5">
        <f ca="1">IFERROR(__xludf.DUMMYFUNCTION("""COMPUTED_VALUE"""),1)</f>
        <v>1</v>
      </c>
      <c r="V1107" s="5" t="str">
        <f ca="1">IFERROR(__xludf.DUMMYFUNCTION("""COMPUTED_VALUE"""),"Two adults shot at elementary school")</f>
        <v>Two adults shot at elementary school</v>
      </c>
      <c r="W1107" s="5" t="str">
        <f ca="1">IFERROR(__xludf.DUMMYFUNCTION("""COMPUTED_VALUE"""),"27YOM and 31YOF shot outside of the school. No other information available.")</f>
        <v>27YOM and 31YOF shot outside of the school. No other information available.</v>
      </c>
      <c r="X1107" s="5" t="str">
        <f ca="1">IFERROR(__xludf.DUMMYFUNCTION("""COMPUTED_VALUE"""),"Unknown")</f>
        <v>Unknown</v>
      </c>
      <c r="Y1107" s="5"/>
      <c r="Z1107" s="5"/>
      <c r="AA1107" s="5"/>
      <c r="AB1107" s="5" t="str">
        <f ca="1">IFERROR(__xludf.DUMMYFUNCTION("""COMPUTED_VALUE"""),"No")</f>
        <v>No</v>
      </c>
      <c r="AC1107" s="5" t="str">
        <f ca="1">IFERROR(__xludf.DUMMYFUNCTION("""COMPUTED_VALUE"""),"No")</f>
        <v>No</v>
      </c>
      <c r="AD1107" s="5" t="str">
        <f ca="1">IFERROR(__xludf.DUMMYFUNCTION("""COMPUTED_VALUE"""),"No")</f>
        <v>No</v>
      </c>
      <c r="AE1107" s="5" t="str">
        <f ca="1">IFERROR(__xludf.DUMMYFUNCTION("""COMPUTED_VALUE"""),"No")</f>
        <v>No</v>
      </c>
      <c r="AF1107" s="5" t="str">
        <f ca="1">IFERROR(__xludf.DUMMYFUNCTION("""COMPUTED_VALUE"""),"No")</f>
        <v>No</v>
      </c>
      <c r="AG1107" s="5"/>
      <c r="AH1107" s="5"/>
    </row>
    <row r="1108" spans="1:34" ht="12.75">
      <c r="A1108" s="5" t="str">
        <f ca="1">IFERROR(__xludf.DUMMYFUNCTION("""COMPUTED_VALUE"""),"20081222FLLAL")</f>
        <v>20081222FLLAL</v>
      </c>
      <c r="B1108" s="8">
        <f ca="1">IFERROR(__xludf.DUMMYFUNCTION("""COMPUTED_VALUE"""),39804)</f>
        <v>39804</v>
      </c>
      <c r="C1108" s="5" t="str">
        <f ca="1">IFERROR(__xludf.DUMMYFUNCTION("""COMPUTED_VALUE"""),"Largo Middle School")</f>
        <v>Largo Middle School</v>
      </c>
      <c r="D1108" s="5">
        <f ca="1">IFERROR(__xludf.DUMMYFUNCTION("""COMPUTED_VALUE"""),0)</f>
        <v>0</v>
      </c>
      <c r="E1108" s="5">
        <f ca="1">IFERROR(__xludf.DUMMYFUNCTION("""COMPUTED_VALUE"""),0)</f>
        <v>0</v>
      </c>
      <c r="F1108" s="5">
        <f ca="1">IFERROR(__xludf.DUMMYFUNCTION("""COMPUTED_VALUE"""),0)</f>
        <v>0</v>
      </c>
      <c r="G1108" s="5">
        <f ca="1">IFERROR(__xludf.DUMMYFUNCTION("""COMPUTED_VALUE"""),1)</f>
        <v>1</v>
      </c>
      <c r="H1108" s="5" t="str">
        <f ca="1">IFERROR(__xludf.DUMMYFUNCTION("""COMPUTED_VALUE"""),"https://www.newspapers.com/image/331839756/?terms=teacher%2Bshot  https://www.newspapers.com/image/331848545/")</f>
        <v>https://www.newspapers.com/image/331839756/?terms=teacher%2Bshot  https://www.newspapers.com/image/331848545/</v>
      </c>
      <c r="I1108" s="5"/>
      <c r="J1108" s="5"/>
      <c r="K1108" s="5">
        <f ca="1">IFERROR(__xludf.DUMMYFUNCTION("""COMPUTED_VALUE"""),3)</f>
        <v>3</v>
      </c>
      <c r="L1108" s="5" t="str">
        <f ca="1">IFERROR(__xludf.DUMMYFUNCTION("""COMPUTED_VALUE"""),"Winter")</f>
        <v>Winter</v>
      </c>
      <c r="M1108" s="5" t="str">
        <f ca="1">IFERROR(__xludf.DUMMYFUNCTION("""COMPUTED_VALUE"""),"Largo")</f>
        <v>Largo</v>
      </c>
      <c r="N1108" s="5" t="str">
        <f ca="1">IFERROR(__xludf.DUMMYFUNCTION("""COMPUTED_VALUE"""),"FL")</f>
        <v>FL</v>
      </c>
      <c r="O1108" s="5" t="str">
        <f ca="1">IFERROR(__xludf.DUMMYFUNCTION("""COMPUTED_VALUE"""),"Middle")</f>
        <v>Middle</v>
      </c>
      <c r="P1108" s="5" t="str">
        <f ca="1">IFERROR(__xludf.DUMMYFUNCTION("""COMPUTED_VALUE"""),"Outside on School Property")</f>
        <v>Outside on School Property</v>
      </c>
      <c r="Q1108" s="5" t="str">
        <f ca="1">IFERROR(__xludf.DUMMYFUNCTION("""COMPUTED_VALUE"""),"Outside on School Property")</f>
        <v>Outside on School Property</v>
      </c>
      <c r="R1108" s="5" t="str">
        <f ca="1">IFERROR(__xludf.DUMMYFUNCTION("""COMPUTED_VALUE"""),"No")</f>
        <v>No</v>
      </c>
      <c r="S1108" s="5" t="str">
        <f ca="1">IFERROR(__xludf.DUMMYFUNCTION("""COMPUTED_VALUE"""),"Not a School Day")</f>
        <v>Not a School Day</v>
      </c>
      <c r="T1108" s="5"/>
      <c r="U1108" s="5">
        <f ca="1">IFERROR(__xludf.DUMMYFUNCTION("""COMPUTED_VALUE"""),1)</f>
        <v>1</v>
      </c>
      <c r="V1108" s="5" t="str">
        <f ca="1">IFERROR(__xludf.DUMMYFUNCTION("""COMPUTED_VALUE"""),"Teacher commit suicide in school")</f>
        <v>Teacher commit suicide in school</v>
      </c>
      <c r="W1108"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X1108" s="5" t="str">
        <f ca="1">IFERROR(__xludf.DUMMYFUNCTION("""COMPUTED_VALUE"""),"Suicide/Attempted")</f>
        <v>Suicide/Attempted</v>
      </c>
      <c r="Y1108" s="5" t="str">
        <f ca="1">IFERROR(__xludf.DUMMYFUNCTION("""COMPUTED_VALUE"""),"Victims Targeted")</f>
        <v>Victims Targeted</v>
      </c>
      <c r="Z1108" s="5" t="str">
        <f ca="1">IFERROR(__xludf.DUMMYFUNCTION("""COMPUTED_VALUE"""),"No")</f>
        <v>No</v>
      </c>
      <c r="AA1108" s="5"/>
      <c r="AB1108" s="5" t="str">
        <f ca="1">IFERROR(__xludf.DUMMYFUNCTION("""COMPUTED_VALUE"""),"No")</f>
        <v>No</v>
      </c>
      <c r="AC1108" s="5" t="str">
        <f ca="1">IFERROR(__xludf.DUMMYFUNCTION("""COMPUTED_VALUE"""),"No")</f>
        <v>No</v>
      </c>
      <c r="AD1108" s="5" t="str">
        <f ca="1">IFERROR(__xludf.DUMMYFUNCTION("""COMPUTED_VALUE"""),"No")</f>
        <v>No</v>
      </c>
      <c r="AE1108" s="5" t="str">
        <f ca="1">IFERROR(__xludf.DUMMYFUNCTION("""COMPUTED_VALUE"""),"No")</f>
        <v>No</v>
      </c>
      <c r="AF1108" s="5" t="str">
        <f ca="1">IFERROR(__xludf.DUMMYFUNCTION("""COMPUTED_VALUE"""),"No")</f>
        <v>No</v>
      </c>
      <c r="AG1108" s="5" t="str">
        <f ca="1">IFERROR(__xludf.DUMMYFUNCTION("""COMPUTED_VALUE"""),"No")</f>
        <v>No</v>
      </c>
      <c r="AH1108" s="5"/>
    </row>
    <row r="1109" spans="1:34" ht="12.75">
      <c r="A1109" s="5" t="str">
        <f ca="1">IFERROR(__xludf.DUMMYFUNCTION("""COMPUTED_VALUE"""),"20081221SCSUS")</f>
        <v>20081221SCSUS</v>
      </c>
      <c r="B1109" s="8">
        <f ca="1">IFERROR(__xludf.DUMMYFUNCTION("""COMPUTED_VALUE"""),39803)</f>
        <v>39803</v>
      </c>
      <c r="C1109" s="5" t="str">
        <f ca="1">IFERROR(__xludf.DUMMYFUNCTION("""COMPUTED_VALUE"""),"Summerville High School")</f>
        <v>Summerville High School</v>
      </c>
      <c r="D1109" s="5">
        <f ca="1">IFERROR(__xludf.DUMMYFUNCTION("""COMPUTED_VALUE"""),0)</f>
        <v>0</v>
      </c>
      <c r="E1109" s="5">
        <f ca="1">IFERROR(__xludf.DUMMYFUNCTION("""COMPUTED_VALUE"""),1)</f>
        <v>1</v>
      </c>
      <c r="F1109" s="5">
        <f ca="1">IFERROR(__xludf.DUMMYFUNCTION("""COMPUTED_VALUE"""),1)</f>
        <v>1</v>
      </c>
      <c r="G1109" s="5">
        <f ca="1">IFERROR(__xludf.DUMMYFUNCTION("""COMPUTED_VALUE"""),0)</f>
        <v>0</v>
      </c>
      <c r="H1109" s="9" t="str">
        <f ca="1">IFERROR(__xludf.DUMMYFUNCTION("""COMPUTED_VALUE"""),"https://www.postandcourier.com/news/teen-wounded-at-summerville-high/article_e9e8740e-ac4b-54fe-bf85-d2756db7f1cc.html")</f>
        <v>https://www.postandcourier.com/news/teen-wounded-at-summerville-high/article_e9e8740e-ac4b-54fe-bf85-d2756db7f1cc.html</v>
      </c>
      <c r="I1109" s="5"/>
      <c r="J1109" s="5"/>
      <c r="K1109" s="5">
        <f ca="1">IFERROR(__xludf.DUMMYFUNCTION("""COMPUTED_VALUE"""),2)</f>
        <v>2</v>
      </c>
      <c r="L1109" s="5" t="str">
        <f ca="1">IFERROR(__xludf.DUMMYFUNCTION("""COMPUTED_VALUE"""),"Winter")</f>
        <v>Winter</v>
      </c>
      <c r="M1109" s="5" t="str">
        <f ca="1">IFERROR(__xludf.DUMMYFUNCTION("""COMPUTED_VALUE"""),"Summerville")</f>
        <v>Summerville</v>
      </c>
      <c r="N1109" s="5" t="str">
        <f ca="1">IFERROR(__xludf.DUMMYFUNCTION("""COMPUTED_VALUE"""),"SC")</f>
        <v>SC</v>
      </c>
      <c r="O1109" s="5" t="str">
        <f ca="1">IFERROR(__xludf.DUMMYFUNCTION("""COMPUTED_VALUE"""),"High")</f>
        <v>High</v>
      </c>
      <c r="P1109" s="5" t="str">
        <f ca="1">IFERROR(__xludf.DUMMYFUNCTION("""COMPUTED_VALUE"""),"Parking Lot")</f>
        <v>Parking Lot</v>
      </c>
      <c r="Q1109" s="5" t="str">
        <f ca="1">IFERROR(__xludf.DUMMYFUNCTION("""COMPUTED_VALUE"""),"Outside on School Property")</f>
        <v>Outside on School Property</v>
      </c>
      <c r="R1109" s="5" t="str">
        <f ca="1">IFERROR(__xludf.DUMMYFUNCTION("""COMPUTED_VALUE"""),"No")</f>
        <v>No</v>
      </c>
      <c r="S1109" s="5" t="str">
        <f ca="1">IFERROR(__xludf.DUMMYFUNCTION("""COMPUTED_VALUE"""),"Evening")</f>
        <v>Evening</v>
      </c>
      <c r="T1109" s="10">
        <f ca="1">IFERROR(__xludf.DUMMYFUNCTION("""COMPUTED_VALUE"""),0.802083333333333)</f>
        <v>0.80208333333333304</v>
      </c>
      <c r="U1109" s="5">
        <f ca="1">IFERROR(__xludf.DUMMYFUNCTION("""COMPUTED_VALUE"""),1)</f>
        <v>1</v>
      </c>
      <c r="V1109" s="5" t="str">
        <f ca="1">IFERROR(__xludf.DUMMYFUNCTION("""COMPUTED_VALUE"""),"Fight in the school parking lot, shots fired struck a bystander")</f>
        <v>Fight in the school parking lot, shots fired struck a bystander</v>
      </c>
      <c r="W1109" s="5" t="str">
        <f ca="1">IFERROR(__xludf.DUMMYFUNCTION("""COMPUTED_VALUE"""),"Fight between multiple people in the parking lot. 23YOM fired shots that struck a 17YOM walking in the area.")</f>
        <v>Fight between multiple people in the parking lot. 23YOM fired shots that struck a 17YOM walking in the area.</v>
      </c>
      <c r="X1109" s="5" t="str">
        <f ca="1">IFERROR(__xludf.DUMMYFUNCTION("""COMPUTED_VALUE"""),"Escalation of Dispute")</f>
        <v>Escalation of Dispute</v>
      </c>
      <c r="Y1109" s="5" t="str">
        <f ca="1">IFERROR(__xludf.DUMMYFUNCTION("""COMPUTED_VALUE"""),"Both")</f>
        <v>Both</v>
      </c>
      <c r="Z1109" s="5"/>
      <c r="AA1109" s="5"/>
      <c r="AB1109" s="5" t="str">
        <f ca="1">IFERROR(__xludf.DUMMYFUNCTION("""COMPUTED_VALUE"""),"No")</f>
        <v>No</v>
      </c>
      <c r="AC1109" s="5" t="str">
        <f ca="1">IFERROR(__xludf.DUMMYFUNCTION("""COMPUTED_VALUE"""),"No")</f>
        <v>No</v>
      </c>
      <c r="AD1109" s="5" t="str">
        <f ca="1">IFERROR(__xludf.DUMMYFUNCTION("""COMPUTED_VALUE"""),"No")</f>
        <v>No</v>
      </c>
      <c r="AE1109" s="5" t="str">
        <f ca="1">IFERROR(__xludf.DUMMYFUNCTION("""COMPUTED_VALUE"""),"No")</f>
        <v>No</v>
      </c>
      <c r="AF1109" s="5" t="str">
        <f ca="1">IFERROR(__xludf.DUMMYFUNCTION("""COMPUTED_VALUE"""),"No")</f>
        <v>No</v>
      </c>
      <c r="AG1109" s="5" t="str">
        <f ca="1">IFERROR(__xludf.DUMMYFUNCTION("""COMPUTED_VALUE"""),"No")</f>
        <v>No</v>
      </c>
      <c r="AH1109" s="5"/>
    </row>
    <row r="1110" spans="1:34" ht="12.75">
      <c r="A1110" s="5" t="str">
        <f ca="1">IFERROR(__xludf.DUMMYFUNCTION("""COMPUTED_VALUE"""),"20081212NYWIM")</f>
        <v>20081212NYWIM</v>
      </c>
      <c r="B1110" s="8">
        <f ca="1">IFERROR(__xludf.DUMMYFUNCTION("""COMPUTED_VALUE"""),39794)</f>
        <v>39794</v>
      </c>
      <c r="C1110" s="5" t="str">
        <f ca="1">IFERROR(__xludf.DUMMYFUNCTION("""COMPUTED_VALUE"""),"William Floyd High School")</f>
        <v>William Floyd High School</v>
      </c>
      <c r="D1110" s="5">
        <f ca="1">IFERROR(__xludf.DUMMYFUNCTION("""COMPUTED_VALUE"""),0)</f>
        <v>0</v>
      </c>
      <c r="E1110" s="5">
        <f ca="1">IFERROR(__xludf.DUMMYFUNCTION("""COMPUTED_VALUE"""),1)</f>
        <v>1</v>
      </c>
      <c r="F1110" s="5">
        <f ca="1">IFERROR(__xludf.DUMMYFUNCTION("""COMPUTED_VALUE"""),1)</f>
        <v>1</v>
      </c>
      <c r="G1110" s="5">
        <f ca="1">IFERROR(__xludf.DUMMYFUNCTION("""COMPUTED_VALUE"""),0)</f>
        <v>0</v>
      </c>
      <c r="H1110" s="9" t="str">
        <f ca="1">IFERROR(__xludf.DUMMYFUNCTION("""COMPUTED_VALUE"""),"http://archive.longislandpress.com/2010/02/26/mastic-man-pleads-guilty-to-school-shooting/")</f>
        <v>http://archive.longislandpress.com/2010/02/26/mastic-man-pleads-guilty-to-school-shooting/</v>
      </c>
      <c r="I1110" s="5"/>
      <c r="J1110" s="5"/>
      <c r="K1110" s="5">
        <f ca="1">IFERROR(__xludf.DUMMYFUNCTION("""COMPUTED_VALUE"""),2)</f>
        <v>2</v>
      </c>
      <c r="L1110" s="5" t="str">
        <f ca="1">IFERROR(__xludf.DUMMYFUNCTION("""COMPUTED_VALUE"""),"Winter")</f>
        <v>Winter</v>
      </c>
      <c r="M1110" s="5" t="str">
        <f ca="1">IFERROR(__xludf.DUMMYFUNCTION("""COMPUTED_VALUE"""),"Mastic Beach")</f>
        <v>Mastic Beach</v>
      </c>
      <c r="N1110" s="5" t="str">
        <f ca="1">IFERROR(__xludf.DUMMYFUNCTION("""COMPUTED_VALUE"""),"NY")</f>
        <v>NY</v>
      </c>
      <c r="O1110" s="5" t="str">
        <f ca="1">IFERROR(__xludf.DUMMYFUNCTION("""COMPUTED_VALUE"""),"High")</f>
        <v>High</v>
      </c>
      <c r="P1110" s="5" t="str">
        <f ca="1">IFERROR(__xludf.DUMMYFUNCTION("""COMPUTED_VALUE"""),"Parking Lot")</f>
        <v>Parking Lot</v>
      </c>
      <c r="Q1110" s="5" t="str">
        <f ca="1">IFERROR(__xludf.DUMMYFUNCTION("""COMPUTED_VALUE"""),"Outside on School Property")</f>
        <v>Outside on School Property</v>
      </c>
      <c r="R1110" s="5" t="str">
        <f ca="1">IFERROR(__xludf.DUMMYFUNCTION("""COMPUTED_VALUE"""),"No")</f>
        <v>No</v>
      </c>
      <c r="S1110" s="5" t="str">
        <f ca="1">IFERROR(__xludf.DUMMYFUNCTION("""COMPUTED_VALUE"""),"Sport Event")</f>
        <v>Sport Event</v>
      </c>
      <c r="T1110" s="10">
        <f ca="1">IFERROR(__xludf.DUMMYFUNCTION("""COMPUTED_VALUE"""),0.854166666666666)</f>
        <v>0.85416666666666596</v>
      </c>
      <c r="U1110" s="5">
        <f ca="1">IFERROR(__xludf.DUMMYFUNCTION("""COMPUTED_VALUE"""),1)</f>
        <v>1</v>
      </c>
      <c r="V1110" s="5" t="str">
        <f ca="1">IFERROR(__xludf.DUMMYFUNCTION("""COMPUTED_VALUE"""),"Shooting in parking lot during argument after basketball game")</f>
        <v>Shooting in parking lot during argument after basketball game</v>
      </c>
      <c r="W1110"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X1110" s="5" t="str">
        <f ca="1">IFERROR(__xludf.DUMMYFUNCTION("""COMPUTED_VALUE"""),"Escalation of Dispute")</f>
        <v>Escalation of Dispute</v>
      </c>
      <c r="Y1110" s="5" t="str">
        <f ca="1">IFERROR(__xludf.DUMMYFUNCTION("""COMPUTED_VALUE"""),"Both")</f>
        <v>Both</v>
      </c>
      <c r="Z1110" s="5" t="str">
        <f ca="1">IFERROR(__xludf.DUMMYFUNCTION("""COMPUTED_VALUE"""),"No")</f>
        <v>No</v>
      </c>
      <c r="AA1110" s="5"/>
      <c r="AB1110" s="5" t="str">
        <f ca="1">IFERROR(__xludf.DUMMYFUNCTION("""COMPUTED_VALUE"""),"No")</f>
        <v>No</v>
      </c>
      <c r="AC1110" s="5" t="str">
        <f ca="1">IFERROR(__xludf.DUMMYFUNCTION("""COMPUTED_VALUE"""),"No")</f>
        <v>No</v>
      </c>
      <c r="AD1110" s="5" t="str">
        <f ca="1">IFERROR(__xludf.DUMMYFUNCTION("""COMPUTED_VALUE"""),"No")</f>
        <v>No</v>
      </c>
      <c r="AE1110" s="5" t="str">
        <f ca="1">IFERROR(__xludf.DUMMYFUNCTION("""COMPUTED_VALUE"""),"No")</f>
        <v>No</v>
      </c>
      <c r="AF1110" s="5" t="str">
        <f ca="1">IFERROR(__xludf.DUMMYFUNCTION("""COMPUTED_VALUE"""),"No")</f>
        <v>No</v>
      </c>
      <c r="AG1110" s="5" t="str">
        <f ca="1">IFERROR(__xludf.DUMMYFUNCTION("""COMPUTED_VALUE"""),"No")</f>
        <v>No</v>
      </c>
      <c r="AH1110" s="5"/>
    </row>
    <row r="1111" spans="1:34" ht="12.75">
      <c r="A1111" s="5" t="str">
        <f ca="1">IFERROR(__xludf.DUMMYFUNCTION("""COMPUTED_VALUE"""),"20081212NCGUA")</f>
        <v>20081212NCGUA</v>
      </c>
      <c r="B1111" s="8">
        <f ca="1">IFERROR(__xludf.DUMMYFUNCTION("""COMPUTED_VALUE"""),39794)</f>
        <v>39794</v>
      </c>
      <c r="C1111" s="5" t="str">
        <f ca="1">IFERROR(__xludf.DUMMYFUNCTION("""COMPUTED_VALUE"""),"Guy B. Teachey Elementary School")</f>
        <v>Guy B. Teachey Elementary School</v>
      </c>
      <c r="D1111" s="5">
        <f ca="1">IFERROR(__xludf.DUMMYFUNCTION("""COMPUTED_VALUE"""),1)</f>
        <v>1</v>
      </c>
      <c r="E1111" s="5">
        <f ca="1">IFERROR(__xludf.DUMMYFUNCTION("""COMPUTED_VALUE"""),0)</f>
        <v>0</v>
      </c>
      <c r="F1111" s="5">
        <f ca="1">IFERROR(__xludf.DUMMYFUNCTION("""COMPUTED_VALUE"""),1)</f>
        <v>1</v>
      </c>
      <c r="G1111" s="5">
        <f ca="1">IFERROR(__xludf.DUMMYFUNCTION("""COMPUTED_VALUE"""),0)</f>
        <v>0</v>
      </c>
      <c r="H1111" s="9" t="str">
        <f ca="1">IFERROR(__xludf.DUMMYFUNCTION("""COMPUTED_VALUE"""),"https://www.greensboro.com/news/a-playground-fight-turned-deadly/article_0aadff61-c881-5944-99d3-e81ee3468277.html")</f>
        <v>https://www.greensboro.com/news/a-playground-fight-turned-deadly/article_0aadff61-c881-5944-99d3-e81ee3468277.html</v>
      </c>
      <c r="I1111" s="5"/>
      <c r="J1111" s="5"/>
      <c r="K1111" s="5">
        <f ca="1">IFERROR(__xludf.DUMMYFUNCTION("""COMPUTED_VALUE"""),2)</f>
        <v>2</v>
      </c>
      <c r="L1111" s="5" t="str">
        <f ca="1">IFERROR(__xludf.DUMMYFUNCTION("""COMPUTED_VALUE"""),"Winter")</f>
        <v>Winter</v>
      </c>
      <c r="M1111" s="5" t="str">
        <f ca="1">IFERROR(__xludf.DUMMYFUNCTION("""COMPUTED_VALUE"""),"Asheboro")</f>
        <v>Asheboro</v>
      </c>
      <c r="N1111" s="5" t="str">
        <f ca="1">IFERROR(__xludf.DUMMYFUNCTION("""COMPUTED_VALUE"""),"NC")</f>
        <v>NC</v>
      </c>
      <c r="O1111" s="5" t="str">
        <f ca="1">IFERROR(__xludf.DUMMYFUNCTION("""COMPUTED_VALUE"""),"Elementary")</f>
        <v>Elementary</v>
      </c>
      <c r="P1111" s="5" t="str">
        <f ca="1">IFERROR(__xludf.DUMMYFUNCTION("""COMPUTED_VALUE"""),"Playground")</f>
        <v>Playground</v>
      </c>
      <c r="Q1111" s="5" t="str">
        <f ca="1">IFERROR(__xludf.DUMMYFUNCTION("""COMPUTED_VALUE"""),"Outside on School Property")</f>
        <v>Outside on School Property</v>
      </c>
      <c r="R1111" s="5" t="str">
        <f ca="1">IFERROR(__xludf.DUMMYFUNCTION("""COMPUTED_VALUE"""),"No")</f>
        <v>No</v>
      </c>
      <c r="S1111" s="5" t="str">
        <f ca="1">IFERROR(__xludf.DUMMYFUNCTION("""COMPUTED_VALUE"""),"Evening")</f>
        <v>Evening</v>
      </c>
      <c r="T1111" s="10">
        <f ca="1">IFERROR(__xludf.DUMMYFUNCTION("""COMPUTED_VALUE"""),0.9375)</f>
        <v>0.9375</v>
      </c>
      <c r="U1111" s="5">
        <f ca="1">IFERROR(__xludf.DUMMYFUNCTION("""COMPUTED_VALUE"""),1)</f>
        <v>1</v>
      </c>
      <c r="V1111"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W1111"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X1111" s="5" t="str">
        <f ca="1">IFERROR(__xludf.DUMMYFUNCTION("""COMPUTED_VALUE"""),"Accidental")</f>
        <v>Accidental</v>
      </c>
      <c r="Y1111" s="5" t="str">
        <f ca="1">IFERROR(__xludf.DUMMYFUNCTION("""COMPUTED_VALUE"""),"Random Shooting")</f>
        <v>Random Shooting</v>
      </c>
      <c r="Z1111" s="5" t="str">
        <f ca="1">IFERROR(__xludf.DUMMYFUNCTION("""COMPUTED_VALUE"""),"Yes")</f>
        <v>Yes</v>
      </c>
      <c r="AA1111" s="5" t="str">
        <f ca="1">IFERROR(__xludf.DUMMYFUNCTION("""COMPUTED_VALUE"""),"Given gun to hold by the boy she shot")</f>
        <v>Given gun to hold by the boy she shot</v>
      </c>
      <c r="AB1111" s="5" t="str">
        <f ca="1">IFERROR(__xludf.DUMMYFUNCTION("""COMPUTED_VALUE"""),"No")</f>
        <v>No</v>
      </c>
      <c r="AC1111" s="5" t="str">
        <f ca="1">IFERROR(__xludf.DUMMYFUNCTION("""COMPUTED_VALUE"""),"No")</f>
        <v>No</v>
      </c>
      <c r="AD1111" s="5" t="str">
        <f ca="1">IFERROR(__xludf.DUMMYFUNCTION("""COMPUTED_VALUE"""),"No")</f>
        <v>No</v>
      </c>
      <c r="AE1111" s="5" t="str">
        <f ca="1">IFERROR(__xludf.DUMMYFUNCTION("""COMPUTED_VALUE"""),"No")</f>
        <v>No</v>
      </c>
      <c r="AF1111" s="5" t="str">
        <f ca="1">IFERROR(__xludf.DUMMYFUNCTION("""COMPUTED_VALUE"""),"No")</f>
        <v>No</v>
      </c>
      <c r="AG1111" s="5" t="str">
        <f ca="1">IFERROR(__xludf.DUMMYFUNCTION("""COMPUTED_VALUE"""),"No")</f>
        <v>No</v>
      </c>
      <c r="AH1111" s="5"/>
    </row>
    <row r="1112" spans="1:34" ht="12.75">
      <c r="A1112" s="5" t="str">
        <f ca="1">IFERROR(__xludf.DUMMYFUNCTION("""COMPUTED_VALUE"""),"20081205MNSHF")</f>
        <v>20081205MNSHF</v>
      </c>
      <c r="B1112" s="8">
        <f ca="1">IFERROR(__xludf.DUMMYFUNCTION("""COMPUTED_VALUE"""),39787)</f>
        <v>39787</v>
      </c>
      <c r="C1112" s="5" t="str">
        <f ca="1">IFERROR(__xludf.DUMMYFUNCTION("""COMPUTED_VALUE"""),"Shattuck St. Mary's Prep School")</f>
        <v>Shattuck St. Mary's Prep School</v>
      </c>
      <c r="D1112" s="5">
        <f ca="1">IFERROR(__xludf.DUMMYFUNCTION("""COMPUTED_VALUE"""),0)</f>
        <v>0</v>
      </c>
      <c r="E1112" s="5">
        <f ca="1">IFERROR(__xludf.DUMMYFUNCTION("""COMPUTED_VALUE"""),0)</f>
        <v>0</v>
      </c>
      <c r="F1112" s="5">
        <f ca="1">IFERROR(__xludf.DUMMYFUNCTION("""COMPUTED_VALUE"""),0)</f>
        <v>0</v>
      </c>
      <c r="G1112" s="5">
        <f ca="1">IFERROR(__xludf.DUMMYFUNCTION("""COMPUTED_VALUE"""),1)</f>
        <v>1</v>
      </c>
      <c r="H1112" s="9" t="str">
        <f ca="1">IFERROR(__xludf.DUMMYFUNCTION("""COMPUTED_VALUE"""),"http://www.startribune.com/shattuck-st-mary-s-school-under-fire-on-2008-case/173333511/")</f>
        <v>http://www.startribune.com/shattuck-st-mary-s-school-under-fire-on-2008-case/173333511/</v>
      </c>
      <c r="I1112" s="5"/>
      <c r="J1112" s="5"/>
      <c r="K1112" s="5">
        <f ca="1">IFERROR(__xludf.DUMMYFUNCTION("""COMPUTED_VALUE"""),2)</f>
        <v>2</v>
      </c>
      <c r="L1112" s="5" t="str">
        <f ca="1">IFERROR(__xludf.DUMMYFUNCTION("""COMPUTED_VALUE"""),"Winter")</f>
        <v>Winter</v>
      </c>
      <c r="M1112" s="5" t="str">
        <f ca="1">IFERROR(__xludf.DUMMYFUNCTION("""COMPUTED_VALUE"""),"Faribault")</f>
        <v>Faribault</v>
      </c>
      <c r="N1112" s="5" t="str">
        <f ca="1">IFERROR(__xludf.DUMMYFUNCTION("""COMPUTED_VALUE"""),"MN")</f>
        <v>MN</v>
      </c>
      <c r="O1112" s="5" t="str">
        <f ca="1">IFERROR(__xludf.DUMMYFUNCTION("""COMPUTED_VALUE"""),"Other")</f>
        <v>Other</v>
      </c>
      <c r="P1112" s="5" t="str">
        <f ca="1">IFERROR(__xludf.DUMMYFUNCTION("""COMPUTED_VALUE"""),"Other")</f>
        <v>Other</v>
      </c>
      <c r="Q1112" s="5" t="str">
        <f ca="1">IFERROR(__xludf.DUMMYFUNCTION("""COMPUTED_VALUE"""),"Inside School Building")</f>
        <v>Inside School Building</v>
      </c>
      <c r="R1112" s="5" t="str">
        <f ca="1">IFERROR(__xludf.DUMMYFUNCTION("""COMPUTED_VALUE"""),"No")</f>
        <v>No</v>
      </c>
      <c r="S1112" s="5" t="str">
        <f ca="1">IFERROR(__xludf.DUMMYFUNCTION("""COMPUTED_VALUE"""),"Evening")</f>
        <v>Evening</v>
      </c>
      <c r="T1112" s="10">
        <f ca="1">IFERROR(__xludf.DUMMYFUNCTION("""COMPUTED_VALUE"""),0.875)</f>
        <v>0.875</v>
      </c>
      <c r="U1112" s="5">
        <f ca="1">IFERROR(__xludf.DUMMYFUNCTION("""COMPUTED_VALUE"""),1)</f>
        <v>1</v>
      </c>
      <c r="V1112" s="5" t="str">
        <f ca="1">IFERROR(__xludf.DUMMYFUNCTION("""COMPUTED_VALUE"""),"Teacher shot self in dorm, caught having affair with student")</f>
        <v>Teacher shot self in dorm, caught having affair with student</v>
      </c>
      <c r="W1112"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X1112" s="5" t="str">
        <f ca="1">IFERROR(__xludf.DUMMYFUNCTION("""COMPUTED_VALUE"""),"Suicide/Attempted")</f>
        <v>Suicide/Attempted</v>
      </c>
      <c r="Y1112" s="5" t="str">
        <f ca="1">IFERROR(__xludf.DUMMYFUNCTION("""COMPUTED_VALUE"""),"Victims Targeted")</f>
        <v>Victims Targeted</v>
      </c>
      <c r="Z1112" s="5" t="str">
        <f ca="1">IFERROR(__xludf.DUMMYFUNCTION("""COMPUTED_VALUE"""),"No")</f>
        <v>No</v>
      </c>
      <c r="AA1112" s="5"/>
      <c r="AB1112" s="5" t="str">
        <f ca="1">IFERROR(__xludf.DUMMYFUNCTION("""COMPUTED_VALUE"""),"No")</f>
        <v>No</v>
      </c>
      <c r="AC1112" s="5" t="str">
        <f ca="1">IFERROR(__xludf.DUMMYFUNCTION("""COMPUTED_VALUE"""),"No")</f>
        <v>No</v>
      </c>
      <c r="AD1112" s="5" t="str">
        <f ca="1">IFERROR(__xludf.DUMMYFUNCTION("""COMPUTED_VALUE"""),"No")</f>
        <v>No</v>
      </c>
      <c r="AE1112" s="5" t="str">
        <f ca="1">IFERROR(__xludf.DUMMYFUNCTION("""COMPUTED_VALUE"""),"No")</f>
        <v>No</v>
      </c>
      <c r="AF1112" s="5" t="str">
        <f ca="1">IFERROR(__xludf.DUMMYFUNCTION("""COMPUTED_VALUE"""),"No")</f>
        <v>No</v>
      </c>
      <c r="AG1112" s="5" t="str">
        <f ca="1">IFERROR(__xludf.DUMMYFUNCTION("""COMPUTED_VALUE"""),"No")</f>
        <v>No</v>
      </c>
      <c r="AH1112" s="5"/>
    </row>
    <row r="1113" spans="1:34" ht="12.75">
      <c r="A1113" s="5" t="str">
        <f ca="1">IFERROR(__xludf.DUMMYFUNCTION("""COMPUTED_VALUE"""),"20081202CAKIK")</f>
        <v>20081202CAKIK</v>
      </c>
      <c r="B1113" s="8">
        <f ca="1">IFERROR(__xludf.DUMMYFUNCTION("""COMPUTED_VALUE"""),39784)</f>
        <v>39784</v>
      </c>
      <c r="C1113" s="5" t="str">
        <f ca="1">IFERROR(__xludf.DUMMYFUNCTION("""COMPUTED_VALUE"""),"King City High School")</f>
        <v>King City High School</v>
      </c>
      <c r="D1113" s="5">
        <f ca="1">IFERROR(__xludf.DUMMYFUNCTION("""COMPUTED_VALUE"""),1)</f>
        <v>1</v>
      </c>
      <c r="E1113" s="5">
        <f ca="1">IFERROR(__xludf.DUMMYFUNCTION("""COMPUTED_VALUE"""),1)</f>
        <v>1</v>
      </c>
      <c r="F1113" s="5">
        <f ca="1">IFERROR(__xludf.DUMMYFUNCTION("""COMPUTED_VALUE"""),2)</f>
        <v>2</v>
      </c>
      <c r="G1113" s="5">
        <f ca="1">IFERROR(__xludf.DUMMYFUNCTION("""COMPUTED_VALUE"""),0)</f>
        <v>0</v>
      </c>
      <c r="H1113" s="9" t="str">
        <f ca="1">IFERROR(__xludf.DUMMYFUNCTION("""COMPUTED_VALUE"""),"https://www.ksbw.com/article/king-city-high-school-soccer-game-murderer-sentenced/1048897")</f>
        <v>https://www.ksbw.com/article/king-city-high-school-soccer-game-murderer-sentenced/1048897</v>
      </c>
      <c r="I1113" s="5"/>
      <c r="J1113" s="5"/>
      <c r="K1113" s="5">
        <f ca="1">IFERROR(__xludf.DUMMYFUNCTION("""COMPUTED_VALUE"""),2)</f>
        <v>2</v>
      </c>
      <c r="L1113" s="5" t="str">
        <f ca="1">IFERROR(__xludf.DUMMYFUNCTION("""COMPUTED_VALUE"""),"Winter")</f>
        <v>Winter</v>
      </c>
      <c r="M1113" s="5" t="str">
        <f ca="1">IFERROR(__xludf.DUMMYFUNCTION("""COMPUTED_VALUE"""),"King City")</f>
        <v>King City</v>
      </c>
      <c r="N1113" s="5" t="str">
        <f ca="1">IFERROR(__xludf.DUMMYFUNCTION("""COMPUTED_VALUE"""),"CA")</f>
        <v>CA</v>
      </c>
      <c r="O1113" s="5" t="str">
        <f ca="1">IFERROR(__xludf.DUMMYFUNCTION("""COMPUTED_VALUE"""),"High")</f>
        <v>High</v>
      </c>
      <c r="P1113" s="5" t="str">
        <f ca="1">IFERROR(__xludf.DUMMYFUNCTION("""COMPUTED_VALUE"""),"Field (General)")</f>
        <v>Field (General)</v>
      </c>
      <c r="Q1113" s="5" t="str">
        <f ca="1">IFERROR(__xludf.DUMMYFUNCTION("""COMPUTED_VALUE"""),"Outside on School Property")</f>
        <v>Outside on School Property</v>
      </c>
      <c r="R1113" s="5" t="str">
        <f ca="1">IFERROR(__xludf.DUMMYFUNCTION("""COMPUTED_VALUE"""),"No")</f>
        <v>No</v>
      </c>
      <c r="S1113" s="5" t="str">
        <f ca="1">IFERROR(__xludf.DUMMYFUNCTION("""COMPUTED_VALUE"""),"Sport Event")</f>
        <v>Sport Event</v>
      </c>
      <c r="T1113" s="10">
        <f ca="1">IFERROR(__xludf.DUMMYFUNCTION("""COMPUTED_VALUE"""),0.809722222222222)</f>
        <v>0.80972222222222201</v>
      </c>
      <c r="U1113" s="5">
        <f ca="1">IFERROR(__xludf.DUMMYFUNCTION("""COMPUTED_VALUE"""),1)</f>
        <v>1</v>
      </c>
      <c r="V1113" s="5" t="str">
        <f ca="1">IFERROR(__xludf.DUMMYFUNCTION("""COMPUTED_VALUE"""),"Shooting at rival gang members, hit two children in crowd")</f>
        <v>Shooting at rival gang members, hit two children in crowd</v>
      </c>
      <c r="W1113"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X1113" s="5" t="str">
        <f ca="1">IFERROR(__xludf.DUMMYFUNCTION("""COMPUTED_VALUE"""),"Escalation of Dispute")</f>
        <v>Escalation of Dispute</v>
      </c>
      <c r="Y1113" s="5" t="str">
        <f ca="1">IFERROR(__xludf.DUMMYFUNCTION("""COMPUTED_VALUE"""),"Both")</f>
        <v>Both</v>
      </c>
      <c r="Z1113" s="5" t="str">
        <f ca="1">IFERROR(__xludf.DUMMYFUNCTION("""COMPUTED_VALUE"""),"No")</f>
        <v>No</v>
      </c>
      <c r="AA1113" s="5"/>
      <c r="AB1113" s="5" t="str">
        <f ca="1">IFERROR(__xludf.DUMMYFUNCTION("""COMPUTED_VALUE"""),"No")</f>
        <v>No</v>
      </c>
      <c r="AC1113" s="5" t="str">
        <f ca="1">IFERROR(__xludf.DUMMYFUNCTION("""COMPUTED_VALUE"""),"No")</f>
        <v>No</v>
      </c>
      <c r="AD1113" s="5" t="str">
        <f ca="1">IFERROR(__xludf.DUMMYFUNCTION("""COMPUTED_VALUE"""),"No")</f>
        <v>No</v>
      </c>
      <c r="AE1113" s="5" t="str">
        <f ca="1">IFERROR(__xludf.DUMMYFUNCTION("""COMPUTED_VALUE"""),"No")</f>
        <v>No</v>
      </c>
      <c r="AF1113" s="5" t="str">
        <f ca="1">IFERROR(__xludf.DUMMYFUNCTION("""COMPUTED_VALUE"""),"No")</f>
        <v>No</v>
      </c>
      <c r="AG1113" s="5" t="str">
        <f ca="1">IFERROR(__xludf.DUMMYFUNCTION("""COMPUTED_VALUE"""),"Yes")</f>
        <v>Yes</v>
      </c>
      <c r="AH1113" s="5"/>
    </row>
    <row r="1114" spans="1:34" ht="12.75">
      <c r="A1114" s="5" t="str">
        <f ca="1">IFERROR(__xludf.DUMMYFUNCTION("""COMPUTED_VALUE"""),"20081130CAOAG")</f>
        <v>20081130CAOAG</v>
      </c>
      <c r="B1114" s="8">
        <f ca="1">IFERROR(__xludf.DUMMYFUNCTION("""COMPUTED_VALUE"""),39782)</f>
        <v>39782</v>
      </c>
      <c r="C1114" s="5" t="str">
        <f ca="1">IFERROR(__xludf.DUMMYFUNCTION("""COMPUTED_VALUE"""),"O A Peters Elementary School")</f>
        <v>O A Peters Elementary School</v>
      </c>
      <c r="D1114" s="5">
        <f ca="1">IFERROR(__xludf.DUMMYFUNCTION("""COMPUTED_VALUE"""),0)</f>
        <v>0</v>
      </c>
      <c r="E1114" s="5">
        <f ca="1">IFERROR(__xludf.DUMMYFUNCTION("""COMPUTED_VALUE"""),1)</f>
        <v>1</v>
      </c>
      <c r="F1114" s="5">
        <f ca="1">IFERROR(__xludf.DUMMYFUNCTION("""COMPUTED_VALUE"""),1)</f>
        <v>1</v>
      </c>
      <c r="G1114" s="5">
        <f ca="1">IFERROR(__xludf.DUMMYFUNCTION("""COMPUTED_VALUE"""),0)</f>
        <v>0</v>
      </c>
      <c r="H1114" s="9" t="str">
        <f ca="1">IFERROR(__xludf.DUMMYFUNCTION("""COMPUTED_VALUE"""),"https://www.columbine-angels.com/School_Violence_2008-2009.htm")</f>
        <v>https://www.columbine-angels.com/School_Violence_2008-2009.htm</v>
      </c>
      <c r="I1114" s="5"/>
      <c r="J1114" s="5"/>
      <c r="K1114" s="5">
        <f ca="1">IFERROR(__xludf.DUMMYFUNCTION("""COMPUTED_VALUE"""),1)</f>
        <v>1</v>
      </c>
      <c r="L1114" s="5" t="str">
        <f ca="1">IFERROR(__xludf.DUMMYFUNCTION("""COMPUTED_VALUE"""),"Fall")</f>
        <v>Fall</v>
      </c>
      <c r="M1114" s="5" t="str">
        <f ca="1">IFERROR(__xludf.DUMMYFUNCTION("""COMPUTED_VALUE"""),"Garden Grove")</f>
        <v>Garden Grove</v>
      </c>
      <c r="N1114" s="5" t="str">
        <f ca="1">IFERROR(__xludf.DUMMYFUNCTION("""COMPUTED_VALUE"""),"CA")</f>
        <v>CA</v>
      </c>
      <c r="O1114" s="5" t="str">
        <f ca="1">IFERROR(__xludf.DUMMYFUNCTION("""COMPUTED_VALUE"""),"Elementary")</f>
        <v>Elementary</v>
      </c>
      <c r="P1114" s="5" t="str">
        <f ca="1">IFERROR(__xludf.DUMMYFUNCTION("""COMPUTED_VALUE"""),"Basketball Court")</f>
        <v>Basketball Court</v>
      </c>
      <c r="Q1114" s="5" t="str">
        <f ca="1">IFERROR(__xludf.DUMMYFUNCTION("""COMPUTED_VALUE"""),"Outside on School Property")</f>
        <v>Outside on School Property</v>
      </c>
      <c r="R1114" s="5" t="str">
        <f ca="1">IFERROR(__xludf.DUMMYFUNCTION("""COMPUTED_VALUE"""),"No")</f>
        <v>No</v>
      </c>
      <c r="S1114" s="5" t="str">
        <f ca="1">IFERROR(__xludf.DUMMYFUNCTION("""COMPUTED_VALUE"""),"Not a School Day")</f>
        <v>Not a School Day</v>
      </c>
      <c r="T1114" s="10">
        <f ca="1">IFERROR(__xludf.DUMMYFUNCTION("""COMPUTED_VALUE"""),0.666666666666666)</f>
        <v>0.66666666666666596</v>
      </c>
      <c r="U1114" s="5">
        <f ca="1">IFERROR(__xludf.DUMMYFUNCTION("""COMPUTED_VALUE"""),1)</f>
        <v>1</v>
      </c>
      <c r="V1114" s="5" t="str">
        <f ca="1">IFERROR(__xludf.DUMMYFUNCTION("""COMPUTED_VALUE"""),"Three gang members shot at by other gang members outside of school")</f>
        <v>Three gang members shot at by other gang members outside of school</v>
      </c>
      <c r="W1114" s="5" t="str">
        <f ca="1">IFERROR(__xludf.DUMMYFUNCTION("""COMPUTED_VALUE"""),"3 gang members shot at by 3 other gang members on athletic courts at school. One injured. Shooter fled.")</f>
        <v>3 gang members shot at by 3 other gang members on athletic courts at school. One injured. Shooter fled.</v>
      </c>
      <c r="X1114" s="5" t="str">
        <f ca="1">IFERROR(__xludf.DUMMYFUNCTION("""COMPUTED_VALUE"""),"Escalation of Dispute")</f>
        <v>Escalation of Dispute</v>
      </c>
      <c r="Y1114" s="5" t="str">
        <f ca="1">IFERROR(__xludf.DUMMYFUNCTION("""COMPUTED_VALUE"""),"Victims Targeted")</f>
        <v>Victims Targeted</v>
      </c>
      <c r="Z1114" s="5" t="str">
        <f ca="1">IFERROR(__xludf.DUMMYFUNCTION("""COMPUTED_VALUE"""),"Yes")</f>
        <v>Yes</v>
      </c>
      <c r="AA1114" s="5" t="str">
        <f ca="1">IFERROR(__xludf.DUMMYFUNCTION("""COMPUTED_VALUE"""),"3 gang members")</f>
        <v>3 gang members</v>
      </c>
      <c r="AB1114" s="5" t="str">
        <f ca="1">IFERROR(__xludf.DUMMYFUNCTION("""COMPUTED_VALUE"""),"No")</f>
        <v>No</v>
      </c>
      <c r="AC1114" s="5" t="str">
        <f ca="1">IFERROR(__xludf.DUMMYFUNCTION("""COMPUTED_VALUE"""),"No")</f>
        <v>No</v>
      </c>
      <c r="AD1114" s="5" t="str">
        <f ca="1">IFERROR(__xludf.DUMMYFUNCTION("""COMPUTED_VALUE"""),"No")</f>
        <v>No</v>
      </c>
      <c r="AE1114" s="5" t="str">
        <f ca="1">IFERROR(__xludf.DUMMYFUNCTION("""COMPUTED_VALUE"""),"No")</f>
        <v>No</v>
      </c>
      <c r="AF1114" s="5" t="str">
        <f ca="1">IFERROR(__xludf.DUMMYFUNCTION("""COMPUTED_VALUE"""),"No")</f>
        <v>No</v>
      </c>
      <c r="AG1114" s="5" t="str">
        <f ca="1">IFERROR(__xludf.DUMMYFUNCTION("""COMPUTED_VALUE"""),"Yes")</f>
        <v>Yes</v>
      </c>
      <c r="AH1114" s="5"/>
    </row>
    <row r="1115" spans="1:34" ht="12.75">
      <c r="A1115" s="5" t="str">
        <f ca="1">IFERROR(__xludf.DUMMYFUNCTION("""COMPUTED_VALUE"""),"20081125TXNOH")</f>
        <v>20081125TXNOH</v>
      </c>
      <c r="B1115" s="8">
        <f ca="1">IFERROR(__xludf.DUMMYFUNCTION("""COMPUTED_VALUE"""),39777)</f>
        <v>39777</v>
      </c>
      <c r="C1115" s="5" t="str">
        <f ca="1">IFERROR(__xludf.DUMMYFUNCTION("""COMPUTED_VALUE"""),"North Forest High School")</f>
        <v>North Forest High School</v>
      </c>
      <c r="D1115" s="5">
        <f ca="1">IFERROR(__xludf.DUMMYFUNCTION("""COMPUTED_VALUE"""),0)</f>
        <v>0</v>
      </c>
      <c r="E1115" s="5">
        <f ca="1">IFERROR(__xludf.DUMMYFUNCTION("""COMPUTED_VALUE"""),1)</f>
        <v>1</v>
      </c>
      <c r="F1115" s="5">
        <f ca="1">IFERROR(__xludf.DUMMYFUNCTION("""COMPUTED_VALUE"""),1)</f>
        <v>1</v>
      </c>
      <c r="G1115" s="5">
        <f ca="1">IFERROR(__xludf.DUMMYFUNCTION("""COMPUTED_VALUE"""),0)</f>
        <v>0</v>
      </c>
      <c r="H1115" s="9" t="str">
        <f ca="1">IFERROR(__xludf.DUMMYFUNCTION("""COMPUTED_VALUE"""),"https://www.columbine-angels.com/School_Violence_2008-2009.htm")</f>
        <v>https://www.columbine-angels.com/School_Violence_2008-2009.htm</v>
      </c>
      <c r="I1115" s="5"/>
      <c r="J1115" s="5"/>
      <c r="K1115" s="5">
        <f ca="1">IFERROR(__xludf.DUMMYFUNCTION("""COMPUTED_VALUE"""),1)</f>
        <v>1</v>
      </c>
      <c r="L1115" s="5" t="str">
        <f ca="1">IFERROR(__xludf.DUMMYFUNCTION("""COMPUTED_VALUE"""),"Fall")</f>
        <v>Fall</v>
      </c>
      <c r="M1115" s="5" t="str">
        <f ca="1">IFERROR(__xludf.DUMMYFUNCTION("""COMPUTED_VALUE"""),"Houston")</f>
        <v>Houston</v>
      </c>
      <c r="N1115" s="5" t="str">
        <f ca="1">IFERROR(__xludf.DUMMYFUNCTION("""COMPUTED_VALUE"""),"TX")</f>
        <v>TX</v>
      </c>
      <c r="O1115" s="5" t="str">
        <f ca="1">IFERROR(__xludf.DUMMYFUNCTION("""COMPUTED_VALUE"""),"High")</f>
        <v>High</v>
      </c>
      <c r="P1115" s="5" t="str">
        <f ca="1">IFERROR(__xludf.DUMMYFUNCTION("""COMPUTED_VALUE"""),"Beside Building")</f>
        <v>Beside Building</v>
      </c>
      <c r="Q1115" s="5" t="str">
        <f ca="1">IFERROR(__xludf.DUMMYFUNCTION("""COMPUTED_VALUE"""),"Outside on School Property")</f>
        <v>Outside on School Property</v>
      </c>
      <c r="R1115" s="5" t="str">
        <f ca="1">IFERROR(__xludf.DUMMYFUNCTION("""COMPUTED_VALUE"""),"No")</f>
        <v>No</v>
      </c>
      <c r="S1115" s="5" t="str">
        <f ca="1">IFERROR(__xludf.DUMMYFUNCTION("""COMPUTED_VALUE"""),"School Event")</f>
        <v>School Event</v>
      </c>
      <c r="T1115" s="10">
        <f ca="1">IFERROR(__xludf.DUMMYFUNCTION("""COMPUTED_VALUE"""),0.90625)</f>
        <v>0.90625</v>
      </c>
      <c r="U1115" s="5">
        <f ca="1">IFERROR(__xludf.DUMMYFUNCTION("""COMPUTED_VALUE"""),1)</f>
        <v>1</v>
      </c>
      <c r="V1115" s="5" t="str">
        <f ca="1">IFERROR(__xludf.DUMMYFUNCTION("""COMPUTED_VALUE"""),"Shot at crowd after school function")</f>
        <v>Shot at crowd after school function</v>
      </c>
      <c r="W1115" s="5" t="str">
        <f ca="1">IFERROR(__xludf.DUMMYFUNCTION("""COMPUTED_VALUE"""),"18YOM fired at crowd leaving school function. 1 injured. Shooter fled in vehicle.")</f>
        <v>18YOM fired at crowd leaving school function. 1 injured. Shooter fled in vehicle.</v>
      </c>
      <c r="X1115" s="5" t="str">
        <f ca="1">IFERROR(__xludf.DUMMYFUNCTION("""COMPUTED_VALUE"""),"Escalation of Dispute")</f>
        <v>Escalation of Dispute</v>
      </c>
      <c r="Y1115" s="5"/>
      <c r="Z1115" s="5"/>
      <c r="AA1115" s="5" t="str">
        <f ca="1">IFERROR(__xludf.DUMMYFUNCTION("""COMPUTED_VALUE"""),"Fled in vehicle")</f>
        <v>Fled in vehicle</v>
      </c>
      <c r="AB1115" s="5" t="str">
        <f ca="1">IFERROR(__xludf.DUMMYFUNCTION("""COMPUTED_VALUE"""),"No")</f>
        <v>No</v>
      </c>
      <c r="AC1115" s="5" t="str">
        <f ca="1">IFERROR(__xludf.DUMMYFUNCTION("""COMPUTED_VALUE"""),"No")</f>
        <v>No</v>
      </c>
      <c r="AD1115" s="5" t="str">
        <f ca="1">IFERROR(__xludf.DUMMYFUNCTION("""COMPUTED_VALUE"""),"No")</f>
        <v>No</v>
      </c>
      <c r="AE1115" s="5" t="str">
        <f ca="1">IFERROR(__xludf.DUMMYFUNCTION("""COMPUTED_VALUE"""),"No")</f>
        <v>No</v>
      </c>
      <c r="AF1115" s="5" t="str">
        <f ca="1">IFERROR(__xludf.DUMMYFUNCTION("""COMPUTED_VALUE"""),"No")</f>
        <v>No</v>
      </c>
      <c r="AG1115" s="5" t="str">
        <f ca="1">IFERROR(__xludf.DUMMYFUNCTION("""COMPUTED_VALUE"""),"No")</f>
        <v>No</v>
      </c>
      <c r="AH1115" s="5"/>
    </row>
    <row r="1116" spans="1:34" ht="12.75">
      <c r="A1116" s="5" t="str">
        <f ca="1">IFERROR(__xludf.DUMMYFUNCTION("""COMPUTED_VALUE"""),"20081118CACOO")</f>
        <v>20081118CACOO</v>
      </c>
      <c r="B1116" s="8">
        <f ca="1">IFERROR(__xludf.DUMMYFUNCTION("""COMPUTED_VALUE"""),39770)</f>
        <v>39770</v>
      </c>
      <c r="C1116" s="5" t="str">
        <f ca="1">IFERROR(__xludf.DUMMYFUNCTION("""COMPUTED_VALUE"""),"Cole Middle School")</f>
        <v>Cole Middle School</v>
      </c>
      <c r="D1116" s="5">
        <f ca="1">IFERROR(__xludf.DUMMYFUNCTION("""COMPUTED_VALUE"""),0)</f>
        <v>0</v>
      </c>
      <c r="E1116" s="5">
        <f ca="1">IFERROR(__xludf.DUMMYFUNCTION("""COMPUTED_VALUE"""),0)</f>
        <v>0</v>
      </c>
      <c r="F1116" s="5">
        <f ca="1">IFERROR(__xludf.DUMMYFUNCTION("""COMPUTED_VALUE"""),0)</f>
        <v>0</v>
      </c>
      <c r="G1116" s="5">
        <f ca="1">IFERROR(__xludf.DUMMYFUNCTION("""COMPUTED_VALUE"""),0)</f>
        <v>0</v>
      </c>
      <c r="H1116" s="9" t="str">
        <f ca="1">IFERROR(__xludf.DUMMYFUNCTION("""COMPUTED_VALUE"""),"https://www.eastbaytimes.com/2008/11/24/oaklands-cole-middle-school-to-use-metal-detectors-after-recent-gun-scare/")</f>
        <v>https://www.eastbaytimes.com/2008/11/24/oaklands-cole-middle-school-to-use-metal-detectors-after-recent-gun-scare/</v>
      </c>
      <c r="I1116" s="5"/>
      <c r="J1116" s="5"/>
      <c r="K1116" s="5">
        <f ca="1">IFERROR(__xludf.DUMMYFUNCTION("""COMPUTED_VALUE"""),2)</f>
        <v>2</v>
      </c>
      <c r="L1116" s="5" t="str">
        <f ca="1">IFERROR(__xludf.DUMMYFUNCTION("""COMPUTED_VALUE"""),"Fall")</f>
        <v>Fall</v>
      </c>
      <c r="M1116" s="5" t="str">
        <f ca="1">IFERROR(__xludf.DUMMYFUNCTION("""COMPUTED_VALUE"""),"Oakland")</f>
        <v>Oakland</v>
      </c>
      <c r="N1116" s="5" t="str">
        <f ca="1">IFERROR(__xludf.DUMMYFUNCTION("""COMPUTED_VALUE"""),"CA")</f>
        <v>CA</v>
      </c>
      <c r="O1116" s="5" t="str">
        <f ca="1">IFERROR(__xludf.DUMMYFUNCTION("""COMPUTED_VALUE"""),"Middle")</f>
        <v>Middle</v>
      </c>
      <c r="P1116" s="5" t="str">
        <f ca="1">IFERROR(__xludf.DUMMYFUNCTION("""COMPUTED_VALUE"""),"Classroom")</f>
        <v>Classroom</v>
      </c>
      <c r="Q1116" s="5" t="str">
        <f ca="1">IFERROR(__xludf.DUMMYFUNCTION("""COMPUTED_VALUE"""),"Inside School Building")</f>
        <v>Inside School Building</v>
      </c>
      <c r="R1116" s="5" t="str">
        <f ca="1">IFERROR(__xludf.DUMMYFUNCTION("""COMPUTED_VALUE"""),"Yes")</f>
        <v>Yes</v>
      </c>
      <c r="S1116" s="5" t="str">
        <f ca="1">IFERROR(__xludf.DUMMYFUNCTION("""COMPUTED_VALUE"""),"Morning Classes")</f>
        <v>Morning Classes</v>
      </c>
      <c r="T1116" s="10">
        <f ca="1">IFERROR(__xludf.DUMMYFUNCTION("""COMPUTED_VALUE"""),0.354166666666666)</f>
        <v>0.35416666666666602</v>
      </c>
      <c r="U1116" s="5">
        <f ca="1">IFERROR(__xludf.DUMMYFUNCTION("""COMPUTED_VALUE"""),1)</f>
        <v>1</v>
      </c>
      <c r="V1116" s="5" t="str">
        <f ca="1">IFERROR(__xludf.DUMMYFUNCTION("""COMPUTED_VALUE"""),"Shot fired in classroom struck wall")</f>
        <v>Shot fired in classroom struck wall</v>
      </c>
      <c r="W1116" s="5" t="str">
        <f ca="1">IFERROR(__xludf.DUMMYFUNCTION("""COMPUTED_VALUE"""),"Shot was fired in classroom striking the wall. No injuries. 13YOM student arrested.")</f>
        <v>Shot was fired in classroom striking the wall. No injuries. 13YOM student arrested.</v>
      </c>
      <c r="X1116" s="5" t="str">
        <f ca="1">IFERROR(__xludf.DUMMYFUNCTION("""COMPUTED_VALUE"""),"Accidental")</f>
        <v>Accidental</v>
      </c>
      <c r="Y1116" s="5"/>
      <c r="Z1116" s="5" t="str">
        <f ca="1">IFERROR(__xludf.DUMMYFUNCTION("""COMPUTED_VALUE"""),"No")</f>
        <v>No</v>
      </c>
      <c r="AA1116" s="5"/>
      <c r="AB1116" s="5" t="str">
        <f ca="1">IFERROR(__xludf.DUMMYFUNCTION("""COMPUTED_VALUE"""),"No")</f>
        <v>No</v>
      </c>
      <c r="AC1116" s="5" t="str">
        <f ca="1">IFERROR(__xludf.DUMMYFUNCTION("""COMPUTED_VALUE"""),"No")</f>
        <v>No</v>
      </c>
      <c r="AD1116" s="5" t="str">
        <f ca="1">IFERROR(__xludf.DUMMYFUNCTION("""COMPUTED_VALUE"""),"No")</f>
        <v>No</v>
      </c>
      <c r="AE1116" s="5" t="str">
        <f ca="1">IFERROR(__xludf.DUMMYFUNCTION("""COMPUTED_VALUE"""),"No")</f>
        <v>No</v>
      </c>
      <c r="AF1116" s="5" t="str">
        <f ca="1">IFERROR(__xludf.DUMMYFUNCTION("""COMPUTED_VALUE"""),"No")</f>
        <v>No</v>
      </c>
      <c r="AG1116" s="5" t="str">
        <f ca="1">IFERROR(__xludf.DUMMYFUNCTION("""COMPUTED_VALUE"""),"No")</f>
        <v>No</v>
      </c>
      <c r="AH1116" s="5"/>
    </row>
    <row r="1117" spans="1:34" ht="12.75">
      <c r="A1117" s="5" t="str">
        <f ca="1">IFERROR(__xludf.DUMMYFUNCTION("""COMPUTED_VALUE"""),"20081118CACEC")</f>
        <v>20081118CACEC</v>
      </c>
      <c r="B1117" s="8">
        <f ca="1">IFERROR(__xludf.DUMMYFUNCTION("""COMPUTED_VALUE"""),39770)</f>
        <v>39770</v>
      </c>
      <c r="C1117" s="5" t="str">
        <f ca="1">IFERROR(__xludf.DUMMYFUNCTION("""COMPUTED_VALUE"""),"Central Valley High School")</f>
        <v>Central Valley High School</v>
      </c>
      <c r="D1117" s="5">
        <f ca="1">IFERROR(__xludf.DUMMYFUNCTION("""COMPUTED_VALUE"""),0)</f>
        <v>0</v>
      </c>
      <c r="E1117" s="5">
        <f ca="1">IFERROR(__xludf.DUMMYFUNCTION("""COMPUTED_VALUE"""),1)</f>
        <v>1</v>
      </c>
      <c r="F1117" s="5">
        <f ca="1">IFERROR(__xludf.DUMMYFUNCTION("""COMPUTED_VALUE"""),1)</f>
        <v>1</v>
      </c>
      <c r="G1117" s="5">
        <f ca="1">IFERROR(__xludf.DUMMYFUNCTION("""COMPUTED_VALUE"""),0)</f>
        <v>0</v>
      </c>
      <c r="H1117" s="9" t="str">
        <f ca="1">IFERROR(__xludf.DUMMYFUNCTION("""COMPUTED_VALUE"""),"https://www.modbee.com/latest-news/article3115798.html")</f>
        <v>https://www.modbee.com/latest-news/article3115798.html</v>
      </c>
      <c r="I1117" s="5"/>
      <c r="J1117" s="5"/>
      <c r="K1117" s="5">
        <f ca="1">IFERROR(__xludf.DUMMYFUNCTION("""COMPUTED_VALUE"""),2)</f>
        <v>2</v>
      </c>
      <c r="L1117" s="5" t="str">
        <f ca="1">IFERROR(__xludf.DUMMYFUNCTION("""COMPUTED_VALUE"""),"Fall")</f>
        <v>Fall</v>
      </c>
      <c r="M1117" s="5" t="str">
        <f ca="1">IFERROR(__xludf.DUMMYFUNCTION("""COMPUTED_VALUE"""),"Ceres")</f>
        <v>Ceres</v>
      </c>
      <c r="N1117" s="5" t="str">
        <f ca="1">IFERROR(__xludf.DUMMYFUNCTION("""COMPUTED_VALUE"""),"CA")</f>
        <v>CA</v>
      </c>
      <c r="O1117" s="5" t="str">
        <f ca="1">IFERROR(__xludf.DUMMYFUNCTION("""COMPUTED_VALUE"""),"High")</f>
        <v>High</v>
      </c>
      <c r="P1117" s="5" t="str">
        <f ca="1">IFERROR(__xludf.DUMMYFUNCTION("""COMPUTED_VALUE"""),"Front of School")</f>
        <v>Front of School</v>
      </c>
      <c r="Q1117" s="5" t="str">
        <f ca="1">IFERROR(__xludf.DUMMYFUNCTION("""COMPUTED_VALUE"""),"Outside on School Property")</f>
        <v>Outside on School Property</v>
      </c>
      <c r="R1117" s="5" t="str">
        <f ca="1">IFERROR(__xludf.DUMMYFUNCTION("""COMPUTED_VALUE"""),"Yes")</f>
        <v>Yes</v>
      </c>
      <c r="S1117" s="5" t="str">
        <f ca="1">IFERROR(__xludf.DUMMYFUNCTION("""COMPUTED_VALUE"""),"Evening")</f>
        <v>Evening</v>
      </c>
      <c r="T1117" s="10">
        <f ca="1">IFERROR(__xludf.DUMMYFUNCTION("""COMPUTED_VALUE"""),0.875)</f>
        <v>0.875</v>
      </c>
      <c r="U1117" s="5">
        <f ca="1">IFERROR(__xludf.DUMMYFUNCTION("""COMPUTED_VALUE"""),1)</f>
        <v>1</v>
      </c>
      <c r="V1117" s="5" t="str">
        <f ca="1">IFERROR(__xludf.DUMMYFUNCTION("""COMPUTED_VALUE"""),"Shot during fight outside of school")</f>
        <v>Shot during fight outside of school</v>
      </c>
      <c r="W1117" s="5" t="str">
        <f ca="1">IFERROR(__xludf.DUMMYFUNCTION("""COMPUTED_VALUE"""),"18YOM student shot 19YOM student during argument in front of school. Both were attending night classes.")</f>
        <v>18YOM student shot 19YOM student during argument in front of school. Both were attending night classes.</v>
      </c>
      <c r="X1117" s="5" t="str">
        <f ca="1">IFERROR(__xludf.DUMMYFUNCTION("""COMPUTED_VALUE"""),"Escalation of Dispute")</f>
        <v>Escalation of Dispute</v>
      </c>
      <c r="Y1117" s="5" t="str">
        <f ca="1">IFERROR(__xludf.DUMMYFUNCTION("""COMPUTED_VALUE"""),"Victims Targeted")</f>
        <v>Victims Targeted</v>
      </c>
      <c r="Z1117" s="5" t="str">
        <f ca="1">IFERROR(__xludf.DUMMYFUNCTION("""COMPUTED_VALUE"""),"No")</f>
        <v>No</v>
      </c>
      <c r="AA1117" s="5"/>
      <c r="AB1117" s="5" t="str">
        <f ca="1">IFERROR(__xludf.DUMMYFUNCTION("""COMPUTED_VALUE"""),"No")</f>
        <v>No</v>
      </c>
      <c r="AC1117" s="5" t="str">
        <f ca="1">IFERROR(__xludf.DUMMYFUNCTION("""COMPUTED_VALUE"""),"No")</f>
        <v>No</v>
      </c>
      <c r="AD1117" s="5" t="str">
        <f ca="1">IFERROR(__xludf.DUMMYFUNCTION("""COMPUTED_VALUE"""),"No")</f>
        <v>No</v>
      </c>
      <c r="AE1117" s="5" t="str">
        <f ca="1">IFERROR(__xludf.DUMMYFUNCTION("""COMPUTED_VALUE"""),"No")</f>
        <v>No</v>
      </c>
      <c r="AF1117" s="5" t="str">
        <f ca="1">IFERROR(__xludf.DUMMYFUNCTION("""COMPUTED_VALUE"""),"No")</f>
        <v>No</v>
      </c>
      <c r="AG1117" s="5" t="str">
        <f ca="1">IFERROR(__xludf.DUMMYFUNCTION("""COMPUTED_VALUE"""),"No")</f>
        <v>No</v>
      </c>
      <c r="AH1117" s="5"/>
    </row>
    <row r="1118" spans="1:34" ht="12.75">
      <c r="A1118" s="5" t="str">
        <f ca="1">IFERROR(__xludf.DUMMYFUNCTION("""COMPUTED_VALUE"""),"20081115UTDES")</f>
        <v>20081115UTDES</v>
      </c>
      <c r="B1118" s="8">
        <f ca="1">IFERROR(__xludf.DUMMYFUNCTION("""COMPUTED_VALUE"""),39767)</f>
        <v>39767</v>
      </c>
      <c r="C1118" s="5" t="str">
        <f ca="1">IFERROR(__xludf.DUMMYFUNCTION("""COMPUTED_VALUE"""),"Desert Hills High School")</f>
        <v>Desert Hills High School</v>
      </c>
      <c r="D1118" s="5">
        <f ca="1">IFERROR(__xludf.DUMMYFUNCTION("""COMPUTED_VALUE"""),1)</f>
        <v>1</v>
      </c>
      <c r="E1118" s="5">
        <f ca="1">IFERROR(__xludf.DUMMYFUNCTION("""COMPUTED_VALUE"""),0)</f>
        <v>0</v>
      </c>
      <c r="F1118" s="5">
        <f ca="1">IFERROR(__xludf.DUMMYFUNCTION("""COMPUTED_VALUE"""),1)</f>
        <v>1</v>
      </c>
      <c r="G1118" s="5">
        <f ca="1">IFERROR(__xludf.DUMMYFUNCTION("""COMPUTED_VALUE"""),0)</f>
        <v>0</v>
      </c>
      <c r="H1118"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I1118" s="5"/>
      <c r="J1118" s="5"/>
      <c r="K1118" s="5">
        <f ca="1">IFERROR(__xludf.DUMMYFUNCTION("""COMPUTED_VALUE"""),2)</f>
        <v>2</v>
      </c>
      <c r="L1118" s="5" t="str">
        <f ca="1">IFERROR(__xludf.DUMMYFUNCTION("""COMPUTED_VALUE"""),"Fall")</f>
        <v>Fall</v>
      </c>
      <c r="M1118" s="5" t="str">
        <f ca="1">IFERROR(__xludf.DUMMYFUNCTION("""COMPUTED_VALUE"""),"St. George")</f>
        <v>St. George</v>
      </c>
      <c r="N1118" s="5" t="str">
        <f ca="1">IFERROR(__xludf.DUMMYFUNCTION("""COMPUTED_VALUE"""),"UT")</f>
        <v>UT</v>
      </c>
      <c r="O1118" s="5" t="str">
        <f ca="1">IFERROR(__xludf.DUMMYFUNCTION("""COMPUTED_VALUE"""),"High")</f>
        <v>High</v>
      </c>
      <c r="P1118" s="5" t="str">
        <f ca="1">IFERROR(__xludf.DUMMYFUNCTION("""COMPUTED_VALUE"""),"Auditorium")</f>
        <v>Auditorium</v>
      </c>
      <c r="Q1118" s="5" t="str">
        <f ca="1">IFERROR(__xludf.DUMMYFUNCTION("""COMPUTED_VALUE"""),"Inside School Building")</f>
        <v>Inside School Building</v>
      </c>
      <c r="R1118" s="5" t="str">
        <f ca="1">IFERROR(__xludf.DUMMYFUNCTION("""COMPUTED_VALUE"""),"No")</f>
        <v>No</v>
      </c>
      <c r="S1118" s="5" t="str">
        <f ca="1">IFERROR(__xludf.DUMMYFUNCTION("""COMPUTED_VALUE"""),"School Event")</f>
        <v>School Event</v>
      </c>
      <c r="T1118" s="10">
        <f ca="1">IFERROR(__xludf.DUMMYFUNCTION("""COMPUTED_VALUE"""),0.763888888888888)</f>
        <v>0.76388888888888795</v>
      </c>
      <c r="U1118" s="5">
        <f ca="1">IFERROR(__xludf.DUMMYFUNCTION("""COMPUTED_VALUE"""),1)</f>
        <v>1</v>
      </c>
      <c r="V1118" s="5" t="str">
        <f ca="1">IFERROR(__xludf.DUMMYFUNCTION("""COMPUTED_VALUE"""),"Killed handling prop gun for school play that was actually a real .38 revolver")</f>
        <v>Killed handling prop gun for school play that was actually a real .38 revolver</v>
      </c>
      <c r="W1118"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X1118" s="5" t="str">
        <f ca="1">IFERROR(__xludf.DUMMYFUNCTION("""COMPUTED_VALUE"""),"Accidental")</f>
        <v>Accidental</v>
      </c>
      <c r="Y1118" s="5" t="str">
        <f ca="1">IFERROR(__xludf.DUMMYFUNCTION("""COMPUTED_VALUE"""),"Neither")</f>
        <v>Neither</v>
      </c>
      <c r="Z1118" s="5" t="str">
        <f ca="1">IFERROR(__xludf.DUMMYFUNCTION("""COMPUTED_VALUE"""),"No")</f>
        <v>No</v>
      </c>
      <c r="AA1118" s="5"/>
      <c r="AB1118" s="5" t="str">
        <f ca="1">IFERROR(__xludf.DUMMYFUNCTION("""COMPUTED_VALUE"""),"No")</f>
        <v>No</v>
      </c>
      <c r="AC1118" s="5" t="str">
        <f ca="1">IFERROR(__xludf.DUMMYFUNCTION("""COMPUTED_VALUE"""),"No")</f>
        <v>No</v>
      </c>
      <c r="AD1118" s="5" t="str">
        <f ca="1">IFERROR(__xludf.DUMMYFUNCTION("""COMPUTED_VALUE"""),"No")</f>
        <v>No</v>
      </c>
      <c r="AE1118" s="5" t="str">
        <f ca="1">IFERROR(__xludf.DUMMYFUNCTION("""COMPUTED_VALUE"""),"No")</f>
        <v>No</v>
      </c>
      <c r="AF1118" s="5" t="str">
        <f ca="1">IFERROR(__xludf.DUMMYFUNCTION("""COMPUTED_VALUE"""),"No")</f>
        <v>No</v>
      </c>
      <c r="AG1118" s="5" t="str">
        <f ca="1">IFERROR(__xludf.DUMMYFUNCTION("""COMPUTED_VALUE"""),"No")</f>
        <v>No</v>
      </c>
      <c r="AH1118" s="5"/>
    </row>
    <row r="1119" spans="1:34" ht="12.75">
      <c r="A1119" s="5" t="str">
        <f ca="1">IFERROR(__xludf.DUMMYFUNCTION("""COMPUTED_VALUE"""),"20081115COTHL")</f>
        <v>20081115COTHL</v>
      </c>
      <c r="B1119" s="8">
        <f ca="1">IFERROR(__xludf.DUMMYFUNCTION("""COMPUTED_VALUE"""),39767)</f>
        <v>39767</v>
      </c>
      <c r="C1119" s="5" t="str">
        <f ca="1">IFERROR(__xludf.DUMMYFUNCTION("""COMPUTED_VALUE"""),"Thompson Valley High School")</f>
        <v>Thompson Valley High School</v>
      </c>
      <c r="D1119" s="5">
        <f ca="1">IFERROR(__xludf.DUMMYFUNCTION("""COMPUTED_VALUE"""),1)</f>
        <v>1</v>
      </c>
      <c r="E1119" s="5">
        <f ca="1">IFERROR(__xludf.DUMMYFUNCTION("""COMPUTED_VALUE"""),0)</f>
        <v>0</v>
      </c>
      <c r="F1119" s="5">
        <f ca="1">IFERROR(__xludf.DUMMYFUNCTION("""COMPUTED_VALUE"""),1)</f>
        <v>1</v>
      </c>
      <c r="G1119" s="5">
        <f ca="1">IFERROR(__xludf.DUMMYFUNCTION("""COMPUTED_VALUE"""),0)</f>
        <v>0</v>
      </c>
      <c r="H1119" s="9" t="str">
        <f ca="1">IFERROR(__xludf.DUMMYFUNCTION("""COMPUTED_VALUE"""),"http://www.reporterherald.com/ci_18289600")</f>
        <v>http://www.reporterherald.com/ci_18289600</v>
      </c>
      <c r="I1119" s="5"/>
      <c r="J1119" s="5"/>
      <c r="K1119" s="5">
        <f ca="1">IFERROR(__xludf.DUMMYFUNCTION("""COMPUTED_VALUE"""),2)</f>
        <v>2</v>
      </c>
      <c r="L1119" s="5" t="str">
        <f ca="1">IFERROR(__xludf.DUMMYFUNCTION("""COMPUTED_VALUE"""),"Fall")</f>
        <v>Fall</v>
      </c>
      <c r="M1119" s="5" t="str">
        <f ca="1">IFERROR(__xludf.DUMMYFUNCTION("""COMPUTED_VALUE"""),"Loveland")</f>
        <v>Loveland</v>
      </c>
      <c r="N1119" s="5" t="str">
        <f ca="1">IFERROR(__xludf.DUMMYFUNCTION("""COMPUTED_VALUE"""),"CO")</f>
        <v>CO</v>
      </c>
      <c r="O1119" s="5" t="str">
        <f ca="1">IFERROR(__xludf.DUMMYFUNCTION("""COMPUTED_VALUE"""),"High")</f>
        <v>High</v>
      </c>
      <c r="P1119" s="5" t="str">
        <f ca="1">IFERROR(__xludf.DUMMYFUNCTION("""COMPUTED_VALUE"""),"Parking Lot")</f>
        <v>Parking Lot</v>
      </c>
      <c r="Q1119" s="5" t="str">
        <f ca="1">IFERROR(__xludf.DUMMYFUNCTION("""COMPUTED_VALUE"""),"Outside on School Property")</f>
        <v>Outside on School Property</v>
      </c>
      <c r="R1119" s="5" t="str">
        <f ca="1">IFERROR(__xludf.DUMMYFUNCTION("""COMPUTED_VALUE"""),"No")</f>
        <v>No</v>
      </c>
      <c r="S1119" s="5" t="str">
        <f ca="1">IFERROR(__xludf.DUMMYFUNCTION("""COMPUTED_VALUE"""),"Night")</f>
        <v>Night</v>
      </c>
      <c r="T1119" s="10">
        <f ca="1">IFERROR(__xludf.DUMMYFUNCTION("""COMPUTED_VALUE"""),0.0520833333333333)</f>
        <v>5.2083333333333301E-2</v>
      </c>
      <c r="U1119" s="5">
        <f ca="1">IFERROR(__xludf.DUMMYFUNCTION("""COMPUTED_VALUE"""),1)</f>
        <v>1</v>
      </c>
      <c r="V1119" s="5" t="str">
        <f ca="1">IFERROR(__xludf.DUMMYFUNCTION("""COMPUTED_VALUE"""),"Shots fired during late night fight in the parking lot")</f>
        <v>Shots fired during late night fight in the parking lot</v>
      </c>
      <c r="W1119"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X1119" s="5" t="str">
        <f ca="1">IFERROR(__xludf.DUMMYFUNCTION("""COMPUTED_VALUE"""),"Escalation of Dispute")</f>
        <v>Escalation of Dispute</v>
      </c>
      <c r="Y1119" s="5" t="str">
        <f ca="1">IFERROR(__xludf.DUMMYFUNCTION("""COMPUTED_VALUE"""),"Victims Targeted")</f>
        <v>Victims Targeted</v>
      </c>
      <c r="Z1119" s="5" t="str">
        <f ca="1">IFERROR(__xludf.DUMMYFUNCTION("""COMPUTED_VALUE"""),"No")</f>
        <v>No</v>
      </c>
      <c r="AA1119" s="5"/>
      <c r="AB1119" s="5" t="str">
        <f ca="1">IFERROR(__xludf.DUMMYFUNCTION("""COMPUTED_VALUE"""),"No")</f>
        <v>No</v>
      </c>
      <c r="AC1119" s="5" t="str">
        <f ca="1">IFERROR(__xludf.DUMMYFUNCTION("""COMPUTED_VALUE"""),"No")</f>
        <v>No</v>
      </c>
      <c r="AD1119" s="5" t="str">
        <f ca="1">IFERROR(__xludf.DUMMYFUNCTION("""COMPUTED_VALUE"""),"No")</f>
        <v>No</v>
      </c>
      <c r="AE1119" s="5" t="str">
        <f ca="1">IFERROR(__xludf.DUMMYFUNCTION("""COMPUTED_VALUE"""),"No")</f>
        <v>No</v>
      </c>
      <c r="AF1119" s="5" t="str">
        <f ca="1">IFERROR(__xludf.DUMMYFUNCTION("""COMPUTED_VALUE"""),"No")</f>
        <v>No</v>
      </c>
      <c r="AG1119" s="5" t="str">
        <f ca="1">IFERROR(__xludf.DUMMYFUNCTION("""COMPUTED_VALUE"""),"No")</f>
        <v>No</v>
      </c>
      <c r="AH1119" s="5"/>
    </row>
    <row r="1120" spans="1:34" ht="12.75">
      <c r="A1120" s="5" t="str">
        <f ca="1">IFERROR(__xludf.DUMMYFUNCTION("""COMPUTED_VALUE"""),"20081112FLDIF")</f>
        <v>20081112FLDIF</v>
      </c>
      <c r="B1120" s="8">
        <f ca="1">IFERROR(__xludf.DUMMYFUNCTION("""COMPUTED_VALUE"""),39764)</f>
        <v>39764</v>
      </c>
      <c r="C1120" s="5" t="str">
        <f ca="1">IFERROR(__xludf.DUMMYFUNCTION("""COMPUTED_VALUE"""),"Dillard High School")</f>
        <v>Dillard High School</v>
      </c>
      <c r="D1120" s="5">
        <f ca="1">IFERROR(__xludf.DUMMYFUNCTION("""COMPUTED_VALUE"""),1)</f>
        <v>1</v>
      </c>
      <c r="E1120" s="5">
        <f ca="1">IFERROR(__xludf.DUMMYFUNCTION("""COMPUTED_VALUE"""),0)</f>
        <v>0</v>
      </c>
      <c r="F1120" s="5">
        <f ca="1">IFERROR(__xludf.DUMMYFUNCTION("""COMPUTED_VALUE"""),1)</f>
        <v>1</v>
      </c>
      <c r="G1120" s="5">
        <f ca="1">IFERROR(__xludf.DUMMYFUNCTION("""COMPUTED_VALUE"""),0)</f>
        <v>0</v>
      </c>
      <c r="H1120" s="9" t="str">
        <f ca="1">IFERROR(__xludf.DUMMYFUNCTION("""COMPUTED_VALUE"""),"http://www.gainesville.com/news/20091210/teenage-girl-16-convicted-of-shooting-girlfriend-after-break-up")</f>
        <v>http://www.gainesville.com/news/20091210/teenage-girl-16-convicted-of-shooting-girlfriend-after-break-up</v>
      </c>
      <c r="I1120" s="5"/>
      <c r="J1120" s="5"/>
      <c r="K1120" s="5">
        <f ca="1">IFERROR(__xludf.DUMMYFUNCTION("""COMPUTED_VALUE"""),2)</f>
        <v>2</v>
      </c>
      <c r="L1120" s="5" t="str">
        <f ca="1">IFERROR(__xludf.DUMMYFUNCTION("""COMPUTED_VALUE"""),"Fall")</f>
        <v>Fall</v>
      </c>
      <c r="M1120" s="5" t="str">
        <f ca="1">IFERROR(__xludf.DUMMYFUNCTION("""COMPUTED_VALUE"""),"Fort Lauderdale")</f>
        <v>Fort Lauderdale</v>
      </c>
      <c r="N1120" s="5" t="str">
        <f ca="1">IFERROR(__xludf.DUMMYFUNCTION("""COMPUTED_VALUE"""),"FL")</f>
        <v>FL</v>
      </c>
      <c r="O1120" s="5" t="str">
        <f ca="1">IFERROR(__xludf.DUMMYFUNCTION("""COMPUTED_VALUE"""),"High")</f>
        <v>High</v>
      </c>
      <c r="P1120" s="5" t="str">
        <f ca="1">IFERROR(__xludf.DUMMYFUNCTION("""COMPUTED_VALUE"""),"Classroom")</f>
        <v>Classroom</v>
      </c>
      <c r="Q1120" s="5" t="str">
        <f ca="1">IFERROR(__xludf.DUMMYFUNCTION("""COMPUTED_VALUE"""),"Inside School Building")</f>
        <v>Inside School Building</v>
      </c>
      <c r="R1120" s="5" t="str">
        <f ca="1">IFERROR(__xludf.DUMMYFUNCTION("""COMPUTED_VALUE"""),"Yes")</f>
        <v>Yes</v>
      </c>
      <c r="S1120" s="5" t="str">
        <f ca="1">IFERROR(__xludf.DUMMYFUNCTION("""COMPUTED_VALUE"""),"Morning Classes")</f>
        <v>Morning Classes</v>
      </c>
      <c r="T1120" s="10">
        <f ca="1">IFERROR(__xludf.DUMMYFUNCTION("""COMPUTED_VALUE"""),0.458333333333333)</f>
        <v>0.45833333333333298</v>
      </c>
      <c r="U1120" s="5">
        <f ca="1">IFERROR(__xludf.DUMMYFUNCTION("""COMPUTED_VALUE"""),1)</f>
        <v>1</v>
      </c>
      <c r="V1120" s="5" t="str">
        <f ca="1">IFERROR(__xludf.DUMMYFUNCTION("""COMPUTED_VALUE"""),"Romantic Dispute, shot girl in hallway, fled and called police to surrender at a restaurant nearby")</f>
        <v>Romantic Dispute, shot girl in hallway, fled and called police to surrender at a restaurant nearby</v>
      </c>
      <c r="W1120"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X1120" s="5" t="str">
        <f ca="1">IFERROR(__xludf.DUMMYFUNCTION("""COMPUTED_VALUE"""),"Domestic w/ Targeted Victim")</f>
        <v>Domestic w/ Targeted Victim</v>
      </c>
      <c r="Y1120" s="5" t="str">
        <f ca="1">IFERROR(__xludf.DUMMYFUNCTION("""COMPUTED_VALUE"""),"Victims Targeted")</f>
        <v>Victims Targeted</v>
      </c>
      <c r="Z1120" s="5" t="str">
        <f ca="1">IFERROR(__xludf.DUMMYFUNCTION("""COMPUTED_VALUE"""),"No")</f>
        <v>No</v>
      </c>
      <c r="AA1120" s="5"/>
      <c r="AB1120" s="5" t="str">
        <f ca="1">IFERROR(__xludf.DUMMYFUNCTION("""COMPUTED_VALUE"""),"No")</f>
        <v>No</v>
      </c>
      <c r="AC1120" s="5" t="str">
        <f ca="1">IFERROR(__xludf.DUMMYFUNCTION("""COMPUTED_VALUE"""),"No")</f>
        <v>No</v>
      </c>
      <c r="AD1120" s="5" t="str">
        <f ca="1">IFERROR(__xludf.DUMMYFUNCTION("""COMPUTED_VALUE"""),"No")</f>
        <v>No</v>
      </c>
      <c r="AE1120" s="5" t="str">
        <f ca="1">IFERROR(__xludf.DUMMYFUNCTION("""COMPUTED_VALUE"""),"No")</f>
        <v>No</v>
      </c>
      <c r="AF1120" s="5" t="str">
        <f ca="1">IFERROR(__xludf.DUMMYFUNCTION("""COMPUTED_VALUE"""),"Yes")</f>
        <v>Yes</v>
      </c>
      <c r="AG1120" s="5" t="str">
        <f ca="1">IFERROR(__xludf.DUMMYFUNCTION("""COMPUTED_VALUE"""),"No")</f>
        <v>No</v>
      </c>
      <c r="AH1120" s="5"/>
    </row>
    <row r="1121" spans="1:34" ht="12.75">
      <c r="A1121" s="5" t="str">
        <f ca="1">IFERROR(__xludf.DUMMYFUNCTION("""COMPUTED_VALUE"""),"20081103CAELO")</f>
        <v>20081103CAELO</v>
      </c>
      <c r="B1121" s="8">
        <f ca="1">IFERROR(__xludf.DUMMYFUNCTION("""COMPUTED_VALUE"""),39755)</f>
        <v>39755</v>
      </c>
      <c r="C1121" s="5" t="str">
        <f ca="1">IFERROR(__xludf.DUMMYFUNCTION("""COMPUTED_VALUE"""),"El Rio Elementary School")</f>
        <v>El Rio Elementary School</v>
      </c>
      <c r="D1121" s="5">
        <f ca="1">IFERROR(__xludf.DUMMYFUNCTION("""COMPUTED_VALUE"""),0)</f>
        <v>0</v>
      </c>
      <c r="E1121" s="5">
        <f ca="1">IFERROR(__xludf.DUMMYFUNCTION("""COMPUTED_VALUE"""),0)</f>
        <v>0</v>
      </c>
      <c r="F1121" s="5">
        <f ca="1">IFERROR(__xludf.DUMMYFUNCTION("""COMPUTED_VALUE"""),0)</f>
        <v>0</v>
      </c>
      <c r="G1121" s="5">
        <f ca="1">IFERROR(__xludf.DUMMYFUNCTION("""COMPUTED_VALUE"""),0)</f>
        <v>0</v>
      </c>
      <c r="H1121" s="9" t="str">
        <f ca="1">IFERROR(__xludf.DUMMYFUNCTION("""COMPUTED_VALUE"""),"http://archive.vcstar.com/news/352401581.html/")</f>
        <v>http://archive.vcstar.com/news/352401581.html/</v>
      </c>
      <c r="I1121" s="5"/>
      <c r="J1121" s="5"/>
      <c r="K1121" s="5">
        <f ca="1">IFERROR(__xludf.DUMMYFUNCTION("""COMPUTED_VALUE"""),2)</f>
        <v>2</v>
      </c>
      <c r="L1121" s="5" t="str">
        <f ca="1">IFERROR(__xludf.DUMMYFUNCTION("""COMPUTED_VALUE"""),"Fall")</f>
        <v>Fall</v>
      </c>
      <c r="M1121" s="5" t="str">
        <f ca="1">IFERROR(__xludf.DUMMYFUNCTION("""COMPUTED_VALUE"""),"Oxnard")</f>
        <v>Oxnard</v>
      </c>
      <c r="N1121" s="5" t="str">
        <f ca="1">IFERROR(__xludf.DUMMYFUNCTION("""COMPUTED_VALUE"""),"CA")</f>
        <v>CA</v>
      </c>
      <c r="O1121" s="5" t="str">
        <f ca="1">IFERROR(__xludf.DUMMYFUNCTION("""COMPUTED_VALUE"""),"Elementary")</f>
        <v>Elementary</v>
      </c>
      <c r="P1121" s="5" t="str">
        <f ca="1">IFERROR(__xludf.DUMMYFUNCTION("""COMPUTED_VALUE"""),"Classroom; Beside Building")</f>
        <v>Classroom; Beside Building</v>
      </c>
      <c r="Q1121" s="5" t="str">
        <f ca="1">IFERROR(__xludf.DUMMYFUNCTION("""COMPUTED_VALUE"""),"Both Inside/Outside")</f>
        <v>Both Inside/Outside</v>
      </c>
      <c r="R1121" s="5" t="str">
        <f ca="1">IFERROR(__xludf.DUMMYFUNCTION("""COMPUTED_VALUE"""),"Yes")</f>
        <v>Yes</v>
      </c>
      <c r="S1121" s="5" t="str">
        <f ca="1">IFERROR(__xludf.DUMMYFUNCTION("""COMPUTED_VALUE"""),"Afternoon Classes")</f>
        <v>Afternoon Classes</v>
      </c>
      <c r="T1121" s="10">
        <f ca="1">IFERROR(__xludf.DUMMYFUNCTION("""COMPUTED_VALUE"""),0.649305555555555)</f>
        <v>0.64930555555555503</v>
      </c>
      <c r="U1121" s="5">
        <f ca="1">IFERROR(__xludf.DUMMYFUNCTION("""COMPUTED_VALUE"""),1)</f>
        <v>1</v>
      </c>
      <c r="V1121" s="5" t="str">
        <f ca="1">IFERROR(__xludf.DUMMYFUNCTION("""COMPUTED_VALUE"""),"BB gun shattered classroom window, students were evacuated, police called for shots fired, no suspect")</f>
        <v>BB gun shattered classroom window, students were evacuated, police called for shots fired, no suspect</v>
      </c>
      <c r="W1121"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X1121" s="5" t="str">
        <f ca="1">IFERROR(__xludf.DUMMYFUNCTION("""COMPUTED_VALUE"""),"Intentional Property Damage")</f>
        <v>Intentional Property Damage</v>
      </c>
      <c r="Y1121" s="5"/>
      <c r="Z1121" s="5" t="str">
        <f ca="1">IFERROR(__xludf.DUMMYFUNCTION("""COMPUTED_VALUE"""),"Unknown")</f>
        <v>Unknown</v>
      </c>
      <c r="AA1121" s="5"/>
      <c r="AB1121" s="5" t="str">
        <f ca="1">IFERROR(__xludf.DUMMYFUNCTION("""COMPUTED_VALUE"""),"No")</f>
        <v>No</v>
      </c>
      <c r="AC1121" s="5" t="str">
        <f ca="1">IFERROR(__xludf.DUMMYFUNCTION("""COMPUTED_VALUE"""),"No")</f>
        <v>No</v>
      </c>
      <c r="AD1121" s="5" t="str">
        <f ca="1">IFERROR(__xludf.DUMMYFUNCTION("""COMPUTED_VALUE"""),"No")</f>
        <v>No</v>
      </c>
      <c r="AE1121" s="5" t="str">
        <f ca="1">IFERROR(__xludf.DUMMYFUNCTION("""COMPUTED_VALUE"""),"No")</f>
        <v>No</v>
      </c>
      <c r="AF1121" s="5" t="str">
        <f ca="1">IFERROR(__xludf.DUMMYFUNCTION("""COMPUTED_VALUE"""),"No")</f>
        <v>No</v>
      </c>
      <c r="AG1121" s="5" t="str">
        <f ca="1">IFERROR(__xludf.DUMMYFUNCTION("""COMPUTED_VALUE"""),"No")</f>
        <v>No</v>
      </c>
      <c r="AH1121" s="5"/>
    </row>
    <row r="1122" spans="1:34" ht="12.75">
      <c r="A1122" s="5" t="str">
        <f ca="1">IFERROR(__xludf.DUMMYFUNCTION("""COMPUTED_VALUE"""),"20081103CABEB")</f>
        <v>20081103CABEB</v>
      </c>
      <c r="B1122" s="8">
        <f ca="1">IFERROR(__xludf.DUMMYFUNCTION("""COMPUTED_VALUE"""),39755)</f>
        <v>39755</v>
      </c>
      <c r="C1122" s="5" t="str">
        <f ca="1">IFERROR(__xludf.DUMMYFUNCTION("""COMPUTED_VALUE"""),"Bell High School")</f>
        <v>Bell High School</v>
      </c>
      <c r="D1122" s="5">
        <f ca="1">IFERROR(__xludf.DUMMYFUNCTION("""COMPUTED_VALUE"""),1)</f>
        <v>1</v>
      </c>
      <c r="E1122" s="5">
        <f ca="1">IFERROR(__xludf.DUMMYFUNCTION("""COMPUTED_VALUE"""),0)</f>
        <v>0</v>
      </c>
      <c r="F1122" s="5">
        <f ca="1">IFERROR(__xludf.DUMMYFUNCTION("""COMPUTED_VALUE"""),1)</f>
        <v>1</v>
      </c>
      <c r="G1122" s="5">
        <f ca="1">IFERROR(__xludf.DUMMYFUNCTION("""COMPUTED_VALUE"""),0)</f>
        <v>0</v>
      </c>
      <c r="H1122" s="9" t="str">
        <f ca="1">IFERROR(__xludf.DUMMYFUNCTION("""COMPUTED_VALUE"""),"http://homicide.latimes.com/post/luis-rosas/")</f>
        <v>http://homicide.latimes.com/post/luis-rosas/</v>
      </c>
      <c r="I1122" s="5"/>
      <c r="J1122" s="5"/>
      <c r="K1122" s="5">
        <f ca="1">IFERROR(__xludf.DUMMYFUNCTION("""COMPUTED_VALUE"""),2)</f>
        <v>2</v>
      </c>
      <c r="L1122" s="5" t="str">
        <f ca="1">IFERROR(__xludf.DUMMYFUNCTION("""COMPUTED_VALUE"""),"Fall")</f>
        <v>Fall</v>
      </c>
      <c r="M1122" s="5" t="str">
        <f ca="1">IFERROR(__xludf.DUMMYFUNCTION("""COMPUTED_VALUE"""),"Bell")</f>
        <v>Bell</v>
      </c>
      <c r="N1122" s="5" t="str">
        <f ca="1">IFERROR(__xludf.DUMMYFUNCTION("""COMPUTED_VALUE"""),"CA")</f>
        <v>CA</v>
      </c>
      <c r="O1122" s="5" t="str">
        <f ca="1">IFERROR(__xludf.DUMMYFUNCTION("""COMPUTED_VALUE"""),"High")</f>
        <v>High</v>
      </c>
      <c r="P1122" s="5" t="str">
        <f ca="1">IFERROR(__xludf.DUMMYFUNCTION("""COMPUTED_VALUE"""),"Gym")</f>
        <v>Gym</v>
      </c>
      <c r="Q1122" s="5" t="str">
        <f ca="1">IFERROR(__xludf.DUMMYFUNCTION("""COMPUTED_VALUE"""),"Inside School Building")</f>
        <v>Inside School Building</v>
      </c>
      <c r="R1122" s="5" t="str">
        <f ca="1">IFERROR(__xludf.DUMMYFUNCTION("""COMPUTED_VALUE"""),"No")</f>
        <v>No</v>
      </c>
      <c r="S1122" s="5" t="str">
        <f ca="1">IFERROR(__xludf.DUMMYFUNCTION("""COMPUTED_VALUE"""),"Sport Event")</f>
        <v>Sport Event</v>
      </c>
      <c r="T1122" s="10">
        <f ca="1">IFERROR(__xludf.DUMMYFUNCTION("""COMPUTED_VALUE"""),0.833333333333333)</f>
        <v>0.83333333333333304</v>
      </c>
      <c r="U1122" s="5">
        <f ca="1">IFERROR(__xludf.DUMMYFUNCTION("""COMPUTED_VALUE"""),1)</f>
        <v>1</v>
      </c>
      <c r="V1122" s="5" t="str">
        <f ca="1">IFERROR(__xludf.DUMMYFUNCTION("""COMPUTED_VALUE"""),"Man shot during basketball game, died in front of 40 people at youth basketball game")</f>
        <v>Man shot during basketball game, died in front of 40 people at youth basketball game</v>
      </c>
      <c r="W1122"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X1122" s="5" t="str">
        <f ca="1">IFERROR(__xludf.DUMMYFUNCTION("""COMPUTED_VALUE"""),"Escalation of Dispute")</f>
        <v>Escalation of Dispute</v>
      </c>
      <c r="Y1122" s="5" t="str">
        <f ca="1">IFERROR(__xludf.DUMMYFUNCTION("""COMPUTED_VALUE"""),"Victims Targeted")</f>
        <v>Victims Targeted</v>
      </c>
      <c r="Z1122" s="5" t="str">
        <f ca="1">IFERROR(__xludf.DUMMYFUNCTION("""COMPUTED_VALUE"""),"Unknown")</f>
        <v>Unknown</v>
      </c>
      <c r="AA1122" s="5"/>
      <c r="AB1122" s="5" t="str">
        <f ca="1">IFERROR(__xludf.DUMMYFUNCTION("""COMPUTED_VALUE"""),"No")</f>
        <v>No</v>
      </c>
      <c r="AC1122" s="5" t="str">
        <f ca="1">IFERROR(__xludf.DUMMYFUNCTION("""COMPUTED_VALUE"""),"No")</f>
        <v>No</v>
      </c>
      <c r="AD1122" s="5" t="str">
        <f ca="1">IFERROR(__xludf.DUMMYFUNCTION("""COMPUTED_VALUE"""),"No")</f>
        <v>No</v>
      </c>
      <c r="AE1122" s="5" t="str">
        <f ca="1">IFERROR(__xludf.DUMMYFUNCTION("""COMPUTED_VALUE"""),"No")</f>
        <v>No</v>
      </c>
      <c r="AF1122" s="5" t="str">
        <f ca="1">IFERROR(__xludf.DUMMYFUNCTION("""COMPUTED_VALUE"""),"No")</f>
        <v>No</v>
      </c>
      <c r="AG1122" s="5"/>
      <c r="AH1122" s="5"/>
    </row>
    <row r="1123" spans="1:34" ht="12.75">
      <c r="A1123" s="5" t="str">
        <f ca="1">IFERROR(__xludf.DUMMYFUNCTION("""COMPUTED_VALUE"""),"20081031MESTS")</f>
        <v>20081031MESTS</v>
      </c>
      <c r="B1123" s="8">
        <f ca="1">IFERROR(__xludf.DUMMYFUNCTION("""COMPUTED_VALUE"""),39752)</f>
        <v>39752</v>
      </c>
      <c r="C1123" s="5" t="str">
        <f ca="1">IFERROR(__xludf.DUMMYFUNCTION("""COMPUTED_VALUE"""),"Stockton Springs Elementary School")</f>
        <v>Stockton Springs Elementary School</v>
      </c>
      <c r="D1123" s="5">
        <f ca="1">IFERROR(__xludf.DUMMYFUNCTION("""COMPUTED_VALUE"""),0)</f>
        <v>0</v>
      </c>
      <c r="E1123" s="5">
        <f ca="1">IFERROR(__xludf.DUMMYFUNCTION("""COMPUTED_VALUE"""),0)</f>
        <v>0</v>
      </c>
      <c r="F1123" s="5">
        <f ca="1">IFERROR(__xludf.DUMMYFUNCTION("""COMPUTED_VALUE"""),0)</f>
        <v>0</v>
      </c>
      <c r="G1123" s="5">
        <f ca="1">IFERROR(__xludf.DUMMYFUNCTION("""COMPUTED_VALUE"""),0)</f>
        <v>0</v>
      </c>
      <c r="H1123" s="9" t="str">
        <f ca="1">IFERROR(__xludf.DUMMYFUNCTION("""COMPUTED_VALUE"""),"https://bangordailynews.com/2008/10/31/news/5th-graders-safe-after-police-arrest-armed-fugitive/")</f>
        <v>https://bangordailynews.com/2008/10/31/news/5th-graders-safe-after-police-arrest-armed-fugitive/</v>
      </c>
      <c r="I1123" s="5"/>
      <c r="J1123" s="5"/>
      <c r="K1123" s="5">
        <f ca="1">IFERROR(__xludf.DUMMYFUNCTION("""COMPUTED_VALUE"""),2)</f>
        <v>2</v>
      </c>
      <c r="L1123" s="5" t="str">
        <f ca="1">IFERROR(__xludf.DUMMYFUNCTION("""COMPUTED_VALUE"""),"Fall")</f>
        <v>Fall</v>
      </c>
      <c r="M1123" s="5" t="str">
        <f ca="1">IFERROR(__xludf.DUMMYFUNCTION("""COMPUTED_VALUE"""),"Stockton Springs")</f>
        <v>Stockton Springs</v>
      </c>
      <c r="N1123" s="5" t="str">
        <f ca="1">IFERROR(__xludf.DUMMYFUNCTION("""COMPUTED_VALUE"""),"ME")</f>
        <v>ME</v>
      </c>
      <c r="O1123" s="5" t="str">
        <f ca="1">IFERROR(__xludf.DUMMYFUNCTION("""COMPUTED_VALUE"""),"Elementary")</f>
        <v>Elementary</v>
      </c>
      <c r="P1123" s="5" t="str">
        <f ca="1">IFERROR(__xludf.DUMMYFUNCTION("""COMPUTED_VALUE"""),"Classroom")</f>
        <v>Classroom</v>
      </c>
      <c r="Q1123" s="5" t="str">
        <f ca="1">IFERROR(__xludf.DUMMYFUNCTION("""COMPUTED_VALUE"""),"Inside School Building")</f>
        <v>Inside School Building</v>
      </c>
      <c r="R1123" s="5" t="str">
        <f ca="1">IFERROR(__xludf.DUMMYFUNCTION("""COMPUTED_VALUE"""),"Yes")</f>
        <v>Yes</v>
      </c>
      <c r="S1123" s="5" t="str">
        <f ca="1">IFERROR(__xludf.DUMMYFUNCTION("""COMPUTED_VALUE"""),"Morning Classes")</f>
        <v>Morning Classes</v>
      </c>
      <c r="T1123" s="10">
        <f ca="1">IFERROR(__xludf.DUMMYFUNCTION("""COMPUTED_VALUE"""),0.354166666666666)</f>
        <v>0.35416666666666602</v>
      </c>
      <c r="U1123" s="5">
        <f ca="1">IFERROR(__xludf.DUMMYFUNCTION("""COMPUTED_VALUE"""),34)</f>
        <v>34</v>
      </c>
      <c r="V1123" s="5" t="str">
        <f ca="1">IFERROR(__xludf.DUMMYFUNCTION("""COMPUTED_VALUE"""),"Hostage standoff at school after traffic stop")</f>
        <v>Hostage standoff at school after traffic stop</v>
      </c>
      <c r="W1123"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X1123" s="5" t="str">
        <f ca="1">IFERROR(__xludf.DUMMYFUNCTION("""COMPUTED_VALUE"""),"Hostage/Standoff")</f>
        <v>Hostage/Standoff</v>
      </c>
      <c r="Y1123" s="5"/>
      <c r="Z1123" s="5" t="str">
        <f ca="1">IFERROR(__xludf.DUMMYFUNCTION("""COMPUTED_VALUE"""),"No")</f>
        <v>No</v>
      </c>
      <c r="AA1123" s="5"/>
      <c r="AB1123" s="5" t="str">
        <f ca="1">IFERROR(__xludf.DUMMYFUNCTION("""COMPUTED_VALUE"""),"Yes")</f>
        <v>Yes</v>
      </c>
      <c r="AC1123" s="5" t="str">
        <f ca="1">IFERROR(__xludf.DUMMYFUNCTION("""COMPUTED_VALUE"""),"Yes")</f>
        <v>Yes</v>
      </c>
      <c r="AD1123" s="5" t="str">
        <f ca="1">IFERROR(__xludf.DUMMYFUNCTION("""COMPUTED_VALUE"""),"No")</f>
        <v>No</v>
      </c>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IFERROR(__xludf.DUMMYFUNCTION("""COMPUTED_VALUE"""),"Yes")</f>
        <v>Yes</v>
      </c>
    </row>
    <row r="1124" spans="1:34" ht="12.75">
      <c r="A1124" s="5" t="str">
        <f ca="1">IFERROR(__xludf.DUMMYFUNCTION("""COMPUTED_VALUE"""),"20081029CAELG")</f>
        <v>20081029CAELG</v>
      </c>
      <c r="B1124" s="8">
        <f ca="1">IFERROR(__xludf.DUMMYFUNCTION("""COMPUTED_VALUE"""),39750)</f>
        <v>39750</v>
      </c>
      <c r="C1124" s="5" t="str">
        <f ca="1">IFERROR(__xludf.DUMMYFUNCTION("""COMPUTED_VALUE"""),"Eliot Elementary School")</f>
        <v>Eliot Elementary School</v>
      </c>
      <c r="D1124" s="5">
        <f ca="1">IFERROR(__xludf.DUMMYFUNCTION("""COMPUTED_VALUE"""),0)</f>
        <v>0</v>
      </c>
      <c r="E1124" s="5">
        <f ca="1">IFERROR(__xludf.DUMMYFUNCTION("""COMPUTED_VALUE"""),1)</f>
        <v>1</v>
      </c>
      <c r="F1124" s="5">
        <f ca="1">IFERROR(__xludf.DUMMYFUNCTION("""COMPUTED_VALUE"""),1)</f>
        <v>1</v>
      </c>
      <c r="G1124" s="5">
        <f ca="1">IFERROR(__xludf.DUMMYFUNCTION("""COMPUTED_VALUE"""),0)</f>
        <v>0</v>
      </c>
      <c r="H1124" s="9" t="str">
        <f ca="1">IFERROR(__xludf.DUMMYFUNCTION("""COMPUTED_VALUE"""),"https://www.columbine-angels.com/School_Violence_2008-2009.htm")</f>
        <v>https://www.columbine-angels.com/School_Violence_2008-2009.htm</v>
      </c>
      <c r="I1124" s="5"/>
      <c r="J1124" s="5"/>
      <c r="K1124" s="5">
        <f ca="1">IFERROR(__xludf.DUMMYFUNCTION("""COMPUTED_VALUE"""),1)</f>
        <v>1</v>
      </c>
      <c r="L1124" s="5" t="str">
        <f ca="1">IFERROR(__xludf.DUMMYFUNCTION("""COMPUTED_VALUE"""),"Fall")</f>
        <v>Fall</v>
      </c>
      <c r="M1124" s="5" t="str">
        <f ca="1">IFERROR(__xludf.DUMMYFUNCTION("""COMPUTED_VALUE"""),"Gilroy")</f>
        <v>Gilroy</v>
      </c>
      <c r="N1124" s="5" t="str">
        <f ca="1">IFERROR(__xludf.DUMMYFUNCTION("""COMPUTED_VALUE"""),"CA")</f>
        <v>CA</v>
      </c>
      <c r="O1124" s="5" t="str">
        <f ca="1">IFERROR(__xludf.DUMMYFUNCTION("""COMPUTED_VALUE"""),"Elementary")</f>
        <v>Elementary</v>
      </c>
      <c r="P1124" s="5" t="str">
        <f ca="1">IFERROR(__xludf.DUMMYFUNCTION("""COMPUTED_VALUE"""),"Classroom")</f>
        <v>Classroom</v>
      </c>
      <c r="Q1124" s="5" t="str">
        <f ca="1">IFERROR(__xludf.DUMMYFUNCTION("""COMPUTED_VALUE"""),"Inside School Building")</f>
        <v>Inside School Building</v>
      </c>
      <c r="R1124" s="5" t="str">
        <f ca="1">IFERROR(__xludf.DUMMYFUNCTION("""COMPUTED_VALUE"""),"Yes")</f>
        <v>Yes</v>
      </c>
      <c r="S1124" s="5" t="str">
        <f ca="1">IFERROR(__xludf.DUMMYFUNCTION("""COMPUTED_VALUE"""),"Morning Classes")</f>
        <v>Morning Classes</v>
      </c>
      <c r="T1124" s="5"/>
      <c r="U1124" s="5">
        <f ca="1">IFERROR(__xludf.DUMMYFUNCTION("""COMPUTED_VALUE"""),1)</f>
        <v>1</v>
      </c>
      <c r="V1124" s="5" t="str">
        <f ca="1">IFERROR(__xludf.DUMMYFUNCTION("""COMPUTED_VALUE"""),"Shot teacher with pellet gun in classroom")</f>
        <v>Shot teacher with pellet gun in classroom</v>
      </c>
      <c r="W1124"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X1124" s="5" t="str">
        <f ca="1">IFERROR(__xludf.DUMMYFUNCTION("""COMPUTED_VALUE"""),"Anger Over Grade/Suspension/Discipline")</f>
        <v>Anger Over Grade/Suspension/Discipline</v>
      </c>
      <c r="Y1124" s="5" t="str">
        <f ca="1">IFERROR(__xludf.DUMMYFUNCTION("""COMPUTED_VALUE"""),"Victims Targeted")</f>
        <v>Victims Targeted</v>
      </c>
      <c r="Z1124" s="5" t="str">
        <f ca="1">IFERROR(__xludf.DUMMYFUNCTION("""COMPUTED_VALUE"""),"No")</f>
        <v>No</v>
      </c>
      <c r="AA1124" s="5"/>
      <c r="AB1124" s="5" t="str">
        <f ca="1">IFERROR(__xludf.DUMMYFUNCTION("""COMPUTED_VALUE"""),"No")</f>
        <v>No</v>
      </c>
      <c r="AC1124" s="5" t="str">
        <f ca="1">IFERROR(__xludf.DUMMYFUNCTION("""COMPUTED_VALUE"""),"No")</f>
        <v>No</v>
      </c>
      <c r="AD1124" s="5" t="str">
        <f ca="1">IFERROR(__xludf.DUMMYFUNCTION("""COMPUTED_VALUE"""),"No")</f>
        <v>No</v>
      </c>
      <c r="AE1124" s="5" t="str">
        <f ca="1">IFERROR(__xludf.DUMMYFUNCTION("""COMPUTED_VALUE"""),"No")</f>
        <v>No</v>
      </c>
      <c r="AF1124" s="5" t="str">
        <f ca="1">IFERROR(__xludf.DUMMYFUNCTION("""COMPUTED_VALUE"""),"No")</f>
        <v>No</v>
      </c>
      <c r="AG1124" s="5" t="str">
        <f ca="1">IFERROR(__xludf.DUMMYFUNCTION("""COMPUTED_VALUE"""),"No")</f>
        <v>No</v>
      </c>
      <c r="AH1124" s="5"/>
    </row>
    <row r="1125" spans="1:34" ht="12.75">
      <c r="A1125" s="5" t="str">
        <f ca="1">IFERROR(__xludf.DUMMYFUNCTION("""COMPUTED_VALUE"""),"20081023ALPRP")</f>
        <v>20081023ALPRP</v>
      </c>
      <c r="B1125" s="8">
        <f ca="1">IFERROR(__xludf.DUMMYFUNCTION("""COMPUTED_VALUE"""),39744)</f>
        <v>39744</v>
      </c>
      <c r="C1125" s="5" t="str">
        <f ca="1">IFERROR(__xludf.DUMMYFUNCTION("""COMPUTED_VALUE"""),"Prattville Christian Academy")</f>
        <v>Prattville Christian Academy</v>
      </c>
      <c r="D1125" s="5">
        <f ca="1">IFERROR(__xludf.DUMMYFUNCTION("""COMPUTED_VALUE"""),0)</f>
        <v>0</v>
      </c>
      <c r="E1125" s="5">
        <f ca="1">IFERROR(__xludf.DUMMYFUNCTION("""COMPUTED_VALUE"""),1)</f>
        <v>1</v>
      </c>
      <c r="F1125" s="5">
        <f ca="1">IFERROR(__xludf.DUMMYFUNCTION("""COMPUTED_VALUE"""),1)</f>
        <v>1</v>
      </c>
      <c r="G1125" s="5">
        <f ca="1">IFERROR(__xludf.DUMMYFUNCTION("""COMPUTED_VALUE"""),0)</f>
        <v>0</v>
      </c>
      <c r="H1125" s="9" t="str">
        <f ca="1">IFERROR(__xludf.DUMMYFUNCTION("""COMPUTED_VALUE"""),"http://www.wsfa.com/story/9234390/wsfa-12-news-update-suspect-charged-with-attempted-murder-in-prattville-shooting")</f>
        <v>http://www.wsfa.com/story/9234390/wsfa-12-news-update-suspect-charged-with-attempted-murder-in-prattville-shooting</v>
      </c>
      <c r="I1125" s="5"/>
      <c r="J1125" s="5"/>
      <c r="K1125" s="5">
        <f ca="1">IFERROR(__xludf.DUMMYFUNCTION("""COMPUTED_VALUE"""),2)</f>
        <v>2</v>
      </c>
      <c r="L1125" s="5" t="str">
        <f ca="1">IFERROR(__xludf.DUMMYFUNCTION("""COMPUTED_VALUE"""),"Fall")</f>
        <v>Fall</v>
      </c>
      <c r="M1125" s="5" t="str">
        <f ca="1">IFERROR(__xludf.DUMMYFUNCTION("""COMPUTED_VALUE"""),"Prattville")</f>
        <v>Prattville</v>
      </c>
      <c r="N1125" s="5" t="str">
        <f ca="1">IFERROR(__xludf.DUMMYFUNCTION("""COMPUTED_VALUE"""),"AL")</f>
        <v>AL</v>
      </c>
      <c r="O1125" s="5" t="str">
        <f ca="1">IFERROR(__xludf.DUMMYFUNCTION("""COMPUTED_VALUE"""),"Other")</f>
        <v>Other</v>
      </c>
      <c r="P1125" s="5" t="str">
        <f ca="1">IFERROR(__xludf.DUMMYFUNCTION("""COMPUTED_VALUE"""),"Parking Lot")</f>
        <v>Parking Lot</v>
      </c>
      <c r="Q1125" s="5" t="str">
        <f ca="1">IFERROR(__xludf.DUMMYFUNCTION("""COMPUTED_VALUE"""),"Outside on School Property")</f>
        <v>Outside on School Property</v>
      </c>
      <c r="R1125" s="5" t="str">
        <f ca="1">IFERROR(__xludf.DUMMYFUNCTION("""COMPUTED_VALUE"""),"Yes")</f>
        <v>Yes</v>
      </c>
      <c r="S1125" s="5"/>
      <c r="T1125" s="5"/>
      <c r="U1125" s="5">
        <f ca="1">IFERROR(__xludf.DUMMYFUNCTION("""COMPUTED_VALUE"""),1)</f>
        <v>1</v>
      </c>
      <c r="V1125" s="5" t="str">
        <f ca="1">IFERROR(__xludf.DUMMYFUNCTION("""COMPUTED_VALUE"""),"Shot wife in school parking lot (custody dispute), waited for police to arrive")</f>
        <v>Shot wife in school parking lot (custody dispute), waited for police to arrive</v>
      </c>
      <c r="W1125"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X1125" s="5" t="str">
        <f ca="1">IFERROR(__xludf.DUMMYFUNCTION("""COMPUTED_VALUE"""),"Domestic w/ Targeted Victim")</f>
        <v>Domestic w/ Targeted Victim</v>
      </c>
      <c r="Y1125" s="5" t="str">
        <f ca="1">IFERROR(__xludf.DUMMYFUNCTION("""COMPUTED_VALUE"""),"Victims Targeted")</f>
        <v>Victims Targeted</v>
      </c>
      <c r="Z1125" s="5" t="str">
        <f ca="1">IFERROR(__xludf.DUMMYFUNCTION("""COMPUTED_VALUE"""),"No")</f>
        <v>No</v>
      </c>
      <c r="AA1125" s="5"/>
      <c r="AB1125" s="5" t="str">
        <f ca="1">IFERROR(__xludf.DUMMYFUNCTION("""COMPUTED_VALUE"""),"No")</f>
        <v>No</v>
      </c>
      <c r="AC1125" s="5" t="str">
        <f ca="1">IFERROR(__xludf.DUMMYFUNCTION("""COMPUTED_VALUE"""),"No")</f>
        <v>No</v>
      </c>
      <c r="AD1125" s="5" t="str">
        <f ca="1">IFERROR(__xludf.DUMMYFUNCTION("""COMPUTED_VALUE"""),"No")</f>
        <v>No</v>
      </c>
      <c r="AE1125" s="5" t="str">
        <f ca="1">IFERROR(__xludf.DUMMYFUNCTION("""COMPUTED_VALUE"""),"No")</f>
        <v>No</v>
      </c>
      <c r="AF1125" s="5" t="str">
        <f ca="1">IFERROR(__xludf.DUMMYFUNCTION("""COMPUTED_VALUE"""),"Yes")</f>
        <v>Yes</v>
      </c>
      <c r="AG1125" s="5" t="str">
        <f ca="1">IFERROR(__xludf.DUMMYFUNCTION("""COMPUTED_VALUE"""),"No")</f>
        <v>No</v>
      </c>
      <c r="AH1125" s="5"/>
    </row>
    <row r="1126" spans="1:34" ht="12.75">
      <c r="A1126" s="5" t="str">
        <f ca="1">IFERROR(__xludf.DUMMYFUNCTION("""COMPUTED_VALUE"""),"20081020CAVAA")</f>
        <v>20081020CAVAA</v>
      </c>
      <c r="B1126" s="8">
        <f ca="1">IFERROR(__xludf.DUMMYFUNCTION("""COMPUTED_VALUE"""),39741)</f>
        <v>39741</v>
      </c>
      <c r="C1126" s="5" t="str">
        <f ca="1">IFERROR(__xludf.DUMMYFUNCTION("""COMPUTED_VALUE"""),"Vasquez High School")</f>
        <v>Vasquez High School</v>
      </c>
      <c r="D1126" s="5">
        <f ca="1">IFERROR(__xludf.DUMMYFUNCTION("""COMPUTED_VALUE"""),0)</f>
        <v>0</v>
      </c>
      <c r="E1126" s="5">
        <f ca="1">IFERROR(__xludf.DUMMYFUNCTION("""COMPUTED_VALUE"""),0)</f>
        <v>0</v>
      </c>
      <c r="F1126" s="5">
        <f ca="1">IFERROR(__xludf.DUMMYFUNCTION("""COMPUTED_VALUE"""),0)</f>
        <v>0</v>
      </c>
      <c r="G1126" s="5">
        <f ca="1">IFERROR(__xludf.DUMMYFUNCTION("""COMPUTED_VALUE"""),1)</f>
        <v>1</v>
      </c>
      <c r="H1126" s="9" t="str">
        <f ca="1">IFERROR(__xludf.DUMMYFUNCTION("""COMPUTED_VALUE"""),"https://www.newspapers.com/image/193364114/?terms=jeremiah%2Blasater")</f>
        <v>https://www.newspapers.com/image/193364114/?terms=jeremiah%2Blasater</v>
      </c>
      <c r="I1126" s="5"/>
      <c r="J1126" s="5"/>
      <c r="K1126" s="5">
        <f ca="1">IFERROR(__xludf.DUMMYFUNCTION("""COMPUTED_VALUE"""),2)</f>
        <v>2</v>
      </c>
      <c r="L1126" s="5" t="str">
        <f ca="1">IFERROR(__xludf.DUMMYFUNCTION("""COMPUTED_VALUE"""),"Fall")</f>
        <v>Fall</v>
      </c>
      <c r="M1126" s="5" t="str">
        <f ca="1">IFERROR(__xludf.DUMMYFUNCTION("""COMPUTED_VALUE"""),"Acton")</f>
        <v>Acton</v>
      </c>
      <c r="N1126" s="5" t="str">
        <f ca="1">IFERROR(__xludf.DUMMYFUNCTION("""COMPUTED_VALUE"""),"CA")</f>
        <v>CA</v>
      </c>
      <c r="O1126" s="5" t="str">
        <f ca="1">IFERROR(__xludf.DUMMYFUNCTION("""COMPUTED_VALUE"""),"High")</f>
        <v>High</v>
      </c>
      <c r="P1126" s="5" t="str">
        <f ca="1">IFERROR(__xludf.DUMMYFUNCTION("""COMPUTED_VALUE"""),"Bathroom")</f>
        <v>Bathroom</v>
      </c>
      <c r="Q1126" s="5" t="str">
        <f ca="1">IFERROR(__xludf.DUMMYFUNCTION("""COMPUTED_VALUE"""),"Inside School Building")</f>
        <v>Inside School Building</v>
      </c>
      <c r="R1126" s="5" t="str">
        <f ca="1">IFERROR(__xludf.DUMMYFUNCTION("""COMPUTED_VALUE"""),"Yes")</f>
        <v>Yes</v>
      </c>
      <c r="S1126" s="5" t="str">
        <f ca="1">IFERROR(__xludf.DUMMYFUNCTION("""COMPUTED_VALUE"""),"Afternoon Classes")</f>
        <v>Afternoon Classes</v>
      </c>
      <c r="T1126" s="5"/>
      <c r="U1126" s="5">
        <f ca="1">IFERROR(__xludf.DUMMYFUNCTION("""COMPUTED_VALUE"""),1)</f>
        <v>1</v>
      </c>
      <c r="V1126" s="5" t="str">
        <f ca="1">IFERROR(__xludf.DUMMYFUNCTION("""COMPUTED_VALUE"""),"Suicide in bathroom following bullying")</f>
        <v>Suicide in bathroom following bullying</v>
      </c>
      <c r="W1126" s="5" t="str">
        <f ca="1">IFERROR(__xludf.DUMMYFUNCTION("""COMPUTED_VALUE"""),"14 year old male with learning disabilities shot himself in school bathroom due to relentless bullying.")</f>
        <v>14 year old male with learning disabilities shot himself in school bathroom due to relentless bullying.</v>
      </c>
      <c r="X1126" s="5" t="str">
        <f ca="1">IFERROR(__xludf.DUMMYFUNCTION("""COMPUTED_VALUE"""),"Suicide/Attempted")</f>
        <v>Suicide/Attempted</v>
      </c>
      <c r="Y1126" s="5" t="str">
        <f ca="1">IFERROR(__xludf.DUMMYFUNCTION("""COMPUTED_VALUE"""),"Victims Targeted")</f>
        <v>Victims Targeted</v>
      </c>
      <c r="Z1126" s="5" t="str">
        <f ca="1">IFERROR(__xludf.DUMMYFUNCTION("""COMPUTED_VALUE"""),"No")</f>
        <v>No</v>
      </c>
      <c r="AA1126" s="5"/>
      <c r="AB1126" s="5" t="str">
        <f ca="1">IFERROR(__xludf.DUMMYFUNCTION("""COMPUTED_VALUE"""),"No")</f>
        <v>No</v>
      </c>
      <c r="AC1126" s="5" t="str">
        <f ca="1">IFERROR(__xludf.DUMMYFUNCTION("""COMPUTED_VALUE"""),"No")</f>
        <v>No</v>
      </c>
      <c r="AD1126" s="5" t="str">
        <f ca="1">IFERROR(__xludf.DUMMYFUNCTION("""COMPUTED_VALUE"""),"No")</f>
        <v>No</v>
      </c>
      <c r="AE1126" s="5" t="str">
        <f ca="1">IFERROR(__xludf.DUMMYFUNCTION("""COMPUTED_VALUE"""),"Yes")</f>
        <v>Yes</v>
      </c>
      <c r="AF1126" s="5" t="str">
        <f ca="1">IFERROR(__xludf.DUMMYFUNCTION("""COMPUTED_VALUE"""),"No")</f>
        <v>No</v>
      </c>
      <c r="AG1126" s="5" t="str">
        <f ca="1">IFERROR(__xludf.DUMMYFUNCTION("""COMPUTED_VALUE"""),"No")</f>
        <v>No</v>
      </c>
      <c r="AH1126" s="5"/>
    </row>
    <row r="1127" spans="1:34" ht="12.75">
      <c r="A1127" s="5" t="str">
        <f ca="1">IFERROR(__xludf.DUMMYFUNCTION("""COMPUTED_VALUE"""),"20081016MIHED")</f>
        <v>20081016MIHED</v>
      </c>
      <c r="B1127" s="8">
        <f ca="1">IFERROR(__xludf.DUMMYFUNCTION("""COMPUTED_VALUE"""),39737)</f>
        <v>39737</v>
      </c>
      <c r="C1127" s="5" t="str">
        <f ca="1">IFERROR(__xludf.DUMMYFUNCTION("""COMPUTED_VALUE"""),"Henry Ford High School")</f>
        <v>Henry Ford High School</v>
      </c>
      <c r="D1127" s="5">
        <f ca="1">IFERROR(__xludf.DUMMYFUNCTION("""COMPUTED_VALUE"""),1)</f>
        <v>1</v>
      </c>
      <c r="E1127" s="5">
        <f ca="1">IFERROR(__xludf.DUMMYFUNCTION("""COMPUTED_VALUE"""),3)</f>
        <v>3</v>
      </c>
      <c r="F1127" s="5">
        <f ca="1">IFERROR(__xludf.DUMMYFUNCTION("""COMPUTED_VALUE"""),4)</f>
        <v>4</v>
      </c>
      <c r="G1127" s="5">
        <f ca="1">IFERROR(__xludf.DUMMYFUNCTION("""COMPUTED_VALUE"""),0)</f>
        <v>0</v>
      </c>
      <c r="H1127" s="9" t="str">
        <f ca="1">IFERROR(__xludf.DUMMYFUNCTION("""COMPUTED_VALUE"""),"http://www.foxnews.com/story/2008/10/16/teen-killed-in-shooting-near-detroit-high-school.html")</f>
        <v>http://www.foxnews.com/story/2008/10/16/teen-killed-in-shooting-near-detroit-high-school.html</v>
      </c>
      <c r="I1127" s="5"/>
      <c r="J1127" s="5"/>
      <c r="K1127" s="5">
        <f ca="1">IFERROR(__xludf.DUMMYFUNCTION("""COMPUTED_VALUE"""),2)</f>
        <v>2</v>
      </c>
      <c r="L1127" s="5" t="str">
        <f ca="1">IFERROR(__xludf.DUMMYFUNCTION("""COMPUTED_VALUE"""),"Fall")</f>
        <v>Fall</v>
      </c>
      <c r="M1127" s="5" t="str">
        <f ca="1">IFERROR(__xludf.DUMMYFUNCTION("""COMPUTED_VALUE"""),"Detroit")</f>
        <v>Detroit</v>
      </c>
      <c r="N1127" s="5" t="str">
        <f ca="1">IFERROR(__xludf.DUMMYFUNCTION("""COMPUTED_VALUE"""),"MI")</f>
        <v>MI</v>
      </c>
      <c r="O1127" s="5" t="str">
        <f ca="1">IFERROR(__xludf.DUMMYFUNCTION("""COMPUTED_VALUE"""),"High")</f>
        <v>High</v>
      </c>
      <c r="P1127" s="5" t="str">
        <f ca="1">IFERROR(__xludf.DUMMYFUNCTION("""COMPUTED_VALUE"""),"Front of School")</f>
        <v>Front of School</v>
      </c>
      <c r="Q1127" s="5" t="str">
        <f ca="1">IFERROR(__xludf.DUMMYFUNCTION("""COMPUTED_VALUE"""),"Outside on School Property")</f>
        <v>Outside on School Property</v>
      </c>
      <c r="R1127" s="5" t="str">
        <f ca="1">IFERROR(__xludf.DUMMYFUNCTION("""COMPUTED_VALUE"""),"No")</f>
        <v>No</v>
      </c>
      <c r="S1127" s="5" t="str">
        <f ca="1">IFERROR(__xludf.DUMMYFUNCTION("""COMPUTED_VALUE"""),"Dismissal")</f>
        <v>Dismissal</v>
      </c>
      <c r="T1127" s="10">
        <f ca="1">IFERROR(__xludf.DUMMYFUNCTION("""COMPUTED_VALUE"""),0.635416666666666)</f>
        <v>0.63541666666666596</v>
      </c>
      <c r="U1127" s="5">
        <f ca="1">IFERROR(__xludf.DUMMYFUNCTION("""COMPUTED_VALUE"""),1)</f>
        <v>1</v>
      </c>
      <c r="V1127" s="5" t="str">
        <f ca="1">IFERROR(__xludf.DUMMYFUNCTION("""COMPUTED_VALUE"""),"Gang-related drive-by outside of school")</f>
        <v>Gang-related drive-by outside of school</v>
      </c>
      <c r="W1127" s="5" t="str">
        <f ca="1">IFERROR(__xludf.DUMMYFUNCTION("""COMPUTED_VALUE"""),"Drive-by shootings outside of school. Shooter targeted specific victims associated with a rival gang.")</f>
        <v>Drive-by shootings outside of school. Shooter targeted specific victims associated with a rival gang.</v>
      </c>
      <c r="X1127" s="5" t="str">
        <f ca="1">IFERROR(__xludf.DUMMYFUNCTION("""COMPUTED_VALUE"""),"Drive-by Shooting")</f>
        <v>Drive-by Shooting</v>
      </c>
      <c r="Y1127" s="5" t="str">
        <f ca="1">IFERROR(__xludf.DUMMYFUNCTION("""COMPUTED_VALUE"""),"Both")</f>
        <v>Both</v>
      </c>
      <c r="Z1127" s="5" t="str">
        <f ca="1">IFERROR(__xludf.DUMMYFUNCTION("""COMPUTED_VALUE"""),"Yes")</f>
        <v>Yes</v>
      </c>
      <c r="AA1127" s="5" t="str">
        <f ca="1">IFERROR(__xludf.DUMMYFUNCTION("""COMPUTED_VALUE"""),"3 students in car during drive by")</f>
        <v>3 students in car during drive by</v>
      </c>
      <c r="AB1127" s="5" t="str">
        <f ca="1">IFERROR(__xludf.DUMMYFUNCTION("""COMPUTED_VALUE"""),"No")</f>
        <v>No</v>
      </c>
      <c r="AC1127" s="5" t="str">
        <f ca="1">IFERROR(__xludf.DUMMYFUNCTION("""COMPUTED_VALUE"""),"No")</f>
        <v>No</v>
      </c>
      <c r="AD1127" s="5" t="str">
        <f ca="1">IFERROR(__xludf.DUMMYFUNCTION("""COMPUTED_VALUE"""),"No")</f>
        <v>No</v>
      </c>
      <c r="AE1127" s="5" t="str">
        <f ca="1">IFERROR(__xludf.DUMMYFUNCTION("""COMPUTED_VALUE"""),"No")</f>
        <v>No</v>
      </c>
      <c r="AF1127" s="5" t="str">
        <f ca="1">IFERROR(__xludf.DUMMYFUNCTION("""COMPUTED_VALUE"""),"No")</f>
        <v>No</v>
      </c>
      <c r="AG1127" s="5" t="str">
        <f ca="1">IFERROR(__xludf.DUMMYFUNCTION("""COMPUTED_VALUE"""),"Yes")</f>
        <v>Yes</v>
      </c>
      <c r="AH1127" s="5"/>
    </row>
    <row r="1128" spans="1:34" ht="12.75">
      <c r="A1128" s="5" t="str">
        <f ca="1">IFERROR(__xludf.DUMMYFUNCTION("""COMPUTED_VALUE"""),"20080919CAGEA")</f>
        <v>20080919CAGEA</v>
      </c>
      <c r="B1128" s="8">
        <f ca="1">IFERROR(__xludf.DUMMYFUNCTION("""COMPUTED_VALUE"""),39710)</f>
        <v>39710</v>
      </c>
      <c r="C1128" s="5" t="str">
        <f ca="1">IFERROR(__xludf.DUMMYFUNCTION("""COMPUTED_VALUE"""),"George Washington Preparatory High School")</f>
        <v>George Washington Preparatory High School</v>
      </c>
      <c r="D1128" s="5">
        <f ca="1">IFERROR(__xludf.DUMMYFUNCTION("""COMPUTED_VALUE"""),0)</f>
        <v>0</v>
      </c>
      <c r="E1128" s="5">
        <f ca="1">IFERROR(__xludf.DUMMYFUNCTION("""COMPUTED_VALUE"""),2)</f>
        <v>2</v>
      </c>
      <c r="F1128" s="5">
        <f ca="1">IFERROR(__xludf.DUMMYFUNCTION("""COMPUTED_VALUE"""),2)</f>
        <v>2</v>
      </c>
      <c r="G1128" s="5">
        <f ca="1">IFERROR(__xludf.DUMMYFUNCTION("""COMPUTED_VALUE"""),0)</f>
        <v>0</v>
      </c>
      <c r="H1128" s="9" t="str">
        <f ca="1">IFERROR(__xludf.DUMMYFUNCTION("""COMPUTED_VALUE"""),"http://www.latimes.com/local/la-me-shoot21-2008sep21-story.html")</f>
        <v>http://www.latimes.com/local/la-me-shoot21-2008sep21-story.html</v>
      </c>
      <c r="I1128" s="5"/>
      <c r="J1128" s="5"/>
      <c r="K1128" s="5">
        <f ca="1">IFERROR(__xludf.DUMMYFUNCTION("""COMPUTED_VALUE"""),2)</f>
        <v>2</v>
      </c>
      <c r="L1128" s="5" t="str">
        <f ca="1">IFERROR(__xludf.DUMMYFUNCTION("""COMPUTED_VALUE"""),"Fall")</f>
        <v>Fall</v>
      </c>
      <c r="M1128" s="5" t="str">
        <f ca="1">IFERROR(__xludf.DUMMYFUNCTION("""COMPUTED_VALUE"""),"Athens")</f>
        <v>Athens</v>
      </c>
      <c r="N1128" s="5" t="str">
        <f ca="1">IFERROR(__xludf.DUMMYFUNCTION("""COMPUTED_VALUE"""),"CA")</f>
        <v>CA</v>
      </c>
      <c r="O1128" s="5" t="str">
        <f ca="1">IFERROR(__xludf.DUMMYFUNCTION("""COMPUTED_VALUE"""),"High")</f>
        <v>High</v>
      </c>
      <c r="P1128" s="5" t="str">
        <f ca="1">IFERROR(__xludf.DUMMYFUNCTION("""COMPUTED_VALUE"""),"Football Field/Track")</f>
        <v>Football Field/Track</v>
      </c>
      <c r="Q1128" s="5" t="str">
        <f ca="1">IFERROR(__xludf.DUMMYFUNCTION("""COMPUTED_VALUE"""),"Outside on School Property")</f>
        <v>Outside on School Property</v>
      </c>
      <c r="R1128" s="5" t="str">
        <f ca="1">IFERROR(__xludf.DUMMYFUNCTION("""COMPUTED_VALUE"""),"No")</f>
        <v>No</v>
      </c>
      <c r="S1128" s="5" t="str">
        <f ca="1">IFERROR(__xludf.DUMMYFUNCTION("""COMPUTED_VALUE"""),"Sport Event")</f>
        <v>Sport Event</v>
      </c>
      <c r="T1128" s="10">
        <f ca="1">IFERROR(__xludf.DUMMYFUNCTION("""COMPUTED_VALUE"""),0.75)</f>
        <v>0.75</v>
      </c>
      <c r="U1128" s="5">
        <f ca="1">IFERROR(__xludf.DUMMYFUNCTION("""COMPUTED_VALUE"""),1)</f>
        <v>1</v>
      </c>
      <c r="V1128" s="5" t="str">
        <f ca="1">IFERROR(__xludf.DUMMYFUNCTION("""COMPUTED_VALUE"""),"Gang related shooting after football game")</f>
        <v>Gang related shooting after football game</v>
      </c>
      <c r="W1128"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X1128" s="5" t="str">
        <f ca="1">IFERROR(__xludf.DUMMYFUNCTION("""COMPUTED_VALUE"""),"Escalation of Dispute")</f>
        <v>Escalation of Dispute</v>
      </c>
      <c r="Y1128" s="5" t="str">
        <f ca="1">IFERROR(__xludf.DUMMYFUNCTION("""COMPUTED_VALUE"""),"Both")</f>
        <v>Both</v>
      </c>
      <c r="Z1128" s="5" t="str">
        <f ca="1">IFERROR(__xludf.DUMMYFUNCTION("""COMPUTED_VALUE"""),"Yes")</f>
        <v>Yes</v>
      </c>
      <c r="AA1128" s="5" t="str">
        <f ca="1">IFERROR(__xludf.DUMMYFUNCTION("""COMPUTED_VALUE"""),"4 arrested")</f>
        <v>4 arrested</v>
      </c>
      <c r="AB1128" s="5" t="str">
        <f ca="1">IFERROR(__xludf.DUMMYFUNCTION("""COMPUTED_VALUE"""),"No")</f>
        <v>No</v>
      </c>
      <c r="AC1128" s="5" t="str">
        <f ca="1">IFERROR(__xludf.DUMMYFUNCTION("""COMPUTED_VALUE"""),"No")</f>
        <v>No</v>
      </c>
      <c r="AD1128" s="5" t="str">
        <f ca="1">IFERROR(__xludf.DUMMYFUNCTION("""COMPUTED_VALUE"""),"No")</f>
        <v>No</v>
      </c>
      <c r="AE1128" s="5" t="str">
        <f ca="1">IFERROR(__xludf.DUMMYFUNCTION("""COMPUTED_VALUE"""),"No")</f>
        <v>No</v>
      </c>
      <c r="AF1128" s="5" t="str">
        <f ca="1">IFERROR(__xludf.DUMMYFUNCTION("""COMPUTED_VALUE"""),"No")</f>
        <v>No</v>
      </c>
      <c r="AG1128" s="5" t="str">
        <f ca="1">IFERROR(__xludf.DUMMYFUNCTION("""COMPUTED_VALUE"""),"Yes")</f>
        <v>Yes</v>
      </c>
      <c r="AH1128" s="5"/>
    </row>
    <row r="1129" spans="1:34" ht="12.75">
      <c r="A1129" s="5" t="str">
        <f ca="1">IFERROR(__xludf.DUMMYFUNCTION("""COMPUTED_VALUE"""),"20080915CAMIS")</f>
        <v>20080915CAMIS</v>
      </c>
      <c r="B1129" s="8">
        <f ca="1">IFERROR(__xludf.DUMMYFUNCTION("""COMPUTED_VALUE"""),39706)</f>
        <v>39706</v>
      </c>
      <c r="C1129" s="5" t="str">
        <f ca="1">IFERROR(__xludf.DUMMYFUNCTION("""COMPUTED_VALUE"""),"Mira Loma High School")</f>
        <v>Mira Loma High School</v>
      </c>
      <c r="D1129" s="5">
        <f ca="1">IFERROR(__xludf.DUMMYFUNCTION("""COMPUTED_VALUE"""),0)</f>
        <v>0</v>
      </c>
      <c r="E1129" s="5">
        <f ca="1">IFERROR(__xludf.DUMMYFUNCTION("""COMPUTED_VALUE"""),0)</f>
        <v>0</v>
      </c>
      <c r="F1129" s="5">
        <f ca="1">IFERROR(__xludf.DUMMYFUNCTION("""COMPUTED_VALUE"""),0)</f>
        <v>0</v>
      </c>
      <c r="G1129" s="5">
        <f ca="1">IFERROR(__xludf.DUMMYFUNCTION("""COMPUTED_VALUE"""),1)</f>
        <v>1</v>
      </c>
      <c r="H1129" s="9" t="str">
        <f ca="1">IFERROR(__xludf.DUMMYFUNCTION("""COMPUTED_VALUE"""),"https://www.mcclatchydc.com/news/nation-world/national/article24600571.html")</f>
        <v>https://www.mcclatchydc.com/news/nation-world/national/article24600571.html</v>
      </c>
      <c r="I1129" s="5"/>
      <c r="J1129" s="5"/>
      <c r="K1129" s="5">
        <f ca="1">IFERROR(__xludf.DUMMYFUNCTION("""COMPUTED_VALUE"""),2)</f>
        <v>2</v>
      </c>
      <c r="L1129" s="5" t="str">
        <f ca="1">IFERROR(__xludf.DUMMYFUNCTION("""COMPUTED_VALUE"""),"Fall")</f>
        <v>Fall</v>
      </c>
      <c r="M1129" s="5" t="str">
        <f ca="1">IFERROR(__xludf.DUMMYFUNCTION("""COMPUTED_VALUE"""),"Sacramento")</f>
        <v>Sacramento</v>
      </c>
      <c r="N1129" s="5" t="str">
        <f ca="1">IFERROR(__xludf.DUMMYFUNCTION("""COMPUTED_VALUE"""),"CA")</f>
        <v>CA</v>
      </c>
      <c r="O1129" s="5" t="str">
        <f ca="1">IFERROR(__xludf.DUMMYFUNCTION("""COMPUTED_VALUE"""),"High")</f>
        <v>High</v>
      </c>
      <c r="P1129" s="5" t="str">
        <f ca="1">IFERROR(__xludf.DUMMYFUNCTION("""COMPUTED_VALUE"""),"Bathroom")</f>
        <v>Bathroom</v>
      </c>
      <c r="Q1129" s="5" t="str">
        <f ca="1">IFERROR(__xludf.DUMMYFUNCTION("""COMPUTED_VALUE"""),"Inside School Building")</f>
        <v>Inside School Building</v>
      </c>
      <c r="R1129" s="5" t="str">
        <f ca="1">IFERROR(__xludf.DUMMYFUNCTION("""COMPUTED_VALUE"""),"Yes")</f>
        <v>Yes</v>
      </c>
      <c r="S1129" s="5" t="str">
        <f ca="1">IFERROR(__xludf.DUMMYFUNCTION("""COMPUTED_VALUE"""),"Morning Classes")</f>
        <v>Morning Classes</v>
      </c>
      <c r="T1129" s="5"/>
      <c r="U1129" s="5">
        <f ca="1">IFERROR(__xludf.DUMMYFUNCTION("""COMPUTED_VALUE"""),1)</f>
        <v>1</v>
      </c>
      <c r="V1129" s="5" t="str">
        <f ca="1">IFERROR(__xludf.DUMMYFUNCTION("""COMPUTED_VALUE"""),"Shot self in school bathroom, bullied for being gay")</f>
        <v>Shot self in school bathroom, bullied for being gay</v>
      </c>
      <c r="W1129" s="5" t="str">
        <f ca="1">IFERROR(__xludf.DUMMYFUNCTION("""COMPUTED_VALUE"""),"17YOM commit suicide in school bathroom. Was bullied for being gay through emails and text messages.")</f>
        <v>17YOM commit suicide in school bathroom. Was bullied for being gay through emails and text messages.</v>
      </c>
      <c r="X1129" s="5" t="str">
        <f ca="1">IFERROR(__xludf.DUMMYFUNCTION("""COMPUTED_VALUE"""),"Suicide/Attempted")</f>
        <v>Suicide/Attempted</v>
      </c>
      <c r="Y1129" s="5" t="str">
        <f ca="1">IFERROR(__xludf.DUMMYFUNCTION("""COMPUTED_VALUE"""),"Victims Targeted")</f>
        <v>Victims Targeted</v>
      </c>
      <c r="Z1129" s="5" t="str">
        <f ca="1">IFERROR(__xludf.DUMMYFUNCTION("""COMPUTED_VALUE"""),"No")</f>
        <v>No</v>
      </c>
      <c r="AA1129" s="5"/>
      <c r="AB1129" s="5" t="str">
        <f ca="1">IFERROR(__xludf.DUMMYFUNCTION("""COMPUTED_VALUE"""),"No")</f>
        <v>No</v>
      </c>
      <c r="AC1129" s="5" t="str">
        <f ca="1">IFERROR(__xludf.DUMMYFUNCTION("""COMPUTED_VALUE"""),"No")</f>
        <v>No</v>
      </c>
      <c r="AD1129" s="5" t="str">
        <f ca="1">IFERROR(__xludf.DUMMYFUNCTION("""COMPUTED_VALUE"""),"No")</f>
        <v>No</v>
      </c>
      <c r="AE1129" s="5" t="str">
        <f ca="1">IFERROR(__xludf.DUMMYFUNCTION("""COMPUTED_VALUE"""),"Yes")</f>
        <v>Yes</v>
      </c>
      <c r="AF1129" s="5" t="str">
        <f ca="1">IFERROR(__xludf.DUMMYFUNCTION("""COMPUTED_VALUE"""),"No")</f>
        <v>No</v>
      </c>
      <c r="AG1129" s="5" t="str">
        <f ca="1">IFERROR(__xludf.DUMMYFUNCTION("""COMPUTED_VALUE"""),"No")</f>
        <v>No</v>
      </c>
      <c r="AH1129" s="5"/>
    </row>
    <row r="1130" spans="1:34" ht="12.75">
      <c r="A1130" s="5" t="str">
        <f ca="1">IFERROR(__xludf.DUMMYFUNCTION("""COMPUTED_VALUE"""),"20080902OHSOW")</f>
        <v>20080902OHSOW</v>
      </c>
      <c r="B1130" s="8">
        <f ca="1">IFERROR(__xludf.DUMMYFUNCTION("""COMPUTED_VALUE"""),39693)</f>
        <v>39693</v>
      </c>
      <c r="C1130" s="5" t="str">
        <f ca="1">IFERROR(__xludf.DUMMYFUNCTION("""COMPUTED_VALUE"""),"South High School")</f>
        <v>South High School</v>
      </c>
      <c r="D1130" s="5">
        <f ca="1">IFERROR(__xludf.DUMMYFUNCTION("""COMPUTED_VALUE"""),0)</f>
        <v>0</v>
      </c>
      <c r="E1130" s="5">
        <f ca="1">IFERROR(__xludf.DUMMYFUNCTION("""COMPUTED_VALUE"""),0)</f>
        <v>0</v>
      </c>
      <c r="F1130" s="5">
        <f ca="1">IFERROR(__xludf.DUMMYFUNCTION("""COMPUTED_VALUE"""),0)</f>
        <v>0</v>
      </c>
      <c r="G1130" s="5">
        <f ca="1">IFERROR(__xludf.DUMMYFUNCTION("""COMPUTED_VALUE"""),0)</f>
        <v>0</v>
      </c>
      <c r="H1130"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I1130" s="5"/>
      <c r="J1130" s="5" t="str">
        <f ca="1">IFERROR(__xludf.DUMMYFUNCTION("""COMPUTED_VALUE"""),"National")</f>
        <v>National</v>
      </c>
      <c r="K1130" s="5">
        <f ca="1">IFERROR(__xludf.DUMMYFUNCTION("""COMPUTED_VALUE"""),5)</f>
        <v>5</v>
      </c>
      <c r="L1130" s="5" t="str">
        <f ca="1">IFERROR(__xludf.DUMMYFUNCTION("""COMPUTED_VALUE"""),"Fall")</f>
        <v>Fall</v>
      </c>
      <c r="M1130" s="5" t="str">
        <f ca="1">IFERROR(__xludf.DUMMYFUNCTION("""COMPUTED_VALUE"""),"Willoughby")</f>
        <v>Willoughby</v>
      </c>
      <c r="N1130" s="5" t="str">
        <f ca="1">IFERROR(__xludf.DUMMYFUNCTION("""COMPUTED_VALUE"""),"OH")</f>
        <v>OH</v>
      </c>
      <c r="O1130" s="5" t="str">
        <f ca="1">IFERROR(__xludf.DUMMYFUNCTION("""COMPUTED_VALUE"""),"High")</f>
        <v>High</v>
      </c>
      <c r="P1130" s="5" t="str">
        <f ca="1">IFERROR(__xludf.DUMMYFUNCTION("""COMPUTED_VALUE"""),"Classroom")</f>
        <v>Classroom</v>
      </c>
      <c r="Q1130" s="5" t="str">
        <f ca="1">IFERROR(__xludf.DUMMYFUNCTION("""COMPUTED_VALUE"""),"Inside School Building")</f>
        <v>Inside School Building</v>
      </c>
      <c r="R1130" s="5" t="str">
        <f ca="1">IFERROR(__xludf.DUMMYFUNCTION("""COMPUTED_VALUE"""),"Yes")</f>
        <v>Yes</v>
      </c>
      <c r="S1130" s="5" t="str">
        <f ca="1">IFERROR(__xludf.DUMMYFUNCTION("""COMPUTED_VALUE"""),"Morning Classes")</f>
        <v>Morning Classes</v>
      </c>
      <c r="T1130" s="5"/>
      <c r="U1130" s="5">
        <f ca="1">IFERROR(__xludf.DUMMYFUNCTION("""COMPUTED_VALUE"""),5)</f>
        <v>5</v>
      </c>
      <c r="V1130"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W1130"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X1130" s="5" t="str">
        <f ca="1">IFERROR(__xludf.DUMMYFUNCTION("""COMPUTED_VALUE"""),"Indiscriminate Shooting")</f>
        <v>Indiscriminate Shooting</v>
      </c>
      <c r="Y1130" s="5" t="str">
        <f ca="1">IFERROR(__xludf.DUMMYFUNCTION("""COMPUTED_VALUE"""),"Victims Targeted")</f>
        <v>Victims Targeted</v>
      </c>
      <c r="Z1130" s="5" t="str">
        <f ca="1">IFERROR(__xludf.DUMMYFUNCTION("""COMPUTED_VALUE"""),"No")</f>
        <v>No</v>
      </c>
      <c r="AA1130" s="5"/>
      <c r="AB1130" s="5" t="str">
        <f ca="1">IFERROR(__xludf.DUMMYFUNCTION("""COMPUTED_VALUE"""),"No")</f>
        <v>No</v>
      </c>
      <c r="AC1130" s="5" t="str">
        <f ca="1">IFERROR(__xludf.DUMMYFUNCTION("""COMPUTED_VALUE"""),"No")</f>
        <v>No</v>
      </c>
      <c r="AD1130" s="5" t="str">
        <f ca="1">IFERROR(__xludf.DUMMYFUNCTION("""COMPUTED_VALUE"""),"No")</f>
        <v>No</v>
      </c>
      <c r="AE1130" s="5" t="str">
        <f ca="1">IFERROR(__xludf.DUMMYFUNCTION("""COMPUTED_VALUE"""),"Yes")</f>
        <v>Yes</v>
      </c>
      <c r="AF1130" s="5" t="str">
        <f ca="1">IFERROR(__xludf.DUMMYFUNCTION("""COMPUTED_VALUE"""),"No")</f>
        <v>No</v>
      </c>
      <c r="AG1130" s="5" t="str">
        <f ca="1">IFERROR(__xludf.DUMMYFUNCTION("""COMPUTED_VALUE"""),"No")</f>
        <v>No</v>
      </c>
      <c r="AH1130" s="5" t="str">
        <f ca="1">IFERROR(__xludf.DUMMYFUNCTION("""COMPUTED_VALUE"""),"Yes")</f>
        <v>Yes</v>
      </c>
    </row>
    <row r="1131" spans="1:34" ht="12.75">
      <c r="A1131" s="5" t="str">
        <f ca="1">IFERROR(__xludf.DUMMYFUNCTION("""COMPUTED_VALUE"""),"20080821TNCEK")</f>
        <v>20080821TNCEK</v>
      </c>
      <c r="B1131" s="8">
        <f ca="1">IFERROR(__xludf.DUMMYFUNCTION("""COMPUTED_VALUE"""),39681)</f>
        <v>39681</v>
      </c>
      <c r="C1131" s="5" t="str">
        <f ca="1">IFERROR(__xludf.DUMMYFUNCTION("""COMPUTED_VALUE"""),"Central High School")</f>
        <v>Central High School</v>
      </c>
      <c r="D1131" s="5">
        <f ca="1">IFERROR(__xludf.DUMMYFUNCTION("""COMPUTED_VALUE"""),1)</f>
        <v>1</v>
      </c>
      <c r="E1131" s="5">
        <f ca="1">IFERROR(__xludf.DUMMYFUNCTION("""COMPUTED_VALUE"""),0)</f>
        <v>0</v>
      </c>
      <c r="F1131" s="5">
        <f ca="1">IFERROR(__xludf.DUMMYFUNCTION("""COMPUTED_VALUE"""),1)</f>
        <v>1</v>
      </c>
      <c r="G1131" s="5">
        <f ca="1">IFERROR(__xludf.DUMMYFUNCTION("""COMPUTED_VALUE"""),0)</f>
        <v>0</v>
      </c>
      <c r="H1131"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I1131" s="5"/>
      <c r="J1131" s="5" t="str">
        <f ca="1">IFERROR(__xludf.DUMMYFUNCTION("""COMPUTED_VALUE"""),"Local")</f>
        <v>Local</v>
      </c>
      <c r="K1131" s="5">
        <f ca="1">IFERROR(__xludf.DUMMYFUNCTION("""COMPUTED_VALUE"""),4)</f>
        <v>4</v>
      </c>
      <c r="L1131" s="5" t="str">
        <f ca="1">IFERROR(__xludf.DUMMYFUNCTION("""COMPUTED_VALUE"""),"Fall")</f>
        <v>Fall</v>
      </c>
      <c r="M1131" s="5" t="str">
        <f ca="1">IFERROR(__xludf.DUMMYFUNCTION("""COMPUTED_VALUE"""),"Knoxville")</f>
        <v>Knoxville</v>
      </c>
      <c r="N1131" s="5" t="str">
        <f ca="1">IFERROR(__xludf.DUMMYFUNCTION("""COMPUTED_VALUE"""),"TN")</f>
        <v>TN</v>
      </c>
      <c r="O1131" s="5" t="str">
        <f ca="1">IFERROR(__xludf.DUMMYFUNCTION("""COMPUTED_VALUE"""),"High")</f>
        <v>High</v>
      </c>
      <c r="P1131" s="5" t="str">
        <f ca="1">IFERROR(__xludf.DUMMYFUNCTION("""COMPUTED_VALUE"""),"Cafeteria")</f>
        <v>Cafeteria</v>
      </c>
      <c r="Q1131" s="5" t="str">
        <f ca="1">IFERROR(__xludf.DUMMYFUNCTION("""COMPUTED_VALUE"""),"Inside School Building")</f>
        <v>Inside School Building</v>
      </c>
      <c r="R1131" s="5" t="str">
        <f ca="1">IFERROR(__xludf.DUMMYFUNCTION("""COMPUTED_VALUE"""),"Yes")</f>
        <v>Yes</v>
      </c>
      <c r="S1131" s="5" t="str">
        <f ca="1">IFERROR(__xludf.DUMMYFUNCTION("""COMPUTED_VALUE"""),"School Start")</f>
        <v>School Start</v>
      </c>
      <c r="T1131" s="10">
        <f ca="1">IFERROR(__xludf.DUMMYFUNCTION("""COMPUTED_VALUE"""),0.340972222222222)</f>
        <v>0.34097222222222201</v>
      </c>
      <c r="U1131" s="5">
        <f ca="1">IFERROR(__xludf.DUMMYFUNCTION("""COMPUTED_VALUE"""),1)</f>
        <v>1</v>
      </c>
      <c r="V1131" s="5" t="str">
        <f ca="1">IFERROR(__xludf.DUMMYFUNCTION("""COMPUTED_VALUE"""),"Student shot inside cafeteria prior to classes")</f>
        <v>Student shot inside cafeteria prior to classes</v>
      </c>
      <c r="W1131"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X1131" s="5" t="str">
        <f ca="1">IFERROR(__xludf.DUMMYFUNCTION("""COMPUTED_VALUE"""),"Escalation of Dispute")</f>
        <v>Escalation of Dispute</v>
      </c>
      <c r="Y1131" s="5" t="str">
        <f ca="1">IFERROR(__xludf.DUMMYFUNCTION("""COMPUTED_VALUE"""),"Victims Targeted")</f>
        <v>Victims Targeted</v>
      </c>
      <c r="Z1131" s="5" t="str">
        <f ca="1">IFERROR(__xludf.DUMMYFUNCTION("""COMPUTED_VALUE"""),"No")</f>
        <v>No</v>
      </c>
      <c r="AA1131" s="5"/>
      <c r="AB1131" s="5" t="str">
        <f ca="1">IFERROR(__xludf.DUMMYFUNCTION("""COMPUTED_VALUE"""),"No")</f>
        <v>No</v>
      </c>
      <c r="AC1131" s="5" t="str">
        <f ca="1">IFERROR(__xludf.DUMMYFUNCTION("""COMPUTED_VALUE"""),"No")</f>
        <v>No</v>
      </c>
      <c r="AD1131" s="5" t="str">
        <f ca="1">IFERROR(__xludf.DUMMYFUNCTION("""COMPUTED_VALUE"""),"No")</f>
        <v>No</v>
      </c>
      <c r="AE1131" s="5" t="str">
        <f ca="1">IFERROR(__xludf.DUMMYFUNCTION("""COMPUTED_VALUE"""),"Yes")</f>
        <v>Yes</v>
      </c>
      <c r="AF1131" s="5" t="str">
        <f ca="1">IFERROR(__xludf.DUMMYFUNCTION("""COMPUTED_VALUE"""),"No")</f>
        <v>No</v>
      </c>
      <c r="AG1131" s="5" t="str">
        <f ca="1">IFERROR(__xludf.DUMMYFUNCTION("""COMPUTED_VALUE"""),"No")</f>
        <v>No</v>
      </c>
      <c r="AH1131" s="5" t="str">
        <f ca="1">IFERROR(__xludf.DUMMYFUNCTION("""COMPUTED_VALUE"""),"No")</f>
        <v>No</v>
      </c>
    </row>
    <row r="1132" spans="1:34" ht="12.75">
      <c r="A1132" s="5" t="str">
        <f ca="1">IFERROR(__xludf.DUMMYFUNCTION("""COMPUTED_VALUE"""),"20080814WALAF")</f>
        <v>20080814WALAF</v>
      </c>
      <c r="B1132" s="8">
        <f ca="1">IFERROR(__xludf.DUMMYFUNCTION("""COMPUTED_VALUE"""),39674)</f>
        <v>39674</v>
      </c>
      <c r="C1132" s="5" t="str">
        <f ca="1">IFERROR(__xludf.DUMMYFUNCTION("""COMPUTED_VALUE"""),"Lakota Middle School")</f>
        <v>Lakota Middle School</v>
      </c>
      <c r="D1132" s="5">
        <f ca="1">IFERROR(__xludf.DUMMYFUNCTION("""COMPUTED_VALUE"""),1)</f>
        <v>1</v>
      </c>
      <c r="E1132" s="5">
        <f ca="1">IFERROR(__xludf.DUMMYFUNCTION("""COMPUTED_VALUE"""),0)</f>
        <v>0</v>
      </c>
      <c r="F1132" s="5">
        <f ca="1">IFERROR(__xludf.DUMMYFUNCTION("""COMPUTED_VALUE"""),1)</f>
        <v>1</v>
      </c>
      <c r="G1132" s="5">
        <f ca="1">IFERROR(__xludf.DUMMYFUNCTION("""COMPUTED_VALUE"""),0)</f>
        <v>0</v>
      </c>
      <c r="H1132" s="9" t="str">
        <f ca="1">IFERROR(__xludf.DUMMYFUNCTION("""COMPUTED_VALUE"""),"https://www.seattletimes.com/seattle-news/suspect-arrested-in-fatal-shooting-last-week-outside-federal-way-middle-school/")</f>
        <v>https://www.seattletimes.com/seattle-news/suspect-arrested-in-fatal-shooting-last-week-outside-federal-way-middle-school/</v>
      </c>
      <c r="I1132" s="5"/>
      <c r="J1132" s="5"/>
      <c r="K1132" s="5">
        <f ca="1">IFERROR(__xludf.DUMMYFUNCTION("""COMPUTED_VALUE"""),2)</f>
        <v>2</v>
      </c>
      <c r="L1132" s="5" t="str">
        <f ca="1">IFERROR(__xludf.DUMMYFUNCTION("""COMPUTED_VALUE"""),"Summer")</f>
        <v>Summer</v>
      </c>
      <c r="M1132" s="5" t="str">
        <f ca="1">IFERROR(__xludf.DUMMYFUNCTION("""COMPUTED_VALUE"""),"Federal Way")</f>
        <v>Federal Way</v>
      </c>
      <c r="N1132" s="5" t="str">
        <f ca="1">IFERROR(__xludf.DUMMYFUNCTION("""COMPUTED_VALUE"""),"WA")</f>
        <v>WA</v>
      </c>
      <c r="O1132" s="5" t="str">
        <f ca="1">IFERROR(__xludf.DUMMYFUNCTION("""COMPUTED_VALUE"""),"Middle")</f>
        <v>Middle</v>
      </c>
      <c r="P1132" s="5" t="str">
        <f ca="1">IFERROR(__xludf.DUMMYFUNCTION("""COMPUTED_VALUE"""),"Parking Lot")</f>
        <v>Parking Lot</v>
      </c>
      <c r="Q1132" s="5" t="str">
        <f ca="1">IFERROR(__xludf.DUMMYFUNCTION("""COMPUTED_VALUE"""),"Outside on School Property")</f>
        <v>Outside on School Property</v>
      </c>
      <c r="R1132" s="5" t="str">
        <f ca="1">IFERROR(__xludf.DUMMYFUNCTION("""COMPUTED_VALUE"""),"Yes")</f>
        <v>Yes</v>
      </c>
      <c r="S1132" s="5" t="str">
        <f ca="1">IFERROR(__xludf.DUMMYFUNCTION("""COMPUTED_VALUE"""),"Evening")</f>
        <v>Evening</v>
      </c>
      <c r="T1132" s="10">
        <f ca="1">IFERROR(__xludf.DUMMYFUNCTION("""COMPUTED_VALUE"""),0.847222222222222)</f>
        <v>0.84722222222222199</v>
      </c>
      <c r="U1132" s="5">
        <f ca="1">IFERROR(__xludf.DUMMYFUNCTION("""COMPUTED_VALUE"""),1)</f>
        <v>1</v>
      </c>
      <c r="V1132" s="5" t="str">
        <f ca="1">IFERROR(__xludf.DUMMYFUNCTION("""COMPUTED_VALUE"""),"Gang-related shooting outside of school.")</f>
        <v>Gang-related shooting outside of school.</v>
      </c>
      <c r="W1132" s="5" t="str">
        <f ca="1">IFERROR(__xludf.DUMMYFUNCTION("""COMPUTED_VALUE"""),"Suspected gang related - victim was 26 years old and was at school to pick up girlfriend's son")</f>
        <v>Suspected gang related - victim was 26 years old and was at school to pick up girlfriend's son</v>
      </c>
      <c r="X1132" s="5" t="str">
        <f ca="1">IFERROR(__xludf.DUMMYFUNCTION("""COMPUTED_VALUE"""),"Escalation of Dispute")</f>
        <v>Escalation of Dispute</v>
      </c>
      <c r="Y1132" s="5" t="str">
        <f ca="1">IFERROR(__xludf.DUMMYFUNCTION("""COMPUTED_VALUE"""),"Victims Targeted")</f>
        <v>Victims Targeted</v>
      </c>
      <c r="Z1132" s="5" t="str">
        <f ca="1">IFERROR(__xludf.DUMMYFUNCTION("""COMPUTED_VALUE"""),"Yes")</f>
        <v>Yes</v>
      </c>
      <c r="AA1132" s="5" t="str">
        <f ca="1">IFERROR(__xludf.DUMMYFUNCTION("""COMPUTED_VALUE"""),"With two other males in the car")</f>
        <v>With two other males in the car</v>
      </c>
      <c r="AB1132" s="5" t="str">
        <f ca="1">IFERROR(__xludf.DUMMYFUNCTION("""COMPUTED_VALUE"""),"No")</f>
        <v>No</v>
      </c>
      <c r="AC1132" s="5" t="str">
        <f ca="1">IFERROR(__xludf.DUMMYFUNCTION("""COMPUTED_VALUE"""),"No")</f>
        <v>No</v>
      </c>
      <c r="AD1132" s="5" t="str">
        <f ca="1">IFERROR(__xludf.DUMMYFUNCTION("""COMPUTED_VALUE"""),"No")</f>
        <v>No</v>
      </c>
      <c r="AE1132" s="5"/>
      <c r="AF1132" s="5" t="str">
        <f ca="1">IFERROR(__xludf.DUMMYFUNCTION("""COMPUTED_VALUE"""),"No")</f>
        <v>No</v>
      </c>
      <c r="AG1132" s="5" t="str">
        <f ca="1">IFERROR(__xludf.DUMMYFUNCTION("""COMPUTED_VALUE"""),"Yes")</f>
        <v>Yes</v>
      </c>
      <c r="AH1132" s="5"/>
    </row>
    <row r="1133" spans="1:34" ht="12.75">
      <c r="A1133" s="5" t="str">
        <f ca="1">IFERROR(__xludf.DUMMYFUNCTION("""COMPUTED_VALUE"""),"20080811WAWAK")</f>
        <v>20080811WAWAK</v>
      </c>
      <c r="B1133" s="8">
        <f ca="1">IFERROR(__xludf.DUMMYFUNCTION("""COMPUTED_VALUE"""),39671)</f>
        <v>39671</v>
      </c>
      <c r="C1133" s="5" t="str">
        <f ca="1">IFERROR(__xludf.DUMMYFUNCTION("""COMPUTED_VALUE"""),"Wallace Elementary School")</f>
        <v>Wallace Elementary School</v>
      </c>
      <c r="D1133" s="5">
        <f ca="1">IFERROR(__xludf.DUMMYFUNCTION("""COMPUTED_VALUE"""),0)</f>
        <v>0</v>
      </c>
      <c r="E1133" s="5">
        <f ca="1">IFERROR(__xludf.DUMMYFUNCTION("""COMPUTED_VALUE"""),0)</f>
        <v>0</v>
      </c>
      <c r="F1133" s="5">
        <f ca="1">IFERROR(__xludf.DUMMYFUNCTION("""COMPUTED_VALUE"""),0)</f>
        <v>0</v>
      </c>
      <c r="G1133" s="5">
        <f ca="1">IFERROR(__xludf.DUMMYFUNCTION("""COMPUTED_VALUE"""),0)</f>
        <v>0</v>
      </c>
      <c r="H1133" s="9" t="str">
        <f ca="1">IFERROR(__xludf.DUMMYFUNCTION("""COMPUTED_VALUE"""),"https://www.columbine-angels.com/School_Violence_2008-2009.htm")</f>
        <v>https://www.columbine-angels.com/School_Violence_2008-2009.htm</v>
      </c>
      <c r="I1133" s="5"/>
      <c r="J1133" s="5"/>
      <c r="K1133" s="5">
        <f ca="1">IFERROR(__xludf.DUMMYFUNCTION("""COMPUTED_VALUE"""),1)</f>
        <v>1</v>
      </c>
      <c r="L1133" s="5" t="str">
        <f ca="1">IFERROR(__xludf.DUMMYFUNCTION("""COMPUTED_VALUE"""),"Summer")</f>
        <v>Summer</v>
      </c>
      <c r="M1133" s="5" t="str">
        <f ca="1">IFERROR(__xludf.DUMMYFUNCTION("""COMPUTED_VALUE"""),"Kelso")</f>
        <v>Kelso</v>
      </c>
      <c r="N1133" s="5" t="str">
        <f ca="1">IFERROR(__xludf.DUMMYFUNCTION("""COMPUTED_VALUE"""),"WA")</f>
        <v>WA</v>
      </c>
      <c r="O1133" s="5" t="str">
        <f ca="1">IFERROR(__xludf.DUMMYFUNCTION("""COMPUTED_VALUE"""),"Elementary")</f>
        <v>Elementary</v>
      </c>
      <c r="P1133" s="5" t="str">
        <f ca="1">IFERROR(__xludf.DUMMYFUNCTION("""COMPUTED_VALUE"""),"Playground")</f>
        <v>Playground</v>
      </c>
      <c r="Q1133" s="5" t="str">
        <f ca="1">IFERROR(__xludf.DUMMYFUNCTION("""COMPUTED_VALUE"""),"Outside on School Property")</f>
        <v>Outside on School Property</v>
      </c>
      <c r="R1133" s="5" t="str">
        <f ca="1">IFERROR(__xludf.DUMMYFUNCTION("""COMPUTED_VALUE"""),"Yes")</f>
        <v>Yes</v>
      </c>
      <c r="S1133" s="5"/>
      <c r="T1133" s="5"/>
      <c r="U1133" s="5">
        <f ca="1">IFERROR(__xludf.DUMMYFUNCTION("""COMPUTED_VALUE"""),1)</f>
        <v>1</v>
      </c>
      <c r="V1133" s="5" t="str">
        <f ca="1">IFERROR(__xludf.DUMMYFUNCTION("""COMPUTED_VALUE"""),"Shot student who stole drugs from him")</f>
        <v>Shot student who stole drugs from him</v>
      </c>
      <c r="W1133"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X1133" s="5" t="str">
        <f ca="1">IFERROR(__xludf.DUMMYFUNCTION("""COMPUTED_VALUE"""),"Illegal Activity")</f>
        <v>Illegal Activity</v>
      </c>
      <c r="Y1133" s="5" t="str">
        <f ca="1">IFERROR(__xludf.DUMMYFUNCTION("""COMPUTED_VALUE"""),"Victims Targeted")</f>
        <v>Victims Targeted</v>
      </c>
      <c r="Z1133" s="5" t="str">
        <f ca="1">IFERROR(__xludf.DUMMYFUNCTION("""COMPUTED_VALUE"""),"No")</f>
        <v>No</v>
      </c>
      <c r="AA1133" s="5"/>
      <c r="AB1133" s="5" t="str">
        <f ca="1">IFERROR(__xludf.DUMMYFUNCTION("""COMPUTED_VALUE"""),"No")</f>
        <v>No</v>
      </c>
      <c r="AC1133" s="5" t="str">
        <f ca="1">IFERROR(__xludf.DUMMYFUNCTION("""COMPUTED_VALUE"""),"No")</f>
        <v>No</v>
      </c>
      <c r="AD1133" s="5" t="str">
        <f ca="1">IFERROR(__xludf.DUMMYFUNCTION("""COMPUTED_VALUE"""),"No")</f>
        <v>No</v>
      </c>
      <c r="AE1133" s="5" t="str">
        <f ca="1">IFERROR(__xludf.DUMMYFUNCTION("""COMPUTED_VALUE"""),"No")</f>
        <v>No</v>
      </c>
      <c r="AF1133" s="5" t="str">
        <f ca="1">IFERROR(__xludf.DUMMYFUNCTION("""COMPUTED_VALUE"""),"No")</f>
        <v>No</v>
      </c>
      <c r="AG1133" s="5" t="str">
        <f ca="1">IFERROR(__xludf.DUMMYFUNCTION("""COMPUTED_VALUE"""),"No")</f>
        <v>No</v>
      </c>
      <c r="AH1133" s="5"/>
    </row>
    <row r="1134" spans="1:34" ht="12.75">
      <c r="A1134" s="5" t="str">
        <f ca="1">IFERROR(__xludf.DUMMYFUNCTION("""COMPUTED_VALUE"""),"20080516LAMAT")</f>
        <v>20080516LAMAT</v>
      </c>
      <c r="B1134" s="8">
        <f ca="1">IFERROR(__xludf.DUMMYFUNCTION("""COMPUTED_VALUE"""),39584)</f>
        <v>39584</v>
      </c>
      <c r="C1134" s="5" t="str">
        <f ca="1">IFERROR(__xludf.DUMMYFUNCTION("""COMPUTED_VALUE"""),"Madison Parish High School")</f>
        <v>Madison Parish High School</v>
      </c>
      <c r="D1134" s="5">
        <f ca="1">IFERROR(__xludf.DUMMYFUNCTION("""COMPUTED_VALUE"""),0)</f>
        <v>0</v>
      </c>
      <c r="E1134" s="5">
        <f ca="1">IFERROR(__xludf.DUMMYFUNCTION("""COMPUTED_VALUE"""),0)</f>
        <v>0</v>
      </c>
      <c r="F1134" s="5">
        <f ca="1">IFERROR(__xludf.DUMMYFUNCTION("""COMPUTED_VALUE"""),0)</f>
        <v>0</v>
      </c>
      <c r="G1134" s="5">
        <f ca="1">IFERROR(__xludf.DUMMYFUNCTION("""COMPUTED_VALUE"""),1)</f>
        <v>1</v>
      </c>
      <c r="H1134" s="9" t="str">
        <f ca="1">IFERROR(__xludf.DUMMYFUNCTION("""COMPUTED_VALUE"""),"https://www.ktbs.com/news/student-found-shot-at-madison-high/article_0cdc830b-bca1-5acc-857b-e08b04bff7b2.html")</f>
        <v>https://www.ktbs.com/news/student-found-shot-at-madison-high/article_0cdc830b-bca1-5acc-857b-e08b04bff7b2.html</v>
      </c>
      <c r="I1134" s="5"/>
      <c r="J1134" s="5"/>
      <c r="K1134" s="5">
        <f ca="1">IFERROR(__xludf.DUMMYFUNCTION("""COMPUTED_VALUE"""),2)</f>
        <v>2</v>
      </c>
      <c r="L1134" s="5" t="str">
        <f ca="1">IFERROR(__xludf.DUMMYFUNCTION("""COMPUTED_VALUE"""),"Spring")</f>
        <v>Spring</v>
      </c>
      <c r="M1134" s="5" t="str">
        <f ca="1">IFERROR(__xludf.DUMMYFUNCTION("""COMPUTED_VALUE"""),"Tallulah")</f>
        <v>Tallulah</v>
      </c>
      <c r="N1134" s="5" t="str">
        <f ca="1">IFERROR(__xludf.DUMMYFUNCTION("""COMPUTED_VALUE"""),"LA")</f>
        <v>LA</v>
      </c>
      <c r="O1134" s="5" t="str">
        <f ca="1">IFERROR(__xludf.DUMMYFUNCTION("""COMPUTED_VALUE"""),"High")</f>
        <v>High</v>
      </c>
      <c r="P1134" s="5" t="str">
        <f ca="1">IFERROR(__xludf.DUMMYFUNCTION("""COMPUTED_VALUE"""),"Field (General)")</f>
        <v>Field (General)</v>
      </c>
      <c r="Q1134" s="5" t="str">
        <f ca="1">IFERROR(__xludf.DUMMYFUNCTION("""COMPUTED_VALUE"""),"Outside on School Property")</f>
        <v>Outside on School Property</v>
      </c>
      <c r="R1134" s="5" t="str">
        <f ca="1">IFERROR(__xludf.DUMMYFUNCTION("""COMPUTED_VALUE"""),"Yes")</f>
        <v>Yes</v>
      </c>
      <c r="S1134" s="5"/>
      <c r="T1134" s="5"/>
      <c r="U1134" s="5">
        <f ca="1">IFERROR(__xludf.DUMMYFUNCTION("""COMPUTED_VALUE"""),1)</f>
        <v>1</v>
      </c>
      <c r="V1134" s="5" t="str">
        <f ca="1">IFERROR(__xludf.DUMMYFUNCTION("""COMPUTED_VALUE"""),"Shot self on athletic field")</f>
        <v>Shot self on athletic field</v>
      </c>
      <c r="W1134"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X1134" s="5" t="str">
        <f ca="1">IFERROR(__xludf.DUMMYFUNCTION("""COMPUTED_VALUE"""),"Suicide/Attempted")</f>
        <v>Suicide/Attempted</v>
      </c>
      <c r="Y1134" s="5" t="str">
        <f ca="1">IFERROR(__xludf.DUMMYFUNCTION("""COMPUTED_VALUE"""),"Victims Targeted")</f>
        <v>Victims Targeted</v>
      </c>
      <c r="Z1134" s="5" t="str">
        <f ca="1">IFERROR(__xludf.DUMMYFUNCTION("""COMPUTED_VALUE"""),"No")</f>
        <v>No</v>
      </c>
      <c r="AA1134" s="5"/>
      <c r="AB1134" s="5" t="str">
        <f ca="1">IFERROR(__xludf.DUMMYFUNCTION("""COMPUTED_VALUE"""),"No")</f>
        <v>No</v>
      </c>
      <c r="AC1134" s="5" t="str">
        <f ca="1">IFERROR(__xludf.DUMMYFUNCTION("""COMPUTED_VALUE"""),"No")</f>
        <v>No</v>
      </c>
      <c r="AD1134" s="5" t="str">
        <f ca="1">IFERROR(__xludf.DUMMYFUNCTION("""COMPUTED_VALUE"""),"No")</f>
        <v>No</v>
      </c>
      <c r="AE1134" s="5"/>
      <c r="AF1134" s="5" t="str">
        <f ca="1">IFERROR(__xludf.DUMMYFUNCTION("""COMPUTED_VALUE"""),"No")</f>
        <v>No</v>
      </c>
      <c r="AG1134" s="5" t="str">
        <f ca="1">IFERROR(__xludf.DUMMYFUNCTION("""COMPUTED_VALUE"""),"No")</f>
        <v>No</v>
      </c>
      <c r="AH1134" s="5"/>
    </row>
    <row r="1135" spans="1:34" ht="12.75">
      <c r="A1135" s="5" t="str">
        <f ca="1">IFERROR(__xludf.DUMMYFUNCTION("""COMPUTED_VALUE"""),"20080416CAROF")</f>
        <v>20080416CAROF</v>
      </c>
      <c r="B1135" s="8">
        <f ca="1">IFERROR(__xludf.DUMMYFUNCTION("""COMPUTED_VALUE"""),39554)</f>
        <v>39554</v>
      </c>
      <c r="C1135" s="5" t="str">
        <f ca="1">IFERROR(__xludf.DUMMYFUNCTION("""COMPUTED_VALUE"""),"Roosevelt High School")</f>
        <v>Roosevelt High School</v>
      </c>
      <c r="D1135" s="5">
        <f ca="1">IFERROR(__xludf.DUMMYFUNCTION("""COMPUTED_VALUE"""),1)</f>
        <v>1</v>
      </c>
      <c r="E1135" s="5">
        <f ca="1">IFERROR(__xludf.DUMMYFUNCTION("""COMPUTED_VALUE"""),0)</f>
        <v>0</v>
      </c>
      <c r="F1135" s="5">
        <f ca="1">IFERROR(__xludf.DUMMYFUNCTION("""COMPUTED_VALUE"""),1)</f>
        <v>1</v>
      </c>
      <c r="G1135" s="5">
        <f ca="1">IFERROR(__xludf.DUMMYFUNCTION("""COMPUTED_VALUE"""),0)</f>
        <v>0</v>
      </c>
      <c r="H1135" s="5" t="str">
        <f ca="1">IFERROR(__xludf.DUMMYFUNCTION("""COMPUTED_VALUE"""),"https://abc30.com/archive/6083383/   https://www.findagrave.com/memorial/26380491/jesus_%22jesse%22-carrizales")</f>
        <v>https://abc30.com/archive/6083383/   https://www.findagrave.com/memorial/26380491/jesus_%22jesse%22-carrizales</v>
      </c>
      <c r="I1135" s="5"/>
      <c r="J1135" s="5"/>
      <c r="K1135" s="5">
        <f ca="1">IFERROR(__xludf.DUMMYFUNCTION("""COMPUTED_VALUE"""),3)</f>
        <v>3</v>
      </c>
      <c r="L1135" s="5" t="str">
        <f ca="1">IFERROR(__xludf.DUMMYFUNCTION("""COMPUTED_VALUE"""),"Spring")</f>
        <v>Spring</v>
      </c>
      <c r="M1135" s="5" t="str">
        <f ca="1">IFERROR(__xludf.DUMMYFUNCTION("""COMPUTED_VALUE"""),"Fresno")</f>
        <v>Fresno</v>
      </c>
      <c r="N1135" s="5" t="str">
        <f ca="1">IFERROR(__xludf.DUMMYFUNCTION("""COMPUTED_VALUE"""),"CA")</f>
        <v>CA</v>
      </c>
      <c r="O1135" s="5" t="str">
        <f ca="1">IFERROR(__xludf.DUMMYFUNCTION("""COMPUTED_VALUE"""),"High")</f>
        <v>High</v>
      </c>
      <c r="P1135" s="5" t="str">
        <f ca="1">IFERROR(__xludf.DUMMYFUNCTION("""COMPUTED_VALUE"""),"Outside on School Property")</f>
        <v>Outside on School Property</v>
      </c>
      <c r="Q1135" s="5" t="str">
        <f ca="1">IFERROR(__xludf.DUMMYFUNCTION("""COMPUTED_VALUE"""),"Outside on School Property")</f>
        <v>Outside on School Property</v>
      </c>
      <c r="R1135" s="5" t="str">
        <f ca="1">IFERROR(__xludf.DUMMYFUNCTION("""COMPUTED_VALUE"""),"Yes")</f>
        <v>Yes</v>
      </c>
      <c r="S1135" s="5" t="str">
        <f ca="1">IFERROR(__xludf.DUMMYFUNCTION("""COMPUTED_VALUE"""),"Lunch")</f>
        <v>Lunch</v>
      </c>
      <c r="T1135" s="10">
        <f ca="1">IFERROR(__xludf.DUMMYFUNCTION("""COMPUTED_VALUE"""),0.495833333333333)</f>
        <v>0.49583333333333302</v>
      </c>
      <c r="U1135" s="5">
        <f ca="1">IFERROR(__xludf.DUMMYFUNCTION("""COMPUTED_VALUE"""),1)</f>
        <v>1</v>
      </c>
      <c r="V1135" s="5" t="str">
        <f ca="1">IFERROR(__xludf.DUMMYFUNCTION("""COMPUTED_VALUE"""),"SRO fired at student who attacked him")</f>
        <v>SRO fired at student who attacked him</v>
      </c>
      <c r="W1135"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X1135" s="5" t="str">
        <f ca="1">IFERROR(__xludf.DUMMYFUNCTION("""COMPUTED_VALUE"""),"Self-defense")</f>
        <v>Self-defense</v>
      </c>
      <c r="Y1135" s="5" t="str">
        <f ca="1">IFERROR(__xludf.DUMMYFUNCTION("""COMPUTED_VALUE"""),"Victims Targeted")</f>
        <v>Victims Targeted</v>
      </c>
      <c r="Z1135" s="5" t="str">
        <f ca="1">IFERROR(__xludf.DUMMYFUNCTION("""COMPUTED_VALUE"""),"No")</f>
        <v>No</v>
      </c>
      <c r="AA1135" s="5"/>
      <c r="AB1135" s="5" t="str">
        <f ca="1">IFERROR(__xludf.DUMMYFUNCTION("""COMPUTED_VALUE"""),"No")</f>
        <v>No</v>
      </c>
      <c r="AC1135" s="5" t="str">
        <f ca="1">IFERROR(__xludf.DUMMYFUNCTION("""COMPUTED_VALUE"""),"No")</f>
        <v>No</v>
      </c>
      <c r="AD1135" s="5" t="str">
        <f ca="1">IFERROR(__xludf.DUMMYFUNCTION("""COMPUTED_VALUE"""),"Yes")</f>
        <v>Yes</v>
      </c>
      <c r="AE1135" s="5" t="str">
        <f ca="1">IFERROR(__xludf.DUMMYFUNCTION("""COMPUTED_VALUE"""),"N/A")</f>
        <v>N/A</v>
      </c>
      <c r="AF1135" s="5" t="str">
        <f ca="1">IFERROR(__xludf.DUMMYFUNCTION("""COMPUTED_VALUE"""),"N/A")</f>
        <v>N/A</v>
      </c>
      <c r="AG1135" s="5" t="str">
        <f ca="1">IFERROR(__xludf.DUMMYFUNCTION("""COMPUTED_VALUE"""),"N/A")</f>
        <v>N/A</v>
      </c>
      <c r="AH1135" s="5" t="str">
        <f ca="1">IFERROR(__xludf.DUMMYFUNCTION("""COMPUTED_VALUE"""),"N/A")</f>
        <v>N/A</v>
      </c>
    </row>
    <row r="1136" spans="1:34" ht="12.75">
      <c r="A1136" s="5" t="str">
        <f ca="1">IFERROR(__xludf.DUMMYFUNCTION("""COMPUTED_VALUE"""),"20080306ALDAM")</f>
        <v>20080306ALDAM</v>
      </c>
      <c r="B1136" s="8">
        <f ca="1">IFERROR(__xludf.DUMMYFUNCTION("""COMPUTED_VALUE"""),39513)</f>
        <v>39513</v>
      </c>
      <c r="C1136" s="5" t="str">
        <f ca="1">IFERROR(__xludf.DUMMYFUNCTION("""COMPUTED_VALUE"""),"Davidson High School")</f>
        <v>Davidson High School</v>
      </c>
      <c r="D1136" s="5">
        <f ca="1">IFERROR(__xludf.DUMMYFUNCTION("""COMPUTED_VALUE"""),0)</f>
        <v>0</v>
      </c>
      <c r="E1136" s="5">
        <f ca="1">IFERROR(__xludf.DUMMYFUNCTION("""COMPUTED_VALUE"""),0)</f>
        <v>0</v>
      </c>
      <c r="F1136" s="5">
        <f ca="1">IFERROR(__xludf.DUMMYFUNCTION("""COMPUTED_VALUE"""),0)</f>
        <v>0</v>
      </c>
      <c r="G1136" s="5">
        <f ca="1">IFERROR(__xludf.DUMMYFUNCTION("""COMPUTED_VALUE"""),1)</f>
        <v>1</v>
      </c>
      <c r="H1136"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I1136" s="5"/>
      <c r="J1136" s="5"/>
      <c r="K1136" s="5">
        <f ca="1">IFERROR(__xludf.DUMMYFUNCTION("""COMPUTED_VALUE"""),3)</f>
        <v>3</v>
      </c>
      <c r="L1136" s="5" t="str">
        <f ca="1">IFERROR(__xludf.DUMMYFUNCTION("""COMPUTED_VALUE"""),"Spring")</f>
        <v>Spring</v>
      </c>
      <c r="M1136" s="5" t="str">
        <f ca="1">IFERROR(__xludf.DUMMYFUNCTION("""COMPUTED_VALUE"""),"Mobile")</f>
        <v>Mobile</v>
      </c>
      <c r="N1136" s="5" t="str">
        <f ca="1">IFERROR(__xludf.DUMMYFUNCTION("""COMPUTED_VALUE"""),"AL")</f>
        <v>AL</v>
      </c>
      <c r="O1136" s="5" t="str">
        <f ca="1">IFERROR(__xludf.DUMMYFUNCTION("""COMPUTED_VALUE"""),"High")</f>
        <v>High</v>
      </c>
      <c r="P1136" s="5" t="str">
        <f ca="1">IFERROR(__xludf.DUMMYFUNCTION("""COMPUTED_VALUE"""),"Gym")</f>
        <v>Gym</v>
      </c>
      <c r="Q1136" s="5" t="str">
        <f ca="1">IFERROR(__xludf.DUMMYFUNCTION("""COMPUTED_VALUE"""),"Inside School Building")</f>
        <v>Inside School Building</v>
      </c>
      <c r="R1136" s="5" t="str">
        <f ca="1">IFERROR(__xludf.DUMMYFUNCTION("""COMPUTED_VALUE"""),"Yes")</f>
        <v>Yes</v>
      </c>
      <c r="S1136" s="5" t="str">
        <f ca="1">IFERROR(__xludf.DUMMYFUNCTION("""COMPUTED_VALUE"""),"Morning Classes")</f>
        <v>Morning Classes</v>
      </c>
      <c r="T1136" s="10">
        <f ca="1">IFERROR(__xludf.DUMMYFUNCTION("""COMPUTED_VALUE"""),0.416666666666666)</f>
        <v>0.41666666666666602</v>
      </c>
      <c r="U1136" s="5">
        <f ca="1">IFERROR(__xludf.DUMMYFUNCTION("""COMPUTED_VALUE"""),1)</f>
        <v>1</v>
      </c>
      <c r="V1136" s="5" t="str">
        <f ca="1">IFERROR(__xludf.DUMMYFUNCTION("""COMPUTED_VALUE"""),"Suicide in gym in front of 150 students following suspension")</f>
        <v>Suicide in gym in front of 150 students following suspension</v>
      </c>
      <c r="W1136"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X1136" s="5" t="str">
        <f ca="1">IFERROR(__xludf.DUMMYFUNCTION("""COMPUTED_VALUE"""),"Suicide/Attempted")</f>
        <v>Suicide/Attempted</v>
      </c>
      <c r="Y1136" s="5" t="str">
        <f ca="1">IFERROR(__xludf.DUMMYFUNCTION("""COMPUTED_VALUE"""),"Victims Targeted")</f>
        <v>Victims Targeted</v>
      </c>
      <c r="Z1136" s="5" t="str">
        <f ca="1">IFERROR(__xludf.DUMMYFUNCTION("""COMPUTED_VALUE"""),"No")</f>
        <v>No</v>
      </c>
      <c r="AA1136" s="5"/>
      <c r="AB1136" s="5" t="str">
        <f ca="1">IFERROR(__xludf.DUMMYFUNCTION("""COMPUTED_VALUE"""),"No")</f>
        <v>No</v>
      </c>
      <c r="AC1136" s="5" t="str">
        <f ca="1">IFERROR(__xludf.DUMMYFUNCTION("""COMPUTED_VALUE"""),"No")</f>
        <v>No</v>
      </c>
      <c r="AD1136" s="5" t="str">
        <f ca="1">IFERROR(__xludf.DUMMYFUNCTION("""COMPUTED_VALUE"""),"No")</f>
        <v>No</v>
      </c>
      <c r="AE1136" s="5" t="str">
        <f ca="1">IFERROR(__xludf.DUMMYFUNCTION("""COMPUTED_VALUE"""),"No")</f>
        <v>No</v>
      </c>
      <c r="AF1136" s="5" t="str">
        <f ca="1">IFERROR(__xludf.DUMMYFUNCTION("""COMPUTED_VALUE"""),"No")</f>
        <v>No</v>
      </c>
      <c r="AG1136" s="5" t="str">
        <f ca="1">IFERROR(__xludf.DUMMYFUNCTION("""COMPUTED_VALUE"""),"No")</f>
        <v>No</v>
      </c>
      <c r="AH1136" s="5"/>
    </row>
    <row r="1137" spans="1:34" ht="12.75">
      <c r="A1137" s="5" t="str">
        <f ca="1">IFERROR(__xludf.DUMMYFUNCTION("""COMPUTED_VALUE"""),"20080214CAEOO")</f>
        <v>20080214CAEOO</v>
      </c>
      <c r="B1137" s="8">
        <f ca="1">IFERROR(__xludf.DUMMYFUNCTION("""COMPUTED_VALUE"""),39490)</f>
        <v>39490</v>
      </c>
      <c r="C1137" s="5" t="str">
        <f ca="1">IFERROR(__xludf.DUMMYFUNCTION("""COMPUTED_VALUE"""),"E O Green Junior High School")</f>
        <v>E O Green Junior High School</v>
      </c>
      <c r="D1137" s="5">
        <f ca="1">IFERROR(__xludf.DUMMYFUNCTION("""COMPUTED_VALUE"""),1)</f>
        <v>1</v>
      </c>
      <c r="E1137" s="5">
        <f ca="1">IFERROR(__xludf.DUMMYFUNCTION("""COMPUTED_VALUE"""),0)</f>
        <v>0</v>
      </c>
      <c r="F1137" s="5">
        <f ca="1">IFERROR(__xludf.DUMMYFUNCTION("""COMPUTED_VALUE"""),1)</f>
        <v>1</v>
      </c>
      <c r="G1137" s="5">
        <f ca="1">IFERROR(__xludf.DUMMYFUNCTION("""COMPUTED_VALUE"""),0)</f>
        <v>0</v>
      </c>
      <c r="H1137" s="9" t="str">
        <f ca="1">IFERROR(__xludf.DUMMYFUNCTION("""COMPUTED_VALUE"""),"https://abcnews.go.com/US/eighth-grade-shooting-larry-king-brandon-mcinerney-boys/story?id=14666577")</f>
        <v>https://abcnews.go.com/US/eighth-grade-shooting-larry-king-brandon-mcinerney-boys/story?id=14666577</v>
      </c>
      <c r="I1137" s="5"/>
      <c r="J1137" s="5" t="str">
        <f ca="1">IFERROR(__xludf.DUMMYFUNCTION("""COMPUTED_VALUE"""),"National")</f>
        <v>National</v>
      </c>
      <c r="K1137" s="5">
        <f ca="1">IFERROR(__xludf.DUMMYFUNCTION("""COMPUTED_VALUE"""),4)</f>
        <v>4</v>
      </c>
      <c r="L1137" s="5" t="str">
        <f ca="1">IFERROR(__xludf.DUMMYFUNCTION("""COMPUTED_VALUE"""),"Winter")</f>
        <v>Winter</v>
      </c>
      <c r="M1137" s="5" t="str">
        <f ca="1">IFERROR(__xludf.DUMMYFUNCTION("""COMPUTED_VALUE"""),"Oxnard")</f>
        <v>Oxnard</v>
      </c>
      <c r="N1137" s="5" t="str">
        <f ca="1">IFERROR(__xludf.DUMMYFUNCTION("""COMPUTED_VALUE"""),"CA")</f>
        <v>CA</v>
      </c>
      <c r="O1137" s="5" t="str">
        <f ca="1">IFERROR(__xludf.DUMMYFUNCTION("""COMPUTED_VALUE"""),"Junior High")</f>
        <v>Junior High</v>
      </c>
      <c r="P1137" s="5" t="str">
        <f ca="1">IFERROR(__xludf.DUMMYFUNCTION("""COMPUTED_VALUE"""),"Classroom")</f>
        <v>Classroom</v>
      </c>
      <c r="Q1137" s="5" t="str">
        <f ca="1">IFERROR(__xludf.DUMMYFUNCTION("""COMPUTED_VALUE"""),"Inside School Building")</f>
        <v>Inside School Building</v>
      </c>
      <c r="R1137" s="5" t="str">
        <f ca="1">IFERROR(__xludf.DUMMYFUNCTION("""COMPUTED_VALUE"""),"Yes")</f>
        <v>Yes</v>
      </c>
      <c r="S1137" s="5" t="str">
        <f ca="1">IFERROR(__xludf.DUMMYFUNCTION("""COMPUTED_VALUE"""),"Morning Classes")</f>
        <v>Morning Classes</v>
      </c>
      <c r="T1137" s="10">
        <f ca="1">IFERROR(__xludf.DUMMYFUNCTION("""COMPUTED_VALUE"""),0.34375)</f>
        <v>0.34375</v>
      </c>
      <c r="U1137" s="5">
        <f ca="1">IFERROR(__xludf.DUMMYFUNCTION("""COMPUTED_VALUE"""),1)</f>
        <v>1</v>
      </c>
      <c r="V1137" s="5" t="str">
        <f ca="1">IFERROR(__xludf.DUMMYFUNCTION("""COMPUTED_VALUE"""),"Bullying, target made fun of victim for being gay")</f>
        <v>Bullying, target made fun of victim for being gay</v>
      </c>
      <c r="W1137"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X1137" s="5" t="str">
        <f ca="1">IFERROR(__xludf.DUMMYFUNCTION("""COMPUTED_VALUE"""),"Bullying")</f>
        <v>Bullying</v>
      </c>
      <c r="Y1137" s="5" t="str">
        <f ca="1">IFERROR(__xludf.DUMMYFUNCTION("""COMPUTED_VALUE"""),"Victims Targeted")</f>
        <v>Victims Targeted</v>
      </c>
      <c r="Z1137" s="5" t="str">
        <f ca="1">IFERROR(__xludf.DUMMYFUNCTION("""COMPUTED_VALUE"""),"No")</f>
        <v>No</v>
      </c>
      <c r="AA1137" s="5"/>
      <c r="AB1137" s="5" t="str">
        <f ca="1">IFERROR(__xludf.DUMMYFUNCTION("""COMPUTED_VALUE"""),"No")</f>
        <v>No</v>
      </c>
      <c r="AC1137" s="5" t="str">
        <f ca="1">IFERROR(__xludf.DUMMYFUNCTION("""COMPUTED_VALUE"""),"No")</f>
        <v>No</v>
      </c>
      <c r="AD1137" s="5" t="str">
        <f ca="1">IFERROR(__xludf.DUMMYFUNCTION("""COMPUTED_VALUE"""),"No")</f>
        <v>No</v>
      </c>
      <c r="AE1137" s="5" t="str">
        <f ca="1">IFERROR(__xludf.DUMMYFUNCTION("""COMPUTED_VALUE"""),"Yes")</f>
        <v>Yes</v>
      </c>
      <c r="AF1137" s="5" t="str">
        <f ca="1">IFERROR(__xludf.DUMMYFUNCTION("""COMPUTED_VALUE"""),"No")</f>
        <v>No</v>
      </c>
      <c r="AG1137" s="5" t="str">
        <f ca="1">IFERROR(__xludf.DUMMYFUNCTION("""COMPUTED_VALUE"""),"No")</f>
        <v>No</v>
      </c>
      <c r="AH1137" s="5"/>
    </row>
    <row r="1138" spans="1:34" ht="12.75">
      <c r="A1138" s="5" t="str">
        <f ca="1">IFERROR(__xludf.DUMMYFUNCTION("""COMPUTED_VALUE"""),"20080211TNMIM")</f>
        <v>20080211TNMIM</v>
      </c>
      <c r="B1138" s="8">
        <f ca="1">IFERROR(__xludf.DUMMYFUNCTION("""COMPUTED_VALUE"""),39489)</f>
        <v>39489</v>
      </c>
      <c r="C1138" s="5" t="str">
        <f ca="1">IFERROR(__xludf.DUMMYFUNCTION("""COMPUTED_VALUE"""),"Mitchell High School")</f>
        <v>Mitchell High School</v>
      </c>
      <c r="D1138" s="5">
        <f ca="1">IFERROR(__xludf.DUMMYFUNCTION("""COMPUTED_VALUE"""),0)</f>
        <v>0</v>
      </c>
      <c r="E1138" s="5">
        <f ca="1">IFERROR(__xludf.DUMMYFUNCTION("""COMPUTED_VALUE"""),1)</f>
        <v>1</v>
      </c>
      <c r="F1138" s="5">
        <f ca="1">IFERROR(__xludf.DUMMYFUNCTION("""COMPUTED_VALUE"""),1)</f>
        <v>1</v>
      </c>
      <c r="G1138" s="5">
        <f ca="1">IFERROR(__xludf.DUMMYFUNCTION("""COMPUTED_VALUE"""),0)</f>
        <v>0</v>
      </c>
      <c r="H1138" s="9" t="str">
        <f ca="1">IFERROR(__xludf.DUMMYFUNCTION("""COMPUTED_VALUE"""),"https://www.nytimes.com/2008/02/12/us/12memphis.html")</f>
        <v>https://www.nytimes.com/2008/02/12/us/12memphis.html</v>
      </c>
      <c r="I1138" s="5"/>
      <c r="J1138" s="5"/>
      <c r="K1138" s="5">
        <f ca="1">IFERROR(__xludf.DUMMYFUNCTION("""COMPUTED_VALUE"""),2)</f>
        <v>2</v>
      </c>
      <c r="L1138" s="5" t="str">
        <f ca="1">IFERROR(__xludf.DUMMYFUNCTION("""COMPUTED_VALUE"""),"Winter")</f>
        <v>Winter</v>
      </c>
      <c r="M1138" s="5" t="str">
        <f ca="1">IFERROR(__xludf.DUMMYFUNCTION("""COMPUTED_VALUE"""),"Memphis")</f>
        <v>Memphis</v>
      </c>
      <c r="N1138" s="5" t="str">
        <f ca="1">IFERROR(__xludf.DUMMYFUNCTION("""COMPUTED_VALUE"""),"TN")</f>
        <v>TN</v>
      </c>
      <c r="O1138" s="5" t="str">
        <f ca="1">IFERROR(__xludf.DUMMYFUNCTION("""COMPUTED_VALUE"""),"High")</f>
        <v>High</v>
      </c>
      <c r="P1138" s="5" t="str">
        <f ca="1">IFERROR(__xludf.DUMMYFUNCTION("""COMPUTED_VALUE"""),"Classroom")</f>
        <v>Classroom</v>
      </c>
      <c r="Q1138" s="5" t="str">
        <f ca="1">IFERROR(__xludf.DUMMYFUNCTION("""COMPUTED_VALUE"""),"Inside School Building")</f>
        <v>Inside School Building</v>
      </c>
      <c r="R1138" s="5" t="str">
        <f ca="1">IFERROR(__xludf.DUMMYFUNCTION("""COMPUTED_VALUE"""),"Yes")</f>
        <v>Yes</v>
      </c>
      <c r="S1138" s="5" t="str">
        <f ca="1">IFERROR(__xludf.DUMMYFUNCTION("""COMPUTED_VALUE"""),"Morning Classes")</f>
        <v>Morning Classes</v>
      </c>
      <c r="T1138" s="10">
        <f ca="1">IFERROR(__xludf.DUMMYFUNCTION("""COMPUTED_VALUE"""),0.375)</f>
        <v>0.375</v>
      </c>
      <c r="U1138" s="5">
        <f ca="1">IFERROR(__xludf.DUMMYFUNCTION("""COMPUTED_VALUE"""),1)</f>
        <v>1</v>
      </c>
      <c r="V1138" s="5" t="str">
        <f ca="1">IFERROR(__xludf.DUMMYFUNCTION("""COMPUTED_VALUE"""),"Prior argument with victim, handed gun to teacher after shooting")</f>
        <v>Prior argument with victim, handed gun to teacher after shooting</v>
      </c>
      <c r="W1138" s="5" t="str">
        <f ca="1">IFERROR(__xludf.DUMMYFUNCTION("""COMPUTED_VALUE"""),"Suspect shot victim three times then handed gun to teacher and waited for police")</f>
        <v>Suspect shot victim three times then handed gun to teacher and waited for police</v>
      </c>
      <c r="X1138" s="5" t="str">
        <f ca="1">IFERROR(__xludf.DUMMYFUNCTION("""COMPUTED_VALUE"""),"Escalation of Dispute")</f>
        <v>Escalation of Dispute</v>
      </c>
      <c r="Y1138" s="5" t="str">
        <f ca="1">IFERROR(__xludf.DUMMYFUNCTION("""COMPUTED_VALUE"""),"Victims Targeted")</f>
        <v>Victims Targeted</v>
      </c>
      <c r="Z1138" s="5" t="str">
        <f ca="1">IFERROR(__xludf.DUMMYFUNCTION("""COMPUTED_VALUE"""),"No")</f>
        <v>No</v>
      </c>
      <c r="AA1138" s="5"/>
      <c r="AB1138" s="5" t="str">
        <f ca="1">IFERROR(__xludf.DUMMYFUNCTION("""COMPUTED_VALUE"""),"No")</f>
        <v>No</v>
      </c>
      <c r="AC1138" s="5" t="str">
        <f ca="1">IFERROR(__xludf.DUMMYFUNCTION("""COMPUTED_VALUE"""),"No")</f>
        <v>No</v>
      </c>
      <c r="AD1138" s="5" t="str">
        <f ca="1">IFERROR(__xludf.DUMMYFUNCTION("""COMPUTED_VALUE"""),"No")</f>
        <v>No</v>
      </c>
      <c r="AE1138" s="5"/>
      <c r="AF1138" s="5" t="str">
        <f ca="1">IFERROR(__xludf.DUMMYFUNCTION("""COMPUTED_VALUE"""),"No")</f>
        <v>No</v>
      </c>
      <c r="AG1138" s="5" t="str">
        <f ca="1">IFERROR(__xludf.DUMMYFUNCTION("""COMPUTED_VALUE"""),"No")</f>
        <v>No</v>
      </c>
      <c r="AH1138" s="5"/>
    </row>
    <row r="1139" spans="1:34" ht="12.75">
      <c r="A1139" s="5" t="str">
        <f ca="1">IFERROR(__xludf.DUMMYFUNCTION("""COMPUTED_VALUE"""),"20080204TNHAM")</f>
        <v>20080204TNHAM</v>
      </c>
      <c r="B1139" s="8">
        <f ca="1">IFERROR(__xludf.DUMMYFUNCTION("""COMPUTED_VALUE"""),39482)</f>
        <v>39482</v>
      </c>
      <c r="C1139" s="5" t="str">
        <f ca="1">IFERROR(__xludf.DUMMYFUNCTION("""COMPUTED_VALUE"""),"Hamilton High School")</f>
        <v>Hamilton High School</v>
      </c>
      <c r="D1139" s="5">
        <f ca="1">IFERROR(__xludf.DUMMYFUNCTION("""COMPUTED_VALUE"""),0)</f>
        <v>0</v>
      </c>
      <c r="E1139" s="5">
        <f ca="1">IFERROR(__xludf.DUMMYFUNCTION("""COMPUTED_VALUE"""),1)</f>
        <v>1</v>
      </c>
      <c r="F1139" s="5">
        <f ca="1">IFERROR(__xludf.DUMMYFUNCTION("""COMPUTED_VALUE"""),1)</f>
        <v>1</v>
      </c>
      <c r="G1139" s="5">
        <f ca="1">IFERROR(__xludf.DUMMYFUNCTION("""COMPUTED_VALUE"""),0)</f>
        <v>0</v>
      </c>
      <c r="H1139" s="9" t="str">
        <f ca="1">IFERROR(__xludf.DUMMYFUNCTION("""COMPUTED_VALUE"""),"http://www.wmcactionnews5.com/story/7818497/police-investigate-shooting-inside-classroom-at-hamilton-high")</f>
        <v>http://www.wmcactionnews5.com/story/7818497/police-investigate-shooting-inside-classroom-at-hamilton-high</v>
      </c>
      <c r="I1139" s="5"/>
      <c r="J1139" s="5"/>
      <c r="K1139" s="5">
        <f ca="1">IFERROR(__xludf.DUMMYFUNCTION("""COMPUTED_VALUE"""),2)</f>
        <v>2</v>
      </c>
      <c r="L1139" s="5" t="str">
        <f ca="1">IFERROR(__xludf.DUMMYFUNCTION("""COMPUTED_VALUE"""),"Winter")</f>
        <v>Winter</v>
      </c>
      <c r="M1139" s="5" t="str">
        <f ca="1">IFERROR(__xludf.DUMMYFUNCTION("""COMPUTED_VALUE"""),"Memphis")</f>
        <v>Memphis</v>
      </c>
      <c r="N1139" s="5" t="str">
        <f ca="1">IFERROR(__xludf.DUMMYFUNCTION("""COMPUTED_VALUE"""),"TN")</f>
        <v>TN</v>
      </c>
      <c r="O1139" s="5" t="str">
        <f ca="1">IFERROR(__xludf.DUMMYFUNCTION("""COMPUTED_VALUE"""),"High")</f>
        <v>High</v>
      </c>
      <c r="P1139" s="5" t="str">
        <f ca="1">IFERROR(__xludf.DUMMYFUNCTION("""COMPUTED_VALUE"""),"Classroom")</f>
        <v>Classroom</v>
      </c>
      <c r="Q1139" s="5" t="str">
        <f ca="1">IFERROR(__xludf.DUMMYFUNCTION("""COMPUTED_VALUE"""),"Inside School Building")</f>
        <v>Inside School Building</v>
      </c>
      <c r="R1139" s="5" t="str">
        <f ca="1">IFERROR(__xludf.DUMMYFUNCTION("""COMPUTED_VALUE"""),"Yes")</f>
        <v>Yes</v>
      </c>
      <c r="S1139" s="5" t="str">
        <f ca="1">IFERROR(__xludf.DUMMYFUNCTION("""COMPUTED_VALUE"""),"Morning Classes")</f>
        <v>Morning Classes</v>
      </c>
      <c r="T1139" s="10">
        <f ca="1">IFERROR(__xludf.DUMMYFUNCTION("""COMPUTED_VALUE"""),0.416666666666666)</f>
        <v>0.41666666666666602</v>
      </c>
      <c r="U1139" s="5">
        <f ca="1">IFERROR(__xludf.DUMMYFUNCTION("""COMPUTED_VALUE"""),1)</f>
        <v>1</v>
      </c>
      <c r="V1139" s="5" t="str">
        <f ca="1">IFERROR(__xludf.DUMMYFUNCTION("""COMPUTED_VALUE"""),"Argument over rap song")</f>
        <v>Argument over rap song</v>
      </c>
      <c r="W1139"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X1139" s="5" t="str">
        <f ca="1">IFERROR(__xludf.DUMMYFUNCTION("""COMPUTED_VALUE"""),"Escalation of Dispute")</f>
        <v>Escalation of Dispute</v>
      </c>
      <c r="Y1139" s="5" t="str">
        <f ca="1">IFERROR(__xludf.DUMMYFUNCTION("""COMPUTED_VALUE"""),"Victims Targeted")</f>
        <v>Victims Targeted</v>
      </c>
      <c r="Z1139" s="5"/>
      <c r="AA1139" s="5"/>
      <c r="AB1139" s="5" t="str">
        <f ca="1">IFERROR(__xludf.DUMMYFUNCTION("""COMPUTED_VALUE"""),"No")</f>
        <v>No</v>
      </c>
      <c r="AC1139" s="5" t="str">
        <f ca="1">IFERROR(__xludf.DUMMYFUNCTION("""COMPUTED_VALUE"""),"No")</f>
        <v>No</v>
      </c>
      <c r="AD1139" s="5" t="str">
        <f ca="1">IFERROR(__xludf.DUMMYFUNCTION("""COMPUTED_VALUE"""),"No")</f>
        <v>No</v>
      </c>
      <c r="AE1139" s="5" t="str">
        <f ca="1">IFERROR(__xludf.DUMMYFUNCTION("""COMPUTED_VALUE"""),"No")</f>
        <v>No</v>
      </c>
      <c r="AF1139" s="5" t="str">
        <f ca="1">IFERROR(__xludf.DUMMYFUNCTION("""COMPUTED_VALUE"""),"No")</f>
        <v>No</v>
      </c>
      <c r="AG1139" s="5" t="str">
        <f ca="1">IFERROR(__xludf.DUMMYFUNCTION("""COMPUTED_VALUE"""),"No")</f>
        <v>No</v>
      </c>
      <c r="AH1139" s="5"/>
    </row>
    <row r="1140" spans="1:34" ht="12.75">
      <c r="A1140" s="5" t="str">
        <f ca="1">IFERROR(__xludf.DUMMYFUNCTION("""COMPUTED_VALUE"""),"20071221CABAU")</f>
        <v>20071221CABAU</v>
      </c>
      <c r="B1140" s="8">
        <f ca="1">IFERROR(__xludf.DUMMYFUNCTION("""COMPUTED_VALUE"""),39437)</f>
        <v>39437</v>
      </c>
      <c r="C1140" s="5" t="str">
        <f ca="1">IFERROR(__xludf.DUMMYFUNCTION("""COMPUTED_VALUE"""),"Barnard-White Middle School")</f>
        <v>Barnard-White Middle School</v>
      </c>
      <c r="D1140" s="5">
        <f ca="1">IFERROR(__xludf.DUMMYFUNCTION("""COMPUTED_VALUE"""),1)</f>
        <v>1</v>
      </c>
      <c r="E1140" s="5">
        <f ca="1">IFERROR(__xludf.DUMMYFUNCTION("""COMPUTED_VALUE"""),0)</f>
        <v>0</v>
      </c>
      <c r="F1140" s="5">
        <f ca="1">IFERROR(__xludf.DUMMYFUNCTION("""COMPUTED_VALUE"""),1)</f>
        <v>1</v>
      </c>
      <c r="G1140" s="5">
        <f ca="1">IFERROR(__xludf.DUMMYFUNCTION("""COMPUTED_VALUE"""),0)</f>
        <v>0</v>
      </c>
      <c r="H1140"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I1140" s="5"/>
      <c r="J1140" s="5"/>
      <c r="K1140" s="5">
        <f ca="1">IFERROR(__xludf.DUMMYFUNCTION("""COMPUTED_VALUE"""),3)</f>
        <v>3</v>
      </c>
      <c r="L1140" s="5" t="str">
        <f ca="1">IFERROR(__xludf.DUMMYFUNCTION("""COMPUTED_VALUE"""),"Winter")</f>
        <v>Winter</v>
      </c>
      <c r="M1140" s="5" t="str">
        <f ca="1">IFERROR(__xludf.DUMMYFUNCTION("""COMPUTED_VALUE"""),"Union City")</f>
        <v>Union City</v>
      </c>
      <c r="N1140" s="5" t="str">
        <f ca="1">IFERROR(__xludf.DUMMYFUNCTION("""COMPUTED_VALUE"""),"CA")</f>
        <v>CA</v>
      </c>
      <c r="O1140" s="5" t="str">
        <f ca="1">IFERROR(__xludf.DUMMYFUNCTION("""COMPUTED_VALUE"""),"Middle")</f>
        <v>Middle</v>
      </c>
      <c r="P1140" s="5" t="str">
        <f ca="1">IFERROR(__xludf.DUMMYFUNCTION("""COMPUTED_VALUE"""),"Outside on School Property")</f>
        <v>Outside on School Property</v>
      </c>
      <c r="Q1140" s="5" t="str">
        <f ca="1">IFERROR(__xludf.DUMMYFUNCTION("""COMPUTED_VALUE"""),"Outside on School Property")</f>
        <v>Outside on School Property</v>
      </c>
      <c r="R1140" s="5" t="str">
        <f ca="1">IFERROR(__xludf.DUMMYFUNCTION("""COMPUTED_VALUE"""),"Yes")</f>
        <v>Yes</v>
      </c>
      <c r="S1140" s="5" t="str">
        <f ca="1">IFERROR(__xludf.DUMMYFUNCTION("""COMPUTED_VALUE"""),"After School")</f>
        <v>After School</v>
      </c>
      <c r="T1140" s="10">
        <f ca="1">IFERROR(__xludf.DUMMYFUNCTION("""COMPUTED_VALUE"""),0.638888888888888)</f>
        <v>0.63888888888888795</v>
      </c>
      <c r="U1140" s="5">
        <f ca="1">IFERROR(__xludf.DUMMYFUNCTION("""COMPUTED_VALUE"""),1)</f>
        <v>1</v>
      </c>
      <c r="V1140" s="5" t="str">
        <f ca="1">IFERROR(__xludf.DUMMYFUNCTION("""COMPUTED_VALUE"""),"Bystander student hit during gang related shooting")</f>
        <v>Bystander student hit during gang related shooting</v>
      </c>
      <c r="W1140"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X1140" s="5" t="str">
        <f ca="1">IFERROR(__xludf.DUMMYFUNCTION("""COMPUTED_VALUE"""),"Escalation of Dispute")</f>
        <v>Escalation of Dispute</v>
      </c>
      <c r="Y1140" s="5" t="str">
        <f ca="1">IFERROR(__xludf.DUMMYFUNCTION("""COMPUTED_VALUE"""),"Random Shooting")</f>
        <v>Random Shooting</v>
      </c>
      <c r="Z1140" s="5" t="str">
        <f ca="1">IFERROR(__xludf.DUMMYFUNCTION("""COMPUTED_VALUE"""),"Yes")</f>
        <v>Yes</v>
      </c>
      <c r="AA1140" s="5" t="str">
        <f ca="1">IFERROR(__xludf.DUMMYFUNCTION("""COMPUTED_VALUE"""),"5 other gang members were with shooter and charged with an accessory to the crime")</f>
        <v>5 other gang members were with shooter and charged with an accessory to the crime</v>
      </c>
      <c r="AB1140" s="5" t="str">
        <f ca="1">IFERROR(__xludf.DUMMYFUNCTION("""COMPUTED_VALUE"""),"No")</f>
        <v>No</v>
      </c>
      <c r="AC1140" s="5" t="str">
        <f ca="1">IFERROR(__xludf.DUMMYFUNCTION("""COMPUTED_VALUE"""),"No")</f>
        <v>No</v>
      </c>
      <c r="AD1140" s="5" t="str">
        <f ca="1">IFERROR(__xludf.DUMMYFUNCTION("""COMPUTED_VALUE"""),"No")</f>
        <v>No</v>
      </c>
      <c r="AE1140" s="5" t="str">
        <f ca="1">IFERROR(__xludf.DUMMYFUNCTION("""COMPUTED_VALUE"""),"Yes")</f>
        <v>Yes</v>
      </c>
      <c r="AF1140" s="5" t="str">
        <f ca="1">IFERROR(__xludf.DUMMYFUNCTION("""COMPUTED_VALUE"""),"No")</f>
        <v>No</v>
      </c>
      <c r="AG1140" s="5" t="str">
        <f ca="1">IFERROR(__xludf.DUMMYFUNCTION("""COMPUTED_VALUE"""),"Yes")</f>
        <v>Yes</v>
      </c>
      <c r="AH1140" s="5"/>
    </row>
    <row r="1141" spans="1:34" ht="12.75">
      <c r="A1141" s="5" t="str">
        <f ca="1">IFERROR(__xludf.DUMMYFUNCTION("""COMPUTED_VALUE"""),"20071126NYHOH")</f>
        <v>20071126NYHOH</v>
      </c>
      <c r="B1141" s="8">
        <f ca="1">IFERROR(__xludf.DUMMYFUNCTION("""COMPUTED_VALUE"""),39412)</f>
        <v>39412</v>
      </c>
      <c r="C1141" s="5" t="str">
        <f ca="1">IFERROR(__xludf.DUMMYFUNCTION("""COMPUTED_VALUE"""),"Holland Patent Central High School")</f>
        <v>Holland Patent Central High School</v>
      </c>
      <c r="D1141" s="5">
        <f ca="1">IFERROR(__xludf.DUMMYFUNCTION("""COMPUTED_VALUE"""),0)</f>
        <v>0</v>
      </c>
      <c r="E1141" s="5">
        <f ca="1">IFERROR(__xludf.DUMMYFUNCTION("""COMPUTED_VALUE"""),0)</f>
        <v>0</v>
      </c>
      <c r="F1141" s="5">
        <f ca="1">IFERROR(__xludf.DUMMYFUNCTION("""COMPUTED_VALUE"""),0)</f>
        <v>0</v>
      </c>
      <c r="G1141" s="5">
        <f ca="1">IFERROR(__xludf.DUMMYFUNCTION("""COMPUTED_VALUE"""),0)</f>
        <v>0</v>
      </c>
      <c r="H1141" s="9" t="str">
        <f ca="1">IFERROR(__xludf.DUMMYFUNCTION("""COMPUTED_VALUE"""),"http://www.uticaod.com/article/20071127/news/311279895")</f>
        <v>http://www.uticaod.com/article/20071127/news/311279895</v>
      </c>
      <c r="I1141" s="5"/>
      <c r="J1141" s="5"/>
      <c r="K1141" s="5">
        <f ca="1">IFERROR(__xludf.DUMMYFUNCTION("""COMPUTED_VALUE"""),2)</f>
        <v>2</v>
      </c>
      <c r="L1141" s="5" t="str">
        <f ca="1">IFERROR(__xludf.DUMMYFUNCTION("""COMPUTED_VALUE"""),"Fall")</f>
        <v>Fall</v>
      </c>
      <c r="M1141" s="5" t="str">
        <f ca="1">IFERROR(__xludf.DUMMYFUNCTION("""COMPUTED_VALUE"""),"Holland Patent")</f>
        <v>Holland Patent</v>
      </c>
      <c r="N1141" s="5" t="str">
        <f ca="1">IFERROR(__xludf.DUMMYFUNCTION("""COMPUTED_VALUE"""),"NY")</f>
        <v>NY</v>
      </c>
      <c r="O1141" s="5" t="str">
        <f ca="1">IFERROR(__xludf.DUMMYFUNCTION("""COMPUTED_VALUE"""),"High")</f>
        <v>High</v>
      </c>
      <c r="P1141" s="5" t="str">
        <f ca="1">IFERROR(__xludf.DUMMYFUNCTION("""COMPUTED_VALUE"""),"School Bus")</f>
        <v>School Bus</v>
      </c>
      <c r="Q1141" s="5" t="str">
        <f ca="1">IFERROR(__xludf.DUMMYFUNCTION("""COMPUTED_VALUE"""),"School Bus")</f>
        <v>School Bus</v>
      </c>
      <c r="R1141" s="5" t="str">
        <f ca="1">IFERROR(__xludf.DUMMYFUNCTION("""COMPUTED_VALUE"""),"Yes")</f>
        <v>Yes</v>
      </c>
      <c r="S1141" s="5" t="str">
        <f ca="1">IFERROR(__xludf.DUMMYFUNCTION("""COMPUTED_VALUE"""),"Morning Classes")</f>
        <v>Morning Classes</v>
      </c>
      <c r="T1141" s="10">
        <f ca="1">IFERROR(__xludf.DUMMYFUNCTION("""COMPUTED_VALUE"""),0.458333333333333)</f>
        <v>0.45833333333333298</v>
      </c>
      <c r="U1141" s="5">
        <f ca="1">IFERROR(__xludf.DUMMYFUNCTION("""COMPUTED_VALUE"""),1)</f>
        <v>1</v>
      </c>
      <c r="V1141" s="5" t="str">
        <f ca="1">IFERROR(__xludf.DUMMYFUNCTION("""COMPUTED_VALUE"""),"Shooter and friend shot gun on bus at seat")</f>
        <v>Shooter and friend shot gun on bus at seat</v>
      </c>
      <c r="W1141"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X1141" s="5" t="str">
        <f ca="1">IFERROR(__xludf.DUMMYFUNCTION("""COMPUTED_VALUE"""),"Intentional Property Damage")</f>
        <v>Intentional Property Damage</v>
      </c>
      <c r="Y1141" s="5"/>
      <c r="Z1141" s="5" t="str">
        <f ca="1">IFERROR(__xludf.DUMMYFUNCTION("""COMPUTED_VALUE"""),"Yes")</f>
        <v>Yes</v>
      </c>
      <c r="AA1141" s="5" t="str">
        <f ca="1">IFERROR(__xludf.DUMMYFUNCTION("""COMPUTED_VALUE"""),"James J. Ranaudo (16) was sitting with shooter on school bus")</f>
        <v>James J. Ranaudo (16) was sitting with shooter on school bus</v>
      </c>
      <c r="AB1141" s="5" t="str">
        <f ca="1">IFERROR(__xludf.DUMMYFUNCTION("""COMPUTED_VALUE"""),"No")</f>
        <v>No</v>
      </c>
      <c r="AC1141" s="5" t="str">
        <f ca="1">IFERROR(__xludf.DUMMYFUNCTION("""COMPUTED_VALUE"""),"No")</f>
        <v>No</v>
      </c>
      <c r="AD1141" s="5" t="str">
        <f ca="1">IFERROR(__xludf.DUMMYFUNCTION("""COMPUTED_VALUE"""),"No")</f>
        <v>No</v>
      </c>
      <c r="AE1141" s="5"/>
      <c r="AF1141" s="5"/>
      <c r="AG1141" s="5" t="str">
        <f ca="1">IFERROR(__xludf.DUMMYFUNCTION("""COMPUTED_VALUE"""),"No")</f>
        <v>No</v>
      </c>
      <c r="AH1141" s="5"/>
    </row>
    <row r="1142" spans="1:34" ht="12.75">
      <c r="A1142" s="5" t="str">
        <f ca="1">IFERROR(__xludf.DUMMYFUNCTION("""COMPUTED_VALUE"""),"20071105LAJOR")</f>
        <v>20071105LAJOR</v>
      </c>
      <c r="B1142" s="8">
        <f ca="1">IFERROR(__xludf.DUMMYFUNCTION("""COMPUTED_VALUE"""),39391)</f>
        <v>39391</v>
      </c>
      <c r="C1142" s="5" t="str">
        <f ca="1">IFERROR(__xludf.DUMMYFUNCTION("""COMPUTED_VALUE"""),"John Curtis Christian School")</f>
        <v>John Curtis Christian School</v>
      </c>
      <c r="D1142" s="5">
        <f ca="1">IFERROR(__xludf.DUMMYFUNCTION("""COMPUTED_VALUE"""),0)</f>
        <v>0</v>
      </c>
      <c r="E1142" s="5">
        <f ca="1">IFERROR(__xludf.DUMMYFUNCTION("""COMPUTED_VALUE"""),0)</f>
        <v>0</v>
      </c>
      <c r="F1142" s="5">
        <f ca="1">IFERROR(__xludf.DUMMYFUNCTION("""COMPUTED_VALUE"""),0)</f>
        <v>0</v>
      </c>
      <c r="G1142" s="5">
        <f ca="1">IFERROR(__xludf.DUMMYFUNCTION("""COMPUTED_VALUE"""),1)</f>
        <v>1</v>
      </c>
      <c r="H1142" s="9" t="str">
        <f ca="1">IFERROR(__xludf.DUMMYFUNCTION("""COMPUTED_VALUE"""),"https://www.newspapers.com/image/432388038/?terms=student%2Bshot")</f>
        <v>https://www.newspapers.com/image/432388038/?terms=student%2Bshot</v>
      </c>
      <c r="I1142" s="5"/>
      <c r="J1142" s="5"/>
      <c r="K1142" s="5">
        <f ca="1">IFERROR(__xludf.DUMMYFUNCTION("""COMPUTED_VALUE"""),2)</f>
        <v>2</v>
      </c>
      <c r="L1142" s="5" t="str">
        <f ca="1">IFERROR(__xludf.DUMMYFUNCTION("""COMPUTED_VALUE"""),"Fall")</f>
        <v>Fall</v>
      </c>
      <c r="M1142" s="5" t="str">
        <f ca="1">IFERROR(__xludf.DUMMYFUNCTION("""COMPUTED_VALUE"""),"River Ridge")</f>
        <v>River Ridge</v>
      </c>
      <c r="N1142" s="5" t="str">
        <f ca="1">IFERROR(__xludf.DUMMYFUNCTION("""COMPUTED_VALUE"""),"LA")</f>
        <v>LA</v>
      </c>
      <c r="O1142" s="5" t="str">
        <f ca="1">IFERROR(__xludf.DUMMYFUNCTION("""COMPUTED_VALUE"""),"K-12")</f>
        <v>K-12</v>
      </c>
      <c r="P1142" s="5" t="str">
        <f ca="1">IFERROR(__xludf.DUMMYFUNCTION("""COMPUTED_VALUE"""),"Inside School Building")</f>
        <v>Inside School Building</v>
      </c>
      <c r="Q1142" s="5" t="str">
        <f ca="1">IFERROR(__xludf.DUMMYFUNCTION("""COMPUTED_VALUE"""),"Inside School Building")</f>
        <v>Inside School Building</v>
      </c>
      <c r="R1142" s="5" t="str">
        <f ca="1">IFERROR(__xludf.DUMMYFUNCTION("""COMPUTED_VALUE"""),"Yes")</f>
        <v>Yes</v>
      </c>
      <c r="S1142" s="5" t="str">
        <f ca="1">IFERROR(__xludf.DUMMYFUNCTION("""COMPUTED_VALUE"""),"Before School")</f>
        <v>Before School</v>
      </c>
      <c r="T1142" s="5"/>
      <c r="U1142" s="5">
        <f ca="1">IFERROR(__xludf.DUMMYFUNCTION("""COMPUTED_VALUE"""),1)</f>
        <v>1</v>
      </c>
      <c r="V1142" s="5" t="str">
        <f ca="1">IFERROR(__xludf.DUMMYFUNCTION("""COMPUTED_VALUE"""),"Student shot self before class")</f>
        <v>Student shot self before class</v>
      </c>
      <c r="W1142" s="5" t="str">
        <f ca="1">IFERROR(__xludf.DUMMYFUNCTION("""COMPUTED_VALUE"""),"13 year old boy shot himself before class - was put on life support. - no motive listed. student later died.")</f>
        <v>13 year old boy shot himself before class - was put on life support. - no motive listed. student later died.</v>
      </c>
      <c r="X1142" s="5" t="str">
        <f ca="1">IFERROR(__xludf.DUMMYFUNCTION("""COMPUTED_VALUE"""),"Suicide/Attempted")</f>
        <v>Suicide/Attempted</v>
      </c>
      <c r="Y1142" s="5" t="str">
        <f ca="1">IFERROR(__xludf.DUMMYFUNCTION("""COMPUTED_VALUE"""),"Victims Targeted")</f>
        <v>Victims Targeted</v>
      </c>
      <c r="Z1142" s="5" t="str">
        <f ca="1">IFERROR(__xludf.DUMMYFUNCTION("""COMPUTED_VALUE"""),"No")</f>
        <v>No</v>
      </c>
      <c r="AA1142" s="5"/>
      <c r="AB1142" s="5" t="str">
        <f ca="1">IFERROR(__xludf.DUMMYFUNCTION("""COMPUTED_VALUE"""),"No")</f>
        <v>No</v>
      </c>
      <c r="AC1142" s="5" t="str">
        <f ca="1">IFERROR(__xludf.DUMMYFUNCTION("""COMPUTED_VALUE"""),"No")</f>
        <v>No</v>
      </c>
      <c r="AD1142" s="5" t="str">
        <f ca="1">IFERROR(__xludf.DUMMYFUNCTION("""COMPUTED_VALUE"""),"No")</f>
        <v>No</v>
      </c>
      <c r="AE1142" s="5"/>
      <c r="AF1142" s="5"/>
      <c r="AG1142" s="5" t="str">
        <f ca="1">IFERROR(__xludf.DUMMYFUNCTION("""COMPUTED_VALUE"""),"No")</f>
        <v>No</v>
      </c>
      <c r="AH1142" s="5"/>
    </row>
    <row r="1143" spans="1:34" ht="12.75">
      <c r="A1143" s="5" t="str">
        <f ca="1">IFERROR(__xludf.DUMMYFUNCTION("""COMPUTED_VALUE"""),"20071024TNMAM")</f>
        <v>20071024TNMAM</v>
      </c>
      <c r="B1143" s="8">
        <f ca="1">IFERROR(__xludf.DUMMYFUNCTION("""COMPUTED_VALUE"""),39379)</f>
        <v>39379</v>
      </c>
      <c r="C1143" s="5" t="str">
        <f ca="1">IFERROR(__xludf.DUMMYFUNCTION("""COMPUTED_VALUE"""),"Manassas High School")</f>
        <v>Manassas High School</v>
      </c>
      <c r="D1143" s="5">
        <f ca="1">IFERROR(__xludf.DUMMYFUNCTION("""COMPUTED_VALUE"""),0)</f>
        <v>0</v>
      </c>
      <c r="E1143" s="5">
        <f ca="1">IFERROR(__xludf.DUMMYFUNCTION("""COMPUTED_VALUE"""),1)</f>
        <v>1</v>
      </c>
      <c r="F1143" s="5">
        <f ca="1">IFERROR(__xludf.DUMMYFUNCTION("""COMPUTED_VALUE"""),1)</f>
        <v>1</v>
      </c>
      <c r="G1143" s="5">
        <f ca="1">IFERROR(__xludf.DUMMYFUNCTION("""COMPUTED_VALUE"""),0)</f>
        <v>0</v>
      </c>
      <c r="H1143" s="9" t="str">
        <f ca="1">IFERROR(__xludf.DUMMYFUNCTION("""COMPUTED_VALUE"""),"https://www.newspapers.com/image/282229204/?terms=markees%2Bsmith")</f>
        <v>https://www.newspapers.com/image/282229204/?terms=markees%2Bsmith</v>
      </c>
      <c r="I1143" s="5"/>
      <c r="J1143" s="5"/>
      <c r="K1143" s="5">
        <f ca="1">IFERROR(__xludf.DUMMYFUNCTION("""COMPUTED_VALUE"""),2)</f>
        <v>2</v>
      </c>
      <c r="L1143" s="5" t="str">
        <f ca="1">IFERROR(__xludf.DUMMYFUNCTION("""COMPUTED_VALUE"""),"Fall")</f>
        <v>Fall</v>
      </c>
      <c r="M1143" s="5" t="str">
        <f ca="1">IFERROR(__xludf.DUMMYFUNCTION("""COMPUTED_VALUE"""),"Memphis")</f>
        <v>Memphis</v>
      </c>
      <c r="N1143" s="5" t="str">
        <f ca="1">IFERROR(__xludf.DUMMYFUNCTION("""COMPUTED_VALUE"""),"TN")</f>
        <v>TN</v>
      </c>
      <c r="O1143" s="5" t="str">
        <f ca="1">IFERROR(__xludf.DUMMYFUNCTION("""COMPUTED_VALUE"""),"High")</f>
        <v>High</v>
      </c>
      <c r="P1143" s="5" t="str">
        <f ca="1">IFERROR(__xludf.DUMMYFUNCTION("""COMPUTED_VALUE"""),"Hallway")</f>
        <v>Hallway</v>
      </c>
      <c r="Q1143" s="5" t="str">
        <f ca="1">IFERROR(__xludf.DUMMYFUNCTION("""COMPUTED_VALUE"""),"Inside School Building")</f>
        <v>Inside School Building</v>
      </c>
      <c r="R1143" s="5" t="str">
        <f ca="1">IFERROR(__xludf.DUMMYFUNCTION("""COMPUTED_VALUE"""),"Yes")</f>
        <v>Yes</v>
      </c>
      <c r="S1143" s="5" t="str">
        <f ca="1">IFERROR(__xludf.DUMMYFUNCTION("""COMPUTED_VALUE"""),"Morning Classes")</f>
        <v>Morning Classes</v>
      </c>
      <c r="T1143" s="10">
        <f ca="1">IFERROR(__xludf.DUMMYFUNCTION("""COMPUTED_VALUE"""),0.364583333333333)</f>
        <v>0.36458333333333298</v>
      </c>
      <c r="U1143" s="5">
        <f ca="1">IFERROR(__xludf.DUMMYFUNCTION("""COMPUTED_VALUE"""),1)</f>
        <v>1</v>
      </c>
      <c r="V1143" s="5" t="str">
        <f ca="1">IFERROR(__xludf.DUMMYFUNCTION("""COMPUTED_VALUE"""),"Accidental discharge while showing off gun")</f>
        <v>Accidental discharge while showing off gun</v>
      </c>
      <c r="W1143"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X1143" s="5" t="str">
        <f ca="1">IFERROR(__xludf.DUMMYFUNCTION("""COMPUTED_VALUE"""),"Accidental")</f>
        <v>Accidental</v>
      </c>
      <c r="Y1143" s="5" t="str">
        <f ca="1">IFERROR(__xludf.DUMMYFUNCTION("""COMPUTED_VALUE"""),"Random Shooting")</f>
        <v>Random Shooting</v>
      </c>
      <c r="Z1143" s="5" t="str">
        <f ca="1">IFERROR(__xludf.DUMMYFUNCTION("""COMPUTED_VALUE"""),"No")</f>
        <v>No</v>
      </c>
      <c r="AA1143" s="5"/>
      <c r="AB1143" s="5" t="str">
        <f ca="1">IFERROR(__xludf.DUMMYFUNCTION("""COMPUTED_VALUE"""),"No")</f>
        <v>No</v>
      </c>
      <c r="AC1143" s="5" t="str">
        <f ca="1">IFERROR(__xludf.DUMMYFUNCTION("""COMPUTED_VALUE"""),"No")</f>
        <v>No</v>
      </c>
      <c r="AD1143" s="5" t="str">
        <f ca="1">IFERROR(__xludf.DUMMYFUNCTION("""COMPUTED_VALUE"""),"No")</f>
        <v>No</v>
      </c>
      <c r="AE1143" s="5" t="str">
        <f ca="1">IFERROR(__xludf.DUMMYFUNCTION("""COMPUTED_VALUE"""),"No")</f>
        <v>No</v>
      </c>
      <c r="AF1143" s="5" t="str">
        <f ca="1">IFERROR(__xludf.DUMMYFUNCTION("""COMPUTED_VALUE"""),"No")</f>
        <v>No</v>
      </c>
      <c r="AG1143" s="5" t="str">
        <f ca="1">IFERROR(__xludf.DUMMYFUNCTION("""COMPUTED_VALUE"""),"No")</f>
        <v>No</v>
      </c>
      <c r="AH1143" s="5"/>
    </row>
    <row r="1144" spans="1:34" ht="12.75">
      <c r="A1144" s="5" t="str">
        <f ca="1">IFERROR(__xludf.DUMMYFUNCTION("""COMPUTED_VALUE"""),"20071010OHSUC")</f>
        <v>20071010OHSUC</v>
      </c>
      <c r="B1144" s="8">
        <f ca="1">IFERROR(__xludf.DUMMYFUNCTION("""COMPUTED_VALUE"""),39365)</f>
        <v>39365</v>
      </c>
      <c r="C1144" s="5" t="str">
        <f ca="1">IFERROR(__xludf.DUMMYFUNCTION("""COMPUTED_VALUE"""),"SuccessTech Academy")</f>
        <v>SuccessTech Academy</v>
      </c>
      <c r="D1144" s="5">
        <f ca="1">IFERROR(__xludf.DUMMYFUNCTION("""COMPUTED_VALUE"""),0)</f>
        <v>0</v>
      </c>
      <c r="E1144" s="5">
        <f ca="1">IFERROR(__xludf.DUMMYFUNCTION("""COMPUTED_VALUE"""),4)</f>
        <v>4</v>
      </c>
      <c r="F1144" s="5">
        <f ca="1">IFERROR(__xludf.DUMMYFUNCTION("""COMPUTED_VALUE"""),4)</f>
        <v>4</v>
      </c>
      <c r="G1144" s="5">
        <f ca="1">IFERROR(__xludf.DUMMYFUNCTION("""COMPUTED_VALUE"""),1)</f>
        <v>1</v>
      </c>
      <c r="H1144" s="5" t="str">
        <f ca="1">IFERROR(__xludf.DUMMYFUNCTION("""COMPUTED_VALUE"""),"http://www.cnn.com/2007/US/10/10/cleveland.shooting/ https://www.fbi.gov/file-repository/active-shooter-incidents-2000-2017.pdf")</f>
        <v>http://www.cnn.com/2007/US/10/10/cleveland.shooting/ https://www.fbi.gov/file-repository/active-shooter-incidents-2000-2017.pdf</v>
      </c>
      <c r="I1144" s="5"/>
      <c r="J1144" s="5"/>
      <c r="K1144" s="5">
        <f ca="1">IFERROR(__xludf.DUMMYFUNCTION("""COMPUTED_VALUE"""),5)</f>
        <v>5</v>
      </c>
      <c r="L1144" s="5" t="str">
        <f ca="1">IFERROR(__xludf.DUMMYFUNCTION("""COMPUTED_VALUE"""),"Fall")</f>
        <v>Fall</v>
      </c>
      <c r="M1144" s="5" t="str">
        <f ca="1">IFERROR(__xludf.DUMMYFUNCTION("""COMPUTED_VALUE"""),"Cleveland")</f>
        <v>Cleveland</v>
      </c>
      <c r="N1144" s="5" t="str">
        <f ca="1">IFERROR(__xludf.DUMMYFUNCTION("""COMPUTED_VALUE"""),"OH")</f>
        <v>OH</v>
      </c>
      <c r="O1144" s="5" t="str">
        <f ca="1">IFERROR(__xludf.DUMMYFUNCTION("""COMPUTED_VALUE"""),"Other")</f>
        <v>Other</v>
      </c>
      <c r="P1144" s="5" t="str">
        <f ca="1">IFERROR(__xludf.DUMMYFUNCTION("""COMPUTED_VALUE"""),"Classroom")</f>
        <v>Classroom</v>
      </c>
      <c r="Q1144" s="5" t="str">
        <f ca="1">IFERROR(__xludf.DUMMYFUNCTION("""COMPUTED_VALUE"""),"Inside School Building")</f>
        <v>Inside School Building</v>
      </c>
      <c r="R1144" s="5" t="str">
        <f ca="1">IFERROR(__xludf.DUMMYFUNCTION("""COMPUTED_VALUE"""),"Yes")</f>
        <v>Yes</v>
      </c>
      <c r="S1144" s="5" t="str">
        <f ca="1">IFERROR(__xludf.DUMMYFUNCTION("""COMPUTED_VALUE"""),"Afternoon Classes")</f>
        <v>Afternoon Classes</v>
      </c>
      <c r="T1144" s="10">
        <f ca="1">IFERROR(__xludf.DUMMYFUNCTION("""COMPUTED_VALUE"""),0.552083333333333)</f>
        <v>0.55208333333333304</v>
      </c>
      <c r="U1144" s="5"/>
      <c r="V1144" s="5" t="str">
        <f ca="1">IFERROR(__xludf.DUMMYFUNCTION("""COMPUTED_VALUE"""),"Planned attack, recently suspended, targeted teacher then killed self")</f>
        <v>Planned attack, recently suspended, targeted teacher then killed self</v>
      </c>
      <c r="W1144"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X1144" s="5" t="str">
        <f ca="1">IFERROR(__xludf.DUMMYFUNCTION("""COMPUTED_VALUE"""),"Anger Over Grade/Suspension/Discipline")</f>
        <v>Anger Over Grade/Suspension/Discipline</v>
      </c>
      <c r="Y1144" s="5" t="str">
        <f ca="1">IFERROR(__xludf.DUMMYFUNCTION("""COMPUTED_VALUE"""),"Victims Targeted")</f>
        <v>Victims Targeted</v>
      </c>
      <c r="Z1144" s="5" t="str">
        <f ca="1">IFERROR(__xludf.DUMMYFUNCTION("""COMPUTED_VALUE"""),"No")</f>
        <v>No</v>
      </c>
      <c r="AA1144" s="5"/>
      <c r="AB1144" s="5" t="str">
        <f ca="1">IFERROR(__xludf.DUMMYFUNCTION("""COMPUTED_VALUE"""),"No")</f>
        <v>No</v>
      </c>
      <c r="AC1144" s="5" t="str">
        <f ca="1">IFERROR(__xludf.DUMMYFUNCTION("""COMPUTED_VALUE"""),"No")</f>
        <v>No</v>
      </c>
      <c r="AD1144" s="5" t="str">
        <f ca="1">IFERROR(__xludf.DUMMYFUNCTION("""COMPUTED_VALUE"""),"No")</f>
        <v>No</v>
      </c>
      <c r="AE1144" s="5" t="str">
        <f ca="1">IFERROR(__xludf.DUMMYFUNCTION("""COMPUTED_VALUE"""),"Yes")</f>
        <v>Yes</v>
      </c>
      <c r="AF1144" s="5" t="str">
        <f ca="1">IFERROR(__xludf.DUMMYFUNCTION("""COMPUTED_VALUE"""),"No")</f>
        <v>No</v>
      </c>
      <c r="AG1144" s="5" t="str">
        <f ca="1">IFERROR(__xludf.DUMMYFUNCTION("""COMPUTED_VALUE"""),"No")</f>
        <v>No</v>
      </c>
      <c r="AH1144" s="5" t="str">
        <f ca="1">IFERROR(__xludf.DUMMYFUNCTION("""COMPUTED_VALUE"""),"Yes")</f>
        <v>Yes</v>
      </c>
    </row>
    <row r="1145" spans="1:34" ht="12.75">
      <c r="A1145" s="5" t="str">
        <f ca="1">IFERROR(__xludf.DUMMYFUNCTION("""COMPUTED_VALUE"""),"20071001CTPLM")</f>
        <v>20071001CTPLM</v>
      </c>
      <c r="B1145" s="8">
        <f ca="1">IFERROR(__xludf.DUMMYFUNCTION("""COMPUTED_VALUE"""),39356)</f>
        <v>39356</v>
      </c>
      <c r="C1145" s="5" t="str">
        <f ca="1">IFERROR(__xludf.DUMMYFUNCTION("""COMPUTED_VALUE"""),"Platt High School")</f>
        <v>Platt High School</v>
      </c>
      <c r="D1145" s="5">
        <f ca="1">IFERROR(__xludf.DUMMYFUNCTION("""COMPUTED_VALUE"""),0)</f>
        <v>0</v>
      </c>
      <c r="E1145" s="5">
        <f ca="1">IFERROR(__xludf.DUMMYFUNCTION("""COMPUTED_VALUE"""),1)</f>
        <v>1</v>
      </c>
      <c r="F1145" s="5">
        <f ca="1">IFERROR(__xludf.DUMMYFUNCTION("""COMPUTED_VALUE"""),1)</f>
        <v>1</v>
      </c>
      <c r="G1145" s="5">
        <f ca="1">IFERROR(__xludf.DUMMYFUNCTION("""COMPUTED_VALUE"""),0)</f>
        <v>0</v>
      </c>
      <c r="H1145" s="9" t="str">
        <f ca="1">IFERROR(__xludf.DUMMYFUNCTION("""COMPUTED_VALUE"""),"https://www.newspapers.com/image/243658015/?terms=student%2Bshot")</f>
        <v>https://www.newspapers.com/image/243658015/?terms=student%2Bshot</v>
      </c>
      <c r="I1145" s="5"/>
      <c r="J1145" s="5"/>
      <c r="K1145" s="5">
        <f ca="1">IFERROR(__xludf.DUMMYFUNCTION("""COMPUTED_VALUE"""),2)</f>
        <v>2</v>
      </c>
      <c r="L1145" s="5" t="str">
        <f ca="1">IFERROR(__xludf.DUMMYFUNCTION("""COMPUTED_VALUE"""),"Fall")</f>
        <v>Fall</v>
      </c>
      <c r="M1145" s="5" t="str">
        <f ca="1">IFERROR(__xludf.DUMMYFUNCTION("""COMPUTED_VALUE"""),"Meriden")</f>
        <v>Meriden</v>
      </c>
      <c r="N1145" s="5" t="str">
        <f ca="1">IFERROR(__xludf.DUMMYFUNCTION("""COMPUTED_VALUE"""),"CT")</f>
        <v>CT</v>
      </c>
      <c r="O1145" s="5" t="str">
        <f ca="1">IFERROR(__xludf.DUMMYFUNCTION("""COMPUTED_VALUE"""),"High")</f>
        <v>High</v>
      </c>
      <c r="P1145" s="5" t="str">
        <f ca="1">IFERROR(__xludf.DUMMYFUNCTION("""COMPUTED_VALUE"""),"Outside on School Property")</f>
        <v>Outside on School Property</v>
      </c>
      <c r="Q1145" s="5" t="str">
        <f ca="1">IFERROR(__xludf.DUMMYFUNCTION("""COMPUTED_VALUE"""),"Outside on School Property")</f>
        <v>Outside on School Property</v>
      </c>
      <c r="R1145" s="5" t="str">
        <f ca="1">IFERROR(__xludf.DUMMYFUNCTION("""COMPUTED_VALUE"""),"Yes")</f>
        <v>Yes</v>
      </c>
      <c r="S1145" s="5" t="str">
        <f ca="1">IFERROR(__xludf.DUMMYFUNCTION("""COMPUTED_VALUE"""),"Dismissal")</f>
        <v>Dismissal</v>
      </c>
      <c r="T1145" s="10">
        <f ca="1">IFERROR(__xludf.DUMMYFUNCTION("""COMPUTED_VALUE"""),0.576388888888888)</f>
        <v>0.57638888888888795</v>
      </c>
      <c r="U1145" s="5">
        <f ca="1">IFERROR(__xludf.DUMMYFUNCTION("""COMPUTED_VALUE"""),1)</f>
        <v>1</v>
      </c>
      <c r="V1145" s="5" t="str">
        <f ca="1">IFERROR(__xludf.DUMMYFUNCTION("""COMPUTED_VALUE"""),"Shot another student with BB gun")</f>
        <v>Shot another student with BB gun</v>
      </c>
      <c r="W1145"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X1145" s="5" t="str">
        <f ca="1">IFERROR(__xludf.DUMMYFUNCTION("""COMPUTED_VALUE"""),"Escalation of Dispute")</f>
        <v>Escalation of Dispute</v>
      </c>
      <c r="Y1145" s="5" t="str">
        <f ca="1">IFERROR(__xludf.DUMMYFUNCTION("""COMPUTED_VALUE"""),"Victims Targeted")</f>
        <v>Victims Targeted</v>
      </c>
      <c r="Z1145" s="5" t="str">
        <f ca="1">IFERROR(__xludf.DUMMYFUNCTION("""COMPUTED_VALUE"""),"No")</f>
        <v>No</v>
      </c>
      <c r="AA1145" s="5"/>
      <c r="AB1145" s="5" t="str">
        <f ca="1">IFERROR(__xludf.DUMMYFUNCTION("""COMPUTED_VALUE"""),"No")</f>
        <v>No</v>
      </c>
      <c r="AC1145" s="5" t="str">
        <f ca="1">IFERROR(__xludf.DUMMYFUNCTION("""COMPUTED_VALUE"""),"No")</f>
        <v>No</v>
      </c>
      <c r="AD1145" s="5" t="str">
        <f ca="1">IFERROR(__xludf.DUMMYFUNCTION("""COMPUTED_VALUE"""),"No")</f>
        <v>No</v>
      </c>
      <c r="AE1145" s="5"/>
      <c r="AF1145" s="5"/>
      <c r="AG1145" s="5"/>
      <c r="AH1145" s="5"/>
    </row>
    <row r="1146" spans="1:34" ht="12.75">
      <c r="A1146" s="5" t="str">
        <f ca="1">IFERROR(__xludf.DUMMYFUNCTION("""COMPUTED_VALUE"""),"20070930AZSSP")</f>
        <v>20070930AZSSP</v>
      </c>
      <c r="B1146" s="8">
        <f ca="1">IFERROR(__xludf.DUMMYFUNCTION("""COMPUTED_VALUE"""),39355)</f>
        <v>39355</v>
      </c>
      <c r="C1146" s="5" t="str">
        <f ca="1">IFERROR(__xludf.DUMMYFUNCTION("""COMPUTED_VALUE"""),"S Simon and Jude Catholic School")</f>
        <v>S Simon and Jude Catholic School</v>
      </c>
      <c r="D1146" s="5">
        <f ca="1">IFERROR(__xludf.DUMMYFUNCTION("""COMPUTED_VALUE"""),0)</f>
        <v>0</v>
      </c>
      <c r="E1146" s="5">
        <f ca="1">IFERROR(__xludf.DUMMYFUNCTION("""COMPUTED_VALUE"""),2)</f>
        <v>2</v>
      </c>
      <c r="F1146" s="5">
        <f ca="1">IFERROR(__xludf.DUMMYFUNCTION("""COMPUTED_VALUE"""),2)</f>
        <v>2</v>
      </c>
      <c r="G1146" s="5">
        <f ca="1">IFERROR(__xludf.DUMMYFUNCTION("""COMPUTED_VALUE"""),0)</f>
        <v>0</v>
      </c>
      <c r="H1146" s="9" t="str">
        <f ca="1">IFERROR(__xludf.DUMMYFUNCTION("""COMPUTED_VALUE"""),"https://www.newspapers.com/image/126118804/?terms=SS%3E%2BSImon%2Band%2BJude%2BCatholic%2Bschool")</f>
        <v>https://www.newspapers.com/image/126118804/?terms=SS%3E%2BSImon%2Band%2BJude%2BCatholic%2Bschool</v>
      </c>
      <c r="I1146" s="5"/>
      <c r="J1146" s="5"/>
      <c r="K1146" s="5">
        <f ca="1">IFERROR(__xludf.DUMMYFUNCTION("""COMPUTED_VALUE"""),2)</f>
        <v>2</v>
      </c>
      <c r="L1146" s="5" t="str">
        <f ca="1">IFERROR(__xludf.DUMMYFUNCTION("""COMPUTED_VALUE"""),"Fall")</f>
        <v>Fall</v>
      </c>
      <c r="M1146" s="5" t="str">
        <f ca="1">IFERROR(__xludf.DUMMYFUNCTION("""COMPUTED_VALUE"""),"Phoenix")</f>
        <v>Phoenix</v>
      </c>
      <c r="N1146" s="5" t="str">
        <f ca="1">IFERROR(__xludf.DUMMYFUNCTION("""COMPUTED_VALUE"""),"AZ")</f>
        <v>AZ</v>
      </c>
      <c r="O1146" s="5" t="str">
        <f ca="1">IFERROR(__xludf.DUMMYFUNCTION("""COMPUTED_VALUE"""),"K-8")</f>
        <v>K-8</v>
      </c>
      <c r="P1146" s="5" t="str">
        <f ca="1">IFERROR(__xludf.DUMMYFUNCTION("""COMPUTED_VALUE"""),"Parking Lot")</f>
        <v>Parking Lot</v>
      </c>
      <c r="Q1146" s="5" t="str">
        <f ca="1">IFERROR(__xludf.DUMMYFUNCTION("""COMPUTED_VALUE"""),"Outside on School Property")</f>
        <v>Outside on School Property</v>
      </c>
      <c r="R1146" s="5" t="str">
        <f ca="1">IFERROR(__xludf.DUMMYFUNCTION("""COMPUTED_VALUE"""),"No")</f>
        <v>No</v>
      </c>
      <c r="S1146" s="5" t="str">
        <f ca="1">IFERROR(__xludf.DUMMYFUNCTION("""COMPUTED_VALUE"""),"Not a School Day")</f>
        <v>Not a School Day</v>
      </c>
      <c r="T1146" s="10">
        <f ca="1">IFERROR(__xludf.DUMMYFUNCTION("""COMPUTED_VALUE"""),0.900694444444444)</f>
        <v>0.90069444444444402</v>
      </c>
      <c r="U1146" s="5">
        <f ca="1">IFERROR(__xludf.DUMMYFUNCTION("""COMPUTED_VALUE"""),1)</f>
        <v>1</v>
      </c>
      <c r="V1146" s="5" t="str">
        <f ca="1">IFERROR(__xludf.DUMMYFUNCTION("""COMPUTED_VALUE"""),"Escalation between two groups")</f>
        <v>Escalation between two groups</v>
      </c>
      <c r="W1146"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X1146" s="5" t="str">
        <f ca="1">IFERROR(__xludf.DUMMYFUNCTION("""COMPUTED_VALUE"""),"Escalation of Dispute")</f>
        <v>Escalation of Dispute</v>
      </c>
      <c r="Y1146" s="5"/>
      <c r="Z1146" s="5"/>
      <c r="AA1146" s="5"/>
      <c r="AB1146" s="5" t="str">
        <f ca="1">IFERROR(__xludf.DUMMYFUNCTION("""COMPUTED_VALUE"""),"No")</f>
        <v>No</v>
      </c>
      <c r="AC1146" s="5" t="str">
        <f ca="1">IFERROR(__xludf.DUMMYFUNCTION("""COMPUTED_VALUE"""),"No")</f>
        <v>No</v>
      </c>
      <c r="AD1146" s="5" t="str">
        <f ca="1">IFERROR(__xludf.DUMMYFUNCTION("""COMPUTED_VALUE"""),"No")</f>
        <v>No</v>
      </c>
      <c r="AE1146" s="5"/>
      <c r="AF1146" s="5"/>
      <c r="AG1146" s="5" t="str">
        <f ca="1">IFERROR(__xludf.DUMMYFUNCTION("""COMPUTED_VALUE"""),"No")</f>
        <v>No</v>
      </c>
      <c r="AH1146" s="5" t="str">
        <f ca="1">IFERROR(__xludf.DUMMYFUNCTION("""COMPUTED_VALUE"""),"No")</f>
        <v>No</v>
      </c>
    </row>
    <row r="1147" spans="1:34" ht="12.75">
      <c r="A1147" s="5" t="str">
        <f ca="1">IFERROR(__xludf.DUMMYFUNCTION("""COMPUTED_VALUE"""),"20070928CALAO")</f>
        <v>20070928CALAO</v>
      </c>
      <c r="B1147" s="8">
        <f ca="1">IFERROR(__xludf.DUMMYFUNCTION("""COMPUTED_VALUE"""),39353)</f>
        <v>39353</v>
      </c>
      <c r="C1147" s="5" t="str">
        <f ca="1">IFERROR(__xludf.DUMMYFUNCTION("""COMPUTED_VALUE"""),"Las Plumas High School")</f>
        <v>Las Plumas High School</v>
      </c>
      <c r="D1147" s="5">
        <f ca="1">IFERROR(__xludf.DUMMYFUNCTION("""COMPUTED_VALUE"""),0)</f>
        <v>0</v>
      </c>
      <c r="E1147" s="5">
        <f ca="1">IFERROR(__xludf.DUMMYFUNCTION("""COMPUTED_VALUE"""),0)</f>
        <v>0</v>
      </c>
      <c r="F1147" s="5">
        <f ca="1">IFERROR(__xludf.DUMMYFUNCTION("""COMPUTED_VALUE"""),0)</f>
        <v>0</v>
      </c>
      <c r="G1147" s="5">
        <f ca="1">IFERROR(__xludf.DUMMYFUNCTION("""COMPUTED_VALUE"""),0)</f>
        <v>0</v>
      </c>
      <c r="H1147"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I1147" s="5"/>
      <c r="J1147" s="5"/>
      <c r="K1147" s="5">
        <f ca="1">IFERROR(__xludf.DUMMYFUNCTION("""COMPUTED_VALUE"""),3)</f>
        <v>3</v>
      </c>
      <c r="L1147" s="5" t="str">
        <f ca="1">IFERROR(__xludf.DUMMYFUNCTION("""COMPUTED_VALUE"""),"Fall")</f>
        <v>Fall</v>
      </c>
      <c r="M1147" s="5" t="str">
        <f ca="1">IFERROR(__xludf.DUMMYFUNCTION("""COMPUTED_VALUE"""),"Oroville")</f>
        <v>Oroville</v>
      </c>
      <c r="N1147" s="5" t="str">
        <f ca="1">IFERROR(__xludf.DUMMYFUNCTION("""COMPUTED_VALUE"""),"CA")</f>
        <v>CA</v>
      </c>
      <c r="O1147" s="5" t="str">
        <f ca="1">IFERROR(__xludf.DUMMYFUNCTION("""COMPUTED_VALUE"""),"High")</f>
        <v>High</v>
      </c>
      <c r="P1147" s="5" t="str">
        <f ca="1">IFERROR(__xludf.DUMMYFUNCTION("""COMPUTED_VALUE"""),"Classroom")</f>
        <v>Classroom</v>
      </c>
      <c r="Q1147" s="5" t="str">
        <f ca="1">IFERROR(__xludf.DUMMYFUNCTION("""COMPUTED_VALUE"""),"Inside School Building")</f>
        <v>Inside School Building</v>
      </c>
      <c r="R1147" s="5" t="str">
        <f ca="1">IFERROR(__xludf.DUMMYFUNCTION("""COMPUTED_VALUE"""),"Yes")</f>
        <v>Yes</v>
      </c>
      <c r="S1147" s="5" t="str">
        <f ca="1">IFERROR(__xludf.DUMMYFUNCTION("""COMPUTED_VALUE"""),"Morning Classes")</f>
        <v>Morning Classes</v>
      </c>
      <c r="T1147" s="10">
        <f ca="1">IFERROR(__xludf.DUMMYFUNCTION("""COMPUTED_VALUE"""),0.385416666666666)</f>
        <v>0.38541666666666602</v>
      </c>
      <c r="U1147" s="5">
        <f ca="1">IFERROR(__xludf.DUMMYFUNCTION("""COMPUTED_VALUE"""),60)</f>
        <v>60</v>
      </c>
      <c r="V1147" s="5" t="str">
        <f ca="1">IFERROR(__xludf.DUMMYFUNCTION("""COMPUTED_VALUE"""),"Hostage situation - shooter held 3 students hostage - shot handgun twice - eventually surrendered.")</f>
        <v>Hostage situation - shooter held 3 students hostage - shot handgun twice - eventually surrendered.</v>
      </c>
      <c r="W1147"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X1147" s="5" t="str">
        <f ca="1">IFERROR(__xludf.DUMMYFUNCTION("""COMPUTED_VALUE"""),"Hostage/Standoff")</f>
        <v>Hostage/Standoff</v>
      </c>
      <c r="Y1147" s="5" t="str">
        <f ca="1">IFERROR(__xludf.DUMMYFUNCTION("""COMPUTED_VALUE"""),"NA")</f>
        <v>NA</v>
      </c>
      <c r="Z1147" s="5" t="str">
        <f ca="1">IFERROR(__xludf.DUMMYFUNCTION("""COMPUTED_VALUE"""),"No")</f>
        <v>No</v>
      </c>
      <c r="AA1147" s="5"/>
      <c r="AB1147" s="5" t="str">
        <f ca="1">IFERROR(__xludf.DUMMYFUNCTION("""COMPUTED_VALUE"""),"Yes")</f>
        <v>Yes</v>
      </c>
      <c r="AC1147" s="5" t="str">
        <f ca="1">IFERROR(__xludf.DUMMYFUNCTION("""COMPUTED_VALUE"""),"Yes")</f>
        <v>Yes</v>
      </c>
      <c r="AD1147" s="5" t="str">
        <f ca="1">IFERROR(__xludf.DUMMYFUNCTION("""COMPUTED_VALUE"""),"No")</f>
        <v>No</v>
      </c>
      <c r="AE1147" s="5"/>
      <c r="AF1147" s="5" t="str">
        <f ca="1">IFERROR(__xludf.DUMMYFUNCTION("""COMPUTED_VALUE"""),"Yes")</f>
        <v>Yes</v>
      </c>
      <c r="AG1147" s="5" t="str">
        <f ca="1">IFERROR(__xludf.DUMMYFUNCTION("""COMPUTED_VALUE"""),"No")</f>
        <v>No</v>
      </c>
      <c r="AH1147" s="5" t="str">
        <f ca="1">IFERROR(__xludf.DUMMYFUNCTION("""COMPUTED_VALUE"""),"Yes")</f>
        <v>Yes</v>
      </c>
    </row>
    <row r="1148" spans="1:34" ht="12.75">
      <c r="A1148" s="5" t="str">
        <f ca="1">IFERROR(__xludf.DUMMYFUNCTION("""COMPUTED_VALUE"""),"20070804NJMON")</f>
        <v>20070804NJMON</v>
      </c>
      <c r="B1148" s="8">
        <f ca="1">IFERROR(__xludf.DUMMYFUNCTION("""COMPUTED_VALUE"""),39298)</f>
        <v>39298</v>
      </c>
      <c r="C1148" s="5" t="str">
        <f ca="1">IFERROR(__xludf.DUMMYFUNCTION("""COMPUTED_VALUE"""),"Mount Vernon Elementary School")</f>
        <v>Mount Vernon Elementary School</v>
      </c>
      <c r="D1148" s="5">
        <f ca="1">IFERROR(__xludf.DUMMYFUNCTION("""COMPUTED_VALUE"""),3)</f>
        <v>3</v>
      </c>
      <c r="E1148" s="5">
        <f ca="1">IFERROR(__xludf.DUMMYFUNCTION("""COMPUTED_VALUE"""),1)</f>
        <v>1</v>
      </c>
      <c r="F1148" s="5">
        <f ca="1">IFERROR(__xludf.DUMMYFUNCTION("""COMPUTED_VALUE"""),4)</f>
        <v>4</v>
      </c>
      <c r="G1148" s="5">
        <f ca="1">IFERROR(__xludf.DUMMYFUNCTION("""COMPUTED_VALUE"""),0)</f>
        <v>0</v>
      </c>
      <c r="H1148" s="9" t="str">
        <f ca="1">IFERROR(__xludf.DUMMYFUNCTION("""COMPUTED_VALUE"""),"https://www.nj.com/news/index.ssf/2010/09/newark_schoolyard_slaying_susp_1.html")</f>
        <v>https://www.nj.com/news/index.ssf/2010/09/newark_schoolyard_slaying_susp_1.html</v>
      </c>
      <c r="I1148" s="5"/>
      <c r="J1148" s="5"/>
      <c r="K1148" s="5">
        <f ca="1">IFERROR(__xludf.DUMMYFUNCTION("""COMPUTED_VALUE"""),2)</f>
        <v>2</v>
      </c>
      <c r="L1148" s="5" t="str">
        <f ca="1">IFERROR(__xludf.DUMMYFUNCTION("""COMPUTED_VALUE"""),"Summer")</f>
        <v>Summer</v>
      </c>
      <c r="M1148" s="5" t="str">
        <f ca="1">IFERROR(__xludf.DUMMYFUNCTION("""COMPUTED_VALUE"""),"Newark")</f>
        <v>Newark</v>
      </c>
      <c r="N1148" s="5" t="str">
        <f ca="1">IFERROR(__xludf.DUMMYFUNCTION("""COMPUTED_VALUE"""),"NJ")</f>
        <v>NJ</v>
      </c>
      <c r="O1148" s="5" t="str">
        <f ca="1">IFERROR(__xludf.DUMMYFUNCTION("""COMPUTED_VALUE"""),"High")</f>
        <v>High</v>
      </c>
      <c r="P1148" s="5" t="str">
        <f ca="1">IFERROR(__xludf.DUMMYFUNCTION("""COMPUTED_VALUE"""),"Front of School")</f>
        <v>Front of School</v>
      </c>
      <c r="Q1148" s="5" t="str">
        <f ca="1">IFERROR(__xludf.DUMMYFUNCTION("""COMPUTED_VALUE"""),"Outside on School Property")</f>
        <v>Outside on School Property</v>
      </c>
      <c r="R1148" s="5" t="str">
        <f ca="1">IFERROR(__xludf.DUMMYFUNCTION("""COMPUTED_VALUE"""),"No")</f>
        <v>No</v>
      </c>
      <c r="S1148" s="5" t="str">
        <f ca="1">IFERROR(__xludf.DUMMYFUNCTION("""COMPUTED_VALUE"""),"Not a School Day")</f>
        <v>Not a School Day</v>
      </c>
      <c r="T1148" s="5"/>
      <c r="U1148" s="5"/>
      <c r="V1148" s="5" t="str">
        <f ca="1">IFERROR(__xludf.DUMMYFUNCTION("""COMPUTED_VALUE"""),"Shot 4 friends at school, MS-13 directed shooting")</f>
        <v>Shot 4 friends at school, MS-13 directed shooting</v>
      </c>
      <c r="W1148" s="5" t="str">
        <f ca="1">IFERROR(__xludf.DUMMYFUNCTION("""COMPUTED_VALUE"""),"18 YOM was directed by MS-13 gang members to kill 4 friends sitting outside of the school.")</f>
        <v>18 YOM was directed by MS-13 gang members to kill 4 friends sitting outside of the school.</v>
      </c>
      <c r="X1148" s="5" t="str">
        <f ca="1">IFERROR(__xludf.DUMMYFUNCTION("""COMPUTED_VALUE"""),"Illegal Activity")</f>
        <v>Illegal Activity</v>
      </c>
      <c r="Y1148" s="5" t="str">
        <f ca="1">IFERROR(__xludf.DUMMYFUNCTION("""COMPUTED_VALUE"""),"Victims Targeted")</f>
        <v>Victims Targeted</v>
      </c>
      <c r="Z1148" s="5" t="str">
        <f ca="1">IFERROR(__xludf.DUMMYFUNCTION("""COMPUTED_VALUE"""),"No")</f>
        <v>No</v>
      </c>
      <c r="AA1148" s="5"/>
      <c r="AB1148" s="5" t="str">
        <f ca="1">IFERROR(__xludf.DUMMYFUNCTION("""COMPUTED_VALUE"""),"No")</f>
        <v>No</v>
      </c>
      <c r="AC1148" s="5" t="str">
        <f ca="1">IFERROR(__xludf.DUMMYFUNCTION("""COMPUTED_VALUE"""),"No")</f>
        <v>No</v>
      </c>
      <c r="AD1148" s="5" t="str">
        <f ca="1">IFERROR(__xludf.DUMMYFUNCTION("""COMPUTED_VALUE"""),"No")</f>
        <v>No</v>
      </c>
      <c r="AE1148" s="5" t="str">
        <f ca="1">IFERROR(__xludf.DUMMYFUNCTION("""COMPUTED_VALUE"""),"No")</f>
        <v>No</v>
      </c>
      <c r="AF1148" s="5" t="str">
        <f ca="1">IFERROR(__xludf.DUMMYFUNCTION("""COMPUTED_VALUE"""),"No")</f>
        <v>No</v>
      </c>
      <c r="AG1148" s="5" t="str">
        <f ca="1">IFERROR(__xludf.DUMMYFUNCTION("""COMPUTED_VALUE"""),"Yes")</f>
        <v>Yes</v>
      </c>
      <c r="AH1148" s="5"/>
    </row>
    <row r="1149" spans="1:34" ht="12.75">
      <c r="A1149" s="5" t="str">
        <f ca="1">IFERROR(__xludf.DUMMYFUNCTION("""COMPUTED_VALUE"""),"20070709ILCAC")</f>
        <v>20070709ILCAC</v>
      </c>
      <c r="B1149" s="8">
        <f ca="1">IFERROR(__xludf.DUMMYFUNCTION("""COMPUTED_VALUE"""),39272)</f>
        <v>39272</v>
      </c>
      <c r="C1149" s="5" t="str">
        <f ca="1">IFERROR(__xludf.DUMMYFUNCTION("""COMPUTED_VALUE"""),"Carter G. Woodson Elementary School")</f>
        <v>Carter G. Woodson Elementary School</v>
      </c>
      <c r="D1149" s="5">
        <f ca="1">IFERROR(__xludf.DUMMYFUNCTION("""COMPUTED_VALUE"""),0)</f>
        <v>0</v>
      </c>
      <c r="E1149" s="5">
        <f ca="1">IFERROR(__xludf.DUMMYFUNCTION("""COMPUTED_VALUE"""),2)</f>
        <v>2</v>
      </c>
      <c r="F1149" s="5">
        <f ca="1">IFERROR(__xludf.DUMMYFUNCTION("""COMPUTED_VALUE"""),2)</f>
        <v>2</v>
      </c>
      <c r="G1149" s="5">
        <f ca="1">IFERROR(__xludf.DUMMYFUNCTION("""COMPUTED_VALUE"""),0)</f>
        <v>0</v>
      </c>
      <c r="H1149" s="9" t="str">
        <f ca="1">IFERROR(__xludf.DUMMYFUNCTION("""COMPUTED_VALUE"""),"https://www.columbine-angels.com/School_Violence_2006-2007.htm")</f>
        <v>https://www.columbine-angels.com/School_Violence_2006-2007.htm</v>
      </c>
      <c r="I1149" s="5"/>
      <c r="J1149" s="5"/>
      <c r="K1149" s="5">
        <f ca="1">IFERROR(__xludf.DUMMYFUNCTION("""COMPUTED_VALUE"""),1)</f>
        <v>1</v>
      </c>
      <c r="L1149" s="5" t="str">
        <f ca="1">IFERROR(__xludf.DUMMYFUNCTION("""COMPUTED_VALUE"""),"Summer")</f>
        <v>Summer</v>
      </c>
      <c r="M1149" s="5" t="str">
        <f ca="1">IFERROR(__xludf.DUMMYFUNCTION("""COMPUTED_VALUE"""),"Chicago")</f>
        <v>Chicago</v>
      </c>
      <c r="N1149" s="5" t="str">
        <f ca="1">IFERROR(__xludf.DUMMYFUNCTION("""COMPUTED_VALUE"""),"IL")</f>
        <v>IL</v>
      </c>
      <c r="O1149" s="5" t="str">
        <f ca="1">IFERROR(__xludf.DUMMYFUNCTION("""COMPUTED_VALUE"""),"Elementary")</f>
        <v>Elementary</v>
      </c>
      <c r="P1149" s="5" t="str">
        <f ca="1">IFERROR(__xludf.DUMMYFUNCTION("""COMPUTED_VALUE"""),"Front of School")</f>
        <v>Front of School</v>
      </c>
      <c r="Q1149" s="5" t="str">
        <f ca="1">IFERROR(__xludf.DUMMYFUNCTION("""COMPUTED_VALUE"""),"Outside on School Property")</f>
        <v>Outside on School Property</v>
      </c>
      <c r="R1149" s="5" t="str">
        <f ca="1">IFERROR(__xludf.DUMMYFUNCTION("""COMPUTED_VALUE"""),"No")</f>
        <v>No</v>
      </c>
      <c r="S1149" s="5" t="str">
        <f ca="1">IFERROR(__xludf.DUMMYFUNCTION("""COMPUTED_VALUE"""),"Not a School Day")</f>
        <v>Not a School Day</v>
      </c>
      <c r="T1149" s="10">
        <f ca="1">IFERROR(__xludf.DUMMYFUNCTION("""COMPUTED_VALUE"""),0.569444444444444)</f>
        <v>0.56944444444444398</v>
      </c>
      <c r="U1149" s="5">
        <f ca="1">IFERROR(__xludf.DUMMYFUNCTION("""COMPUTED_VALUE"""),1)</f>
        <v>1</v>
      </c>
      <c r="V1149" s="5" t="str">
        <f ca="1">IFERROR(__xludf.DUMMYFUNCTION("""COMPUTED_VALUE"""),"Drive-by outside of school")</f>
        <v>Drive-by outside of school</v>
      </c>
      <c r="W1149" s="5" t="str">
        <f ca="1">IFERROR(__xludf.DUMMYFUNCTION("""COMPUTED_VALUE"""),"14YOM and 15YOM non-students were shot during drive-by outside of school. Details unknown.")</f>
        <v>14YOM and 15YOM non-students were shot during drive-by outside of school. Details unknown.</v>
      </c>
      <c r="X1149" s="5" t="str">
        <f ca="1">IFERROR(__xludf.DUMMYFUNCTION("""COMPUTED_VALUE"""),"Drive-by Shooting")</f>
        <v>Drive-by Shooting</v>
      </c>
      <c r="Y1149" s="5"/>
      <c r="Z1149" s="5" t="str">
        <f ca="1">IFERROR(__xludf.DUMMYFUNCTION("""COMPUTED_VALUE"""),"Yes")</f>
        <v>Yes</v>
      </c>
      <c r="AA1149" s="5" t="str">
        <f ca="1">IFERROR(__xludf.DUMMYFUNCTION("""COMPUTED_VALUE"""),"Drive by, multiple in car")</f>
        <v>Drive by, multiple in car</v>
      </c>
      <c r="AB1149" s="5" t="str">
        <f ca="1">IFERROR(__xludf.DUMMYFUNCTION("""COMPUTED_VALUE"""),"No")</f>
        <v>No</v>
      </c>
      <c r="AC1149" s="5" t="str">
        <f ca="1">IFERROR(__xludf.DUMMYFUNCTION("""COMPUTED_VALUE"""),"No")</f>
        <v>No</v>
      </c>
      <c r="AD1149" s="5" t="str">
        <f ca="1">IFERROR(__xludf.DUMMYFUNCTION("""COMPUTED_VALUE"""),"No")</f>
        <v>No</v>
      </c>
      <c r="AE1149" s="5" t="str">
        <f ca="1">IFERROR(__xludf.DUMMYFUNCTION("""COMPUTED_VALUE"""),"No")</f>
        <v>No</v>
      </c>
      <c r="AF1149" s="5" t="str">
        <f ca="1">IFERROR(__xludf.DUMMYFUNCTION("""COMPUTED_VALUE"""),"No")</f>
        <v>No</v>
      </c>
      <c r="AG1149" s="5" t="str">
        <f ca="1">IFERROR(__xludf.DUMMYFUNCTION("""COMPUTED_VALUE"""),"Yes")</f>
        <v>Yes</v>
      </c>
      <c r="AH1149" s="5"/>
    </row>
    <row r="1150" spans="1:34" ht="12.75">
      <c r="A1150" s="5" t="str">
        <f ca="1">IFERROR(__xludf.DUMMYFUNCTION("""COMPUTED_VALUE"""),"20070628TXDAD")</f>
        <v>20070628TXDAD</v>
      </c>
      <c r="B1150" s="8">
        <f ca="1">IFERROR(__xludf.DUMMYFUNCTION("""COMPUTED_VALUE"""),39261)</f>
        <v>39261</v>
      </c>
      <c r="C1150" s="5" t="str">
        <f ca="1">IFERROR(__xludf.DUMMYFUNCTION("""COMPUTED_VALUE"""),"David W. Carter High School")</f>
        <v>David W. Carter High School</v>
      </c>
      <c r="D1150" s="5">
        <f ca="1">IFERROR(__xludf.DUMMYFUNCTION("""COMPUTED_VALUE"""),0)</f>
        <v>0</v>
      </c>
      <c r="E1150" s="5">
        <f ca="1">IFERROR(__xludf.DUMMYFUNCTION("""COMPUTED_VALUE"""),2)</f>
        <v>2</v>
      </c>
      <c r="F1150" s="5">
        <f ca="1">IFERROR(__xludf.DUMMYFUNCTION("""COMPUTED_VALUE"""),2)</f>
        <v>2</v>
      </c>
      <c r="G1150" s="5">
        <f ca="1">IFERROR(__xludf.DUMMYFUNCTION("""COMPUTED_VALUE"""),0)</f>
        <v>0</v>
      </c>
      <c r="H1150" s="9" t="str">
        <f ca="1">IFERROR(__xludf.DUMMYFUNCTION("""COMPUTED_VALUE"""),"https://www.pressreader.com/usa/the-dallas-morning-news/20070629/282364035265089")</f>
        <v>https://www.pressreader.com/usa/the-dallas-morning-news/20070629/282364035265089</v>
      </c>
      <c r="I1150" s="5"/>
      <c r="J1150" s="5"/>
      <c r="K1150" s="5">
        <f ca="1">IFERROR(__xludf.DUMMYFUNCTION("""COMPUTED_VALUE"""),2)</f>
        <v>2</v>
      </c>
      <c r="L1150" s="5" t="str">
        <f ca="1">IFERROR(__xludf.DUMMYFUNCTION("""COMPUTED_VALUE"""),"Summer")</f>
        <v>Summer</v>
      </c>
      <c r="M1150" s="5" t="str">
        <f ca="1">IFERROR(__xludf.DUMMYFUNCTION("""COMPUTED_VALUE"""),"Dallas")</f>
        <v>Dallas</v>
      </c>
      <c r="N1150" s="5" t="str">
        <f ca="1">IFERROR(__xludf.DUMMYFUNCTION("""COMPUTED_VALUE"""),"TX")</f>
        <v>TX</v>
      </c>
      <c r="O1150" s="5" t="str">
        <f ca="1">IFERROR(__xludf.DUMMYFUNCTION("""COMPUTED_VALUE"""),"High")</f>
        <v>High</v>
      </c>
      <c r="P1150" s="5" t="str">
        <f ca="1">IFERROR(__xludf.DUMMYFUNCTION("""COMPUTED_VALUE"""),"Parking Lot")</f>
        <v>Parking Lot</v>
      </c>
      <c r="Q1150" s="5" t="str">
        <f ca="1">IFERROR(__xludf.DUMMYFUNCTION("""COMPUTED_VALUE"""),"Outside on School Property")</f>
        <v>Outside on School Property</v>
      </c>
      <c r="R1150" s="5" t="str">
        <f ca="1">IFERROR(__xludf.DUMMYFUNCTION("""COMPUTED_VALUE"""),"Yes")</f>
        <v>Yes</v>
      </c>
      <c r="S1150" s="5" t="str">
        <f ca="1">IFERROR(__xludf.DUMMYFUNCTION("""COMPUTED_VALUE"""),"Lunch")</f>
        <v>Lunch</v>
      </c>
      <c r="T1150" s="10">
        <f ca="1">IFERROR(__xludf.DUMMYFUNCTION("""COMPUTED_VALUE"""),0.5)</f>
        <v>0.5</v>
      </c>
      <c r="U1150" s="5">
        <f ca="1">IFERROR(__xludf.DUMMYFUNCTION("""COMPUTED_VALUE"""),1)</f>
        <v>1</v>
      </c>
      <c r="V1150" s="5" t="str">
        <f ca="1">IFERROR(__xludf.DUMMYFUNCTION("""COMPUTED_VALUE"""),"Rival gang members fired a 3 students in parking lot")</f>
        <v>Rival gang members fired a 3 students in parking lot</v>
      </c>
      <c r="W1150" s="5" t="str">
        <f ca="1">IFERROR(__xludf.DUMMYFUNCTION("""COMPUTED_VALUE"""),"2 gang members in a vehicle fired at 3 students who were members of a rival gang in the parking lot")</f>
        <v>2 gang members in a vehicle fired at 3 students who were members of a rival gang in the parking lot</v>
      </c>
      <c r="X1150" s="5" t="str">
        <f ca="1">IFERROR(__xludf.DUMMYFUNCTION("""COMPUTED_VALUE"""),"Drive-by Shooting")</f>
        <v>Drive-by Shooting</v>
      </c>
      <c r="Y1150" s="5" t="str">
        <f ca="1">IFERROR(__xludf.DUMMYFUNCTION("""COMPUTED_VALUE"""),"Victims Targeted")</f>
        <v>Victims Targeted</v>
      </c>
      <c r="Z1150" s="5" t="str">
        <f ca="1">IFERROR(__xludf.DUMMYFUNCTION("""COMPUTED_VALUE"""),"Yes")</f>
        <v>Yes</v>
      </c>
      <c r="AA1150" s="5" t="str">
        <f ca="1">IFERROR(__xludf.DUMMYFUNCTION("""COMPUTED_VALUE"""),"Two in car")</f>
        <v>Two in car</v>
      </c>
      <c r="AB1150" s="5" t="str">
        <f ca="1">IFERROR(__xludf.DUMMYFUNCTION("""COMPUTED_VALUE"""),"No")</f>
        <v>No</v>
      </c>
      <c r="AC1150" s="5" t="str">
        <f ca="1">IFERROR(__xludf.DUMMYFUNCTION("""COMPUTED_VALUE"""),"No")</f>
        <v>No</v>
      </c>
      <c r="AD1150" s="5" t="str">
        <f ca="1">IFERROR(__xludf.DUMMYFUNCTION("""COMPUTED_VALUE"""),"No")</f>
        <v>No</v>
      </c>
      <c r="AE1150" s="5" t="str">
        <f ca="1">IFERROR(__xludf.DUMMYFUNCTION("""COMPUTED_VALUE"""),"No")</f>
        <v>No</v>
      </c>
      <c r="AF1150" s="5" t="str">
        <f ca="1">IFERROR(__xludf.DUMMYFUNCTION("""COMPUTED_VALUE"""),"No")</f>
        <v>No</v>
      </c>
      <c r="AG1150" s="5" t="str">
        <f ca="1">IFERROR(__xludf.DUMMYFUNCTION("""COMPUTED_VALUE"""),"Yes")</f>
        <v>Yes</v>
      </c>
      <c r="AH1150" s="5"/>
    </row>
    <row r="1151" spans="1:34" ht="12.75">
      <c r="A1151" s="5" t="str">
        <f ca="1">IFERROR(__xludf.DUMMYFUNCTION("""COMPUTED_VALUE"""),"20070617SCBRB")</f>
        <v>20070617SCBRB</v>
      </c>
      <c r="B1151" s="8">
        <f ca="1">IFERROR(__xludf.DUMMYFUNCTION("""COMPUTED_VALUE"""),39250)</f>
        <v>39250</v>
      </c>
      <c r="C1151" s="5" t="str">
        <f ca="1">IFERROR(__xludf.DUMMYFUNCTION("""COMPUTED_VALUE"""),"Broad River Elementary School")</f>
        <v>Broad River Elementary School</v>
      </c>
      <c r="D1151" s="5">
        <f ca="1">IFERROR(__xludf.DUMMYFUNCTION("""COMPUTED_VALUE"""),0)</f>
        <v>0</v>
      </c>
      <c r="E1151" s="5">
        <f ca="1">IFERROR(__xludf.DUMMYFUNCTION("""COMPUTED_VALUE"""),1)</f>
        <v>1</v>
      </c>
      <c r="F1151" s="5">
        <f ca="1">IFERROR(__xludf.DUMMYFUNCTION("""COMPUTED_VALUE"""),1)</f>
        <v>1</v>
      </c>
      <c r="G1151" s="5">
        <f ca="1">IFERROR(__xludf.DUMMYFUNCTION("""COMPUTED_VALUE"""),0)</f>
        <v>0</v>
      </c>
      <c r="H1151" s="9" t="str">
        <f ca="1">IFERROR(__xludf.DUMMYFUNCTION("""COMPUTED_VALUE"""),"https://www.columbine-angels.com/School_Violence_2006-2007.htm")</f>
        <v>https://www.columbine-angels.com/School_Violence_2006-2007.htm</v>
      </c>
      <c r="I1151" s="5"/>
      <c r="J1151" s="5"/>
      <c r="K1151" s="5">
        <f ca="1">IFERROR(__xludf.DUMMYFUNCTION("""COMPUTED_VALUE"""),1)</f>
        <v>1</v>
      </c>
      <c r="L1151" s="5" t="str">
        <f ca="1">IFERROR(__xludf.DUMMYFUNCTION("""COMPUTED_VALUE"""),"Summer")</f>
        <v>Summer</v>
      </c>
      <c r="M1151" s="5" t="str">
        <f ca="1">IFERROR(__xludf.DUMMYFUNCTION("""COMPUTED_VALUE"""),"Burton")</f>
        <v>Burton</v>
      </c>
      <c r="N1151" s="5" t="str">
        <f ca="1">IFERROR(__xludf.DUMMYFUNCTION("""COMPUTED_VALUE"""),"SC")</f>
        <v>SC</v>
      </c>
      <c r="O1151" s="5" t="str">
        <f ca="1">IFERROR(__xludf.DUMMYFUNCTION("""COMPUTED_VALUE"""),"Elementary")</f>
        <v>Elementary</v>
      </c>
      <c r="P1151" s="5" t="str">
        <f ca="1">IFERROR(__xludf.DUMMYFUNCTION("""COMPUTED_VALUE"""),"Outside on School Property")</f>
        <v>Outside on School Property</v>
      </c>
      <c r="Q1151" s="5" t="str">
        <f ca="1">IFERROR(__xludf.DUMMYFUNCTION("""COMPUTED_VALUE"""),"Outside on School Property")</f>
        <v>Outside on School Property</v>
      </c>
      <c r="R1151" s="5" t="str">
        <f ca="1">IFERROR(__xludf.DUMMYFUNCTION("""COMPUTED_VALUE"""),"No")</f>
        <v>No</v>
      </c>
      <c r="S1151" s="5" t="str">
        <f ca="1">IFERROR(__xludf.DUMMYFUNCTION("""COMPUTED_VALUE"""),"Sport Event")</f>
        <v>Sport Event</v>
      </c>
      <c r="T1151" s="5"/>
      <c r="U1151" s="5">
        <f ca="1">IFERROR(__xludf.DUMMYFUNCTION("""COMPUTED_VALUE"""),1)</f>
        <v>1</v>
      </c>
      <c r="V1151" s="5" t="str">
        <f ca="1">IFERROR(__xludf.DUMMYFUNCTION("""COMPUTED_VALUE"""),"Shooting during argument during basketball game")</f>
        <v>Shooting during argument during basketball game</v>
      </c>
      <c r="W1151"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X1151" s="5" t="str">
        <f ca="1">IFERROR(__xludf.DUMMYFUNCTION("""COMPUTED_VALUE"""),"Escalation of Dispute")</f>
        <v>Escalation of Dispute</v>
      </c>
      <c r="Y1151" s="5" t="str">
        <f ca="1">IFERROR(__xludf.DUMMYFUNCTION("""COMPUTED_VALUE"""),"Victims Targeted")</f>
        <v>Victims Targeted</v>
      </c>
      <c r="Z1151" s="5" t="str">
        <f ca="1">IFERROR(__xludf.DUMMYFUNCTION("""COMPUTED_VALUE"""),"No")</f>
        <v>No</v>
      </c>
      <c r="AA1151" s="5"/>
      <c r="AB1151" s="5" t="str">
        <f ca="1">IFERROR(__xludf.DUMMYFUNCTION("""COMPUTED_VALUE"""),"No")</f>
        <v>No</v>
      </c>
      <c r="AC1151" s="5" t="str">
        <f ca="1">IFERROR(__xludf.DUMMYFUNCTION("""COMPUTED_VALUE"""),"No")</f>
        <v>No</v>
      </c>
      <c r="AD1151" s="5" t="str">
        <f ca="1">IFERROR(__xludf.DUMMYFUNCTION("""COMPUTED_VALUE"""),"No")</f>
        <v>No</v>
      </c>
      <c r="AE1151" s="5" t="str">
        <f ca="1">IFERROR(__xludf.DUMMYFUNCTION("""COMPUTED_VALUE"""),"No")</f>
        <v>No</v>
      </c>
      <c r="AF1151" s="5" t="str">
        <f ca="1">IFERROR(__xludf.DUMMYFUNCTION("""COMPUTED_VALUE"""),"No")</f>
        <v>No</v>
      </c>
      <c r="AG1151" s="5" t="str">
        <f ca="1">IFERROR(__xludf.DUMMYFUNCTION("""COMPUTED_VALUE"""),"No")</f>
        <v>No</v>
      </c>
      <c r="AH1151" s="5"/>
    </row>
    <row r="1152" spans="1:34" ht="12.75">
      <c r="A1152" s="5" t="str">
        <f ca="1">IFERROR(__xludf.DUMMYFUNCTION("""COMPUTED_VALUE"""),"20070531NCNOG")</f>
        <v>20070531NCNOG</v>
      </c>
      <c r="B1152" s="8">
        <f ca="1">IFERROR(__xludf.DUMMYFUNCTION("""COMPUTED_VALUE"""),39233)</f>
        <v>39233</v>
      </c>
      <c r="C1152" s="5" t="str">
        <f ca="1">IFERROR(__xludf.DUMMYFUNCTION("""COMPUTED_VALUE"""),"North Garner Middle School")</f>
        <v>North Garner Middle School</v>
      </c>
      <c r="D1152" s="5">
        <f ca="1">IFERROR(__xludf.DUMMYFUNCTION("""COMPUTED_VALUE"""),0)</f>
        <v>0</v>
      </c>
      <c r="E1152" s="5">
        <f ca="1">IFERROR(__xludf.DUMMYFUNCTION("""COMPUTED_VALUE"""),0)</f>
        <v>0</v>
      </c>
      <c r="F1152" s="5">
        <f ca="1">IFERROR(__xludf.DUMMYFUNCTION("""COMPUTED_VALUE"""),0)</f>
        <v>0</v>
      </c>
      <c r="G1152" s="5">
        <f ca="1">IFERROR(__xludf.DUMMYFUNCTION("""COMPUTED_VALUE"""),0)</f>
        <v>0</v>
      </c>
      <c r="H1152" s="9" t="str">
        <f ca="1">IFERROR(__xludf.DUMMYFUNCTION("""COMPUTED_VALUE"""),"https://www.columbine-angels.com/School_Violence_2006-2007.htm")</f>
        <v>https://www.columbine-angels.com/School_Violence_2006-2007.htm</v>
      </c>
      <c r="I1152" s="5"/>
      <c r="J1152" s="5"/>
      <c r="K1152" s="5">
        <f ca="1">IFERROR(__xludf.DUMMYFUNCTION("""COMPUTED_VALUE"""),1)</f>
        <v>1</v>
      </c>
      <c r="L1152" s="5" t="str">
        <f ca="1">IFERROR(__xludf.DUMMYFUNCTION("""COMPUTED_VALUE"""),"Spring")</f>
        <v>Spring</v>
      </c>
      <c r="M1152" s="5" t="str">
        <f ca="1">IFERROR(__xludf.DUMMYFUNCTION("""COMPUTED_VALUE"""),"Garner")</f>
        <v>Garner</v>
      </c>
      <c r="N1152" s="5" t="str">
        <f ca="1">IFERROR(__xludf.DUMMYFUNCTION("""COMPUTED_VALUE"""),"NC")</f>
        <v>NC</v>
      </c>
      <c r="O1152" s="5" t="str">
        <f ca="1">IFERROR(__xludf.DUMMYFUNCTION("""COMPUTED_VALUE"""),"Middle")</f>
        <v>Middle</v>
      </c>
      <c r="P1152" s="5" t="str">
        <f ca="1">IFERROR(__xludf.DUMMYFUNCTION("""COMPUTED_VALUE"""),"Outside on School Property")</f>
        <v>Outside on School Property</v>
      </c>
      <c r="Q1152" s="5" t="str">
        <f ca="1">IFERROR(__xludf.DUMMYFUNCTION("""COMPUTED_VALUE"""),"Outside on School Property")</f>
        <v>Outside on School Property</v>
      </c>
      <c r="R1152" s="5" t="str">
        <f ca="1">IFERROR(__xludf.DUMMYFUNCTION("""COMPUTED_VALUE"""),"Yes")</f>
        <v>Yes</v>
      </c>
      <c r="S1152" s="5"/>
      <c r="T1152" s="5"/>
      <c r="U1152" s="5">
        <f ca="1">IFERROR(__xludf.DUMMYFUNCTION("""COMPUTED_VALUE"""),1)</f>
        <v>1</v>
      </c>
      <c r="V1152" s="5" t="str">
        <f ca="1">IFERROR(__xludf.DUMMYFUNCTION("""COMPUTED_VALUE"""),"3 students shot by pellet gun")</f>
        <v>3 students shot by pellet gun</v>
      </c>
      <c r="W1152"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X1152" s="5" t="str">
        <f ca="1">IFERROR(__xludf.DUMMYFUNCTION("""COMPUTED_VALUE"""),"Indiscriminate Shooting")</f>
        <v>Indiscriminate Shooting</v>
      </c>
      <c r="Y1152" s="5"/>
      <c r="Z1152" s="5" t="str">
        <f ca="1">IFERROR(__xludf.DUMMYFUNCTION("""COMPUTED_VALUE"""),"No")</f>
        <v>No</v>
      </c>
      <c r="AA1152" s="5"/>
      <c r="AB1152" s="5" t="str">
        <f ca="1">IFERROR(__xludf.DUMMYFUNCTION("""COMPUTED_VALUE"""),"No")</f>
        <v>No</v>
      </c>
      <c r="AC1152" s="5" t="str">
        <f ca="1">IFERROR(__xludf.DUMMYFUNCTION("""COMPUTED_VALUE"""),"No")</f>
        <v>No</v>
      </c>
      <c r="AD1152" s="5" t="str">
        <f ca="1">IFERROR(__xludf.DUMMYFUNCTION("""COMPUTED_VALUE"""),"No")</f>
        <v>No</v>
      </c>
      <c r="AE1152" s="5" t="str">
        <f ca="1">IFERROR(__xludf.DUMMYFUNCTION("""COMPUTED_VALUE"""),"No")</f>
        <v>No</v>
      </c>
      <c r="AF1152" s="5" t="str">
        <f ca="1">IFERROR(__xludf.DUMMYFUNCTION("""COMPUTED_VALUE"""),"No")</f>
        <v>No</v>
      </c>
      <c r="AG1152" s="5" t="str">
        <f ca="1">IFERROR(__xludf.DUMMYFUNCTION("""COMPUTED_VALUE"""),"No")</f>
        <v>No</v>
      </c>
      <c r="AH1152" s="5"/>
    </row>
    <row r="1153" spans="1:34" ht="12.75">
      <c r="A1153" s="5" t="str">
        <f ca="1">IFERROR(__xludf.DUMMYFUNCTION("""COMPUTED_VALUE"""),"20070530NCVAG")</f>
        <v>20070530NCVAG</v>
      </c>
      <c r="B1153" s="8">
        <f ca="1">IFERROR(__xludf.DUMMYFUNCTION("""COMPUTED_VALUE"""),39232)</f>
        <v>39232</v>
      </c>
      <c r="C1153" s="5" t="str">
        <f ca="1">IFERROR(__xludf.DUMMYFUNCTION("""COMPUTED_VALUE"""),"Vandora Springs Elementary School")</f>
        <v>Vandora Springs Elementary School</v>
      </c>
      <c r="D1153" s="5">
        <f ca="1">IFERROR(__xludf.DUMMYFUNCTION("""COMPUTED_VALUE"""),0)</f>
        <v>0</v>
      </c>
      <c r="E1153" s="5">
        <f ca="1">IFERROR(__xludf.DUMMYFUNCTION("""COMPUTED_VALUE"""),1)</f>
        <v>1</v>
      </c>
      <c r="F1153" s="5">
        <f ca="1">IFERROR(__xludf.DUMMYFUNCTION("""COMPUTED_VALUE"""),1)</f>
        <v>1</v>
      </c>
      <c r="G1153" s="5">
        <f ca="1">IFERROR(__xludf.DUMMYFUNCTION("""COMPUTED_VALUE"""),0)</f>
        <v>0</v>
      </c>
      <c r="H1153" s="9" t="str">
        <f ca="1">IFERROR(__xludf.DUMMYFUNCTION("""COMPUTED_VALUE"""),"https://www.columbine-angels.com/School_Violence_2006-2007.htm")</f>
        <v>https://www.columbine-angels.com/School_Violence_2006-2007.htm</v>
      </c>
      <c r="I1153" s="5"/>
      <c r="J1153" s="5"/>
      <c r="K1153" s="5">
        <f ca="1">IFERROR(__xludf.DUMMYFUNCTION("""COMPUTED_VALUE"""),1)</f>
        <v>1</v>
      </c>
      <c r="L1153" s="5" t="str">
        <f ca="1">IFERROR(__xludf.DUMMYFUNCTION("""COMPUTED_VALUE"""),"Spring")</f>
        <v>Spring</v>
      </c>
      <c r="M1153" s="5" t="str">
        <f ca="1">IFERROR(__xludf.DUMMYFUNCTION("""COMPUTED_VALUE"""),"Garner")</f>
        <v>Garner</v>
      </c>
      <c r="N1153" s="5" t="str">
        <f ca="1">IFERROR(__xludf.DUMMYFUNCTION("""COMPUTED_VALUE"""),"NC")</f>
        <v>NC</v>
      </c>
      <c r="O1153" s="5" t="str">
        <f ca="1">IFERROR(__xludf.DUMMYFUNCTION("""COMPUTED_VALUE"""),"Elementary")</f>
        <v>Elementary</v>
      </c>
      <c r="P1153" s="5" t="str">
        <f ca="1">IFERROR(__xludf.DUMMYFUNCTION("""COMPUTED_VALUE"""),"Outside on School Property")</f>
        <v>Outside on School Property</v>
      </c>
      <c r="Q1153" s="5" t="str">
        <f ca="1">IFERROR(__xludf.DUMMYFUNCTION("""COMPUTED_VALUE"""),"Outside on School Property")</f>
        <v>Outside on School Property</v>
      </c>
      <c r="R1153" s="5" t="str">
        <f ca="1">IFERROR(__xludf.DUMMYFUNCTION("""COMPUTED_VALUE"""),"Yes")</f>
        <v>Yes</v>
      </c>
      <c r="S1153" s="5"/>
      <c r="T1153" s="5"/>
      <c r="U1153" s="5">
        <f ca="1">IFERROR(__xludf.DUMMYFUNCTION("""COMPUTED_VALUE"""),1)</f>
        <v>1</v>
      </c>
      <c r="V1153" s="5" t="str">
        <f ca="1">IFERROR(__xludf.DUMMYFUNCTION("""COMPUTED_VALUE"""),"Parent shot by pellet gun")</f>
        <v>Parent shot by pellet gun</v>
      </c>
      <c r="W1153"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X1153" s="5" t="str">
        <f ca="1">IFERROR(__xludf.DUMMYFUNCTION("""COMPUTED_VALUE"""),"Indiscriminate Shooting")</f>
        <v>Indiscriminate Shooting</v>
      </c>
      <c r="Y1153" s="5"/>
      <c r="Z1153" s="5" t="str">
        <f ca="1">IFERROR(__xludf.DUMMYFUNCTION("""COMPUTED_VALUE"""),"No")</f>
        <v>No</v>
      </c>
      <c r="AA1153" s="5"/>
      <c r="AB1153" s="5" t="str">
        <f ca="1">IFERROR(__xludf.DUMMYFUNCTION("""COMPUTED_VALUE"""),"No")</f>
        <v>No</v>
      </c>
      <c r="AC1153" s="5" t="str">
        <f ca="1">IFERROR(__xludf.DUMMYFUNCTION("""COMPUTED_VALUE"""),"No")</f>
        <v>No</v>
      </c>
      <c r="AD1153" s="5" t="str">
        <f ca="1">IFERROR(__xludf.DUMMYFUNCTION("""COMPUTED_VALUE"""),"No")</f>
        <v>No</v>
      </c>
      <c r="AE1153" s="5" t="str">
        <f ca="1">IFERROR(__xludf.DUMMYFUNCTION("""COMPUTED_VALUE"""),"No")</f>
        <v>No</v>
      </c>
      <c r="AF1153" s="5" t="str">
        <f ca="1">IFERROR(__xludf.DUMMYFUNCTION("""COMPUTED_VALUE"""),"No")</f>
        <v>No</v>
      </c>
      <c r="AG1153" s="5" t="str">
        <f ca="1">IFERROR(__xludf.DUMMYFUNCTION("""COMPUTED_VALUE"""),"No")</f>
        <v>No</v>
      </c>
      <c r="AH1153" s="5"/>
    </row>
    <row r="1154" spans="1:34" ht="12.75">
      <c r="A1154" s="5" t="str">
        <f ca="1">IFERROR(__xludf.DUMMYFUNCTION("""COMPUTED_VALUE"""),"20070523RIOAC")</f>
        <v>20070523RIOAC</v>
      </c>
      <c r="B1154" s="8">
        <f ca="1">IFERROR(__xludf.DUMMYFUNCTION("""COMPUTED_VALUE"""),39225)</f>
        <v>39225</v>
      </c>
      <c r="C1154" s="5" t="str">
        <f ca="1">IFERROR(__xludf.DUMMYFUNCTION("""COMPUTED_VALUE"""),"Oak Haven Elementary School")</f>
        <v>Oak Haven Elementary School</v>
      </c>
      <c r="D1154" s="5">
        <f ca="1">IFERROR(__xludf.DUMMYFUNCTION("""COMPUTED_VALUE"""),0)</f>
        <v>0</v>
      </c>
      <c r="E1154" s="5">
        <f ca="1">IFERROR(__xludf.DUMMYFUNCTION("""COMPUTED_VALUE"""),1)</f>
        <v>1</v>
      </c>
      <c r="F1154" s="5">
        <f ca="1">IFERROR(__xludf.DUMMYFUNCTION("""COMPUTED_VALUE"""),1)</f>
        <v>1</v>
      </c>
      <c r="G1154" s="5">
        <f ca="1">IFERROR(__xludf.DUMMYFUNCTION("""COMPUTED_VALUE"""),0)</f>
        <v>0</v>
      </c>
      <c r="H1154" s="9" t="str">
        <f ca="1">IFERROR(__xludf.DUMMYFUNCTION("""COMPUTED_VALUE"""),"https://www.columbine-angels.com/School_Violence_2006-2007.htm")</f>
        <v>https://www.columbine-angels.com/School_Violence_2006-2007.htm</v>
      </c>
      <c r="I1154" s="5"/>
      <c r="J1154" s="5"/>
      <c r="K1154" s="5">
        <f ca="1">IFERROR(__xludf.DUMMYFUNCTION("""COMPUTED_VALUE"""),1)</f>
        <v>1</v>
      </c>
      <c r="L1154" s="5" t="str">
        <f ca="1">IFERROR(__xludf.DUMMYFUNCTION("""COMPUTED_VALUE"""),"Spring")</f>
        <v>Spring</v>
      </c>
      <c r="M1154" s="5" t="str">
        <f ca="1">IFERROR(__xludf.DUMMYFUNCTION("""COMPUTED_VALUE"""),"Coventry")</f>
        <v>Coventry</v>
      </c>
      <c r="N1154" s="5" t="str">
        <f ca="1">IFERROR(__xludf.DUMMYFUNCTION("""COMPUTED_VALUE"""),"RI")</f>
        <v>RI</v>
      </c>
      <c r="O1154" s="5" t="str">
        <f ca="1">IFERROR(__xludf.DUMMYFUNCTION("""COMPUTED_VALUE"""),"Elementary")</f>
        <v>Elementary</v>
      </c>
      <c r="P1154" s="5" t="str">
        <f ca="1">IFERROR(__xludf.DUMMYFUNCTION("""COMPUTED_VALUE"""),"Playground")</f>
        <v>Playground</v>
      </c>
      <c r="Q1154" s="5" t="str">
        <f ca="1">IFERROR(__xludf.DUMMYFUNCTION("""COMPUTED_VALUE"""),"Outside on School Property")</f>
        <v>Outside on School Property</v>
      </c>
      <c r="R1154" s="5" t="str">
        <f ca="1">IFERROR(__xludf.DUMMYFUNCTION("""COMPUTED_VALUE"""),"Yes")</f>
        <v>Yes</v>
      </c>
      <c r="S1154" s="5" t="str">
        <f ca="1">IFERROR(__xludf.DUMMYFUNCTION("""COMPUTED_VALUE"""),"After School")</f>
        <v>After School</v>
      </c>
      <c r="T1154" s="10">
        <f ca="1">IFERROR(__xludf.DUMMYFUNCTION("""COMPUTED_VALUE"""),0.703472222222222)</f>
        <v>0.70347222222222205</v>
      </c>
      <c r="U1154" s="5">
        <f ca="1">IFERROR(__xludf.DUMMYFUNCTION("""COMPUTED_VALUE"""),2)</f>
        <v>2</v>
      </c>
      <c r="V1154" s="5" t="str">
        <f ca="1">IFERROR(__xludf.DUMMYFUNCTION("""COMPUTED_VALUE"""),"Shot bully with BB gun")</f>
        <v>Shot bully with BB gun</v>
      </c>
      <c r="W1154"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X1154" s="5" t="str">
        <f ca="1">IFERROR(__xludf.DUMMYFUNCTION("""COMPUTED_VALUE"""),"Bullying")</f>
        <v>Bullying</v>
      </c>
      <c r="Y1154" s="5" t="str">
        <f ca="1">IFERROR(__xludf.DUMMYFUNCTION("""COMPUTED_VALUE"""),"Victims Targeted")</f>
        <v>Victims Targeted</v>
      </c>
      <c r="Z1154" s="5" t="str">
        <f ca="1">IFERROR(__xludf.DUMMYFUNCTION("""COMPUTED_VALUE"""),"No")</f>
        <v>No</v>
      </c>
      <c r="AA1154" s="5"/>
      <c r="AB1154" s="5" t="str">
        <f ca="1">IFERROR(__xludf.DUMMYFUNCTION("""COMPUTED_VALUE"""),"No")</f>
        <v>No</v>
      </c>
      <c r="AC1154" s="5" t="str">
        <f ca="1">IFERROR(__xludf.DUMMYFUNCTION("""COMPUTED_VALUE"""),"No")</f>
        <v>No</v>
      </c>
      <c r="AD1154" s="5" t="str">
        <f ca="1">IFERROR(__xludf.DUMMYFUNCTION("""COMPUTED_VALUE"""),"No")</f>
        <v>No</v>
      </c>
      <c r="AE1154" s="5" t="str">
        <f ca="1">IFERROR(__xludf.DUMMYFUNCTION("""COMPUTED_VALUE"""),"Yes")</f>
        <v>Yes</v>
      </c>
      <c r="AF1154" s="5" t="str">
        <f ca="1">IFERROR(__xludf.DUMMYFUNCTION("""COMPUTED_VALUE"""),"No")</f>
        <v>No</v>
      </c>
      <c r="AG1154" s="5" t="str">
        <f ca="1">IFERROR(__xludf.DUMMYFUNCTION("""COMPUTED_VALUE"""),"No")</f>
        <v>No</v>
      </c>
      <c r="AH1154" s="5"/>
    </row>
    <row r="1155" spans="1:34" ht="12.75">
      <c r="A1155" s="5" t="str">
        <f ca="1">IFERROR(__xludf.DUMMYFUNCTION("""COMPUTED_VALUE"""),"20070515TXLIL")</f>
        <v>20070515TXLIL</v>
      </c>
      <c r="B1155" s="8">
        <f ca="1">IFERROR(__xludf.DUMMYFUNCTION("""COMPUTED_VALUE"""),39217)</f>
        <v>39217</v>
      </c>
      <c r="C1155" s="5" t="str">
        <f ca="1">IFERROR(__xludf.DUMMYFUNCTION("""COMPUTED_VALUE"""),"Liberty Memorial Middle School")</f>
        <v>Liberty Memorial Middle School</v>
      </c>
      <c r="D1155" s="5">
        <f ca="1">IFERROR(__xludf.DUMMYFUNCTION("""COMPUTED_VALUE"""),0)</f>
        <v>0</v>
      </c>
      <c r="E1155" s="5">
        <f ca="1">IFERROR(__xludf.DUMMYFUNCTION("""COMPUTED_VALUE"""),0)</f>
        <v>0</v>
      </c>
      <c r="F1155" s="5">
        <f ca="1">IFERROR(__xludf.DUMMYFUNCTION("""COMPUTED_VALUE"""),0)</f>
        <v>0</v>
      </c>
      <c r="G1155" s="5">
        <f ca="1">IFERROR(__xludf.DUMMYFUNCTION("""COMPUTED_VALUE"""),0)</f>
        <v>0</v>
      </c>
      <c r="H1155"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I1155" s="5"/>
      <c r="J1155" s="5"/>
      <c r="K1155" s="5">
        <f ca="1">IFERROR(__xludf.DUMMYFUNCTION("""COMPUTED_VALUE"""),2)</f>
        <v>2</v>
      </c>
      <c r="L1155" s="5" t="str">
        <f ca="1">IFERROR(__xludf.DUMMYFUNCTION("""COMPUTED_VALUE"""),"Spring")</f>
        <v>Spring</v>
      </c>
      <c r="M1155" s="5" t="str">
        <f ca="1">IFERROR(__xludf.DUMMYFUNCTION("""COMPUTED_VALUE"""),"Los Fresnos")</f>
        <v>Los Fresnos</v>
      </c>
      <c r="N1155" s="5" t="str">
        <f ca="1">IFERROR(__xludf.DUMMYFUNCTION("""COMPUTED_VALUE"""),"TX")</f>
        <v>TX</v>
      </c>
      <c r="O1155" s="5" t="str">
        <f ca="1">IFERROR(__xludf.DUMMYFUNCTION("""COMPUTED_VALUE"""),"Middle")</f>
        <v>Middle</v>
      </c>
      <c r="P1155" s="5" t="str">
        <f ca="1">IFERROR(__xludf.DUMMYFUNCTION("""COMPUTED_VALUE"""),"Bathroom")</f>
        <v>Bathroom</v>
      </c>
      <c r="Q1155" s="5" t="str">
        <f ca="1">IFERROR(__xludf.DUMMYFUNCTION("""COMPUTED_VALUE"""),"Inside School Building")</f>
        <v>Inside School Building</v>
      </c>
      <c r="R1155" s="5" t="str">
        <f ca="1">IFERROR(__xludf.DUMMYFUNCTION("""COMPUTED_VALUE"""),"Yes")</f>
        <v>Yes</v>
      </c>
      <c r="S1155" s="5" t="str">
        <f ca="1">IFERROR(__xludf.DUMMYFUNCTION("""COMPUTED_VALUE"""),"Morning Classes")</f>
        <v>Morning Classes</v>
      </c>
      <c r="T1155" s="10">
        <f ca="1">IFERROR(__xludf.DUMMYFUNCTION("""COMPUTED_VALUE"""),0.418055555555555)</f>
        <v>0.41805555555555501</v>
      </c>
      <c r="U1155" s="5">
        <f ca="1">IFERROR(__xludf.DUMMYFUNCTION("""COMPUTED_VALUE"""),240)</f>
        <v>240</v>
      </c>
      <c r="V1155" s="5" t="str">
        <f ca="1">IFERROR(__xludf.DUMMYFUNCTION("""COMPUTED_VALUE"""),"Fired shot in bathroom, 4 hour standoff with police before surrendering")</f>
        <v>Fired shot in bathroom, 4 hour standoff with police before surrendering</v>
      </c>
      <c r="W1155"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X1155" s="5" t="str">
        <f ca="1">IFERROR(__xludf.DUMMYFUNCTION("""COMPUTED_VALUE"""),"Hostage/Standoff")</f>
        <v>Hostage/Standoff</v>
      </c>
      <c r="Y1155" s="5"/>
      <c r="Z1155" s="5" t="str">
        <f ca="1">IFERROR(__xludf.DUMMYFUNCTION("""COMPUTED_VALUE"""),"No")</f>
        <v>No</v>
      </c>
      <c r="AA1155" s="5"/>
      <c r="AB1155" s="5" t="str">
        <f ca="1">IFERROR(__xludf.DUMMYFUNCTION("""COMPUTED_VALUE"""),"No")</f>
        <v>No</v>
      </c>
      <c r="AC1155" s="5" t="str">
        <f ca="1">IFERROR(__xludf.DUMMYFUNCTION("""COMPUTED_VALUE"""),"Yes")</f>
        <v>Yes</v>
      </c>
      <c r="AD1155" s="5" t="str">
        <f ca="1">IFERROR(__xludf.DUMMYFUNCTION("""COMPUTED_VALUE"""),"No")</f>
        <v>No</v>
      </c>
      <c r="AE1155" s="5"/>
      <c r="AF1155" s="5" t="str">
        <f ca="1">IFERROR(__xludf.DUMMYFUNCTION("""COMPUTED_VALUE"""),"No")</f>
        <v>No</v>
      </c>
      <c r="AG1155" s="5" t="str">
        <f ca="1">IFERROR(__xludf.DUMMYFUNCTION("""COMPUTED_VALUE"""),"No")</f>
        <v>No</v>
      </c>
      <c r="AH1155" s="5"/>
    </row>
    <row r="1156" spans="1:34" ht="12.75">
      <c r="A1156" s="5" t="str">
        <f ca="1">IFERROR(__xludf.DUMMYFUNCTION("""COMPUTED_VALUE"""),"20070512TXWEM")</f>
        <v>20070512TXWEM</v>
      </c>
      <c r="B1156" s="8">
        <f ca="1">IFERROR(__xludf.DUMMYFUNCTION("""COMPUTED_VALUE"""),39214)</f>
        <v>39214</v>
      </c>
      <c r="C1156" s="5" t="str">
        <f ca="1">IFERROR(__xludf.DUMMYFUNCTION("""COMPUTED_VALUE"""),"West Mesquite High School")</f>
        <v>West Mesquite High School</v>
      </c>
      <c r="D1156" s="5">
        <f ca="1">IFERROR(__xludf.DUMMYFUNCTION("""COMPUTED_VALUE"""),0)</f>
        <v>0</v>
      </c>
      <c r="E1156" s="5">
        <f ca="1">IFERROR(__xludf.DUMMYFUNCTION("""COMPUTED_VALUE"""),1)</f>
        <v>1</v>
      </c>
      <c r="F1156" s="5">
        <f ca="1">IFERROR(__xludf.DUMMYFUNCTION("""COMPUTED_VALUE"""),1)</f>
        <v>1</v>
      </c>
      <c r="G1156" s="5">
        <f ca="1">IFERROR(__xludf.DUMMYFUNCTION("""COMPUTED_VALUE"""),0)</f>
        <v>0</v>
      </c>
      <c r="H1156"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I1156" s="5"/>
      <c r="J1156" s="5"/>
      <c r="K1156" s="5">
        <f ca="1">IFERROR(__xludf.DUMMYFUNCTION("""COMPUTED_VALUE"""),2)</f>
        <v>2</v>
      </c>
      <c r="L1156" s="5" t="str">
        <f ca="1">IFERROR(__xludf.DUMMYFUNCTION("""COMPUTED_VALUE"""),"Spring")</f>
        <v>Spring</v>
      </c>
      <c r="M1156" s="5" t="str">
        <f ca="1">IFERROR(__xludf.DUMMYFUNCTION("""COMPUTED_VALUE"""),"Mesquite")</f>
        <v>Mesquite</v>
      </c>
      <c r="N1156" s="5" t="str">
        <f ca="1">IFERROR(__xludf.DUMMYFUNCTION("""COMPUTED_VALUE"""),"TX")</f>
        <v>TX</v>
      </c>
      <c r="O1156" s="5" t="str">
        <f ca="1">IFERROR(__xludf.DUMMYFUNCTION("""COMPUTED_VALUE"""),"High")</f>
        <v>High</v>
      </c>
      <c r="P1156" s="5" t="str">
        <f ca="1">IFERROR(__xludf.DUMMYFUNCTION("""COMPUTED_VALUE"""),"Parking Lot")</f>
        <v>Parking Lot</v>
      </c>
      <c r="Q1156" s="5" t="str">
        <f ca="1">IFERROR(__xludf.DUMMYFUNCTION("""COMPUTED_VALUE"""),"Outside on School Property")</f>
        <v>Outside on School Property</v>
      </c>
      <c r="R1156" s="5" t="str">
        <f ca="1">IFERROR(__xludf.DUMMYFUNCTION("""COMPUTED_VALUE"""),"No")</f>
        <v>No</v>
      </c>
      <c r="S1156" s="5" t="str">
        <f ca="1">IFERROR(__xludf.DUMMYFUNCTION("""COMPUTED_VALUE"""),"School Event")</f>
        <v>School Event</v>
      </c>
      <c r="T1156" s="5"/>
      <c r="U1156" s="5">
        <f ca="1">IFERROR(__xludf.DUMMYFUNCTION("""COMPUTED_VALUE"""),1)</f>
        <v>1</v>
      </c>
      <c r="V1156" s="5" t="str">
        <f ca="1">IFERROR(__xludf.DUMMYFUNCTION("""COMPUTED_VALUE"""),"Shots fired during argument in parking lot")</f>
        <v>Shots fired during argument in parking lot</v>
      </c>
      <c r="W1156"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X1156" s="5" t="str">
        <f ca="1">IFERROR(__xludf.DUMMYFUNCTION("""COMPUTED_VALUE"""),"Escalation of Dispute")</f>
        <v>Escalation of Dispute</v>
      </c>
      <c r="Y1156" s="5"/>
      <c r="Z1156" s="5" t="str">
        <f ca="1">IFERROR(__xludf.DUMMYFUNCTION("""COMPUTED_VALUE"""),"Yes")</f>
        <v>Yes</v>
      </c>
      <c r="AA1156" s="5" t="str">
        <f ca="1">IFERROR(__xludf.DUMMYFUNCTION("""COMPUTED_VALUE"""),"Three charged in shooting")</f>
        <v>Three charged in shooting</v>
      </c>
      <c r="AB1156" s="5" t="str">
        <f ca="1">IFERROR(__xludf.DUMMYFUNCTION("""COMPUTED_VALUE"""),"No")</f>
        <v>No</v>
      </c>
      <c r="AC1156" s="5" t="str">
        <f ca="1">IFERROR(__xludf.DUMMYFUNCTION("""COMPUTED_VALUE"""),"No")</f>
        <v>No</v>
      </c>
      <c r="AD1156" s="5" t="str">
        <f ca="1">IFERROR(__xludf.DUMMYFUNCTION("""COMPUTED_VALUE"""),"No")</f>
        <v>No</v>
      </c>
      <c r="AE1156" s="5" t="str">
        <f ca="1">IFERROR(__xludf.DUMMYFUNCTION("""COMPUTED_VALUE"""),"No")</f>
        <v>No</v>
      </c>
      <c r="AF1156" s="5" t="str">
        <f ca="1">IFERROR(__xludf.DUMMYFUNCTION("""COMPUTED_VALUE"""),"No")</f>
        <v>No</v>
      </c>
      <c r="AG1156" s="5" t="str">
        <f ca="1">IFERROR(__xludf.DUMMYFUNCTION("""COMPUTED_VALUE"""),"No")</f>
        <v>No</v>
      </c>
      <c r="AH1156" s="5"/>
    </row>
    <row r="1157" spans="1:34" ht="12.75">
      <c r="A1157" s="5" t="str">
        <f ca="1">IFERROR(__xludf.DUMMYFUNCTION("""COMPUTED_VALUE"""),"20070510MIHED")</f>
        <v>20070510MIHED</v>
      </c>
      <c r="B1157" s="8">
        <f ca="1">IFERROR(__xludf.DUMMYFUNCTION("""COMPUTED_VALUE"""),39212)</f>
        <v>39212</v>
      </c>
      <c r="C1157" s="5" t="str">
        <f ca="1">IFERROR(__xludf.DUMMYFUNCTION("""COMPUTED_VALUE"""),"Henry Ford High School")</f>
        <v>Henry Ford High School</v>
      </c>
      <c r="D1157" s="5">
        <f ca="1">IFERROR(__xludf.DUMMYFUNCTION("""COMPUTED_VALUE"""),0)</f>
        <v>0</v>
      </c>
      <c r="E1157" s="5">
        <f ca="1">IFERROR(__xludf.DUMMYFUNCTION("""COMPUTED_VALUE"""),2)</f>
        <v>2</v>
      </c>
      <c r="F1157" s="5">
        <f ca="1">IFERROR(__xludf.DUMMYFUNCTION("""COMPUTED_VALUE"""),2)</f>
        <v>2</v>
      </c>
      <c r="G1157" s="5">
        <f ca="1">IFERROR(__xludf.DUMMYFUNCTION("""COMPUTED_VALUE"""),0)</f>
        <v>0</v>
      </c>
      <c r="H1157" s="9" t="str">
        <f ca="1">IFERROR(__xludf.DUMMYFUNCTION("""COMPUTED_VALUE"""),"https://www.columbine-angels.com/School_Violence_2006-2007.htm")</f>
        <v>https://www.columbine-angels.com/School_Violence_2006-2007.htm</v>
      </c>
      <c r="I1157" s="5"/>
      <c r="J1157" s="5"/>
      <c r="K1157" s="5">
        <f ca="1">IFERROR(__xludf.DUMMYFUNCTION("""COMPUTED_VALUE"""),1)</f>
        <v>1</v>
      </c>
      <c r="L1157" s="5" t="str">
        <f ca="1">IFERROR(__xludf.DUMMYFUNCTION("""COMPUTED_VALUE"""),"Spring")</f>
        <v>Spring</v>
      </c>
      <c r="M1157" s="5" t="str">
        <f ca="1">IFERROR(__xludf.DUMMYFUNCTION("""COMPUTED_VALUE"""),"Detroit")</f>
        <v>Detroit</v>
      </c>
      <c r="N1157" s="5" t="str">
        <f ca="1">IFERROR(__xludf.DUMMYFUNCTION("""COMPUTED_VALUE"""),"MI")</f>
        <v>MI</v>
      </c>
      <c r="O1157" s="5" t="str">
        <f ca="1">IFERROR(__xludf.DUMMYFUNCTION("""COMPUTED_VALUE"""),"High")</f>
        <v>High</v>
      </c>
      <c r="P1157" s="5" t="str">
        <f ca="1">IFERROR(__xludf.DUMMYFUNCTION("""COMPUTED_VALUE"""),"Beside Building")</f>
        <v>Beside Building</v>
      </c>
      <c r="Q1157" s="5" t="str">
        <f ca="1">IFERROR(__xludf.DUMMYFUNCTION("""COMPUTED_VALUE"""),"Outside on School Property")</f>
        <v>Outside on School Property</v>
      </c>
      <c r="R1157" s="5" t="str">
        <f ca="1">IFERROR(__xludf.DUMMYFUNCTION("""COMPUTED_VALUE"""),"Yes")</f>
        <v>Yes</v>
      </c>
      <c r="S1157" s="5"/>
      <c r="T1157" s="5"/>
      <c r="U1157" s="5">
        <f ca="1">IFERROR(__xludf.DUMMYFUNCTION("""COMPUTED_VALUE"""),1)</f>
        <v>1</v>
      </c>
      <c r="V1157" s="5" t="str">
        <f ca="1">IFERROR(__xludf.DUMMYFUNCTION("""COMPUTED_VALUE"""),"2 students shot during gang fight")</f>
        <v>2 students shot during gang fight</v>
      </c>
      <c r="W1157"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X1157" s="5" t="str">
        <f ca="1">IFERROR(__xludf.DUMMYFUNCTION("""COMPUTED_VALUE"""),"Escalation of Dispute")</f>
        <v>Escalation of Dispute</v>
      </c>
      <c r="Y1157" s="5"/>
      <c r="Z1157" s="5"/>
      <c r="AA1157" s="5"/>
      <c r="AB1157" s="5" t="str">
        <f ca="1">IFERROR(__xludf.DUMMYFUNCTION("""COMPUTED_VALUE"""),"No")</f>
        <v>No</v>
      </c>
      <c r="AC1157" s="5" t="str">
        <f ca="1">IFERROR(__xludf.DUMMYFUNCTION("""COMPUTED_VALUE"""),"No")</f>
        <v>No</v>
      </c>
      <c r="AD1157" s="5" t="str">
        <f ca="1">IFERROR(__xludf.DUMMYFUNCTION("""COMPUTED_VALUE"""),"No")</f>
        <v>No</v>
      </c>
      <c r="AE1157" s="5" t="str">
        <f ca="1">IFERROR(__xludf.DUMMYFUNCTION("""COMPUTED_VALUE"""),"No")</f>
        <v>No</v>
      </c>
      <c r="AF1157" s="5" t="str">
        <f ca="1">IFERROR(__xludf.DUMMYFUNCTION("""COMPUTED_VALUE"""),"No")</f>
        <v>No</v>
      </c>
      <c r="AG1157" s="5" t="str">
        <f ca="1">IFERROR(__xludf.DUMMYFUNCTION("""COMPUTED_VALUE"""),"Yes")</f>
        <v>Yes</v>
      </c>
      <c r="AH1157" s="5"/>
    </row>
    <row r="1158" spans="1:34" ht="12.75">
      <c r="A1158" s="5" t="str">
        <f ca="1">IFERROR(__xludf.DUMMYFUNCTION("""COMPUTED_VALUE"""),"20070504TXTIE")</f>
        <v>20070504TXTIE</v>
      </c>
      <c r="B1158" s="8">
        <f ca="1">IFERROR(__xludf.DUMMYFUNCTION("""COMPUTED_VALUE"""),39206)</f>
        <v>39206</v>
      </c>
      <c r="C1158" s="5" t="str">
        <f ca="1">IFERROR(__xludf.DUMMYFUNCTION("""COMPUTED_VALUE"""),"Tidehaven High School")</f>
        <v>Tidehaven High School</v>
      </c>
      <c r="D1158" s="5">
        <f ca="1">IFERROR(__xludf.DUMMYFUNCTION("""COMPUTED_VALUE"""),0)</f>
        <v>0</v>
      </c>
      <c r="E1158" s="5">
        <f ca="1">IFERROR(__xludf.DUMMYFUNCTION("""COMPUTED_VALUE"""),0)</f>
        <v>0</v>
      </c>
      <c r="F1158" s="5">
        <f ca="1">IFERROR(__xludf.DUMMYFUNCTION("""COMPUTED_VALUE"""),0)</f>
        <v>0</v>
      </c>
      <c r="G1158" s="5">
        <f ca="1">IFERROR(__xludf.DUMMYFUNCTION("""COMPUTED_VALUE"""),1)</f>
        <v>1</v>
      </c>
      <c r="H1158" s="9" t="str">
        <f ca="1">IFERROR(__xludf.DUMMYFUNCTION("""COMPUTED_VALUE"""),"https://www.highbeam.com/doc/1G1-163016802.html")</f>
        <v>https://www.highbeam.com/doc/1G1-163016802.html</v>
      </c>
      <c r="I1158" s="5"/>
      <c r="J1158" s="5"/>
      <c r="K1158" s="5">
        <f ca="1">IFERROR(__xludf.DUMMYFUNCTION("""COMPUTED_VALUE"""),2)</f>
        <v>2</v>
      </c>
      <c r="L1158" s="5" t="str">
        <f ca="1">IFERROR(__xludf.DUMMYFUNCTION("""COMPUTED_VALUE"""),"Spring")</f>
        <v>Spring</v>
      </c>
      <c r="M1158" s="5" t="str">
        <f ca="1">IFERROR(__xludf.DUMMYFUNCTION("""COMPUTED_VALUE"""),"El Maton")</f>
        <v>El Maton</v>
      </c>
      <c r="N1158" s="5" t="str">
        <f ca="1">IFERROR(__xludf.DUMMYFUNCTION("""COMPUTED_VALUE"""),"TX")</f>
        <v>TX</v>
      </c>
      <c r="O1158" s="5" t="str">
        <f ca="1">IFERROR(__xludf.DUMMYFUNCTION("""COMPUTED_VALUE"""),"High")</f>
        <v>High</v>
      </c>
      <c r="P1158" s="5" t="str">
        <f ca="1">IFERROR(__xludf.DUMMYFUNCTION("""COMPUTED_VALUE"""),"Bathroom")</f>
        <v>Bathroom</v>
      </c>
      <c r="Q1158" s="5" t="str">
        <f ca="1">IFERROR(__xludf.DUMMYFUNCTION("""COMPUTED_VALUE"""),"Inside School Building")</f>
        <v>Inside School Building</v>
      </c>
      <c r="R1158" s="5" t="str">
        <f ca="1">IFERROR(__xludf.DUMMYFUNCTION("""COMPUTED_VALUE"""),"Yes")</f>
        <v>Yes</v>
      </c>
      <c r="S1158" s="5" t="str">
        <f ca="1">IFERROR(__xludf.DUMMYFUNCTION("""COMPUTED_VALUE"""),"Morning Classes")</f>
        <v>Morning Classes</v>
      </c>
      <c r="T1158" s="10">
        <f ca="1">IFERROR(__xludf.DUMMYFUNCTION("""COMPUTED_VALUE"""),0.35625)</f>
        <v>0.35625000000000001</v>
      </c>
      <c r="U1158" s="5">
        <f ca="1">IFERROR(__xludf.DUMMYFUNCTION("""COMPUTED_VALUE"""),1)</f>
        <v>1</v>
      </c>
      <c r="V1158" s="5" t="str">
        <f ca="1">IFERROR(__xludf.DUMMYFUNCTION("""COMPUTED_VALUE"""),"Female student shot herself in the bathroom")</f>
        <v>Female student shot herself in the bathroom</v>
      </c>
      <c r="W1158" s="5" t="str">
        <f ca="1">IFERROR(__xludf.DUMMYFUNCTION("""COMPUTED_VALUE"""),"15YOF student shot herself in the school bathroom.")</f>
        <v>15YOF student shot herself in the school bathroom.</v>
      </c>
      <c r="X1158" s="5" t="str">
        <f ca="1">IFERROR(__xludf.DUMMYFUNCTION("""COMPUTED_VALUE"""),"Suicide/Attempted")</f>
        <v>Suicide/Attempted</v>
      </c>
      <c r="Y1158" s="5" t="str">
        <f ca="1">IFERROR(__xludf.DUMMYFUNCTION("""COMPUTED_VALUE"""),"Victims Targeted")</f>
        <v>Victims Targeted</v>
      </c>
      <c r="Z1158" s="5" t="str">
        <f ca="1">IFERROR(__xludf.DUMMYFUNCTION("""COMPUTED_VALUE"""),"No")</f>
        <v>No</v>
      </c>
      <c r="AA1158" s="5"/>
      <c r="AB1158" s="5" t="str">
        <f ca="1">IFERROR(__xludf.DUMMYFUNCTION("""COMPUTED_VALUE"""),"No")</f>
        <v>No</v>
      </c>
      <c r="AC1158" s="5" t="str">
        <f ca="1">IFERROR(__xludf.DUMMYFUNCTION("""COMPUTED_VALUE"""),"No")</f>
        <v>No</v>
      </c>
      <c r="AD1158" s="5" t="str">
        <f ca="1">IFERROR(__xludf.DUMMYFUNCTION("""COMPUTED_VALUE"""),"No")</f>
        <v>No</v>
      </c>
      <c r="AE1158" s="5" t="str">
        <f ca="1">IFERROR(__xludf.DUMMYFUNCTION("""COMPUTED_VALUE"""),"No")</f>
        <v>No</v>
      </c>
      <c r="AF1158" s="5" t="str">
        <f ca="1">IFERROR(__xludf.DUMMYFUNCTION("""COMPUTED_VALUE"""),"No")</f>
        <v>No</v>
      </c>
      <c r="AG1158" s="5" t="str">
        <f ca="1">IFERROR(__xludf.DUMMYFUNCTION("""COMPUTED_VALUE"""),"No")</f>
        <v>No</v>
      </c>
      <c r="AH1158" s="5"/>
    </row>
    <row r="1159" spans="1:34" ht="12.75">
      <c r="A1159" s="5" t="str">
        <f ca="1">IFERROR(__xludf.DUMMYFUNCTION("""COMPUTED_VALUE"""),"20070503OHGED")</f>
        <v>20070503OHGED</v>
      </c>
      <c r="B1159" s="8">
        <f ca="1">IFERROR(__xludf.DUMMYFUNCTION("""COMPUTED_VALUE"""),39205)</f>
        <v>39205</v>
      </c>
      <c r="C1159" s="5" t="str">
        <f ca="1">IFERROR(__xludf.DUMMYFUNCTION("""COMPUTED_VALUE"""),"Gettysburg Elementary School")</f>
        <v>Gettysburg Elementary School</v>
      </c>
      <c r="D1159" s="5">
        <f ca="1">IFERROR(__xludf.DUMMYFUNCTION("""COMPUTED_VALUE"""),0)</f>
        <v>0</v>
      </c>
      <c r="E1159" s="5">
        <f ca="1">IFERROR(__xludf.DUMMYFUNCTION("""COMPUTED_VALUE"""),1)</f>
        <v>1</v>
      </c>
      <c r="F1159" s="5">
        <f ca="1">IFERROR(__xludf.DUMMYFUNCTION("""COMPUTED_VALUE"""),1)</f>
        <v>1</v>
      </c>
      <c r="G1159" s="5">
        <f ca="1">IFERROR(__xludf.DUMMYFUNCTION("""COMPUTED_VALUE"""),0)</f>
        <v>0</v>
      </c>
      <c r="H1159" s="9" t="str">
        <f ca="1">IFERROR(__xludf.DUMMYFUNCTION("""COMPUTED_VALUE"""),"https://www.newspapers.com/image/411133269/?terms=school%2Bbus%2B313")</f>
        <v>https://www.newspapers.com/image/411133269/?terms=school%2Bbus%2B313</v>
      </c>
      <c r="I1159" s="5"/>
      <c r="J1159" s="5"/>
      <c r="K1159" s="5">
        <f ca="1">IFERROR(__xludf.DUMMYFUNCTION("""COMPUTED_VALUE"""),1)</f>
        <v>1</v>
      </c>
      <c r="L1159" s="5" t="str">
        <f ca="1">IFERROR(__xludf.DUMMYFUNCTION("""COMPUTED_VALUE"""),"Spring")</f>
        <v>Spring</v>
      </c>
      <c r="M1159" s="5" t="str">
        <f ca="1">IFERROR(__xludf.DUMMYFUNCTION("""COMPUTED_VALUE"""),"Dayton")</f>
        <v>Dayton</v>
      </c>
      <c r="N1159" s="5" t="str">
        <f ca="1">IFERROR(__xludf.DUMMYFUNCTION("""COMPUTED_VALUE"""),"OH")</f>
        <v>OH</v>
      </c>
      <c r="O1159" s="5" t="str">
        <f ca="1">IFERROR(__xludf.DUMMYFUNCTION("""COMPUTED_VALUE"""),"Elementary")</f>
        <v>Elementary</v>
      </c>
      <c r="P1159" s="5" t="str">
        <f ca="1">IFERROR(__xludf.DUMMYFUNCTION("""COMPUTED_VALUE"""),"School Bus")</f>
        <v>School Bus</v>
      </c>
      <c r="Q1159" s="5" t="str">
        <f ca="1">IFERROR(__xludf.DUMMYFUNCTION("""COMPUTED_VALUE"""),"School Bus")</f>
        <v>School Bus</v>
      </c>
      <c r="R1159" s="5" t="str">
        <f ca="1">IFERROR(__xludf.DUMMYFUNCTION("""COMPUTED_VALUE"""),"Yes")</f>
        <v>Yes</v>
      </c>
      <c r="S1159" s="5" t="str">
        <f ca="1">IFERROR(__xludf.DUMMYFUNCTION("""COMPUTED_VALUE"""),"Before School")</f>
        <v>Before School</v>
      </c>
      <c r="T1159" s="10">
        <f ca="1">IFERROR(__xludf.DUMMYFUNCTION("""COMPUTED_VALUE"""),0.40625)</f>
        <v>0.40625</v>
      </c>
      <c r="U1159" s="5">
        <f ca="1">IFERROR(__xludf.DUMMYFUNCTION("""COMPUTED_VALUE"""),2)</f>
        <v>2</v>
      </c>
      <c r="V1159" s="5" t="str">
        <f ca="1">IFERROR(__xludf.DUMMYFUNCTION("""COMPUTED_VALUE"""),"16 year old boy shooting pellet gun at bus loaded with children")</f>
        <v>16 year old boy shooting pellet gun at bus loaded with children</v>
      </c>
      <c r="W1159"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X1159" s="5" t="str">
        <f ca="1">IFERROR(__xludf.DUMMYFUNCTION("""COMPUTED_VALUE"""),"Indiscriminate Shooting")</f>
        <v>Indiscriminate Shooting</v>
      </c>
      <c r="Y1159" s="5"/>
      <c r="Z1159" s="5" t="str">
        <f ca="1">IFERROR(__xludf.DUMMYFUNCTION("""COMPUTED_VALUE"""),"No")</f>
        <v>No</v>
      </c>
      <c r="AA1159" s="5"/>
      <c r="AB1159" s="5" t="str">
        <f ca="1">IFERROR(__xludf.DUMMYFUNCTION("""COMPUTED_VALUE"""),"No")</f>
        <v>No</v>
      </c>
      <c r="AC1159" s="5" t="str">
        <f ca="1">IFERROR(__xludf.DUMMYFUNCTION("""COMPUTED_VALUE"""),"No")</f>
        <v>No</v>
      </c>
      <c r="AD1159" s="5" t="str">
        <f ca="1">IFERROR(__xludf.DUMMYFUNCTION("""COMPUTED_VALUE"""),"No")</f>
        <v>No</v>
      </c>
      <c r="AE1159" s="5" t="str">
        <f ca="1">IFERROR(__xludf.DUMMYFUNCTION("""COMPUTED_VALUE"""),"No")</f>
        <v>No</v>
      </c>
      <c r="AF1159" s="5" t="str">
        <f ca="1">IFERROR(__xludf.DUMMYFUNCTION("""COMPUTED_VALUE"""),"No")</f>
        <v>No</v>
      </c>
      <c r="AG1159" s="5" t="str">
        <f ca="1">IFERROR(__xludf.DUMMYFUNCTION("""COMPUTED_VALUE"""),"No")</f>
        <v>No</v>
      </c>
      <c r="AH1159" s="5"/>
    </row>
    <row r="1160" spans="1:34" ht="12.75">
      <c r="A1160" s="5" t="str">
        <f ca="1">IFERROR(__xludf.DUMMYFUNCTION("""COMPUTED_VALUE"""),"20070418NCNOH")</f>
        <v>20070418NCNOH</v>
      </c>
      <c r="B1160" s="8">
        <f ca="1">IFERROR(__xludf.DUMMYFUNCTION("""COMPUTED_VALUE"""),39190)</f>
        <v>39190</v>
      </c>
      <c r="C1160" s="5" t="str">
        <f ca="1">IFERROR(__xludf.DUMMYFUNCTION("""COMPUTED_VALUE"""),"North Mecklenburg High School")</f>
        <v>North Mecklenburg High School</v>
      </c>
      <c r="D1160" s="5">
        <f ca="1">IFERROR(__xludf.DUMMYFUNCTION("""COMPUTED_VALUE"""),0)</f>
        <v>0</v>
      </c>
      <c r="E1160" s="5">
        <f ca="1">IFERROR(__xludf.DUMMYFUNCTION("""COMPUTED_VALUE"""),0)</f>
        <v>0</v>
      </c>
      <c r="F1160" s="5">
        <f ca="1">IFERROR(__xludf.DUMMYFUNCTION("""COMPUTED_VALUE"""),0)</f>
        <v>0</v>
      </c>
      <c r="G1160" s="5">
        <f ca="1">IFERROR(__xludf.DUMMYFUNCTION("""COMPUTED_VALUE"""),1)</f>
        <v>1</v>
      </c>
      <c r="H1160"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I1160" s="5"/>
      <c r="J1160" s="5"/>
      <c r="K1160" s="5">
        <f ca="1">IFERROR(__xludf.DUMMYFUNCTION("""COMPUTED_VALUE"""),3)</f>
        <v>3</v>
      </c>
      <c r="L1160" s="5" t="str">
        <f ca="1">IFERROR(__xludf.DUMMYFUNCTION("""COMPUTED_VALUE"""),"Spring")</f>
        <v>Spring</v>
      </c>
      <c r="M1160" s="5" t="str">
        <f ca="1">IFERROR(__xludf.DUMMYFUNCTION("""COMPUTED_VALUE"""),"Huntersville")</f>
        <v>Huntersville</v>
      </c>
      <c r="N1160" s="5" t="str">
        <f ca="1">IFERROR(__xludf.DUMMYFUNCTION("""COMPUTED_VALUE"""),"NC")</f>
        <v>NC</v>
      </c>
      <c r="O1160" s="5" t="str">
        <f ca="1">IFERROR(__xludf.DUMMYFUNCTION("""COMPUTED_VALUE"""),"High")</f>
        <v>High</v>
      </c>
      <c r="P1160" s="5" t="str">
        <f ca="1">IFERROR(__xludf.DUMMYFUNCTION("""COMPUTED_VALUE"""),"Parking Lot")</f>
        <v>Parking Lot</v>
      </c>
      <c r="Q1160" s="5" t="str">
        <f ca="1">IFERROR(__xludf.DUMMYFUNCTION("""COMPUTED_VALUE"""),"Outside on School Property")</f>
        <v>Outside on School Property</v>
      </c>
      <c r="R1160" s="5" t="str">
        <f ca="1">IFERROR(__xludf.DUMMYFUNCTION("""COMPUTED_VALUE"""),"Yes")</f>
        <v>Yes</v>
      </c>
      <c r="S1160" s="5"/>
      <c r="T1160" s="5"/>
      <c r="U1160" s="5"/>
      <c r="V1160" s="5" t="str">
        <f ca="1">IFERROR(__xludf.DUMMYFUNCTION("""COMPUTED_VALUE"""),"Pointed gun at two students in parking lot, shot self with approached by police")</f>
        <v>Pointed gun at two students in parking lot, shot self with approached by police</v>
      </c>
      <c r="W1160"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X1160" s="5" t="str">
        <f ca="1">IFERROR(__xludf.DUMMYFUNCTION("""COMPUTED_VALUE"""),"Suicide/Attempted")</f>
        <v>Suicide/Attempted</v>
      </c>
      <c r="Y1160" s="5" t="str">
        <f ca="1">IFERROR(__xludf.DUMMYFUNCTION("""COMPUTED_VALUE"""),"Neither")</f>
        <v>Neither</v>
      </c>
      <c r="Z1160" s="5" t="str">
        <f ca="1">IFERROR(__xludf.DUMMYFUNCTION("""COMPUTED_VALUE"""),"No")</f>
        <v>No</v>
      </c>
      <c r="AA1160" s="5"/>
      <c r="AB1160" s="5" t="str">
        <f ca="1">IFERROR(__xludf.DUMMYFUNCTION("""COMPUTED_VALUE"""),"No")</f>
        <v>No</v>
      </c>
      <c r="AC1160" s="5" t="str">
        <f ca="1">IFERROR(__xludf.DUMMYFUNCTION("""COMPUTED_VALUE"""),"No")</f>
        <v>No</v>
      </c>
      <c r="AD1160" s="5" t="str">
        <f ca="1">IFERROR(__xludf.DUMMYFUNCTION("""COMPUTED_VALUE"""),"No")</f>
        <v>No</v>
      </c>
      <c r="AE1160" s="5" t="str">
        <f ca="1">IFERROR(__xludf.DUMMYFUNCTION("""COMPUTED_VALUE"""),"No")</f>
        <v>No</v>
      </c>
      <c r="AF1160" s="5" t="str">
        <f ca="1">IFERROR(__xludf.DUMMYFUNCTION("""COMPUTED_VALUE"""),"No")</f>
        <v>No</v>
      </c>
      <c r="AG1160" s="5" t="str">
        <f ca="1">IFERROR(__xludf.DUMMYFUNCTION("""COMPUTED_VALUE"""),"No")</f>
        <v>No</v>
      </c>
      <c r="AH1160" s="5"/>
    </row>
    <row r="1161" spans="1:34" ht="12.75">
      <c r="A1161" s="5" t="str">
        <f ca="1">IFERROR(__xludf.DUMMYFUNCTION("""COMPUTED_VALUE"""),"20070410ORSPG")</f>
        <v>20070410ORSPG</v>
      </c>
      <c r="B1161" s="8">
        <f ca="1">IFERROR(__xludf.DUMMYFUNCTION("""COMPUTED_VALUE"""),39182)</f>
        <v>39182</v>
      </c>
      <c r="C1161" s="5" t="str">
        <f ca="1">IFERROR(__xludf.DUMMYFUNCTION("""COMPUTED_VALUE"""),"Springwater Trail High School")</f>
        <v>Springwater Trail High School</v>
      </c>
      <c r="D1161" s="5">
        <f ca="1">IFERROR(__xludf.DUMMYFUNCTION("""COMPUTED_VALUE"""),0)</f>
        <v>0</v>
      </c>
      <c r="E1161" s="5">
        <f ca="1">IFERROR(__xludf.DUMMYFUNCTION("""COMPUTED_VALUE"""),10)</f>
        <v>10</v>
      </c>
      <c r="F1161" s="5">
        <f ca="1">IFERROR(__xludf.DUMMYFUNCTION("""COMPUTED_VALUE"""),10)</f>
        <v>10</v>
      </c>
      <c r="G1161" s="5">
        <f ca="1">IFERROR(__xludf.DUMMYFUNCTION("""COMPUTED_VALUE"""),0)</f>
        <v>0</v>
      </c>
      <c r="H1161" s="9" t="str">
        <f ca="1">IFERROR(__xludf.DUMMYFUNCTION("""COMPUTED_VALUE"""),"http://blog.oregonlive.com/breakingnews/2007/04/gresham_teen_indicted_in_sprin.html")</f>
        <v>http://blog.oregonlive.com/breakingnews/2007/04/gresham_teen_indicted_in_sprin.html</v>
      </c>
      <c r="I1161" s="5"/>
      <c r="J1161" s="5"/>
      <c r="K1161" s="5">
        <f ca="1">IFERROR(__xludf.DUMMYFUNCTION("""COMPUTED_VALUE"""),2)</f>
        <v>2</v>
      </c>
      <c r="L1161" s="5" t="str">
        <f ca="1">IFERROR(__xludf.DUMMYFUNCTION("""COMPUTED_VALUE"""),"Spring")</f>
        <v>Spring</v>
      </c>
      <c r="M1161" s="5" t="str">
        <f ca="1">IFERROR(__xludf.DUMMYFUNCTION("""COMPUTED_VALUE"""),"Gresham")</f>
        <v>Gresham</v>
      </c>
      <c r="N1161" s="5" t="str">
        <f ca="1">IFERROR(__xludf.DUMMYFUNCTION("""COMPUTED_VALUE"""),"OR")</f>
        <v>OR</v>
      </c>
      <c r="O1161" s="5" t="str">
        <f ca="1">IFERROR(__xludf.DUMMYFUNCTION("""COMPUTED_VALUE"""),"High")</f>
        <v>High</v>
      </c>
      <c r="P1161" s="5" t="str">
        <f ca="1">IFERROR(__xludf.DUMMYFUNCTION("""COMPUTED_VALUE"""),"Classroom; Field")</f>
        <v>Classroom; Field</v>
      </c>
      <c r="Q1161" s="5" t="str">
        <f ca="1">IFERROR(__xludf.DUMMYFUNCTION("""COMPUTED_VALUE"""),"Both Inside/Outside")</f>
        <v>Both Inside/Outside</v>
      </c>
      <c r="R1161" s="5" t="str">
        <f ca="1">IFERROR(__xludf.DUMMYFUNCTION("""COMPUTED_VALUE"""),"Yes")</f>
        <v>Yes</v>
      </c>
      <c r="S1161" s="5" t="str">
        <f ca="1">IFERROR(__xludf.DUMMYFUNCTION("""COMPUTED_VALUE"""),"Afternoon Classes")</f>
        <v>Afternoon Classes</v>
      </c>
      <c r="T1161" s="10">
        <f ca="1">IFERROR(__xludf.DUMMYFUNCTION("""COMPUTED_VALUE"""),0.59375)</f>
        <v>0.59375</v>
      </c>
      <c r="U1161" s="5"/>
      <c r="V1161" s="5" t="str">
        <f ca="1">IFERROR(__xludf.DUMMYFUNCTION("""COMPUTED_VALUE"""),"Planned attack after watching show about Columbine High School")</f>
        <v>Planned attack after watching show about Columbine High School</v>
      </c>
      <c r="W1161"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X1161" s="5" t="str">
        <f ca="1">IFERROR(__xludf.DUMMYFUNCTION("""COMPUTED_VALUE"""),"Indiscriminate Shooting")</f>
        <v>Indiscriminate Shooting</v>
      </c>
      <c r="Y1161" s="5" t="str">
        <f ca="1">IFERROR(__xludf.DUMMYFUNCTION("""COMPUTED_VALUE"""),"Random Shooting")</f>
        <v>Random Shooting</v>
      </c>
      <c r="Z1161" s="5" t="str">
        <f ca="1">IFERROR(__xludf.DUMMYFUNCTION("""COMPUTED_VALUE"""),"No")</f>
        <v>No</v>
      </c>
      <c r="AA1161" s="5"/>
      <c r="AB1161" s="5" t="str">
        <f ca="1">IFERROR(__xludf.DUMMYFUNCTION("""COMPUTED_VALUE"""),"No")</f>
        <v>No</v>
      </c>
      <c r="AC1161" s="5" t="str">
        <f ca="1">IFERROR(__xludf.DUMMYFUNCTION("""COMPUTED_VALUE"""),"No")</f>
        <v>No</v>
      </c>
      <c r="AD1161" s="5" t="str">
        <f ca="1">IFERROR(__xludf.DUMMYFUNCTION("""COMPUTED_VALUE"""),"No")</f>
        <v>No</v>
      </c>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IFERROR(__xludf.DUMMYFUNCTION("""COMPUTED_VALUE"""),"Yes")</f>
        <v>Yes</v>
      </c>
    </row>
    <row r="1162" spans="1:34" ht="12.75">
      <c r="A1162" s="5" t="str">
        <f ca="1">IFERROR(__xludf.DUMMYFUNCTION("""COMPUTED_VALUE"""),"20070410ILCHC")</f>
        <v>20070410ILCHC</v>
      </c>
      <c r="B1162" s="8">
        <f ca="1">IFERROR(__xludf.DUMMYFUNCTION("""COMPUTED_VALUE"""),39182)</f>
        <v>39182</v>
      </c>
      <c r="C1162" s="5" t="str">
        <f ca="1">IFERROR(__xludf.DUMMYFUNCTION("""COMPUTED_VALUE"""),"Chicago Vocational Career Academy")</f>
        <v>Chicago Vocational Career Academy</v>
      </c>
      <c r="D1162" s="5">
        <f ca="1">IFERROR(__xludf.DUMMYFUNCTION("""COMPUTED_VALUE"""),0)</f>
        <v>0</v>
      </c>
      <c r="E1162" s="5">
        <f ca="1">IFERROR(__xludf.DUMMYFUNCTION("""COMPUTED_VALUE"""),1)</f>
        <v>1</v>
      </c>
      <c r="F1162" s="5">
        <f ca="1">IFERROR(__xludf.DUMMYFUNCTION("""COMPUTED_VALUE"""),1)</f>
        <v>1</v>
      </c>
      <c r="G1162" s="5">
        <f ca="1">IFERROR(__xludf.DUMMYFUNCTION("""COMPUTED_VALUE"""),0)</f>
        <v>0</v>
      </c>
      <c r="H1162" s="9" t="str">
        <f ca="1">IFERROR(__xludf.DUMMYFUNCTION("""COMPUTED_VALUE"""),"http://articles.chicagotribune.com/2007-04-12/news/0704110994_1_school-shooting-city-school-leaders-schools-chief-arne-duncan")</f>
        <v>http://articles.chicagotribune.com/2007-04-12/news/0704110994_1_school-shooting-city-school-leaders-schools-chief-arne-duncan</v>
      </c>
      <c r="I1162" s="5"/>
      <c r="J1162" s="5"/>
      <c r="K1162" s="5">
        <f ca="1">IFERROR(__xludf.DUMMYFUNCTION("""COMPUTED_VALUE"""),2)</f>
        <v>2</v>
      </c>
      <c r="L1162" s="5" t="str">
        <f ca="1">IFERROR(__xludf.DUMMYFUNCTION("""COMPUTED_VALUE"""),"Spring")</f>
        <v>Spring</v>
      </c>
      <c r="M1162" s="5" t="str">
        <f ca="1">IFERROR(__xludf.DUMMYFUNCTION("""COMPUTED_VALUE"""),"Chicago")</f>
        <v>Chicago</v>
      </c>
      <c r="N1162" s="5" t="str">
        <f ca="1">IFERROR(__xludf.DUMMYFUNCTION("""COMPUTED_VALUE"""),"IL")</f>
        <v>IL</v>
      </c>
      <c r="O1162" s="5" t="str">
        <f ca="1">IFERROR(__xludf.DUMMYFUNCTION("""COMPUTED_VALUE"""),"Other")</f>
        <v>Other</v>
      </c>
      <c r="P1162" s="5" t="str">
        <f ca="1">IFERROR(__xludf.DUMMYFUNCTION("""COMPUTED_VALUE"""),"Classroom")</f>
        <v>Classroom</v>
      </c>
      <c r="Q1162" s="5" t="str">
        <f ca="1">IFERROR(__xludf.DUMMYFUNCTION("""COMPUTED_VALUE"""),"Inside School Building")</f>
        <v>Inside School Building</v>
      </c>
      <c r="R1162" s="5" t="str">
        <f ca="1">IFERROR(__xludf.DUMMYFUNCTION("""COMPUTED_VALUE"""),"Yes")</f>
        <v>Yes</v>
      </c>
      <c r="S1162" s="5" t="str">
        <f ca="1">IFERROR(__xludf.DUMMYFUNCTION("""COMPUTED_VALUE"""),"Afternoon Classes")</f>
        <v>Afternoon Classes</v>
      </c>
      <c r="T1162" s="10">
        <f ca="1">IFERROR(__xludf.DUMMYFUNCTION("""COMPUTED_VALUE"""),0.59375)</f>
        <v>0.59375</v>
      </c>
      <c r="U1162" s="5">
        <f ca="1">IFERROR(__xludf.DUMMYFUNCTION("""COMPUTED_VALUE"""),1)</f>
        <v>1</v>
      </c>
      <c r="V1162" s="5" t="str">
        <f ca="1">IFERROR(__xludf.DUMMYFUNCTION("""COMPUTED_VALUE"""),"Student showing off gun, shot himself in leg, fled the area")</f>
        <v>Student showing off gun, shot himself in leg, fled the area</v>
      </c>
      <c r="W1162"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X1162" s="5" t="str">
        <f ca="1">IFERROR(__xludf.DUMMYFUNCTION("""COMPUTED_VALUE"""),"Accidental")</f>
        <v>Accidental</v>
      </c>
      <c r="Y1162" s="5" t="str">
        <f ca="1">IFERROR(__xludf.DUMMYFUNCTION("""COMPUTED_VALUE"""),"Random Shooting")</f>
        <v>Random Shooting</v>
      </c>
      <c r="Z1162" s="5" t="str">
        <f ca="1">IFERROR(__xludf.DUMMYFUNCTION("""COMPUTED_VALUE"""),"No")</f>
        <v>No</v>
      </c>
      <c r="AA1162" s="5"/>
      <c r="AB1162" s="5" t="str">
        <f ca="1">IFERROR(__xludf.DUMMYFUNCTION("""COMPUTED_VALUE"""),"No")</f>
        <v>No</v>
      </c>
      <c r="AC1162" s="5" t="str">
        <f ca="1">IFERROR(__xludf.DUMMYFUNCTION("""COMPUTED_VALUE"""),"No")</f>
        <v>No</v>
      </c>
      <c r="AD1162" s="5" t="str">
        <f ca="1">IFERROR(__xludf.DUMMYFUNCTION("""COMPUTED_VALUE"""),"No")</f>
        <v>No</v>
      </c>
      <c r="AE1162" s="5" t="str">
        <f ca="1">IFERROR(__xludf.DUMMYFUNCTION("""COMPUTED_VALUE"""),"No")</f>
        <v>No</v>
      </c>
      <c r="AF1162" s="5" t="str">
        <f ca="1">IFERROR(__xludf.DUMMYFUNCTION("""COMPUTED_VALUE"""),"No")</f>
        <v>No</v>
      </c>
      <c r="AG1162" s="5" t="str">
        <f ca="1">IFERROR(__xludf.DUMMYFUNCTION("""COMPUTED_VALUE"""),"No")</f>
        <v>No</v>
      </c>
      <c r="AH1162" s="5"/>
    </row>
    <row r="1163" spans="1:34" ht="12.75">
      <c r="A1163" s="5" t="str">
        <f ca="1">IFERROR(__xludf.DUMMYFUNCTION("""COMPUTED_VALUE"""),"20070329SCMYM")</f>
        <v>20070329SCMYM</v>
      </c>
      <c r="B1163" s="8">
        <f ca="1">IFERROR(__xludf.DUMMYFUNCTION("""COMPUTED_VALUE"""),39170)</f>
        <v>39170</v>
      </c>
      <c r="C1163" s="5" t="str">
        <f ca="1">IFERROR(__xludf.DUMMYFUNCTION("""COMPUTED_VALUE"""),"Myrtle Beach High School")</f>
        <v>Myrtle Beach High School</v>
      </c>
      <c r="D1163" s="5">
        <f ca="1">IFERROR(__xludf.DUMMYFUNCTION("""COMPUTED_VALUE"""),0)</f>
        <v>0</v>
      </c>
      <c r="E1163" s="5">
        <f ca="1">IFERROR(__xludf.DUMMYFUNCTION("""COMPUTED_VALUE"""),0)</f>
        <v>0</v>
      </c>
      <c r="F1163" s="5">
        <f ca="1">IFERROR(__xludf.DUMMYFUNCTION("""COMPUTED_VALUE"""),0)</f>
        <v>0</v>
      </c>
      <c r="G1163" s="5">
        <f ca="1">IFERROR(__xludf.DUMMYFUNCTION("""COMPUTED_VALUE"""),0)</f>
        <v>0</v>
      </c>
      <c r="H1163" s="9" t="str">
        <f ca="1">IFERROR(__xludf.DUMMYFUNCTION("""COMPUTED_VALUE"""),"http://www.wistv.com/story/6297864/student-shoots-himself-in-leg-at-myrtle-beach-high-school?clienttype=printable")</f>
        <v>http://www.wistv.com/story/6297864/student-shoots-himself-in-leg-at-myrtle-beach-high-school?clienttype=printable</v>
      </c>
      <c r="I1163" s="5"/>
      <c r="J1163" s="5"/>
      <c r="K1163" s="5">
        <f ca="1">IFERROR(__xludf.DUMMYFUNCTION("""COMPUTED_VALUE"""),2)</f>
        <v>2</v>
      </c>
      <c r="L1163" s="5" t="str">
        <f ca="1">IFERROR(__xludf.DUMMYFUNCTION("""COMPUTED_VALUE"""),"Spring")</f>
        <v>Spring</v>
      </c>
      <c r="M1163" s="5" t="str">
        <f ca="1">IFERROR(__xludf.DUMMYFUNCTION("""COMPUTED_VALUE"""),"Myrtle Beach")</f>
        <v>Myrtle Beach</v>
      </c>
      <c r="N1163" s="5" t="str">
        <f ca="1">IFERROR(__xludf.DUMMYFUNCTION("""COMPUTED_VALUE"""),"SC")</f>
        <v>SC</v>
      </c>
      <c r="O1163" s="5" t="str">
        <f ca="1">IFERROR(__xludf.DUMMYFUNCTION("""COMPUTED_VALUE"""),"High")</f>
        <v>High</v>
      </c>
      <c r="P1163" s="5" t="str">
        <f ca="1">IFERROR(__xludf.DUMMYFUNCTION("""COMPUTED_VALUE"""),"Classroom")</f>
        <v>Classroom</v>
      </c>
      <c r="Q1163" s="5" t="str">
        <f ca="1">IFERROR(__xludf.DUMMYFUNCTION("""COMPUTED_VALUE"""),"Inside School Building")</f>
        <v>Inside School Building</v>
      </c>
      <c r="R1163" s="5" t="str">
        <f ca="1">IFERROR(__xludf.DUMMYFUNCTION("""COMPUTED_VALUE"""),"Yes")</f>
        <v>Yes</v>
      </c>
      <c r="S1163" s="5"/>
      <c r="T1163" s="5"/>
      <c r="U1163" s="5">
        <f ca="1">IFERROR(__xludf.DUMMYFUNCTION("""COMPUTED_VALUE"""),1)</f>
        <v>1</v>
      </c>
      <c r="V1163" s="5" t="str">
        <f ca="1">IFERROR(__xludf.DUMMYFUNCTION("""COMPUTED_VALUE"""),"Shot self in leg (gun in pocket) in classroom")</f>
        <v>Shot self in leg (gun in pocket) in classroom</v>
      </c>
      <c r="W1163" s="5" t="str">
        <f ca="1">IFERROR(__xludf.DUMMYFUNCTION("""COMPUTED_VALUE"""),"18YOM student (star basketball player) shot self in the leg during class. Student had gun in pocket.")</f>
        <v>18YOM student (star basketball player) shot self in the leg during class. Student had gun in pocket.</v>
      </c>
      <c r="X1163" s="5" t="str">
        <f ca="1">IFERROR(__xludf.DUMMYFUNCTION("""COMPUTED_VALUE"""),"Accidental")</f>
        <v>Accidental</v>
      </c>
      <c r="Y1163" s="5" t="str">
        <f ca="1">IFERROR(__xludf.DUMMYFUNCTION("""COMPUTED_VALUE"""),"Random Shooting")</f>
        <v>Random Shooting</v>
      </c>
      <c r="Z1163" s="5" t="str">
        <f ca="1">IFERROR(__xludf.DUMMYFUNCTION("""COMPUTED_VALUE"""),"No")</f>
        <v>No</v>
      </c>
      <c r="AA1163" s="5"/>
      <c r="AB1163" s="5" t="str">
        <f ca="1">IFERROR(__xludf.DUMMYFUNCTION("""COMPUTED_VALUE"""),"No")</f>
        <v>No</v>
      </c>
      <c r="AC1163" s="5" t="str">
        <f ca="1">IFERROR(__xludf.DUMMYFUNCTION("""COMPUTED_VALUE"""),"No")</f>
        <v>No</v>
      </c>
      <c r="AD1163" s="5" t="str">
        <f ca="1">IFERROR(__xludf.DUMMYFUNCTION("""COMPUTED_VALUE"""),"No")</f>
        <v>No</v>
      </c>
      <c r="AE1163" s="5" t="str">
        <f ca="1">IFERROR(__xludf.DUMMYFUNCTION("""COMPUTED_VALUE"""),"No")</f>
        <v>No</v>
      </c>
      <c r="AF1163" s="5" t="str">
        <f ca="1">IFERROR(__xludf.DUMMYFUNCTION("""COMPUTED_VALUE"""),"No")</f>
        <v>No</v>
      </c>
      <c r="AG1163" s="5" t="str">
        <f ca="1">IFERROR(__xludf.DUMMYFUNCTION("""COMPUTED_VALUE"""),"No")</f>
        <v>No</v>
      </c>
      <c r="AH1163" s="5"/>
    </row>
    <row r="1164" spans="1:34" ht="12.75">
      <c r="A1164" s="5" t="str">
        <f ca="1">IFERROR(__xludf.DUMMYFUNCTION("""COMPUTED_VALUE"""),"20070327CTSAH")</f>
        <v>20070327CTSAH</v>
      </c>
      <c r="B1164" s="8">
        <f ca="1">IFERROR(__xludf.DUMMYFUNCTION("""COMPUTED_VALUE"""),39168)</f>
        <v>39168</v>
      </c>
      <c r="C1164" s="5" t="str">
        <f ca="1">IFERROR(__xludf.DUMMYFUNCTION("""COMPUTED_VALUE"""),"Sarah J. Rawson Elementary School")</f>
        <v>Sarah J. Rawson Elementary School</v>
      </c>
      <c r="D1164" s="5">
        <f ca="1">IFERROR(__xludf.DUMMYFUNCTION("""COMPUTED_VALUE"""),0)</f>
        <v>0</v>
      </c>
      <c r="E1164" s="5">
        <f ca="1">IFERROR(__xludf.DUMMYFUNCTION("""COMPUTED_VALUE"""),1)</f>
        <v>1</v>
      </c>
      <c r="F1164" s="5">
        <f ca="1">IFERROR(__xludf.DUMMYFUNCTION("""COMPUTED_VALUE"""),1)</f>
        <v>1</v>
      </c>
      <c r="G1164" s="5">
        <f ca="1">IFERROR(__xludf.DUMMYFUNCTION("""COMPUTED_VALUE"""),0)</f>
        <v>0</v>
      </c>
      <c r="H1164" s="9" t="str">
        <f ca="1">IFERROR(__xludf.DUMMYFUNCTION("""COMPUTED_VALUE"""),"https://www.newspapers.com/image/243778502/?terms=Sarah%2BJ.%2BRawson%2BElementary%2BSchool%2Bshot")</f>
        <v>https://www.newspapers.com/image/243778502/?terms=Sarah%2BJ.%2BRawson%2BElementary%2BSchool%2Bshot</v>
      </c>
      <c r="I1164" s="5"/>
      <c r="J1164" s="5"/>
      <c r="K1164" s="5">
        <f ca="1">IFERROR(__xludf.DUMMYFUNCTION("""COMPUTED_VALUE"""),2)</f>
        <v>2</v>
      </c>
      <c r="L1164" s="5" t="str">
        <f ca="1">IFERROR(__xludf.DUMMYFUNCTION("""COMPUTED_VALUE"""),"Spring")</f>
        <v>Spring</v>
      </c>
      <c r="M1164" s="5" t="str">
        <f ca="1">IFERROR(__xludf.DUMMYFUNCTION("""COMPUTED_VALUE"""),"Hartford")</f>
        <v>Hartford</v>
      </c>
      <c r="N1164" s="5" t="str">
        <f ca="1">IFERROR(__xludf.DUMMYFUNCTION("""COMPUTED_VALUE"""),"CT")</f>
        <v>CT</v>
      </c>
      <c r="O1164" s="5" t="str">
        <f ca="1">IFERROR(__xludf.DUMMYFUNCTION("""COMPUTED_VALUE"""),"Elementary")</f>
        <v>Elementary</v>
      </c>
      <c r="P1164" s="5" t="str">
        <f ca="1">IFERROR(__xludf.DUMMYFUNCTION("""COMPUTED_VALUE"""),"Basketball Court")</f>
        <v>Basketball Court</v>
      </c>
      <c r="Q1164" s="5" t="str">
        <f ca="1">IFERROR(__xludf.DUMMYFUNCTION("""COMPUTED_VALUE"""),"Outside on School Property")</f>
        <v>Outside on School Property</v>
      </c>
      <c r="R1164" s="5" t="str">
        <f ca="1">IFERROR(__xludf.DUMMYFUNCTION("""COMPUTED_VALUE"""),"No")</f>
        <v>No</v>
      </c>
      <c r="S1164" s="5" t="str">
        <f ca="1">IFERROR(__xludf.DUMMYFUNCTION("""COMPUTED_VALUE"""),"Sport Event")</f>
        <v>Sport Event</v>
      </c>
      <c r="T1164" s="10">
        <f ca="1">IFERROR(__xludf.DUMMYFUNCTION("""COMPUTED_VALUE"""),0.770833333333333)</f>
        <v>0.77083333333333304</v>
      </c>
      <c r="U1164" s="5">
        <f ca="1">IFERROR(__xludf.DUMMYFUNCTION("""COMPUTED_VALUE"""),1)</f>
        <v>1</v>
      </c>
      <c r="V1164" s="5" t="str">
        <f ca="1">IFERROR(__xludf.DUMMYFUNCTION("""COMPUTED_VALUE"""),"Shot in leg during fight at basketball game")</f>
        <v>Shot in leg during fight at basketball game</v>
      </c>
      <c r="W1164"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X1164" s="5" t="str">
        <f ca="1">IFERROR(__xludf.DUMMYFUNCTION("""COMPUTED_VALUE"""),"Escalation of Dispute")</f>
        <v>Escalation of Dispute</v>
      </c>
      <c r="Y1164" s="5" t="str">
        <f ca="1">IFERROR(__xludf.DUMMYFUNCTION("""COMPUTED_VALUE"""),"Victims Targeted")</f>
        <v>Victims Targeted</v>
      </c>
      <c r="Z1164" s="5" t="str">
        <f ca="1">IFERROR(__xludf.DUMMYFUNCTION("""COMPUTED_VALUE"""),"No")</f>
        <v>No</v>
      </c>
      <c r="AA1164" s="5"/>
      <c r="AB1164" s="5" t="str">
        <f ca="1">IFERROR(__xludf.DUMMYFUNCTION("""COMPUTED_VALUE"""),"No")</f>
        <v>No</v>
      </c>
      <c r="AC1164" s="5" t="str">
        <f ca="1">IFERROR(__xludf.DUMMYFUNCTION("""COMPUTED_VALUE"""),"No")</f>
        <v>No</v>
      </c>
      <c r="AD1164" s="5" t="str">
        <f ca="1">IFERROR(__xludf.DUMMYFUNCTION("""COMPUTED_VALUE"""),"No")</f>
        <v>No</v>
      </c>
      <c r="AE1164" s="5" t="str">
        <f ca="1">IFERROR(__xludf.DUMMYFUNCTION("""COMPUTED_VALUE"""),"No")</f>
        <v>No</v>
      </c>
      <c r="AF1164" s="5" t="str">
        <f ca="1">IFERROR(__xludf.DUMMYFUNCTION("""COMPUTED_VALUE"""),"No")</f>
        <v>No</v>
      </c>
      <c r="AG1164" s="5" t="str">
        <f ca="1">IFERROR(__xludf.DUMMYFUNCTION("""COMPUTED_VALUE"""),"No")</f>
        <v>No</v>
      </c>
      <c r="AH1164" s="5"/>
    </row>
    <row r="1165" spans="1:34" ht="12.75">
      <c r="A1165" s="5" t="str">
        <f ca="1">IFERROR(__xludf.DUMMYFUNCTION("""COMPUTED_VALUE"""),"20070323FLUNO")</f>
        <v>20070323FLUNO</v>
      </c>
      <c r="B1165" s="8">
        <f ca="1">IFERROR(__xludf.DUMMYFUNCTION("""COMPUTED_VALUE"""),39164)</f>
        <v>39164</v>
      </c>
      <c r="C1165" s="5" t="str">
        <f ca="1">IFERROR(__xludf.DUMMYFUNCTION("""COMPUTED_VALUE"""),"Union Park Elementary School")</f>
        <v>Union Park Elementary School</v>
      </c>
      <c r="D1165" s="5">
        <f ca="1">IFERROR(__xludf.DUMMYFUNCTION("""COMPUTED_VALUE"""),0)</f>
        <v>0</v>
      </c>
      <c r="E1165" s="5">
        <f ca="1">IFERROR(__xludf.DUMMYFUNCTION("""COMPUTED_VALUE"""),1)</f>
        <v>1</v>
      </c>
      <c r="F1165" s="5">
        <f ca="1">IFERROR(__xludf.DUMMYFUNCTION("""COMPUTED_VALUE"""),1)</f>
        <v>1</v>
      </c>
      <c r="G1165" s="5">
        <f ca="1">IFERROR(__xludf.DUMMYFUNCTION("""COMPUTED_VALUE"""),0)</f>
        <v>0</v>
      </c>
      <c r="H1165" s="9" t="str">
        <f ca="1">IFERROR(__xludf.DUMMYFUNCTION("""COMPUTED_VALUE"""),"https://www.columbine-angels.com/School_Violence_2006-2007.htm")</f>
        <v>https://www.columbine-angels.com/School_Violence_2006-2007.htm</v>
      </c>
      <c r="I1165" s="5"/>
      <c r="J1165" s="5"/>
      <c r="K1165" s="5">
        <f ca="1">IFERROR(__xludf.DUMMYFUNCTION("""COMPUTED_VALUE"""),1)</f>
        <v>1</v>
      </c>
      <c r="L1165" s="5" t="str">
        <f ca="1">IFERROR(__xludf.DUMMYFUNCTION("""COMPUTED_VALUE"""),"Spring")</f>
        <v>Spring</v>
      </c>
      <c r="M1165" s="5" t="str">
        <f ca="1">IFERROR(__xludf.DUMMYFUNCTION("""COMPUTED_VALUE"""),"Orlando")</f>
        <v>Orlando</v>
      </c>
      <c r="N1165" s="5" t="str">
        <f ca="1">IFERROR(__xludf.DUMMYFUNCTION("""COMPUTED_VALUE"""),"FL")</f>
        <v>FL</v>
      </c>
      <c r="O1165" s="5" t="str">
        <f ca="1">IFERROR(__xludf.DUMMYFUNCTION("""COMPUTED_VALUE"""),"Elementary")</f>
        <v>Elementary</v>
      </c>
      <c r="P1165" s="5" t="str">
        <f ca="1">IFERROR(__xludf.DUMMYFUNCTION("""COMPUTED_VALUE"""),"Bathroom")</f>
        <v>Bathroom</v>
      </c>
      <c r="Q1165" s="5" t="str">
        <f ca="1">IFERROR(__xludf.DUMMYFUNCTION("""COMPUTED_VALUE"""),"Inside School Building")</f>
        <v>Inside School Building</v>
      </c>
      <c r="R1165" s="5" t="str">
        <f ca="1">IFERROR(__xludf.DUMMYFUNCTION("""COMPUTED_VALUE"""),"Yes")</f>
        <v>Yes</v>
      </c>
      <c r="S1165" s="5" t="str">
        <f ca="1">IFERROR(__xludf.DUMMYFUNCTION("""COMPUTED_VALUE"""),"Afternoon Classes")</f>
        <v>Afternoon Classes</v>
      </c>
      <c r="T1165" s="10">
        <f ca="1">IFERROR(__xludf.DUMMYFUNCTION("""COMPUTED_VALUE"""),0.625)</f>
        <v>0.625</v>
      </c>
      <c r="U1165" s="5">
        <f ca="1">IFERROR(__xludf.DUMMYFUNCTION("""COMPUTED_VALUE"""),1)</f>
        <v>1</v>
      </c>
      <c r="V1165" s="5" t="str">
        <f ca="1">IFERROR(__xludf.DUMMYFUNCTION("""COMPUTED_VALUE"""),"Two students held down 3rd student and shot him with pellet gun")</f>
        <v>Two students held down 3rd student and shot him with pellet gun</v>
      </c>
      <c r="W1165"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X1165" s="5" t="str">
        <f ca="1">IFERROR(__xludf.DUMMYFUNCTION("""COMPUTED_VALUE"""),"Bullying")</f>
        <v>Bullying</v>
      </c>
      <c r="Y1165" s="5" t="str">
        <f ca="1">IFERROR(__xludf.DUMMYFUNCTION("""COMPUTED_VALUE"""),"Random Shooting")</f>
        <v>Random Shooting</v>
      </c>
      <c r="Z1165" s="5" t="str">
        <f ca="1">IFERROR(__xludf.DUMMYFUNCTION("""COMPUTED_VALUE"""),"Yes")</f>
        <v>Yes</v>
      </c>
      <c r="AA1165" s="5" t="str">
        <f ca="1">IFERROR(__xludf.DUMMYFUNCTION("""COMPUTED_VALUE"""),"Two students held down victim")</f>
        <v>Two students held down victim</v>
      </c>
      <c r="AB1165" s="5" t="str">
        <f ca="1">IFERROR(__xludf.DUMMYFUNCTION("""COMPUTED_VALUE"""),"No")</f>
        <v>No</v>
      </c>
      <c r="AC1165" s="5" t="str">
        <f ca="1">IFERROR(__xludf.DUMMYFUNCTION("""COMPUTED_VALUE"""),"No")</f>
        <v>No</v>
      </c>
      <c r="AD1165" s="5" t="str">
        <f ca="1">IFERROR(__xludf.DUMMYFUNCTION("""COMPUTED_VALUE"""),"No")</f>
        <v>No</v>
      </c>
      <c r="AE1165" s="5" t="str">
        <f ca="1">IFERROR(__xludf.DUMMYFUNCTION("""COMPUTED_VALUE"""),"Yes")</f>
        <v>Yes</v>
      </c>
      <c r="AF1165" s="5" t="str">
        <f ca="1">IFERROR(__xludf.DUMMYFUNCTION("""COMPUTED_VALUE"""),"No")</f>
        <v>No</v>
      </c>
      <c r="AG1165" s="5" t="str">
        <f ca="1">IFERROR(__xludf.DUMMYFUNCTION("""COMPUTED_VALUE"""),"No")</f>
        <v>No</v>
      </c>
      <c r="AH1165" s="5"/>
    </row>
    <row r="1166" spans="1:34" ht="12.75">
      <c r="A1166" s="5" t="str">
        <f ca="1">IFERROR(__xludf.DUMMYFUNCTION("""COMPUTED_VALUE"""),"20070308TNEAC")</f>
        <v>20070308TNEAC</v>
      </c>
      <c r="B1166" s="8">
        <f ca="1">IFERROR(__xludf.DUMMYFUNCTION("""COMPUTED_VALUE"""),39149)</f>
        <v>39149</v>
      </c>
      <c r="C1166" s="5" t="str">
        <f ca="1">IFERROR(__xludf.DUMMYFUNCTION("""COMPUTED_VALUE"""),"East Ridge High School")</f>
        <v>East Ridge High School</v>
      </c>
      <c r="D1166" s="5">
        <f ca="1">IFERROR(__xludf.DUMMYFUNCTION("""COMPUTED_VALUE"""),0)</f>
        <v>0</v>
      </c>
      <c r="E1166" s="5">
        <f ca="1">IFERROR(__xludf.DUMMYFUNCTION("""COMPUTED_VALUE"""),0)</f>
        <v>0</v>
      </c>
      <c r="F1166" s="5">
        <f ca="1">IFERROR(__xludf.DUMMYFUNCTION("""COMPUTED_VALUE"""),0)</f>
        <v>0</v>
      </c>
      <c r="G1166" s="5">
        <f ca="1">IFERROR(__xludf.DUMMYFUNCTION("""COMPUTED_VALUE"""),0)</f>
        <v>0</v>
      </c>
      <c r="H1166" s="9" t="str">
        <f ca="1">IFERROR(__xludf.DUMMYFUNCTION("""COMPUTED_VALUE"""),"https://www.newspapers.com/image/284085985/?terms=east%2Bridge%2Bhigh%2Bschool")</f>
        <v>https://www.newspapers.com/image/284085985/?terms=east%2Bridge%2Bhigh%2Bschool</v>
      </c>
      <c r="I1166" s="5"/>
      <c r="J1166" s="5"/>
      <c r="K1166" s="5">
        <f ca="1">IFERROR(__xludf.DUMMYFUNCTION("""COMPUTED_VALUE"""),2)</f>
        <v>2</v>
      </c>
      <c r="L1166" s="5" t="str">
        <f ca="1">IFERROR(__xludf.DUMMYFUNCTION("""COMPUTED_VALUE"""),"Spring")</f>
        <v>Spring</v>
      </c>
      <c r="M1166" s="5" t="str">
        <f ca="1">IFERROR(__xludf.DUMMYFUNCTION("""COMPUTED_VALUE"""),"Chattanooga")</f>
        <v>Chattanooga</v>
      </c>
      <c r="N1166" s="5" t="str">
        <f ca="1">IFERROR(__xludf.DUMMYFUNCTION("""COMPUTED_VALUE"""),"TN")</f>
        <v>TN</v>
      </c>
      <c r="O1166" s="5" t="str">
        <f ca="1">IFERROR(__xludf.DUMMYFUNCTION("""COMPUTED_VALUE"""),"High")</f>
        <v>High</v>
      </c>
      <c r="P1166" s="5" t="str">
        <f ca="1">IFERROR(__xludf.DUMMYFUNCTION("""COMPUTED_VALUE"""),"Hallway")</f>
        <v>Hallway</v>
      </c>
      <c r="Q1166" s="5" t="str">
        <f ca="1">IFERROR(__xludf.DUMMYFUNCTION("""COMPUTED_VALUE"""),"Inside School Building")</f>
        <v>Inside School Building</v>
      </c>
      <c r="R1166" s="5" t="str">
        <f ca="1">IFERROR(__xludf.DUMMYFUNCTION("""COMPUTED_VALUE"""),"Yes")</f>
        <v>Yes</v>
      </c>
      <c r="S1166" s="5" t="str">
        <f ca="1">IFERROR(__xludf.DUMMYFUNCTION("""COMPUTED_VALUE"""),"After School")</f>
        <v>After School</v>
      </c>
      <c r="T1166" s="10">
        <f ca="1">IFERROR(__xludf.DUMMYFUNCTION("""COMPUTED_VALUE"""),0.597222222222222)</f>
        <v>0.59722222222222199</v>
      </c>
      <c r="U1166" s="5">
        <f ca="1">IFERROR(__xludf.DUMMYFUNCTION("""COMPUTED_VALUE"""),1)</f>
        <v>1</v>
      </c>
      <c r="V1166" s="5" t="str">
        <f ca="1">IFERROR(__xludf.DUMMYFUNCTION("""COMPUTED_VALUE"""),"Former custodian confronts school custodian over his love interest of her")</f>
        <v>Former custodian confronts school custodian over his love interest of her</v>
      </c>
      <c r="W1166"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X1166" s="5" t="str">
        <f ca="1">IFERROR(__xludf.DUMMYFUNCTION("""COMPUTED_VALUE"""),"Suicide/Attempted")</f>
        <v>Suicide/Attempted</v>
      </c>
      <c r="Y1166" s="5" t="str">
        <f ca="1">IFERROR(__xludf.DUMMYFUNCTION("""COMPUTED_VALUE"""),"Victims Targeted")</f>
        <v>Victims Targeted</v>
      </c>
      <c r="Z1166" s="5" t="str">
        <f ca="1">IFERROR(__xludf.DUMMYFUNCTION("""COMPUTED_VALUE"""),"No")</f>
        <v>No</v>
      </c>
      <c r="AA1166" s="5"/>
      <c r="AB1166" s="5" t="str">
        <f ca="1">IFERROR(__xludf.DUMMYFUNCTION("""COMPUTED_VALUE"""),"No")</f>
        <v>No</v>
      </c>
      <c r="AC1166" s="5" t="str">
        <f ca="1">IFERROR(__xludf.DUMMYFUNCTION("""COMPUTED_VALUE"""),"No")</f>
        <v>No</v>
      </c>
      <c r="AD1166" s="5" t="str">
        <f ca="1">IFERROR(__xludf.DUMMYFUNCTION("""COMPUTED_VALUE"""),"No")</f>
        <v>No</v>
      </c>
      <c r="AE1166" s="5" t="str">
        <f ca="1">IFERROR(__xludf.DUMMYFUNCTION("""COMPUTED_VALUE"""),"No")</f>
        <v>No</v>
      </c>
      <c r="AF1166" s="5" t="str">
        <f ca="1">IFERROR(__xludf.DUMMYFUNCTION("""COMPUTED_VALUE"""),"Yes")</f>
        <v>Yes</v>
      </c>
      <c r="AG1166" s="5" t="str">
        <f ca="1">IFERROR(__xludf.DUMMYFUNCTION("""COMPUTED_VALUE"""),"No")</f>
        <v>No</v>
      </c>
      <c r="AH1166" s="5"/>
    </row>
    <row r="1167" spans="1:34" ht="12.75">
      <c r="A1167" s="5" t="str">
        <f ca="1">IFERROR(__xludf.DUMMYFUNCTION("""COMPUTED_VALUE"""),"20070307TXGRG")</f>
        <v>20070307TXGRG</v>
      </c>
      <c r="B1167" s="8">
        <f ca="1">IFERROR(__xludf.DUMMYFUNCTION("""COMPUTED_VALUE"""),39148)</f>
        <v>39148</v>
      </c>
      <c r="C1167" s="5" t="str">
        <f ca="1">IFERROR(__xludf.DUMMYFUNCTION("""COMPUTED_VALUE"""),"Greenville High School")</f>
        <v>Greenville High School</v>
      </c>
      <c r="D1167" s="5">
        <f ca="1">IFERROR(__xludf.DUMMYFUNCTION("""COMPUTED_VALUE"""),0)</f>
        <v>0</v>
      </c>
      <c r="E1167" s="5">
        <f ca="1">IFERROR(__xludf.DUMMYFUNCTION("""COMPUTED_VALUE"""),0)</f>
        <v>0</v>
      </c>
      <c r="F1167" s="5">
        <f ca="1">IFERROR(__xludf.DUMMYFUNCTION("""COMPUTED_VALUE"""),0)</f>
        <v>0</v>
      </c>
      <c r="G1167" s="5">
        <f ca="1">IFERROR(__xludf.DUMMYFUNCTION("""COMPUTED_VALUE"""),1)</f>
        <v>1</v>
      </c>
      <c r="H1167" s="9" t="str">
        <f ca="1">IFERROR(__xludf.DUMMYFUNCTION("""COMPUTED_VALUE"""),"http://www.heraldbanner.com/archives/shooting-shocks-ghs/article_411a3183-9998-56eb-9c2a-ed8b1c9788c2.html")</f>
        <v>http://www.heraldbanner.com/archives/shooting-shocks-ghs/article_411a3183-9998-56eb-9c2a-ed8b1c9788c2.html</v>
      </c>
      <c r="I1167" s="5"/>
      <c r="J1167" s="5"/>
      <c r="K1167" s="5">
        <f ca="1">IFERROR(__xludf.DUMMYFUNCTION("""COMPUTED_VALUE"""),2)</f>
        <v>2</v>
      </c>
      <c r="L1167" s="5" t="str">
        <f ca="1">IFERROR(__xludf.DUMMYFUNCTION("""COMPUTED_VALUE"""),"Spring")</f>
        <v>Spring</v>
      </c>
      <c r="M1167" s="5" t="str">
        <f ca="1">IFERROR(__xludf.DUMMYFUNCTION("""COMPUTED_VALUE"""),"Greenville")</f>
        <v>Greenville</v>
      </c>
      <c r="N1167" s="5" t="str">
        <f ca="1">IFERROR(__xludf.DUMMYFUNCTION("""COMPUTED_VALUE"""),"TX")</f>
        <v>TX</v>
      </c>
      <c r="O1167" s="5" t="str">
        <f ca="1">IFERROR(__xludf.DUMMYFUNCTION("""COMPUTED_VALUE"""),"High")</f>
        <v>High</v>
      </c>
      <c r="P1167" s="5" t="str">
        <f ca="1">IFERROR(__xludf.DUMMYFUNCTION("""COMPUTED_VALUE"""),"Classroom")</f>
        <v>Classroom</v>
      </c>
      <c r="Q1167" s="5" t="str">
        <f ca="1">IFERROR(__xludf.DUMMYFUNCTION("""COMPUTED_VALUE"""),"Inside School Building")</f>
        <v>Inside School Building</v>
      </c>
      <c r="R1167" s="5" t="str">
        <f ca="1">IFERROR(__xludf.DUMMYFUNCTION("""COMPUTED_VALUE"""),"Yes")</f>
        <v>Yes</v>
      </c>
      <c r="S1167" s="5" t="str">
        <f ca="1">IFERROR(__xludf.DUMMYFUNCTION("""COMPUTED_VALUE"""),"School Start")</f>
        <v>School Start</v>
      </c>
      <c r="T1167" s="10">
        <f ca="1">IFERROR(__xludf.DUMMYFUNCTION("""COMPUTED_VALUE"""),0.302083333333333)</f>
        <v>0.30208333333333298</v>
      </c>
      <c r="U1167" s="5">
        <f ca="1">IFERROR(__xludf.DUMMYFUNCTION("""COMPUTED_VALUE"""),1)</f>
        <v>1</v>
      </c>
      <c r="V1167" s="5" t="str">
        <f ca="1">IFERROR(__xludf.DUMMYFUNCTION("""COMPUTED_VALUE"""),"Shot self in band room")</f>
        <v>Shot self in band room</v>
      </c>
      <c r="W1167"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X1167" s="5" t="str">
        <f ca="1">IFERROR(__xludf.DUMMYFUNCTION("""COMPUTED_VALUE"""),"Suicide/Attempted")</f>
        <v>Suicide/Attempted</v>
      </c>
      <c r="Y1167" s="5" t="str">
        <f ca="1">IFERROR(__xludf.DUMMYFUNCTION("""COMPUTED_VALUE"""),"Victims Targeted")</f>
        <v>Victims Targeted</v>
      </c>
      <c r="Z1167" s="5" t="str">
        <f ca="1">IFERROR(__xludf.DUMMYFUNCTION("""COMPUTED_VALUE"""),"No")</f>
        <v>No</v>
      </c>
      <c r="AA1167" s="5"/>
      <c r="AB1167" s="5" t="str">
        <f ca="1">IFERROR(__xludf.DUMMYFUNCTION("""COMPUTED_VALUE"""),"No")</f>
        <v>No</v>
      </c>
      <c r="AC1167" s="5" t="str">
        <f ca="1">IFERROR(__xludf.DUMMYFUNCTION("""COMPUTED_VALUE"""),"No")</f>
        <v>No</v>
      </c>
      <c r="AD1167" s="5" t="str">
        <f ca="1">IFERROR(__xludf.DUMMYFUNCTION("""COMPUTED_VALUE"""),"No")</f>
        <v>No</v>
      </c>
      <c r="AE1167" s="5" t="str">
        <f ca="1">IFERROR(__xludf.DUMMYFUNCTION("""COMPUTED_VALUE"""),"No")</f>
        <v>No</v>
      </c>
      <c r="AF1167" s="5" t="str">
        <f ca="1">IFERROR(__xludf.DUMMYFUNCTION("""COMPUTED_VALUE"""),"No")</f>
        <v>No</v>
      </c>
      <c r="AG1167" s="5" t="str">
        <f ca="1">IFERROR(__xludf.DUMMYFUNCTION("""COMPUTED_VALUE"""),"No")</f>
        <v>No</v>
      </c>
      <c r="AH1167" s="5"/>
    </row>
    <row r="1168" spans="1:34" ht="12.75">
      <c r="A1168" s="5" t="str">
        <f ca="1">IFERROR(__xludf.DUMMYFUNCTION("""COMPUTED_VALUE"""),"20070307MIHEM")</f>
        <v>20070307MIHEM</v>
      </c>
      <c r="B1168" s="8">
        <f ca="1">IFERROR(__xludf.DUMMYFUNCTION("""COMPUTED_VALUE"""),39148)</f>
        <v>39148</v>
      </c>
      <c r="C1168" s="5" t="str">
        <f ca="1">IFERROR(__xludf.DUMMYFUNCTION("""COMPUTED_VALUE"""),"Herbert Henry Dow High School")</f>
        <v>Herbert Henry Dow High School</v>
      </c>
      <c r="D1168" s="5">
        <f ca="1">IFERROR(__xludf.DUMMYFUNCTION("""COMPUTED_VALUE"""),0)</f>
        <v>0</v>
      </c>
      <c r="E1168" s="5">
        <f ca="1">IFERROR(__xludf.DUMMYFUNCTION("""COMPUTED_VALUE"""),1)</f>
        <v>1</v>
      </c>
      <c r="F1168" s="5">
        <f ca="1">IFERROR(__xludf.DUMMYFUNCTION("""COMPUTED_VALUE"""),1)</f>
        <v>1</v>
      </c>
      <c r="G1168" s="5">
        <f ca="1">IFERROR(__xludf.DUMMYFUNCTION("""COMPUTED_VALUE"""),1)</f>
        <v>1</v>
      </c>
      <c r="H1168" s="9" t="str">
        <f ca="1">IFERROR(__xludf.DUMMYFUNCTION("""COMPUTED_VALUE"""),"https://www.ourmidland.com/news/article/One-dead-one-hurt-in-Dow-High-shooting-7037728.php")</f>
        <v>https://www.ourmidland.com/news/article/One-dead-one-hurt-in-Dow-High-shooting-7037728.php</v>
      </c>
      <c r="I1168" s="5"/>
      <c r="J1168" s="5"/>
      <c r="K1168" s="5">
        <f ca="1">IFERROR(__xludf.DUMMYFUNCTION("""COMPUTED_VALUE"""),2)</f>
        <v>2</v>
      </c>
      <c r="L1168" s="5" t="str">
        <f ca="1">IFERROR(__xludf.DUMMYFUNCTION("""COMPUTED_VALUE"""),"Spring")</f>
        <v>Spring</v>
      </c>
      <c r="M1168" s="5" t="str">
        <f ca="1">IFERROR(__xludf.DUMMYFUNCTION("""COMPUTED_VALUE"""),"Midland")</f>
        <v>Midland</v>
      </c>
      <c r="N1168" s="5" t="str">
        <f ca="1">IFERROR(__xludf.DUMMYFUNCTION("""COMPUTED_VALUE"""),"MI")</f>
        <v>MI</v>
      </c>
      <c r="O1168" s="5" t="str">
        <f ca="1">IFERROR(__xludf.DUMMYFUNCTION("""COMPUTED_VALUE"""),"High")</f>
        <v>High</v>
      </c>
      <c r="P1168" s="5" t="str">
        <f ca="1">IFERROR(__xludf.DUMMYFUNCTION("""COMPUTED_VALUE"""),"Parking Lot")</f>
        <v>Parking Lot</v>
      </c>
      <c r="Q1168" s="5" t="str">
        <f ca="1">IFERROR(__xludf.DUMMYFUNCTION("""COMPUTED_VALUE"""),"Outside on School Property")</f>
        <v>Outside on School Property</v>
      </c>
      <c r="R1168" s="5" t="str">
        <f ca="1">IFERROR(__xludf.DUMMYFUNCTION("""COMPUTED_VALUE"""),"Yes")</f>
        <v>Yes</v>
      </c>
      <c r="S1168" s="5" t="str">
        <f ca="1">IFERROR(__xludf.DUMMYFUNCTION("""COMPUTED_VALUE"""),"Morning Classes")</f>
        <v>Morning Classes</v>
      </c>
      <c r="T1168" s="10">
        <f ca="1">IFERROR(__xludf.DUMMYFUNCTION("""COMPUTED_VALUE"""),0.45625)</f>
        <v>0.45624999999999999</v>
      </c>
      <c r="U1168" s="5">
        <f ca="1">IFERROR(__xludf.DUMMYFUNCTION("""COMPUTED_VALUE"""),1)</f>
        <v>1</v>
      </c>
      <c r="V1168" s="5" t="str">
        <f ca="1">IFERROR(__xludf.DUMMYFUNCTION("""COMPUTED_VALUE"""),"Shot ex-girlfriend and self in the parking lot")</f>
        <v>Shot ex-girlfriend and self in the parking lot</v>
      </c>
      <c r="W1168"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X1168" s="5" t="str">
        <f ca="1">IFERROR(__xludf.DUMMYFUNCTION("""COMPUTED_VALUE"""),"Murder/Suicide")</f>
        <v>Murder/Suicide</v>
      </c>
      <c r="Y1168" s="5" t="str">
        <f ca="1">IFERROR(__xludf.DUMMYFUNCTION("""COMPUTED_VALUE"""),"Victims Targeted")</f>
        <v>Victims Targeted</v>
      </c>
      <c r="Z1168" s="5" t="str">
        <f ca="1">IFERROR(__xludf.DUMMYFUNCTION("""COMPUTED_VALUE"""),"No")</f>
        <v>No</v>
      </c>
      <c r="AA1168" s="5"/>
      <c r="AB1168" s="5" t="str">
        <f ca="1">IFERROR(__xludf.DUMMYFUNCTION("""COMPUTED_VALUE"""),"No")</f>
        <v>No</v>
      </c>
      <c r="AC1168" s="5" t="str">
        <f ca="1">IFERROR(__xludf.DUMMYFUNCTION("""COMPUTED_VALUE"""),"No")</f>
        <v>No</v>
      </c>
      <c r="AD1168" s="5" t="str">
        <f ca="1">IFERROR(__xludf.DUMMYFUNCTION("""COMPUTED_VALUE"""),"No")</f>
        <v>No</v>
      </c>
      <c r="AE1168" s="5" t="str">
        <f ca="1">IFERROR(__xludf.DUMMYFUNCTION("""COMPUTED_VALUE"""),"No")</f>
        <v>No</v>
      </c>
      <c r="AF1168" s="5" t="str">
        <f ca="1">IFERROR(__xludf.DUMMYFUNCTION("""COMPUTED_VALUE"""),"Yes")</f>
        <v>Yes</v>
      </c>
      <c r="AG1168" s="5" t="str">
        <f ca="1">IFERROR(__xludf.DUMMYFUNCTION("""COMPUTED_VALUE"""),"No")</f>
        <v>No</v>
      </c>
      <c r="AH1168" s="5"/>
    </row>
    <row r="1169" spans="1:34" ht="12.75">
      <c r="A1169" s="5" t="str">
        <f ca="1">IFERROR(__xludf.DUMMYFUNCTION("""COMPUTED_VALUE"""),"20070307CACEC")</f>
        <v>20070307CACEC</v>
      </c>
      <c r="B1169" s="8">
        <f ca="1">IFERROR(__xludf.DUMMYFUNCTION("""COMPUTED_VALUE"""),39148)</f>
        <v>39148</v>
      </c>
      <c r="C1169" s="5" t="str">
        <f ca="1">IFERROR(__xludf.DUMMYFUNCTION("""COMPUTED_VALUE"""),"Centennial High School")</f>
        <v>Centennial High School</v>
      </c>
      <c r="D1169" s="5">
        <f ca="1">IFERROR(__xludf.DUMMYFUNCTION("""COMPUTED_VALUE"""),0)</f>
        <v>0</v>
      </c>
      <c r="E1169" s="5">
        <f ca="1">IFERROR(__xludf.DUMMYFUNCTION("""COMPUTED_VALUE"""),1)</f>
        <v>1</v>
      </c>
      <c r="F1169" s="5">
        <f ca="1">IFERROR(__xludf.DUMMYFUNCTION("""COMPUTED_VALUE"""),1)</f>
        <v>1</v>
      </c>
      <c r="G1169" s="5">
        <f ca="1">IFERROR(__xludf.DUMMYFUNCTION("""COMPUTED_VALUE"""),0)</f>
        <v>0</v>
      </c>
      <c r="H1169" s="5" t="str">
        <f ca="1">IFERROR(__xludf.DUMMYFUNCTION("""COMPUTED_VALUE"""),"https://www.presstelegram.com/2007/03/07/student-shot-in-compton/ http://articles.latimes.com/2007/mar/08/local/me-shooting8")</f>
        <v>https://www.presstelegram.com/2007/03/07/student-shot-in-compton/ http://articles.latimes.com/2007/mar/08/local/me-shooting8</v>
      </c>
      <c r="I1169" s="5"/>
      <c r="J1169" s="5"/>
      <c r="K1169" s="5">
        <f ca="1">IFERROR(__xludf.DUMMYFUNCTION("""COMPUTED_VALUE"""),3)</f>
        <v>3</v>
      </c>
      <c r="L1169" s="5" t="str">
        <f ca="1">IFERROR(__xludf.DUMMYFUNCTION("""COMPUTED_VALUE"""),"Spring")</f>
        <v>Spring</v>
      </c>
      <c r="M1169" s="5" t="str">
        <f ca="1">IFERROR(__xludf.DUMMYFUNCTION("""COMPUTED_VALUE"""),"Compton")</f>
        <v>Compton</v>
      </c>
      <c r="N1169" s="5" t="str">
        <f ca="1">IFERROR(__xludf.DUMMYFUNCTION("""COMPUTED_VALUE"""),"CA")</f>
        <v>CA</v>
      </c>
      <c r="O1169" s="5" t="str">
        <f ca="1">IFERROR(__xludf.DUMMYFUNCTION("""COMPUTED_VALUE"""),"High")</f>
        <v>High</v>
      </c>
      <c r="P1169" s="5" t="str">
        <f ca="1">IFERROR(__xludf.DUMMYFUNCTION("""COMPUTED_VALUE"""),"Beside Building")</f>
        <v>Beside Building</v>
      </c>
      <c r="Q1169" s="5" t="str">
        <f ca="1">IFERROR(__xludf.DUMMYFUNCTION("""COMPUTED_VALUE"""),"Outside on School Property")</f>
        <v>Outside on School Property</v>
      </c>
      <c r="R1169" s="5" t="str">
        <f ca="1">IFERROR(__xludf.DUMMYFUNCTION("""COMPUTED_VALUE"""),"No")</f>
        <v>No</v>
      </c>
      <c r="S1169" s="5" t="str">
        <f ca="1">IFERROR(__xludf.DUMMYFUNCTION("""COMPUTED_VALUE"""),"Afternoon Classes")</f>
        <v>Afternoon Classes</v>
      </c>
      <c r="T1169" s="10">
        <f ca="1">IFERROR(__xludf.DUMMYFUNCTION("""COMPUTED_VALUE"""),0.604166666666666)</f>
        <v>0.60416666666666596</v>
      </c>
      <c r="U1169" s="5">
        <f ca="1">IFERROR(__xludf.DUMMYFUNCTION("""COMPUTED_VALUE"""),1)</f>
        <v>1</v>
      </c>
      <c r="V1169" s="5" t="str">
        <f ca="1">IFERROR(__xludf.DUMMYFUNCTION("""COMPUTED_VALUE"""),"Gang-related fight between non-students outside of school")</f>
        <v>Gang-related fight between non-students outside of school</v>
      </c>
      <c r="W1169"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X1169" s="5" t="str">
        <f ca="1">IFERROR(__xludf.DUMMYFUNCTION("""COMPUTED_VALUE"""),"Escalation of Dispute")</f>
        <v>Escalation of Dispute</v>
      </c>
      <c r="Y1169" s="5" t="str">
        <f ca="1">IFERROR(__xludf.DUMMYFUNCTION("""COMPUTED_VALUE"""),"Victims Targeted")</f>
        <v>Victims Targeted</v>
      </c>
      <c r="Z1169" s="5" t="str">
        <f ca="1">IFERROR(__xludf.DUMMYFUNCTION("""COMPUTED_VALUE"""),"Yes")</f>
        <v>Yes</v>
      </c>
      <c r="AA1169" s="5" t="str">
        <f ca="1">IFERROR(__xludf.DUMMYFUNCTION("""COMPUTED_VALUE"""),"Group of students involved in fight")</f>
        <v>Group of students involved in fight</v>
      </c>
      <c r="AB1169" s="5" t="str">
        <f ca="1">IFERROR(__xludf.DUMMYFUNCTION("""COMPUTED_VALUE"""),"No")</f>
        <v>No</v>
      </c>
      <c r="AC1169" s="5" t="str">
        <f ca="1">IFERROR(__xludf.DUMMYFUNCTION("""COMPUTED_VALUE"""),"No")</f>
        <v>No</v>
      </c>
      <c r="AD1169" s="5" t="str">
        <f ca="1">IFERROR(__xludf.DUMMYFUNCTION("""COMPUTED_VALUE"""),"No")</f>
        <v>No</v>
      </c>
      <c r="AE1169" s="5"/>
      <c r="AF1169" s="5" t="str">
        <f ca="1">IFERROR(__xludf.DUMMYFUNCTION("""COMPUTED_VALUE"""),"No")</f>
        <v>No</v>
      </c>
      <c r="AG1169" s="5" t="str">
        <f ca="1">IFERROR(__xludf.DUMMYFUNCTION("""COMPUTED_VALUE"""),"Yes")</f>
        <v>Yes</v>
      </c>
      <c r="AH1169" s="5"/>
    </row>
    <row r="1170" spans="1:34" ht="12.75">
      <c r="A1170" s="5" t="str">
        <f ca="1">IFERROR(__xludf.DUMMYFUNCTION("""COMPUTED_VALUE"""),"20070227GACLA")</f>
        <v>20070227GACLA</v>
      </c>
      <c r="B1170" s="8">
        <f ca="1">IFERROR(__xludf.DUMMYFUNCTION("""COMPUTED_VALUE"""),39140)</f>
        <v>39140</v>
      </c>
      <c r="C1170" s="5" t="str">
        <f ca="1">IFERROR(__xludf.DUMMYFUNCTION("""COMPUTED_VALUE"""),"Clifton Elementary School")</f>
        <v>Clifton Elementary School</v>
      </c>
      <c r="D1170" s="5">
        <f ca="1">IFERROR(__xludf.DUMMYFUNCTION("""COMPUTED_VALUE"""),0)</f>
        <v>0</v>
      </c>
      <c r="E1170" s="5">
        <f ca="1">IFERROR(__xludf.DUMMYFUNCTION("""COMPUTED_VALUE"""),1)</f>
        <v>1</v>
      </c>
      <c r="F1170" s="5">
        <f ca="1">IFERROR(__xludf.DUMMYFUNCTION("""COMPUTED_VALUE"""),1)</f>
        <v>1</v>
      </c>
      <c r="G1170" s="5">
        <f ca="1">IFERROR(__xludf.DUMMYFUNCTION("""COMPUTED_VALUE"""),0)</f>
        <v>0</v>
      </c>
      <c r="H1170" s="9" t="str">
        <f ca="1">IFERROR(__xludf.DUMMYFUNCTION("""COMPUTED_VALUE"""),"https://www.columbine-angels.com/School_Violence_2006-2007.htm")</f>
        <v>https://www.columbine-angels.com/School_Violence_2006-2007.htm</v>
      </c>
      <c r="I1170" s="5"/>
      <c r="J1170" s="5"/>
      <c r="K1170" s="5">
        <f ca="1">IFERROR(__xludf.DUMMYFUNCTION("""COMPUTED_VALUE"""),1)</f>
        <v>1</v>
      </c>
      <c r="L1170" s="5" t="str">
        <f ca="1">IFERROR(__xludf.DUMMYFUNCTION("""COMPUTED_VALUE"""),"Winter")</f>
        <v>Winter</v>
      </c>
      <c r="M1170" s="5" t="str">
        <f ca="1">IFERROR(__xludf.DUMMYFUNCTION("""COMPUTED_VALUE"""),"Atlanta")</f>
        <v>Atlanta</v>
      </c>
      <c r="N1170" s="5" t="str">
        <f ca="1">IFERROR(__xludf.DUMMYFUNCTION("""COMPUTED_VALUE"""),"GA")</f>
        <v>GA</v>
      </c>
      <c r="O1170" s="5" t="str">
        <f ca="1">IFERROR(__xludf.DUMMYFUNCTION("""COMPUTED_VALUE"""),"Elementary")</f>
        <v>Elementary</v>
      </c>
      <c r="P1170" s="5" t="str">
        <f ca="1">IFERROR(__xludf.DUMMYFUNCTION("""COMPUTED_VALUE"""),"Bathroom")</f>
        <v>Bathroom</v>
      </c>
      <c r="Q1170" s="5" t="str">
        <f ca="1">IFERROR(__xludf.DUMMYFUNCTION("""COMPUTED_VALUE"""),"Inside School Building")</f>
        <v>Inside School Building</v>
      </c>
      <c r="R1170" s="5" t="str">
        <f ca="1">IFERROR(__xludf.DUMMYFUNCTION("""COMPUTED_VALUE"""),"Yes")</f>
        <v>Yes</v>
      </c>
      <c r="S1170" s="5" t="str">
        <f ca="1">IFERROR(__xludf.DUMMYFUNCTION("""COMPUTED_VALUE"""),"Morning Classes")</f>
        <v>Morning Classes</v>
      </c>
      <c r="T1170" s="5"/>
      <c r="U1170" s="5">
        <f ca="1">IFERROR(__xludf.DUMMYFUNCTION("""COMPUTED_VALUE"""),1)</f>
        <v>1</v>
      </c>
      <c r="V1170" s="5" t="str">
        <f ca="1">IFERROR(__xludf.DUMMYFUNCTION("""COMPUTED_VALUE"""),"Shot student in arm with BB gun in bathroom")</f>
        <v>Shot student in arm with BB gun in bathroom</v>
      </c>
      <c r="W1170"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X1170" s="5" t="str">
        <f ca="1">IFERROR(__xludf.DUMMYFUNCTION("""COMPUTED_VALUE"""),"Unknown")</f>
        <v>Unknown</v>
      </c>
      <c r="Y1170" s="5"/>
      <c r="Z1170" s="5" t="str">
        <f ca="1">IFERROR(__xludf.DUMMYFUNCTION("""COMPUTED_VALUE"""),"No")</f>
        <v>No</v>
      </c>
      <c r="AA1170" s="5"/>
      <c r="AB1170" s="5" t="str">
        <f ca="1">IFERROR(__xludf.DUMMYFUNCTION("""COMPUTED_VALUE"""),"No")</f>
        <v>No</v>
      </c>
      <c r="AC1170" s="5" t="str">
        <f ca="1">IFERROR(__xludf.DUMMYFUNCTION("""COMPUTED_VALUE"""),"No")</f>
        <v>No</v>
      </c>
      <c r="AD1170" s="5" t="str">
        <f ca="1">IFERROR(__xludf.DUMMYFUNCTION("""COMPUTED_VALUE"""),"No")</f>
        <v>No</v>
      </c>
      <c r="AE1170" s="5" t="str">
        <f ca="1">IFERROR(__xludf.DUMMYFUNCTION("""COMPUTED_VALUE"""),"No")</f>
        <v>No</v>
      </c>
      <c r="AF1170" s="5" t="str">
        <f ca="1">IFERROR(__xludf.DUMMYFUNCTION("""COMPUTED_VALUE"""),"No")</f>
        <v>No</v>
      </c>
      <c r="AG1170" s="5" t="str">
        <f ca="1">IFERROR(__xludf.DUMMYFUNCTION("""COMPUTED_VALUE"""),"No")</f>
        <v>No</v>
      </c>
      <c r="AH1170" s="5"/>
    </row>
    <row r="1171" spans="1:34" ht="12.75">
      <c r="A1171" s="5" t="str">
        <f ca="1">IFERROR(__xludf.DUMMYFUNCTION("""COMPUTED_VALUE"""),"20070226CASLA")</f>
        <v>20070226CASLA</v>
      </c>
      <c r="B1171" s="8">
        <f ca="1">IFERROR(__xludf.DUMMYFUNCTION("""COMPUTED_VALUE"""),39139)</f>
        <v>39139</v>
      </c>
      <c r="C1171" s="5" t="str">
        <f ca="1">IFERROR(__xludf.DUMMYFUNCTION("""COMPUTED_VALUE"""),"Slauson Middle School")</f>
        <v>Slauson Middle School</v>
      </c>
      <c r="D1171" s="5">
        <f ca="1">IFERROR(__xludf.DUMMYFUNCTION("""COMPUTED_VALUE"""),0)</f>
        <v>0</v>
      </c>
      <c r="E1171" s="5">
        <f ca="1">IFERROR(__xludf.DUMMYFUNCTION("""COMPUTED_VALUE"""),2)</f>
        <v>2</v>
      </c>
      <c r="F1171" s="5">
        <f ca="1">IFERROR(__xludf.DUMMYFUNCTION("""COMPUTED_VALUE"""),2)</f>
        <v>2</v>
      </c>
      <c r="G1171" s="5">
        <f ca="1">IFERROR(__xludf.DUMMYFUNCTION("""COMPUTED_VALUE"""),0)</f>
        <v>0</v>
      </c>
      <c r="H1171" s="9" t="str">
        <f ca="1">IFERROR(__xludf.DUMMYFUNCTION("""COMPUTED_VALUE"""),"https://www.columbine-angels.com/School_Violence_2006-2007.htm")</f>
        <v>https://www.columbine-angels.com/School_Violence_2006-2007.htm</v>
      </c>
      <c r="I1171" s="5"/>
      <c r="J1171" s="5"/>
      <c r="K1171" s="5">
        <f ca="1">IFERROR(__xludf.DUMMYFUNCTION("""COMPUTED_VALUE"""),1)</f>
        <v>1</v>
      </c>
      <c r="L1171" s="5" t="str">
        <f ca="1">IFERROR(__xludf.DUMMYFUNCTION("""COMPUTED_VALUE"""),"Winter")</f>
        <v>Winter</v>
      </c>
      <c r="M1171" s="5" t="str">
        <f ca="1">IFERROR(__xludf.DUMMYFUNCTION("""COMPUTED_VALUE"""),"Azusa")</f>
        <v>Azusa</v>
      </c>
      <c r="N1171" s="5" t="str">
        <f ca="1">IFERROR(__xludf.DUMMYFUNCTION("""COMPUTED_VALUE"""),"CA")</f>
        <v>CA</v>
      </c>
      <c r="O1171" s="5" t="str">
        <f ca="1">IFERROR(__xludf.DUMMYFUNCTION("""COMPUTED_VALUE"""),"Middle")</f>
        <v>Middle</v>
      </c>
      <c r="P1171" s="5" t="str">
        <f ca="1">IFERROR(__xludf.DUMMYFUNCTION("""COMPUTED_VALUE"""),"Hallway")</f>
        <v>Hallway</v>
      </c>
      <c r="Q1171" s="5" t="str">
        <f ca="1">IFERROR(__xludf.DUMMYFUNCTION("""COMPUTED_VALUE"""),"Inside School Building")</f>
        <v>Inside School Building</v>
      </c>
      <c r="R1171" s="5" t="str">
        <f ca="1">IFERROR(__xludf.DUMMYFUNCTION("""COMPUTED_VALUE"""),"Yes")</f>
        <v>Yes</v>
      </c>
      <c r="S1171" s="5" t="str">
        <f ca="1">IFERROR(__xludf.DUMMYFUNCTION("""COMPUTED_VALUE"""),"Morning Classes")</f>
        <v>Morning Classes</v>
      </c>
      <c r="T1171" s="5"/>
      <c r="U1171" s="5"/>
      <c r="V1171" s="5" t="str">
        <f ca="1">IFERROR(__xludf.DUMMYFUNCTION("""COMPUTED_VALUE"""),"Shot two students with airsoft gun")</f>
        <v>Shot two students with airsoft gun</v>
      </c>
      <c r="W1171"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X1171" s="5" t="str">
        <f ca="1">IFERROR(__xludf.DUMMYFUNCTION("""COMPUTED_VALUE"""),"Indiscriminate Shooting")</f>
        <v>Indiscriminate Shooting</v>
      </c>
      <c r="Y1171" s="5"/>
      <c r="Z1171" s="5" t="str">
        <f ca="1">IFERROR(__xludf.DUMMYFUNCTION("""COMPUTED_VALUE"""),"No")</f>
        <v>No</v>
      </c>
      <c r="AA1171" s="5"/>
      <c r="AB1171" s="5" t="str">
        <f ca="1">IFERROR(__xludf.DUMMYFUNCTION("""COMPUTED_VALUE"""),"No")</f>
        <v>No</v>
      </c>
      <c r="AC1171" s="5" t="str">
        <f ca="1">IFERROR(__xludf.DUMMYFUNCTION("""COMPUTED_VALUE"""),"No")</f>
        <v>No</v>
      </c>
      <c r="AD1171" s="5" t="str">
        <f ca="1">IFERROR(__xludf.DUMMYFUNCTION("""COMPUTED_VALUE"""),"No")</f>
        <v>No</v>
      </c>
      <c r="AE1171" s="5" t="str">
        <f ca="1">IFERROR(__xludf.DUMMYFUNCTION("""COMPUTED_VALUE"""),"No")</f>
        <v>No</v>
      </c>
      <c r="AF1171" s="5" t="str">
        <f ca="1">IFERROR(__xludf.DUMMYFUNCTION("""COMPUTED_VALUE"""),"No")</f>
        <v>No</v>
      </c>
      <c r="AG1171" s="5" t="str">
        <f ca="1">IFERROR(__xludf.DUMMYFUNCTION("""COMPUTED_VALUE"""),"No")</f>
        <v>No</v>
      </c>
      <c r="AH1171" s="5"/>
    </row>
    <row r="1172" spans="1:34" ht="12.75">
      <c r="A1172" s="5" t="str">
        <f ca="1">IFERROR(__xludf.DUMMYFUNCTION("""COMPUTED_VALUE"""),"20070208TXSTP")</f>
        <v>20070208TXSTP</v>
      </c>
      <c r="B1172" s="8">
        <f ca="1">IFERROR(__xludf.DUMMYFUNCTION("""COMPUTED_VALUE"""),39121)</f>
        <v>39121</v>
      </c>
      <c r="C1172" s="5" t="str">
        <f ca="1">IFERROR(__xludf.DUMMYFUNCTION("""COMPUTED_VALUE"""),"Stephen F. Austin Middle School")</f>
        <v>Stephen F. Austin Middle School</v>
      </c>
      <c r="D1172" s="5">
        <f ca="1">IFERROR(__xludf.DUMMYFUNCTION("""COMPUTED_VALUE"""),0)</f>
        <v>0</v>
      </c>
      <c r="E1172" s="5">
        <f ca="1">IFERROR(__xludf.DUMMYFUNCTION("""COMPUTED_VALUE"""),0)</f>
        <v>0</v>
      </c>
      <c r="F1172" s="5">
        <f ca="1">IFERROR(__xludf.DUMMYFUNCTION("""COMPUTED_VALUE"""),0)</f>
        <v>0</v>
      </c>
      <c r="G1172" s="5">
        <f ca="1">IFERROR(__xludf.DUMMYFUNCTION("""COMPUTED_VALUE"""),0)</f>
        <v>0</v>
      </c>
      <c r="H1172" s="9" t="str">
        <f ca="1">IFERROR(__xludf.DUMMYFUNCTION("""COMPUTED_VALUE"""),"https://www.columbine-angels.com/School_Violence_2006-2007.htm")</f>
        <v>https://www.columbine-angels.com/School_Violence_2006-2007.htm</v>
      </c>
      <c r="I1172" s="5"/>
      <c r="J1172" s="5"/>
      <c r="K1172" s="5">
        <f ca="1">IFERROR(__xludf.DUMMYFUNCTION("""COMPUTED_VALUE"""),1)</f>
        <v>1</v>
      </c>
      <c r="L1172" s="5" t="str">
        <f ca="1">IFERROR(__xludf.DUMMYFUNCTION("""COMPUTED_VALUE"""),"Winter")</f>
        <v>Winter</v>
      </c>
      <c r="M1172" s="5" t="str">
        <f ca="1">IFERROR(__xludf.DUMMYFUNCTION("""COMPUTED_VALUE"""),"Port Arthur")</f>
        <v>Port Arthur</v>
      </c>
      <c r="N1172" s="5" t="str">
        <f ca="1">IFERROR(__xludf.DUMMYFUNCTION("""COMPUTED_VALUE"""),"TX")</f>
        <v>TX</v>
      </c>
      <c r="O1172" s="5" t="str">
        <f ca="1">IFERROR(__xludf.DUMMYFUNCTION("""COMPUTED_VALUE"""),"Middle")</f>
        <v>Middle</v>
      </c>
      <c r="P1172" s="5" t="str">
        <f ca="1">IFERROR(__xludf.DUMMYFUNCTION("""COMPUTED_VALUE"""),"Gym")</f>
        <v>Gym</v>
      </c>
      <c r="Q1172" s="5" t="str">
        <f ca="1">IFERROR(__xludf.DUMMYFUNCTION("""COMPUTED_VALUE"""),"Inside School Building")</f>
        <v>Inside School Building</v>
      </c>
      <c r="R1172" s="5" t="str">
        <f ca="1">IFERROR(__xludf.DUMMYFUNCTION("""COMPUTED_VALUE"""),"Yes")</f>
        <v>Yes</v>
      </c>
      <c r="S1172" s="5"/>
      <c r="T1172" s="5"/>
      <c r="U1172" s="5">
        <f ca="1">IFERROR(__xludf.DUMMYFUNCTION("""COMPUTED_VALUE"""),1)</f>
        <v>1</v>
      </c>
      <c r="V1172" s="5" t="str">
        <f ca="1">IFERROR(__xludf.DUMMYFUNCTION("""COMPUTED_VALUE"""),"BB gun fired while showing it off")</f>
        <v>BB gun fired while showing it off</v>
      </c>
      <c r="W1172"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X1172" s="5" t="str">
        <f ca="1">IFERROR(__xludf.DUMMYFUNCTION("""COMPUTED_VALUE"""),"Accidental")</f>
        <v>Accidental</v>
      </c>
      <c r="Y1172" s="5" t="str">
        <f ca="1">IFERROR(__xludf.DUMMYFUNCTION("""COMPUTED_VALUE"""),"Neither")</f>
        <v>Neither</v>
      </c>
      <c r="Z1172" s="5" t="str">
        <f ca="1">IFERROR(__xludf.DUMMYFUNCTION("""COMPUTED_VALUE"""),"No")</f>
        <v>No</v>
      </c>
      <c r="AA1172" s="5"/>
      <c r="AB1172" s="5" t="str">
        <f ca="1">IFERROR(__xludf.DUMMYFUNCTION("""COMPUTED_VALUE"""),"No")</f>
        <v>No</v>
      </c>
      <c r="AC1172" s="5" t="str">
        <f ca="1">IFERROR(__xludf.DUMMYFUNCTION("""COMPUTED_VALUE"""),"No")</f>
        <v>No</v>
      </c>
      <c r="AD1172" s="5" t="str">
        <f ca="1">IFERROR(__xludf.DUMMYFUNCTION("""COMPUTED_VALUE"""),"No")</f>
        <v>No</v>
      </c>
      <c r="AE1172" s="5" t="str">
        <f ca="1">IFERROR(__xludf.DUMMYFUNCTION("""COMPUTED_VALUE"""),"No")</f>
        <v>No</v>
      </c>
      <c r="AF1172" s="5" t="str">
        <f ca="1">IFERROR(__xludf.DUMMYFUNCTION("""COMPUTED_VALUE"""),"No")</f>
        <v>No</v>
      </c>
      <c r="AG1172" s="5" t="str">
        <f ca="1">IFERROR(__xludf.DUMMYFUNCTION("""COMPUTED_VALUE"""),"No")</f>
        <v>No</v>
      </c>
      <c r="AH1172" s="5"/>
    </row>
    <row r="1173" spans="1:34" ht="12.75">
      <c r="A1173" s="5" t="str">
        <f ca="1">IFERROR(__xludf.DUMMYFUNCTION("""COMPUTED_VALUE"""),"20070208ORCRP")</f>
        <v>20070208ORCRP</v>
      </c>
      <c r="B1173" s="8">
        <f ca="1">IFERROR(__xludf.DUMMYFUNCTION("""COMPUTED_VALUE"""),39121)</f>
        <v>39121</v>
      </c>
      <c r="C1173" s="5" t="str">
        <f ca="1">IFERROR(__xludf.DUMMYFUNCTION("""COMPUTED_VALUE"""),"Crook County High School")</f>
        <v>Crook County High School</v>
      </c>
      <c r="D1173" s="5">
        <f ca="1">IFERROR(__xludf.DUMMYFUNCTION("""COMPUTED_VALUE"""),0)</f>
        <v>0</v>
      </c>
      <c r="E1173" s="5">
        <f ca="1">IFERROR(__xludf.DUMMYFUNCTION("""COMPUTED_VALUE"""),0)</f>
        <v>0</v>
      </c>
      <c r="F1173" s="5">
        <f ca="1">IFERROR(__xludf.DUMMYFUNCTION("""COMPUTED_VALUE"""),0)</f>
        <v>0</v>
      </c>
      <c r="G1173" s="5">
        <f ca="1">IFERROR(__xludf.DUMMYFUNCTION("""COMPUTED_VALUE"""),1)</f>
        <v>1</v>
      </c>
      <c r="H1173" s="9" t="str">
        <f ca="1">IFERROR(__xludf.DUMMYFUNCTION("""COMPUTED_VALUE"""),"https://portlandtribune.com/component/content/article?id=187719")</f>
        <v>https://portlandtribune.com/component/content/article?id=187719</v>
      </c>
      <c r="I1173" s="5"/>
      <c r="J1173" s="5"/>
      <c r="K1173" s="5">
        <f ca="1">IFERROR(__xludf.DUMMYFUNCTION("""COMPUTED_VALUE"""),2)</f>
        <v>2</v>
      </c>
      <c r="L1173" s="5" t="str">
        <f ca="1">IFERROR(__xludf.DUMMYFUNCTION("""COMPUTED_VALUE"""),"Winter")</f>
        <v>Winter</v>
      </c>
      <c r="M1173" s="5" t="str">
        <f ca="1">IFERROR(__xludf.DUMMYFUNCTION("""COMPUTED_VALUE"""),"Prineville")</f>
        <v>Prineville</v>
      </c>
      <c r="N1173" s="5" t="str">
        <f ca="1">IFERROR(__xludf.DUMMYFUNCTION("""COMPUTED_VALUE"""),"OR")</f>
        <v>OR</v>
      </c>
      <c r="O1173" s="5" t="str">
        <f ca="1">IFERROR(__xludf.DUMMYFUNCTION("""COMPUTED_VALUE"""),"High")</f>
        <v>High</v>
      </c>
      <c r="P1173" s="5" t="str">
        <f ca="1">IFERROR(__xludf.DUMMYFUNCTION("""COMPUTED_VALUE"""),"Parking Lot")</f>
        <v>Parking Lot</v>
      </c>
      <c r="Q1173" s="5" t="str">
        <f ca="1">IFERROR(__xludf.DUMMYFUNCTION("""COMPUTED_VALUE"""),"Outside on School Property")</f>
        <v>Outside on School Property</v>
      </c>
      <c r="R1173" s="5" t="str">
        <f ca="1">IFERROR(__xludf.DUMMYFUNCTION("""COMPUTED_VALUE"""),"Yes")</f>
        <v>Yes</v>
      </c>
      <c r="S1173" s="5" t="str">
        <f ca="1">IFERROR(__xludf.DUMMYFUNCTION("""COMPUTED_VALUE"""),"Afternoon Classes")</f>
        <v>Afternoon Classes</v>
      </c>
      <c r="T1173" s="10">
        <f ca="1">IFERROR(__xludf.DUMMYFUNCTION("""COMPUTED_VALUE"""),0.60625)</f>
        <v>0.60624999999999996</v>
      </c>
      <c r="U1173" s="5">
        <f ca="1">IFERROR(__xludf.DUMMYFUNCTION("""COMPUTED_VALUE"""),1)</f>
        <v>1</v>
      </c>
      <c r="V1173" s="5" t="str">
        <f ca="1">IFERROR(__xludf.DUMMYFUNCTION("""COMPUTED_VALUE"""),"Student shot self in parking lot")</f>
        <v>Student shot self in parking lot</v>
      </c>
      <c r="W1173" s="5" t="str">
        <f ca="1">IFERROR(__xludf.DUMMYFUNCTION("""COMPUTED_VALUE"""),"18YOM student shot self in parking lot.")</f>
        <v>18YOM student shot self in parking lot.</v>
      </c>
      <c r="X1173" s="5" t="str">
        <f ca="1">IFERROR(__xludf.DUMMYFUNCTION("""COMPUTED_VALUE"""),"Suicide/Attempted")</f>
        <v>Suicide/Attempted</v>
      </c>
      <c r="Y1173" s="5" t="str">
        <f ca="1">IFERROR(__xludf.DUMMYFUNCTION("""COMPUTED_VALUE"""),"Victims Targeted")</f>
        <v>Victims Targeted</v>
      </c>
      <c r="Z1173" s="5" t="str">
        <f ca="1">IFERROR(__xludf.DUMMYFUNCTION("""COMPUTED_VALUE"""),"No")</f>
        <v>No</v>
      </c>
      <c r="AA1173" s="5"/>
      <c r="AB1173" s="5" t="str">
        <f ca="1">IFERROR(__xludf.DUMMYFUNCTION("""COMPUTED_VALUE"""),"No")</f>
        <v>No</v>
      </c>
      <c r="AC1173" s="5" t="str">
        <f ca="1">IFERROR(__xludf.DUMMYFUNCTION("""COMPUTED_VALUE"""),"No")</f>
        <v>No</v>
      </c>
      <c r="AD1173" s="5" t="str">
        <f ca="1">IFERROR(__xludf.DUMMYFUNCTION("""COMPUTED_VALUE"""),"No")</f>
        <v>No</v>
      </c>
      <c r="AE1173" s="5" t="str">
        <f ca="1">IFERROR(__xludf.DUMMYFUNCTION("""COMPUTED_VALUE"""),"No")</f>
        <v>No</v>
      </c>
      <c r="AF1173" s="5" t="str">
        <f ca="1">IFERROR(__xludf.DUMMYFUNCTION("""COMPUTED_VALUE"""),"No")</f>
        <v>No</v>
      </c>
      <c r="AG1173" s="5" t="str">
        <f ca="1">IFERROR(__xludf.DUMMYFUNCTION("""COMPUTED_VALUE"""),"No")</f>
        <v>No</v>
      </c>
      <c r="AH1173" s="5"/>
    </row>
    <row r="1174" spans="1:34" ht="12.75">
      <c r="A1174" s="5" t="str">
        <f ca="1">IFERROR(__xludf.DUMMYFUNCTION("""COMPUTED_VALUE"""),"20070207FLPAJ")</f>
        <v>20070207FLPAJ</v>
      </c>
      <c r="B1174" s="8">
        <f ca="1">IFERROR(__xludf.DUMMYFUNCTION("""COMPUTED_VALUE"""),39120)</f>
        <v>39120</v>
      </c>
      <c r="C1174" s="5" t="str">
        <f ca="1">IFERROR(__xludf.DUMMYFUNCTION("""COMPUTED_VALUE"""),"Paxon Middle School")</f>
        <v>Paxon Middle School</v>
      </c>
      <c r="D1174" s="5">
        <f ca="1">IFERROR(__xludf.DUMMYFUNCTION("""COMPUTED_VALUE"""),0)</f>
        <v>0</v>
      </c>
      <c r="E1174" s="5">
        <f ca="1">IFERROR(__xludf.DUMMYFUNCTION("""COMPUTED_VALUE"""),0)</f>
        <v>0</v>
      </c>
      <c r="F1174" s="5">
        <f ca="1">IFERROR(__xludf.DUMMYFUNCTION("""COMPUTED_VALUE"""),0)</f>
        <v>0</v>
      </c>
      <c r="G1174" s="5">
        <f ca="1">IFERROR(__xludf.DUMMYFUNCTION("""COMPUTED_VALUE"""),0)</f>
        <v>0</v>
      </c>
      <c r="H1174" s="9" t="str">
        <f ca="1">IFERROR(__xludf.DUMMYFUNCTION("""COMPUTED_VALUE"""),"https://www.columbine-angels.com/School_Violence_2006-2007.htm")</f>
        <v>https://www.columbine-angels.com/School_Violence_2006-2007.htm</v>
      </c>
      <c r="I1174" s="5"/>
      <c r="J1174" s="5"/>
      <c r="K1174" s="5">
        <f ca="1">IFERROR(__xludf.DUMMYFUNCTION("""COMPUTED_VALUE"""),1)</f>
        <v>1</v>
      </c>
      <c r="L1174" s="5" t="str">
        <f ca="1">IFERROR(__xludf.DUMMYFUNCTION("""COMPUTED_VALUE"""),"Winter")</f>
        <v>Winter</v>
      </c>
      <c r="M1174" s="5" t="str">
        <f ca="1">IFERROR(__xludf.DUMMYFUNCTION("""COMPUTED_VALUE"""),"Jacksonville")</f>
        <v>Jacksonville</v>
      </c>
      <c r="N1174" s="5" t="str">
        <f ca="1">IFERROR(__xludf.DUMMYFUNCTION("""COMPUTED_VALUE"""),"FL")</f>
        <v>FL</v>
      </c>
      <c r="O1174" s="5" t="str">
        <f ca="1">IFERROR(__xludf.DUMMYFUNCTION("""COMPUTED_VALUE"""),"Middle")</f>
        <v>Middle</v>
      </c>
      <c r="P1174" s="5" t="str">
        <f ca="1">IFERROR(__xludf.DUMMYFUNCTION("""COMPUTED_VALUE"""),"ND")</f>
        <v>ND</v>
      </c>
      <c r="Q1174" s="5" t="str">
        <f ca="1">IFERROR(__xludf.DUMMYFUNCTION("""COMPUTED_VALUE"""),"ND")</f>
        <v>ND</v>
      </c>
      <c r="R1174" s="5" t="str">
        <f ca="1">IFERROR(__xludf.DUMMYFUNCTION("""COMPUTED_VALUE"""),"Yes")</f>
        <v>Yes</v>
      </c>
      <c r="S1174" s="5"/>
      <c r="T1174" s="5"/>
      <c r="U1174" s="5">
        <f ca="1">IFERROR(__xludf.DUMMYFUNCTION("""COMPUTED_VALUE"""),1)</f>
        <v>1</v>
      </c>
      <c r="V1174" s="5" t="str">
        <f ca="1">IFERROR(__xludf.DUMMYFUNCTION("""COMPUTED_VALUE"""),"Shot at SRO while fleeing")</f>
        <v>Shot at SRO while fleeing</v>
      </c>
      <c r="W1174"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X1174" s="5" t="str">
        <f ca="1">IFERROR(__xludf.DUMMYFUNCTION("""COMPUTED_VALUE"""),"Escalation of Dispute")</f>
        <v>Escalation of Dispute</v>
      </c>
      <c r="Y1174" s="5" t="str">
        <f ca="1">IFERROR(__xludf.DUMMYFUNCTION("""COMPUTED_VALUE"""),"Victims Targeted")</f>
        <v>Victims Targeted</v>
      </c>
      <c r="Z1174" s="5" t="str">
        <f ca="1">IFERROR(__xludf.DUMMYFUNCTION("""COMPUTED_VALUE"""),"Yes")</f>
        <v>Yes</v>
      </c>
      <c r="AA1174" s="5" t="str">
        <f ca="1">IFERROR(__xludf.DUMMYFUNCTION("""COMPUTED_VALUE"""),"Group of students fled")</f>
        <v>Group of students fled</v>
      </c>
      <c r="AB1174" s="5" t="str">
        <f ca="1">IFERROR(__xludf.DUMMYFUNCTION("""COMPUTED_VALUE"""),"No")</f>
        <v>No</v>
      </c>
      <c r="AC1174" s="5" t="str">
        <f ca="1">IFERROR(__xludf.DUMMYFUNCTION("""COMPUTED_VALUE"""),"No")</f>
        <v>No</v>
      </c>
      <c r="AD1174" s="5" t="str">
        <f ca="1">IFERROR(__xludf.DUMMYFUNCTION("""COMPUTED_VALUE"""),"No")</f>
        <v>No</v>
      </c>
      <c r="AE1174" s="5" t="str">
        <f ca="1">IFERROR(__xludf.DUMMYFUNCTION("""COMPUTED_VALUE"""),"No")</f>
        <v>No</v>
      </c>
      <c r="AF1174" s="5" t="str">
        <f ca="1">IFERROR(__xludf.DUMMYFUNCTION("""COMPUTED_VALUE"""),"No")</f>
        <v>No</v>
      </c>
      <c r="AG1174" s="5" t="str">
        <f ca="1">IFERROR(__xludf.DUMMYFUNCTION("""COMPUTED_VALUE"""),"No")</f>
        <v>No</v>
      </c>
      <c r="AH1174" s="5"/>
    </row>
    <row r="1175" spans="1:34" ht="12.75">
      <c r="A1175" s="5" t="str">
        <f ca="1">IFERROR(__xludf.DUMMYFUNCTION("""COMPUTED_VALUE"""),"20070131ILHIC")</f>
        <v>20070131ILHIC</v>
      </c>
      <c r="B1175" s="8">
        <f ca="1">IFERROR(__xludf.DUMMYFUNCTION("""COMPUTED_VALUE"""),39113)</f>
        <v>39113</v>
      </c>
      <c r="C1175" s="5" t="str">
        <f ca="1">IFERROR(__xludf.DUMMYFUNCTION("""COMPUTED_VALUE"""),"Hillcrest High School")</f>
        <v>Hillcrest High School</v>
      </c>
      <c r="D1175" s="5">
        <f ca="1">IFERROR(__xludf.DUMMYFUNCTION("""COMPUTED_VALUE"""),0)</f>
        <v>0</v>
      </c>
      <c r="E1175" s="5">
        <f ca="1">IFERROR(__xludf.DUMMYFUNCTION("""COMPUTED_VALUE"""),1)</f>
        <v>1</v>
      </c>
      <c r="F1175" s="5">
        <f ca="1">IFERROR(__xludf.DUMMYFUNCTION("""COMPUTED_VALUE"""),1)</f>
        <v>1</v>
      </c>
      <c r="G1175" s="5">
        <f ca="1">IFERROR(__xludf.DUMMYFUNCTION("""COMPUTED_VALUE"""),0)</f>
        <v>0</v>
      </c>
      <c r="H1175" s="9" t="str">
        <f ca="1">IFERROR(__xludf.DUMMYFUNCTION("""COMPUTED_VALUE"""),"https://www.newspapers.com/image/231615256/?terms=Hillcrest%2BHigh%2BSchool%2Bshooting%2BDwight%2BWelch")</f>
        <v>https://www.newspapers.com/image/231615256/?terms=Hillcrest%2BHigh%2BSchool%2Bshooting%2BDwight%2BWelch</v>
      </c>
      <c r="I1175" s="5"/>
      <c r="J1175" s="5"/>
      <c r="K1175" s="5">
        <f ca="1">IFERROR(__xludf.DUMMYFUNCTION("""COMPUTED_VALUE"""),2)</f>
        <v>2</v>
      </c>
      <c r="L1175" s="5" t="str">
        <f ca="1">IFERROR(__xludf.DUMMYFUNCTION("""COMPUTED_VALUE"""),"Winter")</f>
        <v>Winter</v>
      </c>
      <c r="M1175" s="5" t="str">
        <f ca="1">IFERROR(__xludf.DUMMYFUNCTION("""COMPUTED_VALUE"""),"Country Club Hills")</f>
        <v>Country Club Hills</v>
      </c>
      <c r="N1175" s="5" t="str">
        <f ca="1">IFERROR(__xludf.DUMMYFUNCTION("""COMPUTED_VALUE"""),"IL")</f>
        <v>IL</v>
      </c>
      <c r="O1175" s="5" t="str">
        <f ca="1">IFERROR(__xludf.DUMMYFUNCTION("""COMPUTED_VALUE"""),"High")</f>
        <v>High</v>
      </c>
      <c r="P1175" s="5" t="str">
        <f ca="1">IFERROR(__xludf.DUMMYFUNCTION("""COMPUTED_VALUE"""),"Parking Lot")</f>
        <v>Parking Lot</v>
      </c>
      <c r="Q1175" s="5" t="str">
        <f ca="1">IFERROR(__xludf.DUMMYFUNCTION("""COMPUTED_VALUE"""),"Outside on School Property")</f>
        <v>Outside on School Property</v>
      </c>
      <c r="R1175" s="5" t="str">
        <f ca="1">IFERROR(__xludf.DUMMYFUNCTION("""COMPUTED_VALUE"""),"No")</f>
        <v>No</v>
      </c>
      <c r="S1175" s="5" t="str">
        <f ca="1">IFERROR(__xludf.DUMMYFUNCTION("""COMPUTED_VALUE"""),"Sport Event")</f>
        <v>Sport Event</v>
      </c>
      <c r="T1175" s="10">
        <f ca="1">IFERROR(__xludf.DUMMYFUNCTION("""COMPUTED_VALUE"""),0.895833333333333)</f>
        <v>0.89583333333333304</v>
      </c>
      <c r="U1175" s="5">
        <f ca="1">IFERROR(__xludf.DUMMYFUNCTION("""COMPUTED_VALUE"""),1)</f>
        <v>1</v>
      </c>
      <c r="V1175" s="5" t="str">
        <f ca="1">IFERROR(__xludf.DUMMYFUNCTION("""COMPUTED_VALUE"""),"Student (bystander) shot during fight after basketball game")</f>
        <v>Student (bystander) shot during fight after basketball game</v>
      </c>
      <c r="W1175"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X1175" s="5" t="str">
        <f ca="1">IFERROR(__xludf.DUMMYFUNCTION("""COMPUTED_VALUE"""),"Escalation of Dispute")</f>
        <v>Escalation of Dispute</v>
      </c>
      <c r="Y1175" s="5"/>
      <c r="Z1175" s="5" t="str">
        <f ca="1">IFERROR(__xludf.DUMMYFUNCTION("""COMPUTED_VALUE"""),"Yes")</f>
        <v>Yes</v>
      </c>
      <c r="AA1175" s="5" t="str">
        <f ca="1">IFERROR(__xludf.DUMMYFUNCTION("""COMPUTED_VALUE"""),"2 arrested")</f>
        <v>2 arrested</v>
      </c>
      <c r="AB1175" s="5" t="str">
        <f ca="1">IFERROR(__xludf.DUMMYFUNCTION("""COMPUTED_VALUE"""),"No")</f>
        <v>No</v>
      </c>
      <c r="AC1175" s="5" t="str">
        <f ca="1">IFERROR(__xludf.DUMMYFUNCTION("""COMPUTED_VALUE"""),"No")</f>
        <v>No</v>
      </c>
      <c r="AD1175" s="5" t="str">
        <f ca="1">IFERROR(__xludf.DUMMYFUNCTION("""COMPUTED_VALUE"""),"No")</f>
        <v>No</v>
      </c>
      <c r="AE1175" s="5" t="str">
        <f ca="1">IFERROR(__xludf.DUMMYFUNCTION("""COMPUTED_VALUE"""),"No")</f>
        <v>No</v>
      </c>
      <c r="AF1175" s="5" t="str">
        <f ca="1">IFERROR(__xludf.DUMMYFUNCTION("""COMPUTED_VALUE"""),"No")</f>
        <v>No</v>
      </c>
      <c r="AG1175" s="5" t="str">
        <f ca="1">IFERROR(__xludf.DUMMYFUNCTION("""COMPUTED_VALUE"""),"No")</f>
        <v>No</v>
      </c>
      <c r="AH1175" s="5"/>
    </row>
    <row r="1176" spans="1:34" ht="12.75">
      <c r="A1176" s="5" t="str">
        <f ca="1">IFERROR(__xludf.DUMMYFUNCTION("""COMPUTED_VALUE"""),"20070124TNHAS")</f>
        <v>20070124TNHAS</v>
      </c>
      <c r="B1176" s="8">
        <f ca="1">IFERROR(__xludf.DUMMYFUNCTION("""COMPUTED_VALUE"""),39106)</f>
        <v>39106</v>
      </c>
      <c r="C1176" s="5" t="str">
        <f ca="1">IFERROR(__xludf.DUMMYFUNCTION("""COMPUTED_VALUE"""),"Harbin County High School")</f>
        <v>Harbin County High School</v>
      </c>
      <c r="D1176" s="5">
        <f ca="1">IFERROR(__xludf.DUMMYFUNCTION("""COMPUTED_VALUE"""),0)</f>
        <v>0</v>
      </c>
      <c r="E1176" s="5">
        <f ca="1">IFERROR(__xludf.DUMMYFUNCTION("""COMPUTED_VALUE"""),0)</f>
        <v>0</v>
      </c>
      <c r="F1176" s="5">
        <f ca="1">IFERROR(__xludf.DUMMYFUNCTION("""COMPUTED_VALUE"""),0)</f>
        <v>0</v>
      </c>
      <c r="G1176" s="5">
        <f ca="1">IFERROR(__xludf.DUMMYFUNCTION("""COMPUTED_VALUE"""),0)</f>
        <v>0</v>
      </c>
      <c r="H1176" s="9" t="str">
        <f ca="1">IFERROR(__xludf.DUMMYFUNCTION("""COMPUTED_VALUE"""),"http://www.wmcactionnews5.com/story/5984007/17-year-old-in-critical-condition-at-the-med-after-school-shooting")</f>
        <v>http://www.wmcactionnews5.com/story/5984007/17-year-old-in-critical-condition-at-the-med-after-school-shooting</v>
      </c>
      <c r="I1176" s="5"/>
      <c r="J1176" s="5"/>
      <c r="K1176" s="5">
        <f ca="1">IFERROR(__xludf.DUMMYFUNCTION("""COMPUTED_VALUE"""),2)</f>
        <v>2</v>
      </c>
      <c r="L1176" s="5" t="str">
        <f ca="1">IFERROR(__xludf.DUMMYFUNCTION("""COMPUTED_VALUE"""),"Winter")</f>
        <v>Winter</v>
      </c>
      <c r="M1176" s="5" t="str">
        <f ca="1">IFERROR(__xludf.DUMMYFUNCTION("""COMPUTED_VALUE"""),"Savannah")</f>
        <v>Savannah</v>
      </c>
      <c r="N1176" s="5" t="str">
        <f ca="1">IFERROR(__xludf.DUMMYFUNCTION("""COMPUTED_VALUE"""),"TN")</f>
        <v>TN</v>
      </c>
      <c r="O1176" s="5" t="str">
        <f ca="1">IFERROR(__xludf.DUMMYFUNCTION("""COMPUTED_VALUE"""),"High")</f>
        <v>High</v>
      </c>
      <c r="P1176" s="5" t="str">
        <f ca="1">IFERROR(__xludf.DUMMYFUNCTION("""COMPUTED_VALUE"""),"Bathroom")</f>
        <v>Bathroom</v>
      </c>
      <c r="Q1176" s="5" t="str">
        <f ca="1">IFERROR(__xludf.DUMMYFUNCTION("""COMPUTED_VALUE"""),"Inside School Building")</f>
        <v>Inside School Building</v>
      </c>
      <c r="R1176" s="5" t="str">
        <f ca="1">IFERROR(__xludf.DUMMYFUNCTION("""COMPUTED_VALUE"""),"Yes")</f>
        <v>Yes</v>
      </c>
      <c r="S1176" s="5" t="str">
        <f ca="1">IFERROR(__xludf.DUMMYFUNCTION("""COMPUTED_VALUE"""),"Morning Classes")</f>
        <v>Morning Classes</v>
      </c>
      <c r="T1176" s="10">
        <f ca="1">IFERROR(__xludf.DUMMYFUNCTION("""COMPUTED_VALUE"""),0.333333333333333)</f>
        <v>0.33333333333333298</v>
      </c>
      <c r="U1176" s="5">
        <f ca="1">IFERROR(__xludf.DUMMYFUNCTION("""COMPUTED_VALUE"""),1)</f>
        <v>1</v>
      </c>
      <c r="V1176" s="5" t="str">
        <f ca="1">IFERROR(__xludf.DUMMYFUNCTION("""COMPUTED_VALUE"""),"Student shot self in bathroom")</f>
        <v>Student shot self in bathroom</v>
      </c>
      <c r="W1176" s="5" t="str">
        <f ca="1">IFERROR(__xludf.DUMMYFUNCTION("""COMPUTED_VALUE"""),"17YOM shot self in bathroom.")</f>
        <v>17YOM shot self in bathroom.</v>
      </c>
      <c r="X1176" s="5" t="str">
        <f ca="1">IFERROR(__xludf.DUMMYFUNCTION("""COMPUTED_VALUE"""),"Suicide/Attempted")</f>
        <v>Suicide/Attempted</v>
      </c>
      <c r="Y1176" s="5" t="str">
        <f ca="1">IFERROR(__xludf.DUMMYFUNCTION("""COMPUTED_VALUE"""),"Victims Targeted")</f>
        <v>Victims Targeted</v>
      </c>
      <c r="Z1176" s="5" t="str">
        <f ca="1">IFERROR(__xludf.DUMMYFUNCTION("""COMPUTED_VALUE"""),"No")</f>
        <v>No</v>
      </c>
      <c r="AA1176" s="5"/>
      <c r="AB1176" s="5" t="str">
        <f ca="1">IFERROR(__xludf.DUMMYFUNCTION("""COMPUTED_VALUE"""),"No")</f>
        <v>No</v>
      </c>
      <c r="AC1176" s="5" t="str">
        <f ca="1">IFERROR(__xludf.DUMMYFUNCTION("""COMPUTED_VALUE"""),"No")</f>
        <v>No</v>
      </c>
      <c r="AD1176" s="5" t="str">
        <f ca="1">IFERROR(__xludf.DUMMYFUNCTION("""COMPUTED_VALUE"""),"No")</f>
        <v>No</v>
      </c>
      <c r="AE1176" s="5" t="str">
        <f ca="1">IFERROR(__xludf.DUMMYFUNCTION("""COMPUTED_VALUE"""),"No")</f>
        <v>No</v>
      </c>
      <c r="AF1176" s="5" t="str">
        <f ca="1">IFERROR(__xludf.DUMMYFUNCTION("""COMPUTED_VALUE"""),"No")</f>
        <v>No</v>
      </c>
      <c r="AG1176" s="5" t="str">
        <f ca="1">IFERROR(__xludf.DUMMYFUNCTION("""COMPUTED_VALUE"""),"No")</f>
        <v>No</v>
      </c>
      <c r="AH1176" s="5"/>
    </row>
    <row r="1177" spans="1:34" ht="12.75">
      <c r="A1177" s="5" t="str">
        <f ca="1">IFERROR(__xludf.DUMMYFUNCTION("""COMPUTED_VALUE"""),"20070118PAWIP")</f>
        <v>20070118PAWIP</v>
      </c>
      <c r="B1177" s="8">
        <f ca="1">IFERROR(__xludf.DUMMYFUNCTION("""COMPUTED_VALUE"""),39100)</f>
        <v>39100</v>
      </c>
      <c r="C1177" s="5" t="str">
        <f ca="1">IFERROR(__xludf.DUMMYFUNCTION("""COMPUTED_VALUE"""),"William L.Sayre High School")</f>
        <v>William L.Sayre High School</v>
      </c>
      <c r="D1177" s="5">
        <f ca="1">IFERROR(__xludf.DUMMYFUNCTION("""COMPUTED_VALUE"""),0)</f>
        <v>0</v>
      </c>
      <c r="E1177" s="5">
        <f ca="1">IFERROR(__xludf.DUMMYFUNCTION("""COMPUTED_VALUE"""),1)</f>
        <v>1</v>
      </c>
      <c r="F1177" s="5">
        <f ca="1">IFERROR(__xludf.DUMMYFUNCTION("""COMPUTED_VALUE"""),1)</f>
        <v>1</v>
      </c>
      <c r="G1177" s="5">
        <f ca="1">IFERROR(__xludf.DUMMYFUNCTION("""COMPUTED_VALUE"""),0)</f>
        <v>0</v>
      </c>
      <c r="H1177" s="9" t="str">
        <f ca="1">IFERROR(__xludf.DUMMYFUNCTION("""COMPUTED_VALUE"""),"http://www.philly.com/philly/news/20070119_dn_M_SAYR.html")</f>
        <v>http://www.philly.com/philly/news/20070119_dn_M_SAYR.html</v>
      </c>
      <c r="I1177" s="5"/>
      <c r="J1177" s="5"/>
      <c r="K1177" s="5">
        <f ca="1">IFERROR(__xludf.DUMMYFUNCTION("""COMPUTED_VALUE"""),2)</f>
        <v>2</v>
      </c>
      <c r="L1177" s="5" t="str">
        <f ca="1">IFERROR(__xludf.DUMMYFUNCTION("""COMPUTED_VALUE"""),"Winter")</f>
        <v>Winter</v>
      </c>
      <c r="M1177" s="5" t="str">
        <f ca="1">IFERROR(__xludf.DUMMYFUNCTION("""COMPUTED_VALUE"""),"Philadelphia")</f>
        <v>Philadelphia</v>
      </c>
      <c r="N1177" s="5" t="str">
        <f ca="1">IFERROR(__xludf.DUMMYFUNCTION("""COMPUTED_VALUE"""),"PA")</f>
        <v>PA</v>
      </c>
      <c r="O1177" s="5" t="str">
        <f ca="1">IFERROR(__xludf.DUMMYFUNCTION("""COMPUTED_VALUE"""),"High")</f>
        <v>High</v>
      </c>
      <c r="P1177" s="5" t="str">
        <f ca="1">IFERROR(__xludf.DUMMYFUNCTION("""COMPUTED_VALUE"""),"Beside Building")</f>
        <v>Beside Building</v>
      </c>
      <c r="Q1177" s="5" t="str">
        <f ca="1">IFERROR(__xludf.DUMMYFUNCTION("""COMPUTED_VALUE"""),"Outside on School Property")</f>
        <v>Outside on School Property</v>
      </c>
      <c r="R1177" s="5" t="str">
        <f ca="1">IFERROR(__xludf.DUMMYFUNCTION("""COMPUTED_VALUE"""),"Yes")</f>
        <v>Yes</v>
      </c>
      <c r="S1177" s="5" t="str">
        <f ca="1">IFERROR(__xludf.DUMMYFUNCTION("""COMPUTED_VALUE"""),"School Start")</f>
        <v>School Start</v>
      </c>
      <c r="T1177" s="10">
        <f ca="1">IFERROR(__xludf.DUMMYFUNCTION("""COMPUTED_VALUE"""),0.350694444444444)</f>
        <v>0.35069444444444398</v>
      </c>
      <c r="U1177" s="5">
        <f ca="1">IFERROR(__xludf.DUMMYFUNCTION("""COMPUTED_VALUE"""),1)</f>
        <v>1</v>
      </c>
      <c r="V1177" s="5" t="str">
        <f ca="1">IFERROR(__xludf.DUMMYFUNCTION("""COMPUTED_VALUE"""),"Student shot during confrontation with 3 other students")</f>
        <v>Student shot during confrontation with 3 other students</v>
      </c>
      <c r="W1177"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X1177" s="5" t="str">
        <f ca="1">IFERROR(__xludf.DUMMYFUNCTION("""COMPUTED_VALUE"""),"Escalation of Dispute")</f>
        <v>Escalation of Dispute</v>
      </c>
      <c r="Y1177" s="5" t="str">
        <f ca="1">IFERROR(__xludf.DUMMYFUNCTION("""COMPUTED_VALUE"""),"Victims Targeted")</f>
        <v>Victims Targeted</v>
      </c>
      <c r="Z1177" s="5" t="str">
        <f ca="1">IFERROR(__xludf.DUMMYFUNCTION("""COMPUTED_VALUE"""),"Yes")</f>
        <v>Yes</v>
      </c>
      <c r="AA1177" s="5" t="str">
        <f ca="1">IFERROR(__xludf.DUMMYFUNCTION("""COMPUTED_VALUE"""),"Three teens")</f>
        <v>Three teens</v>
      </c>
      <c r="AB1177" s="5" t="str">
        <f ca="1">IFERROR(__xludf.DUMMYFUNCTION("""COMPUTED_VALUE"""),"No")</f>
        <v>No</v>
      </c>
      <c r="AC1177" s="5" t="str">
        <f ca="1">IFERROR(__xludf.DUMMYFUNCTION("""COMPUTED_VALUE"""),"No")</f>
        <v>No</v>
      </c>
      <c r="AD1177" s="5" t="str">
        <f ca="1">IFERROR(__xludf.DUMMYFUNCTION("""COMPUTED_VALUE"""),"No")</f>
        <v>No</v>
      </c>
      <c r="AE1177" s="5" t="str">
        <f ca="1">IFERROR(__xludf.DUMMYFUNCTION("""COMPUTED_VALUE"""),"No")</f>
        <v>No</v>
      </c>
      <c r="AF1177" s="5" t="str">
        <f ca="1">IFERROR(__xludf.DUMMYFUNCTION("""COMPUTED_VALUE"""),"No")</f>
        <v>No</v>
      </c>
      <c r="AG1177" s="5" t="str">
        <f ca="1">IFERROR(__xludf.DUMMYFUNCTION("""COMPUTED_VALUE"""),"No")</f>
        <v>No</v>
      </c>
      <c r="AH1177" s="5"/>
    </row>
    <row r="1178" spans="1:34" ht="12.75">
      <c r="A1178" s="5" t="str">
        <f ca="1">IFERROR(__xludf.DUMMYFUNCTION("""COMPUTED_VALUE"""),"20070109NVWEL")</f>
        <v>20070109NVWEL</v>
      </c>
      <c r="B1178" s="8">
        <f ca="1">IFERROR(__xludf.DUMMYFUNCTION("""COMPUTED_VALUE"""),39091)</f>
        <v>39091</v>
      </c>
      <c r="C1178" s="5" t="str">
        <f ca="1">IFERROR(__xludf.DUMMYFUNCTION("""COMPUTED_VALUE"""),"Western High School")</f>
        <v>Western High School</v>
      </c>
      <c r="D1178" s="5">
        <f ca="1">IFERROR(__xludf.DUMMYFUNCTION("""COMPUTED_VALUE"""),0)</f>
        <v>0</v>
      </c>
      <c r="E1178" s="5">
        <f ca="1">IFERROR(__xludf.DUMMYFUNCTION("""COMPUTED_VALUE"""),2)</f>
        <v>2</v>
      </c>
      <c r="F1178" s="5">
        <f ca="1">IFERROR(__xludf.DUMMYFUNCTION("""COMPUTED_VALUE"""),2)</f>
        <v>2</v>
      </c>
      <c r="G1178" s="5">
        <f ca="1">IFERROR(__xludf.DUMMYFUNCTION("""COMPUTED_VALUE"""),0)</f>
        <v>0</v>
      </c>
      <c r="H1178" s="9" t="str">
        <f ca="1">IFERROR(__xludf.DUMMYFUNCTION("""COMPUTED_VALUE"""),"https://www.lasvegasnow.com/news/shooter-in-western-high-school-case-in-custody/81454838")</f>
        <v>https://www.lasvegasnow.com/news/shooter-in-western-high-school-case-in-custody/81454838</v>
      </c>
      <c r="I1178" s="5"/>
      <c r="J1178" s="5"/>
      <c r="K1178" s="5">
        <f ca="1">IFERROR(__xludf.DUMMYFUNCTION("""COMPUTED_VALUE"""),2)</f>
        <v>2</v>
      </c>
      <c r="L1178" s="5" t="str">
        <f ca="1">IFERROR(__xludf.DUMMYFUNCTION("""COMPUTED_VALUE"""),"Winter")</f>
        <v>Winter</v>
      </c>
      <c r="M1178" s="5" t="str">
        <f ca="1">IFERROR(__xludf.DUMMYFUNCTION("""COMPUTED_VALUE"""),"Las Vegas")</f>
        <v>Las Vegas</v>
      </c>
      <c r="N1178" s="5" t="str">
        <f ca="1">IFERROR(__xludf.DUMMYFUNCTION("""COMPUTED_VALUE"""),"NV")</f>
        <v>NV</v>
      </c>
      <c r="O1178" s="5" t="str">
        <f ca="1">IFERROR(__xludf.DUMMYFUNCTION("""COMPUTED_VALUE"""),"High")</f>
        <v>High</v>
      </c>
      <c r="P1178" s="5" t="str">
        <f ca="1">IFERROR(__xludf.DUMMYFUNCTION("""COMPUTED_VALUE"""),"Parking Lot")</f>
        <v>Parking Lot</v>
      </c>
      <c r="Q1178" s="5" t="str">
        <f ca="1">IFERROR(__xludf.DUMMYFUNCTION("""COMPUTED_VALUE"""),"Outside on School Property")</f>
        <v>Outside on School Property</v>
      </c>
      <c r="R1178" s="5" t="str">
        <f ca="1">IFERROR(__xludf.DUMMYFUNCTION("""COMPUTED_VALUE"""),"Yes")</f>
        <v>Yes</v>
      </c>
      <c r="S1178" s="5" t="str">
        <f ca="1">IFERROR(__xludf.DUMMYFUNCTION("""COMPUTED_VALUE"""),"School Start")</f>
        <v>School Start</v>
      </c>
      <c r="T1178" s="10">
        <f ca="1">IFERROR(__xludf.DUMMYFUNCTION("""COMPUTED_VALUE"""),0.270833333333333)</f>
        <v>0.27083333333333298</v>
      </c>
      <c r="U1178" s="5">
        <f ca="1">IFERROR(__xludf.DUMMYFUNCTION("""COMPUTED_VALUE"""),1)</f>
        <v>1</v>
      </c>
      <c r="V1178" s="5" t="str">
        <f ca="1">IFERROR(__xludf.DUMMYFUNCTION("""COMPUTED_VALUE"""),"Shooting in parking lot following a car accident")</f>
        <v>Shooting in parking lot following a car accident</v>
      </c>
      <c r="W1178"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X1178" s="5" t="str">
        <f ca="1">IFERROR(__xludf.DUMMYFUNCTION("""COMPUTED_VALUE"""),"Escalation of Dispute")</f>
        <v>Escalation of Dispute</v>
      </c>
      <c r="Y1178" s="5" t="str">
        <f ca="1">IFERROR(__xludf.DUMMYFUNCTION("""COMPUTED_VALUE"""),"Both")</f>
        <v>Both</v>
      </c>
      <c r="Z1178" s="5" t="str">
        <f ca="1">IFERROR(__xludf.DUMMYFUNCTION("""COMPUTED_VALUE"""),"No")</f>
        <v>No</v>
      </c>
      <c r="AA1178" s="5"/>
      <c r="AB1178" s="5" t="str">
        <f ca="1">IFERROR(__xludf.DUMMYFUNCTION("""COMPUTED_VALUE"""),"No")</f>
        <v>No</v>
      </c>
      <c r="AC1178" s="5" t="str">
        <f ca="1">IFERROR(__xludf.DUMMYFUNCTION("""COMPUTED_VALUE"""),"No")</f>
        <v>No</v>
      </c>
      <c r="AD1178" s="5" t="str">
        <f ca="1">IFERROR(__xludf.DUMMYFUNCTION("""COMPUTED_VALUE"""),"No")</f>
        <v>No</v>
      </c>
      <c r="AE1178" s="5" t="str">
        <f ca="1">IFERROR(__xludf.DUMMYFUNCTION("""COMPUTED_VALUE"""),"No")</f>
        <v>No</v>
      </c>
      <c r="AF1178" s="5" t="str">
        <f ca="1">IFERROR(__xludf.DUMMYFUNCTION("""COMPUTED_VALUE"""),"No")</f>
        <v>No</v>
      </c>
      <c r="AG1178" s="5" t="str">
        <f ca="1">IFERROR(__xludf.DUMMYFUNCTION("""COMPUTED_VALUE"""),"No")</f>
        <v>No</v>
      </c>
      <c r="AH1178" s="5"/>
    </row>
    <row r="1179" spans="1:34" ht="12.75">
      <c r="A1179" s="5" t="str">
        <f ca="1">IFERROR(__xludf.DUMMYFUNCTION("""COMPUTED_VALUE"""),"20070109CAGRV")</f>
        <v>20070109CAGRV</v>
      </c>
      <c r="B1179" s="8">
        <f ca="1">IFERROR(__xludf.DUMMYFUNCTION("""COMPUTED_VALUE"""),39091)</f>
        <v>39091</v>
      </c>
      <c r="C1179" s="5" t="str">
        <f ca="1">IFERROR(__xludf.DUMMYFUNCTION("""COMPUTED_VALUE"""),"Grant High School")</f>
        <v>Grant High School</v>
      </c>
      <c r="D1179" s="5">
        <f ca="1">IFERROR(__xludf.DUMMYFUNCTION("""COMPUTED_VALUE"""),0)</f>
        <v>0</v>
      </c>
      <c r="E1179" s="5">
        <f ca="1">IFERROR(__xludf.DUMMYFUNCTION("""COMPUTED_VALUE"""),2)</f>
        <v>2</v>
      </c>
      <c r="F1179" s="5">
        <f ca="1">IFERROR(__xludf.DUMMYFUNCTION("""COMPUTED_VALUE"""),2)</f>
        <v>2</v>
      </c>
      <c r="G1179" s="5">
        <f ca="1">IFERROR(__xludf.DUMMYFUNCTION("""COMPUTED_VALUE"""),0)</f>
        <v>0</v>
      </c>
      <c r="H1179" s="9" t="str">
        <f ca="1">IFERROR(__xludf.DUMMYFUNCTION("""COMPUTED_VALUE"""),"http://articles.latimes.com/2007/jan/10/local/me-grant10")</f>
        <v>http://articles.latimes.com/2007/jan/10/local/me-grant10</v>
      </c>
      <c r="I1179" s="5"/>
      <c r="J1179" s="5"/>
      <c r="K1179" s="5">
        <f ca="1">IFERROR(__xludf.DUMMYFUNCTION("""COMPUTED_VALUE"""),2)</f>
        <v>2</v>
      </c>
      <c r="L1179" s="5" t="str">
        <f ca="1">IFERROR(__xludf.DUMMYFUNCTION("""COMPUTED_VALUE"""),"Winter")</f>
        <v>Winter</v>
      </c>
      <c r="M1179" s="5" t="str">
        <f ca="1">IFERROR(__xludf.DUMMYFUNCTION("""COMPUTED_VALUE"""),"Van Nuys")</f>
        <v>Van Nuys</v>
      </c>
      <c r="N1179" s="5" t="str">
        <f ca="1">IFERROR(__xludf.DUMMYFUNCTION("""COMPUTED_VALUE"""),"CA")</f>
        <v>CA</v>
      </c>
      <c r="O1179" s="5" t="str">
        <f ca="1">IFERROR(__xludf.DUMMYFUNCTION("""COMPUTED_VALUE"""),"High")</f>
        <v>High</v>
      </c>
      <c r="P1179" s="5" t="str">
        <f ca="1">IFERROR(__xludf.DUMMYFUNCTION("""COMPUTED_VALUE"""),"Front of School")</f>
        <v>Front of School</v>
      </c>
      <c r="Q1179" s="5" t="str">
        <f ca="1">IFERROR(__xludf.DUMMYFUNCTION("""COMPUTED_VALUE"""),"Outside on School Property")</f>
        <v>Outside on School Property</v>
      </c>
      <c r="R1179" s="5" t="str">
        <f ca="1">IFERROR(__xludf.DUMMYFUNCTION("""COMPUTED_VALUE"""),"Yes")</f>
        <v>Yes</v>
      </c>
      <c r="S1179" s="5" t="str">
        <f ca="1">IFERROR(__xludf.DUMMYFUNCTION("""COMPUTED_VALUE"""),"Dismissal")</f>
        <v>Dismissal</v>
      </c>
      <c r="T1179" s="10">
        <f ca="1">IFERROR(__xludf.DUMMYFUNCTION("""COMPUTED_VALUE"""),0.635416666666666)</f>
        <v>0.63541666666666596</v>
      </c>
      <c r="U1179" s="5">
        <f ca="1">IFERROR(__xludf.DUMMYFUNCTION("""COMPUTED_VALUE"""),1)</f>
        <v>1</v>
      </c>
      <c r="V1179" s="5" t="str">
        <f ca="1">IFERROR(__xludf.DUMMYFUNCTION("""COMPUTED_VALUE"""),"2 students shot outside of school in gang related drive-by")</f>
        <v>2 students shot outside of school in gang related drive-by</v>
      </c>
      <c r="W1179" s="5" t="str">
        <f ca="1">IFERROR(__xludf.DUMMYFUNCTION("""COMPUTED_VALUE"""),"17YOM and 16YOM students shot outside of high school in gang related drive-by shooting.")</f>
        <v>17YOM and 16YOM students shot outside of high school in gang related drive-by shooting.</v>
      </c>
      <c r="X1179" s="5" t="str">
        <f ca="1">IFERROR(__xludf.DUMMYFUNCTION("""COMPUTED_VALUE"""),"Drive-by Shooting")</f>
        <v>Drive-by Shooting</v>
      </c>
      <c r="Y1179" s="5" t="str">
        <f ca="1">IFERROR(__xludf.DUMMYFUNCTION("""COMPUTED_VALUE"""),"Victims Targeted")</f>
        <v>Victims Targeted</v>
      </c>
      <c r="Z1179" s="5" t="str">
        <f ca="1">IFERROR(__xludf.DUMMYFUNCTION("""COMPUTED_VALUE"""),"Yes")</f>
        <v>Yes</v>
      </c>
      <c r="AA1179" s="5" t="str">
        <f ca="1">IFERROR(__xludf.DUMMYFUNCTION("""COMPUTED_VALUE"""),"Multiple gang members in car")</f>
        <v>Multiple gang members in car</v>
      </c>
      <c r="AB1179" s="5" t="str">
        <f ca="1">IFERROR(__xludf.DUMMYFUNCTION("""COMPUTED_VALUE"""),"No")</f>
        <v>No</v>
      </c>
      <c r="AC1179" s="5" t="str">
        <f ca="1">IFERROR(__xludf.DUMMYFUNCTION("""COMPUTED_VALUE"""),"No")</f>
        <v>No</v>
      </c>
      <c r="AD1179" s="5" t="str">
        <f ca="1">IFERROR(__xludf.DUMMYFUNCTION("""COMPUTED_VALUE"""),"No")</f>
        <v>No</v>
      </c>
      <c r="AE1179" s="5" t="str">
        <f ca="1">IFERROR(__xludf.DUMMYFUNCTION("""COMPUTED_VALUE"""),"No")</f>
        <v>No</v>
      </c>
      <c r="AF1179" s="5" t="str">
        <f ca="1">IFERROR(__xludf.DUMMYFUNCTION("""COMPUTED_VALUE"""),"No")</f>
        <v>No</v>
      </c>
      <c r="AG1179" s="5" t="str">
        <f ca="1">IFERROR(__xludf.DUMMYFUNCTION("""COMPUTED_VALUE"""),"Yes")</f>
        <v>Yes</v>
      </c>
      <c r="AH1179" s="5"/>
    </row>
    <row r="1180" spans="1:34" ht="12.75">
      <c r="A1180" s="5" t="str">
        <f ca="1">IFERROR(__xludf.DUMMYFUNCTION("""COMPUTED_VALUE"""),"20070108OHROC")</f>
        <v>20070108OHROC</v>
      </c>
      <c r="B1180" s="8">
        <f ca="1">IFERROR(__xludf.DUMMYFUNCTION("""COMPUTED_VALUE"""),39090)</f>
        <v>39090</v>
      </c>
      <c r="C1180" s="5" t="str">
        <f ca="1">IFERROR(__xludf.DUMMYFUNCTION("""COMPUTED_VALUE"""),"Robert A. Taft Information Technology High School")</f>
        <v>Robert A. Taft Information Technology High School</v>
      </c>
      <c r="D1180" s="5">
        <f ca="1">IFERROR(__xludf.DUMMYFUNCTION("""COMPUTED_VALUE"""),0)</f>
        <v>0</v>
      </c>
      <c r="E1180" s="5">
        <f ca="1">IFERROR(__xludf.DUMMYFUNCTION("""COMPUTED_VALUE"""),0)</f>
        <v>0</v>
      </c>
      <c r="F1180" s="5">
        <f ca="1">IFERROR(__xludf.DUMMYFUNCTION("""COMPUTED_VALUE"""),0)</f>
        <v>0</v>
      </c>
      <c r="G1180" s="5">
        <f ca="1">IFERROR(__xludf.DUMMYFUNCTION("""COMPUTED_VALUE"""),0)</f>
        <v>0</v>
      </c>
      <c r="H1180" s="9" t="str">
        <f ca="1">IFERROR(__xludf.DUMMYFUNCTION("""COMPUTED_VALUE"""),"https://www.newspapers.com/image/286391925/?terms=High%2BSchool%2BDixon%2BEdwards")</f>
        <v>https://www.newspapers.com/image/286391925/?terms=High%2BSchool%2BDixon%2BEdwards</v>
      </c>
      <c r="I1180" s="5"/>
      <c r="J1180" s="5"/>
      <c r="K1180" s="5">
        <f ca="1">IFERROR(__xludf.DUMMYFUNCTION("""COMPUTED_VALUE"""),2)</f>
        <v>2</v>
      </c>
      <c r="L1180" s="5" t="str">
        <f ca="1">IFERROR(__xludf.DUMMYFUNCTION("""COMPUTED_VALUE"""),"Winter")</f>
        <v>Winter</v>
      </c>
      <c r="M1180" s="5" t="str">
        <f ca="1">IFERROR(__xludf.DUMMYFUNCTION("""COMPUTED_VALUE"""),"Cincinnati")</f>
        <v>Cincinnati</v>
      </c>
      <c r="N1180" s="5" t="str">
        <f ca="1">IFERROR(__xludf.DUMMYFUNCTION("""COMPUTED_VALUE"""),"OH")</f>
        <v>OH</v>
      </c>
      <c r="O1180" s="5" t="str">
        <f ca="1">IFERROR(__xludf.DUMMYFUNCTION("""COMPUTED_VALUE"""),"High")</f>
        <v>High</v>
      </c>
      <c r="P1180" s="5" t="str">
        <f ca="1">IFERROR(__xludf.DUMMYFUNCTION("""COMPUTED_VALUE"""),"Hallway")</f>
        <v>Hallway</v>
      </c>
      <c r="Q1180" s="5" t="str">
        <f ca="1">IFERROR(__xludf.DUMMYFUNCTION("""COMPUTED_VALUE"""),"Inside School Building")</f>
        <v>Inside School Building</v>
      </c>
      <c r="R1180" s="5" t="str">
        <f ca="1">IFERROR(__xludf.DUMMYFUNCTION("""COMPUTED_VALUE"""),"Yes")</f>
        <v>Yes</v>
      </c>
      <c r="S1180" s="5" t="str">
        <f ca="1">IFERROR(__xludf.DUMMYFUNCTION("""COMPUTED_VALUE"""),"Lunch")</f>
        <v>Lunch</v>
      </c>
      <c r="T1180" s="10">
        <f ca="1">IFERROR(__xludf.DUMMYFUNCTION("""COMPUTED_VALUE"""),0.447916666666666)</f>
        <v>0.44791666666666602</v>
      </c>
      <c r="U1180" s="5">
        <f ca="1">IFERROR(__xludf.DUMMYFUNCTION("""COMPUTED_VALUE"""),1)</f>
        <v>1</v>
      </c>
      <c r="V1180" s="5" t="str">
        <f ca="1">IFERROR(__xludf.DUMMYFUNCTION("""COMPUTED_VALUE"""),"Student with 2 guns confronted by principal, fired, and fled")</f>
        <v>Student with 2 guns confronted by principal, fired, and fled</v>
      </c>
      <c r="W1180"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X1180" s="5" t="str">
        <f ca="1">IFERROR(__xludf.DUMMYFUNCTION("""COMPUTED_VALUE"""),"Indiscriminate Shooting")</f>
        <v>Indiscriminate Shooting</v>
      </c>
      <c r="Y1180" s="5"/>
      <c r="Z1180" s="5" t="str">
        <f ca="1">IFERROR(__xludf.DUMMYFUNCTION("""COMPUTED_VALUE"""),"No")</f>
        <v>No</v>
      </c>
      <c r="AA1180" s="5"/>
      <c r="AB1180" s="5" t="str">
        <f ca="1">IFERROR(__xludf.DUMMYFUNCTION("""COMPUTED_VALUE"""),"No")</f>
        <v>No</v>
      </c>
      <c r="AC1180" s="5" t="str">
        <f ca="1">IFERROR(__xludf.DUMMYFUNCTION("""COMPUTED_VALUE"""),"No")</f>
        <v>No</v>
      </c>
      <c r="AD1180" s="5" t="str">
        <f ca="1">IFERROR(__xludf.DUMMYFUNCTION("""COMPUTED_VALUE"""),"No")</f>
        <v>No</v>
      </c>
      <c r="AE1180" s="5"/>
      <c r="AF1180" s="5" t="str">
        <f ca="1">IFERROR(__xludf.DUMMYFUNCTION("""COMPUTED_VALUE"""),"No")</f>
        <v>No</v>
      </c>
      <c r="AG1180" s="5" t="str">
        <f ca="1">IFERROR(__xludf.DUMMYFUNCTION("""COMPUTED_VALUE"""),"No")</f>
        <v>No</v>
      </c>
      <c r="AH1180" s="5" t="str">
        <f ca="1">IFERROR(__xludf.DUMMYFUNCTION("""COMPUTED_VALUE"""),"Yes")</f>
        <v>Yes</v>
      </c>
    </row>
    <row r="1181" spans="1:34" ht="12.75">
      <c r="A1181" s="5" t="str">
        <f ca="1">IFERROR(__xludf.DUMMYFUNCTION("""COMPUTED_VALUE"""),"20070104MINOD")</f>
        <v>20070104MINOD</v>
      </c>
      <c r="B1181" s="8">
        <f ca="1">IFERROR(__xludf.DUMMYFUNCTION("""COMPUTED_VALUE"""),39086)</f>
        <v>39086</v>
      </c>
      <c r="C1181" s="5" t="str">
        <f ca="1">IFERROR(__xludf.DUMMYFUNCTION("""COMPUTED_VALUE"""),"Northwestern High School")</f>
        <v>Northwestern High School</v>
      </c>
      <c r="D1181" s="5">
        <f ca="1">IFERROR(__xludf.DUMMYFUNCTION("""COMPUTED_VALUE"""),0)</f>
        <v>0</v>
      </c>
      <c r="E1181" s="5">
        <f ca="1">IFERROR(__xludf.DUMMYFUNCTION("""COMPUTED_VALUE"""),1)</f>
        <v>1</v>
      </c>
      <c r="F1181" s="5">
        <f ca="1">IFERROR(__xludf.DUMMYFUNCTION("""COMPUTED_VALUE"""),1)</f>
        <v>1</v>
      </c>
      <c r="G1181" s="5">
        <f ca="1">IFERROR(__xludf.DUMMYFUNCTION("""COMPUTED_VALUE"""),0)</f>
        <v>0</v>
      </c>
      <c r="H1181" s="9" t="str">
        <f ca="1">IFERROR(__xludf.DUMMYFUNCTION("""COMPUTED_VALUE"""),"https://www.columbine-angels.com/School_Violence_2006-2007.htm")</f>
        <v>https://www.columbine-angels.com/School_Violence_2006-2007.htm</v>
      </c>
      <c r="I1181" s="5"/>
      <c r="J1181" s="5"/>
      <c r="K1181" s="5">
        <f ca="1">IFERROR(__xludf.DUMMYFUNCTION("""COMPUTED_VALUE"""),1)</f>
        <v>1</v>
      </c>
      <c r="L1181" s="5" t="str">
        <f ca="1">IFERROR(__xludf.DUMMYFUNCTION("""COMPUTED_VALUE"""),"Winter")</f>
        <v>Winter</v>
      </c>
      <c r="M1181" s="5" t="str">
        <f ca="1">IFERROR(__xludf.DUMMYFUNCTION("""COMPUTED_VALUE"""),"Detroit")</f>
        <v>Detroit</v>
      </c>
      <c r="N1181" s="5" t="str">
        <f ca="1">IFERROR(__xludf.DUMMYFUNCTION("""COMPUTED_VALUE"""),"MI")</f>
        <v>MI</v>
      </c>
      <c r="O1181" s="5" t="str">
        <f ca="1">IFERROR(__xludf.DUMMYFUNCTION("""COMPUTED_VALUE"""),"High")</f>
        <v>High</v>
      </c>
      <c r="P1181" s="5" t="str">
        <f ca="1">IFERROR(__xludf.DUMMYFUNCTION("""COMPUTED_VALUE"""),"Front of School")</f>
        <v>Front of School</v>
      </c>
      <c r="Q1181" s="5" t="str">
        <f ca="1">IFERROR(__xludf.DUMMYFUNCTION("""COMPUTED_VALUE"""),"Outside on School Property")</f>
        <v>Outside on School Property</v>
      </c>
      <c r="R1181" s="5" t="str">
        <f ca="1">IFERROR(__xludf.DUMMYFUNCTION("""COMPUTED_VALUE"""),"Yes")</f>
        <v>Yes</v>
      </c>
      <c r="S1181" s="5"/>
      <c r="T1181" s="5"/>
      <c r="U1181" s="5">
        <f ca="1">IFERROR(__xludf.DUMMYFUNCTION("""COMPUTED_VALUE"""),1)</f>
        <v>1</v>
      </c>
      <c r="V1181" s="5" t="str">
        <f ca="1">IFERROR(__xludf.DUMMYFUNCTION("""COMPUTED_VALUE"""),"Drive-by shooting outside of school")</f>
        <v>Drive-by shooting outside of school</v>
      </c>
      <c r="W1181"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X1181" s="5" t="str">
        <f ca="1">IFERROR(__xludf.DUMMYFUNCTION("""COMPUTED_VALUE"""),"Drive-by Shooting")</f>
        <v>Drive-by Shooting</v>
      </c>
      <c r="Y1181" s="5"/>
      <c r="Z1181" s="5" t="str">
        <f ca="1">IFERROR(__xludf.DUMMYFUNCTION("""COMPUTED_VALUE"""),"Yes")</f>
        <v>Yes</v>
      </c>
      <c r="AA1181" s="5" t="str">
        <f ca="1">IFERROR(__xludf.DUMMYFUNCTION("""COMPUTED_VALUE"""),"Multiple people in car")</f>
        <v>Multiple people in car</v>
      </c>
      <c r="AB1181" s="5" t="str">
        <f ca="1">IFERROR(__xludf.DUMMYFUNCTION("""COMPUTED_VALUE"""),"No")</f>
        <v>No</v>
      </c>
      <c r="AC1181" s="5" t="str">
        <f ca="1">IFERROR(__xludf.DUMMYFUNCTION("""COMPUTED_VALUE"""),"No")</f>
        <v>No</v>
      </c>
      <c r="AD1181" s="5" t="str">
        <f ca="1">IFERROR(__xludf.DUMMYFUNCTION("""COMPUTED_VALUE"""),"No")</f>
        <v>No</v>
      </c>
      <c r="AE1181" s="5" t="str">
        <f ca="1">IFERROR(__xludf.DUMMYFUNCTION("""COMPUTED_VALUE"""),"No")</f>
        <v>No</v>
      </c>
      <c r="AF1181" s="5" t="str">
        <f ca="1">IFERROR(__xludf.DUMMYFUNCTION("""COMPUTED_VALUE"""),"No")</f>
        <v>No</v>
      </c>
      <c r="AG1181" s="5"/>
      <c r="AH1181" s="5"/>
    </row>
    <row r="1182" spans="1:34" ht="12.75">
      <c r="A1182" s="5" t="str">
        <f ca="1">IFERROR(__xludf.DUMMYFUNCTION("""COMPUTED_VALUE"""),"20070103WAHET")</f>
        <v>20070103WAHET</v>
      </c>
      <c r="B1182" s="8">
        <f ca="1">IFERROR(__xludf.DUMMYFUNCTION("""COMPUTED_VALUE"""),39085)</f>
        <v>39085</v>
      </c>
      <c r="C1182" s="5" t="str">
        <f ca="1">IFERROR(__xludf.DUMMYFUNCTION("""COMPUTED_VALUE"""),"Henry Foss High School")</f>
        <v>Henry Foss High School</v>
      </c>
      <c r="D1182" s="5">
        <f ca="1">IFERROR(__xludf.DUMMYFUNCTION("""COMPUTED_VALUE"""),1)</f>
        <v>1</v>
      </c>
      <c r="E1182" s="5">
        <f ca="1">IFERROR(__xludf.DUMMYFUNCTION("""COMPUTED_VALUE"""),0)</f>
        <v>0</v>
      </c>
      <c r="F1182" s="5">
        <f ca="1">IFERROR(__xludf.DUMMYFUNCTION("""COMPUTED_VALUE"""),1)</f>
        <v>1</v>
      </c>
      <c r="G1182" s="5">
        <f ca="1">IFERROR(__xludf.DUMMYFUNCTION("""COMPUTED_VALUE"""),0)</f>
        <v>0</v>
      </c>
      <c r="H1182"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I1182" s="5"/>
      <c r="J1182" s="5"/>
      <c r="K1182" s="5">
        <f ca="1">IFERROR(__xludf.DUMMYFUNCTION("""COMPUTED_VALUE"""),2)</f>
        <v>2</v>
      </c>
      <c r="L1182" s="5" t="str">
        <f ca="1">IFERROR(__xludf.DUMMYFUNCTION("""COMPUTED_VALUE"""),"Winter")</f>
        <v>Winter</v>
      </c>
      <c r="M1182" s="5" t="str">
        <f ca="1">IFERROR(__xludf.DUMMYFUNCTION("""COMPUTED_VALUE"""),"Tacoma")</f>
        <v>Tacoma</v>
      </c>
      <c r="N1182" s="5" t="str">
        <f ca="1">IFERROR(__xludf.DUMMYFUNCTION("""COMPUTED_VALUE"""),"WA")</f>
        <v>WA</v>
      </c>
      <c r="O1182" s="5" t="str">
        <f ca="1">IFERROR(__xludf.DUMMYFUNCTION("""COMPUTED_VALUE"""),"High")</f>
        <v>High</v>
      </c>
      <c r="P1182" s="5" t="str">
        <f ca="1">IFERROR(__xludf.DUMMYFUNCTION("""COMPUTED_VALUE"""),"Hallway")</f>
        <v>Hallway</v>
      </c>
      <c r="Q1182" s="5" t="str">
        <f ca="1">IFERROR(__xludf.DUMMYFUNCTION("""COMPUTED_VALUE"""),"Inside School Building")</f>
        <v>Inside School Building</v>
      </c>
      <c r="R1182" s="5" t="str">
        <f ca="1">IFERROR(__xludf.DUMMYFUNCTION("""COMPUTED_VALUE"""),"Yes")</f>
        <v>Yes</v>
      </c>
      <c r="S1182" s="5" t="str">
        <f ca="1">IFERROR(__xludf.DUMMYFUNCTION("""COMPUTED_VALUE"""),"Morning Classes")</f>
        <v>Morning Classes</v>
      </c>
      <c r="T1182" s="10">
        <f ca="1">IFERROR(__xludf.DUMMYFUNCTION("""COMPUTED_VALUE"""),0.3125)</f>
        <v>0.3125</v>
      </c>
      <c r="U1182" s="5">
        <f ca="1">IFERROR(__xludf.DUMMYFUNCTION("""COMPUTED_VALUE"""),1)</f>
        <v>1</v>
      </c>
      <c r="V1182"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W1182"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X1182" s="5" t="str">
        <f ca="1">IFERROR(__xludf.DUMMYFUNCTION("""COMPUTED_VALUE"""),"Psychosis")</f>
        <v>Psychosis</v>
      </c>
      <c r="Y1182" s="5" t="str">
        <f ca="1">IFERROR(__xludf.DUMMYFUNCTION("""COMPUTED_VALUE"""),"Victims Targeted")</f>
        <v>Victims Targeted</v>
      </c>
      <c r="Z1182" s="5" t="str">
        <f ca="1">IFERROR(__xludf.DUMMYFUNCTION("""COMPUTED_VALUE"""),"No")</f>
        <v>No</v>
      </c>
      <c r="AA1182" s="5"/>
      <c r="AB1182" s="5" t="str">
        <f ca="1">IFERROR(__xludf.DUMMYFUNCTION("""COMPUTED_VALUE"""),"No")</f>
        <v>No</v>
      </c>
      <c r="AC1182" s="5" t="str">
        <f ca="1">IFERROR(__xludf.DUMMYFUNCTION("""COMPUTED_VALUE"""),"No")</f>
        <v>No</v>
      </c>
      <c r="AD1182" s="5" t="str">
        <f ca="1">IFERROR(__xludf.DUMMYFUNCTION("""COMPUTED_VALUE"""),"No")</f>
        <v>No</v>
      </c>
      <c r="AE1182" s="5" t="str">
        <f ca="1">IFERROR(__xludf.DUMMYFUNCTION("""COMPUTED_VALUE"""),"No")</f>
        <v>No</v>
      </c>
      <c r="AF1182" s="5" t="str">
        <f ca="1">IFERROR(__xludf.DUMMYFUNCTION("""COMPUTED_VALUE"""),"No")</f>
        <v>No</v>
      </c>
      <c r="AG1182" s="5" t="str">
        <f ca="1">IFERROR(__xludf.DUMMYFUNCTION("""COMPUTED_VALUE"""),"No")</f>
        <v>No</v>
      </c>
      <c r="AH1182" s="5"/>
    </row>
    <row r="1183" spans="1:34" ht="12.75">
      <c r="A1183" s="5" t="str">
        <f ca="1">IFERROR(__xludf.DUMMYFUNCTION("""COMPUTED_VALUE"""),"20070102NCWEF")</f>
        <v>20070102NCWEF</v>
      </c>
      <c r="B1183" s="8">
        <f ca="1">IFERROR(__xludf.DUMMYFUNCTION("""COMPUTED_VALUE"""),39084)</f>
        <v>39084</v>
      </c>
      <c r="C1183" s="5" t="str">
        <f ca="1">IFERROR(__xludf.DUMMYFUNCTION("""COMPUTED_VALUE"""),"Westover High School")</f>
        <v>Westover High School</v>
      </c>
      <c r="D1183" s="5">
        <f ca="1">IFERROR(__xludf.DUMMYFUNCTION("""COMPUTED_VALUE"""),0)</f>
        <v>0</v>
      </c>
      <c r="E1183" s="5">
        <f ca="1">IFERROR(__xludf.DUMMYFUNCTION("""COMPUTED_VALUE"""),0)</f>
        <v>0</v>
      </c>
      <c r="F1183" s="5">
        <f ca="1">IFERROR(__xludf.DUMMYFUNCTION("""COMPUTED_VALUE"""),0)</f>
        <v>0</v>
      </c>
      <c r="G1183" s="5">
        <f ca="1">IFERROR(__xludf.DUMMYFUNCTION("""COMPUTED_VALUE"""),0)</f>
        <v>0</v>
      </c>
      <c r="H1183" s="9" t="str">
        <f ca="1">IFERROR(__xludf.DUMMYFUNCTION("""COMPUTED_VALUE"""),"http://www.keystosaferschools.com/2007startswithabang.htm")</f>
        <v>http://www.keystosaferschools.com/2007startswithabang.htm</v>
      </c>
      <c r="I1183" s="5"/>
      <c r="J1183" s="5"/>
      <c r="K1183" s="5">
        <f ca="1">IFERROR(__xludf.DUMMYFUNCTION("""COMPUTED_VALUE"""),2)</f>
        <v>2</v>
      </c>
      <c r="L1183" s="5" t="str">
        <f ca="1">IFERROR(__xludf.DUMMYFUNCTION("""COMPUTED_VALUE"""),"Winter")</f>
        <v>Winter</v>
      </c>
      <c r="M1183" s="5" t="str">
        <f ca="1">IFERROR(__xludf.DUMMYFUNCTION("""COMPUTED_VALUE"""),"Fayetteville")</f>
        <v>Fayetteville</v>
      </c>
      <c r="N1183" s="5" t="str">
        <f ca="1">IFERROR(__xludf.DUMMYFUNCTION("""COMPUTED_VALUE"""),"NC")</f>
        <v>NC</v>
      </c>
      <c r="O1183" s="5" t="str">
        <f ca="1">IFERROR(__xludf.DUMMYFUNCTION("""COMPUTED_VALUE"""),"High")</f>
        <v>High</v>
      </c>
      <c r="P1183" s="5" t="str">
        <f ca="1">IFERROR(__xludf.DUMMYFUNCTION("""COMPUTED_VALUE"""),"Front of School")</f>
        <v>Front of School</v>
      </c>
      <c r="Q1183" s="5" t="str">
        <f ca="1">IFERROR(__xludf.DUMMYFUNCTION("""COMPUTED_VALUE"""),"Outside on School Property")</f>
        <v>Outside on School Property</v>
      </c>
      <c r="R1183" s="5" t="str">
        <f ca="1">IFERROR(__xludf.DUMMYFUNCTION("""COMPUTED_VALUE"""),"Yes")</f>
        <v>Yes</v>
      </c>
      <c r="S1183" s="5" t="str">
        <f ca="1">IFERROR(__xludf.DUMMYFUNCTION("""COMPUTED_VALUE"""),"Dismissal")</f>
        <v>Dismissal</v>
      </c>
      <c r="T1183" s="10">
        <f ca="1">IFERROR(__xludf.DUMMYFUNCTION("""COMPUTED_VALUE"""),0.625694444444444)</f>
        <v>0.625694444444444</v>
      </c>
      <c r="U1183" s="5">
        <f ca="1">IFERROR(__xludf.DUMMYFUNCTION("""COMPUTED_VALUE"""),1)</f>
        <v>1</v>
      </c>
      <c r="V1183" s="5" t="str">
        <f ca="1">IFERROR(__xludf.DUMMYFUNCTION("""COMPUTED_VALUE"""),"Shots fired by student at car with 3 students in parking lot")</f>
        <v>Shots fired by student at car with 3 students in parking lot</v>
      </c>
      <c r="W1183"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X1183" s="5" t="str">
        <f ca="1">IFERROR(__xludf.DUMMYFUNCTION("""COMPUTED_VALUE"""),"Escalation of Dispute")</f>
        <v>Escalation of Dispute</v>
      </c>
      <c r="Y1183" s="5" t="str">
        <f ca="1">IFERROR(__xludf.DUMMYFUNCTION("""COMPUTED_VALUE"""),"Victims Targeted")</f>
        <v>Victims Targeted</v>
      </c>
      <c r="Z1183" s="5" t="str">
        <f ca="1">IFERROR(__xludf.DUMMYFUNCTION("""COMPUTED_VALUE"""),"No")</f>
        <v>No</v>
      </c>
      <c r="AA1183" s="5"/>
      <c r="AB1183" s="5" t="str">
        <f ca="1">IFERROR(__xludf.DUMMYFUNCTION("""COMPUTED_VALUE"""),"No")</f>
        <v>No</v>
      </c>
      <c r="AC1183" s="5" t="str">
        <f ca="1">IFERROR(__xludf.DUMMYFUNCTION("""COMPUTED_VALUE"""),"No")</f>
        <v>No</v>
      </c>
      <c r="AD1183" s="5" t="str">
        <f ca="1">IFERROR(__xludf.DUMMYFUNCTION("""COMPUTED_VALUE"""),"No")</f>
        <v>No</v>
      </c>
      <c r="AE1183" s="5"/>
      <c r="AF1183" s="5" t="str">
        <f ca="1">IFERROR(__xludf.DUMMYFUNCTION("""COMPUTED_VALUE"""),"No")</f>
        <v>No</v>
      </c>
      <c r="AG1183" s="5" t="str">
        <f ca="1">IFERROR(__xludf.DUMMYFUNCTION("""COMPUTED_VALUE"""),"No")</f>
        <v>No</v>
      </c>
      <c r="AH1183" s="5"/>
    </row>
    <row r="1184" spans="1:34" ht="12.75">
      <c r="A1184" s="5" t="str">
        <f ca="1">IFERROR(__xludf.DUMMYFUNCTION("""COMPUTED_VALUE"""),"20061214PAMCC")</f>
        <v>20061214PAMCC</v>
      </c>
      <c r="B1184" s="8">
        <f ca="1">IFERROR(__xludf.DUMMYFUNCTION("""COMPUTED_VALUE"""),39065)</f>
        <v>39065</v>
      </c>
      <c r="C1184" s="5" t="str">
        <f ca="1">IFERROR(__xludf.DUMMYFUNCTION("""COMPUTED_VALUE"""),"McGuffey High School")</f>
        <v>McGuffey High School</v>
      </c>
      <c r="D1184" s="5">
        <f ca="1">IFERROR(__xludf.DUMMYFUNCTION("""COMPUTED_VALUE"""),0)</f>
        <v>0</v>
      </c>
      <c r="E1184" s="5">
        <f ca="1">IFERROR(__xludf.DUMMYFUNCTION("""COMPUTED_VALUE"""),0)</f>
        <v>0</v>
      </c>
      <c r="F1184" s="5">
        <f ca="1">IFERROR(__xludf.DUMMYFUNCTION("""COMPUTED_VALUE"""),0)</f>
        <v>0</v>
      </c>
      <c r="G1184" s="5">
        <f ca="1">IFERROR(__xludf.DUMMYFUNCTION("""COMPUTED_VALUE"""),1)</f>
        <v>1</v>
      </c>
      <c r="H1184" s="9" t="str">
        <f ca="1">IFERROR(__xludf.DUMMYFUNCTION("""COMPUTED_VALUE"""),"https://triblive.com/x/pittsburghtrib/news/regional/s_484514.html")</f>
        <v>https://triblive.com/x/pittsburghtrib/news/regional/s_484514.html</v>
      </c>
      <c r="I1184" s="5"/>
      <c r="J1184" s="5"/>
      <c r="K1184" s="5">
        <f ca="1">IFERROR(__xludf.DUMMYFUNCTION("""COMPUTED_VALUE"""),2)</f>
        <v>2</v>
      </c>
      <c r="L1184" s="5" t="str">
        <f ca="1">IFERROR(__xludf.DUMMYFUNCTION("""COMPUTED_VALUE"""),"Winter")</f>
        <v>Winter</v>
      </c>
      <c r="M1184" s="5" t="str">
        <f ca="1">IFERROR(__xludf.DUMMYFUNCTION("""COMPUTED_VALUE"""),"Claysville")</f>
        <v>Claysville</v>
      </c>
      <c r="N1184" s="5" t="str">
        <f ca="1">IFERROR(__xludf.DUMMYFUNCTION("""COMPUTED_VALUE"""),"PA")</f>
        <v>PA</v>
      </c>
      <c r="O1184" s="5" t="str">
        <f ca="1">IFERROR(__xludf.DUMMYFUNCTION("""COMPUTED_VALUE"""),"High")</f>
        <v>High</v>
      </c>
      <c r="P1184" s="5" t="str">
        <f ca="1">IFERROR(__xludf.DUMMYFUNCTION("""COMPUTED_VALUE"""),"Gym")</f>
        <v>Gym</v>
      </c>
      <c r="Q1184" s="5" t="str">
        <f ca="1">IFERROR(__xludf.DUMMYFUNCTION("""COMPUTED_VALUE"""),"Inside School Building")</f>
        <v>Inside School Building</v>
      </c>
      <c r="R1184" s="5" t="str">
        <f ca="1">IFERROR(__xludf.DUMMYFUNCTION("""COMPUTED_VALUE"""),"No")</f>
        <v>No</v>
      </c>
      <c r="S1184" s="5" t="str">
        <f ca="1">IFERROR(__xludf.DUMMYFUNCTION("""COMPUTED_VALUE"""),"After School")</f>
        <v>After School</v>
      </c>
      <c r="T1184" s="10">
        <f ca="1">IFERROR(__xludf.DUMMYFUNCTION("""COMPUTED_VALUE"""),0.708333333333333)</f>
        <v>0.70833333333333304</v>
      </c>
      <c r="U1184" s="5">
        <f ca="1">IFERROR(__xludf.DUMMYFUNCTION("""COMPUTED_VALUE"""),1)</f>
        <v>1</v>
      </c>
      <c r="V1184" s="5" t="str">
        <f ca="1">IFERROR(__xludf.DUMMYFUNCTION("""COMPUTED_VALUE"""),"Student shot self with rifle team .22 rifle")</f>
        <v>Student shot self with rifle team .22 rifle</v>
      </c>
      <c r="W1184" s="5" t="str">
        <f ca="1">IFERROR(__xludf.DUMMYFUNCTION("""COMPUTED_VALUE"""),"17YOM student who was member of the rifle team killed himself with one of the team rifles after school.")</f>
        <v>17YOM student who was member of the rifle team killed himself with one of the team rifles after school.</v>
      </c>
      <c r="X1184" s="5" t="str">
        <f ca="1">IFERROR(__xludf.DUMMYFUNCTION("""COMPUTED_VALUE"""),"Suicide/Attempted")</f>
        <v>Suicide/Attempted</v>
      </c>
      <c r="Y1184" s="5" t="str">
        <f ca="1">IFERROR(__xludf.DUMMYFUNCTION("""COMPUTED_VALUE"""),"Victims Targeted")</f>
        <v>Victims Targeted</v>
      </c>
      <c r="Z1184" s="5" t="str">
        <f ca="1">IFERROR(__xludf.DUMMYFUNCTION("""COMPUTED_VALUE"""),"No")</f>
        <v>No</v>
      </c>
      <c r="AA1184" s="5"/>
      <c r="AB1184" s="5" t="str">
        <f ca="1">IFERROR(__xludf.DUMMYFUNCTION("""COMPUTED_VALUE"""),"No")</f>
        <v>No</v>
      </c>
      <c r="AC1184" s="5" t="str">
        <f ca="1">IFERROR(__xludf.DUMMYFUNCTION("""COMPUTED_VALUE"""),"No")</f>
        <v>No</v>
      </c>
      <c r="AD1184" s="5" t="str">
        <f ca="1">IFERROR(__xludf.DUMMYFUNCTION("""COMPUTED_VALUE"""),"No")</f>
        <v>No</v>
      </c>
      <c r="AE1184" s="5"/>
      <c r="AF1184" s="5" t="str">
        <f ca="1">IFERROR(__xludf.DUMMYFUNCTION("""COMPUTED_VALUE"""),"No")</f>
        <v>No</v>
      </c>
      <c r="AG1184" s="5" t="str">
        <f ca="1">IFERROR(__xludf.DUMMYFUNCTION("""COMPUTED_VALUE"""),"No")</f>
        <v>No</v>
      </c>
      <c r="AH1184" s="5"/>
    </row>
    <row r="1185" spans="1:34" ht="12.75">
      <c r="A1185" s="5" t="str">
        <f ca="1">IFERROR(__xludf.DUMMYFUNCTION("""COMPUTED_VALUE"""),"20061213PABAB")</f>
        <v>20061213PABAB</v>
      </c>
      <c r="B1185" s="8">
        <f ca="1">IFERROR(__xludf.DUMMYFUNCTION("""COMPUTED_VALUE"""),39064)</f>
        <v>39064</v>
      </c>
      <c r="C1185" s="5" t="str">
        <f ca="1">IFERROR(__xludf.DUMMYFUNCTION("""COMPUTED_VALUE"""),"Bangor Area High School")</f>
        <v>Bangor Area High School</v>
      </c>
      <c r="D1185" s="5">
        <f ca="1">IFERROR(__xludf.DUMMYFUNCTION("""COMPUTED_VALUE"""),0)</f>
        <v>0</v>
      </c>
      <c r="E1185" s="5">
        <f ca="1">IFERROR(__xludf.DUMMYFUNCTION("""COMPUTED_VALUE"""),1)</f>
        <v>1</v>
      </c>
      <c r="F1185" s="5">
        <f ca="1">IFERROR(__xludf.DUMMYFUNCTION("""COMPUTED_VALUE"""),1)</f>
        <v>1</v>
      </c>
      <c r="G1185" s="5">
        <f ca="1">IFERROR(__xludf.DUMMYFUNCTION("""COMPUTED_VALUE"""),0)</f>
        <v>0</v>
      </c>
      <c r="H1185" s="9" t="str">
        <f ca="1">IFERROR(__xludf.DUMMYFUNCTION("""COMPUTED_VALUE"""),"https://www.columbine-angels.com/School_Violence_2006-2007.htm")</f>
        <v>https://www.columbine-angels.com/School_Violence_2006-2007.htm</v>
      </c>
      <c r="I1185" s="5"/>
      <c r="J1185" s="5"/>
      <c r="K1185" s="5">
        <f ca="1">IFERROR(__xludf.DUMMYFUNCTION("""COMPUTED_VALUE"""),1)</f>
        <v>1</v>
      </c>
      <c r="L1185" s="5" t="str">
        <f ca="1">IFERROR(__xludf.DUMMYFUNCTION("""COMPUTED_VALUE"""),"Winter")</f>
        <v>Winter</v>
      </c>
      <c r="M1185" s="5" t="str">
        <f ca="1">IFERROR(__xludf.DUMMYFUNCTION("""COMPUTED_VALUE"""),"Bangor")</f>
        <v>Bangor</v>
      </c>
      <c r="N1185" s="5" t="str">
        <f ca="1">IFERROR(__xludf.DUMMYFUNCTION("""COMPUTED_VALUE"""),"PA")</f>
        <v>PA</v>
      </c>
      <c r="O1185" s="5" t="str">
        <f ca="1">IFERROR(__xludf.DUMMYFUNCTION("""COMPUTED_VALUE"""),"High")</f>
        <v>High</v>
      </c>
      <c r="P1185" s="5" t="str">
        <f ca="1">IFERROR(__xludf.DUMMYFUNCTION("""COMPUTED_VALUE"""),"Beside Building")</f>
        <v>Beside Building</v>
      </c>
      <c r="Q1185" s="5" t="str">
        <f ca="1">IFERROR(__xludf.DUMMYFUNCTION("""COMPUTED_VALUE"""),"Outside on School Property")</f>
        <v>Outside on School Property</v>
      </c>
      <c r="R1185" s="5" t="str">
        <f ca="1">IFERROR(__xludf.DUMMYFUNCTION("""COMPUTED_VALUE"""),"Yes")</f>
        <v>Yes</v>
      </c>
      <c r="S1185" s="5" t="str">
        <f ca="1">IFERROR(__xludf.DUMMYFUNCTION("""COMPUTED_VALUE"""),"Dismissal")</f>
        <v>Dismissal</v>
      </c>
      <c r="T1185" s="10">
        <f ca="1">IFERROR(__xludf.DUMMYFUNCTION("""COMPUTED_VALUE"""),0.604166666666666)</f>
        <v>0.60416666666666596</v>
      </c>
      <c r="U1185" s="5">
        <f ca="1">IFERROR(__xludf.DUMMYFUNCTION("""COMPUTED_VALUE"""),1)</f>
        <v>1</v>
      </c>
      <c r="V1185" s="5" t="str">
        <f ca="1">IFERROR(__xludf.DUMMYFUNCTION("""COMPUTED_VALUE"""),"Fired pellet gun at students leaving school")</f>
        <v>Fired pellet gun at students leaving school</v>
      </c>
      <c r="W1185"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X1185" s="5" t="str">
        <f ca="1">IFERROR(__xludf.DUMMYFUNCTION("""COMPUTED_VALUE"""),"Unknown")</f>
        <v>Unknown</v>
      </c>
      <c r="Y1185" s="5"/>
      <c r="Z1185" s="5" t="str">
        <f ca="1">IFERROR(__xludf.DUMMYFUNCTION("""COMPUTED_VALUE"""),"No")</f>
        <v>No</v>
      </c>
      <c r="AA1185" s="5"/>
      <c r="AB1185" s="5" t="str">
        <f ca="1">IFERROR(__xludf.DUMMYFUNCTION("""COMPUTED_VALUE"""),"No")</f>
        <v>No</v>
      </c>
      <c r="AC1185" s="5" t="str">
        <f ca="1">IFERROR(__xludf.DUMMYFUNCTION("""COMPUTED_VALUE"""),"No")</f>
        <v>No</v>
      </c>
      <c r="AD1185" s="5" t="str">
        <f ca="1">IFERROR(__xludf.DUMMYFUNCTION("""COMPUTED_VALUE"""),"No")</f>
        <v>No</v>
      </c>
      <c r="AE1185" s="5" t="str">
        <f ca="1">IFERROR(__xludf.DUMMYFUNCTION("""COMPUTED_VALUE"""),"No")</f>
        <v>No</v>
      </c>
      <c r="AF1185" s="5" t="str">
        <f ca="1">IFERROR(__xludf.DUMMYFUNCTION("""COMPUTED_VALUE"""),"No")</f>
        <v>No</v>
      </c>
      <c r="AG1185" s="5" t="str">
        <f ca="1">IFERROR(__xludf.DUMMYFUNCTION("""COMPUTED_VALUE"""),"No")</f>
        <v>No</v>
      </c>
      <c r="AH1185" s="5"/>
    </row>
    <row r="1186" spans="1:34" ht="12.75">
      <c r="A1186" s="5" t="str">
        <f ca="1">IFERROR(__xludf.DUMMYFUNCTION("""COMPUTED_VALUE"""),"20061212PASPS")</f>
        <v>20061212PASPS</v>
      </c>
      <c r="B1186" s="8">
        <f ca="1">IFERROR(__xludf.DUMMYFUNCTION("""COMPUTED_VALUE"""),39063)</f>
        <v>39063</v>
      </c>
      <c r="C1186" s="5" t="str">
        <f ca="1">IFERROR(__xludf.DUMMYFUNCTION("""COMPUTED_VALUE"""),"Springfield Township High School")</f>
        <v>Springfield Township High School</v>
      </c>
      <c r="D1186" s="5">
        <f ca="1">IFERROR(__xludf.DUMMYFUNCTION("""COMPUTED_VALUE"""),0)</f>
        <v>0</v>
      </c>
      <c r="E1186" s="5">
        <f ca="1">IFERROR(__xludf.DUMMYFUNCTION("""COMPUTED_VALUE"""),0)</f>
        <v>0</v>
      </c>
      <c r="F1186" s="5">
        <f ca="1">IFERROR(__xludf.DUMMYFUNCTION("""COMPUTED_VALUE"""),0)</f>
        <v>0</v>
      </c>
      <c r="G1186" s="5">
        <f ca="1">IFERROR(__xludf.DUMMYFUNCTION("""COMPUTED_VALUE"""),1)</f>
        <v>1</v>
      </c>
      <c r="H1186" s="9" t="str">
        <f ca="1">IFERROR(__xludf.DUMMYFUNCTION("""COMPUTED_VALUE"""),"http://www.foxnews.com/story/2006/12/12/teen-commits-suicide-in-hallway-pennsylvania-school.html")</f>
        <v>http://www.foxnews.com/story/2006/12/12/teen-commits-suicide-in-hallway-pennsylvania-school.html</v>
      </c>
      <c r="I1186" s="5"/>
      <c r="J1186" s="5"/>
      <c r="K1186" s="5">
        <f ca="1">IFERROR(__xludf.DUMMYFUNCTION("""COMPUTED_VALUE"""),2)</f>
        <v>2</v>
      </c>
      <c r="L1186" s="5" t="str">
        <f ca="1">IFERROR(__xludf.DUMMYFUNCTION("""COMPUTED_VALUE"""),"Winter")</f>
        <v>Winter</v>
      </c>
      <c r="M1186" s="5" t="str">
        <f ca="1">IFERROR(__xludf.DUMMYFUNCTION("""COMPUTED_VALUE"""),"Springfield Township")</f>
        <v>Springfield Township</v>
      </c>
      <c r="N1186" s="5" t="str">
        <f ca="1">IFERROR(__xludf.DUMMYFUNCTION("""COMPUTED_VALUE"""),"PA")</f>
        <v>PA</v>
      </c>
      <c r="O1186" s="5" t="str">
        <f ca="1">IFERROR(__xludf.DUMMYFUNCTION("""COMPUTED_VALUE"""),"High")</f>
        <v>High</v>
      </c>
      <c r="P1186" s="5" t="str">
        <f ca="1">IFERROR(__xludf.DUMMYFUNCTION("""COMPUTED_VALUE"""),"Hallway")</f>
        <v>Hallway</v>
      </c>
      <c r="Q1186" s="5" t="str">
        <f ca="1">IFERROR(__xludf.DUMMYFUNCTION("""COMPUTED_VALUE"""),"Inside School Building")</f>
        <v>Inside School Building</v>
      </c>
      <c r="R1186" s="5" t="str">
        <f ca="1">IFERROR(__xludf.DUMMYFUNCTION("""COMPUTED_VALUE"""),"Yes")</f>
        <v>Yes</v>
      </c>
      <c r="S1186" s="5" t="str">
        <f ca="1">IFERROR(__xludf.DUMMYFUNCTION("""COMPUTED_VALUE"""),"Morning Classes")</f>
        <v>Morning Classes</v>
      </c>
      <c r="T1186" s="10">
        <f ca="1">IFERROR(__xludf.DUMMYFUNCTION("""COMPUTED_VALUE"""),0.375)</f>
        <v>0.375</v>
      </c>
      <c r="U1186" s="5">
        <f ca="1">IFERROR(__xludf.DUMMYFUNCTION("""COMPUTED_VALUE"""),1)</f>
        <v>1</v>
      </c>
      <c r="V1186" s="5" t="str">
        <f ca="1">IFERROR(__xludf.DUMMYFUNCTION("""COMPUTED_VALUE"""),"Poor grades, shot self when confronted by police")</f>
        <v>Poor grades, shot self when confronted by police</v>
      </c>
      <c r="W1186"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X1186" s="5" t="str">
        <f ca="1">IFERROR(__xludf.DUMMYFUNCTION("""COMPUTED_VALUE"""),"Anger Over Grade/Suspension/Discipline")</f>
        <v>Anger Over Grade/Suspension/Discipline</v>
      </c>
      <c r="Y1186" s="5" t="str">
        <f ca="1">IFERROR(__xludf.DUMMYFUNCTION("""COMPUTED_VALUE"""),"Victims Targeted")</f>
        <v>Victims Targeted</v>
      </c>
      <c r="Z1186" s="5" t="str">
        <f ca="1">IFERROR(__xludf.DUMMYFUNCTION("""COMPUTED_VALUE"""),"No")</f>
        <v>No</v>
      </c>
      <c r="AA1186" s="5"/>
      <c r="AB1186" s="5" t="str">
        <f ca="1">IFERROR(__xludf.DUMMYFUNCTION("""COMPUTED_VALUE"""),"No")</f>
        <v>No</v>
      </c>
      <c r="AC1186" s="5" t="str">
        <f ca="1">IFERROR(__xludf.DUMMYFUNCTION("""COMPUTED_VALUE"""),"No")</f>
        <v>No</v>
      </c>
      <c r="AD1186" s="5" t="str">
        <f ca="1">IFERROR(__xludf.DUMMYFUNCTION("""COMPUTED_VALUE"""),"No")</f>
        <v>No</v>
      </c>
      <c r="AE1186" s="5"/>
      <c r="AF1186" s="5" t="str">
        <f ca="1">IFERROR(__xludf.DUMMYFUNCTION("""COMPUTED_VALUE"""),"No")</f>
        <v>No</v>
      </c>
      <c r="AG1186" s="5" t="str">
        <f ca="1">IFERROR(__xludf.DUMMYFUNCTION("""COMPUTED_VALUE"""),"No")</f>
        <v>No</v>
      </c>
      <c r="AH1186" s="5"/>
    </row>
    <row r="1187" spans="1:34" ht="12.75">
      <c r="A1187" s="5" t="str">
        <f ca="1">IFERROR(__xludf.DUMMYFUNCTION("""COMPUTED_VALUE"""),"20061211ILCLC")</f>
        <v>20061211ILCLC</v>
      </c>
      <c r="B1187" s="8">
        <f ca="1">IFERROR(__xludf.DUMMYFUNCTION("""COMPUTED_VALUE"""),39062)</f>
        <v>39062</v>
      </c>
      <c r="C1187" s="5" t="str">
        <f ca="1">IFERROR(__xludf.DUMMYFUNCTION("""COMPUTED_VALUE"""),"Clemente High School")</f>
        <v>Clemente High School</v>
      </c>
      <c r="D1187" s="5">
        <f ca="1">IFERROR(__xludf.DUMMYFUNCTION("""COMPUTED_VALUE"""),0)</f>
        <v>0</v>
      </c>
      <c r="E1187" s="5">
        <f ca="1">IFERROR(__xludf.DUMMYFUNCTION("""COMPUTED_VALUE"""),1)</f>
        <v>1</v>
      </c>
      <c r="F1187" s="5">
        <f ca="1">IFERROR(__xludf.DUMMYFUNCTION("""COMPUTED_VALUE"""),1)</f>
        <v>1</v>
      </c>
      <c r="G1187" s="5">
        <f ca="1">IFERROR(__xludf.DUMMYFUNCTION("""COMPUTED_VALUE"""),0)</f>
        <v>0</v>
      </c>
      <c r="H1187" s="9" t="str">
        <f ca="1">IFERROR(__xludf.DUMMYFUNCTION("""COMPUTED_VALUE"""),"https://www.newspapers.com/image/232079346/?terms=Northwest%2BHigh%2BSchool%2Bgun%2Bpocket")</f>
        <v>https://www.newspapers.com/image/232079346/?terms=Northwest%2BHigh%2BSchool%2Bgun%2Bpocket</v>
      </c>
      <c r="I1187" s="5"/>
      <c r="J1187" s="5"/>
      <c r="K1187" s="5">
        <f ca="1">IFERROR(__xludf.DUMMYFUNCTION("""COMPUTED_VALUE"""),2)</f>
        <v>2</v>
      </c>
      <c r="L1187" s="5" t="str">
        <f ca="1">IFERROR(__xludf.DUMMYFUNCTION("""COMPUTED_VALUE"""),"Winter")</f>
        <v>Winter</v>
      </c>
      <c r="M1187" s="5" t="str">
        <f ca="1">IFERROR(__xludf.DUMMYFUNCTION("""COMPUTED_VALUE"""),"Chicago")</f>
        <v>Chicago</v>
      </c>
      <c r="N1187" s="5" t="str">
        <f ca="1">IFERROR(__xludf.DUMMYFUNCTION("""COMPUTED_VALUE"""),"IL")</f>
        <v>IL</v>
      </c>
      <c r="O1187" s="5" t="str">
        <f ca="1">IFERROR(__xludf.DUMMYFUNCTION("""COMPUTED_VALUE"""),"High")</f>
        <v>High</v>
      </c>
      <c r="P1187" s="5" t="str">
        <f ca="1">IFERROR(__xludf.DUMMYFUNCTION("""COMPUTED_VALUE"""),"Beside Building")</f>
        <v>Beside Building</v>
      </c>
      <c r="Q1187" s="5" t="str">
        <f ca="1">IFERROR(__xludf.DUMMYFUNCTION("""COMPUTED_VALUE"""),"Outside on School Property")</f>
        <v>Outside on School Property</v>
      </c>
      <c r="R1187" s="5" t="str">
        <f ca="1">IFERROR(__xludf.DUMMYFUNCTION("""COMPUTED_VALUE"""),"Yes")</f>
        <v>Yes</v>
      </c>
      <c r="S1187" s="5" t="str">
        <f ca="1">IFERROR(__xludf.DUMMYFUNCTION("""COMPUTED_VALUE"""),"Dismissal")</f>
        <v>Dismissal</v>
      </c>
      <c r="T1187" s="10">
        <f ca="1">IFERROR(__xludf.DUMMYFUNCTION("""COMPUTED_VALUE"""),0.614583333333333)</f>
        <v>0.61458333333333304</v>
      </c>
      <c r="U1187" s="5">
        <f ca="1">IFERROR(__xludf.DUMMYFUNCTION("""COMPUTED_VALUE"""),1)</f>
        <v>1</v>
      </c>
      <c r="V1187" s="5" t="str">
        <f ca="1">IFERROR(__xludf.DUMMYFUNCTION("""COMPUTED_VALUE"""),"Officer shot trying to break up fight between gang members")</f>
        <v>Officer shot trying to break up fight between gang members</v>
      </c>
      <c r="W1187"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X1187" s="5" t="str">
        <f ca="1">IFERROR(__xludf.DUMMYFUNCTION("""COMPUTED_VALUE"""),"Escalation of Dispute")</f>
        <v>Escalation of Dispute</v>
      </c>
      <c r="Y1187" s="5" t="str">
        <f ca="1">IFERROR(__xludf.DUMMYFUNCTION("""COMPUTED_VALUE"""),"Neither")</f>
        <v>Neither</v>
      </c>
      <c r="Z1187" s="5" t="str">
        <f ca="1">IFERROR(__xludf.DUMMYFUNCTION("""COMPUTED_VALUE"""),"Unknown")</f>
        <v>Unknown</v>
      </c>
      <c r="AA1187" s="5"/>
      <c r="AB1187" s="5" t="str">
        <f ca="1">IFERROR(__xludf.DUMMYFUNCTION("""COMPUTED_VALUE"""),"No")</f>
        <v>No</v>
      </c>
      <c r="AC1187" s="5" t="str">
        <f ca="1">IFERROR(__xludf.DUMMYFUNCTION("""COMPUTED_VALUE"""),"No")</f>
        <v>No</v>
      </c>
      <c r="AD1187" s="5" t="str">
        <f ca="1">IFERROR(__xludf.DUMMYFUNCTION("""COMPUTED_VALUE"""),"No")</f>
        <v>No</v>
      </c>
      <c r="AE1187" s="5" t="str">
        <f ca="1">IFERROR(__xludf.DUMMYFUNCTION("""COMPUTED_VALUE"""),"No")</f>
        <v>No</v>
      </c>
      <c r="AF1187" s="5" t="str">
        <f ca="1">IFERROR(__xludf.DUMMYFUNCTION("""COMPUTED_VALUE"""),"No")</f>
        <v>No</v>
      </c>
      <c r="AG1187" s="5" t="str">
        <f ca="1">IFERROR(__xludf.DUMMYFUNCTION("""COMPUTED_VALUE"""),"Yes")</f>
        <v>Yes</v>
      </c>
      <c r="AH1187" s="5"/>
    </row>
    <row r="1188" spans="1:34" ht="12.75">
      <c r="A1188" s="5" t="str">
        <f ca="1">IFERROR(__xludf.DUMMYFUNCTION("""COMPUTED_VALUE"""),"20061207NENOO")</f>
        <v>20061207NENOO</v>
      </c>
      <c r="B1188" s="8">
        <f ca="1">IFERROR(__xludf.DUMMYFUNCTION("""COMPUTED_VALUE"""),39058)</f>
        <v>39058</v>
      </c>
      <c r="C1188" s="5" t="str">
        <f ca="1">IFERROR(__xludf.DUMMYFUNCTION("""COMPUTED_VALUE"""),"Northwest High School")</f>
        <v>Northwest High School</v>
      </c>
      <c r="D1188" s="5">
        <f ca="1">IFERROR(__xludf.DUMMYFUNCTION("""COMPUTED_VALUE"""),0)</f>
        <v>0</v>
      </c>
      <c r="E1188" s="5">
        <f ca="1">IFERROR(__xludf.DUMMYFUNCTION("""COMPUTED_VALUE"""),1)</f>
        <v>1</v>
      </c>
      <c r="F1188" s="5">
        <f ca="1">IFERROR(__xludf.DUMMYFUNCTION("""COMPUTED_VALUE"""),1)</f>
        <v>1</v>
      </c>
      <c r="G1188" s="5">
        <f ca="1">IFERROR(__xludf.DUMMYFUNCTION("""COMPUTED_VALUE"""),0)</f>
        <v>0</v>
      </c>
      <c r="H1188" s="9" t="str">
        <f ca="1">IFERROR(__xludf.DUMMYFUNCTION("""COMPUTED_VALUE"""),"https://www.columbine-angels.com/School_Violence_2006-2007.htm")</f>
        <v>https://www.columbine-angels.com/School_Violence_2006-2007.htm</v>
      </c>
      <c r="I1188" s="5"/>
      <c r="J1188" s="5"/>
      <c r="K1188" s="5">
        <f ca="1">IFERROR(__xludf.DUMMYFUNCTION("""COMPUTED_VALUE"""),1)</f>
        <v>1</v>
      </c>
      <c r="L1188" s="5" t="str">
        <f ca="1">IFERROR(__xludf.DUMMYFUNCTION("""COMPUTED_VALUE"""),"Winter")</f>
        <v>Winter</v>
      </c>
      <c r="M1188" s="5" t="str">
        <f ca="1">IFERROR(__xludf.DUMMYFUNCTION("""COMPUTED_VALUE"""),"Omaha")</f>
        <v>Omaha</v>
      </c>
      <c r="N1188" s="5" t="str">
        <f ca="1">IFERROR(__xludf.DUMMYFUNCTION("""COMPUTED_VALUE"""),"NE")</f>
        <v>NE</v>
      </c>
      <c r="O1188" s="5" t="str">
        <f ca="1">IFERROR(__xludf.DUMMYFUNCTION("""COMPUTED_VALUE"""),"High")</f>
        <v>High</v>
      </c>
      <c r="P1188" s="5" t="str">
        <f ca="1">IFERROR(__xludf.DUMMYFUNCTION("""COMPUTED_VALUE"""),"Classroom")</f>
        <v>Classroom</v>
      </c>
      <c r="Q1188" s="5" t="str">
        <f ca="1">IFERROR(__xludf.DUMMYFUNCTION("""COMPUTED_VALUE"""),"Inside School Building")</f>
        <v>Inside School Building</v>
      </c>
      <c r="R1188" s="5" t="str">
        <f ca="1">IFERROR(__xludf.DUMMYFUNCTION("""COMPUTED_VALUE"""),"Yes")</f>
        <v>Yes</v>
      </c>
      <c r="S1188" s="5"/>
      <c r="T1188" s="5"/>
      <c r="U1188" s="5">
        <f ca="1">IFERROR(__xludf.DUMMYFUNCTION("""COMPUTED_VALUE"""),1)</f>
        <v>1</v>
      </c>
      <c r="V1188" s="5" t="str">
        <f ca="1">IFERROR(__xludf.DUMMYFUNCTION("""COMPUTED_VALUE"""),"Playing with gun in pocket in classroom")</f>
        <v>Playing with gun in pocket in classroom</v>
      </c>
      <c r="W1188"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X1188" s="5" t="str">
        <f ca="1">IFERROR(__xludf.DUMMYFUNCTION("""COMPUTED_VALUE"""),"Accidental")</f>
        <v>Accidental</v>
      </c>
      <c r="Y1188" s="5" t="str">
        <f ca="1">IFERROR(__xludf.DUMMYFUNCTION("""COMPUTED_VALUE"""),"Random Shooting")</f>
        <v>Random Shooting</v>
      </c>
      <c r="Z1188" s="5" t="str">
        <f ca="1">IFERROR(__xludf.DUMMYFUNCTION("""COMPUTED_VALUE"""),"No")</f>
        <v>No</v>
      </c>
      <c r="AA1188" s="5"/>
      <c r="AB1188" s="5" t="str">
        <f ca="1">IFERROR(__xludf.DUMMYFUNCTION("""COMPUTED_VALUE"""),"No")</f>
        <v>No</v>
      </c>
      <c r="AC1188" s="5" t="str">
        <f ca="1">IFERROR(__xludf.DUMMYFUNCTION("""COMPUTED_VALUE"""),"No")</f>
        <v>No</v>
      </c>
      <c r="AD1188" s="5" t="str">
        <f ca="1">IFERROR(__xludf.DUMMYFUNCTION("""COMPUTED_VALUE"""),"No")</f>
        <v>No</v>
      </c>
      <c r="AE1188" s="5" t="str">
        <f ca="1">IFERROR(__xludf.DUMMYFUNCTION("""COMPUTED_VALUE"""),"No")</f>
        <v>No</v>
      </c>
      <c r="AF1188" s="5" t="str">
        <f ca="1">IFERROR(__xludf.DUMMYFUNCTION("""COMPUTED_VALUE"""),"No")</f>
        <v>No</v>
      </c>
      <c r="AG1188" s="5" t="str">
        <f ca="1">IFERROR(__xludf.DUMMYFUNCTION("""COMPUTED_VALUE"""),"No")</f>
        <v>No</v>
      </c>
      <c r="AH1188" s="5"/>
    </row>
    <row r="1189" spans="1:34" ht="12.75">
      <c r="A1189" s="5" t="str">
        <f ca="1">IFERROR(__xludf.DUMMYFUNCTION("""COMPUTED_VALUE"""),"20061201NCJOT")</f>
        <v>20061201NCJOT</v>
      </c>
      <c r="B1189" s="8">
        <f ca="1">IFERROR(__xludf.DUMMYFUNCTION("""COMPUTED_VALUE"""),39052)</f>
        <v>39052</v>
      </c>
      <c r="C1189" s="5" t="str">
        <f ca="1">IFERROR(__xludf.DUMMYFUNCTION("""COMPUTED_VALUE"""),"Jones Senior High School")</f>
        <v>Jones Senior High School</v>
      </c>
      <c r="D1189" s="5">
        <f ca="1">IFERROR(__xludf.DUMMYFUNCTION("""COMPUTED_VALUE"""),1)</f>
        <v>1</v>
      </c>
      <c r="E1189" s="5">
        <f ca="1">IFERROR(__xludf.DUMMYFUNCTION("""COMPUTED_VALUE"""),0)</f>
        <v>0</v>
      </c>
      <c r="F1189" s="5">
        <f ca="1">IFERROR(__xludf.DUMMYFUNCTION("""COMPUTED_VALUE"""),1)</f>
        <v>1</v>
      </c>
      <c r="G1189" s="5">
        <f ca="1">IFERROR(__xludf.DUMMYFUNCTION("""COMPUTED_VALUE"""),0)</f>
        <v>0</v>
      </c>
      <c r="H1189" s="9" t="str">
        <f ca="1">IFERROR(__xludf.DUMMYFUNCTION("""COMPUTED_VALUE"""),"http://www.witn.com/home/headlines/35382409.html")</f>
        <v>http://www.witn.com/home/headlines/35382409.html</v>
      </c>
      <c r="I1189" s="5"/>
      <c r="J1189" s="5"/>
      <c r="K1189" s="5">
        <f ca="1">IFERROR(__xludf.DUMMYFUNCTION("""COMPUTED_VALUE"""),2)</f>
        <v>2</v>
      </c>
      <c r="L1189" s="5" t="str">
        <f ca="1">IFERROR(__xludf.DUMMYFUNCTION("""COMPUTED_VALUE"""),"Winter")</f>
        <v>Winter</v>
      </c>
      <c r="M1189" s="5" t="str">
        <f ca="1">IFERROR(__xludf.DUMMYFUNCTION("""COMPUTED_VALUE"""),"Trenton")</f>
        <v>Trenton</v>
      </c>
      <c r="N1189" s="5" t="str">
        <f ca="1">IFERROR(__xludf.DUMMYFUNCTION("""COMPUTED_VALUE"""),"NC")</f>
        <v>NC</v>
      </c>
      <c r="O1189" s="5" t="str">
        <f ca="1">IFERROR(__xludf.DUMMYFUNCTION("""COMPUTED_VALUE"""),"High")</f>
        <v>High</v>
      </c>
      <c r="P1189" s="5" t="str">
        <f ca="1">IFERROR(__xludf.DUMMYFUNCTION("""COMPUTED_VALUE"""),"Basketball Court")</f>
        <v>Basketball Court</v>
      </c>
      <c r="Q1189" s="5" t="str">
        <f ca="1">IFERROR(__xludf.DUMMYFUNCTION("""COMPUTED_VALUE"""),"Outside on School Property")</f>
        <v>Outside on School Property</v>
      </c>
      <c r="R1189" s="5" t="str">
        <f ca="1">IFERROR(__xludf.DUMMYFUNCTION("""COMPUTED_VALUE"""),"No")</f>
        <v>No</v>
      </c>
      <c r="S1189" s="5" t="str">
        <f ca="1">IFERROR(__xludf.DUMMYFUNCTION("""COMPUTED_VALUE"""),"Evening")</f>
        <v>Evening</v>
      </c>
      <c r="T1189" s="10">
        <f ca="1">IFERROR(__xludf.DUMMYFUNCTION("""COMPUTED_VALUE"""),0.930555555555555)</f>
        <v>0.93055555555555503</v>
      </c>
      <c r="U1189" s="5">
        <f ca="1">IFERROR(__xludf.DUMMYFUNCTION("""COMPUTED_VALUE"""),1)</f>
        <v>1</v>
      </c>
      <c r="V1189" s="5" t="str">
        <f ca="1">IFERROR(__xludf.DUMMYFUNCTION("""COMPUTED_VALUE"""),"Shot rival gang member in parking lot after basketball game")</f>
        <v>Shot rival gang member in parking lot after basketball game</v>
      </c>
      <c r="W1189"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X1189" s="5" t="str">
        <f ca="1">IFERROR(__xludf.DUMMYFUNCTION("""COMPUTED_VALUE"""),"Escalation of Dispute")</f>
        <v>Escalation of Dispute</v>
      </c>
      <c r="Y1189" s="5" t="str">
        <f ca="1">IFERROR(__xludf.DUMMYFUNCTION("""COMPUTED_VALUE"""),"Victims Targeted")</f>
        <v>Victims Targeted</v>
      </c>
      <c r="Z1189" s="5" t="str">
        <f ca="1">IFERROR(__xludf.DUMMYFUNCTION("""COMPUTED_VALUE"""),"No")</f>
        <v>No</v>
      </c>
      <c r="AA1189" s="5"/>
      <c r="AB1189" s="5" t="str">
        <f ca="1">IFERROR(__xludf.DUMMYFUNCTION("""COMPUTED_VALUE"""),"No")</f>
        <v>No</v>
      </c>
      <c r="AC1189" s="5" t="str">
        <f ca="1">IFERROR(__xludf.DUMMYFUNCTION("""COMPUTED_VALUE"""),"No")</f>
        <v>No</v>
      </c>
      <c r="AD1189" s="5" t="str">
        <f ca="1">IFERROR(__xludf.DUMMYFUNCTION("""COMPUTED_VALUE"""),"No")</f>
        <v>No</v>
      </c>
      <c r="AE1189" s="5" t="str">
        <f ca="1">IFERROR(__xludf.DUMMYFUNCTION("""COMPUTED_VALUE"""),"No")</f>
        <v>No</v>
      </c>
      <c r="AF1189" s="5" t="str">
        <f ca="1">IFERROR(__xludf.DUMMYFUNCTION("""COMPUTED_VALUE"""),"No")</f>
        <v>No</v>
      </c>
      <c r="AG1189" s="5" t="str">
        <f ca="1">IFERROR(__xludf.DUMMYFUNCTION("""COMPUTED_VALUE"""),"Yes")</f>
        <v>Yes</v>
      </c>
      <c r="AH1189" s="5"/>
    </row>
    <row r="1190" spans="1:34" ht="12.75">
      <c r="A1190" s="5" t="str">
        <f ca="1">IFERROR(__xludf.DUMMYFUNCTION("""COMPUTED_VALUE"""),"20061122GASAA")</f>
        <v>20061122GASAA</v>
      </c>
      <c r="B1190" s="8">
        <f ca="1">IFERROR(__xludf.DUMMYFUNCTION("""COMPUTED_VALUE"""),39043)</f>
        <v>39043</v>
      </c>
      <c r="C1190" s="5" t="str">
        <f ca="1">IFERROR(__xludf.DUMMYFUNCTION("""COMPUTED_VALUE"""),"Sammye E. Coan Middle School")</f>
        <v>Sammye E. Coan Middle School</v>
      </c>
      <c r="D1190" s="5">
        <f ca="1">IFERROR(__xludf.DUMMYFUNCTION("""COMPUTED_VALUE"""),1)</f>
        <v>1</v>
      </c>
      <c r="E1190" s="5">
        <f ca="1">IFERROR(__xludf.DUMMYFUNCTION("""COMPUTED_VALUE"""),0)</f>
        <v>0</v>
      </c>
      <c r="F1190" s="5">
        <f ca="1">IFERROR(__xludf.DUMMYFUNCTION("""COMPUTED_VALUE"""),1)</f>
        <v>1</v>
      </c>
      <c r="G1190" s="5">
        <f ca="1">IFERROR(__xludf.DUMMYFUNCTION("""COMPUTED_VALUE"""),0)</f>
        <v>0</v>
      </c>
      <c r="H1190" s="9" t="str">
        <f ca="1">IFERROR(__xludf.DUMMYFUNCTION("""COMPUTED_VALUE"""),"https://www.newspapers.com/image/422972655/?terms=Atlanta%2BMiddle%2BSchool%2BRicardo%2BAlexander")</f>
        <v>https://www.newspapers.com/image/422972655/?terms=Atlanta%2BMiddle%2BSchool%2BRicardo%2BAlexander</v>
      </c>
      <c r="I1190" s="5"/>
      <c r="J1190" s="5"/>
      <c r="K1190" s="5">
        <f ca="1">IFERROR(__xludf.DUMMYFUNCTION("""COMPUTED_VALUE"""),2)</f>
        <v>2</v>
      </c>
      <c r="L1190" s="5" t="str">
        <f ca="1">IFERROR(__xludf.DUMMYFUNCTION("""COMPUTED_VALUE"""),"Fall")</f>
        <v>Fall</v>
      </c>
      <c r="M1190" s="5" t="str">
        <f ca="1">IFERROR(__xludf.DUMMYFUNCTION("""COMPUTED_VALUE"""),"Atlanta")</f>
        <v>Atlanta</v>
      </c>
      <c r="N1190" s="5" t="str">
        <f ca="1">IFERROR(__xludf.DUMMYFUNCTION("""COMPUTED_VALUE"""),"GA")</f>
        <v>GA</v>
      </c>
      <c r="O1190" s="5" t="str">
        <f ca="1">IFERROR(__xludf.DUMMYFUNCTION("""COMPUTED_VALUE"""),"Middle")</f>
        <v>Middle</v>
      </c>
      <c r="P1190" s="5" t="str">
        <f ca="1">IFERROR(__xludf.DUMMYFUNCTION("""COMPUTED_VALUE"""),"Front of School")</f>
        <v>Front of School</v>
      </c>
      <c r="Q1190" s="5" t="str">
        <f ca="1">IFERROR(__xludf.DUMMYFUNCTION("""COMPUTED_VALUE"""),"Outside on School Property")</f>
        <v>Outside on School Property</v>
      </c>
      <c r="R1190" s="5" t="str">
        <f ca="1">IFERROR(__xludf.DUMMYFUNCTION("""COMPUTED_VALUE"""),"No")</f>
        <v>No</v>
      </c>
      <c r="S1190" s="5" t="str">
        <f ca="1">IFERROR(__xludf.DUMMYFUNCTION("""COMPUTED_VALUE"""),"Evening")</f>
        <v>Evening</v>
      </c>
      <c r="T1190" s="10">
        <f ca="1">IFERROR(__xludf.DUMMYFUNCTION("""COMPUTED_VALUE"""),0.736111111111111)</f>
        <v>0.73611111111111105</v>
      </c>
      <c r="U1190" s="5">
        <f ca="1">IFERROR(__xludf.DUMMYFUNCTION("""COMPUTED_VALUE"""),1)</f>
        <v>1</v>
      </c>
      <c r="V1190" s="5" t="str">
        <f ca="1">IFERROR(__xludf.DUMMYFUNCTION("""COMPUTED_VALUE"""),"Shooter got out of car, shot victim in chest, and fled scene")</f>
        <v>Shooter got out of car, shot victim in chest, and fled scene</v>
      </c>
      <c r="W1190"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X1190" s="5" t="str">
        <f ca="1">IFERROR(__xludf.DUMMYFUNCTION("""COMPUTED_VALUE"""),"Drive-by Shooting")</f>
        <v>Drive-by Shooting</v>
      </c>
      <c r="Y1190" s="5" t="str">
        <f ca="1">IFERROR(__xludf.DUMMYFUNCTION("""COMPUTED_VALUE"""),"Victims Targeted")</f>
        <v>Victims Targeted</v>
      </c>
      <c r="Z1190" s="5" t="str">
        <f ca="1">IFERROR(__xludf.DUMMYFUNCTION("""COMPUTED_VALUE"""),"Unknown")</f>
        <v>Unknown</v>
      </c>
      <c r="AA1190" s="5"/>
      <c r="AB1190" s="5" t="str">
        <f ca="1">IFERROR(__xludf.DUMMYFUNCTION("""COMPUTED_VALUE"""),"No")</f>
        <v>No</v>
      </c>
      <c r="AC1190" s="5" t="str">
        <f ca="1">IFERROR(__xludf.DUMMYFUNCTION("""COMPUTED_VALUE"""),"No")</f>
        <v>No</v>
      </c>
      <c r="AD1190" s="5" t="str">
        <f ca="1">IFERROR(__xludf.DUMMYFUNCTION("""COMPUTED_VALUE"""),"No")</f>
        <v>No</v>
      </c>
      <c r="AE1190" s="5" t="str">
        <f ca="1">IFERROR(__xludf.DUMMYFUNCTION("""COMPUTED_VALUE"""),"No")</f>
        <v>No</v>
      </c>
      <c r="AF1190" s="5" t="str">
        <f ca="1">IFERROR(__xludf.DUMMYFUNCTION("""COMPUTED_VALUE"""),"No")</f>
        <v>No</v>
      </c>
      <c r="AG1190" s="5"/>
      <c r="AH1190" s="5"/>
    </row>
    <row r="1191" spans="1:34" ht="12.75">
      <c r="A1191" s="5" t="str">
        <f ca="1">IFERROR(__xludf.DUMMYFUNCTION("""COMPUTED_VALUE"""),"20061111CALIO")</f>
        <v>20061111CALIO</v>
      </c>
      <c r="B1191" s="8">
        <f ca="1">IFERROR(__xludf.DUMMYFUNCTION("""COMPUTED_VALUE"""),39032)</f>
        <v>39032</v>
      </c>
      <c r="C1191" s="5" t="str">
        <f ca="1">IFERROR(__xludf.DUMMYFUNCTION("""COMPUTED_VALUE"""),"Lionel Wilson College Prep School")</f>
        <v>Lionel Wilson College Prep School</v>
      </c>
      <c r="D1191" s="5">
        <f ca="1">IFERROR(__xludf.DUMMYFUNCTION("""COMPUTED_VALUE"""),1)</f>
        <v>1</v>
      </c>
      <c r="E1191" s="5">
        <f ca="1">IFERROR(__xludf.DUMMYFUNCTION("""COMPUTED_VALUE"""),1)</f>
        <v>1</v>
      </c>
      <c r="F1191" s="5">
        <f ca="1">IFERROR(__xludf.DUMMYFUNCTION("""COMPUTED_VALUE"""),2)</f>
        <v>2</v>
      </c>
      <c r="G1191" s="5">
        <f ca="1">IFERROR(__xludf.DUMMYFUNCTION("""COMPUTED_VALUE"""),0)</f>
        <v>0</v>
      </c>
      <c r="H1191" s="9" t="str">
        <f ca="1">IFERROR(__xludf.DUMMYFUNCTION("""COMPUTED_VALUE"""),"https://www.eastbaytimes.com/2006/11/13/man-killed-at-oakland-school-party/")</f>
        <v>https://www.eastbaytimes.com/2006/11/13/man-killed-at-oakland-school-party/</v>
      </c>
      <c r="I1191" s="5"/>
      <c r="J1191" s="5"/>
      <c r="K1191" s="5">
        <f ca="1">IFERROR(__xludf.DUMMYFUNCTION("""COMPUTED_VALUE"""),3)</f>
        <v>3</v>
      </c>
      <c r="L1191" s="5" t="str">
        <f ca="1">IFERROR(__xludf.DUMMYFUNCTION("""COMPUTED_VALUE"""),"Fall")</f>
        <v>Fall</v>
      </c>
      <c r="M1191" s="5" t="str">
        <f ca="1">IFERROR(__xludf.DUMMYFUNCTION("""COMPUTED_VALUE"""),"Oakland")</f>
        <v>Oakland</v>
      </c>
      <c r="N1191" s="5" t="str">
        <f ca="1">IFERROR(__xludf.DUMMYFUNCTION("""COMPUTED_VALUE"""),"CA")</f>
        <v>CA</v>
      </c>
      <c r="O1191" s="5" t="str">
        <f ca="1">IFERROR(__xludf.DUMMYFUNCTION("""COMPUTED_VALUE"""),"High")</f>
        <v>High</v>
      </c>
      <c r="P1191" s="5" t="str">
        <f ca="1">IFERROR(__xludf.DUMMYFUNCTION("""COMPUTED_VALUE"""),"Gym")</f>
        <v>Gym</v>
      </c>
      <c r="Q1191" s="5" t="str">
        <f ca="1">IFERROR(__xludf.DUMMYFUNCTION("""COMPUTED_VALUE"""),"Inside School Building")</f>
        <v>Inside School Building</v>
      </c>
      <c r="R1191" s="5" t="str">
        <f ca="1">IFERROR(__xludf.DUMMYFUNCTION("""COMPUTED_VALUE"""),"No")</f>
        <v>No</v>
      </c>
      <c r="S1191" s="5" t="str">
        <f ca="1">IFERROR(__xludf.DUMMYFUNCTION("""COMPUTED_VALUE"""),"Night")</f>
        <v>Night</v>
      </c>
      <c r="T1191" s="10">
        <f ca="1">IFERROR(__xludf.DUMMYFUNCTION("""COMPUTED_VALUE"""),0.958333333333333)</f>
        <v>0.95833333333333304</v>
      </c>
      <c r="U1191" s="5">
        <f ca="1">IFERROR(__xludf.DUMMYFUNCTION("""COMPUTED_VALUE"""),1)</f>
        <v>1</v>
      </c>
      <c r="V1191" s="5" t="str">
        <f ca="1">IFERROR(__xludf.DUMMYFUNCTION("""COMPUTED_VALUE"""),"Targeted shooting during birthday party, shooter and victim had grudge")</f>
        <v>Targeted shooting during birthday party, shooter and victim had grudge</v>
      </c>
      <c r="W1191"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X1191" s="5" t="str">
        <f ca="1">IFERROR(__xludf.DUMMYFUNCTION("""COMPUTED_VALUE"""),"Escalation of Dispute")</f>
        <v>Escalation of Dispute</v>
      </c>
      <c r="Y1191" s="5" t="str">
        <f ca="1">IFERROR(__xludf.DUMMYFUNCTION("""COMPUTED_VALUE"""),"Both")</f>
        <v>Both</v>
      </c>
      <c r="Z1191" s="5" t="str">
        <f ca="1">IFERROR(__xludf.DUMMYFUNCTION("""COMPUTED_VALUE"""),"No")</f>
        <v>No</v>
      </c>
      <c r="AA1191" s="5"/>
      <c r="AB1191" s="5" t="str">
        <f ca="1">IFERROR(__xludf.DUMMYFUNCTION("""COMPUTED_VALUE"""),"No")</f>
        <v>No</v>
      </c>
      <c r="AC1191" s="5" t="str">
        <f ca="1">IFERROR(__xludf.DUMMYFUNCTION("""COMPUTED_VALUE"""),"No")</f>
        <v>No</v>
      </c>
      <c r="AD1191" s="5" t="str">
        <f ca="1">IFERROR(__xludf.DUMMYFUNCTION("""COMPUTED_VALUE"""),"No")</f>
        <v>No</v>
      </c>
      <c r="AE1191" s="5" t="str">
        <f ca="1">IFERROR(__xludf.DUMMYFUNCTION("""COMPUTED_VALUE"""),"No")</f>
        <v>No</v>
      </c>
      <c r="AF1191" s="5" t="str">
        <f ca="1">IFERROR(__xludf.DUMMYFUNCTION("""COMPUTED_VALUE"""),"No")</f>
        <v>No</v>
      </c>
      <c r="AG1191" s="5" t="str">
        <f ca="1">IFERROR(__xludf.DUMMYFUNCTION("""COMPUTED_VALUE"""),"No")</f>
        <v>No</v>
      </c>
      <c r="AH1191" s="5"/>
    </row>
    <row r="1192" spans="1:34" ht="12.75">
      <c r="A1192" s="5" t="str">
        <f ca="1">IFERROR(__xludf.DUMMYFUNCTION("""COMPUTED_VALUE"""),"20061031TNHAK")</f>
        <v>20061031TNHAK</v>
      </c>
      <c r="B1192" s="8">
        <f ca="1">IFERROR(__xludf.DUMMYFUNCTION("""COMPUTED_VALUE"""),39021)</f>
        <v>39021</v>
      </c>
      <c r="C1192" s="5" t="str">
        <f ca="1">IFERROR(__xludf.DUMMYFUNCTION("""COMPUTED_VALUE"""),"Halls High School")</f>
        <v>Halls High School</v>
      </c>
      <c r="D1192" s="5">
        <f ca="1">IFERROR(__xludf.DUMMYFUNCTION("""COMPUTED_VALUE"""),1)</f>
        <v>1</v>
      </c>
      <c r="E1192" s="5">
        <f ca="1">IFERROR(__xludf.DUMMYFUNCTION("""COMPUTED_VALUE"""),0)</f>
        <v>0</v>
      </c>
      <c r="F1192" s="5">
        <f ca="1">IFERROR(__xludf.DUMMYFUNCTION("""COMPUTED_VALUE"""),1)</f>
        <v>1</v>
      </c>
      <c r="G1192" s="5">
        <f ca="1">IFERROR(__xludf.DUMMYFUNCTION("""COMPUTED_VALUE"""),0)</f>
        <v>0</v>
      </c>
      <c r="H1192" s="9" t="str">
        <f ca="1">IFERROR(__xludf.DUMMYFUNCTION("""COMPUTED_VALUE"""),"http://www.wvlt.tv/home/headlines/4542511.html")</f>
        <v>http://www.wvlt.tv/home/headlines/4542511.html</v>
      </c>
      <c r="I1192" s="5"/>
      <c r="J1192" s="5"/>
      <c r="K1192" s="5">
        <f ca="1">IFERROR(__xludf.DUMMYFUNCTION("""COMPUTED_VALUE"""),2)</f>
        <v>2</v>
      </c>
      <c r="L1192" s="5" t="str">
        <f ca="1">IFERROR(__xludf.DUMMYFUNCTION("""COMPUTED_VALUE"""),"Fall")</f>
        <v>Fall</v>
      </c>
      <c r="M1192" s="5" t="str">
        <f ca="1">IFERROR(__xludf.DUMMYFUNCTION("""COMPUTED_VALUE"""),"Knoxville")</f>
        <v>Knoxville</v>
      </c>
      <c r="N1192" s="5" t="str">
        <f ca="1">IFERROR(__xludf.DUMMYFUNCTION("""COMPUTED_VALUE"""),"TN")</f>
        <v>TN</v>
      </c>
      <c r="O1192" s="5" t="str">
        <f ca="1">IFERROR(__xludf.DUMMYFUNCTION("""COMPUTED_VALUE"""),"High")</f>
        <v>High</v>
      </c>
      <c r="P1192" s="5" t="str">
        <f ca="1">IFERROR(__xludf.DUMMYFUNCTION("""COMPUTED_VALUE"""),"Parking Lot")</f>
        <v>Parking Lot</v>
      </c>
      <c r="Q1192" s="5" t="str">
        <f ca="1">IFERROR(__xludf.DUMMYFUNCTION("""COMPUTED_VALUE"""),"Outside on School Property")</f>
        <v>Outside on School Property</v>
      </c>
      <c r="R1192" s="5" t="str">
        <f ca="1">IFERROR(__xludf.DUMMYFUNCTION("""COMPUTED_VALUE"""),"No")</f>
        <v>No</v>
      </c>
      <c r="S1192" s="5" t="str">
        <f ca="1">IFERROR(__xludf.DUMMYFUNCTION("""COMPUTED_VALUE"""),"Evening")</f>
        <v>Evening</v>
      </c>
      <c r="T1192" s="10">
        <f ca="1">IFERROR(__xludf.DUMMYFUNCTION("""COMPUTED_VALUE"""),0.9375)</f>
        <v>0.9375</v>
      </c>
      <c r="U1192" s="5">
        <f ca="1">IFERROR(__xludf.DUMMYFUNCTION("""COMPUTED_VALUE"""),1)</f>
        <v>1</v>
      </c>
      <c r="V1192"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W1192"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X1192" s="5" t="str">
        <f ca="1">IFERROR(__xludf.DUMMYFUNCTION("""COMPUTED_VALUE"""),"Illegal Activity")</f>
        <v>Illegal Activity</v>
      </c>
      <c r="Y1192" s="5" t="str">
        <f ca="1">IFERROR(__xludf.DUMMYFUNCTION("""COMPUTED_VALUE"""),"Victims Targeted")</f>
        <v>Victims Targeted</v>
      </c>
      <c r="Z1192" s="5" t="str">
        <f ca="1">IFERROR(__xludf.DUMMYFUNCTION("""COMPUTED_VALUE"""),"No")</f>
        <v>No</v>
      </c>
      <c r="AA1192" s="5"/>
      <c r="AB1192" s="5" t="str">
        <f ca="1">IFERROR(__xludf.DUMMYFUNCTION("""COMPUTED_VALUE"""),"No")</f>
        <v>No</v>
      </c>
      <c r="AC1192" s="5" t="str">
        <f ca="1">IFERROR(__xludf.DUMMYFUNCTION("""COMPUTED_VALUE"""),"No")</f>
        <v>No</v>
      </c>
      <c r="AD1192" s="5" t="str">
        <f ca="1">IFERROR(__xludf.DUMMYFUNCTION("""COMPUTED_VALUE"""),"No")</f>
        <v>No</v>
      </c>
      <c r="AE1192" s="5" t="str">
        <f ca="1">IFERROR(__xludf.DUMMYFUNCTION("""COMPUTED_VALUE"""),"No")</f>
        <v>No</v>
      </c>
      <c r="AF1192" s="5" t="str">
        <f ca="1">IFERROR(__xludf.DUMMYFUNCTION("""COMPUTED_VALUE"""),"No")</f>
        <v>No</v>
      </c>
      <c r="AG1192" s="5" t="str">
        <f ca="1">IFERROR(__xludf.DUMMYFUNCTION("""COMPUTED_VALUE"""),"No")</f>
        <v>No</v>
      </c>
      <c r="AH1192" s="5"/>
    </row>
    <row r="1193" spans="1:34" ht="12.75">
      <c r="A1193" s="5" t="str">
        <f ca="1">IFERROR(__xludf.DUMMYFUNCTION("""COMPUTED_VALUE"""),"20061017TXSEK")</f>
        <v>20061017TXSEK</v>
      </c>
      <c r="B1193" s="8">
        <f ca="1">IFERROR(__xludf.DUMMYFUNCTION("""COMPUTED_VALUE"""),39007)</f>
        <v>39007</v>
      </c>
      <c r="C1193" s="5" t="str">
        <f ca="1">IFERROR(__xludf.DUMMYFUNCTION("""COMPUTED_VALUE"""),"Seven Lakes High School")</f>
        <v>Seven Lakes High School</v>
      </c>
      <c r="D1193" s="5">
        <f ca="1">IFERROR(__xludf.DUMMYFUNCTION("""COMPUTED_VALUE"""),0)</f>
        <v>0</v>
      </c>
      <c r="E1193" s="5">
        <f ca="1">IFERROR(__xludf.DUMMYFUNCTION("""COMPUTED_VALUE"""),0)</f>
        <v>0</v>
      </c>
      <c r="F1193" s="5">
        <f ca="1">IFERROR(__xludf.DUMMYFUNCTION("""COMPUTED_VALUE"""),0)</f>
        <v>0</v>
      </c>
      <c r="G1193" s="5">
        <f ca="1">IFERROR(__xludf.DUMMYFUNCTION("""COMPUTED_VALUE"""),1)</f>
        <v>1</v>
      </c>
      <c r="H1193" s="9" t="str">
        <f ca="1">IFERROR(__xludf.DUMMYFUNCTION("""COMPUTED_VALUE"""),"https://www.chron.com/news/houston-texas/article/Katy-student-shoots-himself-at-high-school-1862524.php")</f>
        <v>https://www.chron.com/news/houston-texas/article/Katy-student-shoots-himself-at-high-school-1862524.php</v>
      </c>
      <c r="I1193" s="5"/>
      <c r="J1193" s="5"/>
      <c r="K1193" s="5">
        <f ca="1">IFERROR(__xludf.DUMMYFUNCTION("""COMPUTED_VALUE"""),2)</f>
        <v>2</v>
      </c>
      <c r="L1193" s="5" t="str">
        <f ca="1">IFERROR(__xludf.DUMMYFUNCTION("""COMPUTED_VALUE"""),"Fall")</f>
        <v>Fall</v>
      </c>
      <c r="M1193" s="5" t="str">
        <f ca="1">IFERROR(__xludf.DUMMYFUNCTION("""COMPUTED_VALUE"""),"Katy")</f>
        <v>Katy</v>
      </c>
      <c r="N1193" s="5" t="str">
        <f ca="1">IFERROR(__xludf.DUMMYFUNCTION("""COMPUTED_VALUE"""),"TX")</f>
        <v>TX</v>
      </c>
      <c r="O1193" s="5" t="str">
        <f ca="1">IFERROR(__xludf.DUMMYFUNCTION("""COMPUTED_VALUE"""),"High")</f>
        <v>High</v>
      </c>
      <c r="P1193" s="5" t="str">
        <f ca="1">IFERROR(__xludf.DUMMYFUNCTION("""COMPUTED_VALUE"""),"Beside Building")</f>
        <v>Beside Building</v>
      </c>
      <c r="Q1193" s="5" t="str">
        <f ca="1">IFERROR(__xludf.DUMMYFUNCTION("""COMPUTED_VALUE"""),"Outside on School Property")</f>
        <v>Outside on School Property</v>
      </c>
      <c r="R1193" s="5" t="str">
        <f ca="1">IFERROR(__xludf.DUMMYFUNCTION("""COMPUTED_VALUE"""),"Yes")</f>
        <v>Yes</v>
      </c>
      <c r="S1193" s="5" t="str">
        <f ca="1">IFERROR(__xludf.DUMMYFUNCTION("""COMPUTED_VALUE"""),"Lunch")</f>
        <v>Lunch</v>
      </c>
      <c r="T1193" s="10">
        <f ca="1">IFERROR(__xludf.DUMMYFUNCTION("""COMPUTED_VALUE"""),0.496527777777777)</f>
        <v>0.49652777777777701</v>
      </c>
      <c r="U1193" s="5">
        <f ca="1">IFERROR(__xludf.DUMMYFUNCTION("""COMPUTED_VALUE"""),1)</f>
        <v>1</v>
      </c>
      <c r="V1193" s="5" t="str">
        <f ca="1">IFERROR(__xludf.DUMMYFUNCTION("""COMPUTED_VALUE"""),"Student shot herself outside of school, school officials report it was an accident")</f>
        <v>Student shot herself outside of school, school officials report it was an accident</v>
      </c>
      <c r="W1193"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X1193" s="5" t="str">
        <f ca="1">IFERROR(__xludf.DUMMYFUNCTION("""COMPUTED_VALUE"""),"Accidental")</f>
        <v>Accidental</v>
      </c>
      <c r="Y1193" s="5" t="str">
        <f ca="1">IFERROR(__xludf.DUMMYFUNCTION("""COMPUTED_VALUE"""),"Random Shooting")</f>
        <v>Random Shooting</v>
      </c>
      <c r="Z1193" s="5" t="str">
        <f ca="1">IFERROR(__xludf.DUMMYFUNCTION("""COMPUTED_VALUE"""),"No")</f>
        <v>No</v>
      </c>
      <c r="AA1193" s="5"/>
      <c r="AB1193" s="5" t="str">
        <f ca="1">IFERROR(__xludf.DUMMYFUNCTION("""COMPUTED_VALUE"""),"No")</f>
        <v>No</v>
      </c>
      <c r="AC1193" s="5" t="str">
        <f ca="1">IFERROR(__xludf.DUMMYFUNCTION("""COMPUTED_VALUE"""),"No")</f>
        <v>No</v>
      </c>
      <c r="AD1193" s="5" t="str">
        <f ca="1">IFERROR(__xludf.DUMMYFUNCTION("""COMPUTED_VALUE"""),"No")</f>
        <v>No</v>
      </c>
      <c r="AE1193" s="5"/>
      <c r="AF1193" s="5"/>
      <c r="AG1193" s="5" t="str">
        <f ca="1">IFERROR(__xludf.DUMMYFUNCTION("""COMPUTED_VALUE"""),"No")</f>
        <v>No</v>
      </c>
      <c r="AH1193" s="5"/>
    </row>
    <row r="1194" spans="1:34" ht="12.75">
      <c r="A1194" s="5" t="str">
        <f ca="1">IFERROR(__xludf.DUMMYFUNCTION("""COMPUTED_VALUE"""),"20061012MDGRB")</f>
        <v>20061012MDGRB</v>
      </c>
      <c r="B1194" s="8">
        <f ca="1">IFERROR(__xludf.DUMMYFUNCTION("""COMPUTED_VALUE"""),39002)</f>
        <v>39002</v>
      </c>
      <c r="C1194" s="5" t="str">
        <f ca="1">IFERROR(__xludf.DUMMYFUNCTION("""COMPUTED_VALUE"""),"Grove Park Elementary School")</f>
        <v>Grove Park Elementary School</v>
      </c>
      <c r="D1194" s="5">
        <f ca="1">IFERROR(__xludf.DUMMYFUNCTION("""COMPUTED_VALUE"""),0)</f>
        <v>0</v>
      </c>
      <c r="E1194" s="5">
        <f ca="1">IFERROR(__xludf.DUMMYFUNCTION("""COMPUTED_VALUE"""),0)</f>
        <v>0</v>
      </c>
      <c r="F1194" s="5">
        <f ca="1">IFERROR(__xludf.DUMMYFUNCTION("""COMPUTED_VALUE"""),0)</f>
        <v>0</v>
      </c>
      <c r="G1194" s="5">
        <f ca="1">IFERROR(__xludf.DUMMYFUNCTION("""COMPUTED_VALUE"""),0)</f>
        <v>0</v>
      </c>
      <c r="H1194" s="9" t="str">
        <f ca="1">IFERROR(__xludf.DUMMYFUNCTION("""COMPUTED_VALUE"""),"https://www.washingtonexaminer.com/third-grader-at-grove-park-brings-gun-to-city-school")</f>
        <v>https://www.washingtonexaminer.com/third-grader-at-grove-park-brings-gun-to-city-school</v>
      </c>
      <c r="I1194" s="5"/>
      <c r="J1194" s="5"/>
      <c r="K1194" s="5">
        <f ca="1">IFERROR(__xludf.DUMMYFUNCTION("""COMPUTED_VALUE"""),2)</f>
        <v>2</v>
      </c>
      <c r="L1194" s="5" t="str">
        <f ca="1">IFERROR(__xludf.DUMMYFUNCTION("""COMPUTED_VALUE"""),"Fall")</f>
        <v>Fall</v>
      </c>
      <c r="M1194" s="5" t="str">
        <f ca="1">IFERROR(__xludf.DUMMYFUNCTION("""COMPUTED_VALUE"""),"Baltimore")</f>
        <v>Baltimore</v>
      </c>
      <c r="N1194" s="5" t="str">
        <f ca="1">IFERROR(__xludf.DUMMYFUNCTION("""COMPUTED_VALUE"""),"MD")</f>
        <v>MD</v>
      </c>
      <c r="O1194" s="5" t="str">
        <f ca="1">IFERROR(__xludf.DUMMYFUNCTION("""COMPUTED_VALUE"""),"Elementary")</f>
        <v>Elementary</v>
      </c>
      <c r="P1194" s="5" t="str">
        <f ca="1">IFERROR(__xludf.DUMMYFUNCTION("""COMPUTED_VALUE"""),"Classroom")</f>
        <v>Classroom</v>
      </c>
      <c r="Q1194" s="5" t="str">
        <f ca="1">IFERROR(__xludf.DUMMYFUNCTION("""COMPUTED_VALUE"""),"Inside School Building")</f>
        <v>Inside School Building</v>
      </c>
      <c r="R1194" s="5" t="str">
        <f ca="1">IFERROR(__xludf.DUMMYFUNCTION("""COMPUTED_VALUE"""),"Yes")</f>
        <v>Yes</v>
      </c>
      <c r="S1194" s="5" t="str">
        <f ca="1">IFERROR(__xludf.DUMMYFUNCTION("""COMPUTED_VALUE"""),"Afternoon Classes")</f>
        <v>Afternoon Classes</v>
      </c>
      <c r="T1194" s="5"/>
      <c r="U1194" s="5">
        <f ca="1">IFERROR(__xludf.DUMMYFUNCTION("""COMPUTED_VALUE"""),1)</f>
        <v>1</v>
      </c>
      <c r="V1194" s="5" t="str">
        <f ca="1">IFERROR(__xludf.DUMMYFUNCTION("""COMPUTED_VALUE"""),"Student accidentally fired gun inside of desk")</f>
        <v>Student accidentally fired gun inside of desk</v>
      </c>
      <c r="W1194"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X1194" s="5" t="str">
        <f ca="1">IFERROR(__xludf.DUMMYFUNCTION("""COMPUTED_VALUE"""),"Accidental")</f>
        <v>Accidental</v>
      </c>
      <c r="Y1194" s="5" t="str">
        <f ca="1">IFERROR(__xludf.DUMMYFUNCTION("""COMPUTED_VALUE"""),"Neither")</f>
        <v>Neither</v>
      </c>
      <c r="Z1194" s="5" t="str">
        <f ca="1">IFERROR(__xludf.DUMMYFUNCTION("""COMPUTED_VALUE"""),"Yes")</f>
        <v>Yes</v>
      </c>
      <c r="AA1194" s="5" t="str">
        <f ca="1">IFERROR(__xludf.DUMMYFUNCTION("""COMPUTED_VALUE"""),"Two boys were playing with the gun, boy who fired was not owner")</f>
        <v>Two boys were playing with the gun, boy who fired was not owner</v>
      </c>
      <c r="AB1194" s="5" t="str">
        <f ca="1">IFERROR(__xludf.DUMMYFUNCTION("""COMPUTED_VALUE"""),"No")</f>
        <v>No</v>
      </c>
      <c r="AC1194" s="5" t="str">
        <f ca="1">IFERROR(__xludf.DUMMYFUNCTION("""COMPUTED_VALUE"""),"No")</f>
        <v>No</v>
      </c>
      <c r="AD1194" s="5" t="str">
        <f ca="1">IFERROR(__xludf.DUMMYFUNCTION("""COMPUTED_VALUE"""),"No")</f>
        <v>No</v>
      </c>
      <c r="AE1194" s="5" t="str">
        <f ca="1">IFERROR(__xludf.DUMMYFUNCTION("""COMPUTED_VALUE"""),"No")</f>
        <v>No</v>
      </c>
      <c r="AF1194" s="5" t="str">
        <f ca="1">IFERROR(__xludf.DUMMYFUNCTION("""COMPUTED_VALUE"""),"No")</f>
        <v>No</v>
      </c>
      <c r="AG1194" s="5" t="str">
        <f ca="1">IFERROR(__xludf.DUMMYFUNCTION("""COMPUTED_VALUE"""),"No")</f>
        <v>No</v>
      </c>
      <c r="AH1194" s="5"/>
    </row>
    <row r="1195" spans="1:34" ht="12.75">
      <c r="A1195" s="5" t="str">
        <f ca="1">IFERROR(__xludf.DUMMYFUNCTION("""COMPUTED_VALUE"""),"20061010NYPOP")</f>
        <v>20061010NYPOP</v>
      </c>
      <c r="B1195" s="8">
        <f ca="1">IFERROR(__xludf.DUMMYFUNCTION("""COMPUTED_VALUE"""),39000)</f>
        <v>39000</v>
      </c>
      <c r="C1195" s="5" t="str">
        <f ca="1">IFERROR(__xludf.DUMMYFUNCTION("""COMPUTED_VALUE"""),"Ponoma Middle School")</f>
        <v>Ponoma Middle School</v>
      </c>
      <c r="D1195" s="5">
        <f ca="1">IFERROR(__xludf.DUMMYFUNCTION("""COMPUTED_VALUE"""),0)</f>
        <v>0</v>
      </c>
      <c r="E1195" s="5">
        <f ca="1">IFERROR(__xludf.DUMMYFUNCTION("""COMPUTED_VALUE"""),2)</f>
        <v>2</v>
      </c>
      <c r="F1195" s="5">
        <f ca="1">IFERROR(__xludf.DUMMYFUNCTION("""COMPUTED_VALUE"""),2)</f>
        <v>2</v>
      </c>
      <c r="G1195" s="5">
        <f ca="1">IFERROR(__xludf.DUMMYFUNCTION("""COMPUTED_VALUE"""),0)</f>
        <v>0</v>
      </c>
      <c r="H1195" s="9" t="str">
        <f ca="1">IFERROR(__xludf.DUMMYFUNCTION("""COMPUTED_VALUE"""),"https://www.newspapers.com/image/166180631/?terms=POMONA%2BMIDDLE%2BSCHOOL")</f>
        <v>https://www.newspapers.com/image/166180631/?terms=POMONA%2BMIDDLE%2BSCHOOL</v>
      </c>
      <c r="I1195" s="5"/>
      <c r="J1195" s="5"/>
      <c r="K1195" s="5">
        <f ca="1">IFERROR(__xludf.DUMMYFUNCTION("""COMPUTED_VALUE"""),2)</f>
        <v>2</v>
      </c>
      <c r="L1195" s="5" t="str">
        <f ca="1">IFERROR(__xludf.DUMMYFUNCTION("""COMPUTED_VALUE"""),"Fall")</f>
        <v>Fall</v>
      </c>
      <c r="M1195" s="5" t="str">
        <f ca="1">IFERROR(__xludf.DUMMYFUNCTION("""COMPUTED_VALUE"""),"Pomona")</f>
        <v>Pomona</v>
      </c>
      <c r="N1195" s="5" t="str">
        <f ca="1">IFERROR(__xludf.DUMMYFUNCTION("""COMPUTED_VALUE"""),"NY")</f>
        <v>NY</v>
      </c>
      <c r="O1195" s="5" t="str">
        <f ca="1">IFERROR(__xludf.DUMMYFUNCTION("""COMPUTED_VALUE"""),"Middle")</f>
        <v>Middle</v>
      </c>
      <c r="P1195" s="5" t="str">
        <f ca="1">IFERROR(__xludf.DUMMYFUNCTION("""COMPUTED_VALUE"""),"School Bus")</f>
        <v>School Bus</v>
      </c>
      <c r="Q1195" s="5" t="str">
        <f ca="1">IFERROR(__xludf.DUMMYFUNCTION("""COMPUTED_VALUE"""),"School Bus")</f>
        <v>School Bus</v>
      </c>
      <c r="R1195" s="5" t="str">
        <f ca="1">IFERROR(__xludf.DUMMYFUNCTION("""COMPUTED_VALUE"""),"Yes")</f>
        <v>Yes</v>
      </c>
      <c r="S1195" s="5" t="str">
        <f ca="1">IFERROR(__xludf.DUMMYFUNCTION("""COMPUTED_VALUE"""),"After School")</f>
        <v>After School</v>
      </c>
      <c r="T1195" s="10">
        <f ca="1">IFERROR(__xludf.DUMMYFUNCTION("""COMPUTED_VALUE"""),0.666666666666666)</f>
        <v>0.66666666666666596</v>
      </c>
      <c r="U1195" s="5">
        <f ca="1">IFERROR(__xludf.DUMMYFUNCTION("""COMPUTED_VALUE"""),1)</f>
        <v>1</v>
      </c>
      <c r="V1195" s="5" t="str">
        <f ca="1">IFERROR(__xludf.DUMMYFUNCTION("""COMPUTED_VALUE"""),"Student shot multiple students with BB gun on bus")</f>
        <v>Student shot multiple students with BB gun on bus</v>
      </c>
      <c r="W1195"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X1195" s="5" t="str">
        <f ca="1">IFERROR(__xludf.DUMMYFUNCTION("""COMPUTED_VALUE"""),"Unknown")</f>
        <v>Unknown</v>
      </c>
      <c r="Y1195" s="5"/>
      <c r="Z1195" s="5" t="str">
        <f ca="1">IFERROR(__xludf.DUMMYFUNCTION("""COMPUTED_VALUE"""),"No")</f>
        <v>No</v>
      </c>
      <c r="AA1195" s="5"/>
      <c r="AB1195" s="5" t="str">
        <f ca="1">IFERROR(__xludf.DUMMYFUNCTION("""COMPUTED_VALUE"""),"No")</f>
        <v>No</v>
      </c>
      <c r="AC1195" s="5" t="str">
        <f ca="1">IFERROR(__xludf.DUMMYFUNCTION("""COMPUTED_VALUE"""),"No")</f>
        <v>No</v>
      </c>
      <c r="AD1195" s="5" t="str">
        <f ca="1">IFERROR(__xludf.DUMMYFUNCTION("""COMPUTED_VALUE"""),"No")</f>
        <v>No</v>
      </c>
      <c r="AE1195" s="5"/>
      <c r="AF1195" s="5" t="str">
        <f ca="1">IFERROR(__xludf.DUMMYFUNCTION("""COMPUTED_VALUE"""),"No")</f>
        <v>No</v>
      </c>
      <c r="AG1195" s="5" t="str">
        <f ca="1">IFERROR(__xludf.DUMMYFUNCTION("""COMPUTED_VALUE"""),"No")</f>
        <v>No</v>
      </c>
      <c r="AH1195" s="5"/>
    </row>
    <row r="1196" spans="1:34" ht="12.75">
      <c r="A1196" s="5" t="str">
        <f ca="1">IFERROR(__xludf.DUMMYFUNCTION("""COMPUTED_VALUE"""),"20061009MOMEJ")</f>
        <v>20061009MOMEJ</v>
      </c>
      <c r="B1196" s="8">
        <f ca="1">IFERROR(__xludf.DUMMYFUNCTION("""COMPUTED_VALUE"""),38999)</f>
        <v>38999</v>
      </c>
      <c r="C1196" s="5" t="str">
        <f ca="1">IFERROR(__xludf.DUMMYFUNCTION("""COMPUTED_VALUE"""),"Memorial Middle School")</f>
        <v>Memorial Middle School</v>
      </c>
      <c r="D1196" s="5">
        <f ca="1">IFERROR(__xludf.DUMMYFUNCTION("""COMPUTED_VALUE"""),0)</f>
        <v>0</v>
      </c>
      <c r="E1196" s="5">
        <f ca="1">IFERROR(__xludf.DUMMYFUNCTION("""COMPUTED_VALUE"""),0)</f>
        <v>0</v>
      </c>
      <c r="F1196" s="5">
        <f ca="1">IFERROR(__xludf.DUMMYFUNCTION("""COMPUTED_VALUE"""),0)</f>
        <v>0</v>
      </c>
      <c r="G1196" s="5">
        <f ca="1">IFERROR(__xludf.DUMMYFUNCTION("""COMPUTED_VALUE"""),0)</f>
        <v>0</v>
      </c>
      <c r="H1196"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I1196" s="5"/>
      <c r="J1196" s="5"/>
      <c r="K1196" s="5">
        <f ca="1">IFERROR(__xludf.DUMMYFUNCTION("""COMPUTED_VALUE"""),5)</f>
        <v>5</v>
      </c>
      <c r="L1196" s="5" t="str">
        <f ca="1">IFERROR(__xludf.DUMMYFUNCTION("""COMPUTED_VALUE"""),"Fall")</f>
        <v>Fall</v>
      </c>
      <c r="M1196" s="5" t="str">
        <f ca="1">IFERROR(__xludf.DUMMYFUNCTION("""COMPUTED_VALUE"""),"Joplin")</f>
        <v>Joplin</v>
      </c>
      <c r="N1196" s="5" t="str">
        <f ca="1">IFERROR(__xludf.DUMMYFUNCTION("""COMPUTED_VALUE"""),"MO")</f>
        <v>MO</v>
      </c>
      <c r="O1196" s="5" t="str">
        <f ca="1">IFERROR(__xludf.DUMMYFUNCTION("""COMPUTED_VALUE"""),"Middle")</f>
        <v>Middle</v>
      </c>
      <c r="P1196" s="5" t="str">
        <f ca="1">IFERROR(__xludf.DUMMYFUNCTION("""COMPUTED_VALUE"""),"Hallway")</f>
        <v>Hallway</v>
      </c>
      <c r="Q1196" s="5" t="str">
        <f ca="1">IFERROR(__xludf.DUMMYFUNCTION("""COMPUTED_VALUE"""),"Inside School Building")</f>
        <v>Inside School Building</v>
      </c>
      <c r="R1196" s="5" t="str">
        <f ca="1">IFERROR(__xludf.DUMMYFUNCTION("""COMPUTED_VALUE"""),"Yes")</f>
        <v>Yes</v>
      </c>
      <c r="S1196" s="5" t="str">
        <f ca="1">IFERROR(__xludf.DUMMYFUNCTION("""COMPUTED_VALUE"""),"Morning Classes")</f>
        <v>Morning Classes</v>
      </c>
      <c r="T1196" s="10">
        <f ca="1">IFERROR(__xludf.DUMMYFUNCTION("""COMPUTED_VALUE"""),0.322916666666666)</f>
        <v>0.32291666666666602</v>
      </c>
      <c r="U1196" s="5">
        <f ca="1">IFERROR(__xludf.DUMMYFUNCTION("""COMPUTED_VALUE"""),1)</f>
        <v>1</v>
      </c>
      <c r="V1196" s="5" t="str">
        <f ca="1">IFERROR(__xludf.DUMMYFUNCTION("""COMPUTED_VALUE"""),"Poor grades, planned attack, surrendered when confronted.")</f>
        <v>Poor grades, planned attack, surrendered when confronted.</v>
      </c>
      <c r="W1196"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X1196" s="5" t="str">
        <f ca="1">IFERROR(__xludf.DUMMYFUNCTION("""COMPUTED_VALUE"""),"Anger Over Grade/Suspension/Discipline")</f>
        <v>Anger Over Grade/Suspension/Discipline</v>
      </c>
      <c r="Y1196" s="5" t="str">
        <f ca="1">IFERROR(__xludf.DUMMYFUNCTION("""COMPUTED_VALUE"""),"Neither")</f>
        <v>Neither</v>
      </c>
      <c r="Z1196" s="5" t="str">
        <f ca="1">IFERROR(__xludf.DUMMYFUNCTION("""COMPUTED_VALUE"""),"No")</f>
        <v>No</v>
      </c>
      <c r="AA1196" s="5"/>
      <c r="AB1196" s="5" t="str">
        <f ca="1">IFERROR(__xludf.DUMMYFUNCTION("""COMPUTED_VALUE"""),"No")</f>
        <v>No</v>
      </c>
      <c r="AC1196" s="5" t="str">
        <f ca="1">IFERROR(__xludf.DUMMYFUNCTION("""COMPUTED_VALUE"""),"No")</f>
        <v>No</v>
      </c>
      <c r="AD1196" s="5" t="str">
        <f ca="1">IFERROR(__xludf.DUMMYFUNCTION("""COMPUTED_VALUE"""),"No")</f>
        <v>No</v>
      </c>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IFERROR(__xludf.DUMMYFUNCTION("""COMPUTED_VALUE"""),"Yes")</f>
        <v>Yes</v>
      </c>
    </row>
    <row r="1197" spans="1:34" ht="12.75">
      <c r="A1197" s="5" t="str">
        <f ca="1">IFERROR(__xludf.DUMMYFUNCTION("""COMPUTED_VALUE"""),"20061002PAWEN")</f>
        <v>20061002PAWEN</v>
      </c>
      <c r="B1197" s="8">
        <f ca="1">IFERROR(__xludf.DUMMYFUNCTION("""COMPUTED_VALUE"""),38992)</f>
        <v>38992</v>
      </c>
      <c r="C1197" s="5" t="str">
        <f ca="1">IFERROR(__xludf.DUMMYFUNCTION("""COMPUTED_VALUE"""),"West Nickel Mines School")</f>
        <v>West Nickel Mines School</v>
      </c>
      <c r="D1197" s="5">
        <f ca="1">IFERROR(__xludf.DUMMYFUNCTION("""COMPUTED_VALUE"""),5)</f>
        <v>5</v>
      </c>
      <c r="E1197" s="5">
        <f ca="1">IFERROR(__xludf.DUMMYFUNCTION("""COMPUTED_VALUE"""),5)</f>
        <v>5</v>
      </c>
      <c r="F1197" s="5">
        <f ca="1">IFERROR(__xludf.DUMMYFUNCTION("""COMPUTED_VALUE"""),10)</f>
        <v>10</v>
      </c>
      <c r="G1197" s="5">
        <f ca="1">IFERROR(__xludf.DUMMYFUNCTION("""COMPUTED_VALUE"""),1)</f>
        <v>1</v>
      </c>
      <c r="H1197" s="5" t="str">
        <f ca="1">IFERROR(__xludf.DUMMYFUNCTION("""COMPUTED_VALUE"""),"https://www.nytimes.com/2006/10/03/us/03amish.html https://www.fbi.gov/file-repository/active-shooter-incidents-2000-2017.pdf")</f>
        <v>https://www.nytimes.com/2006/10/03/us/03amish.html https://www.fbi.gov/file-repository/active-shooter-incidents-2000-2017.pdf</v>
      </c>
      <c r="I1197" s="5"/>
      <c r="J1197" s="5"/>
      <c r="K1197" s="5">
        <f ca="1">IFERROR(__xludf.DUMMYFUNCTION("""COMPUTED_VALUE"""),5)</f>
        <v>5</v>
      </c>
      <c r="L1197" s="5" t="str">
        <f ca="1">IFERROR(__xludf.DUMMYFUNCTION("""COMPUTED_VALUE"""),"Fall")</f>
        <v>Fall</v>
      </c>
      <c r="M1197" s="5" t="str">
        <f ca="1">IFERROR(__xludf.DUMMYFUNCTION("""COMPUTED_VALUE"""),"Nickel Mines")</f>
        <v>Nickel Mines</v>
      </c>
      <c r="N1197" s="5" t="str">
        <f ca="1">IFERROR(__xludf.DUMMYFUNCTION("""COMPUTED_VALUE"""),"PA")</f>
        <v>PA</v>
      </c>
      <c r="O1197" s="5" t="str">
        <f ca="1">IFERROR(__xludf.DUMMYFUNCTION("""COMPUTED_VALUE"""),"K-12")</f>
        <v>K-12</v>
      </c>
      <c r="P1197" s="5" t="str">
        <f ca="1">IFERROR(__xludf.DUMMYFUNCTION("""COMPUTED_VALUE"""),"Classroom")</f>
        <v>Classroom</v>
      </c>
      <c r="Q1197" s="5" t="str">
        <f ca="1">IFERROR(__xludf.DUMMYFUNCTION("""COMPUTED_VALUE"""),"Inside School Building")</f>
        <v>Inside School Building</v>
      </c>
      <c r="R1197" s="5" t="str">
        <f ca="1">IFERROR(__xludf.DUMMYFUNCTION("""COMPUTED_VALUE"""),"Yes")</f>
        <v>Yes</v>
      </c>
      <c r="S1197" s="5" t="str">
        <f ca="1">IFERROR(__xludf.DUMMYFUNCTION("""COMPUTED_VALUE"""),"Morning Classes")</f>
        <v>Morning Classes</v>
      </c>
      <c r="T1197" s="10">
        <f ca="1">IFERROR(__xludf.DUMMYFUNCTION("""COMPUTED_VALUE"""),0.463194444444444)</f>
        <v>0.46319444444444402</v>
      </c>
      <c r="U1197" s="5"/>
      <c r="V1197" s="5" t="str">
        <f ca="1">IFERROR(__xludf.DUMMYFUNCTION("""COMPUTED_VALUE"""),"Shot girls in Amish school due to 20 year grudge")</f>
        <v>Shot girls in Amish school due to 20 year grudge</v>
      </c>
      <c r="W1197"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X1197" s="5" t="str">
        <f ca="1">IFERROR(__xludf.DUMMYFUNCTION("""COMPUTED_VALUE"""),"Indiscriminate Shooting")</f>
        <v>Indiscriminate Shooting</v>
      </c>
      <c r="Y1197" s="5" t="str">
        <f ca="1">IFERROR(__xludf.DUMMYFUNCTION("""COMPUTED_VALUE"""),"Random Shooting")</f>
        <v>Random Shooting</v>
      </c>
      <c r="Z1197" s="5" t="str">
        <f ca="1">IFERROR(__xludf.DUMMYFUNCTION("""COMPUTED_VALUE"""),"No")</f>
        <v>No</v>
      </c>
      <c r="AA1197" s="5"/>
      <c r="AB1197" s="5" t="str">
        <f ca="1">IFERROR(__xludf.DUMMYFUNCTION("""COMPUTED_VALUE"""),"No")</f>
        <v>No</v>
      </c>
      <c r="AC1197" s="5" t="str">
        <f ca="1">IFERROR(__xludf.DUMMYFUNCTION("""COMPUTED_VALUE"""),"Yes")</f>
        <v>Yes</v>
      </c>
      <c r="AD1197" s="5" t="str">
        <f ca="1">IFERROR(__xludf.DUMMYFUNCTION("""COMPUTED_VALUE"""),"No")</f>
        <v>No</v>
      </c>
      <c r="AE1197" s="5" t="str">
        <f ca="1">IFERROR(__xludf.DUMMYFUNCTION("""COMPUTED_VALUE"""),"No")</f>
        <v>No</v>
      </c>
      <c r="AF1197" s="5" t="str">
        <f ca="1">IFERROR(__xludf.DUMMYFUNCTION("""COMPUTED_VALUE"""),"Yes")</f>
        <v>Yes</v>
      </c>
      <c r="AG1197" s="5" t="str">
        <f ca="1">IFERROR(__xludf.DUMMYFUNCTION("""COMPUTED_VALUE"""),"No")</f>
        <v>No</v>
      </c>
      <c r="AH1197" s="5" t="str">
        <f ca="1">IFERROR(__xludf.DUMMYFUNCTION("""COMPUTED_VALUE"""),"Yes")</f>
        <v>Yes</v>
      </c>
    </row>
    <row r="1198" spans="1:34" ht="12.75">
      <c r="A1198" s="5" t="str">
        <f ca="1">IFERROR(__xludf.DUMMYFUNCTION("""COMPUTED_VALUE"""),"20060929WIWEC")</f>
        <v>20060929WIWEC</v>
      </c>
      <c r="B1198" s="8">
        <f ca="1">IFERROR(__xludf.DUMMYFUNCTION("""COMPUTED_VALUE"""),38989)</f>
        <v>38989</v>
      </c>
      <c r="C1198" s="5" t="str">
        <f ca="1">IFERROR(__xludf.DUMMYFUNCTION("""COMPUTED_VALUE"""),"Weston High School")</f>
        <v>Weston High School</v>
      </c>
      <c r="D1198" s="5">
        <f ca="1">IFERROR(__xludf.DUMMYFUNCTION("""COMPUTED_VALUE"""),1)</f>
        <v>1</v>
      </c>
      <c r="E1198" s="5">
        <f ca="1">IFERROR(__xludf.DUMMYFUNCTION("""COMPUTED_VALUE"""),0)</f>
        <v>0</v>
      </c>
      <c r="F1198" s="5">
        <f ca="1">IFERROR(__xludf.DUMMYFUNCTION("""COMPUTED_VALUE"""),1)</f>
        <v>1</v>
      </c>
      <c r="G1198" s="5">
        <f ca="1">IFERROR(__xludf.DUMMYFUNCTION("""COMPUTED_VALUE"""),0)</f>
        <v>0</v>
      </c>
      <c r="H1198"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I1198" s="5"/>
      <c r="J1198" s="5"/>
      <c r="K1198" s="5">
        <f ca="1">IFERROR(__xludf.DUMMYFUNCTION("""COMPUTED_VALUE"""),5)</f>
        <v>5</v>
      </c>
      <c r="L1198" s="5" t="str">
        <f ca="1">IFERROR(__xludf.DUMMYFUNCTION("""COMPUTED_VALUE"""),"Fall")</f>
        <v>Fall</v>
      </c>
      <c r="M1198" s="5" t="str">
        <f ca="1">IFERROR(__xludf.DUMMYFUNCTION("""COMPUTED_VALUE"""),"Cazenovia")</f>
        <v>Cazenovia</v>
      </c>
      <c r="N1198" s="5" t="str">
        <f ca="1">IFERROR(__xludf.DUMMYFUNCTION("""COMPUTED_VALUE"""),"WI")</f>
        <v>WI</v>
      </c>
      <c r="O1198" s="5" t="str">
        <f ca="1">IFERROR(__xludf.DUMMYFUNCTION("""COMPUTED_VALUE"""),"High")</f>
        <v>High</v>
      </c>
      <c r="P1198" s="5" t="str">
        <f ca="1">IFERROR(__xludf.DUMMYFUNCTION("""COMPUTED_VALUE"""),"Entryway")</f>
        <v>Entryway</v>
      </c>
      <c r="Q1198" s="5" t="str">
        <f ca="1">IFERROR(__xludf.DUMMYFUNCTION("""COMPUTED_VALUE"""),"Inside School Building")</f>
        <v>Inside School Building</v>
      </c>
      <c r="R1198" s="5" t="str">
        <f ca="1">IFERROR(__xludf.DUMMYFUNCTION("""COMPUTED_VALUE"""),"Yes")</f>
        <v>Yes</v>
      </c>
      <c r="S1198" s="5" t="str">
        <f ca="1">IFERROR(__xludf.DUMMYFUNCTION("""COMPUTED_VALUE"""),"Morning Classes")</f>
        <v>Morning Classes</v>
      </c>
      <c r="T1198" s="10">
        <f ca="1">IFERROR(__xludf.DUMMYFUNCTION("""COMPUTED_VALUE"""),0.340277777777777)</f>
        <v>0.34027777777777701</v>
      </c>
      <c r="U1198" s="5">
        <f ca="1">IFERROR(__xludf.DUMMYFUNCTION("""COMPUTED_VALUE"""),1)</f>
        <v>1</v>
      </c>
      <c r="V1198" s="5" t="str">
        <f ca="1">IFERROR(__xludf.DUMMYFUNCTION("""COMPUTED_VALUE"""),"Planned attack, disarmed by janitor then fired pistol at principal before being subdued")</f>
        <v>Planned attack, disarmed by janitor then fired pistol at principal before being subdued</v>
      </c>
      <c r="W1198"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X1198" s="5" t="str">
        <f ca="1">IFERROR(__xludf.DUMMYFUNCTION("""COMPUTED_VALUE"""),"Indiscriminate Shooting")</f>
        <v>Indiscriminate Shooting</v>
      </c>
      <c r="Y1198" s="5" t="str">
        <f ca="1">IFERROR(__xludf.DUMMYFUNCTION("""COMPUTED_VALUE"""),"Random Shooting")</f>
        <v>Random Shooting</v>
      </c>
      <c r="Z1198" s="5" t="str">
        <f ca="1">IFERROR(__xludf.DUMMYFUNCTION("""COMPUTED_VALUE"""),"No")</f>
        <v>No</v>
      </c>
      <c r="AA1198" s="5"/>
      <c r="AB1198" s="5" t="str">
        <f ca="1">IFERROR(__xludf.DUMMYFUNCTION("""COMPUTED_VALUE"""),"No")</f>
        <v>No</v>
      </c>
      <c r="AC1198" s="5" t="str">
        <f ca="1">IFERROR(__xludf.DUMMYFUNCTION("""COMPUTED_VALUE"""),"No")</f>
        <v>No</v>
      </c>
      <c r="AD1198" s="5" t="str">
        <f ca="1">IFERROR(__xludf.DUMMYFUNCTION("""COMPUTED_VALUE"""),"No")</f>
        <v>No</v>
      </c>
      <c r="AE1198" s="5" t="str">
        <f ca="1">IFERROR(__xludf.DUMMYFUNCTION("""COMPUTED_VALUE"""),"Yes")</f>
        <v>Yes</v>
      </c>
      <c r="AF1198" s="5" t="str">
        <f ca="1">IFERROR(__xludf.DUMMYFUNCTION("""COMPUTED_VALUE"""),"No")</f>
        <v>No</v>
      </c>
      <c r="AG1198" s="5" t="str">
        <f ca="1">IFERROR(__xludf.DUMMYFUNCTION("""COMPUTED_VALUE"""),"No")</f>
        <v>No</v>
      </c>
      <c r="AH1198" s="5" t="str">
        <f ca="1">IFERROR(__xludf.DUMMYFUNCTION("""COMPUTED_VALUE"""),"Yes")</f>
        <v>Yes</v>
      </c>
    </row>
    <row r="1199" spans="1:34" ht="12.75">
      <c r="A1199" s="5" t="str">
        <f ca="1">IFERROR(__xludf.DUMMYFUNCTION("""COMPUTED_VALUE"""),"20060927COPLB")</f>
        <v>20060927COPLB</v>
      </c>
      <c r="B1199" s="8">
        <f ca="1">IFERROR(__xludf.DUMMYFUNCTION("""COMPUTED_VALUE"""),38987)</f>
        <v>38987</v>
      </c>
      <c r="C1199" s="5" t="str">
        <f ca="1">IFERROR(__xludf.DUMMYFUNCTION("""COMPUTED_VALUE"""),"Platte Canyon High School")</f>
        <v>Platte Canyon High School</v>
      </c>
      <c r="D1199" s="5">
        <f ca="1">IFERROR(__xludf.DUMMYFUNCTION("""COMPUTED_VALUE"""),1)</f>
        <v>1</v>
      </c>
      <c r="E1199" s="5">
        <f ca="1">IFERROR(__xludf.DUMMYFUNCTION("""COMPUTED_VALUE"""),0)</f>
        <v>0</v>
      </c>
      <c r="F1199" s="5">
        <f ca="1">IFERROR(__xludf.DUMMYFUNCTION("""COMPUTED_VALUE"""),1)</f>
        <v>1</v>
      </c>
      <c r="G1199" s="5">
        <f ca="1">IFERROR(__xludf.DUMMYFUNCTION("""COMPUTED_VALUE"""),1)</f>
        <v>1</v>
      </c>
      <c r="H1199"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I1199" s="5"/>
      <c r="J1199" s="5" t="str">
        <f ca="1">IFERROR(__xludf.DUMMYFUNCTION("""COMPUTED_VALUE"""),"National")</f>
        <v>National</v>
      </c>
      <c r="K1199" s="5">
        <f ca="1">IFERROR(__xludf.DUMMYFUNCTION("""COMPUTED_VALUE"""),4)</f>
        <v>4</v>
      </c>
      <c r="L1199" s="5" t="str">
        <f ca="1">IFERROR(__xludf.DUMMYFUNCTION("""COMPUTED_VALUE"""),"Fall")</f>
        <v>Fall</v>
      </c>
      <c r="M1199" s="5" t="str">
        <f ca="1">IFERROR(__xludf.DUMMYFUNCTION("""COMPUTED_VALUE"""),"Bailey")</f>
        <v>Bailey</v>
      </c>
      <c r="N1199" s="5" t="str">
        <f ca="1">IFERROR(__xludf.DUMMYFUNCTION("""COMPUTED_VALUE"""),"CO")</f>
        <v>CO</v>
      </c>
      <c r="O1199" s="5" t="str">
        <f ca="1">IFERROR(__xludf.DUMMYFUNCTION("""COMPUTED_VALUE"""),"High")</f>
        <v>High</v>
      </c>
      <c r="P1199" s="5" t="str">
        <f ca="1">IFERROR(__xludf.DUMMYFUNCTION("""COMPUTED_VALUE"""),"Classroom")</f>
        <v>Classroom</v>
      </c>
      <c r="Q1199" s="5" t="str">
        <f ca="1">IFERROR(__xludf.DUMMYFUNCTION("""COMPUTED_VALUE"""),"Inside School Building")</f>
        <v>Inside School Building</v>
      </c>
      <c r="R1199" s="5" t="str">
        <f ca="1">IFERROR(__xludf.DUMMYFUNCTION("""COMPUTED_VALUE"""),"Yes")</f>
        <v>Yes</v>
      </c>
      <c r="S1199" s="5" t="str">
        <f ca="1">IFERROR(__xludf.DUMMYFUNCTION("""COMPUTED_VALUE"""),"Morning Classes")</f>
        <v>Morning Classes</v>
      </c>
      <c r="T1199" s="10">
        <f ca="1">IFERROR(__xludf.DUMMYFUNCTION("""COMPUTED_VALUE"""),0.486111111111111)</f>
        <v>0.48611111111111099</v>
      </c>
      <c r="U1199" s="5">
        <f ca="1">IFERROR(__xludf.DUMMYFUNCTION("""COMPUTED_VALUE"""),260)</f>
        <v>260</v>
      </c>
      <c r="V1199" s="5" t="str">
        <f ca="1">IFERROR(__xludf.DUMMYFUNCTION("""COMPUTED_VALUE"""),"Took 6 girls hostage in classroom and sexually assaulted them")</f>
        <v>Took 6 girls hostage in classroom and sexually assaulted them</v>
      </c>
      <c r="W1199"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X1199" s="5" t="str">
        <f ca="1">IFERROR(__xludf.DUMMYFUNCTION("""COMPUTED_VALUE"""),"Hostage/Standoff")</f>
        <v>Hostage/Standoff</v>
      </c>
      <c r="Y1199" s="5" t="str">
        <f ca="1">IFERROR(__xludf.DUMMYFUNCTION("""COMPUTED_VALUE"""),"Victims Targeted")</f>
        <v>Victims Targeted</v>
      </c>
      <c r="Z1199" s="5" t="str">
        <f ca="1">IFERROR(__xludf.DUMMYFUNCTION("""COMPUTED_VALUE"""),"No")</f>
        <v>No</v>
      </c>
      <c r="AA1199" s="5"/>
      <c r="AB1199" s="5" t="str">
        <f ca="1">IFERROR(__xludf.DUMMYFUNCTION("""COMPUTED_VALUE"""),"Yes")</f>
        <v>Yes</v>
      </c>
      <c r="AC1199" s="5" t="str">
        <f ca="1">IFERROR(__xludf.DUMMYFUNCTION("""COMPUTED_VALUE"""),"Yes")</f>
        <v>Yes</v>
      </c>
      <c r="AD1199" s="5" t="str">
        <f ca="1">IFERROR(__xludf.DUMMYFUNCTION("""COMPUTED_VALUE"""),"No")</f>
        <v>No</v>
      </c>
      <c r="AE1199" s="5" t="str">
        <f ca="1">IFERROR(__xludf.DUMMYFUNCTION("""COMPUTED_VALUE"""),"No")</f>
        <v>No</v>
      </c>
      <c r="AF1199" s="5" t="str">
        <f ca="1">IFERROR(__xludf.DUMMYFUNCTION("""COMPUTED_VALUE"""),"No")</f>
        <v>No</v>
      </c>
      <c r="AG1199" s="5" t="str">
        <f ca="1">IFERROR(__xludf.DUMMYFUNCTION("""COMPUTED_VALUE"""),"No")</f>
        <v>No</v>
      </c>
      <c r="AH1199" s="5" t="str">
        <f ca="1">IFERROR(__xludf.DUMMYFUNCTION("""COMPUTED_VALUE"""),"Yes")</f>
        <v>Yes</v>
      </c>
    </row>
    <row r="1200" spans="1:34" ht="12.75">
      <c r="A1200" s="5" t="str">
        <f ca="1">IFERROR(__xludf.DUMMYFUNCTION("""COMPUTED_VALUE"""),"20060921DCCAW")</f>
        <v>20060921DCCAW</v>
      </c>
      <c r="B1200" s="8">
        <f ca="1">IFERROR(__xludf.DUMMYFUNCTION("""COMPUTED_VALUE"""),38981)</f>
        <v>38981</v>
      </c>
      <c r="C1200" s="5" t="str">
        <f ca="1">IFERROR(__xludf.DUMMYFUNCTION("""COMPUTED_VALUE"""),"Cardozo High School")</f>
        <v>Cardozo High School</v>
      </c>
      <c r="D1200" s="5">
        <f ca="1">IFERROR(__xludf.DUMMYFUNCTION("""COMPUTED_VALUE"""),0)</f>
        <v>0</v>
      </c>
      <c r="E1200" s="5">
        <f ca="1">IFERROR(__xludf.DUMMYFUNCTION("""COMPUTED_VALUE"""),1)</f>
        <v>1</v>
      </c>
      <c r="F1200" s="5">
        <f ca="1">IFERROR(__xludf.DUMMYFUNCTION("""COMPUTED_VALUE"""),1)</f>
        <v>1</v>
      </c>
      <c r="G1200" s="5">
        <f ca="1">IFERROR(__xludf.DUMMYFUNCTION("""COMPUTED_VALUE"""),0)</f>
        <v>0</v>
      </c>
      <c r="H1200" s="9" t="str">
        <f ca="1">IFERROR(__xludf.DUMMYFUNCTION("""COMPUTED_VALUE"""),"http://www.washingtonpost.com/wp-dyn/content/article/2006/09/23/AR2006092301174.html")</f>
        <v>http://www.washingtonpost.com/wp-dyn/content/article/2006/09/23/AR2006092301174.html</v>
      </c>
      <c r="I1200" s="5"/>
      <c r="J1200" s="5"/>
      <c r="K1200" s="5">
        <f ca="1">IFERROR(__xludf.DUMMYFUNCTION("""COMPUTED_VALUE"""),2)</f>
        <v>2</v>
      </c>
      <c r="L1200" s="5" t="str">
        <f ca="1">IFERROR(__xludf.DUMMYFUNCTION("""COMPUTED_VALUE"""),"Fall")</f>
        <v>Fall</v>
      </c>
      <c r="M1200" s="5" t="str">
        <f ca="1">IFERROR(__xludf.DUMMYFUNCTION("""COMPUTED_VALUE"""),"Washington")</f>
        <v>Washington</v>
      </c>
      <c r="N1200" s="5" t="str">
        <f ca="1">IFERROR(__xludf.DUMMYFUNCTION("""COMPUTED_VALUE"""),"DC")</f>
        <v>DC</v>
      </c>
      <c r="O1200" s="5" t="str">
        <f ca="1">IFERROR(__xludf.DUMMYFUNCTION("""COMPUTED_VALUE"""),"High")</f>
        <v>High</v>
      </c>
      <c r="P1200" s="5" t="str">
        <f ca="1">IFERROR(__xludf.DUMMYFUNCTION("""COMPUTED_VALUE"""),"Beside Building")</f>
        <v>Beside Building</v>
      </c>
      <c r="Q1200" s="5" t="str">
        <f ca="1">IFERROR(__xludf.DUMMYFUNCTION("""COMPUTED_VALUE"""),"Outside on School Property")</f>
        <v>Outside on School Property</v>
      </c>
      <c r="R1200" s="5" t="str">
        <f ca="1">IFERROR(__xludf.DUMMYFUNCTION("""COMPUTED_VALUE"""),"Yes")</f>
        <v>Yes</v>
      </c>
      <c r="S1200" s="5" t="str">
        <f ca="1">IFERROR(__xludf.DUMMYFUNCTION("""COMPUTED_VALUE"""),"Lunch")</f>
        <v>Lunch</v>
      </c>
      <c r="T1200" s="10">
        <f ca="1">IFERROR(__xludf.DUMMYFUNCTION("""COMPUTED_VALUE"""),0.510416666666666)</f>
        <v>0.51041666666666596</v>
      </c>
      <c r="U1200" s="5">
        <f ca="1">IFERROR(__xludf.DUMMYFUNCTION("""COMPUTED_VALUE"""),1)</f>
        <v>1</v>
      </c>
      <c r="V1200" s="5" t="str">
        <f ca="1">IFERROR(__xludf.DUMMYFUNCTION("""COMPUTED_VALUE"""),"Argument over girl resulted in targeted shooting")</f>
        <v>Argument over girl resulted in targeted shooting</v>
      </c>
      <c r="W1200"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X1200" s="5" t="str">
        <f ca="1">IFERROR(__xludf.DUMMYFUNCTION("""COMPUTED_VALUE"""),"Escalation of Dispute")</f>
        <v>Escalation of Dispute</v>
      </c>
      <c r="Y1200" s="5" t="str">
        <f ca="1">IFERROR(__xludf.DUMMYFUNCTION("""COMPUTED_VALUE"""),"Victims Targeted")</f>
        <v>Victims Targeted</v>
      </c>
      <c r="Z1200" s="5" t="str">
        <f ca="1">IFERROR(__xludf.DUMMYFUNCTION("""COMPUTED_VALUE"""),"No")</f>
        <v>No</v>
      </c>
      <c r="AA1200" s="5"/>
      <c r="AB1200" s="5" t="str">
        <f ca="1">IFERROR(__xludf.DUMMYFUNCTION("""COMPUTED_VALUE"""),"No")</f>
        <v>No</v>
      </c>
      <c r="AC1200" s="5" t="str">
        <f ca="1">IFERROR(__xludf.DUMMYFUNCTION("""COMPUTED_VALUE"""),"No")</f>
        <v>No</v>
      </c>
      <c r="AD1200" s="5" t="str">
        <f ca="1">IFERROR(__xludf.DUMMYFUNCTION("""COMPUTED_VALUE"""),"No")</f>
        <v>No</v>
      </c>
      <c r="AE1200" s="5" t="str">
        <f ca="1">IFERROR(__xludf.DUMMYFUNCTION("""COMPUTED_VALUE"""),"No")</f>
        <v>No</v>
      </c>
      <c r="AF1200" s="5" t="str">
        <f ca="1">IFERROR(__xludf.DUMMYFUNCTION("""COMPUTED_VALUE"""),"No")</f>
        <v>No</v>
      </c>
      <c r="AG1200" s="5" t="str">
        <f ca="1">IFERROR(__xludf.DUMMYFUNCTION("""COMPUTED_VALUE"""),"No")</f>
        <v>No</v>
      </c>
      <c r="AH1200" s="5"/>
    </row>
    <row r="1201" spans="1:34" ht="12.75">
      <c r="A1201" s="5" t="str">
        <f ca="1">IFERROR(__xludf.DUMMYFUNCTION("""COMPUTED_VALUE"""),"20060913MOWEC")</f>
        <v>20060913MOWEC</v>
      </c>
      <c r="B1201" s="8">
        <f ca="1">IFERROR(__xludf.DUMMYFUNCTION("""COMPUTED_VALUE"""),38973)</f>
        <v>38973</v>
      </c>
      <c r="C1201" s="5" t="str">
        <f ca="1">IFERROR(__xludf.DUMMYFUNCTION("""COMPUTED_VALUE"""),"Westminster Christian Academy")</f>
        <v>Westminster Christian Academy</v>
      </c>
      <c r="D1201" s="5">
        <f ca="1">IFERROR(__xludf.DUMMYFUNCTION("""COMPUTED_VALUE"""),0)</f>
        <v>0</v>
      </c>
      <c r="E1201" s="5">
        <f ca="1">IFERROR(__xludf.DUMMYFUNCTION("""COMPUTED_VALUE"""),0)</f>
        <v>0</v>
      </c>
      <c r="F1201" s="5">
        <f ca="1">IFERROR(__xludf.DUMMYFUNCTION("""COMPUTED_VALUE"""),0)</f>
        <v>0</v>
      </c>
      <c r="G1201" s="5">
        <f ca="1">IFERROR(__xludf.DUMMYFUNCTION("""COMPUTED_VALUE"""),0)</f>
        <v>0</v>
      </c>
      <c r="H1201" s="9" t="str">
        <f ca="1">IFERROR(__xludf.DUMMYFUNCTION("""COMPUTED_VALUE"""),"https://www.newspapers.com/image/151778408/?terms=westminster%2Bchristian%2Bacademy")</f>
        <v>https://www.newspapers.com/image/151778408/?terms=westminster%2Bchristian%2Bacademy</v>
      </c>
      <c r="I1201" s="5"/>
      <c r="J1201" s="5"/>
      <c r="K1201" s="5">
        <f ca="1">IFERROR(__xludf.DUMMYFUNCTION("""COMPUTED_VALUE"""),2)</f>
        <v>2</v>
      </c>
      <c r="L1201" s="5" t="str">
        <f ca="1">IFERROR(__xludf.DUMMYFUNCTION("""COMPUTED_VALUE"""),"Fall")</f>
        <v>Fall</v>
      </c>
      <c r="M1201" s="5" t="str">
        <f ca="1">IFERROR(__xludf.DUMMYFUNCTION("""COMPUTED_VALUE"""),"Creve Coeur")</f>
        <v>Creve Coeur</v>
      </c>
      <c r="N1201" s="5" t="str">
        <f ca="1">IFERROR(__xludf.DUMMYFUNCTION("""COMPUTED_VALUE"""),"MO")</f>
        <v>MO</v>
      </c>
      <c r="O1201" s="5" t="str">
        <f ca="1">IFERROR(__xludf.DUMMYFUNCTION("""COMPUTED_VALUE"""),"High")</f>
        <v>High</v>
      </c>
      <c r="P1201" s="5" t="str">
        <f ca="1">IFERROR(__xludf.DUMMYFUNCTION("""COMPUTED_VALUE"""),"Beside Building")</f>
        <v>Beside Building</v>
      </c>
      <c r="Q1201" s="5" t="str">
        <f ca="1">IFERROR(__xludf.DUMMYFUNCTION("""COMPUTED_VALUE"""),"Outside on School Property")</f>
        <v>Outside on School Property</v>
      </c>
      <c r="R1201" s="5" t="str">
        <f ca="1">IFERROR(__xludf.DUMMYFUNCTION("""COMPUTED_VALUE"""),"No")</f>
        <v>No</v>
      </c>
      <c r="S1201" s="5" t="str">
        <f ca="1">IFERROR(__xludf.DUMMYFUNCTION("""COMPUTED_VALUE"""),"After School")</f>
        <v>After School</v>
      </c>
      <c r="T1201" s="5"/>
      <c r="U1201" s="5"/>
      <c r="V1201" s="5" t="str">
        <f ca="1">IFERROR(__xludf.DUMMYFUNCTION("""COMPUTED_VALUE"""),"Police Officer fired at student who was suicidal")</f>
        <v>Police Officer fired at student who was suicidal</v>
      </c>
      <c r="W1201"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X1201" s="5" t="str">
        <f ca="1">IFERROR(__xludf.DUMMYFUNCTION("""COMPUTED_VALUE"""),"Suicide/Attempted")</f>
        <v>Suicide/Attempted</v>
      </c>
      <c r="Y1201" s="5" t="str">
        <f ca="1">IFERROR(__xludf.DUMMYFUNCTION("""COMPUTED_VALUE"""),"Victims Targeted")</f>
        <v>Victims Targeted</v>
      </c>
      <c r="Z1201" s="5" t="str">
        <f ca="1">IFERROR(__xludf.DUMMYFUNCTION("""COMPUTED_VALUE"""),"No")</f>
        <v>No</v>
      </c>
      <c r="AA1201" s="5"/>
      <c r="AB1201" s="5" t="str">
        <f ca="1">IFERROR(__xludf.DUMMYFUNCTION("""COMPUTED_VALUE"""),"No")</f>
        <v>No</v>
      </c>
      <c r="AC1201" s="5" t="str">
        <f ca="1">IFERROR(__xludf.DUMMYFUNCTION("""COMPUTED_VALUE"""),"No")</f>
        <v>No</v>
      </c>
      <c r="AD1201" s="5" t="str">
        <f ca="1">IFERROR(__xludf.DUMMYFUNCTION("""COMPUTED_VALUE"""),"Yes")</f>
        <v>Yes</v>
      </c>
      <c r="AE1201" s="5"/>
      <c r="AF1201" s="5"/>
      <c r="AG1201" s="5"/>
      <c r="AH1201" s="5"/>
    </row>
    <row r="1202" spans="1:34" ht="12.75">
      <c r="A1202" s="5" t="str">
        <f ca="1">IFERROR(__xludf.DUMMYFUNCTION("""COMPUTED_VALUE"""),"20060908TXSOF")</f>
        <v>20060908TXSOF</v>
      </c>
      <c r="B1202" s="8">
        <f ca="1">IFERROR(__xludf.DUMMYFUNCTION("""COMPUTED_VALUE"""),38968)</f>
        <v>38968</v>
      </c>
      <c r="C1202" s="5" t="str">
        <f ca="1">IFERROR(__xludf.DUMMYFUNCTION("""COMPUTED_VALUE"""),"South Hills High School")</f>
        <v>South Hills High School</v>
      </c>
      <c r="D1202" s="5">
        <f ca="1">IFERROR(__xludf.DUMMYFUNCTION("""COMPUTED_VALUE"""),0)</f>
        <v>0</v>
      </c>
      <c r="E1202" s="5">
        <f ca="1">IFERROR(__xludf.DUMMYFUNCTION("""COMPUTED_VALUE"""),1)</f>
        <v>1</v>
      </c>
      <c r="F1202" s="5">
        <f ca="1">IFERROR(__xludf.DUMMYFUNCTION("""COMPUTED_VALUE"""),1)</f>
        <v>1</v>
      </c>
      <c r="G1202" s="5">
        <f ca="1">IFERROR(__xludf.DUMMYFUNCTION("""COMPUTED_VALUE"""),0)</f>
        <v>0</v>
      </c>
      <c r="H1202" s="9" t="str">
        <f ca="1">IFERROR(__xludf.DUMMYFUNCTION("""COMPUTED_VALUE"""),"https://www.amazon.com/WIN-Memoir-Shooting-Gabe-Medrano/dp/1432793624")</f>
        <v>https://www.amazon.com/WIN-Memoir-Shooting-Gabe-Medrano/dp/1432793624</v>
      </c>
      <c r="I1202" s="5"/>
      <c r="J1202" s="5"/>
      <c r="K1202" s="5">
        <f ca="1">IFERROR(__xludf.DUMMYFUNCTION("""COMPUTED_VALUE"""),2)</f>
        <v>2</v>
      </c>
      <c r="L1202" s="5" t="str">
        <f ca="1">IFERROR(__xludf.DUMMYFUNCTION("""COMPUTED_VALUE"""),"Fall")</f>
        <v>Fall</v>
      </c>
      <c r="M1202" s="5" t="str">
        <f ca="1">IFERROR(__xludf.DUMMYFUNCTION("""COMPUTED_VALUE"""),"Fort Worth")</f>
        <v>Fort Worth</v>
      </c>
      <c r="N1202" s="5" t="str">
        <f ca="1">IFERROR(__xludf.DUMMYFUNCTION("""COMPUTED_VALUE"""),"TX")</f>
        <v>TX</v>
      </c>
      <c r="O1202" s="5" t="str">
        <f ca="1">IFERROR(__xludf.DUMMYFUNCTION("""COMPUTED_VALUE"""),"High")</f>
        <v>High</v>
      </c>
      <c r="P1202" s="5" t="str">
        <f ca="1">IFERROR(__xludf.DUMMYFUNCTION("""COMPUTED_VALUE"""),"Field (General)")</f>
        <v>Field (General)</v>
      </c>
      <c r="Q1202" s="5" t="str">
        <f ca="1">IFERROR(__xludf.DUMMYFUNCTION("""COMPUTED_VALUE"""),"Outside on School Property")</f>
        <v>Outside on School Property</v>
      </c>
      <c r="R1202" s="5" t="str">
        <f ca="1">IFERROR(__xludf.DUMMYFUNCTION("""COMPUTED_VALUE"""),"Yes")</f>
        <v>Yes</v>
      </c>
      <c r="S1202" s="5" t="str">
        <f ca="1">IFERROR(__xludf.DUMMYFUNCTION("""COMPUTED_VALUE"""),"Afternoon Classes")</f>
        <v>Afternoon Classes</v>
      </c>
      <c r="T1202" s="10">
        <f ca="1">IFERROR(__xludf.DUMMYFUNCTION("""COMPUTED_VALUE"""),0.555555555555555)</f>
        <v>0.55555555555555503</v>
      </c>
      <c r="U1202" s="5">
        <f ca="1">IFERROR(__xludf.DUMMYFUNCTION("""COMPUTED_VALUE"""),1)</f>
        <v>1</v>
      </c>
      <c r="V1202" s="5" t="str">
        <f ca="1">IFERROR(__xludf.DUMMYFUNCTION("""COMPUTED_VALUE"""),"SRO fired at student while breaking up fight between 10 students")</f>
        <v>SRO fired at student while breaking up fight between 10 students</v>
      </c>
      <c r="W1202" s="5" t="str">
        <f ca="1">IFERROR(__xludf.DUMMYFUNCTION("""COMPUTED_VALUE"""),"SRO fired at 15YOM student while breaking up a fight between 10 students on the school athletic field.")</f>
        <v>SRO fired at 15YOM student while breaking up a fight between 10 students on the school athletic field.</v>
      </c>
      <c r="X1202" s="5" t="str">
        <f ca="1">IFERROR(__xludf.DUMMYFUNCTION("""COMPUTED_VALUE"""),"Illegal Activity")</f>
        <v>Illegal Activity</v>
      </c>
      <c r="Y1202" s="5" t="str">
        <f ca="1">IFERROR(__xludf.DUMMYFUNCTION("""COMPUTED_VALUE"""),"Victims Targeted")</f>
        <v>Victims Targeted</v>
      </c>
      <c r="Z1202" s="5" t="str">
        <f ca="1">IFERROR(__xludf.DUMMYFUNCTION("""COMPUTED_VALUE"""),"No")</f>
        <v>No</v>
      </c>
      <c r="AA1202" s="5"/>
      <c r="AB1202" s="5" t="str">
        <f ca="1">IFERROR(__xludf.DUMMYFUNCTION("""COMPUTED_VALUE"""),"No")</f>
        <v>No</v>
      </c>
      <c r="AC1202" s="5" t="str">
        <f ca="1">IFERROR(__xludf.DUMMYFUNCTION("""COMPUTED_VALUE"""),"No")</f>
        <v>No</v>
      </c>
      <c r="AD1202" s="5" t="str">
        <f ca="1">IFERROR(__xludf.DUMMYFUNCTION("""COMPUTED_VALUE"""),"Yes")</f>
        <v>Yes</v>
      </c>
      <c r="AE1202" s="5" t="str">
        <f ca="1">IFERROR(__xludf.DUMMYFUNCTION("""COMPUTED_VALUE"""),"N/A")</f>
        <v>N/A</v>
      </c>
      <c r="AF1202" s="5" t="str">
        <f ca="1">IFERROR(__xludf.DUMMYFUNCTION("""COMPUTED_VALUE"""),"N/A")</f>
        <v>N/A</v>
      </c>
      <c r="AG1202" s="5" t="str">
        <f ca="1">IFERROR(__xludf.DUMMYFUNCTION("""COMPUTED_VALUE"""),"N/A")</f>
        <v>N/A</v>
      </c>
      <c r="AH1202" s="5" t="str">
        <f ca="1">IFERROR(__xludf.DUMMYFUNCTION("""COMPUTED_VALUE"""),"N/A")</f>
        <v>N/A</v>
      </c>
    </row>
    <row r="1203" spans="1:34" ht="12.75">
      <c r="A1203" s="5" t="str">
        <f ca="1">IFERROR(__xludf.DUMMYFUNCTION("""COMPUTED_VALUE"""),"20060905TNKIM")</f>
        <v>20060905TNKIM</v>
      </c>
      <c r="B1203" s="8">
        <f ca="1">IFERROR(__xludf.DUMMYFUNCTION("""COMPUTED_VALUE"""),38965)</f>
        <v>38965</v>
      </c>
      <c r="C1203" s="5" t="str">
        <f ca="1">IFERROR(__xludf.DUMMYFUNCTION("""COMPUTED_VALUE"""),"Kingsbury Middle School")</f>
        <v>Kingsbury Middle School</v>
      </c>
      <c r="D1203" s="5">
        <f ca="1">IFERROR(__xludf.DUMMYFUNCTION("""COMPUTED_VALUE"""),0)</f>
        <v>0</v>
      </c>
      <c r="E1203" s="5">
        <f ca="1">IFERROR(__xludf.DUMMYFUNCTION("""COMPUTED_VALUE"""),1)</f>
        <v>1</v>
      </c>
      <c r="F1203" s="5">
        <f ca="1">IFERROR(__xludf.DUMMYFUNCTION("""COMPUTED_VALUE"""),1)</f>
        <v>1</v>
      </c>
      <c r="G1203" s="5">
        <f ca="1">IFERROR(__xludf.DUMMYFUNCTION("""COMPUTED_VALUE"""),0)</f>
        <v>0</v>
      </c>
      <c r="H1203" s="9" t="str">
        <f ca="1">IFERROR(__xludf.DUMMYFUNCTION("""COMPUTED_VALUE"""),"https://www.columbine-angels.com/School_Violence_2006-2007.htm")</f>
        <v>https://www.columbine-angels.com/School_Violence_2006-2007.htm</v>
      </c>
      <c r="I1203" s="5"/>
      <c r="J1203" s="5"/>
      <c r="K1203" s="5">
        <f ca="1">IFERROR(__xludf.DUMMYFUNCTION("""COMPUTED_VALUE"""),1)</f>
        <v>1</v>
      </c>
      <c r="L1203" s="5" t="str">
        <f ca="1">IFERROR(__xludf.DUMMYFUNCTION("""COMPUTED_VALUE"""),"Fall")</f>
        <v>Fall</v>
      </c>
      <c r="M1203" s="5" t="str">
        <f ca="1">IFERROR(__xludf.DUMMYFUNCTION("""COMPUTED_VALUE"""),"Memphis")</f>
        <v>Memphis</v>
      </c>
      <c r="N1203" s="5" t="str">
        <f ca="1">IFERROR(__xludf.DUMMYFUNCTION("""COMPUTED_VALUE"""),"TN")</f>
        <v>TN</v>
      </c>
      <c r="O1203" s="5" t="str">
        <f ca="1">IFERROR(__xludf.DUMMYFUNCTION("""COMPUTED_VALUE"""),"Middle")</f>
        <v>Middle</v>
      </c>
      <c r="P1203" s="5" t="str">
        <f ca="1">IFERROR(__xludf.DUMMYFUNCTION("""COMPUTED_VALUE"""),"Football Field/Track")</f>
        <v>Football Field/Track</v>
      </c>
      <c r="Q1203" s="5" t="str">
        <f ca="1">IFERROR(__xludf.DUMMYFUNCTION("""COMPUTED_VALUE"""),"Outside on School Property")</f>
        <v>Outside on School Property</v>
      </c>
      <c r="R1203" s="5" t="str">
        <f ca="1">IFERROR(__xludf.DUMMYFUNCTION("""COMPUTED_VALUE"""),"No")</f>
        <v>No</v>
      </c>
      <c r="S1203" s="5" t="str">
        <f ca="1">IFERROR(__xludf.DUMMYFUNCTION("""COMPUTED_VALUE"""),"Sport Event")</f>
        <v>Sport Event</v>
      </c>
      <c r="T1203" s="5"/>
      <c r="U1203" s="5">
        <f ca="1">IFERROR(__xludf.DUMMYFUNCTION("""COMPUTED_VALUE"""),1)</f>
        <v>1</v>
      </c>
      <c r="V1203" s="5" t="str">
        <f ca="1">IFERROR(__xludf.DUMMYFUNCTION("""COMPUTED_VALUE"""),"Shots fired into ground during a fight between parents at football game")</f>
        <v>Shots fired into ground during a fight between parents at football game</v>
      </c>
      <c r="W1203"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X1203" s="5" t="str">
        <f ca="1">IFERROR(__xludf.DUMMYFUNCTION("""COMPUTED_VALUE"""),"Escalation of Dispute")</f>
        <v>Escalation of Dispute</v>
      </c>
      <c r="Y1203" s="5" t="str">
        <f ca="1">IFERROR(__xludf.DUMMYFUNCTION("""COMPUTED_VALUE"""),"Neither")</f>
        <v>Neither</v>
      </c>
      <c r="Z1203" s="5" t="str">
        <f ca="1">IFERROR(__xludf.DUMMYFUNCTION("""COMPUTED_VALUE"""),"No")</f>
        <v>No</v>
      </c>
      <c r="AA1203" s="5"/>
      <c r="AB1203" s="5" t="str">
        <f ca="1">IFERROR(__xludf.DUMMYFUNCTION("""COMPUTED_VALUE"""),"No")</f>
        <v>No</v>
      </c>
      <c r="AC1203" s="5" t="str">
        <f ca="1">IFERROR(__xludf.DUMMYFUNCTION("""COMPUTED_VALUE"""),"No")</f>
        <v>No</v>
      </c>
      <c r="AD1203" s="5" t="str">
        <f ca="1">IFERROR(__xludf.DUMMYFUNCTION("""COMPUTED_VALUE"""),"No")</f>
        <v>No</v>
      </c>
      <c r="AE1203" s="5" t="str">
        <f ca="1">IFERROR(__xludf.DUMMYFUNCTION("""COMPUTED_VALUE"""),"No")</f>
        <v>No</v>
      </c>
      <c r="AF1203" s="5" t="str">
        <f ca="1">IFERROR(__xludf.DUMMYFUNCTION("""COMPUTED_VALUE"""),"No")</f>
        <v>No</v>
      </c>
      <c r="AG1203" s="5" t="str">
        <f ca="1">IFERROR(__xludf.DUMMYFUNCTION("""COMPUTED_VALUE"""),"No")</f>
        <v>No</v>
      </c>
      <c r="AH1203" s="5"/>
    </row>
    <row r="1204" spans="1:34" ht="12.75">
      <c r="A1204" s="5" t="str">
        <f ca="1">IFERROR(__xludf.DUMMYFUNCTION("""COMPUTED_VALUE"""),"20060831ALOXO")</f>
        <v>20060831ALOXO</v>
      </c>
      <c r="B1204" s="8">
        <f ca="1">IFERROR(__xludf.DUMMYFUNCTION("""COMPUTED_VALUE"""),38960)</f>
        <v>38960</v>
      </c>
      <c r="C1204" s="5" t="str">
        <f ca="1">IFERROR(__xludf.DUMMYFUNCTION("""COMPUTED_VALUE"""),"Oxford High School")</f>
        <v>Oxford High School</v>
      </c>
      <c r="D1204" s="5">
        <f ca="1">IFERROR(__xludf.DUMMYFUNCTION("""COMPUTED_VALUE"""),0)</f>
        <v>0</v>
      </c>
      <c r="E1204" s="5">
        <f ca="1">IFERROR(__xludf.DUMMYFUNCTION("""COMPUTED_VALUE"""),1)</f>
        <v>1</v>
      </c>
      <c r="F1204" s="5">
        <f ca="1">IFERROR(__xludf.DUMMYFUNCTION("""COMPUTED_VALUE"""),1)</f>
        <v>1</v>
      </c>
      <c r="G1204" s="5">
        <f ca="1">IFERROR(__xludf.DUMMYFUNCTION("""COMPUTED_VALUE"""),0)</f>
        <v>0</v>
      </c>
      <c r="H1204" s="9" t="str">
        <f ca="1">IFERROR(__xludf.DUMMYFUNCTION("""COMPUTED_VALUE"""),"https://www.newspapers.com/image/106551825/?terms=Oxford%2BHigh%2BSchool%2BHawkins%2Bshot")</f>
        <v>https://www.newspapers.com/image/106551825/?terms=Oxford%2BHigh%2BSchool%2BHawkins%2Bshot</v>
      </c>
      <c r="I1204" s="5"/>
      <c r="J1204" s="5"/>
      <c r="K1204" s="5">
        <f ca="1">IFERROR(__xludf.DUMMYFUNCTION("""COMPUTED_VALUE"""),2)</f>
        <v>2</v>
      </c>
      <c r="L1204" s="5" t="str">
        <f ca="1">IFERROR(__xludf.DUMMYFUNCTION("""COMPUTED_VALUE"""),"Summer")</f>
        <v>Summer</v>
      </c>
      <c r="M1204" s="5" t="str">
        <f ca="1">IFERROR(__xludf.DUMMYFUNCTION("""COMPUTED_VALUE"""),"Oxford")</f>
        <v>Oxford</v>
      </c>
      <c r="N1204" s="5" t="str">
        <f ca="1">IFERROR(__xludf.DUMMYFUNCTION("""COMPUTED_VALUE"""),"AL")</f>
        <v>AL</v>
      </c>
      <c r="O1204" s="5" t="str">
        <f ca="1">IFERROR(__xludf.DUMMYFUNCTION("""COMPUTED_VALUE"""),"High")</f>
        <v>High</v>
      </c>
      <c r="P1204" s="5" t="str">
        <f ca="1">IFERROR(__xludf.DUMMYFUNCTION("""COMPUTED_VALUE"""),"Football Field/Track")</f>
        <v>Football Field/Track</v>
      </c>
      <c r="Q1204" s="5" t="str">
        <f ca="1">IFERROR(__xludf.DUMMYFUNCTION("""COMPUTED_VALUE"""),"Outside on School Property")</f>
        <v>Outside on School Property</v>
      </c>
      <c r="R1204" s="5" t="str">
        <f ca="1">IFERROR(__xludf.DUMMYFUNCTION("""COMPUTED_VALUE"""),"No")</f>
        <v>No</v>
      </c>
      <c r="S1204" s="5" t="str">
        <f ca="1">IFERROR(__xludf.DUMMYFUNCTION("""COMPUTED_VALUE"""),"Sport Event")</f>
        <v>Sport Event</v>
      </c>
      <c r="T1204" s="10">
        <f ca="1">IFERROR(__xludf.DUMMYFUNCTION("""COMPUTED_VALUE"""),0.902777777777777)</f>
        <v>0.90277777777777701</v>
      </c>
      <c r="U1204" s="5">
        <f ca="1">IFERROR(__xludf.DUMMYFUNCTION("""COMPUTED_VALUE"""),1)</f>
        <v>1</v>
      </c>
      <c r="V1204" s="5" t="str">
        <f ca="1">IFERROR(__xludf.DUMMYFUNCTION("""COMPUTED_VALUE"""),"Shooting during football game (outside gate to stadium)")</f>
        <v>Shooting during football game (outside gate to stadium)</v>
      </c>
      <c r="W1204"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X1204" s="5" t="str">
        <f ca="1">IFERROR(__xludf.DUMMYFUNCTION("""COMPUTED_VALUE"""),"Escalation of Dispute")</f>
        <v>Escalation of Dispute</v>
      </c>
      <c r="Y1204" s="5" t="str">
        <f ca="1">IFERROR(__xludf.DUMMYFUNCTION("""COMPUTED_VALUE"""),"Victims Targeted")</f>
        <v>Victims Targeted</v>
      </c>
      <c r="Z1204" s="5" t="str">
        <f ca="1">IFERROR(__xludf.DUMMYFUNCTION("""COMPUTED_VALUE"""),"No")</f>
        <v>No</v>
      </c>
      <c r="AA1204" s="5"/>
      <c r="AB1204" s="5" t="str">
        <f ca="1">IFERROR(__xludf.DUMMYFUNCTION("""COMPUTED_VALUE"""),"No")</f>
        <v>No</v>
      </c>
      <c r="AC1204" s="5" t="str">
        <f ca="1">IFERROR(__xludf.DUMMYFUNCTION("""COMPUTED_VALUE"""),"No")</f>
        <v>No</v>
      </c>
      <c r="AD1204" s="5" t="str">
        <f ca="1">IFERROR(__xludf.DUMMYFUNCTION("""COMPUTED_VALUE"""),"No")</f>
        <v>No</v>
      </c>
      <c r="AE1204" s="5" t="str">
        <f ca="1">IFERROR(__xludf.DUMMYFUNCTION("""COMPUTED_VALUE"""),"No")</f>
        <v>No</v>
      </c>
      <c r="AF1204" s="5" t="str">
        <f ca="1">IFERROR(__xludf.DUMMYFUNCTION("""COMPUTED_VALUE"""),"No")</f>
        <v>No</v>
      </c>
      <c r="AG1204" s="5" t="str">
        <f ca="1">IFERROR(__xludf.DUMMYFUNCTION("""COMPUTED_VALUE"""),"No")</f>
        <v>No</v>
      </c>
      <c r="AH1204" s="5"/>
    </row>
    <row r="1205" spans="1:34" ht="12.75">
      <c r="A1205" s="5" t="str">
        <f ca="1">IFERROR(__xludf.DUMMYFUNCTION("""COMPUTED_VALUE"""),"20060830NCORH")</f>
        <v>20060830NCORH</v>
      </c>
      <c r="B1205" s="8">
        <f ca="1">IFERROR(__xludf.DUMMYFUNCTION("""COMPUTED_VALUE"""),38959)</f>
        <v>38959</v>
      </c>
      <c r="C1205" s="5" t="str">
        <f ca="1">IFERROR(__xludf.DUMMYFUNCTION("""COMPUTED_VALUE"""),"Orange High School")</f>
        <v>Orange High School</v>
      </c>
      <c r="D1205" s="5">
        <f ca="1">IFERROR(__xludf.DUMMYFUNCTION("""COMPUTED_VALUE"""),0)</f>
        <v>0</v>
      </c>
      <c r="E1205" s="5">
        <f ca="1">IFERROR(__xludf.DUMMYFUNCTION("""COMPUTED_VALUE"""),2)</f>
        <v>2</v>
      </c>
      <c r="F1205" s="5">
        <f ca="1">IFERROR(__xludf.DUMMYFUNCTION("""COMPUTED_VALUE"""),2)</f>
        <v>2</v>
      </c>
      <c r="G1205" s="5">
        <f ca="1">IFERROR(__xludf.DUMMYFUNCTION("""COMPUTED_VALUE"""),0)</f>
        <v>0</v>
      </c>
      <c r="H1205" s="5" t="str">
        <f ca="1">IFERROR(__xludf.DUMMYFUNCTION("""COMPUTED_VALUE"""),"http://www.wral.com/news/local/story/5840576/ https://www.fbi.gov/file-repository/active-shooter-incidents-2000-2017.pdf")</f>
        <v>http://www.wral.com/news/local/story/5840576/ https://www.fbi.gov/file-repository/active-shooter-incidents-2000-2017.pdf</v>
      </c>
      <c r="I1205" s="5"/>
      <c r="J1205" s="5"/>
      <c r="K1205" s="5">
        <f ca="1">IFERROR(__xludf.DUMMYFUNCTION("""COMPUTED_VALUE"""),5)</f>
        <v>5</v>
      </c>
      <c r="L1205" s="5" t="str">
        <f ca="1">IFERROR(__xludf.DUMMYFUNCTION("""COMPUTED_VALUE"""),"Summer")</f>
        <v>Summer</v>
      </c>
      <c r="M1205" s="5" t="str">
        <f ca="1">IFERROR(__xludf.DUMMYFUNCTION("""COMPUTED_VALUE"""),"Hillsborough")</f>
        <v>Hillsborough</v>
      </c>
      <c r="N1205" s="5" t="str">
        <f ca="1">IFERROR(__xludf.DUMMYFUNCTION("""COMPUTED_VALUE"""),"NC")</f>
        <v>NC</v>
      </c>
      <c r="O1205" s="5" t="str">
        <f ca="1">IFERROR(__xludf.DUMMYFUNCTION("""COMPUTED_VALUE"""),"High")</f>
        <v>High</v>
      </c>
      <c r="P1205" s="5" t="str">
        <f ca="1">IFERROR(__xludf.DUMMYFUNCTION("""COMPUTED_VALUE"""),"Parking Lot")</f>
        <v>Parking Lot</v>
      </c>
      <c r="Q1205" s="5" t="str">
        <f ca="1">IFERROR(__xludf.DUMMYFUNCTION("""COMPUTED_VALUE"""),"Outside on School Property")</f>
        <v>Outside on School Property</v>
      </c>
      <c r="R1205" s="5" t="str">
        <f ca="1">IFERROR(__xludf.DUMMYFUNCTION("""COMPUTED_VALUE"""),"Yes")</f>
        <v>Yes</v>
      </c>
      <c r="S1205" s="5" t="str">
        <f ca="1">IFERROR(__xludf.DUMMYFUNCTION("""COMPUTED_VALUE"""),"Afternoon Classes")</f>
        <v>Afternoon Classes</v>
      </c>
      <c r="T1205" s="10">
        <f ca="1">IFERROR(__xludf.DUMMYFUNCTION("""COMPUTED_VALUE"""),0.541666666666666)</f>
        <v>0.54166666666666596</v>
      </c>
      <c r="U1205" s="5"/>
      <c r="V1205" s="5" t="str">
        <f ca="1">IFERROR(__xludf.DUMMYFUNCTION("""COMPUTED_VALUE"""),"Planned attack, surrendered immediately after first shots to sheriff's deputies in parking lot")</f>
        <v>Planned attack, surrendered immediately after first shots to sheriff's deputies in parking lot</v>
      </c>
      <c r="W1205"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X1205" s="5" t="str">
        <f ca="1">IFERROR(__xludf.DUMMYFUNCTION("""COMPUTED_VALUE"""),"Indiscriminate Shooting")</f>
        <v>Indiscriminate Shooting</v>
      </c>
      <c r="Y1205" s="5" t="str">
        <f ca="1">IFERROR(__xludf.DUMMYFUNCTION("""COMPUTED_VALUE"""),"Random Shooting")</f>
        <v>Random Shooting</v>
      </c>
      <c r="Z1205" s="5" t="str">
        <f ca="1">IFERROR(__xludf.DUMMYFUNCTION("""COMPUTED_VALUE"""),"No")</f>
        <v>No</v>
      </c>
      <c r="AA1205" s="5"/>
      <c r="AB1205" s="5" t="str">
        <f ca="1">IFERROR(__xludf.DUMMYFUNCTION("""COMPUTED_VALUE"""),"No")</f>
        <v>No</v>
      </c>
      <c r="AC1205" s="5" t="str">
        <f ca="1">IFERROR(__xludf.DUMMYFUNCTION("""COMPUTED_VALUE"""),"No")</f>
        <v>No</v>
      </c>
      <c r="AD1205" s="5" t="str">
        <f ca="1">IFERROR(__xludf.DUMMYFUNCTION("""COMPUTED_VALUE"""),"No")</f>
        <v>No</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IFERROR(__xludf.DUMMYFUNCTION("""COMPUTED_VALUE"""),"Yes")</f>
        <v>Yes</v>
      </c>
    </row>
    <row r="1206" spans="1:34" ht="12.75">
      <c r="A1206" s="5" t="str">
        <f ca="1">IFERROR(__xludf.DUMMYFUNCTION("""COMPUTED_VALUE"""),"20060829DCANW")</f>
        <v>20060829DCANW</v>
      </c>
      <c r="B1206" s="8">
        <f ca="1">IFERROR(__xludf.DUMMYFUNCTION("""COMPUTED_VALUE"""),38958)</f>
        <v>38958</v>
      </c>
      <c r="C1206" s="5" t="str">
        <f ca="1">IFERROR(__xludf.DUMMYFUNCTION("""COMPUTED_VALUE"""),"Anacostia Senior High School")</f>
        <v>Anacostia Senior High School</v>
      </c>
      <c r="D1206" s="5">
        <f ca="1">IFERROR(__xludf.DUMMYFUNCTION("""COMPUTED_VALUE"""),0)</f>
        <v>0</v>
      </c>
      <c r="E1206" s="5">
        <f ca="1">IFERROR(__xludf.DUMMYFUNCTION("""COMPUTED_VALUE"""),0)</f>
        <v>0</v>
      </c>
      <c r="F1206" s="5">
        <f ca="1">IFERROR(__xludf.DUMMYFUNCTION("""COMPUTED_VALUE"""),0)</f>
        <v>0</v>
      </c>
      <c r="G1206" s="5">
        <f ca="1">IFERROR(__xludf.DUMMYFUNCTION("""COMPUTED_VALUE"""),0)</f>
        <v>0</v>
      </c>
      <c r="H1206"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I1206" s="5"/>
      <c r="J1206" s="5"/>
      <c r="K1206" s="5">
        <f ca="1">IFERROR(__xludf.DUMMYFUNCTION("""COMPUTED_VALUE"""),2)</f>
        <v>2</v>
      </c>
      <c r="L1206" s="5" t="str">
        <f ca="1">IFERROR(__xludf.DUMMYFUNCTION("""COMPUTED_VALUE"""),"Summer")</f>
        <v>Summer</v>
      </c>
      <c r="M1206" s="5" t="str">
        <f ca="1">IFERROR(__xludf.DUMMYFUNCTION("""COMPUTED_VALUE"""),"Washington")</f>
        <v>Washington</v>
      </c>
      <c r="N1206" s="5" t="str">
        <f ca="1">IFERROR(__xludf.DUMMYFUNCTION("""COMPUTED_VALUE"""),"DC")</f>
        <v>DC</v>
      </c>
      <c r="O1206" s="5" t="str">
        <f ca="1">IFERROR(__xludf.DUMMYFUNCTION("""COMPUTED_VALUE"""),"High")</f>
        <v>High</v>
      </c>
      <c r="P1206" s="5" t="str">
        <f ca="1">IFERROR(__xludf.DUMMYFUNCTION("""COMPUTED_VALUE"""),"Parking Lot")</f>
        <v>Parking Lot</v>
      </c>
      <c r="Q1206" s="5" t="str">
        <f ca="1">IFERROR(__xludf.DUMMYFUNCTION("""COMPUTED_VALUE"""),"Outside on School Property")</f>
        <v>Outside on School Property</v>
      </c>
      <c r="R1206" s="5" t="str">
        <f ca="1">IFERROR(__xludf.DUMMYFUNCTION("""COMPUTED_VALUE"""),"Yes")</f>
        <v>Yes</v>
      </c>
      <c r="S1206" s="5" t="str">
        <f ca="1">IFERROR(__xludf.DUMMYFUNCTION("""COMPUTED_VALUE"""),"Dismissal")</f>
        <v>Dismissal</v>
      </c>
      <c r="T1206" s="10">
        <f ca="1">IFERROR(__xludf.DUMMYFUNCTION("""COMPUTED_VALUE"""),0.635416666666666)</f>
        <v>0.63541666666666596</v>
      </c>
      <c r="U1206" s="5">
        <f ca="1">IFERROR(__xludf.DUMMYFUNCTION("""COMPUTED_VALUE"""),1)</f>
        <v>1</v>
      </c>
      <c r="V1206" s="5" t="str">
        <f ca="1">IFERROR(__xludf.DUMMYFUNCTION("""COMPUTED_VALUE"""),"Fired one shot in parking lot, fled, ditched gun, but was caught by officer at school")</f>
        <v>Fired one shot in parking lot, fled, ditched gun, but was caught by officer at school</v>
      </c>
      <c r="W1206"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X1206" s="5" t="str">
        <f ca="1">IFERROR(__xludf.DUMMYFUNCTION("""COMPUTED_VALUE"""),"Escalation of Dispute")</f>
        <v>Escalation of Dispute</v>
      </c>
      <c r="Y1206" s="5" t="str">
        <f ca="1">IFERROR(__xludf.DUMMYFUNCTION("""COMPUTED_VALUE"""),"Neither")</f>
        <v>Neither</v>
      </c>
      <c r="Z1206" s="5" t="str">
        <f ca="1">IFERROR(__xludf.DUMMYFUNCTION("""COMPUTED_VALUE"""),"No")</f>
        <v>No</v>
      </c>
      <c r="AA1206" s="5"/>
      <c r="AB1206" s="5" t="str">
        <f ca="1">IFERROR(__xludf.DUMMYFUNCTION("""COMPUTED_VALUE"""),"No")</f>
        <v>No</v>
      </c>
      <c r="AC1206" s="5" t="str">
        <f ca="1">IFERROR(__xludf.DUMMYFUNCTION("""COMPUTED_VALUE"""),"No")</f>
        <v>No</v>
      </c>
      <c r="AD1206" s="5" t="str">
        <f ca="1">IFERROR(__xludf.DUMMYFUNCTION("""COMPUTED_VALUE"""),"No")</f>
        <v>No</v>
      </c>
      <c r="AE1206" s="5" t="str">
        <f ca="1">IFERROR(__xludf.DUMMYFUNCTION("""COMPUTED_VALUE"""),"No")</f>
        <v>No</v>
      </c>
      <c r="AF1206" s="5" t="str">
        <f ca="1">IFERROR(__xludf.DUMMYFUNCTION("""COMPUTED_VALUE"""),"No")</f>
        <v>No</v>
      </c>
      <c r="AG1206" s="5" t="str">
        <f ca="1">IFERROR(__xludf.DUMMYFUNCTION("""COMPUTED_VALUE"""),"No")</f>
        <v>No</v>
      </c>
      <c r="AH1206" s="5"/>
    </row>
    <row r="1207" spans="1:34" ht="12.75">
      <c r="A1207" s="5" t="str">
        <f ca="1">IFERROR(__xludf.DUMMYFUNCTION("""COMPUTED_VALUE"""),"20060824VTESE")</f>
        <v>20060824VTESE</v>
      </c>
      <c r="B1207" s="8">
        <f ca="1">IFERROR(__xludf.DUMMYFUNCTION("""COMPUTED_VALUE"""),38953)</f>
        <v>38953</v>
      </c>
      <c r="C1207" s="5" t="str">
        <f ca="1">IFERROR(__xludf.DUMMYFUNCTION("""COMPUTED_VALUE"""),"Essex Elementary School")</f>
        <v>Essex Elementary School</v>
      </c>
      <c r="D1207" s="5">
        <f ca="1">IFERROR(__xludf.DUMMYFUNCTION("""COMPUTED_VALUE"""),1)</f>
        <v>1</v>
      </c>
      <c r="E1207" s="5">
        <f ca="1">IFERROR(__xludf.DUMMYFUNCTION("""COMPUTED_VALUE"""),0)</f>
        <v>0</v>
      </c>
      <c r="F1207" s="5">
        <f ca="1">IFERROR(__xludf.DUMMYFUNCTION("""COMPUTED_VALUE"""),1)</f>
        <v>1</v>
      </c>
      <c r="G1207" s="5">
        <f ca="1">IFERROR(__xludf.DUMMYFUNCTION("""COMPUTED_VALUE"""),0)</f>
        <v>0</v>
      </c>
      <c r="H1207"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I1207" s="5"/>
      <c r="J1207" s="5"/>
      <c r="K1207" s="5">
        <f ca="1">IFERROR(__xludf.DUMMYFUNCTION("""COMPUTED_VALUE"""),5)</f>
        <v>5</v>
      </c>
      <c r="L1207" s="5" t="str">
        <f ca="1">IFERROR(__xludf.DUMMYFUNCTION("""COMPUTED_VALUE"""),"Summer")</f>
        <v>Summer</v>
      </c>
      <c r="M1207" s="5" t="str">
        <f ca="1">IFERROR(__xludf.DUMMYFUNCTION("""COMPUTED_VALUE"""),"Essex Junction")</f>
        <v>Essex Junction</v>
      </c>
      <c r="N1207" s="5" t="str">
        <f ca="1">IFERROR(__xludf.DUMMYFUNCTION("""COMPUTED_VALUE"""),"VT")</f>
        <v>VT</v>
      </c>
      <c r="O1207" s="5" t="str">
        <f ca="1">IFERROR(__xludf.DUMMYFUNCTION("""COMPUTED_VALUE"""),"Elementary")</f>
        <v>Elementary</v>
      </c>
      <c r="P1207" s="5" t="str">
        <f ca="1">IFERROR(__xludf.DUMMYFUNCTION("""COMPUTED_VALUE"""),"Classroom")</f>
        <v>Classroom</v>
      </c>
      <c r="Q1207" s="5" t="str">
        <f ca="1">IFERROR(__xludf.DUMMYFUNCTION("""COMPUTED_VALUE"""),"Inside School Building")</f>
        <v>Inside School Building</v>
      </c>
      <c r="R1207" s="5" t="str">
        <f ca="1">IFERROR(__xludf.DUMMYFUNCTION("""COMPUTED_VALUE"""),"Yes")</f>
        <v>Yes</v>
      </c>
      <c r="S1207" s="5"/>
      <c r="T1207" s="5"/>
      <c r="U1207" s="5">
        <f ca="1">IFERROR(__xludf.DUMMYFUNCTION("""COMPUTED_VALUE"""),1)</f>
        <v>1</v>
      </c>
      <c r="V1207" s="5" t="str">
        <f ca="1">IFERROR(__xludf.DUMMYFUNCTION("""COMPUTED_VALUE"""),"Killed ex-girlfriend (teacher) at the school")</f>
        <v>Killed ex-girlfriend (teacher) at the school</v>
      </c>
      <c r="W1207"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X1207" s="5" t="str">
        <f ca="1">IFERROR(__xludf.DUMMYFUNCTION("""COMPUTED_VALUE"""),"Domestic w/ Targeted Victim")</f>
        <v>Domestic w/ Targeted Victim</v>
      </c>
      <c r="Y1207" s="5" t="str">
        <f ca="1">IFERROR(__xludf.DUMMYFUNCTION("""COMPUTED_VALUE"""),"Both")</f>
        <v>Both</v>
      </c>
      <c r="Z1207" s="5" t="str">
        <f ca="1">IFERROR(__xludf.DUMMYFUNCTION("""COMPUTED_VALUE"""),"No")</f>
        <v>No</v>
      </c>
      <c r="AA1207" s="5"/>
      <c r="AB1207" s="5" t="str">
        <f ca="1">IFERROR(__xludf.DUMMYFUNCTION("""COMPUTED_VALUE"""),"No")</f>
        <v>No</v>
      </c>
      <c r="AC1207" s="5" t="str">
        <f ca="1">IFERROR(__xludf.DUMMYFUNCTION("""COMPUTED_VALUE"""),"No")</f>
        <v>No</v>
      </c>
      <c r="AD1207" s="5" t="str">
        <f ca="1">IFERROR(__xludf.DUMMYFUNCTION("""COMPUTED_VALUE"""),"No")</f>
        <v>No</v>
      </c>
      <c r="AE1207" s="5" t="str">
        <f ca="1">IFERROR(__xludf.DUMMYFUNCTION("""COMPUTED_VALUE"""),"No")</f>
        <v>No</v>
      </c>
      <c r="AF1207" s="5" t="str">
        <f ca="1">IFERROR(__xludf.DUMMYFUNCTION("""COMPUTED_VALUE"""),"Yes")</f>
        <v>Yes</v>
      </c>
      <c r="AG1207" s="5" t="str">
        <f ca="1">IFERROR(__xludf.DUMMYFUNCTION("""COMPUTED_VALUE"""),"No")</f>
        <v>No</v>
      </c>
      <c r="AH1207" s="5"/>
    </row>
    <row r="1208" spans="1:34" ht="12.75">
      <c r="A1208" s="5" t="str">
        <f ca="1">IFERROR(__xludf.DUMMYFUNCTION("""COMPUTED_VALUE"""),"20060821INCAN")</f>
        <v>20060821INCAN</v>
      </c>
      <c r="B1208" s="8">
        <f ca="1">IFERROR(__xludf.DUMMYFUNCTION("""COMPUTED_VALUE"""),38950)</f>
        <v>38950</v>
      </c>
      <c r="C1208" s="5" t="str">
        <f ca="1">IFERROR(__xludf.DUMMYFUNCTION("""COMPUTED_VALUE"""),"Castle High School")</f>
        <v>Castle High School</v>
      </c>
      <c r="D1208" s="5">
        <f ca="1">IFERROR(__xludf.DUMMYFUNCTION("""COMPUTED_VALUE"""),0)</f>
        <v>0</v>
      </c>
      <c r="E1208" s="5">
        <f ca="1">IFERROR(__xludf.DUMMYFUNCTION("""COMPUTED_VALUE"""),0)</f>
        <v>0</v>
      </c>
      <c r="F1208" s="5">
        <f ca="1">IFERROR(__xludf.DUMMYFUNCTION("""COMPUTED_VALUE"""),0)</f>
        <v>0</v>
      </c>
      <c r="G1208" s="5">
        <f ca="1">IFERROR(__xludf.DUMMYFUNCTION("""COMPUTED_VALUE"""),1)</f>
        <v>1</v>
      </c>
      <c r="H1208" s="9" t="str">
        <f ca="1">IFERROR(__xludf.DUMMYFUNCTION("""COMPUTED_VALUE"""),"http://www.14news.com/story/5306020/funeral-set-for-castle-suicide-victim?clienttype=printable&amp;redirected=true")</f>
        <v>http://www.14news.com/story/5306020/funeral-set-for-castle-suicide-victim?clienttype=printable&amp;redirected=true</v>
      </c>
      <c r="I1208" s="5"/>
      <c r="J1208" s="5"/>
      <c r="K1208" s="5">
        <f ca="1">IFERROR(__xludf.DUMMYFUNCTION("""COMPUTED_VALUE"""),2)</f>
        <v>2</v>
      </c>
      <c r="L1208" s="5" t="str">
        <f ca="1">IFERROR(__xludf.DUMMYFUNCTION("""COMPUTED_VALUE"""),"Summer")</f>
        <v>Summer</v>
      </c>
      <c r="M1208" s="5" t="str">
        <f ca="1">IFERROR(__xludf.DUMMYFUNCTION("""COMPUTED_VALUE"""),"Newburgh")</f>
        <v>Newburgh</v>
      </c>
      <c r="N1208" s="5" t="str">
        <f ca="1">IFERROR(__xludf.DUMMYFUNCTION("""COMPUTED_VALUE"""),"IN")</f>
        <v>IN</v>
      </c>
      <c r="O1208" s="5" t="str">
        <f ca="1">IFERROR(__xludf.DUMMYFUNCTION("""COMPUTED_VALUE"""),"High")</f>
        <v>High</v>
      </c>
      <c r="P1208" s="5" t="str">
        <f ca="1">IFERROR(__xludf.DUMMYFUNCTION("""COMPUTED_VALUE"""),"Parking Lot")</f>
        <v>Parking Lot</v>
      </c>
      <c r="Q1208" s="5" t="str">
        <f ca="1">IFERROR(__xludf.DUMMYFUNCTION("""COMPUTED_VALUE"""),"Outside on School Property")</f>
        <v>Outside on School Property</v>
      </c>
      <c r="R1208" s="5" t="str">
        <f ca="1">IFERROR(__xludf.DUMMYFUNCTION("""COMPUTED_VALUE"""),"Yes")</f>
        <v>Yes</v>
      </c>
      <c r="S1208" s="5" t="str">
        <f ca="1">IFERROR(__xludf.DUMMYFUNCTION("""COMPUTED_VALUE"""),"Morning Classes")</f>
        <v>Morning Classes</v>
      </c>
      <c r="T1208" s="5"/>
      <c r="U1208" s="5">
        <f ca="1">IFERROR(__xludf.DUMMYFUNCTION("""COMPUTED_VALUE"""),1)</f>
        <v>1</v>
      </c>
      <c r="V1208" s="5" t="str">
        <f ca="1">IFERROR(__xludf.DUMMYFUNCTION("""COMPUTED_VALUE"""),"Shot himself in car in parking lot after giving suicide note to friend")</f>
        <v>Shot himself in car in parking lot after giving suicide note to friend</v>
      </c>
      <c r="W1208"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X1208" s="5" t="str">
        <f ca="1">IFERROR(__xludf.DUMMYFUNCTION("""COMPUTED_VALUE"""),"Suicide/Attempted")</f>
        <v>Suicide/Attempted</v>
      </c>
      <c r="Y1208" s="5" t="str">
        <f ca="1">IFERROR(__xludf.DUMMYFUNCTION("""COMPUTED_VALUE"""),"Victims Targeted")</f>
        <v>Victims Targeted</v>
      </c>
      <c r="Z1208" s="5" t="str">
        <f ca="1">IFERROR(__xludf.DUMMYFUNCTION("""COMPUTED_VALUE"""),"No")</f>
        <v>No</v>
      </c>
      <c r="AA1208" s="5"/>
      <c r="AB1208" s="5" t="str">
        <f ca="1">IFERROR(__xludf.DUMMYFUNCTION("""COMPUTED_VALUE"""),"No")</f>
        <v>No</v>
      </c>
      <c r="AC1208" s="5" t="str">
        <f ca="1">IFERROR(__xludf.DUMMYFUNCTION("""COMPUTED_VALUE"""),"No")</f>
        <v>No</v>
      </c>
      <c r="AD1208" s="5" t="str">
        <f ca="1">IFERROR(__xludf.DUMMYFUNCTION("""COMPUTED_VALUE"""),"No")</f>
        <v>No</v>
      </c>
      <c r="AE1208" s="5" t="str">
        <f ca="1">IFERROR(__xludf.DUMMYFUNCTION("""COMPUTED_VALUE"""),"No")</f>
        <v>No</v>
      </c>
      <c r="AF1208" s="5" t="str">
        <f ca="1">IFERROR(__xludf.DUMMYFUNCTION("""COMPUTED_VALUE"""),"No")</f>
        <v>No</v>
      </c>
      <c r="AG1208" s="5" t="str">
        <f ca="1">IFERROR(__xludf.DUMMYFUNCTION("""COMPUTED_VALUE"""),"No")</f>
        <v>No</v>
      </c>
      <c r="AH1208" s="5"/>
    </row>
    <row r="1209" spans="1:34" ht="12.75">
      <c r="A1209" s="5" t="str">
        <f ca="1">IFERROR(__xludf.DUMMYFUNCTION("""COMPUTED_VALUE"""),"20060820GALYH")</f>
        <v>20060820GALYH</v>
      </c>
      <c r="B1209" s="8">
        <f ca="1">IFERROR(__xludf.DUMMYFUNCTION("""COMPUTED_VALUE"""),38949)</f>
        <v>38949</v>
      </c>
      <c r="C1209" s="5" t="str">
        <f ca="1">IFERROR(__xludf.DUMMYFUNCTION("""COMPUTED_VALUE"""),"Lyman Hall Elementary School")</f>
        <v>Lyman Hall Elementary School</v>
      </c>
      <c r="D1209" s="5">
        <f ca="1">IFERROR(__xludf.DUMMYFUNCTION("""COMPUTED_VALUE"""),0)</f>
        <v>0</v>
      </c>
      <c r="E1209" s="5">
        <f ca="1">IFERROR(__xludf.DUMMYFUNCTION("""COMPUTED_VALUE"""),2)</f>
        <v>2</v>
      </c>
      <c r="F1209" s="5">
        <f ca="1">IFERROR(__xludf.DUMMYFUNCTION("""COMPUTED_VALUE"""),2)</f>
        <v>2</v>
      </c>
      <c r="G1209" s="5">
        <f ca="1">IFERROR(__xludf.DUMMYFUNCTION("""COMPUTED_VALUE"""),0)</f>
        <v>0</v>
      </c>
      <c r="H1209" s="9" t="str">
        <f ca="1">IFERROR(__xludf.DUMMYFUNCTION("""COMPUTED_VALUE"""),"http://www.savannahnow.com/article/20060821/NEWS/308219914")</f>
        <v>http://www.savannahnow.com/article/20060821/NEWS/308219914</v>
      </c>
      <c r="I1209" s="5"/>
      <c r="J1209" s="5"/>
      <c r="K1209" s="5">
        <f ca="1">IFERROR(__xludf.DUMMYFUNCTION("""COMPUTED_VALUE"""),2)</f>
        <v>2</v>
      </c>
      <c r="L1209" s="5" t="str">
        <f ca="1">IFERROR(__xludf.DUMMYFUNCTION("""COMPUTED_VALUE"""),"Summer")</f>
        <v>Summer</v>
      </c>
      <c r="M1209" s="5" t="str">
        <f ca="1">IFERROR(__xludf.DUMMYFUNCTION("""COMPUTED_VALUE"""),"Hinesville")</f>
        <v>Hinesville</v>
      </c>
      <c r="N1209" s="5" t="str">
        <f ca="1">IFERROR(__xludf.DUMMYFUNCTION("""COMPUTED_VALUE"""),"GA")</f>
        <v>GA</v>
      </c>
      <c r="O1209" s="5" t="str">
        <f ca="1">IFERROR(__xludf.DUMMYFUNCTION("""COMPUTED_VALUE"""),"High")</f>
        <v>High</v>
      </c>
      <c r="P1209" s="5" t="str">
        <f ca="1">IFERROR(__xludf.DUMMYFUNCTION("""COMPUTED_VALUE"""),"Basketball Court")</f>
        <v>Basketball Court</v>
      </c>
      <c r="Q1209" s="5" t="str">
        <f ca="1">IFERROR(__xludf.DUMMYFUNCTION("""COMPUTED_VALUE"""),"Outside on School Property")</f>
        <v>Outside on School Property</v>
      </c>
      <c r="R1209" s="5" t="str">
        <f ca="1">IFERROR(__xludf.DUMMYFUNCTION("""COMPUTED_VALUE"""),"No")</f>
        <v>No</v>
      </c>
      <c r="S1209" s="5" t="str">
        <f ca="1">IFERROR(__xludf.DUMMYFUNCTION("""COMPUTED_VALUE"""),"Not a School Day")</f>
        <v>Not a School Day</v>
      </c>
      <c r="T1209" s="10">
        <f ca="1">IFERROR(__xludf.DUMMYFUNCTION("""COMPUTED_VALUE"""),0.8125)</f>
        <v>0.8125</v>
      </c>
      <c r="U1209" s="5">
        <f ca="1">IFERROR(__xludf.DUMMYFUNCTION("""COMPUTED_VALUE"""),1)</f>
        <v>1</v>
      </c>
      <c r="V1209" s="5" t="str">
        <f ca="1">IFERROR(__xludf.DUMMYFUNCTION("""COMPUTED_VALUE"""),"Shot during fight on basketball court at school")</f>
        <v>Shot during fight on basketball court at school</v>
      </c>
      <c r="W1209"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X1209" s="5" t="str">
        <f ca="1">IFERROR(__xludf.DUMMYFUNCTION("""COMPUTED_VALUE"""),"Escalation of Dispute")</f>
        <v>Escalation of Dispute</v>
      </c>
      <c r="Y1209" s="5" t="str">
        <f ca="1">IFERROR(__xludf.DUMMYFUNCTION("""COMPUTED_VALUE"""),"Victims Targeted")</f>
        <v>Victims Targeted</v>
      </c>
      <c r="Z1209" s="5" t="str">
        <f ca="1">IFERROR(__xludf.DUMMYFUNCTION("""COMPUTED_VALUE"""),"Yes")</f>
        <v>Yes</v>
      </c>
      <c r="AA1209" s="5" t="str">
        <f ca="1">IFERROR(__xludf.DUMMYFUNCTION("""COMPUTED_VALUE"""),"Group of teens fled")</f>
        <v>Group of teens fled</v>
      </c>
      <c r="AB1209" s="5" t="str">
        <f ca="1">IFERROR(__xludf.DUMMYFUNCTION("""COMPUTED_VALUE"""),"No")</f>
        <v>No</v>
      </c>
      <c r="AC1209" s="5" t="str">
        <f ca="1">IFERROR(__xludf.DUMMYFUNCTION("""COMPUTED_VALUE"""),"No")</f>
        <v>No</v>
      </c>
      <c r="AD1209" s="5" t="str">
        <f ca="1">IFERROR(__xludf.DUMMYFUNCTION("""COMPUTED_VALUE"""),"No")</f>
        <v>No</v>
      </c>
      <c r="AE1209" s="5" t="str">
        <f ca="1">IFERROR(__xludf.DUMMYFUNCTION("""COMPUTED_VALUE"""),"No")</f>
        <v>No</v>
      </c>
      <c r="AF1209" s="5" t="str">
        <f ca="1">IFERROR(__xludf.DUMMYFUNCTION("""COMPUTED_VALUE"""),"No")</f>
        <v>No</v>
      </c>
      <c r="AG1209" s="5" t="str">
        <f ca="1">IFERROR(__xludf.DUMMYFUNCTION("""COMPUTED_VALUE"""),"No")</f>
        <v>No</v>
      </c>
      <c r="AH1209" s="5"/>
    </row>
    <row r="1210" spans="1:34" ht="12.75">
      <c r="A1210" s="5" t="str">
        <f ca="1">IFERROR(__xludf.DUMMYFUNCTION("""COMPUTED_VALUE"""),"20060819OHSOY")</f>
        <v>20060819OHSOY</v>
      </c>
      <c r="B1210" s="8">
        <f ca="1">IFERROR(__xludf.DUMMYFUNCTION("""COMPUTED_VALUE"""),38948)</f>
        <v>38948</v>
      </c>
      <c r="C1210" s="5" t="str">
        <f ca="1">IFERROR(__xludf.DUMMYFUNCTION("""COMPUTED_VALUE"""),"South High School")</f>
        <v>South High School</v>
      </c>
      <c r="D1210" s="5">
        <f ca="1">IFERROR(__xludf.DUMMYFUNCTION("""COMPUTED_VALUE"""),1)</f>
        <v>1</v>
      </c>
      <c r="E1210" s="5">
        <f ca="1">IFERROR(__xludf.DUMMYFUNCTION("""COMPUTED_VALUE"""),0)</f>
        <v>0</v>
      </c>
      <c r="F1210" s="5">
        <f ca="1">IFERROR(__xludf.DUMMYFUNCTION("""COMPUTED_VALUE"""),1)</f>
        <v>1</v>
      </c>
      <c r="G1210" s="5">
        <f ca="1">IFERROR(__xludf.DUMMYFUNCTION("""COMPUTED_VALUE"""),0)</f>
        <v>0</v>
      </c>
      <c r="H1210" s="9" t="str">
        <f ca="1">IFERROR(__xludf.DUMMYFUNCTION("""COMPUTED_VALUE"""),"http://www.vindy.com/news/2009/jul/27/trial-under-way-for-man-accused-of-shooting-death/")</f>
        <v>http://www.vindy.com/news/2009/jul/27/trial-under-way-for-man-accused-of-shooting-death/</v>
      </c>
      <c r="I1210" s="5"/>
      <c r="J1210" s="5"/>
      <c r="K1210" s="5">
        <f ca="1">IFERROR(__xludf.DUMMYFUNCTION("""COMPUTED_VALUE"""),2)</f>
        <v>2</v>
      </c>
      <c r="L1210" s="5" t="str">
        <f ca="1">IFERROR(__xludf.DUMMYFUNCTION("""COMPUTED_VALUE"""),"Summer")</f>
        <v>Summer</v>
      </c>
      <c r="M1210" s="5" t="str">
        <f ca="1">IFERROR(__xludf.DUMMYFUNCTION("""COMPUTED_VALUE"""),"Youngstown")</f>
        <v>Youngstown</v>
      </c>
      <c r="N1210" s="5" t="str">
        <f ca="1">IFERROR(__xludf.DUMMYFUNCTION("""COMPUTED_VALUE"""),"OH")</f>
        <v>OH</v>
      </c>
      <c r="O1210" s="5" t="str">
        <f ca="1">IFERROR(__xludf.DUMMYFUNCTION("""COMPUTED_VALUE"""),"High")</f>
        <v>High</v>
      </c>
      <c r="P1210" s="5" t="str">
        <f ca="1">IFERROR(__xludf.DUMMYFUNCTION("""COMPUTED_VALUE"""),"Football Field/Track")</f>
        <v>Football Field/Track</v>
      </c>
      <c r="Q1210" s="5" t="str">
        <f ca="1">IFERROR(__xludf.DUMMYFUNCTION("""COMPUTED_VALUE"""),"Outside on School Property")</f>
        <v>Outside on School Property</v>
      </c>
      <c r="R1210" s="5" t="str">
        <f ca="1">IFERROR(__xludf.DUMMYFUNCTION("""COMPUTED_VALUE"""),"No")</f>
        <v>No</v>
      </c>
      <c r="S1210" s="5" t="str">
        <f ca="1">IFERROR(__xludf.DUMMYFUNCTION("""COMPUTED_VALUE"""),"Not a School Day")</f>
        <v>Not a School Day</v>
      </c>
      <c r="T1210" s="10">
        <f ca="1">IFERROR(__xludf.DUMMYFUNCTION("""COMPUTED_VALUE"""),0.65625)</f>
        <v>0.65625</v>
      </c>
      <c r="U1210" s="5">
        <f ca="1">IFERROR(__xludf.DUMMYFUNCTION("""COMPUTED_VALUE"""),1)</f>
        <v>1</v>
      </c>
      <c r="V1210" s="5" t="str">
        <f ca="1">IFERROR(__xludf.DUMMYFUNCTION("""COMPUTED_VALUE"""),"Shots fired during fight between adults at football game, part of Ongoing conflict")</f>
        <v>Shots fired during fight between adults at football game, part of Ongoing conflict</v>
      </c>
      <c r="W1210" s="5" t="str">
        <f ca="1">IFERROR(__xludf.DUMMYFUNCTION("""COMPUTED_VALUE"""),"25YOM shot 31YOM at youth football game when fight escalated as part of an ongoing dispute.")</f>
        <v>25YOM shot 31YOM at youth football game when fight escalated as part of an ongoing dispute.</v>
      </c>
      <c r="X1210" s="5" t="str">
        <f ca="1">IFERROR(__xludf.DUMMYFUNCTION("""COMPUTED_VALUE"""),"Escalation of Dispute")</f>
        <v>Escalation of Dispute</v>
      </c>
      <c r="Y1210" s="5" t="str">
        <f ca="1">IFERROR(__xludf.DUMMYFUNCTION("""COMPUTED_VALUE"""),"Victims Targeted")</f>
        <v>Victims Targeted</v>
      </c>
      <c r="Z1210" s="5" t="str">
        <f ca="1">IFERROR(__xludf.DUMMYFUNCTION("""COMPUTED_VALUE"""),"No")</f>
        <v>No</v>
      </c>
      <c r="AA1210" s="5"/>
      <c r="AB1210" s="5" t="str">
        <f ca="1">IFERROR(__xludf.DUMMYFUNCTION("""COMPUTED_VALUE"""),"No")</f>
        <v>No</v>
      </c>
      <c r="AC1210" s="5" t="str">
        <f ca="1">IFERROR(__xludf.DUMMYFUNCTION("""COMPUTED_VALUE"""),"No")</f>
        <v>No</v>
      </c>
      <c r="AD1210" s="5" t="str">
        <f ca="1">IFERROR(__xludf.DUMMYFUNCTION("""COMPUTED_VALUE"""),"No")</f>
        <v>No</v>
      </c>
      <c r="AE1210" s="5" t="str">
        <f ca="1">IFERROR(__xludf.DUMMYFUNCTION("""COMPUTED_VALUE"""),"No")</f>
        <v>No</v>
      </c>
      <c r="AF1210" s="5" t="str">
        <f ca="1">IFERROR(__xludf.DUMMYFUNCTION("""COMPUTED_VALUE"""),"No")</f>
        <v>No</v>
      </c>
      <c r="AG1210" s="5" t="str">
        <f ca="1">IFERROR(__xludf.DUMMYFUNCTION("""COMPUTED_VALUE"""),"No")</f>
        <v>No</v>
      </c>
      <c r="AH1210" s="5"/>
    </row>
    <row r="1211" spans="1:34" ht="12.75">
      <c r="A1211" s="5" t="str">
        <f ca="1">IFERROR(__xludf.DUMMYFUNCTION("""COMPUTED_VALUE"""),"20060817TXMEA")</f>
        <v>20060817TXMEA</v>
      </c>
      <c r="B1211" s="8">
        <f ca="1">IFERROR(__xludf.DUMMYFUNCTION("""COMPUTED_VALUE"""),38946)</f>
        <v>38946</v>
      </c>
      <c r="C1211" s="5" t="str">
        <f ca="1">IFERROR(__xludf.DUMMYFUNCTION("""COMPUTED_VALUE"""),"Mendez Middle School")</f>
        <v>Mendez Middle School</v>
      </c>
      <c r="D1211" s="5">
        <f ca="1">IFERROR(__xludf.DUMMYFUNCTION("""COMPUTED_VALUE"""),1)</f>
        <v>1</v>
      </c>
      <c r="E1211" s="5">
        <f ca="1">IFERROR(__xludf.DUMMYFUNCTION("""COMPUTED_VALUE"""),0)</f>
        <v>0</v>
      </c>
      <c r="F1211" s="5">
        <f ca="1">IFERROR(__xludf.DUMMYFUNCTION("""COMPUTED_VALUE"""),1)</f>
        <v>1</v>
      </c>
      <c r="G1211" s="5">
        <f ca="1">IFERROR(__xludf.DUMMYFUNCTION("""COMPUTED_VALUE"""),0)</f>
        <v>0</v>
      </c>
      <c r="H1211" s="9" t="str">
        <f ca="1">IFERROR(__xludf.DUMMYFUNCTION("""COMPUTED_VALUE"""),"http://www.pressreader.com/usa/austin-american-statesman/20060822/281908768618808")</f>
        <v>http://www.pressreader.com/usa/austin-american-statesman/20060822/281908768618808</v>
      </c>
      <c r="I1211" s="5"/>
      <c r="J1211" s="5"/>
      <c r="K1211" s="5">
        <f ca="1">IFERROR(__xludf.DUMMYFUNCTION("""COMPUTED_VALUE"""),2)</f>
        <v>2</v>
      </c>
      <c r="L1211" s="5" t="str">
        <f ca="1">IFERROR(__xludf.DUMMYFUNCTION("""COMPUTED_VALUE"""),"Summer")</f>
        <v>Summer</v>
      </c>
      <c r="M1211" s="5" t="str">
        <f ca="1">IFERROR(__xludf.DUMMYFUNCTION("""COMPUTED_VALUE"""),"Austin")</f>
        <v>Austin</v>
      </c>
      <c r="N1211" s="5" t="str">
        <f ca="1">IFERROR(__xludf.DUMMYFUNCTION("""COMPUTED_VALUE"""),"TX")</f>
        <v>TX</v>
      </c>
      <c r="O1211" s="5" t="str">
        <f ca="1">IFERROR(__xludf.DUMMYFUNCTION("""COMPUTED_VALUE"""),"Middle")</f>
        <v>Middle</v>
      </c>
      <c r="P1211" s="5" t="str">
        <f ca="1">IFERROR(__xludf.DUMMYFUNCTION("""COMPUTED_VALUE"""),"Outside on School Property")</f>
        <v>Outside on School Property</v>
      </c>
      <c r="Q1211" s="5" t="str">
        <f ca="1">IFERROR(__xludf.DUMMYFUNCTION("""COMPUTED_VALUE"""),"Outside on School Property")</f>
        <v>Outside on School Property</v>
      </c>
      <c r="R1211" s="5" t="str">
        <f ca="1">IFERROR(__xludf.DUMMYFUNCTION("""COMPUTED_VALUE"""),"No")</f>
        <v>No</v>
      </c>
      <c r="S1211" s="5" t="str">
        <f ca="1">IFERROR(__xludf.DUMMYFUNCTION("""COMPUTED_VALUE"""),"Not a School Day")</f>
        <v>Not a School Day</v>
      </c>
      <c r="T1211" s="10">
        <f ca="1">IFERROR(__xludf.DUMMYFUNCTION("""COMPUTED_VALUE"""),0.833333333333333)</f>
        <v>0.83333333333333304</v>
      </c>
      <c r="U1211" s="5">
        <f ca="1">IFERROR(__xludf.DUMMYFUNCTION("""COMPUTED_VALUE"""),1)</f>
        <v>1</v>
      </c>
      <c r="V1211" s="5" t="str">
        <f ca="1">IFERROR(__xludf.DUMMYFUNCTION("""COMPUTED_VALUE"""),"Shot at school by two rival gang members involved in ongoing dispute with victim")</f>
        <v>Shot at school by two rival gang members involved in ongoing dispute with victim</v>
      </c>
      <c r="W1211" s="5" t="str">
        <f ca="1">IFERROR(__xludf.DUMMYFUNCTION("""COMPUTED_VALUE"""),"21YOM was shot while school to attend birthday party during dispute with two rival gang members.")</f>
        <v>21YOM was shot while school to attend birthday party during dispute with two rival gang members.</v>
      </c>
      <c r="X1211" s="5" t="str">
        <f ca="1">IFERROR(__xludf.DUMMYFUNCTION("""COMPUTED_VALUE"""),"Escalation of Dispute")</f>
        <v>Escalation of Dispute</v>
      </c>
      <c r="Y1211" s="5" t="str">
        <f ca="1">IFERROR(__xludf.DUMMYFUNCTION("""COMPUTED_VALUE"""),"Victims Targeted")</f>
        <v>Victims Targeted</v>
      </c>
      <c r="Z1211" s="5" t="str">
        <f ca="1">IFERROR(__xludf.DUMMYFUNCTION("""COMPUTED_VALUE"""),"Yes")</f>
        <v>Yes</v>
      </c>
      <c r="AA1211" s="5" t="str">
        <f ca="1">IFERROR(__xludf.DUMMYFUNCTION("""COMPUTED_VALUE"""),"2 gang members involved, unclear which one was shooter")</f>
        <v>2 gang members involved, unclear which one was shooter</v>
      </c>
      <c r="AB1211" s="5" t="str">
        <f ca="1">IFERROR(__xludf.DUMMYFUNCTION("""COMPUTED_VALUE"""),"No")</f>
        <v>No</v>
      </c>
      <c r="AC1211" s="5" t="str">
        <f ca="1">IFERROR(__xludf.DUMMYFUNCTION("""COMPUTED_VALUE"""),"No")</f>
        <v>No</v>
      </c>
      <c r="AD1211" s="5" t="str">
        <f ca="1">IFERROR(__xludf.DUMMYFUNCTION("""COMPUTED_VALUE"""),"No")</f>
        <v>No</v>
      </c>
      <c r="AE1211" s="5" t="str">
        <f ca="1">IFERROR(__xludf.DUMMYFUNCTION("""COMPUTED_VALUE"""),"No")</f>
        <v>No</v>
      </c>
      <c r="AF1211" s="5" t="str">
        <f ca="1">IFERROR(__xludf.DUMMYFUNCTION("""COMPUTED_VALUE"""),"No")</f>
        <v>No</v>
      </c>
      <c r="AG1211" s="5" t="str">
        <f ca="1">IFERROR(__xludf.DUMMYFUNCTION("""COMPUTED_VALUE"""),"Yes")</f>
        <v>Yes</v>
      </c>
      <c r="AH1211" s="5"/>
    </row>
    <row r="1212" spans="1:34" ht="12.75">
      <c r="A1212" s="5" t="str">
        <f ca="1">IFERROR(__xludf.DUMMYFUNCTION("""COMPUTED_VALUE"""),"20060815KYJTV")</f>
        <v>20060815KYJTV</v>
      </c>
      <c r="B1212" s="8">
        <f ca="1">IFERROR(__xludf.DUMMYFUNCTION("""COMPUTED_VALUE"""),38944)</f>
        <v>38944</v>
      </c>
      <c r="C1212" s="5" t="str">
        <f ca="1">IFERROR(__xludf.DUMMYFUNCTION("""COMPUTED_VALUE"""),"J T Alton Middle School")</f>
        <v>J T Alton Middle School</v>
      </c>
      <c r="D1212" s="5">
        <f ca="1">IFERROR(__xludf.DUMMYFUNCTION("""COMPUTED_VALUE"""),0)</f>
        <v>0</v>
      </c>
      <c r="E1212" s="5">
        <f ca="1">IFERROR(__xludf.DUMMYFUNCTION("""COMPUTED_VALUE"""),0)</f>
        <v>0</v>
      </c>
      <c r="F1212" s="5">
        <f ca="1">IFERROR(__xludf.DUMMYFUNCTION("""COMPUTED_VALUE"""),0)</f>
        <v>0</v>
      </c>
      <c r="G1212" s="5">
        <f ca="1">IFERROR(__xludf.DUMMYFUNCTION("""COMPUTED_VALUE"""),0)</f>
        <v>0</v>
      </c>
      <c r="H1212" s="9" t="str">
        <f ca="1">IFERROR(__xludf.DUMMYFUNCTION("""COMPUTED_VALUE"""),"https://www.newspapers.com/image/379718672/?terms=J.%2BT.%2BAlton%2BMiddle%2BSchool%2Bbullet%2Bceiling")</f>
        <v>https://www.newspapers.com/image/379718672/?terms=J.%2BT.%2BAlton%2BMiddle%2BSchool%2Bbullet%2Bceiling</v>
      </c>
      <c r="I1212" s="5"/>
      <c r="J1212" s="5"/>
      <c r="K1212" s="5">
        <f ca="1">IFERROR(__xludf.DUMMYFUNCTION("""COMPUTED_VALUE"""),2)</f>
        <v>2</v>
      </c>
      <c r="L1212" s="5" t="str">
        <f ca="1">IFERROR(__xludf.DUMMYFUNCTION("""COMPUTED_VALUE"""),"Summer")</f>
        <v>Summer</v>
      </c>
      <c r="M1212" s="5" t="str">
        <f ca="1">IFERROR(__xludf.DUMMYFUNCTION("""COMPUTED_VALUE"""),"Vine Grove")</f>
        <v>Vine Grove</v>
      </c>
      <c r="N1212" s="5" t="str">
        <f ca="1">IFERROR(__xludf.DUMMYFUNCTION("""COMPUTED_VALUE"""),"KY")</f>
        <v>KY</v>
      </c>
      <c r="O1212" s="5" t="str">
        <f ca="1">IFERROR(__xludf.DUMMYFUNCTION("""COMPUTED_VALUE"""),"Middle")</f>
        <v>Middle</v>
      </c>
      <c r="P1212" s="5" t="str">
        <f ca="1">IFERROR(__xludf.DUMMYFUNCTION("""COMPUTED_VALUE"""),"Classroom")</f>
        <v>Classroom</v>
      </c>
      <c r="Q1212" s="5" t="str">
        <f ca="1">IFERROR(__xludf.DUMMYFUNCTION("""COMPUTED_VALUE"""),"Inside School Building")</f>
        <v>Inside School Building</v>
      </c>
      <c r="R1212" s="5" t="str">
        <f ca="1">IFERROR(__xludf.DUMMYFUNCTION("""COMPUTED_VALUE"""),"Yes")</f>
        <v>Yes</v>
      </c>
      <c r="S1212" s="5"/>
      <c r="T1212" s="5"/>
      <c r="U1212" s="5">
        <f ca="1">IFERROR(__xludf.DUMMYFUNCTION("""COMPUTED_VALUE"""),1)</f>
        <v>1</v>
      </c>
      <c r="V1212" s="5" t="str">
        <f ca="1">IFERROR(__xludf.DUMMYFUNCTION("""COMPUTED_VALUE"""),"Showing off gun, accidentally fired striking ceiling")</f>
        <v>Showing off gun, accidentally fired striking ceiling</v>
      </c>
      <c r="W1212"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X1212" s="5" t="str">
        <f ca="1">IFERROR(__xludf.DUMMYFUNCTION("""COMPUTED_VALUE"""),"Accidental")</f>
        <v>Accidental</v>
      </c>
      <c r="Y1212" s="5" t="str">
        <f ca="1">IFERROR(__xludf.DUMMYFUNCTION("""COMPUTED_VALUE"""),"Neither")</f>
        <v>Neither</v>
      </c>
      <c r="Z1212" s="5" t="str">
        <f ca="1">IFERROR(__xludf.DUMMYFUNCTION("""COMPUTED_VALUE"""),"No")</f>
        <v>No</v>
      </c>
      <c r="AA1212" s="5"/>
      <c r="AB1212" s="5" t="str">
        <f ca="1">IFERROR(__xludf.DUMMYFUNCTION("""COMPUTED_VALUE"""),"No")</f>
        <v>No</v>
      </c>
      <c r="AC1212" s="5" t="str">
        <f ca="1">IFERROR(__xludf.DUMMYFUNCTION("""COMPUTED_VALUE"""),"No")</f>
        <v>No</v>
      </c>
      <c r="AD1212" s="5" t="str">
        <f ca="1">IFERROR(__xludf.DUMMYFUNCTION("""COMPUTED_VALUE"""),"No")</f>
        <v>No</v>
      </c>
      <c r="AE1212" s="5" t="str">
        <f ca="1">IFERROR(__xludf.DUMMYFUNCTION("""COMPUTED_VALUE"""),"No")</f>
        <v>No</v>
      </c>
      <c r="AF1212" s="5" t="str">
        <f ca="1">IFERROR(__xludf.DUMMYFUNCTION("""COMPUTED_VALUE"""),"No")</f>
        <v>No</v>
      </c>
      <c r="AG1212" s="5" t="str">
        <f ca="1">IFERROR(__xludf.DUMMYFUNCTION("""COMPUTED_VALUE"""),"No")</f>
        <v>No</v>
      </c>
      <c r="AH1212" s="5"/>
    </row>
    <row r="1213" spans="1:34" ht="12.75">
      <c r="A1213" s="5" t="str">
        <f ca="1">IFERROR(__xludf.DUMMYFUNCTION("""COMPUTED_VALUE"""),"20060731FLYOT")</f>
        <v>20060731FLYOT</v>
      </c>
      <c r="B1213" s="8">
        <f ca="1">IFERROR(__xludf.DUMMYFUNCTION("""COMPUTED_VALUE"""),38929)</f>
        <v>38929</v>
      </c>
      <c r="C1213" s="5" t="str">
        <f ca="1">IFERROR(__xludf.DUMMYFUNCTION("""COMPUTED_VALUE"""),"Young Middle Magnet School")</f>
        <v>Young Middle Magnet School</v>
      </c>
      <c r="D1213" s="5">
        <f ca="1">IFERROR(__xludf.DUMMYFUNCTION("""COMPUTED_VALUE"""),1)</f>
        <v>1</v>
      </c>
      <c r="E1213" s="5">
        <f ca="1">IFERROR(__xludf.DUMMYFUNCTION("""COMPUTED_VALUE"""),0)</f>
        <v>0</v>
      </c>
      <c r="F1213" s="5">
        <f ca="1">IFERROR(__xludf.DUMMYFUNCTION("""COMPUTED_VALUE"""),1)</f>
        <v>1</v>
      </c>
      <c r="G1213" s="5">
        <f ca="1">IFERROR(__xludf.DUMMYFUNCTION("""COMPUTED_VALUE"""),1)</f>
        <v>1</v>
      </c>
      <c r="H1213" s="9" t="str">
        <f ca="1">IFERROR(__xludf.DUMMYFUNCTION("""COMPUTED_VALUE"""),"https://www.newspapers.com/image/330166745/")</f>
        <v>https://www.newspapers.com/image/330166745/</v>
      </c>
      <c r="I1213" s="5"/>
      <c r="J1213" s="5"/>
      <c r="K1213" s="5">
        <f ca="1">IFERROR(__xludf.DUMMYFUNCTION("""COMPUTED_VALUE"""),2)</f>
        <v>2</v>
      </c>
      <c r="L1213" s="5" t="str">
        <f ca="1">IFERROR(__xludf.DUMMYFUNCTION("""COMPUTED_VALUE"""),"Summer")</f>
        <v>Summer</v>
      </c>
      <c r="M1213" s="5" t="str">
        <f ca="1">IFERROR(__xludf.DUMMYFUNCTION("""COMPUTED_VALUE"""),"Tampa")</f>
        <v>Tampa</v>
      </c>
      <c r="N1213" s="5" t="str">
        <f ca="1">IFERROR(__xludf.DUMMYFUNCTION("""COMPUTED_VALUE"""),"FL")</f>
        <v>FL</v>
      </c>
      <c r="O1213" s="5" t="str">
        <f ca="1">IFERROR(__xludf.DUMMYFUNCTION("""COMPUTED_VALUE"""),"Middle")</f>
        <v>Middle</v>
      </c>
      <c r="P1213" s="5" t="str">
        <f ca="1">IFERROR(__xludf.DUMMYFUNCTION("""COMPUTED_VALUE"""),"Parking Lot")</f>
        <v>Parking Lot</v>
      </c>
      <c r="Q1213" s="5" t="str">
        <f ca="1">IFERROR(__xludf.DUMMYFUNCTION("""COMPUTED_VALUE"""),"Outside on School Property")</f>
        <v>Outside on School Property</v>
      </c>
      <c r="R1213" s="5" t="str">
        <f ca="1">IFERROR(__xludf.DUMMYFUNCTION("""COMPUTED_VALUE"""),"No")</f>
        <v>No</v>
      </c>
      <c r="S1213" s="5" t="str">
        <f ca="1">IFERROR(__xludf.DUMMYFUNCTION("""COMPUTED_VALUE"""),"Before School")</f>
        <v>Before School</v>
      </c>
      <c r="T1213" s="10">
        <f ca="1">IFERROR(__xludf.DUMMYFUNCTION("""COMPUTED_VALUE"""),0.263888888888888)</f>
        <v>0.26388888888888801</v>
      </c>
      <c r="U1213" s="5">
        <f ca="1">IFERROR(__xludf.DUMMYFUNCTION("""COMPUTED_VALUE"""),1)</f>
        <v>1</v>
      </c>
      <c r="V1213" s="5" t="str">
        <f ca="1">IFERROR(__xludf.DUMMYFUNCTION("""COMPUTED_VALUE"""),"Dropped off kids, husband and wife were found dead in car in parking lot, believed to be murder/suicide")</f>
        <v>Dropped off kids, husband and wife were found dead in car in parking lot, believed to be murder/suicide</v>
      </c>
      <c r="W1213"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X1213" s="5" t="str">
        <f ca="1">IFERROR(__xludf.DUMMYFUNCTION("""COMPUTED_VALUE"""),"Murder/Suicide")</f>
        <v>Murder/Suicide</v>
      </c>
      <c r="Y1213" s="5" t="str">
        <f ca="1">IFERROR(__xludf.DUMMYFUNCTION("""COMPUTED_VALUE"""),"Victims Targeted")</f>
        <v>Victims Targeted</v>
      </c>
      <c r="Z1213" s="5" t="str">
        <f ca="1">IFERROR(__xludf.DUMMYFUNCTION("""COMPUTED_VALUE"""),"No")</f>
        <v>No</v>
      </c>
      <c r="AA1213" s="5"/>
      <c r="AB1213" s="5" t="str">
        <f ca="1">IFERROR(__xludf.DUMMYFUNCTION("""COMPUTED_VALUE"""),"No")</f>
        <v>No</v>
      </c>
      <c r="AC1213" s="5" t="str">
        <f ca="1">IFERROR(__xludf.DUMMYFUNCTION("""COMPUTED_VALUE"""),"No")</f>
        <v>No</v>
      </c>
      <c r="AD1213" s="5" t="str">
        <f ca="1">IFERROR(__xludf.DUMMYFUNCTION("""COMPUTED_VALUE"""),"No")</f>
        <v>No</v>
      </c>
      <c r="AE1213" s="5" t="str">
        <f ca="1">IFERROR(__xludf.DUMMYFUNCTION("""COMPUTED_VALUE"""),"No")</f>
        <v>No</v>
      </c>
      <c r="AF1213" s="5" t="str">
        <f ca="1">IFERROR(__xludf.DUMMYFUNCTION("""COMPUTED_VALUE"""),"Yes")</f>
        <v>Yes</v>
      </c>
      <c r="AG1213" s="5" t="str">
        <f ca="1">IFERROR(__xludf.DUMMYFUNCTION("""COMPUTED_VALUE"""),"No")</f>
        <v>No</v>
      </c>
      <c r="AH1213" s="5"/>
    </row>
    <row r="1214" spans="1:34" ht="12.75">
      <c r="A1214" s="5" t="str">
        <f ca="1">IFERROR(__xludf.DUMMYFUNCTION("""COMPUTED_VALUE"""),"20060615MIPED")</f>
        <v>20060615MIPED</v>
      </c>
      <c r="B1214" s="8">
        <f ca="1">IFERROR(__xludf.DUMMYFUNCTION("""COMPUTED_VALUE"""),38883)</f>
        <v>38883</v>
      </c>
      <c r="C1214" s="5" t="str">
        <f ca="1">IFERROR(__xludf.DUMMYFUNCTION("""COMPUTED_VALUE"""),"Pershing High School")</f>
        <v>Pershing High School</v>
      </c>
      <c r="D1214" s="5">
        <f ca="1">IFERROR(__xludf.DUMMYFUNCTION("""COMPUTED_VALUE"""),0)</f>
        <v>0</v>
      </c>
      <c r="E1214" s="5">
        <f ca="1">IFERROR(__xludf.DUMMYFUNCTION("""COMPUTED_VALUE"""),1)</f>
        <v>1</v>
      </c>
      <c r="F1214" s="5">
        <f ca="1">IFERROR(__xludf.DUMMYFUNCTION("""COMPUTED_VALUE"""),1)</f>
        <v>1</v>
      </c>
      <c r="G1214" s="5">
        <f ca="1">IFERROR(__xludf.DUMMYFUNCTION("""COMPUTED_VALUE"""),0)</f>
        <v>0</v>
      </c>
      <c r="H1214" s="9" t="str">
        <f ca="1">IFERROR(__xludf.DUMMYFUNCTION("""COMPUTED_VALUE"""),"https://www.newspapers.com/image/363378271/?terms=Pershing%2BHigh%2BSchool%2Bshooting")</f>
        <v>https://www.newspapers.com/image/363378271/?terms=Pershing%2BHigh%2BSchool%2Bshooting</v>
      </c>
      <c r="I1214" s="5"/>
      <c r="J1214" s="5"/>
      <c r="K1214" s="5">
        <f ca="1">IFERROR(__xludf.DUMMYFUNCTION("""COMPUTED_VALUE"""),2)</f>
        <v>2</v>
      </c>
      <c r="L1214" s="5" t="str">
        <f ca="1">IFERROR(__xludf.DUMMYFUNCTION("""COMPUTED_VALUE"""),"Summer")</f>
        <v>Summer</v>
      </c>
      <c r="M1214" s="5" t="str">
        <f ca="1">IFERROR(__xludf.DUMMYFUNCTION("""COMPUTED_VALUE"""),"Detroit")</f>
        <v>Detroit</v>
      </c>
      <c r="N1214" s="5" t="str">
        <f ca="1">IFERROR(__xludf.DUMMYFUNCTION("""COMPUTED_VALUE"""),"MI")</f>
        <v>MI</v>
      </c>
      <c r="O1214" s="5" t="str">
        <f ca="1">IFERROR(__xludf.DUMMYFUNCTION("""COMPUTED_VALUE"""),"High")</f>
        <v>High</v>
      </c>
      <c r="P1214" s="5" t="str">
        <f ca="1">IFERROR(__xludf.DUMMYFUNCTION("""COMPUTED_VALUE"""),"Front of School")</f>
        <v>Front of School</v>
      </c>
      <c r="Q1214" s="5" t="str">
        <f ca="1">IFERROR(__xludf.DUMMYFUNCTION("""COMPUTED_VALUE"""),"Outside on School Property")</f>
        <v>Outside on School Property</v>
      </c>
      <c r="R1214" s="5" t="str">
        <f ca="1">IFERROR(__xludf.DUMMYFUNCTION("""COMPUTED_VALUE"""),"No")</f>
        <v>No</v>
      </c>
      <c r="S1214" s="5" t="str">
        <f ca="1">IFERROR(__xludf.DUMMYFUNCTION("""COMPUTED_VALUE"""),"Evening")</f>
        <v>Evening</v>
      </c>
      <c r="T1214" s="10">
        <f ca="1">IFERROR(__xludf.DUMMYFUNCTION("""COMPUTED_VALUE"""),0.753472222222222)</f>
        <v>0.75347222222222199</v>
      </c>
      <c r="U1214" s="5">
        <f ca="1">IFERROR(__xludf.DUMMYFUNCTION("""COMPUTED_VALUE"""),1)</f>
        <v>1</v>
      </c>
      <c r="V1214" s="5" t="str">
        <f ca="1">IFERROR(__xludf.DUMMYFUNCTION("""COMPUTED_VALUE"""),"Students throwing bottles at cars, car chased them down and shot student 3 times")</f>
        <v>Students throwing bottles at cars, car chased them down and shot student 3 times</v>
      </c>
      <c r="W1214"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X1214" s="5" t="str">
        <f ca="1">IFERROR(__xludf.DUMMYFUNCTION("""COMPUTED_VALUE"""),"Escalation of Dispute")</f>
        <v>Escalation of Dispute</v>
      </c>
      <c r="Y1214" s="5" t="str">
        <f ca="1">IFERROR(__xludf.DUMMYFUNCTION("""COMPUTED_VALUE"""),"Victims Targeted")</f>
        <v>Victims Targeted</v>
      </c>
      <c r="Z1214" s="5" t="str">
        <f ca="1">IFERROR(__xludf.DUMMYFUNCTION("""COMPUTED_VALUE"""),"Yes")</f>
        <v>Yes</v>
      </c>
      <c r="AA1214" s="5" t="str">
        <f ca="1">IFERROR(__xludf.DUMMYFUNCTION("""COMPUTED_VALUE"""),"Two males in car")</f>
        <v>Two males in car</v>
      </c>
      <c r="AB1214" s="5" t="str">
        <f ca="1">IFERROR(__xludf.DUMMYFUNCTION("""COMPUTED_VALUE"""),"No")</f>
        <v>No</v>
      </c>
      <c r="AC1214" s="5" t="str">
        <f ca="1">IFERROR(__xludf.DUMMYFUNCTION("""COMPUTED_VALUE"""),"No")</f>
        <v>No</v>
      </c>
      <c r="AD1214" s="5" t="str">
        <f ca="1">IFERROR(__xludf.DUMMYFUNCTION("""COMPUTED_VALUE"""),"No")</f>
        <v>No</v>
      </c>
      <c r="AE1214" s="5" t="str">
        <f ca="1">IFERROR(__xludf.DUMMYFUNCTION("""COMPUTED_VALUE"""),"No")</f>
        <v>No</v>
      </c>
      <c r="AF1214" s="5" t="str">
        <f ca="1">IFERROR(__xludf.DUMMYFUNCTION("""COMPUTED_VALUE"""),"No")</f>
        <v>No</v>
      </c>
      <c r="AG1214" s="5" t="str">
        <f ca="1">IFERROR(__xludf.DUMMYFUNCTION("""COMPUTED_VALUE"""),"No")</f>
        <v>No</v>
      </c>
      <c r="AH1214" s="5"/>
    </row>
    <row r="1215" spans="1:34" ht="12.75">
      <c r="A1215" s="5" t="str">
        <f ca="1">IFERROR(__xludf.DUMMYFUNCTION("""COMPUTED_VALUE"""),"20060606INWIG")</f>
        <v>20060606INWIG</v>
      </c>
      <c r="B1215" s="8">
        <f ca="1">IFERROR(__xludf.DUMMYFUNCTION("""COMPUTED_VALUE"""),38874)</f>
        <v>38874</v>
      </c>
      <c r="C1215" s="5" t="str">
        <f ca="1">IFERROR(__xludf.DUMMYFUNCTION("""COMPUTED_VALUE"""),"Wirt High School")</f>
        <v>Wirt High School</v>
      </c>
      <c r="D1215" s="5">
        <f ca="1">IFERROR(__xludf.DUMMYFUNCTION("""COMPUTED_VALUE"""),1)</f>
        <v>1</v>
      </c>
      <c r="E1215" s="5">
        <f ca="1">IFERROR(__xludf.DUMMYFUNCTION("""COMPUTED_VALUE"""),0)</f>
        <v>0</v>
      </c>
      <c r="F1215" s="5">
        <f ca="1">IFERROR(__xludf.DUMMYFUNCTION("""COMPUTED_VALUE"""),1)</f>
        <v>1</v>
      </c>
      <c r="G1215" s="5">
        <f ca="1">IFERROR(__xludf.DUMMYFUNCTION("""COMPUTED_VALUE"""),0)</f>
        <v>0</v>
      </c>
      <c r="H1215" s="9" t="str">
        <f ca="1">IFERROR(__xludf.DUMMYFUNCTION("""COMPUTED_VALUE"""),"https://www.nwitimes.com/news/local/eskew-guilty-in-wirt-high-school-shooting/article_c43a6d4c-8921-5a4a-8e1a-8af4f3506ca2.html")</f>
        <v>https://www.nwitimes.com/news/local/eskew-guilty-in-wirt-high-school-shooting/article_c43a6d4c-8921-5a4a-8e1a-8af4f3506ca2.html</v>
      </c>
      <c r="I1215" s="5"/>
      <c r="J1215" s="5"/>
      <c r="K1215" s="5">
        <f ca="1">IFERROR(__xludf.DUMMYFUNCTION("""COMPUTED_VALUE"""),2)</f>
        <v>2</v>
      </c>
      <c r="L1215" s="5" t="str">
        <f ca="1">IFERROR(__xludf.DUMMYFUNCTION("""COMPUTED_VALUE"""),"Summer")</f>
        <v>Summer</v>
      </c>
      <c r="M1215" s="5" t="str">
        <f ca="1">IFERROR(__xludf.DUMMYFUNCTION("""COMPUTED_VALUE"""),"Gary")</f>
        <v>Gary</v>
      </c>
      <c r="N1215" s="5" t="str">
        <f ca="1">IFERROR(__xludf.DUMMYFUNCTION("""COMPUTED_VALUE"""),"IN")</f>
        <v>IN</v>
      </c>
      <c r="O1215" s="5" t="str">
        <f ca="1">IFERROR(__xludf.DUMMYFUNCTION("""COMPUTED_VALUE"""),"High")</f>
        <v>High</v>
      </c>
      <c r="P1215" s="5" t="str">
        <f ca="1">IFERROR(__xludf.DUMMYFUNCTION("""COMPUTED_VALUE"""),"Auditorium")</f>
        <v>Auditorium</v>
      </c>
      <c r="Q1215" s="5" t="str">
        <f ca="1">IFERROR(__xludf.DUMMYFUNCTION("""COMPUTED_VALUE"""),"Inside School Building")</f>
        <v>Inside School Building</v>
      </c>
      <c r="R1215" s="5" t="str">
        <f ca="1">IFERROR(__xludf.DUMMYFUNCTION("""COMPUTED_VALUE"""),"No")</f>
        <v>No</v>
      </c>
      <c r="S1215" s="5" t="str">
        <f ca="1">IFERROR(__xludf.DUMMYFUNCTION("""COMPUTED_VALUE"""),"School Event")</f>
        <v>School Event</v>
      </c>
      <c r="T1215" s="5"/>
      <c r="U1215" s="5">
        <f ca="1">IFERROR(__xludf.DUMMYFUNCTION("""COMPUTED_VALUE"""),1)</f>
        <v>1</v>
      </c>
      <c r="V1215" s="5" t="str">
        <f ca="1">IFERROR(__xludf.DUMMYFUNCTION("""COMPUTED_VALUE"""),"Fight between relatives at graduation")</f>
        <v>Fight between relatives at graduation</v>
      </c>
      <c r="W1215"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X1215" s="5" t="str">
        <f ca="1">IFERROR(__xludf.DUMMYFUNCTION("""COMPUTED_VALUE"""),"Escalation of Dispute")</f>
        <v>Escalation of Dispute</v>
      </c>
      <c r="Y1215" s="5" t="str">
        <f ca="1">IFERROR(__xludf.DUMMYFUNCTION("""COMPUTED_VALUE"""),"Victims Targeted")</f>
        <v>Victims Targeted</v>
      </c>
      <c r="Z1215" s="5" t="str">
        <f ca="1">IFERROR(__xludf.DUMMYFUNCTION("""COMPUTED_VALUE"""),"Yes")</f>
        <v>Yes</v>
      </c>
      <c r="AA1215" s="5" t="str">
        <f ca="1">IFERROR(__xludf.DUMMYFUNCTION("""COMPUTED_VALUE"""),"Evan Eskew (brother) also charged")</f>
        <v>Evan Eskew (brother) also charged</v>
      </c>
      <c r="AB1215" s="5" t="str">
        <f ca="1">IFERROR(__xludf.DUMMYFUNCTION("""COMPUTED_VALUE"""),"No")</f>
        <v>No</v>
      </c>
      <c r="AC1215" s="5" t="str">
        <f ca="1">IFERROR(__xludf.DUMMYFUNCTION("""COMPUTED_VALUE"""),"No")</f>
        <v>No</v>
      </c>
      <c r="AD1215" s="5" t="str">
        <f ca="1">IFERROR(__xludf.DUMMYFUNCTION("""COMPUTED_VALUE"""),"No")</f>
        <v>No</v>
      </c>
      <c r="AE1215" s="5" t="str">
        <f ca="1">IFERROR(__xludf.DUMMYFUNCTION("""COMPUTED_VALUE"""),"No")</f>
        <v>No</v>
      </c>
      <c r="AF1215" s="5" t="str">
        <f ca="1">IFERROR(__xludf.DUMMYFUNCTION("""COMPUTED_VALUE"""),"No")</f>
        <v>No</v>
      </c>
      <c r="AG1215" s="5" t="str">
        <f ca="1">IFERROR(__xludf.DUMMYFUNCTION("""COMPUTED_VALUE"""),"No")</f>
        <v>No</v>
      </c>
      <c r="AH1215" s="5"/>
    </row>
    <row r="1216" spans="1:34" ht="12.75">
      <c r="A1216" s="5" t="str">
        <f ca="1">IFERROR(__xludf.DUMMYFUNCTION("""COMPUTED_VALUE"""),"20060605CAVEL")</f>
        <v>20060605CAVEL</v>
      </c>
      <c r="B1216" s="8">
        <f ca="1">IFERROR(__xludf.DUMMYFUNCTION("""COMPUTED_VALUE"""),38873)</f>
        <v>38873</v>
      </c>
      <c r="C1216" s="5" t="str">
        <f ca="1">IFERROR(__xludf.DUMMYFUNCTION("""COMPUTED_VALUE"""),"Venice High School")</f>
        <v>Venice High School</v>
      </c>
      <c r="D1216" s="5">
        <f ca="1">IFERROR(__xludf.DUMMYFUNCTION("""COMPUTED_VALUE"""),1)</f>
        <v>1</v>
      </c>
      <c r="E1216" s="5">
        <f ca="1">IFERROR(__xludf.DUMMYFUNCTION("""COMPUTED_VALUE"""),0)</f>
        <v>0</v>
      </c>
      <c r="F1216" s="5">
        <f ca="1">IFERROR(__xludf.DUMMYFUNCTION("""COMPUTED_VALUE"""),1)</f>
        <v>1</v>
      </c>
      <c r="G1216" s="5">
        <f ca="1">IFERROR(__xludf.DUMMYFUNCTION("""COMPUTED_VALUE"""),0)</f>
        <v>0</v>
      </c>
      <c r="H1216" s="9" t="str">
        <f ca="1">IFERROR(__xludf.DUMMYFUNCTION("""COMPUTED_VALUE"""),"http://articles.latimes.com/2006/jun/07/local/me-venice7")</f>
        <v>http://articles.latimes.com/2006/jun/07/local/me-venice7</v>
      </c>
      <c r="I1216" s="5"/>
      <c r="J1216" s="5"/>
      <c r="K1216" s="5">
        <f ca="1">IFERROR(__xludf.DUMMYFUNCTION("""COMPUTED_VALUE"""),2)</f>
        <v>2</v>
      </c>
      <c r="L1216" s="5" t="str">
        <f ca="1">IFERROR(__xludf.DUMMYFUNCTION("""COMPUTED_VALUE"""),"Summer")</f>
        <v>Summer</v>
      </c>
      <c r="M1216" s="5" t="str">
        <f ca="1">IFERROR(__xludf.DUMMYFUNCTION("""COMPUTED_VALUE"""),"Los Angeles")</f>
        <v>Los Angeles</v>
      </c>
      <c r="N1216" s="5" t="str">
        <f ca="1">IFERROR(__xludf.DUMMYFUNCTION("""COMPUTED_VALUE"""),"CA")</f>
        <v>CA</v>
      </c>
      <c r="O1216" s="5" t="str">
        <f ca="1">IFERROR(__xludf.DUMMYFUNCTION("""COMPUTED_VALUE"""),"High")</f>
        <v>High</v>
      </c>
      <c r="P1216" s="5" t="str">
        <f ca="1">IFERROR(__xludf.DUMMYFUNCTION("""COMPUTED_VALUE"""),"Parking Lot")</f>
        <v>Parking Lot</v>
      </c>
      <c r="Q1216" s="5" t="str">
        <f ca="1">IFERROR(__xludf.DUMMYFUNCTION("""COMPUTED_VALUE"""),"Outside on School Property")</f>
        <v>Outside on School Property</v>
      </c>
      <c r="R1216" s="5" t="str">
        <f ca="1">IFERROR(__xludf.DUMMYFUNCTION("""COMPUTED_VALUE"""),"Yes")</f>
        <v>Yes</v>
      </c>
      <c r="S1216" s="5" t="str">
        <f ca="1">IFERROR(__xludf.DUMMYFUNCTION("""COMPUTED_VALUE"""),"Dismissal")</f>
        <v>Dismissal</v>
      </c>
      <c r="T1216" s="10">
        <f ca="1">IFERROR(__xludf.DUMMYFUNCTION("""COMPUTED_VALUE"""),0.631944444444444)</f>
        <v>0.63194444444444398</v>
      </c>
      <c r="U1216" s="5">
        <f ca="1">IFERROR(__xludf.DUMMYFUNCTION("""COMPUTED_VALUE"""),1)</f>
        <v>1</v>
      </c>
      <c r="V1216" s="5" t="str">
        <f ca="1">IFERROR(__xludf.DUMMYFUNCTION("""COMPUTED_VALUE"""),"Gang member tried to steal silver cross of victim's brother")</f>
        <v>Gang member tried to steal silver cross of victim's brother</v>
      </c>
      <c r="W1216"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X1216" s="5" t="str">
        <f ca="1">IFERROR(__xludf.DUMMYFUNCTION("""COMPUTED_VALUE"""),"Illegal Activity")</f>
        <v>Illegal Activity</v>
      </c>
      <c r="Y1216" s="5" t="str">
        <f ca="1">IFERROR(__xludf.DUMMYFUNCTION("""COMPUTED_VALUE"""),"Victims Targeted")</f>
        <v>Victims Targeted</v>
      </c>
      <c r="Z1216" s="5" t="str">
        <f ca="1">IFERROR(__xludf.DUMMYFUNCTION("""COMPUTED_VALUE"""),"Yes")</f>
        <v>Yes</v>
      </c>
      <c r="AA1216" s="5" t="str">
        <f ca="1">IFERROR(__xludf.DUMMYFUNCTION("""COMPUTED_VALUE"""),"Group of 4 gang members")</f>
        <v>Group of 4 gang members</v>
      </c>
      <c r="AB1216" s="5" t="str">
        <f ca="1">IFERROR(__xludf.DUMMYFUNCTION("""COMPUTED_VALUE"""),"No")</f>
        <v>No</v>
      </c>
      <c r="AC1216" s="5" t="str">
        <f ca="1">IFERROR(__xludf.DUMMYFUNCTION("""COMPUTED_VALUE"""),"No")</f>
        <v>No</v>
      </c>
      <c r="AD1216" s="5" t="str">
        <f ca="1">IFERROR(__xludf.DUMMYFUNCTION("""COMPUTED_VALUE"""),"No")</f>
        <v>No</v>
      </c>
      <c r="AE1216" s="5" t="str">
        <f ca="1">IFERROR(__xludf.DUMMYFUNCTION("""COMPUTED_VALUE"""),"No")</f>
        <v>No</v>
      </c>
      <c r="AF1216" s="5" t="str">
        <f ca="1">IFERROR(__xludf.DUMMYFUNCTION("""COMPUTED_VALUE"""),"No")</f>
        <v>No</v>
      </c>
      <c r="AG1216" s="5" t="str">
        <f ca="1">IFERROR(__xludf.DUMMYFUNCTION("""COMPUTED_VALUE"""),"Yes")</f>
        <v>Yes</v>
      </c>
      <c r="AH1216" s="5"/>
    </row>
    <row r="1217" spans="1:34" ht="12.75">
      <c r="A1217" s="5" t="str">
        <f ca="1">IFERROR(__xludf.DUMMYFUNCTION("""COMPUTED_VALUE"""),"20060525PANON")</f>
        <v>20060525PANON</v>
      </c>
      <c r="B1217" s="8">
        <f ca="1">IFERROR(__xludf.DUMMYFUNCTION("""COMPUTED_VALUE"""),38862)</f>
        <v>38862</v>
      </c>
      <c r="C1217" s="5" t="str">
        <f ca="1">IFERROR(__xludf.DUMMYFUNCTION("""COMPUTED_VALUE"""),"Northampton Area Senior High School")</f>
        <v>Northampton Area Senior High School</v>
      </c>
      <c r="D1217" s="5">
        <f ca="1">IFERROR(__xludf.DUMMYFUNCTION("""COMPUTED_VALUE"""),0)</f>
        <v>0</v>
      </c>
      <c r="E1217" s="5">
        <f ca="1">IFERROR(__xludf.DUMMYFUNCTION("""COMPUTED_VALUE"""),0)</f>
        <v>0</v>
      </c>
      <c r="F1217" s="5">
        <f ca="1">IFERROR(__xludf.DUMMYFUNCTION("""COMPUTED_VALUE"""),0)</f>
        <v>0</v>
      </c>
      <c r="G1217" s="5">
        <f ca="1">IFERROR(__xludf.DUMMYFUNCTION("""COMPUTED_VALUE"""),0)</f>
        <v>0</v>
      </c>
      <c r="H1217" s="9" t="str">
        <f ca="1">IFERROR(__xludf.DUMMYFUNCTION("""COMPUTED_VALUE"""),"http://articles.mcall.com/2006-05-26/news/3667295_1_students-or-teachers-district-s-zero-tolerance-senior-prom")</f>
        <v>http://articles.mcall.com/2006-05-26/news/3667295_1_students-or-teachers-district-s-zero-tolerance-senior-prom</v>
      </c>
      <c r="I1217" s="5"/>
      <c r="J1217" s="5"/>
      <c r="K1217" s="5">
        <f ca="1">IFERROR(__xludf.DUMMYFUNCTION("""COMPUTED_VALUE"""),2)</f>
        <v>2</v>
      </c>
      <c r="L1217" s="5" t="str">
        <f ca="1">IFERROR(__xludf.DUMMYFUNCTION("""COMPUTED_VALUE"""),"Spring")</f>
        <v>Spring</v>
      </c>
      <c r="M1217" s="5" t="str">
        <f ca="1">IFERROR(__xludf.DUMMYFUNCTION("""COMPUTED_VALUE"""),"Northampton")</f>
        <v>Northampton</v>
      </c>
      <c r="N1217" s="5" t="str">
        <f ca="1">IFERROR(__xludf.DUMMYFUNCTION("""COMPUTED_VALUE"""),"PA")</f>
        <v>PA</v>
      </c>
      <c r="O1217" s="5" t="str">
        <f ca="1">IFERROR(__xludf.DUMMYFUNCTION("""COMPUTED_VALUE"""),"High")</f>
        <v>High</v>
      </c>
      <c r="P1217" s="5" t="str">
        <f ca="1">IFERROR(__xludf.DUMMYFUNCTION("""COMPUTED_VALUE"""),"Hallway")</f>
        <v>Hallway</v>
      </c>
      <c r="Q1217" s="5" t="str">
        <f ca="1">IFERROR(__xludf.DUMMYFUNCTION("""COMPUTED_VALUE"""),"Inside School Building")</f>
        <v>Inside School Building</v>
      </c>
      <c r="R1217" s="5" t="str">
        <f ca="1">IFERROR(__xludf.DUMMYFUNCTION("""COMPUTED_VALUE"""),"Yes")</f>
        <v>Yes</v>
      </c>
      <c r="S1217" s="5" t="str">
        <f ca="1">IFERROR(__xludf.DUMMYFUNCTION("""COMPUTED_VALUE"""),"Morning Classes")</f>
        <v>Morning Classes</v>
      </c>
      <c r="T1217" s="10">
        <f ca="1">IFERROR(__xludf.DUMMYFUNCTION("""COMPUTED_VALUE"""),0.326388888888888)</f>
        <v>0.32638888888888801</v>
      </c>
      <c r="U1217" s="5">
        <f ca="1">IFERROR(__xludf.DUMMYFUNCTION("""COMPUTED_VALUE"""),40)</f>
        <v>40</v>
      </c>
      <c r="V1217" s="5" t="str">
        <f ca="1">IFERROR(__xludf.DUMMYFUNCTION("""COMPUTED_VALUE"""),"Had rifle, knife, smoke bombs, and fireworks. Surrendered to school official in stairwell.")</f>
        <v>Had rifle, knife, smoke bombs, and fireworks. Surrendered to school official in stairwell.</v>
      </c>
      <c r="W1217"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X1217" s="5" t="str">
        <f ca="1">IFERROR(__xludf.DUMMYFUNCTION("""COMPUTED_VALUE"""),"Hostage/Standoff")</f>
        <v>Hostage/Standoff</v>
      </c>
      <c r="Y1217" s="5"/>
      <c r="Z1217" s="5" t="str">
        <f ca="1">IFERROR(__xludf.DUMMYFUNCTION("""COMPUTED_VALUE"""),"No")</f>
        <v>No</v>
      </c>
      <c r="AA1217" s="5"/>
      <c r="AB1217" s="5" t="str">
        <f ca="1">IFERROR(__xludf.DUMMYFUNCTION("""COMPUTED_VALUE"""),"No")</f>
        <v>No</v>
      </c>
      <c r="AC1217" s="5" t="str">
        <f ca="1">IFERROR(__xludf.DUMMYFUNCTION("""COMPUTED_VALUE"""),"No")</f>
        <v>No</v>
      </c>
      <c r="AD1217" s="5" t="str">
        <f ca="1">IFERROR(__xludf.DUMMYFUNCTION("""COMPUTED_VALUE"""),"No")</f>
        <v>No</v>
      </c>
      <c r="AE1217" s="5"/>
      <c r="AF1217" s="5" t="str">
        <f ca="1">IFERROR(__xludf.DUMMYFUNCTION("""COMPUTED_VALUE"""),"No")</f>
        <v>No</v>
      </c>
      <c r="AG1217" s="5" t="str">
        <f ca="1">IFERROR(__xludf.DUMMYFUNCTION("""COMPUTED_VALUE"""),"No")</f>
        <v>No</v>
      </c>
      <c r="AH1217" s="5" t="str">
        <f ca="1">IFERROR(__xludf.DUMMYFUNCTION("""COMPUTED_VALUE"""),"Yes")</f>
        <v>Yes</v>
      </c>
    </row>
    <row r="1218" spans="1:34" ht="12.75">
      <c r="A1218" s="5" t="str">
        <f ca="1">IFERROR(__xludf.DUMMYFUNCTION("""COMPUTED_VALUE"""),"20060522SCBUI")</f>
        <v>20060522SCBUI</v>
      </c>
      <c r="B1218" s="8">
        <f ca="1">IFERROR(__xludf.DUMMYFUNCTION("""COMPUTED_VALUE"""),38859)</f>
        <v>38859</v>
      </c>
      <c r="C1218" s="5" t="str">
        <f ca="1">IFERROR(__xludf.DUMMYFUNCTION("""COMPUTED_VALUE"""),"Butch Fork High School")</f>
        <v>Butch Fork High School</v>
      </c>
      <c r="D1218" s="5">
        <f ca="1">IFERROR(__xludf.DUMMYFUNCTION("""COMPUTED_VALUE"""),0)</f>
        <v>0</v>
      </c>
      <c r="E1218" s="5">
        <f ca="1">IFERROR(__xludf.DUMMYFUNCTION("""COMPUTED_VALUE"""),0)</f>
        <v>0</v>
      </c>
      <c r="F1218" s="5">
        <f ca="1">IFERROR(__xludf.DUMMYFUNCTION("""COMPUTED_VALUE"""),0)</f>
        <v>0</v>
      </c>
      <c r="G1218" s="5">
        <f ca="1">IFERROR(__xludf.DUMMYFUNCTION("""COMPUTED_VALUE"""),0)</f>
        <v>0</v>
      </c>
      <c r="H1218" s="9" t="str">
        <f ca="1">IFERROR(__xludf.DUMMYFUNCTION("""COMPUTED_VALUE"""),"http://www.wistv.com/story/4933127/officer-shoots-at-intruder-at-dutch-fork-hs")</f>
        <v>http://www.wistv.com/story/4933127/officer-shoots-at-intruder-at-dutch-fork-hs</v>
      </c>
      <c r="I1218" s="5"/>
      <c r="J1218" s="5"/>
      <c r="K1218" s="5">
        <f ca="1">IFERROR(__xludf.DUMMYFUNCTION("""COMPUTED_VALUE"""),2)</f>
        <v>2</v>
      </c>
      <c r="L1218" s="5" t="str">
        <f ca="1">IFERROR(__xludf.DUMMYFUNCTION("""COMPUTED_VALUE"""),"Spring")</f>
        <v>Spring</v>
      </c>
      <c r="M1218" s="5" t="str">
        <f ca="1">IFERROR(__xludf.DUMMYFUNCTION("""COMPUTED_VALUE"""),"Irmo")</f>
        <v>Irmo</v>
      </c>
      <c r="N1218" s="5" t="str">
        <f ca="1">IFERROR(__xludf.DUMMYFUNCTION("""COMPUTED_VALUE"""),"SC")</f>
        <v>SC</v>
      </c>
      <c r="O1218" s="5" t="str">
        <f ca="1">IFERROR(__xludf.DUMMYFUNCTION("""COMPUTED_VALUE"""),"High")</f>
        <v>High</v>
      </c>
      <c r="P1218" s="5" t="str">
        <f ca="1">IFERROR(__xludf.DUMMYFUNCTION("""COMPUTED_VALUE"""),"Parking Lot")</f>
        <v>Parking Lot</v>
      </c>
      <c r="Q1218" s="5" t="str">
        <f ca="1">IFERROR(__xludf.DUMMYFUNCTION("""COMPUTED_VALUE"""),"Outside on School Property")</f>
        <v>Outside on School Property</v>
      </c>
      <c r="R1218" s="5" t="str">
        <f ca="1">IFERROR(__xludf.DUMMYFUNCTION("""COMPUTED_VALUE"""),"Yes")</f>
        <v>Yes</v>
      </c>
      <c r="S1218" s="5" t="str">
        <f ca="1">IFERROR(__xludf.DUMMYFUNCTION("""COMPUTED_VALUE"""),"Morning Classes")</f>
        <v>Morning Classes</v>
      </c>
      <c r="T1218" s="10">
        <f ca="1">IFERROR(__xludf.DUMMYFUNCTION("""COMPUTED_VALUE"""),0.416666666666666)</f>
        <v>0.41666666666666602</v>
      </c>
      <c r="U1218" s="5">
        <f ca="1">IFERROR(__xludf.DUMMYFUNCTION("""COMPUTED_VALUE"""),1)</f>
        <v>1</v>
      </c>
      <c r="V1218"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W1218"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X1218" s="5" t="str">
        <f ca="1">IFERROR(__xludf.DUMMYFUNCTION("""COMPUTED_VALUE"""),"Domestic w/ Targeted Victim")</f>
        <v>Domestic w/ Targeted Victim</v>
      </c>
      <c r="Y1218" s="5" t="str">
        <f ca="1">IFERROR(__xludf.DUMMYFUNCTION("""COMPUTED_VALUE"""),"Victims Targeted")</f>
        <v>Victims Targeted</v>
      </c>
      <c r="Z1218" s="5" t="str">
        <f ca="1">IFERROR(__xludf.DUMMYFUNCTION("""COMPUTED_VALUE"""),"No")</f>
        <v>No</v>
      </c>
      <c r="AA1218" s="5"/>
      <c r="AB1218" s="5" t="str">
        <f ca="1">IFERROR(__xludf.DUMMYFUNCTION("""COMPUTED_VALUE"""),"No")</f>
        <v>No</v>
      </c>
      <c r="AC1218" s="5" t="str">
        <f ca="1">IFERROR(__xludf.DUMMYFUNCTION("""COMPUTED_VALUE"""),"No")</f>
        <v>No</v>
      </c>
      <c r="AD1218" s="5" t="str">
        <f ca="1">IFERROR(__xludf.DUMMYFUNCTION("""COMPUTED_VALUE"""),"No")</f>
        <v>No</v>
      </c>
      <c r="AE1218" s="5" t="str">
        <f ca="1">IFERROR(__xludf.DUMMYFUNCTION("""COMPUTED_VALUE"""),"No")</f>
        <v>No</v>
      </c>
      <c r="AF1218" s="5" t="str">
        <f ca="1">IFERROR(__xludf.DUMMYFUNCTION("""COMPUTED_VALUE"""),"Yes")</f>
        <v>Yes</v>
      </c>
      <c r="AG1218" s="5" t="str">
        <f ca="1">IFERROR(__xludf.DUMMYFUNCTION("""COMPUTED_VALUE"""),"No")</f>
        <v>No</v>
      </c>
      <c r="AH1218" s="5"/>
    </row>
    <row r="1219" spans="1:34" ht="12.75">
      <c r="A1219" s="5" t="str">
        <f ca="1">IFERROR(__xludf.DUMMYFUNCTION("""COMPUTED_VALUE"""),"20060505FLPAM")</f>
        <v>20060505FLPAM</v>
      </c>
      <c r="B1219" s="8">
        <f ca="1">IFERROR(__xludf.DUMMYFUNCTION("""COMPUTED_VALUE"""),38842)</f>
        <v>38842</v>
      </c>
      <c r="C1219" s="5" t="str">
        <f ca="1">IFERROR(__xludf.DUMMYFUNCTION("""COMPUTED_VALUE"""),"Parkway Academy")</f>
        <v>Parkway Academy</v>
      </c>
      <c r="D1219" s="5">
        <f ca="1">IFERROR(__xludf.DUMMYFUNCTION("""COMPUTED_VALUE"""),1)</f>
        <v>1</v>
      </c>
      <c r="E1219" s="5">
        <f ca="1">IFERROR(__xludf.DUMMYFUNCTION("""COMPUTED_VALUE"""),0)</f>
        <v>0</v>
      </c>
      <c r="F1219" s="5">
        <f ca="1">IFERROR(__xludf.DUMMYFUNCTION("""COMPUTED_VALUE"""),1)</f>
        <v>1</v>
      </c>
      <c r="G1219" s="5">
        <f ca="1">IFERROR(__xludf.DUMMYFUNCTION("""COMPUTED_VALUE"""),0)</f>
        <v>0</v>
      </c>
      <c r="H1219" s="9" t="str">
        <f ca="1">IFERROR(__xludf.DUMMYFUNCTION("""COMPUTED_VALUE"""),"http://articles.sun-sentinel.com/2006-05-07/news/0605060367_1_charter-school-parking-lot-office-bill-robertson")</f>
        <v>http://articles.sun-sentinel.com/2006-05-07/news/0605060367_1_charter-school-parking-lot-office-bill-robertson</v>
      </c>
      <c r="I1219" s="5"/>
      <c r="J1219" s="5"/>
      <c r="K1219" s="5">
        <f ca="1">IFERROR(__xludf.DUMMYFUNCTION("""COMPUTED_VALUE"""),2)</f>
        <v>2</v>
      </c>
      <c r="L1219" s="5" t="str">
        <f ca="1">IFERROR(__xludf.DUMMYFUNCTION("""COMPUTED_VALUE"""),"Spring")</f>
        <v>Spring</v>
      </c>
      <c r="M1219" s="5" t="str">
        <f ca="1">IFERROR(__xludf.DUMMYFUNCTION("""COMPUTED_VALUE"""),"Miramar")</f>
        <v>Miramar</v>
      </c>
      <c r="N1219" s="5" t="str">
        <f ca="1">IFERROR(__xludf.DUMMYFUNCTION("""COMPUTED_VALUE"""),"FL")</f>
        <v>FL</v>
      </c>
      <c r="O1219" s="5" t="str">
        <f ca="1">IFERROR(__xludf.DUMMYFUNCTION("""COMPUTED_VALUE"""),"High")</f>
        <v>High</v>
      </c>
      <c r="P1219" s="5" t="str">
        <f ca="1">IFERROR(__xludf.DUMMYFUNCTION("""COMPUTED_VALUE"""),"Parking Lot")</f>
        <v>Parking Lot</v>
      </c>
      <c r="Q1219" s="5" t="str">
        <f ca="1">IFERROR(__xludf.DUMMYFUNCTION("""COMPUTED_VALUE"""),"Outside on School Property")</f>
        <v>Outside on School Property</v>
      </c>
      <c r="R1219" s="5" t="str">
        <f ca="1">IFERROR(__xludf.DUMMYFUNCTION("""COMPUTED_VALUE"""),"No")</f>
        <v>No</v>
      </c>
      <c r="S1219" s="5" t="str">
        <f ca="1">IFERROR(__xludf.DUMMYFUNCTION("""COMPUTED_VALUE"""),"School Event")</f>
        <v>School Event</v>
      </c>
      <c r="T1219" s="10">
        <f ca="1">IFERROR(__xludf.DUMMYFUNCTION("""COMPUTED_VALUE"""),0.982638888888888)</f>
        <v>0.98263888888888795</v>
      </c>
      <c r="U1219" s="5">
        <f ca="1">IFERROR(__xludf.DUMMYFUNCTION("""COMPUTED_VALUE"""),1)</f>
        <v>1</v>
      </c>
      <c r="V1219" s="5" t="str">
        <f ca="1">IFERROR(__xludf.DUMMYFUNCTION("""COMPUTED_VALUE"""),"Fight in parking lot following dance")</f>
        <v>Fight in parking lot following dance</v>
      </c>
      <c r="W1219"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X1219" s="5" t="str">
        <f ca="1">IFERROR(__xludf.DUMMYFUNCTION("""COMPUTED_VALUE"""),"Escalation of Dispute")</f>
        <v>Escalation of Dispute</v>
      </c>
      <c r="Y1219" s="5" t="str">
        <f ca="1">IFERROR(__xludf.DUMMYFUNCTION("""COMPUTED_VALUE"""),"Victims Targeted")</f>
        <v>Victims Targeted</v>
      </c>
      <c r="Z1219" s="5" t="str">
        <f ca="1">IFERROR(__xludf.DUMMYFUNCTION("""COMPUTED_VALUE"""),"Yes")</f>
        <v>Yes</v>
      </c>
      <c r="AA1219" s="5" t="str">
        <f ca="1">IFERROR(__xludf.DUMMYFUNCTION("""COMPUTED_VALUE"""),"Multiple students involved in fight")</f>
        <v>Multiple students involved in fight</v>
      </c>
      <c r="AB1219" s="5" t="str">
        <f ca="1">IFERROR(__xludf.DUMMYFUNCTION("""COMPUTED_VALUE"""),"No")</f>
        <v>No</v>
      </c>
      <c r="AC1219" s="5" t="str">
        <f ca="1">IFERROR(__xludf.DUMMYFUNCTION("""COMPUTED_VALUE"""),"No")</f>
        <v>No</v>
      </c>
      <c r="AD1219" s="5" t="str">
        <f ca="1">IFERROR(__xludf.DUMMYFUNCTION("""COMPUTED_VALUE"""),"No")</f>
        <v>No</v>
      </c>
      <c r="AE1219" s="5" t="str">
        <f ca="1">IFERROR(__xludf.DUMMYFUNCTION("""COMPUTED_VALUE"""),"No")</f>
        <v>No</v>
      </c>
      <c r="AF1219" s="5" t="str">
        <f ca="1">IFERROR(__xludf.DUMMYFUNCTION("""COMPUTED_VALUE"""),"No")</f>
        <v>No</v>
      </c>
      <c r="AG1219" s="5" t="str">
        <f ca="1">IFERROR(__xludf.DUMMYFUNCTION("""COMPUTED_VALUE"""),"No")</f>
        <v>No</v>
      </c>
      <c r="AH1219" s="5"/>
    </row>
    <row r="1220" spans="1:34" ht="12.75">
      <c r="A1220" s="5" t="str">
        <f ca="1">IFERROR(__xludf.DUMMYFUNCTION("""COMPUTED_VALUE"""),"20060424NCEAC")</f>
        <v>20060424NCEAC</v>
      </c>
      <c r="B1220" s="8">
        <f ca="1">IFERROR(__xludf.DUMMYFUNCTION("""COMPUTED_VALUE"""),38831)</f>
        <v>38831</v>
      </c>
      <c r="C1220" s="5" t="str">
        <f ca="1">IFERROR(__xludf.DUMMYFUNCTION("""COMPUTED_VALUE"""),"East Chapel Hill High School")</f>
        <v>East Chapel Hill High School</v>
      </c>
      <c r="D1220" s="5">
        <f ca="1">IFERROR(__xludf.DUMMYFUNCTION("""COMPUTED_VALUE"""),0)</f>
        <v>0</v>
      </c>
      <c r="E1220" s="5">
        <f ca="1">IFERROR(__xludf.DUMMYFUNCTION("""COMPUTED_VALUE"""),0)</f>
        <v>0</v>
      </c>
      <c r="F1220" s="5">
        <f ca="1">IFERROR(__xludf.DUMMYFUNCTION("""COMPUTED_VALUE"""),0)</f>
        <v>0</v>
      </c>
      <c r="G1220" s="5">
        <f ca="1">IFERROR(__xludf.DUMMYFUNCTION("""COMPUTED_VALUE"""),0)</f>
        <v>0</v>
      </c>
      <c r="H1220" s="9" t="str">
        <f ca="1">IFERROR(__xludf.DUMMYFUNCTION("""COMPUTED_VALUE"""),"https://www.wral.com/news/local/story/157302/")</f>
        <v>https://www.wral.com/news/local/story/157302/</v>
      </c>
      <c r="I1220" s="5"/>
      <c r="J1220" s="5"/>
      <c r="K1220" s="5">
        <f ca="1">IFERROR(__xludf.DUMMYFUNCTION("""COMPUTED_VALUE"""),2)</f>
        <v>2</v>
      </c>
      <c r="L1220" s="5" t="str">
        <f ca="1">IFERROR(__xludf.DUMMYFUNCTION("""COMPUTED_VALUE"""),"Spring")</f>
        <v>Spring</v>
      </c>
      <c r="M1220" s="5" t="str">
        <f ca="1">IFERROR(__xludf.DUMMYFUNCTION("""COMPUTED_VALUE"""),"Chapel Hill")</f>
        <v>Chapel Hill</v>
      </c>
      <c r="N1220" s="5" t="str">
        <f ca="1">IFERROR(__xludf.DUMMYFUNCTION("""COMPUTED_VALUE"""),"NC")</f>
        <v>NC</v>
      </c>
      <c r="O1220" s="5" t="str">
        <f ca="1">IFERROR(__xludf.DUMMYFUNCTION("""COMPUTED_VALUE"""),"High")</f>
        <v>High</v>
      </c>
      <c r="P1220" s="5" t="str">
        <f ca="1">IFERROR(__xludf.DUMMYFUNCTION("""COMPUTED_VALUE"""),"Classroom")</f>
        <v>Classroom</v>
      </c>
      <c r="Q1220" s="5" t="str">
        <f ca="1">IFERROR(__xludf.DUMMYFUNCTION("""COMPUTED_VALUE"""),"Inside School Building")</f>
        <v>Inside School Building</v>
      </c>
      <c r="R1220" s="5" t="str">
        <f ca="1">IFERROR(__xludf.DUMMYFUNCTION("""COMPUTED_VALUE"""),"No")</f>
        <v>No</v>
      </c>
      <c r="S1220" s="5" t="str">
        <f ca="1">IFERROR(__xludf.DUMMYFUNCTION("""COMPUTED_VALUE"""),"Evening")</f>
        <v>Evening</v>
      </c>
      <c r="T1220" s="10">
        <f ca="1">IFERROR(__xludf.DUMMYFUNCTION("""COMPUTED_VALUE"""),0.708333333333333)</f>
        <v>0.70833333333333304</v>
      </c>
      <c r="U1220" s="5">
        <f ca="1">IFERROR(__xludf.DUMMYFUNCTION("""COMPUTED_VALUE"""),135)</f>
        <v>135</v>
      </c>
      <c r="V1220" s="5" t="str">
        <f ca="1">IFERROR(__xludf.DUMMYFUNCTION("""COMPUTED_VALUE"""),"Fired 2 shots at ceiling and held teacher and student hostage in classroom for 2 hours then fled")</f>
        <v>Fired 2 shots at ceiling and held teacher and student hostage in classroom for 2 hours then fled</v>
      </c>
      <c r="W1220"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X1220" s="5" t="str">
        <f ca="1">IFERROR(__xludf.DUMMYFUNCTION("""COMPUTED_VALUE"""),"Hostage/Standoff")</f>
        <v>Hostage/Standoff</v>
      </c>
      <c r="Y1220" s="5" t="str">
        <f ca="1">IFERROR(__xludf.DUMMYFUNCTION("""COMPUTED_VALUE"""),"Neither")</f>
        <v>Neither</v>
      </c>
      <c r="Z1220" s="5" t="str">
        <f ca="1">IFERROR(__xludf.DUMMYFUNCTION("""COMPUTED_VALUE"""),"No")</f>
        <v>No</v>
      </c>
      <c r="AA1220" s="5"/>
      <c r="AB1220" s="5" t="str">
        <f ca="1">IFERROR(__xludf.DUMMYFUNCTION("""COMPUTED_VALUE"""),"Yes")</f>
        <v>Yes</v>
      </c>
      <c r="AC1220" s="5" t="str">
        <f ca="1">IFERROR(__xludf.DUMMYFUNCTION("""COMPUTED_VALUE"""),"No")</f>
        <v>No</v>
      </c>
      <c r="AD1220" s="5" t="str">
        <f ca="1">IFERROR(__xludf.DUMMYFUNCTION("""COMPUTED_VALUE"""),"No")</f>
        <v>No</v>
      </c>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IFERROR(__xludf.DUMMYFUNCTION("""COMPUTED_VALUE"""),"Yes")</f>
        <v>Yes</v>
      </c>
    </row>
    <row r="1221" spans="1:34" ht="12.75">
      <c r="A1221" s="5" t="str">
        <f ca="1">IFERROR(__xludf.DUMMYFUNCTION("""COMPUTED_VALUE"""),"20060418TXWEH")</f>
        <v>20060418TXWEH</v>
      </c>
      <c r="B1221" s="8">
        <f ca="1">IFERROR(__xludf.DUMMYFUNCTION("""COMPUTED_VALUE"""),38825)</f>
        <v>38825</v>
      </c>
      <c r="C1221" s="5" t="str">
        <f ca="1">IFERROR(__xludf.DUMMYFUNCTION("""COMPUTED_VALUE"""),"Westbury High School (bus)")</f>
        <v>Westbury High School (bus)</v>
      </c>
      <c r="D1221" s="5">
        <f ca="1">IFERROR(__xludf.DUMMYFUNCTION("""COMPUTED_VALUE"""),0)</f>
        <v>0</v>
      </c>
      <c r="E1221" s="5">
        <f ca="1">IFERROR(__xludf.DUMMYFUNCTION("""COMPUTED_VALUE"""),2)</f>
        <v>2</v>
      </c>
      <c r="F1221" s="5">
        <f ca="1">IFERROR(__xludf.DUMMYFUNCTION("""COMPUTED_VALUE"""),2)</f>
        <v>2</v>
      </c>
      <c r="G1221" s="5">
        <f ca="1">IFERROR(__xludf.DUMMYFUNCTION("""COMPUTED_VALUE"""),0)</f>
        <v>0</v>
      </c>
      <c r="H1221" s="9" t="str">
        <f ca="1">IFERROR(__xludf.DUMMYFUNCTION("""COMPUTED_VALUE"""),"https://www.chron.com/news/houston-texas/article/Two-cut-by-glass-after-HISD-bus-shot-1908192.php")</f>
        <v>https://www.chron.com/news/houston-texas/article/Two-cut-by-glass-after-HISD-bus-shot-1908192.php</v>
      </c>
      <c r="I1221" s="5"/>
      <c r="J1221" s="5"/>
      <c r="K1221" s="5">
        <f ca="1">IFERROR(__xludf.DUMMYFUNCTION("""COMPUTED_VALUE"""),2)</f>
        <v>2</v>
      </c>
      <c r="L1221" s="5" t="str">
        <f ca="1">IFERROR(__xludf.DUMMYFUNCTION("""COMPUTED_VALUE"""),"Spring")</f>
        <v>Spring</v>
      </c>
      <c r="M1221" s="5" t="str">
        <f ca="1">IFERROR(__xludf.DUMMYFUNCTION("""COMPUTED_VALUE"""),"Houston")</f>
        <v>Houston</v>
      </c>
      <c r="N1221" s="5" t="str">
        <f ca="1">IFERROR(__xludf.DUMMYFUNCTION("""COMPUTED_VALUE"""),"TX")</f>
        <v>TX</v>
      </c>
      <c r="O1221" s="5" t="str">
        <f ca="1">IFERROR(__xludf.DUMMYFUNCTION("""COMPUTED_VALUE"""),"High")</f>
        <v>High</v>
      </c>
      <c r="P1221" s="5" t="str">
        <f ca="1">IFERROR(__xludf.DUMMYFUNCTION("""COMPUTED_VALUE"""),"School Bus")</f>
        <v>School Bus</v>
      </c>
      <c r="Q1221" s="5" t="str">
        <f ca="1">IFERROR(__xludf.DUMMYFUNCTION("""COMPUTED_VALUE"""),"School Bus")</f>
        <v>School Bus</v>
      </c>
      <c r="R1221" s="5" t="str">
        <f ca="1">IFERROR(__xludf.DUMMYFUNCTION("""COMPUTED_VALUE"""),"Yes")</f>
        <v>Yes</v>
      </c>
      <c r="S1221" s="5" t="str">
        <f ca="1">IFERROR(__xludf.DUMMYFUNCTION("""COMPUTED_VALUE"""),"After School")</f>
        <v>After School</v>
      </c>
      <c r="T1221" s="10">
        <f ca="1">IFERROR(__xludf.DUMMYFUNCTION("""COMPUTED_VALUE"""),0.708333333333333)</f>
        <v>0.70833333333333304</v>
      </c>
      <c r="U1221" s="5">
        <f ca="1">IFERROR(__xludf.DUMMYFUNCTION("""COMPUTED_VALUE"""),1)</f>
        <v>1</v>
      </c>
      <c r="V1221" s="5" t="str">
        <f ca="1">IFERROR(__xludf.DUMMYFUNCTION("""COMPUTED_VALUE"""),"Man running across the street fired 2 shots that struck the bus")</f>
        <v>Man running across the street fired 2 shots that struck the bus</v>
      </c>
      <c r="W1221"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X1221" s="5" t="str">
        <f ca="1">IFERROR(__xludf.DUMMYFUNCTION("""COMPUTED_VALUE"""),"Unknown")</f>
        <v>Unknown</v>
      </c>
      <c r="Y1221" s="5" t="str">
        <f ca="1">IFERROR(__xludf.DUMMYFUNCTION("""COMPUTED_VALUE"""),"Random Shooting")</f>
        <v>Random Shooting</v>
      </c>
      <c r="Z1221" s="5" t="str">
        <f ca="1">IFERROR(__xludf.DUMMYFUNCTION("""COMPUTED_VALUE"""),"No")</f>
        <v>No</v>
      </c>
      <c r="AA1221" s="5"/>
      <c r="AB1221" s="5" t="str">
        <f ca="1">IFERROR(__xludf.DUMMYFUNCTION("""COMPUTED_VALUE"""),"No")</f>
        <v>No</v>
      </c>
      <c r="AC1221" s="5" t="str">
        <f ca="1">IFERROR(__xludf.DUMMYFUNCTION("""COMPUTED_VALUE"""),"No")</f>
        <v>No</v>
      </c>
      <c r="AD1221" s="5" t="str">
        <f ca="1">IFERROR(__xludf.DUMMYFUNCTION("""COMPUTED_VALUE"""),"No")</f>
        <v>No</v>
      </c>
      <c r="AE1221" s="5" t="str">
        <f ca="1">IFERROR(__xludf.DUMMYFUNCTION("""COMPUTED_VALUE"""),"No")</f>
        <v>No</v>
      </c>
      <c r="AF1221" s="5" t="str">
        <f ca="1">IFERROR(__xludf.DUMMYFUNCTION("""COMPUTED_VALUE"""),"No")</f>
        <v>No</v>
      </c>
      <c r="AG1221" s="5"/>
      <c r="AH1221" s="5"/>
    </row>
    <row r="1222" spans="1:34" ht="12.75">
      <c r="A1222" s="5" t="str">
        <f ca="1">IFERROR(__xludf.DUMMYFUNCTION("""COMPUTED_VALUE"""),"20060405DCROW")</f>
        <v>20060405DCROW</v>
      </c>
      <c r="B1222" s="8">
        <f ca="1">IFERROR(__xludf.DUMMYFUNCTION("""COMPUTED_VALUE"""),38812)</f>
        <v>38812</v>
      </c>
      <c r="C1222" s="5" t="str">
        <f ca="1">IFERROR(__xludf.DUMMYFUNCTION("""COMPUTED_VALUE"""),"Roosevelt Senior High School")</f>
        <v>Roosevelt Senior High School</v>
      </c>
      <c r="D1222" s="5">
        <f ca="1">IFERROR(__xludf.DUMMYFUNCTION("""COMPUTED_VALUE"""),0)</f>
        <v>0</v>
      </c>
      <c r="E1222" s="5">
        <f ca="1">IFERROR(__xludf.DUMMYFUNCTION("""COMPUTED_VALUE"""),2)</f>
        <v>2</v>
      </c>
      <c r="F1222" s="5">
        <f ca="1">IFERROR(__xludf.DUMMYFUNCTION("""COMPUTED_VALUE"""),2)</f>
        <v>2</v>
      </c>
      <c r="G1222" s="5">
        <f ca="1">IFERROR(__xludf.DUMMYFUNCTION("""COMPUTED_VALUE"""),0)</f>
        <v>0</v>
      </c>
      <c r="H1222"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I1222" s="5"/>
      <c r="J1222" s="5"/>
      <c r="K1222" s="5">
        <f ca="1">IFERROR(__xludf.DUMMYFUNCTION("""COMPUTED_VALUE"""),2)</f>
        <v>2</v>
      </c>
      <c r="L1222" s="5" t="str">
        <f ca="1">IFERROR(__xludf.DUMMYFUNCTION("""COMPUTED_VALUE"""),"Spring")</f>
        <v>Spring</v>
      </c>
      <c r="M1222" s="5" t="str">
        <f ca="1">IFERROR(__xludf.DUMMYFUNCTION("""COMPUTED_VALUE"""),"Washington")</f>
        <v>Washington</v>
      </c>
      <c r="N1222" s="5" t="str">
        <f ca="1">IFERROR(__xludf.DUMMYFUNCTION("""COMPUTED_VALUE"""),"DC")</f>
        <v>DC</v>
      </c>
      <c r="O1222" s="5" t="str">
        <f ca="1">IFERROR(__xludf.DUMMYFUNCTION("""COMPUTED_VALUE"""),"High")</f>
        <v>High</v>
      </c>
      <c r="P1222" s="5" t="str">
        <f ca="1">IFERROR(__xludf.DUMMYFUNCTION("""COMPUTED_VALUE"""),"Front of School")</f>
        <v>Front of School</v>
      </c>
      <c r="Q1222" s="5" t="str">
        <f ca="1">IFERROR(__xludf.DUMMYFUNCTION("""COMPUTED_VALUE"""),"Outside on School Property")</f>
        <v>Outside on School Property</v>
      </c>
      <c r="R1222" s="5" t="str">
        <f ca="1">IFERROR(__xludf.DUMMYFUNCTION("""COMPUTED_VALUE"""),"Yes")</f>
        <v>Yes</v>
      </c>
      <c r="S1222" s="5" t="str">
        <f ca="1">IFERROR(__xludf.DUMMYFUNCTION("""COMPUTED_VALUE"""),"Morning Classes")</f>
        <v>Morning Classes</v>
      </c>
      <c r="T1222" s="10">
        <f ca="1">IFERROR(__xludf.DUMMYFUNCTION("""COMPUTED_VALUE"""),0.385416666666666)</f>
        <v>0.38541666666666602</v>
      </c>
      <c r="U1222" s="5">
        <f ca="1">IFERROR(__xludf.DUMMYFUNCTION("""COMPUTED_VALUE"""),1)</f>
        <v>1</v>
      </c>
      <c r="V1222" s="5" t="str">
        <f ca="1">IFERROR(__xludf.DUMMYFUNCTION("""COMPUTED_VALUE"""),"Students shot during drive-by walking into school building")</f>
        <v>Students shot during drive-by walking into school building</v>
      </c>
      <c r="W1222"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X1222" s="5" t="str">
        <f ca="1">IFERROR(__xludf.DUMMYFUNCTION("""COMPUTED_VALUE"""),"Drive-by Shooting")</f>
        <v>Drive-by Shooting</v>
      </c>
      <c r="Y1222" s="5" t="str">
        <f ca="1">IFERROR(__xludf.DUMMYFUNCTION("""COMPUTED_VALUE"""),"Both")</f>
        <v>Both</v>
      </c>
      <c r="Z1222" s="5" t="str">
        <f ca="1">IFERROR(__xludf.DUMMYFUNCTION("""COMPUTED_VALUE"""),"Unknown")</f>
        <v>Unknown</v>
      </c>
      <c r="AA1222" s="5" t="str">
        <f ca="1">IFERROR(__xludf.DUMMYFUNCTION("""COMPUTED_VALUE"""),"Unknown if shooter was driver")</f>
        <v>Unknown if shooter was driver</v>
      </c>
      <c r="AB1222" s="5" t="str">
        <f ca="1">IFERROR(__xludf.DUMMYFUNCTION("""COMPUTED_VALUE"""),"No")</f>
        <v>No</v>
      </c>
      <c r="AC1222" s="5" t="str">
        <f ca="1">IFERROR(__xludf.DUMMYFUNCTION("""COMPUTED_VALUE"""),"No")</f>
        <v>No</v>
      </c>
      <c r="AD1222" s="5" t="str">
        <f ca="1">IFERROR(__xludf.DUMMYFUNCTION("""COMPUTED_VALUE"""),"No")</f>
        <v>No</v>
      </c>
      <c r="AE1222" s="5" t="str">
        <f ca="1">IFERROR(__xludf.DUMMYFUNCTION("""COMPUTED_VALUE"""),"No")</f>
        <v>No</v>
      </c>
      <c r="AF1222" s="5" t="str">
        <f ca="1">IFERROR(__xludf.DUMMYFUNCTION("""COMPUTED_VALUE"""),"No")</f>
        <v>No</v>
      </c>
      <c r="AG1222" s="5"/>
      <c r="AH1222" s="5"/>
    </row>
    <row r="1223" spans="1:34" ht="12.75">
      <c r="A1223" s="5" t="str">
        <f ca="1">IFERROR(__xludf.DUMMYFUNCTION("""COMPUTED_VALUE"""),"20060314NVPIR")</f>
        <v>20060314NVPIR</v>
      </c>
      <c r="B1223" s="8">
        <f ca="1">IFERROR(__xludf.DUMMYFUNCTION("""COMPUTED_VALUE"""),38790)</f>
        <v>38790</v>
      </c>
      <c r="C1223" s="5" t="str">
        <f ca="1">IFERROR(__xludf.DUMMYFUNCTION("""COMPUTED_VALUE"""),"Pine Middle School")</f>
        <v>Pine Middle School</v>
      </c>
      <c r="D1223" s="5">
        <f ca="1">IFERROR(__xludf.DUMMYFUNCTION("""COMPUTED_VALUE"""),0)</f>
        <v>0</v>
      </c>
      <c r="E1223" s="5">
        <f ca="1">IFERROR(__xludf.DUMMYFUNCTION("""COMPUTED_VALUE"""),2)</f>
        <v>2</v>
      </c>
      <c r="F1223" s="5">
        <f ca="1">IFERROR(__xludf.DUMMYFUNCTION("""COMPUTED_VALUE"""),2)</f>
        <v>2</v>
      </c>
      <c r="G1223" s="5">
        <f ca="1">IFERROR(__xludf.DUMMYFUNCTION("""COMPUTED_VALUE"""),0)</f>
        <v>0</v>
      </c>
      <c r="H1223" s="5" t="str">
        <f ca="1">IFERROR(__xludf.DUMMYFUNCTION("""COMPUTED_VALUE"""),"http://abcnews.go.com/GMA/story?id=1732518&amp;page=1  https://www.fbi.gov/file-repository/active-shooter-incidents-2000-2017.pdf")</f>
        <v>http://abcnews.go.com/GMA/story?id=1732518&amp;page=1  https://www.fbi.gov/file-repository/active-shooter-incidents-2000-2017.pdf</v>
      </c>
      <c r="I1223" s="5"/>
      <c r="J1223" s="5"/>
      <c r="K1223" s="5">
        <f ca="1">IFERROR(__xludf.DUMMYFUNCTION("""COMPUTED_VALUE"""),5)</f>
        <v>5</v>
      </c>
      <c r="L1223" s="5" t="str">
        <f ca="1">IFERROR(__xludf.DUMMYFUNCTION("""COMPUTED_VALUE"""),"Spring")</f>
        <v>Spring</v>
      </c>
      <c r="M1223" s="5" t="str">
        <f ca="1">IFERROR(__xludf.DUMMYFUNCTION("""COMPUTED_VALUE"""),"Reno")</f>
        <v>Reno</v>
      </c>
      <c r="N1223" s="5" t="str">
        <f ca="1">IFERROR(__xludf.DUMMYFUNCTION("""COMPUTED_VALUE"""),"NV")</f>
        <v>NV</v>
      </c>
      <c r="O1223" s="5" t="str">
        <f ca="1">IFERROR(__xludf.DUMMYFUNCTION("""COMPUTED_VALUE"""),"Middle")</f>
        <v>Middle</v>
      </c>
      <c r="P1223" s="5" t="str">
        <f ca="1">IFERROR(__xludf.DUMMYFUNCTION("""COMPUTED_VALUE"""),"Classroom")</f>
        <v>Classroom</v>
      </c>
      <c r="Q1223" s="5" t="str">
        <f ca="1">IFERROR(__xludf.DUMMYFUNCTION("""COMPUTED_VALUE"""),"Inside School Building")</f>
        <v>Inside School Building</v>
      </c>
      <c r="R1223" s="5" t="str">
        <f ca="1">IFERROR(__xludf.DUMMYFUNCTION("""COMPUTED_VALUE"""),"Yes")</f>
        <v>Yes</v>
      </c>
      <c r="S1223" s="5" t="str">
        <f ca="1">IFERROR(__xludf.DUMMYFUNCTION("""COMPUTED_VALUE"""),"Morning Classes")</f>
        <v>Morning Classes</v>
      </c>
      <c r="T1223" s="10">
        <f ca="1">IFERROR(__xludf.DUMMYFUNCTION("""COMPUTED_VALUE"""),0.375)</f>
        <v>0.375</v>
      </c>
      <c r="U1223" s="5">
        <f ca="1">IFERROR(__xludf.DUMMYFUNCTION("""COMPUTED_VALUE"""),1)</f>
        <v>1</v>
      </c>
      <c r="V1223" s="5" t="str">
        <f ca="1">IFERROR(__xludf.DUMMYFUNCTION("""COMPUTED_VALUE"""),"Planned attack, researched Columbine for weeks")</f>
        <v>Planned attack, researched Columbine for weeks</v>
      </c>
      <c r="W1223"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X1223" s="5" t="str">
        <f ca="1">IFERROR(__xludf.DUMMYFUNCTION("""COMPUTED_VALUE"""),"Bullying")</f>
        <v>Bullying</v>
      </c>
      <c r="Y1223" s="5" t="str">
        <f ca="1">IFERROR(__xludf.DUMMYFUNCTION("""COMPUTED_VALUE"""),"Both")</f>
        <v>Both</v>
      </c>
      <c r="Z1223" s="5" t="str">
        <f ca="1">IFERROR(__xludf.DUMMYFUNCTION("""COMPUTED_VALUE"""),"No")</f>
        <v>No</v>
      </c>
      <c r="AA1223" s="5"/>
      <c r="AB1223" s="5" t="str">
        <f ca="1">IFERROR(__xludf.DUMMYFUNCTION("""COMPUTED_VALUE"""),"No")</f>
        <v>No</v>
      </c>
      <c r="AC1223" s="5" t="str">
        <f ca="1">IFERROR(__xludf.DUMMYFUNCTION("""COMPUTED_VALUE"""),"No")</f>
        <v>No</v>
      </c>
      <c r="AD1223" s="5" t="str">
        <f ca="1">IFERROR(__xludf.DUMMYFUNCTION("""COMPUTED_VALUE"""),"No")</f>
        <v>No</v>
      </c>
      <c r="AE1223" s="5" t="str">
        <f ca="1">IFERROR(__xludf.DUMMYFUNCTION("""COMPUTED_VALUE"""),"Yes")</f>
        <v>Yes</v>
      </c>
      <c r="AF1223" s="5" t="str">
        <f ca="1">IFERROR(__xludf.DUMMYFUNCTION("""COMPUTED_VALUE"""),"No")</f>
        <v>No</v>
      </c>
      <c r="AG1223" s="5" t="str">
        <f ca="1">IFERROR(__xludf.DUMMYFUNCTION("""COMPUTED_VALUE"""),"No")</f>
        <v>No</v>
      </c>
      <c r="AH1223" s="5" t="str">
        <f ca="1">IFERROR(__xludf.DUMMYFUNCTION("""COMPUTED_VALUE"""),"Yes")</f>
        <v>Yes</v>
      </c>
    </row>
    <row r="1224" spans="1:34" ht="12.75">
      <c r="A1224" s="5" t="str">
        <f ca="1">IFERROR(__xludf.DUMMYFUNCTION("""COMPUTED_VALUE"""),"20060310NYISN")</f>
        <v>20060310NYISN</v>
      </c>
      <c r="B1224" s="8">
        <f ca="1">IFERROR(__xludf.DUMMYFUNCTION("""COMPUTED_VALUE"""),38786)</f>
        <v>38786</v>
      </c>
      <c r="C1224" s="5" t="str">
        <f ca="1">IFERROR(__xludf.DUMMYFUNCTION("""COMPUTED_VALUE"""),"I S 89 Middle School")</f>
        <v>I S 89 Middle School</v>
      </c>
      <c r="D1224" s="5">
        <f ca="1">IFERROR(__xludf.DUMMYFUNCTION("""COMPUTED_VALUE"""),0)</f>
        <v>0</v>
      </c>
      <c r="E1224" s="5">
        <f ca="1">IFERROR(__xludf.DUMMYFUNCTION("""COMPUTED_VALUE"""),2)</f>
        <v>2</v>
      </c>
      <c r="F1224" s="5">
        <f ca="1">IFERROR(__xludf.DUMMYFUNCTION("""COMPUTED_VALUE"""),2)</f>
        <v>2</v>
      </c>
      <c r="G1224" s="5">
        <f ca="1">IFERROR(__xludf.DUMMYFUNCTION("""COMPUTED_VALUE"""),0)</f>
        <v>0</v>
      </c>
      <c r="H1224" s="9" t="str">
        <f ca="1">IFERROR(__xludf.DUMMYFUNCTION("""COMPUTED_VALUE"""),"http://www.downtownexpress.com/de_149/bbgunshotingatis89.html")</f>
        <v>http://www.downtownexpress.com/de_149/bbgunshotingatis89.html</v>
      </c>
      <c r="I1224" s="5"/>
      <c r="J1224" s="5"/>
      <c r="K1224" s="5">
        <f ca="1">IFERROR(__xludf.DUMMYFUNCTION("""COMPUTED_VALUE"""),2)</f>
        <v>2</v>
      </c>
      <c r="L1224" s="5" t="str">
        <f ca="1">IFERROR(__xludf.DUMMYFUNCTION("""COMPUTED_VALUE"""),"Spring")</f>
        <v>Spring</v>
      </c>
      <c r="M1224" s="5" t="str">
        <f ca="1">IFERROR(__xludf.DUMMYFUNCTION("""COMPUTED_VALUE"""),"New York")</f>
        <v>New York</v>
      </c>
      <c r="N1224" s="5" t="str">
        <f ca="1">IFERROR(__xludf.DUMMYFUNCTION("""COMPUTED_VALUE"""),"NY")</f>
        <v>NY</v>
      </c>
      <c r="O1224" s="5" t="str">
        <f ca="1">IFERROR(__xludf.DUMMYFUNCTION("""COMPUTED_VALUE"""),"Middle")</f>
        <v>Middle</v>
      </c>
      <c r="P1224" s="5" t="str">
        <f ca="1">IFERROR(__xludf.DUMMYFUNCTION("""COMPUTED_VALUE"""),"Hallway")</f>
        <v>Hallway</v>
      </c>
      <c r="Q1224" s="5" t="str">
        <f ca="1">IFERROR(__xludf.DUMMYFUNCTION("""COMPUTED_VALUE"""),"Inside School Building")</f>
        <v>Inside School Building</v>
      </c>
      <c r="R1224" s="5" t="str">
        <f ca="1">IFERROR(__xludf.DUMMYFUNCTION("""COMPUTED_VALUE"""),"Yes")</f>
        <v>Yes</v>
      </c>
      <c r="S1224" s="5" t="str">
        <f ca="1">IFERROR(__xludf.DUMMYFUNCTION("""COMPUTED_VALUE"""),"School Start")</f>
        <v>School Start</v>
      </c>
      <c r="T1224" s="10">
        <f ca="1">IFERROR(__xludf.DUMMYFUNCTION("""COMPUTED_VALUE"""),0.347222222222222)</f>
        <v>0.34722222222222199</v>
      </c>
      <c r="U1224" s="5">
        <f ca="1">IFERROR(__xludf.DUMMYFUNCTION("""COMPUTED_VALUE"""),1)</f>
        <v>1</v>
      </c>
      <c r="V1224" s="5" t="str">
        <f ca="1">IFERROR(__xludf.DUMMYFUNCTION("""COMPUTED_VALUE"""),"Two students with BB guns ambushed another student in stairwell")</f>
        <v>Two students with BB guns ambushed another student in stairwell</v>
      </c>
      <c r="W1224"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X1224" s="5" t="str">
        <f ca="1">IFERROR(__xludf.DUMMYFUNCTION("""COMPUTED_VALUE"""),"Escalation of Dispute")</f>
        <v>Escalation of Dispute</v>
      </c>
      <c r="Y1224" s="5" t="str">
        <f ca="1">IFERROR(__xludf.DUMMYFUNCTION("""COMPUTED_VALUE"""),"Both")</f>
        <v>Both</v>
      </c>
      <c r="Z1224" s="5" t="str">
        <f ca="1">IFERROR(__xludf.DUMMYFUNCTION("""COMPUTED_VALUE"""),"No")</f>
        <v>No</v>
      </c>
      <c r="AA1224" s="5"/>
      <c r="AB1224" s="5" t="str">
        <f ca="1">IFERROR(__xludf.DUMMYFUNCTION("""COMPUTED_VALUE"""),"No")</f>
        <v>No</v>
      </c>
      <c r="AC1224" s="5" t="str">
        <f ca="1">IFERROR(__xludf.DUMMYFUNCTION("""COMPUTED_VALUE"""),"No")</f>
        <v>No</v>
      </c>
      <c r="AD1224" s="5" t="str">
        <f ca="1">IFERROR(__xludf.DUMMYFUNCTION("""COMPUTED_VALUE"""),"No")</f>
        <v>No</v>
      </c>
      <c r="AE1224" s="5" t="str">
        <f ca="1">IFERROR(__xludf.DUMMYFUNCTION("""COMPUTED_VALUE"""),"No")</f>
        <v>No</v>
      </c>
      <c r="AF1224" s="5" t="str">
        <f ca="1">IFERROR(__xludf.DUMMYFUNCTION("""COMPUTED_VALUE"""),"No")</f>
        <v>No</v>
      </c>
      <c r="AG1224" s="5" t="str">
        <f ca="1">IFERROR(__xludf.DUMMYFUNCTION("""COMPUTED_VALUE"""),"No")</f>
        <v>No</v>
      </c>
      <c r="AH1224" s="5"/>
    </row>
    <row r="1225" spans="1:34" ht="12.75">
      <c r="A1225" s="5" t="str">
        <f ca="1">IFERROR(__xludf.DUMMYFUNCTION("""COMPUTED_VALUE"""),"20060223ORROR")</f>
        <v>20060223ORROR</v>
      </c>
      <c r="B1225" s="8">
        <f ca="1">IFERROR(__xludf.DUMMYFUNCTION("""COMPUTED_VALUE"""),38771)</f>
        <v>38771</v>
      </c>
      <c r="C1225" s="5" t="str">
        <f ca="1">IFERROR(__xludf.DUMMYFUNCTION("""COMPUTED_VALUE"""),"Roseburg High School")</f>
        <v>Roseburg High School</v>
      </c>
      <c r="D1225" s="5">
        <f ca="1">IFERROR(__xludf.DUMMYFUNCTION("""COMPUTED_VALUE"""),0)</f>
        <v>0</v>
      </c>
      <c r="E1225" s="5">
        <f ca="1">IFERROR(__xludf.DUMMYFUNCTION("""COMPUTED_VALUE"""),1)</f>
        <v>1</v>
      </c>
      <c r="F1225" s="5">
        <f ca="1">IFERROR(__xludf.DUMMYFUNCTION("""COMPUTED_VALUE"""),1)</f>
        <v>1</v>
      </c>
      <c r="G1225" s="5">
        <f ca="1">IFERROR(__xludf.DUMMYFUNCTION("""COMPUTED_VALUE"""),0)</f>
        <v>0</v>
      </c>
      <c r="H1225" s="9" t="str">
        <f ca="1">IFERROR(__xludf.DUMMYFUNCTION("""COMPUTED_VALUE"""),"https://www.usatoday.com/story/news/2015/10/01/roseburg-had-school-shooting-2006/73168186/")</f>
        <v>https://www.usatoday.com/story/news/2015/10/01/roseburg-had-school-shooting-2006/73168186/</v>
      </c>
      <c r="I1225" s="5"/>
      <c r="J1225" s="5"/>
      <c r="K1225" s="5">
        <f ca="1">IFERROR(__xludf.DUMMYFUNCTION("""COMPUTED_VALUE"""),2)</f>
        <v>2</v>
      </c>
      <c r="L1225" s="5" t="str">
        <f ca="1">IFERROR(__xludf.DUMMYFUNCTION("""COMPUTED_VALUE"""),"Winter")</f>
        <v>Winter</v>
      </c>
      <c r="M1225" s="5" t="str">
        <f ca="1">IFERROR(__xludf.DUMMYFUNCTION("""COMPUTED_VALUE"""),"Roseburg")</f>
        <v>Roseburg</v>
      </c>
      <c r="N1225" s="5" t="str">
        <f ca="1">IFERROR(__xludf.DUMMYFUNCTION("""COMPUTED_VALUE"""),"OR")</f>
        <v>OR</v>
      </c>
      <c r="O1225" s="5" t="str">
        <f ca="1">IFERROR(__xludf.DUMMYFUNCTION("""COMPUTED_VALUE"""),"High")</f>
        <v>High</v>
      </c>
      <c r="P1225" s="5" t="str">
        <f ca="1">IFERROR(__xludf.DUMMYFUNCTION("""COMPUTED_VALUE"""),"Hallway")</f>
        <v>Hallway</v>
      </c>
      <c r="Q1225" s="5" t="str">
        <f ca="1">IFERROR(__xludf.DUMMYFUNCTION("""COMPUTED_VALUE"""),"Inside School Building")</f>
        <v>Inside School Building</v>
      </c>
      <c r="R1225" s="5" t="str">
        <f ca="1">IFERROR(__xludf.DUMMYFUNCTION("""COMPUTED_VALUE"""),"Yes")</f>
        <v>Yes</v>
      </c>
      <c r="S1225" s="5" t="str">
        <f ca="1">IFERROR(__xludf.DUMMYFUNCTION("""COMPUTED_VALUE"""),"Before School")</f>
        <v>Before School</v>
      </c>
      <c r="T1225" s="10">
        <f ca="1">IFERROR(__xludf.DUMMYFUNCTION("""COMPUTED_VALUE"""),0.322916666666666)</f>
        <v>0.32291666666666602</v>
      </c>
      <c r="U1225" s="5">
        <f ca="1">IFERROR(__xludf.DUMMYFUNCTION("""COMPUTED_VALUE"""),1)</f>
        <v>1</v>
      </c>
      <c r="V1225" s="5" t="str">
        <f ca="1">IFERROR(__xludf.DUMMYFUNCTION("""COMPUTED_VALUE"""),"Jealousy over girl interested in victim")</f>
        <v>Jealousy over girl interested in victim</v>
      </c>
      <c r="W1225"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X1225" s="5" t="str">
        <f ca="1">IFERROR(__xludf.DUMMYFUNCTION("""COMPUTED_VALUE"""),"Murder/Suicide")</f>
        <v>Murder/Suicide</v>
      </c>
      <c r="Y1225" s="5" t="str">
        <f ca="1">IFERROR(__xludf.DUMMYFUNCTION("""COMPUTED_VALUE"""),"Victims Targeted")</f>
        <v>Victims Targeted</v>
      </c>
      <c r="Z1225" s="5" t="str">
        <f ca="1">IFERROR(__xludf.DUMMYFUNCTION("""COMPUTED_VALUE"""),"No")</f>
        <v>No</v>
      </c>
      <c r="AA1225" s="5"/>
      <c r="AB1225" s="5" t="str">
        <f ca="1">IFERROR(__xludf.DUMMYFUNCTION("""COMPUTED_VALUE"""),"No")</f>
        <v>No</v>
      </c>
      <c r="AC1225" s="5" t="str">
        <f ca="1">IFERROR(__xludf.DUMMYFUNCTION("""COMPUTED_VALUE"""),"No")</f>
        <v>No</v>
      </c>
      <c r="AD1225" s="5" t="str">
        <f ca="1">IFERROR(__xludf.DUMMYFUNCTION("""COMPUTED_VALUE"""),"No")</f>
        <v>No</v>
      </c>
      <c r="AE1225" s="5" t="str">
        <f ca="1">IFERROR(__xludf.DUMMYFUNCTION("""COMPUTED_VALUE"""),"Yes")</f>
        <v>Yes</v>
      </c>
      <c r="AF1225" s="5" t="str">
        <f ca="1">IFERROR(__xludf.DUMMYFUNCTION("""COMPUTED_VALUE"""),"No")</f>
        <v>No</v>
      </c>
      <c r="AG1225" s="5" t="str">
        <f ca="1">IFERROR(__xludf.DUMMYFUNCTION("""COMPUTED_VALUE"""),"No")</f>
        <v>No</v>
      </c>
      <c r="AH1225" s="5" t="str">
        <f ca="1">IFERROR(__xludf.DUMMYFUNCTION("""COMPUTED_VALUE"""),"Yes")</f>
        <v>Yes</v>
      </c>
    </row>
    <row r="1226" spans="1:34" ht="12.75">
      <c r="A1226" s="5" t="str">
        <f ca="1">IFERROR(__xludf.DUMMYFUNCTION("""COMPUTED_VALUE"""),"20060221PAWEP")</f>
        <v>20060221PAWEP</v>
      </c>
      <c r="B1226" s="8">
        <f ca="1">IFERROR(__xludf.DUMMYFUNCTION("""COMPUTED_VALUE"""),38769)</f>
        <v>38769</v>
      </c>
      <c r="C1226" s="5" t="str">
        <f ca="1">IFERROR(__xludf.DUMMYFUNCTION("""COMPUTED_VALUE"""),"Westinghouse High School")</f>
        <v>Westinghouse High School</v>
      </c>
      <c r="D1226" s="5">
        <f ca="1">IFERROR(__xludf.DUMMYFUNCTION("""COMPUTED_VALUE"""),0)</f>
        <v>0</v>
      </c>
      <c r="E1226" s="5">
        <f ca="1">IFERROR(__xludf.DUMMYFUNCTION("""COMPUTED_VALUE"""),1)</f>
        <v>1</v>
      </c>
      <c r="F1226" s="5">
        <f ca="1">IFERROR(__xludf.DUMMYFUNCTION("""COMPUTED_VALUE"""),1)</f>
        <v>1</v>
      </c>
      <c r="G1226" s="5">
        <f ca="1">IFERROR(__xludf.DUMMYFUNCTION("""COMPUTED_VALUE"""),0)</f>
        <v>0</v>
      </c>
      <c r="H1226" s="9" t="str">
        <f ca="1">IFERROR(__xludf.DUMMYFUNCTION("""COMPUTED_VALUE"""),"http://www.post-gazette.com/local/city/2007/02/28/Rifle-used-to-shoot-teen-outside-school-tied-to-2nd-shooting/stories/200702280235")</f>
        <v>http://www.post-gazette.com/local/city/2007/02/28/Rifle-used-to-shoot-teen-outside-school-tied-to-2nd-shooting/stories/200702280235</v>
      </c>
      <c r="I1226" s="5"/>
      <c r="J1226" s="5"/>
      <c r="K1226" s="5">
        <f ca="1">IFERROR(__xludf.DUMMYFUNCTION("""COMPUTED_VALUE"""),2)</f>
        <v>2</v>
      </c>
      <c r="L1226" s="5" t="str">
        <f ca="1">IFERROR(__xludf.DUMMYFUNCTION("""COMPUTED_VALUE"""),"Winter")</f>
        <v>Winter</v>
      </c>
      <c r="M1226" s="5" t="str">
        <f ca="1">IFERROR(__xludf.DUMMYFUNCTION("""COMPUTED_VALUE"""),"Pittsburgh")</f>
        <v>Pittsburgh</v>
      </c>
      <c r="N1226" s="5" t="str">
        <f ca="1">IFERROR(__xludf.DUMMYFUNCTION("""COMPUTED_VALUE"""),"PA")</f>
        <v>PA</v>
      </c>
      <c r="O1226" s="5" t="str">
        <f ca="1">IFERROR(__xludf.DUMMYFUNCTION("""COMPUTED_VALUE"""),"High")</f>
        <v>High</v>
      </c>
      <c r="P1226" s="5" t="str">
        <f ca="1">IFERROR(__xludf.DUMMYFUNCTION("""COMPUTED_VALUE"""),"Front of School")</f>
        <v>Front of School</v>
      </c>
      <c r="Q1226" s="5" t="str">
        <f ca="1">IFERROR(__xludf.DUMMYFUNCTION("""COMPUTED_VALUE"""),"Outside on School Property")</f>
        <v>Outside on School Property</v>
      </c>
      <c r="R1226" s="5" t="str">
        <f ca="1">IFERROR(__xludf.DUMMYFUNCTION("""COMPUTED_VALUE"""),"Yes")</f>
        <v>Yes</v>
      </c>
      <c r="S1226" s="5" t="str">
        <f ca="1">IFERROR(__xludf.DUMMYFUNCTION("""COMPUTED_VALUE"""),"School Start")</f>
        <v>School Start</v>
      </c>
      <c r="T1226" s="10">
        <f ca="1">IFERROR(__xludf.DUMMYFUNCTION("""COMPUTED_VALUE"""),0.322916666666666)</f>
        <v>0.32291666666666602</v>
      </c>
      <c r="U1226" s="5">
        <f ca="1">IFERROR(__xludf.DUMMYFUNCTION("""COMPUTED_VALUE"""),1)</f>
        <v>1</v>
      </c>
      <c r="V1226" s="5" t="str">
        <f ca="1">IFERROR(__xludf.DUMMYFUNCTION("""COMPUTED_VALUE"""),"Student shot in targeted drive-by outside of school")</f>
        <v>Student shot in targeted drive-by outside of school</v>
      </c>
      <c r="W1226"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X1226" s="5" t="str">
        <f ca="1">IFERROR(__xludf.DUMMYFUNCTION("""COMPUTED_VALUE"""),"Drive-by Shooting")</f>
        <v>Drive-by Shooting</v>
      </c>
      <c r="Y1226" s="5" t="str">
        <f ca="1">IFERROR(__xludf.DUMMYFUNCTION("""COMPUTED_VALUE"""),"Victims Targeted")</f>
        <v>Victims Targeted</v>
      </c>
      <c r="Z1226" s="5" t="str">
        <f ca="1">IFERROR(__xludf.DUMMYFUNCTION("""COMPUTED_VALUE"""),"Yes")</f>
        <v>Yes</v>
      </c>
      <c r="AA1226" s="5" t="str">
        <f ca="1">IFERROR(__xludf.DUMMYFUNCTION("""COMPUTED_VALUE"""),"3 males in vehicle during shooting")</f>
        <v>3 males in vehicle during shooting</v>
      </c>
      <c r="AB1226" s="5" t="str">
        <f ca="1">IFERROR(__xludf.DUMMYFUNCTION("""COMPUTED_VALUE"""),"No")</f>
        <v>No</v>
      </c>
      <c r="AC1226" s="5" t="str">
        <f ca="1">IFERROR(__xludf.DUMMYFUNCTION("""COMPUTED_VALUE"""),"No")</f>
        <v>No</v>
      </c>
      <c r="AD1226" s="5" t="str">
        <f ca="1">IFERROR(__xludf.DUMMYFUNCTION("""COMPUTED_VALUE"""),"No")</f>
        <v>No</v>
      </c>
      <c r="AE1226" s="5" t="str">
        <f ca="1">IFERROR(__xludf.DUMMYFUNCTION("""COMPUTED_VALUE"""),"No")</f>
        <v>No</v>
      </c>
      <c r="AF1226" s="5" t="str">
        <f ca="1">IFERROR(__xludf.DUMMYFUNCTION("""COMPUTED_VALUE"""),"No")</f>
        <v>No</v>
      </c>
      <c r="AG1226" s="5"/>
      <c r="AH1226" s="5"/>
    </row>
    <row r="1227" spans="1:34" ht="12.75">
      <c r="A1227" s="5" t="str">
        <f ca="1">IFERROR(__xludf.DUMMYFUNCTION("""COMPUTED_VALUE"""),"20060215PAWEY")</f>
        <v>20060215PAWEY</v>
      </c>
      <c r="B1227" s="8">
        <f ca="1">IFERROR(__xludf.DUMMYFUNCTION("""COMPUTED_VALUE"""),38763)</f>
        <v>38763</v>
      </c>
      <c r="C1227" s="5" t="str">
        <f ca="1">IFERROR(__xludf.DUMMYFUNCTION("""COMPUTED_VALUE"""),"West York Area High School")</f>
        <v>West York Area High School</v>
      </c>
      <c r="D1227" s="5">
        <f ca="1">IFERROR(__xludf.DUMMYFUNCTION("""COMPUTED_VALUE"""),0)</f>
        <v>0</v>
      </c>
      <c r="E1227" s="5">
        <f ca="1">IFERROR(__xludf.DUMMYFUNCTION("""COMPUTED_VALUE"""),0)</f>
        <v>0</v>
      </c>
      <c r="F1227" s="5">
        <f ca="1">IFERROR(__xludf.DUMMYFUNCTION("""COMPUTED_VALUE"""),0)</f>
        <v>0</v>
      </c>
      <c r="G1227" s="5">
        <f ca="1">IFERROR(__xludf.DUMMYFUNCTION("""COMPUTED_VALUE"""),1)</f>
        <v>1</v>
      </c>
      <c r="H1227" s="9" t="str">
        <f ca="1">IFERROR(__xludf.DUMMYFUNCTION("""COMPUTED_VALUE"""),"https://www.ydr.com/story/news/local/blogs/teen-takeover/2006/02/24/school-censoring-student-writi/31691051/")</f>
        <v>https://www.ydr.com/story/news/local/blogs/teen-takeover/2006/02/24/school-censoring-student-writi/31691051/</v>
      </c>
      <c r="I1227" s="5"/>
      <c r="J1227" s="5"/>
      <c r="K1227" s="5">
        <f ca="1">IFERROR(__xludf.DUMMYFUNCTION("""COMPUTED_VALUE"""),1)</f>
        <v>1</v>
      </c>
      <c r="L1227" s="5" t="str">
        <f ca="1">IFERROR(__xludf.DUMMYFUNCTION("""COMPUTED_VALUE"""),"Winter")</f>
        <v>Winter</v>
      </c>
      <c r="M1227" s="5" t="str">
        <f ca="1">IFERROR(__xludf.DUMMYFUNCTION("""COMPUTED_VALUE"""),"York")</f>
        <v>York</v>
      </c>
      <c r="N1227" s="5" t="str">
        <f ca="1">IFERROR(__xludf.DUMMYFUNCTION("""COMPUTED_VALUE"""),"PA")</f>
        <v>PA</v>
      </c>
      <c r="O1227" s="5" t="str">
        <f ca="1">IFERROR(__xludf.DUMMYFUNCTION("""COMPUTED_VALUE"""),"High")</f>
        <v>High</v>
      </c>
      <c r="P1227" s="5" t="str">
        <f ca="1">IFERROR(__xludf.DUMMYFUNCTION("""COMPUTED_VALUE"""),"Classroom")</f>
        <v>Classroom</v>
      </c>
      <c r="Q1227" s="5" t="str">
        <f ca="1">IFERROR(__xludf.DUMMYFUNCTION("""COMPUTED_VALUE"""),"Inside School Building")</f>
        <v>Inside School Building</v>
      </c>
      <c r="R1227" s="5" t="str">
        <f ca="1">IFERROR(__xludf.DUMMYFUNCTION("""COMPUTED_VALUE"""),"No")</f>
        <v>No</v>
      </c>
      <c r="S1227" s="5" t="str">
        <f ca="1">IFERROR(__xludf.DUMMYFUNCTION("""COMPUTED_VALUE"""),"Evening")</f>
        <v>Evening</v>
      </c>
      <c r="T1227" s="5"/>
      <c r="U1227" s="5">
        <f ca="1">IFERROR(__xludf.DUMMYFUNCTION("""COMPUTED_VALUE"""),1)</f>
        <v>1</v>
      </c>
      <c r="V1227" s="5" t="str">
        <f ca="1">IFERROR(__xludf.DUMMYFUNCTION("""COMPUTED_VALUE"""),"Art teacher shot himself in the evening, found the next day in classroom")</f>
        <v>Art teacher shot himself in the evening, found the next day in classroom</v>
      </c>
      <c r="W1227"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X1227" s="5" t="str">
        <f ca="1">IFERROR(__xludf.DUMMYFUNCTION("""COMPUTED_VALUE"""),"Suicide/Attempted")</f>
        <v>Suicide/Attempted</v>
      </c>
      <c r="Y1227" s="5" t="str">
        <f ca="1">IFERROR(__xludf.DUMMYFUNCTION("""COMPUTED_VALUE"""),"Victims Targeted")</f>
        <v>Victims Targeted</v>
      </c>
      <c r="Z1227" s="5" t="str">
        <f ca="1">IFERROR(__xludf.DUMMYFUNCTION("""COMPUTED_VALUE"""),"No")</f>
        <v>No</v>
      </c>
      <c r="AA1227" s="5"/>
      <c r="AB1227" s="5" t="str">
        <f ca="1">IFERROR(__xludf.DUMMYFUNCTION("""COMPUTED_VALUE"""),"No")</f>
        <v>No</v>
      </c>
      <c r="AC1227" s="5" t="str">
        <f ca="1">IFERROR(__xludf.DUMMYFUNCTION("""COMPUTED_VALUE"""),"No")</f>
        <v>No</v>
      </c>
      <c r="AD1227" s="5" t="str">
        <f ca="1">IFERROR(__xludf.DUMMYFUNCTION("""COMPUTED_VALUE"""),"No")</f>
        <v>No</v>
      </c>
      <c r="AE1227" s="5" t="str">
        <f ca="1">IFERROR(__xludf.DUMMYFUNCTION("""COMPUTED_VALUE"""),"No")</f>
        <v>No</v>
      </c>
      <c r="AF1227" s="5" t="str">
        <f ca="1">IFERROR(__xludf.DUMMYFUNCTION("""COMPUTED_VALUE"""),"No")</f>
        <v>No</v>
      </c>
      <c r="AG1227" s="5" t="str">
        <f ca="1">IFERROR(__xludf.DUMMYFUNCTION("""COMPUTED_VALUE"""),"No")</f>
        <v>No</v>
      </c>
      <c r="AH1227" s="5"/>
    </row>
    <row r="1228" spans="1:34" ht="12.75">
      <c r="A1228" s="5" t="str">
        <f ca="1">IFERROR(__xludf.DUMMYFUNCTION("""COMPUTED_VALUE"""),"20060209DEWIN")</f>
        <v>20060209DEWIN</v>
      </c>
      <c r="B1228" s="8">
        <f ca="1">IFERROR(__xludf.DUMMYFUNCTION("""COMPUTED_VALUE"""),38757)</f>
        <v>38757</v>
      </c>
      <c r="C1228" s="5" t="str">
        <f ca="1">IFERROR(__xludf.DUMMYFUNCTION("""COMPUTED_VALUE"""),"William Penn High School")</f>
        <v>William Penn High School</v>
      </c>
      <c r="D1228" s="5">
        <f ca="1">IFERROR(__xludf.DUMMYFUNCTION("""COMPUTED_VALUE"""),0)</f>
        <v>0</v>
      </c>
      <c r="E1228" s="5">
        <f ca="1">IFERROR(__xludf.DUMMYFUNCTION("""COMPUTED_VALUE"""),1)</f>
        <v>1</v>
      </c>
      <c r="F1228" s="5">
        <f ca="1">IFERROR(__xludf.DUMMYFUNCTION("""COMPUTED_VALUE"""),1)</f>
        <v>1</v>
      </c>
      <c r="G1228" s="5">
        <f ca="1">IFERROR(__xludf.DUMMYFUNCTION("""COMPUTED_VALUE"""),0)</f>
        <v>0</v>
      </c>
      <c r="H1228" s="9" t="str">
        <f ca="1">IFERROR(__xludf.DUMMYFUNCTION("""COMPUTED_VALUE"""),"https://www.newspapers.com/image/164693932/?terms=William%2BPenn%2BHigh%2BSchool%2Bshooting")</f>
        <v>https://www.newspapers.com/image/164693932/?terms=William%2BPenn%2BHigh%2BSchool%2Bshooting</v>
      </c>
      <c r="I1228" s="5"/>
      <c r="J1228" s="5"/>
      <c r="K1228" s="5">
        <f ca="1">IFERROR(__xludf.DUMMYFUNCTION("""COMPUTED_VALUE"""),2)</f>
        <v>2</v>
      </c>
      <c r="L1228" s="5" t="str">
        <f ca="1">IFERROR(__xludf.DUMMYFUNCTION("""COMPUTED_VALUE"""),"Winter")</f>
        <v>Winter</v>
      </c>
      <c r="M1228" s="5" t="str">
        <f ca="1">IFERROR(__xludf.DUMMYFUNCTION("""COMPUTED_VALUE"""),"New Castle")</f>
        <v>New Castle</v>
      </c>
      <c r="N1228" s="5" t="str">
        <f ca="1">IFERROR(__xludf.DUMMYFUNCTION("""COMPUTED_VALUE"""),"DE")</f>
        <v>DE</v>
      </c>
      <c r="O1228" s="5" t="str">
        <f ca="1">IFERROR(__xludf.DUMMYFUNCTION("""COMPUTED_VALUE"""),"High")</f>
        <v>High</v>
      </c>
      <c r="P1228" s="5" t="str">
        <f ca="1">IFERROR(__xludf.DUMMYFUNCTION("""COMPUTED_VALUE"""),"Parking Lot")</f>
        <v>Parking Lot</v>
      </c>
      <c r="Q1228" s="5" t="str">
        <f ca="1">IFERROR(__xludf.DUMMYFUNCTION("""COMPUTED_VALUE"""),"Outside on School Property")</f>
        <v>Outside on School Property</v>
      </c>
      <c r="R1228" s="5" t="str">
        <f ca="1">IFERROR(__xludf.DUMMYFUNCTION("""COMPUTED_VALUE"""),"No")</f>
        <v>No</v>
      </c>
      <c r="S1228" s="5" t="str">
        <f ca="1">IFERROR(__xludf.DUMMYFUNCTION("""COMPUTED_VALUE"""),"Sport Event")</f>
        <v>Sport Event</v>
      </c>
      <c r="T1228" s="10">
        <f ca="1">IFERROR(__xludf.DUMMYFUNCTION("""COMPUTED_VALUE"""),0.868055555555555)</f>
        <v>0.86805555555555503</v>
      </c>
      <c r="U1228" s="5">
        <f ca="1">IFERROR(__xludf.DUMMYFUNCTION("""COMPUTED_VALUE"""),1)</f>
        <v>1</v>
      </c>
      <c r="V1228" s="5" t="str">
        <f ca="1">IFERROR(__xludf.DUMMYFUNCTION("""COMPUTED_VALUE"""),"Fight in parking lot following basketball game")</f>
        <v>Fight in parking lot following basketball game</v>
      </c>
      <c r="W1228"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X1228" s="5" t="str">
        <f ca="1">IFERROR(__xludf.DUMMYFUNCTION("""COMPUTED_VALUE"""),"Escalation of Dispute")</f>
        <v>Escalation of Dispute</v>
      </c>
      <c r="Y1228" s="5" t="str">
        <f ca="1">IFERROR(__xludf.DUMMYFUNCTION("""COMPUTED_VALUE"""),"Victims Targeted")</f>
        <v>Victims Targeted</v>
      </c>
      <c r="Z1228" s="5" t="str">
        <f ca="1">IFERROR(__xludf.DUMMYFUNCTION("""COMPUTED_VALUE"""),"Yes")</f>
        <v>Yes</v>
      </c>
      <c r="AA1228" s="5" t="str">
        <f ca="1">IFERROR(__xludf.DUMMYFUNCTION("""COMPUTED_VALUE"""),"Three arrested in connection, unclear which is shooter")</f>
        <v>Three arrested in connection, unclear which is shooter</v>
      </c>
      <c r="AB1228" s="5" t="str">
        <f ca="1">IFERROR(__xludf.DUMMYFUNCTION("""COMPUTED_VALUE"""),"No")</f>
        <v>No</v>
      </c>
      <c r="AC1228" s="5" t="str">
        <f ca="1">IFERROR(__xludf.DUMMYFUNCTION("""COMPUTED_VALUE"""),"No")</f>
        <v>No</v>
      </c>
      <c r="AD1228" s="5" t="str">
        <f ca="1">IFERROR(__xludf.DUMMYFUNCTION("""COMPUTED_VALUE"""),"No")</f>
        <v>No</v>
      </c>
      <c r="AE1228" s="5" t="str">
        <f ca="1">IFERROR(__xludf.DUMMYFUNCTION("""COMPUTED_VALUE"""),"No")</f>
        <v>No</v>
      </c>
      <c r="AF1228" s="5" t="str">
        <f ca="1">IFERROR(__xludf.DUMMYFUNCTION("""COMPUTED_VALUE"""),"No")</f>
        <v>No</v>
      </c>
      <c r="AG1228" s="5" t="str">
        <f ca="1">IFERROR(__xludf.DUMMYFUNCTION("""COMPUTED_VALUE"""),"No")</f>
        <v>No</v>
      </c>
      <c r="AH1228" s="5"/>
    </row>
    <row r="1229" spans="1:34" ht="12.75">
      <c r="A1229" s="5" t="str">
        <f ca="1">IFERROR(__xludf.DUMMYFUNCTION("""COMPUTED_VALUE"""),"20060203CALOC")</f>
        <v>20060203CALOC</v>
      </c>
      <c r="B1229" s="8">
        <f ca="1">IFERROR(__xludf.DUMMYFUNCTION("""COMPUTED_VALUE"""),38751)</f>
        <v>38751</v>
      </c>
      <c r="C1229" s="5" t="str">
        <f ca="1">IFERROR(__xludf.DUMMYFUNCTION("""COMPUTED_VALUE"""),"Longfellow Elementary School (bus)")</f>
        <v>Longfellow Elementary School (bus)</v>
      </c>
      <c r="D1229" s="5">
        <f ca="1">IFERROR(__xludf.DUMMYFUNCTION("""COMPUTED_VALUE"""),0)</f>
        <v>0</v>
      </c>
      <c r="E1229" s="5">
        <f ca="1">IFERROR(__xludf.DUMMYFUNCTION("""COMPUTED_VALUE"""),1)</f>
        <v>1</v>
      </c>
      <c r="F1229" s="5">
        <f ca="1">IFERROR(__xludf.DUMMYFUNCTION("""COMPUTED_VALUE"""),1)</f>
        <v>1</v>
      </c>
      <c r="G1229" s="5">
        <f ca="1">IFERROR(__xludf.DUMMYFUNCTION("""COMPUTED_VALUE"""),0)</f>
        <v>0</v>
      </c>
      <c r="H1229" s="9" t="str">
        <f ca="1">IFERROR(__xludf.DUMMYFUNCTION("""COMPUTED_VALUE"""),"https://www.newspapers.com/image/192748872/?terms=Longfellow%2BElementary%2BSchool%2Belbow%2Bbus")</f>
        <v>https://www.newspapers.com/image/192748872/?terms=Longfellow%2BElementary%2BSchool%2Belbow%2Bbus</v>
      </c>
      <c r="I1229" s="5"/>
      <c r="J1229" s="5"/>
      <c r="K1229" s="5">
        <f ca="1">IFERROR(__xludf.DUMMYFUNCTION("""COMPUTED_VALUE"""),2)</f>
        <v>2</v>
      </c>
      <c r="L1229" s="5" t="str">
        <f ca="1">IFERROR(__xludf.DUMMYFUNCTION("""COMPUTED_VALUE"""),"Winter")</f>
        <v>Winter</v>
      </c>
      <c r="M1229" s="5" t="str">
        <f ca="1">IFERROR(__xludf.DUMMYFUNCTION("""COMPUTED_VALUE"""),"Compton")</f>
        <v>Compton</v>
      </c>
      <c r="N1229" s="5" t="str">
        <f ca="1">IFERROR(__xludf.DUMMYFUNCTION("""COMPUTED_VALUE"""),"CA")</f>
        <v>CA</v>
      </c>
      <c r="O1229" s="5" t="str">
        <f ca="1">IFERROR(__xludf.DUMMYFUNCTION("""COMPUTED_VALUE"""),"Elementary")</f>
        <v>Elementary</v>
      </c>
      <c r="P1229" s="5" t="str">
        <f ca="1">IFERROR(__xludf.DUMMYFUNCTION("""COMPUTED_VALUE"""),"School Bus")</f>
        <v>School Bus</v>
      </c>
      <c r="Q1229" s="5" t="str">
        <f ca="1">IFERROR(__xludf.DUMMYFUNCTION("""COMPUTED_VALUE"""),"School Bus")</f>
        <v>School Bus</v>
      </c>
      <c r="R1229" s="5" t="str">
        <f ca="1">IFERROR(__xludf.DUMMYFUNCTION("""COMPUTED_VALUE"""),"Yes")</f>
        <v>Yes</v>
      </c>
      <c r="S1229" s="5" t="str">
        <f ca="1">IFERROR(__xludf.DUMMYFUNCTION("""COMPUTED_VALUE"""),"Before School")</f>
        <v>Before School</v>
      </c>
      <c r="T1229" s="10">
        <f ca="1">IFERROR(__xludf.DUMMYFUNCTION("""COMPUTED_VALUE"""),0.347222222222222)</f>
        <v>0.34722222222222199</v>
      </c>
      <c r="U1229" s="5">
        <f ca="1">IFERROR(__xludf.DUMMYFUNCTION("""COMPUTED_VALUE"""),1)</f>
        <v>1</v>
      </c>
      <c r="V1229" s="5" t="str">
        <f ca="1">IFERROR(__xludf.DUMMYFUNCTION("""COMPUTED_VALUE"""),"Showing off gun on bus, fired striking other student in arm")</f>
        <v>Showing off gun on bus, fired striking other student in arm</v>
      </c>
      <c r="W1229"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X1229" s="5" t="str">
        <f ca="1">IFERROR(__xludf.DUMMYFUNCTION("""COMPUTED_VALUE"""),"Accidental")</f>
        <v>Accidental</v>
      </c>
      <c r="Y1229" s="5" t="str">
        <f ca="1">IFERROR(__xludf.DUMMYFUNCTION("""COMPUTED_VALUE"""),"Random Shooting")</f>
        <v>Random Shooting</v>
      </c>
      <c r="Z1229" s="5" t="str">
        <f ca="1">IFERROR(__xludf.DUMMYFUNCTION("""COMPUTED_VALUE"""),"No")</f>
        <v>No</v>
      </c>
      <c r="AA1229" s="5"/>
      <c r="AB1229" s="5" t="str">
        <f ca="1">IFERROR(__xludf.DUMMYFUNCTION("""COMPUTED_VALUE"""),"No")</f>
        <v>No</v>
      </c>
      <c r="AC1229" s="5" t="str">
        <f ca="1">IFERROR(__xludf.DUMMYFUNCTION("""COMPUTED_VALUE"""),"No")</f>
        <v>No</v>
      </c>
      <c r="AD1229" s="5" t="str">
        <f ca="1">IFERROR(__xludf.DUMMYFUNCTION("""COMPUTED_VALUE"""),"No")</f>
        <v>No</v>
      </c>
      <c r="AE1229" s="5" t="str">
        <f ca="1">IFERROR(__xludf.DUMMYFUNCTION("""COMPUTED_VALUE"""),"No")</f>
        <v>No</v>
      </c>
      <c r="AF1229" s="5" t="str">
        <f ca="1">IFERROR(__xludf.DUMMYFUNCTION("""COMPUTED_VALUE"""),"No")</f>
        <v>No</v>
      </c>
      <c r="AG1229" s="5" t="str">
        <f ca="1">IFERROR(__xludf.DUMMYFUNCTION("""COMPUTED_VALUE"""),"No")</f>
        <v>No</v>
      </c>
      <c r="AH1229" s="5"/>
    </row>
    <row r="1230" spans="1:34" ht="12.75">
      <c r="A1230" s="5" t="str">
        <f ca="1">IFERROR(__xludf.DUMMYFUNCTION("""COMPUTED_VALUE"""),"20060130MTCMG")</f>
        <v>20060130MTCMG</v>
      </c>
      <c r="B1230" s="8">
        <f ca="1">IFERROR(__xludf.DUMMYFUNCTION("""COMPUTED_VALUE"""),38747)</f>
        <v>38747</v>
      </c>
      <c r="C1230" s="5" t="str">
        <f ca="1">IFERROR(__xludf.DUMMYFUNCTION("""COMPUTED_VALUE"""),"C M Russell High School")</f>
        <v>C M Russell High School</v>
      </c>
      <c r="D1230" s="5">
        <f ca="1">IFERROR(__xludf.DUMMYFUNCTION("""COMPUTED_VALUE"""),0)</f>
        <v>0</v>
      </c>
      <c r="E1230" s="5">
        <f ca="1">IFERROR(__xludf.DUMMYFUNCTION("""COMPUTED_VALUE"""),0)</f>
        <v>0</v>
      </c>
      <c r="F1230" s="5">
        <f ca="1">IFERROR(__xludf.DUMMYFUNCTION("""COMPUTED_VALUE"""),0)</f>
        <v>0</v>
      </c>
      <c r="G1230" s="5">
        <f ca="1">IFERROR(__xludf.DUMMYFUNCTION("""COMPUTED_VALUE"""),1)</f>
        <v>1</v>
      </c>
      <c r="H1230"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I1230" s="5"/>
      <c r="J1230" s="5"/>
      <c r="K1230" s="5">
        <f ca="1">IFERROR(__xludf.DUMMYFUNCTION("""COMPUTED_VALUE"""),2)</f>
        <v>2</v>
      </c>
      <c r="L1230" s="5" t="str">
        <f ca="1">IFERROR(__xludf.DUMMYFUNCTION("""COMPUTED_VALUE"""),"Winter")</f>
        <v>Winter</v>
      </c>
      <c r="M1230" s="5" t="str">
        <f ca="1">IFERROR(__xludf.DUMMYFUNCTION("""COMPUTED_VALUE"""),"Great Falls")</f>
        <v>Great Falls</v>
      </c>
      <c r="N1230" s="5" t="str">
        <f ca="1">IFERROR(__xludf.DUMMYFUNCTION("""COMPUTED_VALUE"""),"MT")</f>
        <v>MT</v>
      </c>
      <c r="O1230" s="5" t="str">
        <f ca="1">IFERROR(__xludf.DUMMYFUNCTION("""COMPUTED_VALUE"""),"High")</f>
        <v>High</v>
      </c>
      <c r="P1230" s="5" t="str">
        <f ca="1">IFERROR(__xludf.DUMMYFUNCTION("""COMPUTED_VALUE"""),"Bathroom")</f>
        <v>Bathroom</v>
      </c>
      <c r="Q1230" s="5" t="str">
        <f ca="1">IFERROR(__xludf.DUMMYFUNCTION("""COMPUTED_VALUE"""),"Inside School Building")</f>
        <v>Inside School Building</v>
      </c>
      <c r="R1230" s="5" t="str">
        <f ca="1">IFERROR(__xludf.DUMMYFUNCTION("""COMPUTED_VALUE"""),"Yes")</f>
        <v>Yes</v>
      </c>
      <c r="S1230" s="5" t="str">
        <f ca="1">IFERROR(__xludf.DUMMYFUNCTION("""COMPUTED_VALUE"""),"School Start")</f>
        <v>School Start</v>
      </c>
      <c r="T1230" s="10">
        <f ca="1">IFERROR(__xludf.DUMMYFUNCTION("""COMPUTED_VALUE"""),0.333333333333333)</f>
        <v>0.33333333333333298</v>
      </c>
      <c r="U1230" s="5">
        <f ca="1">IFERROR(__xludf.DUMMYFUNCTION("""COMPUTED_VALUE"""),1)</f>
        <v>1</v>
      </c>
      <c r="V1230" s="5" t="str">
        <f ca="1">IFERROR(__xludf.DUMMYFUNCTION("""COMPUTED_VALUE"""),"Shot self in bathroom")</f>
        <v>Shot self in bathroom</v>
      </c>
      <c r="W1230" s="5" t="str">
        <f ca="1">IFERROR(__xludf.DUMMYFUNCTION("""COMPUTED_VALUE"""),"16YOM student shot himself in the school bathroom.")</f>
        <v>16YOM student shot himself in the school bathroom.</v>
      </c>
      <c r="X1230" s="5" t="str">
        <f ca="1">IFERROR(__xludf.DUMMYFUNCTION("""COMPUTED_VALUE"""),"Suicide/Attempted")</f>
        <v>Suicide/Attempted</v>
      </c>
      <c r="Y1230" s="5" t="str">
        <f ca="1">IFERROR(__xludf.DUMMYFUNCTION("""COMPUTED_VALUE"""),"Victims Targeted")</f>
        <v>Victims Targeted</v>
      </c>
      <c r="Z1230" s="5" t="str">
        <f ca="1">IFERROR(__xludf.DUMMYFUNCTION("""COMPUTED_VALUE"""),"No")</f>
        <v>No</v>
      </c>
      <c r="AA1230" s="5"/>
      <c r="AB1230" s="5" t="str">
        <f ca="1">IFERROR(__xludf.DUMMYFUNCTION("""COMPUTED_VALUE"""),"No")</f>
        <v>No</v>
      </c>
      <c r="AC1230" s="5" t="str">
        <f ca="1">IFERROR(__xludf.DUMMYFUNCTION("""COMPUTED_VALUE"""),"No")</f>
        <v>No</v>
      </c>
      <c r="AD1230" s="5" t="str">
        <f ca="1">IFERROR(__xludf.DUMMYFUNCTION("""COMPUTED_VALUE"""),"No")</f>
        <v>No</v>
      </c>
      <c r="AE1230" s="5"/>
      <c r="AF1230" s="5" t="str">
        <f ca="1">IFERROR(__xludf.DUMMYFUNCTION("""COMPUTED_VALUE"""),"No")</f>
        <v>No</v>
      </c>
      <c r="AG1230" s="5" t="str">
        <f ca="1">IFERROR(__xludf.DUMMYFUNCTION("""COMPUTED_VALUE"""),"No")</f>
        <v>No</v>
      </c>
      <c r="AH1230" s="5"/>
    </row>
    <row r="1231" spans="1:34" ht="12.75">
      <c r="A1231" s="5" t="str">
        <f ca="1">IFERROR(__xludf.DUMMYFUNCTION("""COMPUTED_VALUE"""),"20060127TXLAG")</f>
        <v>20060127TXLAG</v>
      </c>
      <c r="B1231" s="8">
        <f ca="1">IFERROR(__xludf.DUMMYFUNCTION("""COMPUTED_VALUE"""),38744)</f>
        <v>38744</v>
      </c>
      <c r="C1231" s="5" t="str">
        <f ca="1">IFERROR(__xludf.DUMMYFUNCTION("""COMPUTED_VALUE"""),"Lakeview Centennial High School")</f>
        <v>Lakeview Centennial High School</v>
      </c>
      <c r="D1231" s="5">
        <f ca="1">IFERROR(__xludf.DUMMYFUNCTION("""COMPUTED_VALUE"""),0)</f>
        <v>0</v>
      </c>
      <c r="E1231" s="5">
        <f ca="1">IFERROR(__xludf.DUMMYFUNCTION("""COMPUTED_VALUE"""),2)</f>
        <v>2</v>
      </c>
      <c r="F1231" s="5">
        <f ca="1">IFERROR(__xludf.DUMMYFUNCTION("""COMPUTED_VALUE"""),2)</f>
        <v>2</v>
      </c>
      <c r="G1231" s="5">
        <f ca="1">IFERROR(__xludf.DUMMYFUNCTION("""COMPUTED_VALUE"""),0)</f>
        <v>0</v>
      </c>
      <c r="H1231"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I1231" s="5"/>
      <c r="J1231" s="5"/>
      <c r="K1231" s="5">
        <f ca="1">IFERROR(__xludf.DUMMYFUNCTION("""COMPUTED_VALUE"""),2)</f>
        <v>2</v>
      </c>
      <c r="L1231" s="5" t="str">
        <f ca="1">IFERROR(__xludf.DUMMYFUNCTION("""COMPUTED_VALUE"""),"Winter")</f>
        <v>Winter</v>
      </c>
      <c r="M1231" s="5" t="str">
        <f ca="1">IFERROR(__xludf.DUMMYFUNCTION("""COMPUTED_VALUE"""),"Garland")</f>
        <v>Garland</v>
      </c>
      <c r="N1231" s="5" t="str">
        <f ca="1">IFERROR(__xludf.DUMMYFUNCTION("""COMPUTED_VALUE"""),"TX")</f>
        <v>TX</v>
      </c>
      <c r="O1231" s="5" t="str">
        <f ca="1">IFERROR(__xludf.DUMMYFUNCTION("""COMPUTED_VALUE"""),"High")</f>
        <v>High</v>
      </c>
      <c r="P1231" s="5" t="str">
        <f ca="1">IFERROR(__xludf.DUMMYFUNCTION("""COMPUTED_VALUE"""),"Classroom")</f>
        <v>Classroom</v>
      </c>
      <c r="Q1231" s="5" t="str">
        <f ca="1">IFERROR(__xludf.DUMMYFUNCTION("""COMPUTED_VALUE"""),"Inside School Building")</f>
        <v>Inside School Building</v>
      </c>
      <c r="R1231" s="5" t="str">
        <f ca="1">IFERROR(__xludf.DUMMYFUNCTION("""COMPUTED_VALUE"""),"Yes")</f>
        <v>Yes</v>
      </c>
      <c r="S1231" s="5"/>
      <c r="T1231" s="5"/>
      <c r="U1231" s="5">
        <f ca="1">IFERROR(__xludf.DUMMYFUNCTION("""COMPUTED_VALUE"""),1)</f>
        <v>1</v>
      </c>
      <c r="V1231" s="5" t="str">
        <f ca="1">IFERROR(__xludf.DUMMYFUNCTION("""COMPUTED_VALUE"""),"Accidentally fired gun into floor, fragments injured two female students.")</f>
        <v>Accidentally fired gun into floor, fragments injured two female students.</v>
      </c>
      <c r="W1231" s="5" t="str">
        <f ca="1">IFERROR(__xludf.DUMMYFUNCTION("""COMPUTED_VALUE"""),"16YOM student accidentally fired gun into floor of classroom. Bullet fragments struck two female students.")</f>
        <v>16YOM student accidentally fired gun into floor of classroom. Bullet fragments struck two female students.</v>
      </c>
      <c r="X1231" s="5" t="str">
        <f ca="1">IFERROR(__xludf.DUMMYFUNCTION("""COMPUTED_VALUE"""),"Accidental")</f>
        <v>Accidental</v>
      </c>
      <c r="Y1231" s="5" t="str">
        <f ca="1">IFERROR(__xludf.DUMMYFUNCTION("""COMPUTED_VALUE"""),"Random Shooting")</f>
        <v>Random Shooting</v>
      </c>
      <c r="Z1231" s="5" t="str">
        <f ca="1">IFERROR(__xludf.DUMMYFUNCTION("""COMPUTED_VALUE"""),"No")</f>
        <v>No</v>
      </c>
      <c r="AA1231" s="5"/>
      <c r="AB1231" s="5" t="str">
        <f ca="1">IFERROR(__xludf.DUMMYFUNCTION("""COMPUTED_VALUE"""),"No")</f>
        <v>No</v>
      </c>
      <c r="AC1231" s="5" t="str">
        <f ca="1">IFERROR(__xludf.DUMMYFUNCTION("""COMPUTED_VALUE"""),"No")</f>
        <v>No</v>
      </c>
      <c r="AD1231" s="5" t="str">
        <f ca="1">IFERROR(__xludf.DUMMYFUNCTION("""COMPUTED_VALUE"""),"No")</f>
        <v>No</v>
      </c>
      <c r="AE1231" s="5" t="str">
        <f ca="1">IFERROR(__xludf.DUMMYFUNCTION("""COMPUTED_VALUE"""),"No")</f>
        <v>No</v>
      </c>
      <c r="AF1231" s="5" t="str">
        <f ca="1">IFERROR(__xludf.DUMMYFUNCTION("""COMPUTED_VALUE"""),"No")</f>
        <v>No</v>
      </c>
      <c r="AG1231" s="5" t="str">
        <f ca="1">IFERROR(__xludf.DUMMYFUNCTION("""COMPUTED_VALUE"""),"No")</f>
        <v>No</v>
      </c>
      <c r="AH1231" s="5"/>
    </row>
    <row r="1232" spans="1:34" ht="12.75">
      <c r="A1232" s="5" t="str">
        <f ca="1">IFERROR(__xludf.DUMMYFUNCTION("""COMPUTED_VALUE"""),"20060123CAWIV")</f>
        <v>20060123CAWIV</v>
      </c>
      <c r="B1232" s="8">
        <f ca="1">IFERROR(__xludf.DUMMYFUNCTION("""COMPUTED_VALUE"""),38740)</f>
        <v>38740</v>
      </c>
      <c r="C1232" s="5" t="str">
        <f ca="1">IFERROR(__xludf.DUMMYFUNCTION("""COMPUTED_VALUE"""),"Will C. Wood High School")</f>
        <v>Will C. Wood High School</v>
      </c>
      <c r="D1232" s="5">
        <f ca="1">IFERROR(__xludf.DUMMYFUNCTION("""COMPUTED_VALUE"""),0)</f>
        <v>0</v>
      </c>
      <c r="E1232" s="5">
        <f ca="1">IFERROR(__xludf.DUMMYFUNCTION("""COMPUTED_VALUE"""),1)</f>
        <v>1</v>
      </c>
      <c r="F1232" s="5">
        <f ca="1">IFERROR(__xludf.DUMMYFUNCTION("""COMPUTED_VALUE"""),1)</f>
        <v>1</v>
      </c>
      <c r="G1232" s="5">
        <f ca="1">IFERROR(__xludf.DUMMYFUNCTION("""COMPUTED_VALUE"""),0)</f>
        <v>0</v>
      </c>
      <c r="H1232" s="9" t="str">
        <f ca="1">IFERROR(__xludf.DUMMYFUNCTION("""COMPUTED_VALUE"""),"http://www.thereporter.com/article/zz/20060124/NEWS/601249925")</f>
        <v>http://www.thereporter.com/article/zz/20060124/NEWS/601249925</v>
      </c>
      <c r="I1232" s="5"/>
      <c r="J1232" s="5"/>
      <c r="K1232" s="5">
        <f ca="1">IFERROR(__xludf.DUMMYFUNCTION("""COMPUTED_VALUE"""),2)</f>
        <v>2</v>
      </c>
      <c r="L1232" s="5" t="str">
        <f ca="1">IFERROR(__xludf.DUMMYFUNCTION("""COMPUTED_VALUE"""),"Winter")</f>
        <v>Winter</v>
      </c>
      <c r="M1232" s="5" t="str">
        <f ca="1">IFERROR(__xludf.DUMMYFUNCTION("""COMPUTED_VALUE"""),"Vacaville")</f>
        <v>Vacaville</v>
      </c>
      <c r="N1232" s="5" t="str">
        <f ca="1">IFERROR(__xludf.DUMMYFUNCTION("""COMPUTED_VALUE"""),"CA")</f>
        <v>CA</v>
      </c>
      <c r="O1232" s="5" t="str">
        <f ca="1">IFERROR(__xludf.DUMMYFUNCTION("""COMPUTED_VALUE"""),"High")</f>
        <v>High</v>
      </c>
      <c r="P1232" s="5" t="str">
        <f ca="1">IFERROR(__xludf.DUMMYFUNCTION("""COMPUTED_VALUE"""),"Gym")</f>
        <v>Gym</v>
      </c>
      <c r="Q1232" s="5" t="str">
        <f ca="1">IFERROR(__xludf.DUMMYFUNCTION("""COMPUTED_VALUE"""),"Outside on School Property")</f>
        <v>Outside on School Property</v>
      </c>
      <c r="R1232" s="5" t="str">
        <f ca="1">IFERROR(__xludf.DUMMYFUNCTION("""COMPUTED_VALUE"""),"Yes")</f>
        <v>Yes</v>
      </c>
      <c r="S1232" s="5" t="str">
        <f ca="1">IFERROR(__xludf.DUMMYFUNCTION("""COMPUTED_VALUE"""),"Morning Classes")</f>
        <v>Morning Classes</v>
      </c>
      <c r="T1232" s="10">
        <f ca="1">IFERROR(__xludf.DUMMYFUNCTION("""COMPUTED_VALUE"""),0.40625)</f>
        <v>0.40625</v>
      </c>
      <c r="U1232" s="5">
        <f ca="1">IFERROR(__xludf.DUMMYFUNCTION("""COMPUTED_VALUE"""),1)</f>
        <v>1</v>
      </c>
      <c r="V1232" s="5" t="str">
        <f ca="1">IFERROR(__xludf.DUMMYFUNCTION("""COMPUTED_VALUE"""),"Playing with gun outside of school")</f>
        <v>Playing with gun outside of school</v>
      </c>
      <c r="W1232" s="5" t="str">
        <f ca="1">IFERROR(__xludf.DUMMYFUNCTION("""COMPUTED_VALUE"""),"14 shooter brought gun to school - accidentally discharged near school gym - fragment injured 15YOF student")</f>
        <v>14 shooter brought gun to school - accidentally discharged near school gym - fragment injured 15YOF student</v>
      </c>
      <c r="X1232" s="5" t="str">
        <f ca="1">IFERROR(__xludf.DUMMYFUNCTION("""COMPUTED_VALUE"""),"Accidental")</f>
        <v>Accidental</v>
      </c>
      <c r="Y1232" s="5" t="str">
        <f ca="1">IFERROR(__xludf.DUMMYFUNCTION("""COMPUTED_VALUE"""),"Random Shooting")</f>
        <v>Random Shooting</v>
      </c>
      <c r="Z1232" s="5" t="str">
        <f ca="1">IFERROR(__xludf.DUMMYFUNCTION("""COMPUTED_VALUE"""),"No")</f>
        <v>No</v>
      </c>
      <c r="AA1232" s="5"/>
      <c r="AB1232" s="5" t="str">
        <f ca="1">IFERROR(__xludf.DUMMYFUNCTION("""COMPUTED_VALUE"""),"No")</f>
        <v>No</v>
      </c>
      <c r="AC1232" s="5" t="str">
        <f ca="1">IFERROR(__xludf.DUMMYFUNCTION("""COMPUTED_VALUE"""),"No")</f>
        <v>No</v>
      </c>
      <c r="AD1232" s="5" t="str">
        <f ca="1">IFERROR(__xludf.DUMMYFUNCTION("""COMPUTED_VALUE"""),"No")</f>
        <v>No</v>
      </c>
      <c r="AE1232" s="5" t="str">
        <f ca="1">IFERROR(__xludf.DUMMYFUNCTION("""COMPUTED_VALUE"""),"No")</f>
        <v>No</v>
      </c>
      <c r="AF1232" s="5" t="str">
        <f ca="1">IFERROR(__xludf.DUMMYFUNCTION("""COMPUTED_VALUE"""),"No")</f>
        <v>No</v>
      </c>
      <c r="AG1232" s="5" t="str">
        <f ca="1">IFERROR(__xludf.DUMMYFUNCTION("""COMPUTED_VALUE"""),"No")</f>
        <v>No</v>
      </c>
      <c r="AH1232" s="5"/>
    </row>
    <row r="1233" spans="1:34" ht="12.75">
      <c r="A1233" s="5" t="str">
        <f ca="1">IFERROR(__xludf.DUMMYFUNCTION("""COMPUTED_VALUE"""),"20060119OHWIC")</f>
        <v>20060119OHWIC</v>
      </c>
      <c r="B1233" s="8">
        <f ca="1">IFERROR(__xludf.DUMMYFUNCTION("""COMPUTED_VALUE"""),38736)</f>
        <v>38736</v>
      </c>
      <c r="C1233" s="5" t="str">
        <f ca="1">IFERROR(__xludf.DUMMYFUNCTION("""COMPUTED_VALUE"""),"Withrow High School")</f>
        <v>Withrow High School</v>
      </c>
      <c r="D1233" s="5">
        <f ca="1">IFERROR(__xludf.DUMMYFUNCTION("""COMPUTED_VALUE"""),0)</f>
        <v>0</v>
      </c>
      <c r="E1233" s="5">
        <f ca="1">IFERROR(__xludf.DUMMYFUNCTION("""COMPUTED_VALUE"""),2)</f>
        <v>2</v>
      </c>
      <c r="F1233" s="5">
        <f ca="1">IFERROR(__xludf.DUMMYFUNCTION("""COMPUTED_VALUE"""),2)</f>
        <v>2</v>
      </c>
      <c r="G1233" s="5">
        <f ca="1">IFERROR(__xludf.DUMMYFUNCTION("""COMPUTED_VALUE"""),0)</f>
        <v>0</v>
      </c>
      <c r="H1233" s="9" t="str">
        <f ca="1">IFERROR(__xludf.DUMMYFUNCTION("""COMPUTED_VALUE"""),"https://www.newspapers.com/image/102780485/?terms=Withrow%2BHigh%2BSchool%2Bshooting")</f>
        <v>https://www.newspapers.com/image/102780485/?terms=Withrow%2BHigh%2BSchool%2Bshooting</v>
      </c>
      <c r="I1233" s="5"/>
      <c r="J1233" s="5"/>
      <c r="K1233" s="5">
        <f ca="1">IFERROR(__xludf.DUMMYFUNCTION("""COMPUTED_VALUE"""),2)</f>
        <v>2</v>
      </c>
      <c r="L1233" s="5" t="str">
        <f ca="1">IFERROR(__xludf.DUMMYFUNCTION("""COMPUTED_VALUE"""),"Winter")</f>
        <v>Winter</v>
      </c>
      <c r="M1233" s="5" t="str">
        <f ca="1">IFERROR(__xludf.DUMMYFUNCTION("""COMPUTED_VALUE"""),"Cincinnati")</f>
        <v>Cincinnati</v>
      </c>
      <c r="N1233" s="5" t="str">
        <f ca="1">IFERROR(__xludf.DUMMYFUNCTION("""COMPUTED_VALUE"""),"OH")</f>
        <v>OH</v>
      </c>
      <c r="O1233" s="5" t="str">
        <f ca="1">IFERROR(__xludf.DUMMYFUNCTION("""COMPUTED_VALUE"""),"High")</f>
        <v>High</v>
      </c>
      <c r="P1233" s="5" t="str">
        <f ca="1">IFERROR(__xludf.DUMMYFUNCTION("""COMPUTED_VALUE"""),"Parking Lot")</f>
        <v>Parking Lot</v>
      </c>
      <c r="Q1233" s="5" t="str">
        <f ca="1">IFERROR(__xludf.DUMMYFUNCTION("""COMPUTED_VALUE"""),"Outside on School Property")</f>
        <v>Outside on School Property</v>
      </c>
      <c r="R1233" s="5" t="str">
        <f ca="1">IFERROR(__xludf.DUMMYFUNCTION("""COMPUTED_VALUE"""),"No")</f>
        <v>No</v>
      </c>
      <c r="S1233" s="5" t="str">
        <f ca="1">IFERROR(__xludf.DUMMYFUNCTION("""COMPUTED_VALUE"""),"Evening")</f>
        <v>Evening</v>
      </c>
      <c r="T1233" s="10">
        <f ca="1">IFERROR(__xludf.DUMMYFUNCTION("""COMPUTED_VALUE"""),0.833333333333333)</f>
        <v>0.83333333333333304</v>
      </c>
      <c r="U1233" s="5">
        <f ca="1">IFERROR(__xludf.DUMMYFUNCTION("""COMPUTED_VALUE"""),1)</f>
        <v>1</v>
      </c>
      <c r="V1233" s="5" t="str">
        <f ca="1">IFERROR(__xludf.DUMMYFUNCTION("""COMPUTED_VALUE"""),"Shooting in parking lot behind the school, two parties in different cars, fled the scene")</f>
        <v>Shooting in parking lot behind the school, two parties in different cars, fled the scene</v>
      </c>
      <c r="W1233"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X1233" s="5" t="str">
        <f ca="1">IFERROR(__xludf.DUMMYFUNCTION("""COMPUTED_VALUE"""),"Drive-by Shooting")</f>
        <v>Drive-by Shooting</v>
      </c>
      <c r="Y1233" s="5" t="str">
        <f ca="1">IFERROR(__xludf.DUMMYFUNCTION("""COMPUTED_VALUE"""),"Victims Targeted")</f>
        <v>Victims Targeted</v>
      </c>
      <c r="Z1233" s="5" t="str">
        <f ca="1">IFERROR(__xludf.DUMMYFUNCTION("""COMPUTED_VALUE"""),"No")</f>
        <v>No</v>
      </c>
      <c r="AA1233" s="5"/>
      <c r="AB1233" s="5" t="str">
        <f ca="1">IFERROR(__xludf.DUMMYFUNCTION("""COMPUTED_VALUE"""),"No")</f>
        <v>No</v>
      </c>
      <c r="AC1233" s="5" t="str">
        <f ca="1">IFERROR(__xludf.DUMMYFUNCTION("""COMPUTED_VALUE"""),"No")</f>
        <v>No</v>
      </c>
      <c r="AD1233" s="5" t="str">
        <f ca="1">IFERROR(__xludf.DUMMYFUNCTION("""COMPUTED_VALUE"""),"No")</f>
        <v>No</v>
      </c>
      <c r="AE1233" s="5" t="str">
        <f ca="1">IFERROR(__xludf.DUMMYFUNCTION("""COMPUTED_VALUE"""),"No")</f>
        <v>No</v>
      </c>
      <c r="AF1233" s="5" t="str">
        <f ca="1">IFERROR(__xludf.DUMMYFUNCTION("""COMPUTED_VALUE"""),"No")</f>
        <v>No</v>
      </c>
      <c r="AG1233" s="5" t="str">
        <f ca="1">IFERROR(__xludf.DUMMYFUNCTION("""COMPUTED_VALUE"""),"No")</f>
        <v>No</v>
      </c>
      <c r="AH1233" s="5"/>
    </row>
    <row r="1234" spans="1:34" ht="12.75">
      <c r="A1234" s="5" t="str">
        <f ca="1">IFERROR(__xludf.DUMMYFUNCTION("""COMPUTED_VALUE"""),"20060118VAINC")</f>
        <v>20060118VAINC</v>
      </c>
      <c r="B1234" s="8">
        <f ca="1">IFERROR(__xludf.DUMMYFUNCTION("""COMPUTED_VALUE"""),38735)</f>
        <v>38735</v>
      </c>
      <c r="C1234" s="5" t="str">
        <f ca="1">IFERROR(__xludf.DUMMYFUNCTION("""COMPUTED_VALUE"""),"Indian River High School")</f>
        <v>Indian River High School</v>
      </c>
      <c r="D1234" s="5">
        <f ca="1">IFERROR(__xludf.DUMMYFUNCTION("""COMPUTED_VALUE"""),0)</f>
        <v>0</v>
      </c>
      <c r="E1234" s="5">
        <f ca="1">IFERROR(__xludf.DUMMYFUNCTION("""COMPUTED_VALUE"""),0)</f>
        <v>0</v>
      </c>
      <c r="F1234" s="5">
        <f ca="1">IFERROR(__xludf.DUMMYFUNCTION("""COMPUTED_VALUE"""),0)</f>
        <v>0</v>
      </c>
      <c r="G1234" s="5">
        <f ca="1">IFERROR(__xludf.DUMMYFUNCTION("""COMPUTED_VALUE"""),0)</f>
        <v>0</v>
      </c>
      <c r="H1234" s="9" t="str">
        <f ca="1">IFERROR(__xludf.DUMMYFUNCTION("""COMPUTED_VALUE"""),"https://pilotonline.com/news/article_91bd4bea-b9dc-5c30-bff7-43f583e1f7a9.html")</f>
        <v>https://pilotonline.com/news/article_91bd4bea-b9dc-5c30-bff7-43f583e1f7a9.html</v>
      </c>
      <c r="I1234" s="5"/>
      <c r="J1234" s="5"/>
      <c r="K1234" s="5">
        <f ca="1">IFERROR(__xludf.DUMMYFUNCTION("""COMPUTED_VALUE"""),2)</f>
        <v>2</v>
      </c>
      <c r="L1234" s="5" t="str">
        <f ca="1">IFERROR(__xludf.DUMMYFUNCTION("""COMPUTED_VALUE"""),"Winter")</f>
        <v>Winter</v>
      </c>
      <c r="M1234" s="5" t="str">
        <f ca="1">IFERROR(__xludf.DUMMYFUNCTION("""COMPUTED_VALUE"""),"Chesapeake")</f>
        <v>Chesapeake</v>
      </c>
      <c r="N1234" s="5" t="str">
        <f ca="1">IFERROR(__xludf.DUMMYFUNCTION("""COMPUTED_VALUE"""),"VA")</f>
        <v>VA</v>
      </c>
      <c r="O1234" s="5" t="str">
        <f ca="1">IFERROR(__xludf.DUMMYFUNCTION("""COMPUTED_VALUE"""),"High")</f>
        <v>High</v>
      </c>
      <c r="P1234" s="5" t="str">
        <f ca="1">IFERROR(__xludf.DUMMYFUNCTION("""COMPUTED_VALUE"""),"Cafeteria")</f>
        <v>Cafeteria</v>
      </c>
      <c r="Q1234" s="5" t="str">
        <f ca="1">IFERROR(__xludf.DUMMYFUNCTION("""COMPUTED_VALUE"""),"Inside School Building")</f>
        <v>Inside School Building</v>
      </c>
      <c r="R1234" s="5" t="str">
        <f ca="1">IFERROR(__xludf.DUMMYFUNCTION("""COMPUTED_VALUE"""),"Yes")</f>
        <v>Yes</v>
      </c>
      <c r="S1234" s="5" t="str">
        <f ca="1">IFERROR(__xludf.DUMMYFUNCTION("""COMPUTED_VALUE"""),"Lunch")</f>
        <v>Lunch</v>
      </c>
      <c r="T1234" s="10">
        <f ca="1">IFERROR(__xludf.DUMMYFUNCTION("""COMPUTED_VALUE"""),0.458333333333333)</f>
        <v>0.45833333333333298</v>
      </c>
      <c r="U1234" s="5">
        <f ca="1">IFERROR(__xludf.DUMMYFUNCTION("""COMPUTED_VALUE"""),1)</f>
        <v>1</v>
      </c>
      <c r="V1234" s="5" t="str">
        <f ca="1">IFERROR(__xludf.DUMMYFUNCTION("""COMPUTED_VALUE"""),"Fired a targeted victim during dispute")</f>
        <v>Fired a targeted victim during dispute</v>
      </c>
      <c r="W1234"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X1234" s="5" t="str">
        <f ca="1">IFERROR(__xludf.DUMMYFUNCTION("""COMPUTED_VALUE"""),"Escalation of Dispute")</f>
        <v>Escalation of Dispute</v>
      </c>
      <c r="Y1234" s="5" t="str">
        <f ca="1">IFERROR(__xludf.DUMMYFUNCTION("""COMPUTED_VALUE"""),"Victims Targeted")</f>
        <v>Victims Targeted</v>
      </c>
      <c r="Z1234" s="5" t="str">
        <f ca="1">IFERROR(__xludf.DUMMYFUNCTION("""COMPUTED_VALUE"""),"No")</f>
        <v>No</v>
      </c>
      <c r="AA1234" s="5"/>
      <c r="AB1234" s="5" t="str">
        <f ca="1">IFERROR(__xludf.DUMMYFUNCTION("""COMPUTED_VALUE"""),"No")</f>
        <v>No</v>
      </c>
      <c r="AC1234" s="5" t="str">
        <f ca="1">IFERROR(__xludf.DUMMYFUNCTION("""COMPUTED_VALUE"""),"No")</f>
        <v>No</v>
      </c>
      <c r="AD1234" s="5" t="str">
        <f ca="1">IFERROR(__xludf.DUMMYFUNCTION("""COMPUTED_VALUE"""),"No")</f>
        <v>No</v>
      </c>
      <c r="AE1234" s="5" t="str">
        <f ca="1">IFERROR(__xludf.DUMMYFUNCTION("""COMPUTED_VALUE"""),"No")</f>
        <v>No</v>
      </c>
      <c r="AF1234" s="5" t="str">
        <f ca="1">IFERROR(__xludf.DUMMYFUNCTION("""COMPUTED_VALUE"""),"No")</f>
        <v>No</v>
      </c>
      <c r="AG1234" s="5" t="str">
        <f ca="1">IFERROR(__xludf.DUMMYFUNCTION("""COMPUTED_VALUE"""),"No")</f>
        <v>No</v>
      </c>
      <c r="AH1234" s="5"/>
    </row>
    <row r="1235" spans="1:34" ht="12.75">
      <c r="A1235" s="5" t="str">
        <f ca="1">IFERROR(__xludf.DUMMYFUNCTION("""COMPUTED_VALUE"""),"20060118TXPAA")</f>
        <v>20060118TXPAA</v>
      </c>
      <c r="B1235" s="8">
        <f ca="1">IFERROR(__xludf.DUMMYFUNCTION("""COMPUTED_VALUE"""),38735)</f>
        <v>38735</v>
      </c>
      <c r="C1235" s="5" t="str">
        <f ca="1">IFERROR(__xludf.DUMMYFUNCTION("""COMPUTED_VALUE"""),"Passmore Elementary School")</f>
        <v>Passmore Elementary School</v>
      </c>
      <c r="D1235" s="5">
        <f ca="1">IFERROR(__xludf.DUMMYFUNCTION("""COMPUTED_VALUE"""),0)</f>
        <v>0</v>
      </c>
      <c r="E1235" s="5">
        <f ca="1">IFERROR(__xludf.DUMMYFUNCTION("""COMPUTED_VALUE"""),1)</f>
        <v>1</v>
      </c>
      <c r="F1235" s="5">
        <f ca="1">IFERROR(__xludf.DUMMYFUNCTION("""COMPUTED_VALUE"""),1)</f>
        <v>1</v>
      </c>
      <c r="G1235" s="5">
        <f ca="1">IFERROR(__xludf.DUMMYFUNCTION("""COMPUTED_VALUE"""),0)</f>
        <v>0</v>
      </c>
      <c r="H1235" s="9" t="str">
        <f ca="1">IFERROR(__xludf.DUMMYFUNCTION("""COMPUTED_VALUE"""),"https://www.chron.com/news/houston-texas/article/Alvin-6th-grader-shoots-himself-in-the-leg-in-1939399.php")</f>
        <v>https://www.chron.com/news/houston-texas/article/Alvin-6th-grader-shoots-himself-in-the-leg-in-1939399.php</v>
      </c>
      <c r="I1235" s="5"/>
      <c r="J1235" s="5"/>
      <c r="K1235" s="5">
        <f ca="1">IFERROR(__xludf.DUMMYFUNCTION("""COMPUTED_VALUE"""),2)</f>
        <v>2</v>
      </c>
      <c r="L1235" s="5" t="str">
        <f ca="1">IFERROR(__xludf.DUMMYFUNCTION("""COMPUTED_VALUE"""),"Winter")</f>
        <v>Winter</v>
      </c>
      <c r="M1235" s="5" t="str">
        <f ca="1">IFERROR(__xludf.DUMMYFUNCTION("""COMPUTED_VALUE"""),"Alvin")</f>
        <v>Alvin</v>
      </c>
      <c r="N1235" s="5" t="str">
        <f ca="1">IFERROR(__xludf.DUMMYFUNCTION("""COMPUTED_VALUE"""),"TX")</f>
        <v>TX</v>
      </c>
      <c r="O1235" s="5" t="str">
        <f ca="1">IFERROR(__xludf.DUMMYFUNCTION("""COMPUTED_VALUE"""),"Elementary")</f>
        <v>Elementary</v>
      </c>
      <c r="P1235" s="5" t="str">
        <f ca="1">IFERROR(__xludf.DUMMYFUNCTION("""COMPUTED_VALUE"""),"Classroom")</f>
        <v>Classroom</v>
      </c>
      <c r="Q1235" s="5" t="str">
        <f ca="1">IFERROR(__xludf.DUMMYFUNCTION("""COMPUTED_VALUE"""),"Inside School Building")</f>
        <v>Inside School Building</v>
      </c>
      <c r="R1235" s="5" t="str">
        <f ca="1">IFERROR(__xludf.DUMMYFUNCTION("""COMPUTED_VALUE"""),"Yes")</f>
        <v>Yes</v>
      </c>
      <c r="S1235" s="5" t="str">
        <f ca="1">IFERROR(__xludf.DUMMYFUNCTION("""COMPUTED_VALUE"""),"Morning Classes")</f>
        <v>Morning Classes</v>
      </c>
      <c r="T1235" s="10">
        <f ca="1">IFERROR(__xludf.DUMMYFUNCTION("""COMPUTED_VALUE"""),0.496527777777777)</f>
        <v>0.49652777777777701</v>
      </c>
      <c r="U1235" s="5">
        <f ca="1">IFERROR(__xludf.DUMMYFUNCTION("""COMPUTED_VALUE"""),1)</f>
        <v>1</v>
      </c>
      <c r="V1235" s="5" t="str">
        <f ca="1">IFERROR(__xludf.DUMMYFUNCTION("""COMPUTED_VALUE"""),"Fired gun in pocket during class")</f>
        <v>Fired gun in pocket during class</v>
      </c>
      <c r="W1235"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X1235" s="5" t="str">
        <f ca="1">IFERROR(__xludf.DUMMYFUNCTION("""COMPUTED_VALUE"""),"Accidental")</f>
        <v>Accidental</v>
      </c>
      <c r="Y1235" s="5" t="str">
        <f ca="1">IFERROR(__xludf.DUMMYFUNCTION("""COMPUTED_VALUE"""),"Random Shooting")</f>
        <v>Random Shooting</v>
      </c>
      <c r="Z1235" s="5" t="str">
        <f ca="1">IFERROR(__xludf.DUMMYFUNCTION("""COMPUTED_VALUE"""),"No")</f>
        <v>No</v>
      </c>
      <c r="AA1235" s="5"/>
      <c r="AB1235" s="5" t="str">
        <f ca="1">IFERROR(__xludf.DUMMYFUNCTION("""COMPUTED_VALUE"""),"No")</f>
        <v>No</v>
      </c>
      <c r="AC1235" s="5" t="str">
        <f ca="1">IFERROR(__xludf.DUMMYFUNCTION("""COMPUTED_VALUE"""),"No")</f>
        <v>No</v>
      </c>
      <c r="AD1235" s="5" t="str">
        <f ca="1">IFERROR(__xludf.DUMMYFUNCTION("""COMPUTED_VALUE"""),"No")</f>
        <v>No</v>
      </c>
      <c r="AE1235" s="5" t="str">
        <f ca="1">IFERROR(__xludf.DUMMYFUNCTION("""COMPUTED_VALUE"""),"No")</f>
        <v>No</v>
      </c>
      <c r="AF1235" s="5" t="str">
        <f ca="1">IFERROR(__xludf.DUMMYFUNCTION("""COMPUTED_VALUE"""),"No")</f>
        <v>No</v>
      </c>
      <c r="AG1235" s="5" t="str">
        <f ca="1">IFERROR(__xludf.DUMMYFUNCTION("""COMPUTED_VALUE"""),"No")</f>
        <v>No</v>
      </c>
      <c r="AH1235" s="5"/>
    </row>
    <row r="1236" spans="1:34" ht="12.75">
      <c r="A1236" s="5" t="str">
        <f ca="1">IFERROR(__xludf.DUMMYFUNCTION("""COMPUTED_VALUE"""),"20060118MTFRA")</f>
        <v>20060118MTFRA</v>
      </c>
      <c r="B1236" s="8">
        <f ca="1">IFERROR(__xludf.DUMMYFUNCTION("""COMPUTED_VALUE"""),38735)</f>
        <v>38735</v>
      </c>
      <c r="C1236" s="5" t="str">
        <f ca="1">IFERROR(__xludf.DUMMYFUNCTION("""COMPUTED_VALUE"""),"Fred Moodry Middle School")</f>
        <v>Fred Moodry Middle School</v>
      </c>
      <c r="D1236" s="5">
        <f ca="1">IFERROR(__xludf.DUMMYFUNCTION("""COMPUTED_VALUE"""),0)</f>
        <v>0</v>
      </c>
      <c r="E1236" s="5">
        <f ca="1">IFERROR(__xludf.DUMMYFUNCTION("""COMPUTED_VALUE"""),1)</f>
        <v>1</v>
      </c>
      <c r="F1236" s="5">
        <f ca="1">IFERROR(__xludf.DUMMYFUNCTION("""COMPUTED_VALUE"""),1)</f>
        <v>1</v>
      </c>
      <c r="G1236" s="5">
        <f ca="1">IFERROR(__xludf.DUMMYFUNCTION("""COMPUTED_VALUE"""),0)</f>
        <v>0</v>
      </c>
      <c r="H1236"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I1236" s="5"/>
      <c r="J1236" s="5"/>
      <c r="K1236" s="5">
        <f ca="1">IFERROR(__xludf.DUMMYFUNCTION("""COMPUTED_VALUE"""),2)</f>
        <v>2</v>
      </c>
      <c r="L1236" s="5" t="str">
        <f ca="1">IFERROR(__xludf.DUMMYFUNCTION("""COMPUTED_VALUE"""),"Winter")</f>
        <v>Winter</v>
      </c>
      <c r="M1236" s="5" t="str">
        <f ca="1">IFERROR(__xludf.DUMMYFUNCTION("""COMPUTED_VALUE"""),"Anaconda")</f>
        <v>Anaconda</v>
      </c>
      <c r="N1236" s="5" t="str">
        <f ca="1">IFERROR(__xludf.DUMMYFUNCTION("""COMPUTED_VALUE"""),"MT")</f>
        <v>MT</v>
      </c>
      <c r="O1236" s="5" t="str">
        <f ca="1">IFERROR(__xludf.DUMMYFUNCTION("""COMPUTED_VALUE"""),"Middle")</f>
        <v>Middle</v>
      </c>
      <c r="P1236" s="5" t="str">
        <f ca="1">IFERROR(__xludf.DUMMYFUNCTION("""COMPUTED_VALUE"""),"Beside Building")</f>
        <v>Beside Building</v>
      </c>
      <c r="Q1236" s="5" t="str">
        <f ca="1">IFERROR(__xludf.DUMMYFUNCTION("""COMPUTED_VALUE"""),"Outside on School Property")</f>
        <v>Outside on School Property</v>
      </c>
      <c r="R1236" s="5" t="str">
        <f ca="1">IFERROR(__xludf.DUMMYFUNCTION("""COMPUTED_VALUE"""),"Yes")</f>
        <v>Yes</v>
      </c>
      <c r="S1236" s="5" t="str">
        <f ca="1">IFERROR(__xludf.DUMMYFUNCTION("""COMPUTED_VALUE"""),"Dismissal")</f>
        <v>Dismissal</v>
      </c>
      <c r="T1236" s="5"/>
      <c r="U1236" s="5">
        <f ca="1">IFERROR(__xludf.DUMMYFUNCTION("""COMPUTED_VALUE"""),1)</f>
        <v>1</v>
      </c>
      <c r="V1236" s="5" t="str">
        <f ca="1">IFERROR(__xludf.DUMMYFUNCTION("""COMPUTED_VALUE"""),"Female student in car shot airsoft gun at boy standing outside of school, hit him in face")</f>
        <v>Female student in car shot airsoft gun at boy standing outside of school, hit him in face</v>
      </c>
      <c r="W1236"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X1236" s="5" t="str">
        <f ca="1">IFERROR(__xludf.DUMMYFUNCTION("""COMPUTED_VALUE"""),"Drive-by Shooting")</f>
        <v>Drive-by Shooting</v>
      </c>
      <c r="Y1236" s="5" t="str">
        <f ca="1">IFERROR(__xludf.DUMMYFUNCTION("""COMPUTED_VALUE"""),"Victims Targeted")</f>
        <v>Victims Targeted</v>
      </c>
      <c r="Z1236" s="5" t="str">
        <f ca="1">IFERROR(__xludf.DUMMYFUNCTION("""COMPUTED_VALUE"""),"No")</f>
        <v>No</v>
      </c>
      <c r="AA1236" s="5"/>
      <c r="AB1236" s="5" t="str">
        <f ca="1">IFERROR(__xludf.DUMMYFUNCTION("""COMPUTED_VALUE"""),"No")</f>
        <v>No</v>
      </c>
      <c r="AC1236" s="5" t="str">
        <f ca="1">IFERROR(__xludf.DUMMYFUNCTION("""COMPUTED_VALUE"""),"No")</f>
        <v>No</v>
      </c>
      <c r="AD1236" s="5" t="str">
        <f ca="1">IFERROR(__xludf.DUMMYFUNCTION("""COMPUTED_VALUE"""),"No")</f>
        <v>No</v>
      </c>
      <c r="AE1236" s="5" t="str">
        <f ca="1">IFERROR(__xludf.DUMMYFUNCTION("""COMPUTED_VALUE"""),"No")</f>
        <v>No</v>
      </c>
      <c r="AF1236" s="5"/>
      <c r="AG1236" s="5" t="str">
        <f ca="1">IFERROR(__xludf.DUMMYFUNCTION("""COMPUTED_VALUE"""),"No")</f>
        <v>No</v>
      </c>
      <c r="AH1236" s="5"/>
    </row>
    <row r="1237" spans="1:34" ht="12.75">
      <c r="A1237" s="5" t="str">
        <f ca="1">IFERROR(__xludf.DUMMYFUNCTION("""COMPUTED_VALUE"""),"20060113MIOSD")</f>
        <v>20060113MIOSD</v>
      </c>
      <c r="B1237" s="8">
        <f ca="1">IFERROR(__xludf.DUMMYFUNCTION("""COMPUTED_VALUE"""),38730)</f>
        <v>38730</v>
      </c>
      <c r="C1237" s="5" t="str">
        <f ca="1">IFERROR(__xludf.DUMMYFUNCTION("""COMPUTED_VALUE"""),"Osborn High School")</f>
        <v>Osborn High School</v>
      </c>
      <c r="D1237" s="5">
        <f ca="1">IFERROR(__xludf.DUMMYFUNCTION("""COMPUTED_VALUE"""),0)</f>
        <v>0</v>
      </c>
      <c r="E1237" s="5">
        <f ca="1">IFERROR(__xludf.DUMMYFUNCTION("""COMPUTED_VALUE"""),0)</f>
        <v>0</v>
      </c>
      <c r="F1237" s="5">
        <f ca="1">IFERROR(__xludf.DUMMYFUNCTION("""COMPUTED_VALUE"""),0)</f>
        <v>0</v>
      </c>
      <c r="G1237" s="5">
        <f ca="1">IFERROR(__xludf.DUMMYFUNCTION("""COMPUTED_VALUE"""),0)</f>
        <v>0</v>
      </c>
      <c r="H1237" s="9" t="str">
        <f ca="1">IFERROR(__xludf.DUMMYFUNCTION("""COMPUTED_VALUE"""),"https://www.columbine-angels.com/School_Violence_2005-2006.htm")</f>
        <v>https://www.columbine-angels.com/School_Violence_2005-2006.htm</v>
      </c>
      <c r="I1237" s="5"/>
      <c r="J1237" s="5"/>
      <c r="K1237" s="5">
        <f ca="1">IFERROR(__xludf.DUMMYFUNCTION("""COMPUTED_VALUE"""),1)</f>
        <v>1</v>
      </c>
      <c r="L1237" s="5" t="str">
        <f ca="1">IFERROR(__xludf.DUMMYFUNCTION("""COMPUTED_VALUE"""),"Winter")</f>
        <v>Winter</v>
      </c>
      <c r="M1237" s="5" t="str">
        <f ca="1">IFERROR(__xludf.DUMMYFUNCTION("""COMPUTED_VALUE"""),"Detroit")</f>
        <v>Detroit</v>
      </c>
      <c r="N1237" s="5" t="str">
        <f ca="1">IFERROR(__xludf.DUMMYFUNCTION("""COMPUTED_VALUE"""),"MI")</f>
        <v>MI</v>
      </c>
      <c r="O1237" s="5" t="str">
        <f ca="1">IFERROR(__xludf.DUMMYFUNCTION("""COMPUTED_VALUE"""),"High")</f>
        <v>High</v>
      </c>
      <c r="P1237" s="5" t="str">
        <f ca="1">IFERROR(__xludf.DUMMYFUNCTION("""COMPUTED_VALUE"""),"Hallway")</f>
        <v>Hallway</v>
      </c>
      <c r="Q1237" s="5" t="str">
        <f ca="1">IFERROR(__xludf.DUMMYFUNCTION("""COMPUTED_VALUE"""),"Inside School Building")</f>
        <v>Inside School Building</v>
      </c>
      <c r="R1237" s="5" t="str">
        <f ca="1">IFERROR(__xludf.DUMMYFUNCTION("""COMPUTED_VALUE"""),"Yes")</f>
        <v>Yes</v>
      </c>
      <c r="S1237" s="5" t="str">
        <f ca="1">IFERROR(__xludf.DUMMYFUNCTION("""COMPUTED_VALUE"""),"Lunch")</f>
        <v>Lunch</v>
      </c>
      <c r="T1237" s="10">
        <f ca="1">IFERROR(__xludf.DUMMYFUNCTION("""COMPUTED_VALUE"""),0.5)</f>
        <v>0.5</v>
      </c>
      <c r="U1237" s="5">
        <f ca="1">IFERROR(__xludf.DUMMYFUNCTION("""COMPUTED_VALUE"""),1)</f>
        <v>1</v>
      </c>
      <c r="V1237" s="5" t="str">
        <f ca="1">IFERROR(__xludf.DUMMYFUNCTION("""COMPUTED_VALUE"""),"Single shot fired in hallway")</f>
        <v>Single shot fired in hallway</v>
      </c>
      <c r="W1237"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X1237" s="5" t="str">
        <f ca="1">IFERROR(__xludf.DUMMYFUNCTION("""COMPUTED_VALUE"""),"Anger Over Grade/Suspension/Discipline")</f>
        <v>Anger Over Grade/Suspension/Discipline</v>
      </c>
      <c r="Y1237" s="5" t="str">
        <f ca="1">IFERROR(__xludf.DUMMYFUNCTION("""COMPUTED_VALUE"""),"Neither")</f>
        <v>Neither</v>
      </c>
      <c r="Z1237" s="5" t="str">
        <f ca="1">IFERROR(__xludf.DUMMYFUNCTION("""COMPUTED_VALUE"""),"No")</f>
        <v>No</v>
      </c>
      <c r="AA1237" s="5"/>
      <c r="AB1237" s="5" t="str">
        <f ca="1">IFERROR(__xludf.DUMMYFUNCTION("""COMPUTED_VALUE"""),"No")</f>
        <v>No</v>
      </c>
      <c r="AC1237" s="5" t="str">
        <f ca="1">IFERROR(__xludf.DUMMYFUNCTION("""COMPUTED_VALUE"""),"No")</f>
        <v>No</v>
      </c>
      <c r="AD1237" s="5" t="str">
        <f ca="1">IFERROR(__xludf.DUMMYFUNCTION("""COMPUTED_VALUE"""),"No")</f>
        <v>No</v>
      </c>
      <c r="AE1237" s="5" t="str">
        <f ca="1">IFERROR(__xludf.DUMMYFUNCTION("""COMPUTED_VALUE"""),"No")</f>
        <v>No</v>
      </c>
      <c r="AF1237" s="5" t="str">
        <f ca="1">IFERROR(__xludf.DUMMYFUNCTION("""COMPUTED_VALUE"""),"No")</f>
        <v>No</v>
      </c>
      <c r="AG1237" s="5" t="str">
        <f ca="1">IFERROR(__xludf.DUMMYFUNCTION("""COMPUTED_VALUE"""),"No")</f>
        <v>No</v>
      </c>
      <c r="AH1237" s="5"/>
    </row>
    <row r="1238" spans="1:34" ht="12.75">
      <c r="A1238" s="5" t="str">
        <f ca="1">IFERROR(__xludf.DUMMYFUNCTION("""COMPUTED_VALUE"""),"20060113FLMIL")</f>
        <v>20060113FLMIL</v>
      </c>
      <c r="B1238" s="8">
        <f ca="1">IFERROR(__xludf.DUMMYFUNCTION("""COMPUTED_VALUE"""),38730)</f>
        <v>38730</v>
      </c>
      <c r="C1238" s="5" t="str">
        <f ca="1">IFERROR(__xludf.DUMMYFUNCTION("""COMPUTED_VALUE"""),"Milwee Middle School")</f>
        <v>Milwee Middle School</v>
      </c>
      <c r="D1238" s="5">
        <f ca="1">IFERROR(__xludf.DUMMYFUNCTION("""COMPUTED_VALUE"""),0)</f>
        <v>0</v>
      </c>
      <c r="E1238" s="5">
        <f ca="1">IFERROR(__xludf.DUMMYFUNCTION("""COMPUTED_VALUE"""),0)</f>
        <v>0</v>
      </c>
      <c r="F1238" s="5">
        <f ca="1">IFERROR(__xludf.DUMMYFUNCTION("""COMPUTED_VALUE"""),0)</f>
        <v>0</v>
      </c>
      <c r="G1238" s="5">
        <f ca="1">IFERROR(__xludf.DUMMYFUNCTION("""COMPUTED_VALUE"""),1)</f>
        <v>1</v>
      </c>
      <c r="H1238" s="9" t="str">
        <f ca="1">IFERROR(__xludf.DUMMYFUNCTION("""COMPUTED_VALUE"""),"https://www.cbsnews.com/news/parents-we-told-police-gun-was-fake/")</f>
        <v>https://www.cbsnews.com/news/parents-we-told-police-gun-was-fake/</v>
      </c>
      <c r="I1238" s="5"/>
      <c r="J1238" s="5"/>
      <c r="K1238" s="5">
        <f ca="1">IFERROR(__xludf.DUMMYFUNCTION("""COMPUTED_VALUE"""),2)</f>
        <v>2</v>
      </c>
      <c r="L1238" s="5" t="str">
        <f ca="1">IFERROR(__xludf.DUMMYFUNCTION("""COMPUTED_VALUE"""),"Winter")</f>
        <v>Winter</v>
      </c>
      <c r="M1238" s="5" t="str">
        <f ca="1">IFERROR(__xludf.DUMMYFUNCTION("""COMPUTED_VALUE"""),"Longwood")</f>
        <v>Longwood</v>
      </c>
      <c r="N1238" s="5" t="str">
        <f ca="1">IFERROR(__xludf.DUMMYFUNCTION("""COMPUTED_VALUE"""),"FL")</f>
        <v>FL</v>
      </c>
      <c r="O1238" s="5" t="str">
        <f ca="1">IFERROR(__xludf.DUMMYFUNCTION("""COMPUTED_VALUE"""),"Middle")</f>
        <v>Middle</v>
      </c>
      <c r="P1238" s="5" t="str">
        <f ca="1">IFERROR(__xludf.DUMMYFUNCTION("""COMPUTED_VALUE"""),"Classroom")</f>
        <v>Classroom</v>
      </c>
      <c r="Q1238" s="5" t="str">
        <f ca="1">IFERROR(__xludf.DUMMYFUNCTION("""COMPUTED_VALUE"""),"Inside School Building")</f>
        <v>Inside School Building</v>
      </c>
      <c r="R1238" s="5" t="str">
        <f ca="1">IFERROR(__xludf.DUMMYFUNCTION("""COMPUTED_VALUE"""),"Yes")</f>
        <v>Yes</v>
      </c>
      <c r="S1238" s="5" t="str">
        <f ca="1">IFERROR(__xludf.DUMMYFUNCTION("""COMPUTED_VALUE"""),"Morning Classes")</f>
        <v>Morning Classes</v>
      </c>
      <c r="T1238" s="10">
        <f ca="1">IFERROR(__xludf.DUMMYFUNCTION("""COMPUTED_VALUE"""),0.395833333333333)</f>
        <v>0.39583333333333298</v>
      </c>
      <c r="U1238" s="5">
        <f ca="1">IFERROR(__xludf.DUMMYFUNCTION("""COMPUTED_VALUE"""),1)</f>
        <v>1</v>
      </c>
      <c r="V1238" s="5" t="str">
        <f ca="1">IFERROR(__xludf.DUMMYFUNCTION("""COMPUTED_VALUE"""),"Dispute over girl, student had pellet gun and was killed by police")</f>
        <v>Dispute over girl, student had pellet gun and was killed by police</v>
      </c>
      <c r="W1238"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X1238" s="5" t="str">
        <f ca="1">IFERROR(__xludf.DUMMYFUNCTION("""COMPUTED_VALUE"""),"Escalation of Dispute")</f>
        <v>Escalation of Dispute</v>
      </c>
      <c r="Y1238" s="5" t="str">
        <f ca="1">IFERROR(__xludf.DUMMYFUNCTION("""COMPUTED_VALUE"""),"Victims Targeted")</f>
        <v>Victims Targeted</v>
      </c>
      <c r="Z1238" s="5" t="str">
        <f ca="1">IFERROR(__xludf.DUMMYFUNCTION("""COMPUTED_VALUE"""),"No")</f>
        <v>No</v>
      </c>
      <c r="AA1238" s="5"/>
      <c r="AB1238" s="5" t="str">
        <f ca="1">IFERROR(__xludf.DUMMYFUNCTION("""COMPUTED_VALUE"""),"No")</f>
        <v>No</v>
      </c>
      <c r="AC1238" s="5" t="str">
        <f ca="1">IFERROR(__xludf.DUMMYFUNCTION("""COMPUTED_VALUE"""),"No")</f>
        <v>No</v>
      </c>
      <c r="AD1238" s="5" t="str">
        <f ca="1">IFERROR(__xludf.DUMMYFUNCTION("""COMPUTED_VALUE"""),"No")</f>
        <v>No</v>
      </c>
      <c r="AE1238" s="5" t="str">
        <f ca="1">IFERROR(__xludf.DUMMYFUNCTION("""COMPUTED_VALUE"""),"No")</f>
        <v>No</v>
      </c>
      <c r="AF1238" s="5" t="str">
        <f ca="1">IFERROR(__xludf.DUMMYFUNCTION("""COMPUTED_VALUE"""),"No")</f>
        <v>No</v>
      </c>
      <c r="AG1238" s="5" t="str">
        <f ca="1">IFERROR(__xludf.DUMMYFUNCTION("""COMPUTED_VALUE"""),"No")</f>
        <v>No</v>
      </c>
      <c r="AH1238" s="5"/>
    </row>
    <row r="1239" spans="1:34" ht="12.75">
      <c r="A1239" s="5" t="str">
        <f ca="1">IFERROR(__xludf.DUMMYFUNCTION("""COMPUTED_VALUE"""),"20060113ALPIP")</f>
        <v>20060113ALPIP</v>
      </c>
      <c r="B1239" s="8">
        <f ca="1">IFERROR(__xludf.DUMMYFUNCTION("""COMPUTED_VALUE"""),38730)</f>
        <v>38730</v>
      </c>
      <c r="C1239" s="5" t="str">
        <f ca="1">IFERROR(__xludf.DUMMYFUNCTION("""COMPUTED_VALUE"""),"Pinson Valley High School")</f>
        <v>Pinson Valley High School</v>
      </c>
      <c r="D1239" s="5">
        <f ca="1">IFERROR(__xludf.DUMMYFUNCTION("""COMPUTED_VALUE"""),0)</f>
        <v>0</v>
      </c>
      <c r="E1239" s="5">
        <f ca="1">IFERROR(__xludf.DUMMYFUNCTION("""COMPUTED_VALUE"""),1)</f>
        <v>1</v>
      </c>
      <c r="F1239" s="5">
        <f ca="1">IFERROR(__xludf.DUMMYFUNCTION("""COMPUTED_VALUE"""),1)</f>
        <v>1</v>
      </c>
      <c r="G1239" s="5">
        <f ca="1">IFERROR(__xludf.DUMMYFUNCTION("""COMPUTED_VALUE"""),0)</f>
        <v>0</v>
      </c>
      <c r="H1239" s="9" t="str">
        <f ca="1">IFERROR(__xludf.DUMMYFUNCTION("""COMPUTED_VALUE"""),"http://www.gadsdentimes.com/lifestyle/20060116/student-charged-in-fatal-shooting-after-game")</f>
        <v>http://www.gadsdentimes.com/lifestyle/20060116/student-charged-in-fatal-shooting-after-game</v>
      </c>
      <c r="I1239" s="5"/>
      <c r="J1239" s="5"/>
      <c r="K1239" s="5">
        <f ca="1">IFERROR(__xludf.DUMMYFUNCTION("""COMPUTED_VALUE"""),2)</f>
        <v>2</v>
      </c>
      <c r="L1239" s="5" t="str">
        <f ca="1">IFERROR(__xludf.DUMMYFUNCTION("""COMPUTED_VALUE"""),"Winter")</f>
        <v>Winter</v>
      </c>
      <c r="M1239" s="5" t="str">
        <f ca="1">IFERROR(__xludf.DUMMYFUNCTION("""COMPUTED_VALUE"""),"Pinson")</f>
        <v>Pinson</v>
      </c>
      <c r="N1239" s="5" t="str">
        <f ca="1">IFERROR(__xludf.DUMMYFUNCTION("""COMPUTED_VALUE"""),"AL")</f>
        <v>AL</v>
      </c>
      <c r="O1239" s="5" t="str">
        <f ca="1">IFERROR(__xludf.DUMMYFUNCTION("""COMPUTED_VALUE"""),"High")</f>
        <v>High</v>
      </c>
      <c r="P1239" s="5" t="str">
        <f ca="1">IFERROR(__xludf.DUMMYFUNCTION("""COMPUTED_VALUE"""),"Parking Lot")</f>
        <v>Parking Lot</v>
      </c>
      <c r="Q1239" s="5" t="str">
        <f ca="1">IFERROR(__xludf.DUMMYFUNCTION("""COMPUTED_VALUE"""),"Outside on School Property")</f>
        <v>Outside on School Property</v>
      </c>
      <c r="R1239" s="5" t="str">
        <f ca="1">IFERROR(__xludf.DUMMYFUNCTION("""COMPUTED_VALUE"""),"No")</f>
        <v>No</v>
      </c>
      <c r="S1239" s="5" t="str">
        <f ca="1">IFERROR(__xludf.DUMMYFUNCTION("""COMPUTED_VALUE"""),"Sport Event")</f>
        <v>Sport Event</v>
      </c>
      <c r="T1239" s="10">
        <f ca="1">IFERROR(__xludf.DUMMYFUNCTION("""COMPUTED_VALUE"""),0.956944444444444)</f>
        <v>0.95694444444444404</v>
      </c>
      <c r="U1239" s="5">
        <f ca="1">IFERROR(__xludf.DUMMYFUNCTION("""COMPUTED_VALUE"""),1)</f>
        <v>1</v>
      </c>
      <c r="V1239" s="5" t="str">
        <f ca="1">IFERROR(__xludf.DUMMYFUNCTION("""COMPUTED_VALUE"""),"Shot during fight in parking lot after basketball game")</f>
        <v>Shot during fight in parking lot after basketball game</v>
      </c>
      <c r="W1239"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X1239" s="5" t="str">
        <f ca="1">IFERROR(__xludf.DUMMYFUNCTION("""COMPUTED_VALUE"""),"Escalation of Dispute")</f>
        <v>Escalation of Dispute</v>
      </c>
      <c r="Y1239" s="5" t="str">
        <f ca="1">IFERROR(__xludf.DUMMYFUNCTION("""COMPUTED_VALUE"""),"Victims Targeted")</f>
        <v>Victims Targeted</v>
      </c>
      <c r="Z1239" s="5" t="str">
        <f ca="1">IFERROR(__xludf.DUMMYFUNCTION("""COMPUTED_VALUE"""),"No")</f>
        <v>No</v>
      </c>
      <c r="AA1239" s="5"/>
      <c r="AB1239" s="5" t="str">
        <f ca="1">IFERROR(__xludf.DUMMYFUNCTION("""COMPUTED_VALUE"""),"No")</f>
        <v>No</v>
      </c>
      <c r="AC1239" s="5" t="str">
        <f ca="1">IFERROR(__xludf.DUMMYFUNCTION("""COMPUTED_VALUE"""),"No")</f>
        <v>No</v>
      </c>
      <c r="AD1239" s="5" t="str">
        <f ca="1">IFERROR(__xludf.DUMMYFUNCTION("""COMPUTED_VALUE"""),"No")</f>
        <v>No</v>
      </c>
      <c r="AE1239" s="5" t="str">
        <f ca="1">IFERROR(__xludf.DUMMYFUNCTION("""COMPUTED_VALUE"""),"No")</f>
        <v>No</v>
      </c>
      <c r="AF1239" s="5" t="str">
        <f ca="1">IFERROR(__xludf.DUMMYFUNCTION("""COMPUTED_VALUE"""),"No")</f>
        <v>No</v>
      </c>
      <c r="AG1239" s="5"/>
      <c r="AH1239" s="5"/>
    </row>
    <row r="1240" spans="1:34" ht="12.75">
      <c r="A1240" s="5" t="str">
        <f ca="1">IFERROR(__xludf.DUMMYFUNCTION("""COMPUTED_VALUE"""),"20060111WIMAM")</f>
        <v>20060111WIMAM</v>
      </c>
      <c r="B1240" s="8">
        <f ca="1">IFERROR(__xludf.DUMMYFUNCTION("""COMPUTED_VALUE"""),38728)</f>
        <v>38728</v>
      </c>
      <c r="C1240" s="5" t="str">
        <f ca="1">IFERROR(__xludf.DUMMYFUNCTION("""COMPUTED_VALUE"""),"Mary McLeod Bethune Academy")</f>
        <v>Mary McLeod Bethune Academy</v>
      </c>
      <c r="D1240" s="5">
        <f ca="1">IFERROR(__xludf.DUMMYFUNCTION("""COMPUTED_VALUE"""),0)</f>
        <v>0</v>
      </c>
      <c r="E1240" s="5">
        <f ca="1">IFERROR(__xludf.DUMMYFUNCTION("""COMPUTED_VALUE"""),1)</f>
        <v>1</v>
      </c>
      <c r="F1240" s="5">
        <f ca="1">IFERROR(__xludf.DUMMYFUNCTION("""COMPUTED_VALUE"""),1)</f>
        <v>1</v>
      </c>
      <c r="G1240" s="5">
        <f ca="1">IFERROR(__xludf.DUMMYFUNCTION("""COMPUTED_VALUE"""),0)</f>
        <v>0</v>
      </c>
      <c r="H1240" s="9" t="str">
        <f ca="1">IFERROR(__xludf.DUMMYFUNCTION("""COMPUTED_VALUE"""),"https://www.newspapers.com/image/343443050/?terms=girl%2Bshot%2Bschool%2Bplayground")</f>
        <v>https://www.newspapers.com/image/343443050/?terms=girl%2Bshot%2Bschool%2Bplayground</v>
      </c>
      <c r="I1240" s="5"/>
      <c r="J1240" s="5"/>
      <c r="K1240" s="5">
        <f ca="1">IFERROR(__xludf.DUMMYFUNCTION("""COMPUTED_VALUE"""),2)</f>
        <v>2</v>
      </c>
      <c r="L1240" s="5" t="str">
        <f ca="1">IFERROR(__xludf.DUMMYFUNCTION("""COMPUTED_VALUE"""),"Winter")</f>
        <v>Winter</v>
      </c>
      <c r="M1240" s="5" t="str">
        <f ca="1">IFERROR(__xludf.DUMMYFUNCTION("""COMPUTED_VALUE"""),"Milwaukee")</f>
        <v>Milwaukee</v>
      </c>
      <c r="N1240" s="5" t="str">
        <f ca="1">IFERROR(__xludf.DUMMYFUNCTION("""COMPUTED_VALUE"""),"WI")</f>
        <v>WI</v>
      </c>
      <c r="O1240" s="5" t="str">
        <f ca="1">IFERROR(__xludf.DUMMYFUNCTION("""COMPUTED_VALUE"""),"K-8")</f>
        <v>K-8</v>
      </c>
      <c r="P1240" s="5" t="str">
        <f ca="1">IFERROR(__xludf.DUMMYFUNCTION("""COMPUTED_VALUE"""),"Playground")</f>
        <v>Playground</v>
      </c>
      <c r="Q1240" s="5" t="str">
        <f ca="1">IFERROR(__xludf.DUMMYFUNCTION("""COMPUTED_VALUE"""),"Outside on School Property")</f>
        <v>Outside on School Property</v>
      </c>
      <c r="R1240" s="5" t="str">
        <f ca="1">IFERROR(__xludf.DUMMYFUNCTION("""COMPUTED_VALUE"""),"Yes")</f>
        <v>Yes</v>
      </c>
      <c r="S1240" s="5" t="str">
        <f ca="1">IFERROR(__xludf.DUMMYFUNCTION("""COMPUTED_VALUE"""),"Lunch")</f>
        <v>Lunch</v>
      </c>
      <c r="T1240" s="10">
        <f ca="1">IFERROR(__xludf.DUMMYFUNCTION("""COMPUTED_VALUE"""),0.520833333333333)</f>
        <v>0.52083333333333304</v>
      </c>
      <c r="U1240" s="5">
        <f ca="1">IFERROR(__xludf.DUMMYFUNCTION("""COMPUTED_VALUE"""),1)</f>
        <v>1</v>
      </c>
      <c r="V1240" s="5" t="str">
        <f ca="1">IFERROR(__xludf.DUMMYFUNCTION("""COMPUTED_VALUE"""),"Nearby gunfire struck student on school playground (not targeted)")</f>
        <v>Nearby gunfire struck student on school playground (not targeted)</v>
      </c>
      <c r="W1240" s="5" t="str">
        <f ca="1">IFERROR(__xludf.DUMMYFUNCTION("""COMPUTED_VALUE"""),"Nearby gunfire struck student on playground. Police determined she was not targeted. No shooter identified.")</f>
        <v>Nearby gunfire struck student on playground. Police determined she was not targeted. No shooter identified.</v>
      </c>
      <c r="X1240" s="5" t="str">
        <f ca="1">IFERROR(__xludf.DUMMYFUNCTION("""COMPUTED_VALUE"""),"Accidental")</f>
        <v>Accidental</v>
      </c>
      <c r="Y1240" s="5" t="str">
        <f ca="1">IFERROR(__xludf.DUMMYFUNCTION("""COMPUTED_VALUE"""),"Random Shooting")</f>
        <v>Random Shooting</v>
      </c>
      <c r="Z1240" s="5" t="str">
        <f ca="1">IFERROR(__xludf.DUMMYFUNCTION("""COMPUTED_VALUE"""),"Unknown")</f>
        <v>Unknown</v>
      </c>
      <c r="AA1240" s="5"/>
      <c r="AB1240" s="5" t="str">
        <f ca="1">IFERROR(__xludf.DUMMYFUNCTION("""COMPUTED_VALUE"""),"No")</f>
        <v>No</v>
      </c>
      <c r="AC1240" s="5" t="str">
        <f ca="1">IFERROR(__xludf.DUMMYFUNCTION("""COMPUTED_VALUE"""),"No")</f>
        <v>No</v>
      </c>
      <c r="AD1240" s="5" t="str">
        <f ca="1">IFERROR(__xludf.DUMMYFUNCTION("""COMPUTED_VALUE"""),"No")</f>
        <v>No</v>
      </c>
      <c r="AE1240" s="5" t="str">
        <f ca="1">IFERROR(__xludf.DUMMYFUNCTION("""COMPUTED_VALUE"""),"No")</f>
        <v>No</v>
      </c>
      <c r="AF1240" s="5" t="str">
        <f ca="1">IFERROR(__xludf.DUMMYFUNCTION("""COMPUTED_VALUE"""),"No")</f>
        <v>No</v>
      </c>
      <c r="AG1240" s="5" t="str">
        <f ca="1">IFERROR(__xludf.DUMMYFUNCTION("""COMPUTED_VALUE"""),"No")</f>
        <v>No</v>
      </c>
      <c r="AH1240" s="5"/>
    </row>
    <row r="1241" spans="1:34" ht="12.75">
      <c r="A1241" s="5" t="str">
        <f ca="1">IFERROR(__xludf.DUMMYFUNCTION("""COMPUTED_VALUE"""),"20060110DEMOW")</f>
        <v>20060110DEMOW</v>
      </c>
      <c r="B1241" s="8">
        <f ca="1">IFERROR(__xludf.DUMMYFUNCTION("""COMPUTED_VALUE"""),38727)</f>
        <v>38727</v>
      </c>
      <c r="C1241" s="5" t="str">
        <f ca="1">IFERROR(__xludf.DUMMYFUNCTION("""COMPUTED_VALUE"""),"Mount Pleasant High School")</f>
        <v>Mount Pleasant High School</v>
      </c>
      <c r="D1241" s="5">
        <f ca="1">IFERROR(__xludf.DUMMYFUNCTION("""COMPUTED_VALUE"""),0)</f>
        <v>0</v>
      </c>
      <c r="E1241" s="5">
        <f ca="1">IFERROR(__xludf.DUMMYFUNCTION("""COMPUTED_VALUE"""),1)</f>
        <v>1</v>
      </c>
      <c r="F1241" s="5">
        <f ca="1">IFERROR(__xludf.DUMMYFUNCTION("""COMPUTED_VALUE"""),1)</f>
        <v>1</v>
      </c>
      <c r="G1241" s="5">
        <f ca="1">IFERROR(__xludf.DUMMYFUNCTION("""COMPUTED_VALUE"""),0)</f>
        <v>0</v>
      </c>
      <c r="H1241" s="9" t="str">
        <f ca="1">IFERROR(__xludf.DUMMYFUNCTION("""COMPUTED_VALUE"""),"https://www.newspapers.com/image/164693932/?terms=Mount%2BPleasant%2BHigh%2BSchool%2Bshooting")</f>
        <v>https://www.newspapers.com/image/164693932/?terms=Mount%2BPleasant%2BHigh%2BSchool%2Bshooting</v>
      </c>
      <c r="I1241" s="5"/>
      <c r="J1241" s="5"/>
      <c r="K1241" s="5">
        <f ca="1">IFERROR(__xludf.DUMMYFUNCTION("""COMPUTED_VALUE"""),2)</f>
        <v>2</v>
      </c>
      <c r="L1241" s="5" t="str">
        <f ca="1">IFERROR(__xludf.DUMMYFUNCTION("""COMPUTED_VALUE"""),"Winter")</f>
        <v>Winter</v>
      </c>
      <c r="M1241" s="5" t="str">
        <f ca="1">IFERROR(__xludf.DUMMYFUNCTION("""COMPUTED_VALUE"""),"Wilmington")</f>
        <v>Wilmington</v>
      </c>
      <c r="N1241" s="5" t="str">
        <f ca="1">IFERROR(__xludf.DUMMYFUNCTION("""COMPUTED_VALUE"""),"DE")</f>
        <v>DE</v>
      </c>
      <c r="O1241" s="5" t="str">
        <f ca="1">IFERROR(__xludf.DUMMYFUNCTION("""COMPUTED_VALUE"""),"High")</f>
        <v>High</v>
      </c>
      <c r="P1241" s="5" t="str">
        <f ca="1">IFERROR(__xludf.DUMMYFUNCTION("""COMPUTED_VALUE"""),"Basketball Court")</f>
        <v>Basketball Court</v>
      </c>
      <c r="Q1241" s="5" t="str">
        <f ca="1">IFERROR(__xludf.DUMMYFUNCTION("""COMPUTED_VALUE"""),"Outside on School Property")</f>
        <v>Outside on School Property</v>
      </c>
      <c r="R1241" s="5" t="str">
        <f ca="1">IFERROR(__xludf.DUMMYFUNCTION("""COMPUTED_VALUE"""),"No")</f>
        <v>No</v>
      </c>
      <c r="S1241" s="5" t="str">
        <f ca="1">IFERROR(__xludf.DUMMYFUNCTION("""COMPUTED_VALUE"""),"Sport Event")</f>
        <v>Sport Event</v>
      </c>
      <c r="T1241" s="5"/>
      <c r="U1241" s="5">
        <f ca="1">IFERROR(__xludf.DUMMYFUNCTION("""COMPUTED_VALUE"""),1)</f>
        <v>1</v>
      </c>
      <c r="V1241" s="5" t="str">
        <f ca="1">IFERROR(__xludf.DUMMYFUNCTION("""COMPUTED_VALUE"""),"16 year old victim shot in HS parking lot during fight with several students")</f>
        <v>16 year old victim shot in HS parking lot during fight with several students</v>
      </c>
      <c r="W1241"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X1241" s="5" t="str">
        <f ca="1">IFERROR(__xludf.DUMMYFUNCTION("""COMPUTED_VALUE"""),"Escalation of Dispute")</f>
        <v>Escalation of Dispute</v>
      </c>
      <c r="Y1241" s="5" t="str">
        <f ca="1">IFERROR(__xludf.DUMMYFUNCTION("""COMPUTED_VALUE"""),"Victims Targeted")</f>
        <v>Victims Targeted</v>
      </c>
      <c r="Z1241" s="5" t="str">
        <f ca="1">IFERROR(__xludf.DUMMYFUNCTION("""COMPUTED_VALUE"""),"Unknown")</f>
        <v>Unknown</v>
      </c>
      <c r="AA1241" s="5"/>
      <c r="AB1241" s="5" t="str">
        <f ca="1">IFERROR(__xludf.DUMMYFUNCTION("""COMPUTED_VALUE"""),"No")</f>
        <v>No</v>
      </c>
      <c r="AC1241" s="5" t="str">
        <f ca="1">IFERROR(__xludf.DUMMYFUNCTION("""COMPUTED_VALUE"""),"No")</f>
        <v>No</v>
      </c>
      <c r="AD1241" s="5" t="str">
        <f ca="1">IFERROR(__xludf.DUMMYFUNCTION("""COMPUTED_VALUE"""),"No")</f>
        <v>No</v>
      </c>
      <c r="AE1241" s="5" t="str">
        <f ca="1">IFERROR(__xludf.DUMMYFUNCTION("""COMPUTED_VALUE"""),"No")</f>
        <v>No</v>
      </c>
      <c r="AF1241" s="5" t="str">
        <f ca="1">IFERROR(__xludf.DUMMYFUNCTION("""COMPUTED_VALUE"""),"No")</f>
        <v>No</v>
      </c>
      <c r="AG1241" s="5" t="str">
        <f ca="1">IFERROR(__xludf.DUMMYFUNCTION("""COMPUTED_VALUE"""),"No")</f>
        <v>No</v>
      </c>
      <c r="AH1241" s="5"/>
    </row>
    <row r="1242" spans="1:34" ht="12.75">
      <c r="A1242" s="5" t="str">
        <f ca="1">IFERROR(__xludf.DUMMYFUNCTION("""COMPUTED_VALUE"""),"20060103NJLIJ")</f>
        <v>20060103NJLIJ</v>
      </c>
      <c r="B1242" s="8">
        <f ca="1">IFERROR(__xludf.DUMMYFUNCTION("""COMPUTED_VALUE"""),38720)</f>
        <v>38720</v>
      </c>
      <c r="C1242" s="5" t="str">
        <f ca="1">IFERROR(__xludf.DUMMYFUNCTION("""COMPUTED_VALUE"""),"Lincoln High School")</f>
        <v>Lincoln High School</v>
      </c>
      <c r="D1242" s="5">
        <f ca="1">IFERROR(__xludf.DUMMYFUNCTION("""COMPUTED_VALUE"""),0)</f>
        <v>0</v>
      </c>
      <c r="E1242" s="5">
        <f ca="1">IFERROR(__xludf.DUMMYFUNCTION("""COMPUTED_VALUE"""),2)</f>
        <v>2</v>
      </c>
      <c r="F1242" s="5">
        <f ca="1">IFERROR(__xludf.DUMMYFUNCTION("""COMPUTED_VALUE"""),2)</f>
        <v>2</v>
      </c>
      <c r="G1242" s="5">
        <f ca="1">IFERROR(__xludf.DUMMYFUNCTION("""COMPUTED_VALUE"""),0)</f>
        <v>0</v>
      </c>
      <c r="H1242" s="9" t="str">
        <f ca="1">IFERROR(__xludf.DUMMYFUNCTION("""COMPUTED_VALUE"""),"https://www.nytimes.com/2006/01/05/nyregion/gangs-tied-to-violence-near-jersey-city-school.html")</f>
        <v>https://www.nytimes.com/2006/01/05/nyregion/gangs-tied-to-violence-near-jersey-city-school.html</v>
      </c>
      <c r="I1242" s="5"/>
      <c r="J1242" s="5"/>
      <c r="K1242" s="5">
        <f ca="1">IFERROR(__xludf.DUMMYFUNCTION("""COMPUTED_VALUE"""),2)</f>
        <v>2</v>
      </c>
      <c r="L1242" s="5" t="str">
        <f ca="1">IFERROR(__xludf.DUMMYFUNCTION("""COMPUTED_VALUE"""),"Winter")</f>
        <v>Winter</v>
      </c>
      <c r="M1242" s="5" t="str">
        <f ca="1">IFERROR(__xludf.DUMMYFUNCTION("""COMPUTED_VALUE"""),"Jersey City")</f>
        <v>Jersey City</v>
      </c>
      <c r="N1242" s="5" t="str">
        <f ca="1">IFERROR(__xludf.DUMMYFUNCTION("""COMPUTED_VALUE"""),"NJ")</f>
        <v>NJ</v>
      </c>
      <c r="O1242" s="5" t="str">
        <f ca="1">IFERROR(__xludf.DUMMYFUNCTION("""COMPUTED_VALUE"""),"High")</f>
        <v>High</v>
      </c>
      <c r="P1242" s="5" t="str">
        <f ca="1">IFERROR(__xludf.DUMMYFUNCTION("""COMPUTED_VALUE"""),"Beside Building")</f>
        <v>Beside Building</v>
      </c>
      <c r="Q1242" s="5" t="str">
        <f ca="1">IFERROR(__xludf.DUMMYFUNCTION("""COMPUTED_VALUE"""),"Outside on School Property")</f>
        <v>Outside on School Property</v>
      </c>
      <c r="R1242" s="5" t="str">
        <f ca="1">IFERROR(__xludf.DUMMYFUNCTION("""COMPUTED_VALUE"""),"Yes")</f>
        <v>Yes</v>
      </c>
      <c r="S1242" s="5" t="str">
        <f ca="1">IFERROR(__xludf.DUMMYFUNCTION("""COMPUTED_VALUE"""),"Dismissal")</f>
        <v>Dismissal</v>
      </c>
      <c r="T1242" s="10">
        <f ca="1">IFERROR(__xludf.DUMMYFUNCTION("""COMPUTED_VALUE"""),0.638888888888888)</f>
        <v>0.63888888888888795</v>
      </c>
      <c r="U1242" s="5">
        <f ca="1">IFERROR(__xludf.DUMMYFUNCTION("""COMPUTED_VALUE"""),1)</f>
        <v>1</v>
      </c>
      <c r="V1242" s="5" t="str">
        <f ca="1">IFERROR(__xludf.DUMMYFUNCTION("""COMPUTED_VALUE"""),"Shooting resulted from a large fight involving 40 students after school")</f>
        <v>Shooting resulted from a large fight involving 40 students after school</v>
      </c>
      <c r="W1242"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X1242" s="5" t="str">
        <f ca="1">IFERROR(__xludf.DUMMYFUNCTION("""COMPUTED_VALUE"""),"Escalation of Dispute")</f>
        <v>Escalation of Dispute</v>
      </c>
      <c r="Y1242" s="5"/>
      <c r="Z1242" s="5" t="str">
        <f ca="1">IFERROR(__xludf.DUMMYFUNCTION("""COMPUTED_VALUE"""),"Unknown")</f>
        <v>Unknown</v>
      </c>
      <c r="AA1242" s="5"/>
      <c r="AB1242" s="5" t="str">
        <f ca="1">IFERROR(__xludf.DUMMYFUNCTION("""COMPUTED_VALUE"""),"No")</f>
        <v>No</v>
      </c>
      <c r="AC1242" s="5" t="str">
        <f ca="1">IFERROR(__xludf.DUMMYFUNCTION("""COMPUTED_VALUE"""),"No")</f>
        <v>No</v>
      </c>
      <c r="AD1242" s="5" t="str">
        <f ca="1">IFERROR(__xludf.DUMMYFUNCTION("""COMPUTED_VALUE"""),"No")</f>
        <v>No</v>
      </c>
      <c r="AE1242" s="5" t="str">
        <f ca="1">IFERROR(__xludf.DUMMYFUNCTION("""COMPUTED_VALUE"""),"No")</f>
        <v>No</v>
      </c>
      <c r="AF1242" s="5" t="str">
        <f ca="1">IFERROR(__xludf.DUMMYFUNCTION("""COMPUTED_VALUE"""),"No")</f>
        <v>No</v>
      </c>
      <c r="AG1242" s="5" t="str">
        <f ca="1">IFERROR(__xludf.DUMMYFUNCTION("""COMPUTED_VALUE"""),"Yes")</f>
        <v>Yes</v>
      </c>
      <c r="AH1242" s="5"/>
    </row>
    <row r="1243" spans="1:34" ht="12.75">
      <c r="A1243" s="5" t="str">
        <f ca="1">IFERROR(__xludf.DUMMYFUNCTION("""COMPUTED_VALUE"""),"20051206MICED")</f>
        <v>20051206MICED</v>
      </c>
      <c r="B1243" s="8">
        <f ca="1">IFERROR(__xludf.DUMMYFUNCTION("""COMPUTED_VALUE"""),38692)</f>
        <v>38692</v>
      </c>
      <c r="C1243" s="5" t="str">
        <f ca="1">IFERROR(__xludf.DUMMYFUNCTION("""COMPUTED_VALUE"""),"Central High School")</f>
        <v>Central High School</v>
      </c>
      <c r="D1243" s="5">
        <f ca="1">IFERROR(__xludf.DUMMYFUNCTION("""COMPUTED_VALUE"""),0)</f>
        <v>0</v>
      </c>
      <c r="E1243" s="5">
        <f ca="1">IFERROR(__xludf.DUMMYFUNCTION("""COMPUTED_VALUE"""),1)</f>
        <v>1</v>
      </c>
      <c r="F1243" s="5">
        <f ca="1">IFERROR(__xludf.DUMMYFUNCTION("""COMPUTED_VALUE"""),1)</f>
        <v>1</v>
      </c>
      <c r="G1243" s="5">
        <f ca="1">IFERROR(__xludf.DUMMYFUNCTION("""COMPUTED_VALUE"""),0)</f>
        <v>0</v>
      </c>
      <c r="H1243"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I1243" s="5"/>
      <c r="J1243" s="5"/>
      <c r="K1243" s="5">
        <f ca="1">IFERROR(__xludf.DUMMYFUNCTION("""COMPUTED_VALUE"""),1)</f>
        <v>1</v>
      </c>
      <c r="L1243" s="5" t="str">
        <f ca="1">IFERROR(__xludf.DUMMYFUNCTION("""COMPUTED_VALUE"""),"Winter")</f>
        <v>Winter</v>
      </c>
      <c r="M1243" s="5" t="str">
        <f ca="1">IFERROR(__xludf.DUMMYFUNCTION("""COMPUTED_VALUE"""),"Detroit")</f>
        <v>Detroit</v>
      </c>
      <c r="N1243" s="5" t="str">
        <f ca="1">IFERROR(__xludf.DUMMYFUNCTION("""COMPUTED_VALUE"""),"MI")</f>
        <v>MI</v>
      </c>
      <c r="O1243" s="5" t="str">
        <f ca="1">IFERROR(__xludf.DUMMYFUNCTION("""COMPUTED_VALUE"""),"High")</f>
        <v>High</v>
      </c>
      <c r="P1243" s="5" t="str">
        <f ca="1">IFERROR(__xludf.DUMMYFUNCTION("""COMPUTED_VALUE"""),"Hallway")</f>
        <v>Hallway</v>
      </c>
      <c r="Q1243" s="5" t="str">
        <f ca="1">IFERROR(__xludf.DUMMYFUNCTION("""COMPUTED_VALUE"""),"Inside School Building")</f>
        <v>Inside School Building</v>
      </c>
      <c r="R1243" s="5" t="str">
        <f ca="1">IFERROR(__xludf.DUMMYFUNCTION("""COMPUTED_VALUE"""),"Yes")</f>
        <v>Yes</v>
      </c>
      <c r="S1243" s="5" t="str">
        <f ca="1">IFERROR(__xludf.DUMMYFUNCTION("""COMPUTED_VALUE"""),"Afternoon Classes")</f>
        <v>Afternoon Classes</v>
      </c>
      <c r="T1243" s="10">
        <f ca="1">IFERROR(__xludf.DUMMYFUNCTION("""COMPUTED_VALUE"""),0.5625)</f>
        <v>0.5625</v>
      </c>
      <c r="U1243" s="5">
        <f ca="1">IFERROR(__xludf.DUMMYFUNCTION("""COMPUTED_VALUE"""),1)</f>
        <v>1</v>
      </c>
      <c r="V1243" s="5" t="str">
        <f ca="1">IFERROR(__xludf.DUMMYFUNCTION("""COMPUTED_VALUE"""),"Two non-students shot after entering school")</f>
        <v>Two non-students shot after entering school</v>
      </c>
      <c r="W1243"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X1243" s="5" t="str">
        <f ca="1">IFERROR(__xludf.DUMMYFUNCTION("""COMPUTED_VALUE"""),"Escalation of Dispute")</f>
        <v>Escalation of Dispute</v>
      </c>
      <c r="Y1243" s="5" t="str">
        <f ca="1">IFERROR(__xludf.DUMMYFUNCTION("""COMPUTED_VALUE"""),"Victims Targeted")</f>
        <v>Victims Targeted</v>
      </c>
      <c r="Z1243" s="5" t="str">
        <f ca="1">IFERROR(__xludf.DUMMYFUNCTION("""COMPUTED_VALUE"""),"No")</f>
        <v>No</v>
      </c>
      <c r="AA1243" s="5"/>
      <c r="AB1243" s="5" t="str">
        <f ca="1">IFERROR(__xludf.DUMMYFUNCTION("""COMPUTED_VALUE"""),"No")</f>
        <v>No</v>
      </c>
      <c r="AC1243" s="5" t="str">
        <f ca="1">IFERROR(__xludf.DUMMYFUNCTION("""COMPUTED_VALUE"""),"No")</f>
        <v>No</v>
      </c>
      <c r="AD1243" s="5" t="str">
        <f ca="1">IFERROR(__xludf.DUMMYFUNCTION("""COMPUTED_VALUE"""),"No")</f>
        <v>No</v>
      </c>
      <c r="AE1243" s="5" t="str">
        <f ca="1">IFERROR(__xludf.DUMMYFUNCTION("""COMPUTED_VALUE"""),"No")</f>
        <v>No</v>
      </c>
      <c r="AF1243" s="5" t="str">
        <f ca="1">IFERROR(__xludf.DUMMYFUNCTION("""COMPUTED_VALUE"""),"No")</f>
        <v>No</v>
      </c>
      <c r="AG1243" s="5"/>
      <c r="AH1243" s="5"/>
    </row>
    <row r="1244" spans="1:34" ht="12.75">
      <c r="A1244" s="5" t="str">
        <f ca="1">IFERROR(__xludf.DUMMYFUNCTION("""COMPUTED_VALUE"""),"20051206CASAG")</f>
        <v>20051206CASAG</v>
      </c>
      <c r="B1244" s="8">
        <f ca="1">IFERROR(__xludf.DUMMYFUNCTION("""COMPUTED_VALUE"""),38692)</f>
        <v>38692</v>
      </c>
      <c r="C1244" s="5" t="str">
        <f ca="1">IFERROR(__xludf.DUMMYFUNCTION("""COMPUTED_VALUE"""),"Santiago High School")</f>
        <v>Santiago High School</v>
      </c>
      <c r="D1244" s="5">
        <f ca="1">IFERROR(__xludf.DUMMYFUNCTION("""COMPUTED_VALUE"""),1)</f>
        <v>1</v>
      </c>
      <c r="E1244" s="5">
        <f ca="1">IFERROR(__xludf.DUMMYFUNCTION("""COMPUTED_VALUE"""),0)</f>
        <v>0</v>
      </c>
      <c r="F1244" s="5">
        <f ca="1">IFERROR(__xludf.DUMMYFUNCTION("""COMPUTED_VALUE"""),1)</f>
        <v>1</v>
      </c>
      <c r="G1244" s="5">
        <f ca="1">IFERROR(__xludf.DUMMYFUNCTION("""COMPUTED_VALUE"""),0)</f>
        <v>0</v>
      </c>
      <c r="H1244" s="9" t="str">
        <f ca="1">IFERROR(__xludf.DUMMYFUNCTION("""COMPUTED_VALUE"""),"https://www.ocregister.com/2005/12/08/five-arrests-made-in-santiago-high-shooting-death/")</f>
        <v>https://www.ocregister.com/2005/12/08/five-arrests-made-in-santiago-high-shooting-death/</v>
      </c>
      <c r="I1244" s="5"/>
      <c r="J1244" s="5"/>
      <c r="K1244" s="5">
        <f ca="1">IFERROR(__xludf.DUMMYFUNCTION("""COMPUTED_VALUE"""),2)</f>
        <v>2</v>
      </c>
      <c r="L1244" s="5" t="str">
        <f ca="1">IFERROR(__xludf.DUMMYFUNCTION("""COMPUTED_VALUE"""),"Winter")</f>
        <v>Winter</v>
      </c>
      <c r="M1244" s="5" t="str">
        <f ca="1">IFERROR(__xludf.DUMMYFUNCTION("""COMPUTED_VALUE"""),"Garden Grove")</f>
        <v>Garden Grove</v>
      </c>
      <c r="N1244" s="5" t="str">
        <f ca="1">IFERROR(__xludf.DUMMYFUNCTION("""COMPUTED_VALUE"""),"CA")</f>
        <v>CA</v>
      </c>
      <c r="O1244" s="5" t="str">
        <f ca="1">IFERROR(__xludf.DUMMYFUNCTION("""COMPUTED_VALUE"""),"High")</f>
        <v>High</v>
      </c>
      <c r="P1244" s="5" t="str">
        <f ca="1">IFERROR(__xludf.DUMMYFUNCTION("""COMPUTED_VALUE"""),"Football Field/Track")</f>
        <v>Football Field/Track</v>
      </c>
      <c r="Q1244" s="5" t="str">
        <f ca="1">IFERROR(__xludf.DUMMYFUNCTION("""COMPUTED_VALUE"""),"Outside on School Property")</f>
        <v>Outside on School Property</v>
      </c>
      <c r="R1244" s="5" t="str">
        <f ca="1">IFERROR(__xludf.DUMMYFUNCTION("""COMPUTED_VALUE"""),"No")</f>
        <v>No</v>
      </c>
      <c r="S1244" s="5" t="str">
        <f ca="1">IFERROR(__xludf.DUMMYFUNCTION("""COMPUTED_VALUE"""),"After School")</f>
        <v>After School</v>
      </c>
      <c r="T1244" s="10">
        <f ca="1">IFERROR(__xludf.DUMMYFUNCTION("""COMPUTED_VALUE"""),0.625)</f>
        <v>0.625</v>
      </c>
      <c r="U1244" s="5">
        <f ca="1">IFERROR(__xludf.DUMMYFUNCTION("""COMPUTED_VALUE"""),1)</f>
        <v>1</v>
      </c>
      <c r="V1244" s="5" t="str">
        <f ca="1">IFERROR(__xludf.DUMMYFUNCTION("""COMPUTED_VALUE"""),"Student killed by 5 members of rival gang")</f>
        <v>Student killed by 5 members of rival gang</v>
      </c>
      <c r="W1244"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X1244" s="5" t="str">
        <f ca="1">IFERROR(__xludf.DUMMYFUNCTION("""COMPUTED_VALUE"""),"Escalation of Dispute")</f>
        <v>Escalation of Dispute</v>
      </c>
      <c r="Y1244" s="5" t="str">
        <f ca="1">IFERROR(__xludf.DUMMYFUNCTION("""COMPUTED_VALUE"""),"Victims Targeted")</f>
        <v>Victims Targeted</v>
      </c>
      <c r="Z1244" s="5" t="str">
        <f ca="1">IFERROR(__xludf.DUMMYFUNCTION("""COMPUTED_VALUE"""),"Yes")</f>
        <v>Yes</v>
      </c>
      <c r="AA1244" s="5" t="str">
        <f ca="1">IFERROR(__xludf.DUMMYFUNCTION("""COMPUTED_VALUE"""),"5 gang members arrested")</f>
        <v>5 gang members arrested</v>
      </c>
      <c r="AB1244" s="5" t="str">
        <f ca="1">IFERROR(__xludf.DUMMYFUNCTION("""COMPUTED_VALUE"""),"No")</f>
        <v>No</v>
      </c>
      <c r="AC1244" s="5" t="str">
        <f ca="1">IFERROR(__xludf.DUMMYFUNCTION("""COMPUTED_VALUE"""),"No")</f>
        <v>No</v>
      </c>
      <c r="AD1244" s="5" t="str">
        <f ca="1">IFERROR(__xludf.DUMMYFUNCTION("""COMPUTED_VALUE"""),"No")</f>
        <v>No</v>
      </c>
      <c r="AE1244" s="5" t="str">
        <f ca="1">IFERROR(__xludf.DUMMYFUNCTION("""COMPUTED_VALUE"""),"No")</f>
        <v>No</v>
      </c>
      <c r="AF1244" s="5" t="str">
        <f ca="1">IFERROR(__xludf.DUMMYFUNCTION("""COMPUTED_VALUE"""),"No")</f>
        <v>No</v>
      </c>
      <c r="AG1244" s="5" t="str">
        <f ca="1">IFERROR(__xludf.DUMMYFUNCTION("""COMPUTED_VALUE"""),"Yes")</f>
        <v>Yes</v>
      </c>
      <c r="AH1244" s="5"/>
    </row>
    <row r="1245" spans="1:34" ht="12.75">
      <c r="A1245" s="5" t="str">
        <f ca="1">IFERROR(__xludf.DUMMYFUNCTION("""COMPUTED_VALUE"""),"20051205MABOR")</f>
        <v>20051205MABOR</v>
      </c>
      <c r="B1245" s="8">
        <f ca="1">IFERROR(__xludf.DUMMYFUNCTION("""COMPUTED_VALUE"""),38691)</f>
        <v>38691</v>
      </c>
      <c r="C1245" s="5" t="str">
        <f ca="1">IFERROR(__xludf.DUMMYFUNCTION("""COMPUTED_VALUE"""),"Boston Day and Evening Academy (High School)")</f>
        <v>Boston Day and Evening Academy (High School)</v>
      </c>
      <c r="D1245" s="5">
        <f ca="1">IFERROR(__xludf.DUMMYFUNCTION("""COMPUTED_VALUE"""),0)</f>
        <v>0</v>
      </c>
      <c r="E1245" s="5">
        <f ca="1">IFERROR(__xludf.DUMMYFUNCTION("""COMPUTED_VALUE"""),0)</f>
        <v>0</v>
      </c>
      <c r="F1245" s="5">
        <f ca="1">IFERROR(__xludf.DUMMYFUNCTION("""COMPUTED_VALUE"""),0)</f>
        <v>0</v>
      </c>
      <c r="G1245" s="5">
        <f ca="1">IFERROR(__xludf.DUMMYFUNCTION("""COMPUTED_VALUE"""),0)</f>
        <v>0</v>
      </c>
      <c r="H1245" s="9" t="str">
        <f ca="1">IFERROR(__xludf.DUMMYFUNCTION("""COMPUTED_VALUE"""),"http://archive.boston.com/news/local/articles/2005/12/07/a_mattapan_teen_gets_stiff_bail_terms/")</f>
        <v>http://archive.boston.com/news/local/articles/2005/12/07/a_mattapan_teen_gets_stiff_bail_terms/</v>
      </c>
      <c r="I1245" s="5"/>
      <c r="J1245" s="5"/>
      <c r="K1245" s="5">
        <f ca="1">IFERROR(__xludf.DUMMYFUNCTION("""COMPUTED_VALUE"""),2)</f>
        <v>2</v>
      </c>
      <c r="L1245" s="5" t="str">
        <f ca="1">IFERROR(__xludf.DUMMYFUNCTION("""COMPUTED_VALUE"""),"Winter")</f>
        <v>Winter</v>
      </c>
      <c r="M1245" s="5" t="str">
        <f ca="1">IFERROR(__xludf.DUMMYFUNCTION("""COMPUTED_VALUE"""),"Roxbury")</f>
        <v>Roxbury</v>
      </c>
      <c r="N1245" s="5" t="str">
        <f ca="1">IFERROR(__xludf.DUMMYFUNCTION("""COMPUTED_VALUE"""),"MA")</f>
        <v>MA</v>
      </c>
      <c r="O1245" s="5" t="str">
        <f ca="1">IFERROR(__xludf.DUMMYFUNCTION("""COMPUTED_VALUE"""),"High")</f>
        <v>High</v>
      </c>
      <c r="P1245" s="5" t="str">
        <f ca="1">IFERROR(__xludf.DUMMYFUNCTION("""COMPUTED_VALUE"""),"Bathroom")</f>
        <v>Bathroom</v>
      </c>
      <c r="Q1245" s="5" t="str">
        <f ca="1">IFERROR(__xludf.DUMMYFUNCTION("""COMPUTED_VALUE"""),"Inside School Building")</f>
        <v>Inside School Building</v>
      </c>
      <c r="R1245" s="5" t="str">
        <f ca="1">IFERROR(__xludf.DUMMYFUNCTION("""COMPUTED_VALUE"""),"Yes")</f>
        <v>Yes</v>
      </c>
      <c r="S1245" s="5" t="str">
        <f ca="1">IFERROR(__xludf.DUMMYFUNCTION("""COMPUTED_VALUE"""),"Afternoon Classes")</f>
        <v>Afternoon Classes</v>
      </c>
      <c r="T1245" s="10">
        <f ca="1">IFERROR(__xludf.DUMMYFUNCTION("""COMPUTED_VALUE"""),0.597222222222222)</f>
        <v>0.59722222222222199</v>
      </c>
      <c r="U1245" s="5">
        <f ca="1">IFERROR(__xludf.DUMMYFUNCTION("""COMPUTED_VALUE"""),1)</f>
        <v>1</v>
      </c>
      <c r="V1245" s="5" t="str">
        <f ca="1">IFERROR(__xludf.DUMMYFUNCTION("""COMPUTED_VALUE"""),"Fight in bathroom, fired shots and missed then fled")</f>
        <v>Fight in bathroom, fired shots and missed then fled</v>
      </c>
      <c r="W1245"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X1245" s="5" t="str">
        <f ca="1">IFERROR(__xludf.DUMMYFUNCTION("""COMPUTED_VALUE"""),"Escalation of Dispute")</f>
        <v>Escalation of Dispute</v>
      </c>
      <c r="Y1245" s="5" t="str">
        <f ca="1">IFERROR(__xludf.DUMMYFUNCTION("""COMPUTED_VALUE"""),"Neither")</f>
        <v>Neither</v>
      </c>
      <c r="Z1245" s="5" t="str">
        <f ca="1">IFERROR(__xludf.DUMMYFUNCTION("""COMPUTED_VALUE"""),"No")</f>
        <v>No</v>
      </c>
      <c r="AA1245" s="5"/>
      <c r="AB1245" s="5" t="str">
        <f ca="1">IFERROR(__xludf.DUMMYFUNCTION("""COMPUTED_VALUE"""),"No")</f>
        <v>No</v>
      </c>
      <c r="AC1245" s="5" t="str">
        <f ca="1">IFERROR(__xludf.DUMMYFUNCTION("""COMPUTED_VALUE"""),"No")</f>
        <v>No</v>
      </c>
      <c r="AD1245" s="5" t="str">
        <f ca="1">IFERROR(__xludf.DUMMYFUNCTION("""COMPUTED_VALUE"""),"No")</f>
        <v>No</v>
      </c>
      <c r="AE1245" s="5" t="str">
        <f ca="1">IFERROR(__xludf.DUMMYFUNCTION("""COMPUTED_VALUE"""),"No")</f>
        <v>No</v>
      </c>
      <c r="AF1245" s="5" t="str">
        <f ca="1">IFERROR(__xludf.DUMMYFUNCTION("""COMPUTED_VALUE"""),"No")</f>
        <v>No</v>
      </c>
      <c r="AG1245" s="5" t="str">
        <f ca="1">IFERROR(__xludf.DUMMYFUNCTION("""COMPUTED_VALUE"""),"No")</f>
        <v>No</v>
      </c>
      <c r="AH1245" s="5"/>
    </row>
    <row r="1246" spans="1:34" ht="12.75">
      <c r="A1246" s="5" t="str">
        <f ca="1">IFERROR(__xludf.DUMMYFUNCTION("""COMPUTED_VALUE"""),"20051116TXIRS")</f>
        <v>20051116TXIRS</v>
      </c>
      <c r="B1246" s="8">
        <f ca="1">IFERROR(__xludf.DUMMYFUNCTION("""COMPUTED_VALUE"""),38672)</f>
        <v>38672</v>
      </c>
      <c r="C1246" s="5" t="str">
        <f ca="1">IFERROR(__xludf.DUMMYFUNCTION("""COMPUTED_VALUE"""),"Irving Middle School")</f>
        <v>Irving Middle School</v>
      </c>
      <c r="D1246" s="5">
        <f ca="1">IFERROR(__xludf.DUMMYFUNCTION("""COMPUTED_VALUE"""),1)</f>
        <v>1</v>
      </c>
      <c r="E1246" s="5">
        <f ca="1">IFERROR(__xludf.DUMMYFUNCTION("""COMPUTED_VALUE"""),0)</f>
        <v>0</v>
      </c>
      <c r="F1246" s="5">
        <f ca="1">IFERROR(__xludf.DUMMYFUNCTION("""COMPUTED_VALUE"""),1)</f>
        <v>1</v>
      </c>
      <c r="G1246" s="5">
        <f ca="1">IFERROR(__xludf.DUMMYFUNCTION("""COMPUTED_VALUE"""),0)</f>
        <v>0</v>
      </c>
      <c r="H1246" s="9" t="str">
        <f ca="1">IFERROR(__xludf.DUMMYFUNCTION("""COMPUTED_VALUE"""),"http://www.kxii.com/home/headlines/1978757.html")</f>
        <v>http://www.kxii.com/home/headlines/1978757.html</v>
      </c>
      <c r="I1246" s="5"/>
      <c r="J1246" s="5"/>
      <c r="K1246" s="5">
        <f ca="1">IFERROR(__xludf.DUMMYFUNCTION("""COMPUTED_VALUE"""),2)</f>
        <v>2</v>
      </c>
      <c r="L1246" s="5" t="str">
        <f ca="1">IFERROR(__xludf.DUMMYFUNCTION("""COMPUTED_VALUE"""),"Fall")</f>
        <v>Fall</v>
      </c>
      <c r="M1246" s="5" t="str">
        <f ca="1">IFERROR(__xludf.DUMMYFUNCTION("""COMPUTED_VALUE"""),"San Antonio")</f>
        <v>San Antonio</v>
      </c>
      <c r="N1246" s="5" t="str">
        <f ca="1">IFERROR(__xludf.DUMMYFUNCTION("""COMPUTED_VALUE"""),"TX")</f>
        <v>TX</v>
      </c>
      <c r="O1246" s="5" t="str">
        <f ca="1">IFERROR(__xludf.DUMMYFUNCTION("""COMPUTED_VALUE"""),"Middle")</f>
        <v>Middle</v>
      </c>
      <c r="P1246" s="5" t="str">
        <f ca="1">IFERROR(__xludf.DUMMYFUNCTION("""COMPUTED_VALUE"""),"Parking Lot")</f>
        <v>Parking Lot</v>
      </c>
      <c r="Q1246" s="5" t="str">
        <f ca="1">IFERROR(__xludf.DUMMYFUNCTION("""COMPUTED_VALUE"""),"Outside on School Property")</f>
        <v>Outside on School Property</v>
      </c>
      <c r="R1246" s="5" t="str">
        <f ca="1">IFERROR(__xludf.DUMMYFUNCTION("""COMPUTED_VALUE"""),"Yes")</f>
        <v>Yes</v>
      </c>
      <c r="S1246" s="5"/>
      <c r="T1246" s="5"/>
      <c r="U1246" s="5">
        <f ca="1">IFERROR(__xludf.DUMMYFUNCTION("""COMPUTED_VALUE"""),1)</f>
        <v>1</v>
      </c>
      <c r="V1246" s="5" t="str">
        <f ca="1">IFERROR(__xludf.DUMMYFUNCTION("""COMPUTED_VALUE"""),"Officer killed burglary suspect in parking lot")</f>
        <v>Officer killed burglary suspect in parking lot</v>
      </c>
      <c r="W1246" s="5" t="str">
        <f ca="1">IFERROR(__xludf.DUMMYFUNCTION("""COMPUTED_VALUE"""),"Officer shot and killed burglary suspect in school parking lot. School locked down.")</f>
        <v>Officer shot and killed burglary suspect in school parking lot. School locked down.</v>
      </c>
      <c r="X1246" s="5" t="str">
        <f ca="1">IFERROR(__xludf.DUMMYFUNCTION("""COMPUTED_VALUE"""),"Illegal Activity")</f>
        <v>Illegal Activity</v>
      </c>
      <c r="Y1246" s="5" t="str">
        <f ca="1">IFERROR(__xludf.DUMMYFUNCTION("""COMPUTED_VALUE"""),"Victims Targeted")</f>
        <v>Victims Targeted</v>
      </c>
      <c r="Z1246" s="5" t="str">
        <f ca="1">IFERROR(__xludf.DUMMYFUNCTION("""COMPUTED_VALUE"""),"No")</f>
        <v>No</v>
      </c>
      <c r="AA1246" s="5"/>
      <c r="AB1246" s="5" t="str">
        <f ca="1">IFERROR(__xludf.DUMMYFUNCTION("""COMPUTED_VALUE"""),"No")</f>
        <v>No</v>
      </c>
      <c r="AC1246" s="5" t="str">
        <f ca="1">IFERROR(__xludf.DUMMYFUNCTION("""COMPUTED_VALUE"""),"No")</f>
        <v>No</v>
      </c>
      <c r="AD1246" s="5" t="str">
        <f ca="1">IFERROR(__xludf.DUMMYFUNCTION("""COMPUTED_VALUE"""),"Yes")</f>
        <v>Yes</v>
      </c>
      <c r="AE1246" s="5"/>
      <c r="AF1246" s="5"/>
      <c r="AG1246" s="5"/>
      <c r="AH1246" s="5"/>
    </row>
    <row r="1247" spans="1:34" ht="12.75">
      <c r="A1247" s="5" t="str">
        <f ca="1">IFERROR(__xludf.DUMMYFUNCTION("""COMPUTED_VALUE"""),"20051115FLPAM")</f>
        <v>20051115FLPAM</v>
      </c>
      <c r="B1247" s="8">
        <f ca="1">IFERROR(__xludf.DUMMYFUNCTION("""COMPUTED_VALUE"""),38671)</f>
        <v>38671</v>
      </c>
      <c r="C1247" s="5" t="str">
        <f ca="1">IFERROR(__xludf.DUMMYFUNCTION("""COMPUTED_VALUE"""),"Parkway Academy Charter High School (bus)")</f>
        <v>Parkway Academy Charter High School (bus)</v>
      </c>
      <c r="D1247" s="5">
        <f ca="1">IFERROR(__xludf.DUMMYFUNCTION("""COMPUTED_VALUE"""),0)</f>
        <v>0</v>
      </c>
      <c r="E1247" s="5">
        <f ca="1">IFERROR(__xludf.DUMMYFUNCTION("""COMPUTED_VALUE"""),1)</f>
        <v>1</v>
      </c>
      <c r="F1247" s="5">
        <f ca="1">IFERROR(__xludf.DUMMYFUNCTION("""COMPUTED_VALUE"""),1)</f>
        <v>1</v>
      </c>
      <c r="G1247" s="5">
        <f ca="1">IFERROR(__xludf.DUMMYFUNCTION("""COMPUTED_VALUE"""),0)</f>
        <v>0</v>
      </c>
      <c r="H1247" s="9" t="str">
        <f ca="1">IFERROR(__xludf.DUMMYFUNCTION("""COMPUTED_VALUE"""),"http://www.cnn.com/2005/US/11/15/florida.shooting/index.html")</f>
        <v>http://www.cnn.com/2005/US/11/15/florida.shooting/index.html</v>
      </c>
      <c r="I1247" s="5"/>
      <c r="J1247" s="5"/>
      <c r="K1247" s="5">
        <f ca="1">IFERROR(__xludf.DUMMYFUNCTION("""COMPUTED_VALUE"""),2)</f>
        <v>2</v>
      </c>
      <c r="L1247" s="5" t="str">
        <f ca="1">IFERROR(__xludf.DUMMYFUNCTION("""COMPUTED_VALUE"""),"Fall")</f>
        <v>Fall</v>
      </c>
      <c r="M1247" s="5" t="str">
        <f ca="1">IFERROR(__xludf.DUMMYFUNCTION("""COMPUTED_VALUE"""),"Miramar")</f>
        <v>Miramar</v>
      </c>
      <c r="N1247" s="5" t="str">
        <f ca="1">IFERROR(__xludf.DUMMYFUNCTION("""COMPUTED_VALUE"""),"FL")</f>
        <v>FL</v>
      </c>
      <c r="O1247" s="5" t="str">
        <f ca="1">IFERROR(__xludf.DUMMYFUNCTION("""COMPUTED_VALUE"""),"High")</f>
        <v>High</v>
      </c>
      <c r="P1247" s="5" t="str">
        <f ca="1">IFERROR(__xludf.DUMMYFUNCTION("""COMPUTED_VALUE"""),"School Bus")</f>
        <v>School Bus</v>
      </c>
      <c r="Q1247" s="5" t="str">
        <f ca="1">IFERROR(__xludf.DUMMYFUNCTION("""COMPUTED_VALUE"""),"School Bus")</f>
        <v>School Bus</v>
      </c>
      <c r="R1247" s="5" t="str">
        <f ca="1">IFERROR(__xludf.DUMMYFUNCTION("""COMPUTED_VALUE"""),"Yes")</f>
        <v>Yes</v>
      </c>
      <c r="S1247" s="5" t="str">
        <f ca="1">IFERROR(__xludf.DUMMYFUNCTION("""COMPUTED_VALUE"""),"Before School")</f>
        <v>Before School</v>
      </c>
      <c r="T1247" s="10">
        <f ca="1">IFERROR(__xludf.DUMMYFUNCTION("""COMPUTED_VALUE"""),0.322916666666666)</f>
        <v>0.32291666666666602</v>
      </c>
      <c r="U1247" s="5">
        <f ca="1">IFERROR(__xludf.DUMMYFUNCTION("""COMPUTED_VALUE"""),1)</f>
        <v>1</v>
      </c>
      <c r="V1247" s="5" t="str">
        <f ca="1">IFERROR(__xludf.DUMMYFUNCTION("""COMPUTED_VALUE"""),"Shooter shot victim on bus due to earlier confrontation")</f>
        <v>Shooter shot victim on bus due to earlier confrontation</v>
      </c>
      <c r="W1247"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X1247" s="5" t="str">
        <f ca="1">IFERROR(__xludf.DUMMYFUNCTION("""COMPUTED_VALUE"""),"Escalation of Dispute")</f>
        <v>Escalation of Dispute</v>
      </c>
      <c r="Y1247" s="5" t="str">
        <f ca="1">IFERROR(__xludf.DUMMYFUNCTION("""COMPUTED_VALUE"""),"Victims Targeted")</f>
        <v>Victims Targeted</v>
      </c>
      <c r="Z1247" s="5" t="str">
        <f ca="1">IFERROR(__xludf.DUMMYFUNCTION("""COMPUTED_VALUE"""),"No")</f>
        <v>No</v>
      </c>
      <c r="AA1247" s="5"/>
      <c r="AB1247" s="5" t="str">
        <f ca="1">IFERROR(__xludf.DUMMYFUNCTION("""COMPUTED_VALUE"""),"No")</f>
        <v>No</v>
      </c>
      <c r="AC1247" s="5" t="str">
        <f ca="1">IFERROR(__xludf.DUMMYFUNCTION("""COMPUTED_VALUE"""),"No")</f>
        <v>No</v>
      </c>
      <c r="AD1247" s="5" t="str">
        <f ca="1">IFERROR(__xludf.DUMMYFUNCTION("""COMPUTED_VALUE"""),"No")</f>
        <v>No</v>
      </c>
      <c r="AE1247" s="5" t="str">
        <f ca="1">IFERROR(__xludf.DUMMYFUNCTION("""COMPUTED_VALUE"""),"No")</f>
        <v>No</v>
      </c>
      <c r="AF1247" s="5" t="str">
        <f ca="1">IFERROR(__xludf.DUMMYFUNCTION("""COMPUTED_VALUE"""),"No")</f>
        <v>No</v>
      </c>
      <c r="AG1247" s="5" t="str">
        <f ca="1">IFERROR(__xludf.DUMMYFUNCTION("""COMPUTED_VALUE"""),"No")</f>
        <v>No</v>
      </c>
      <c r="AH1247" s="5"/>
    </row>
    <row r="1248" spans="1:34" ht="12.75">
      <c r="A1248" s="5" t="str">
        <f ca="1">IFERROR(__xludf.DUMMYFUNCTION("""COMPUTED_VALUE"""),"20051108TNCAJ")</f>
        <v>20051108TNCAJ</v>
      </c>
      <c r="B1248" s="8">
        <f ca="1">IFERROR(__xludf.DUMMYFUNCTION("""COMPUTED_VALUE"""),38664)</f>
        <v>38664</v>
      </c>
      <c r="C1248" s="5" t="str">
        <f ca="1">IFERROR(__xludf.DUMMYFUNCTION("""COMPUTED_VALUE"""),"Campbell County High School")</f>
        <v>Campbell County High School</v>
      </c>
      <c r="D1248" s="5">
        <f ca="1">IFERROR(__xludf.DUMMYFUNCTION("""COMPUTED_VALUE"""),1)</f>
        <v>1</v>
      </c>
      <c r="E1248" s="5">
        <f ca="1">IFERROR(__xludf.DUMMYFUNCTION("""COMPUTED_VALUE"""),2)</f>
        <v>2</v>
      </c>
      <c r="F1248" s="5">
        <f ca="1">IFERROR(__xludf.DUMMYFUNCTION("""COMPUTED_VALUE"""),3)</f>
        <v>3</v>
      </c>
      <c r="G1248" s="5">
        <f ca="1">IFERROR(__xludf.DUMMYFUNCTION("""COMPUTED_VALUE"""),0)</f>
        <v>0</v>
      </c>
      <c r="H1248"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I1248" s="5"/>
      <c r="J1248" s="5" t="str">
        <f ca="1">IFERROR(__xludf.DUMMYFUNCTION("""COMPUTED_VALUE"""),"National")</f>
        <v>National</v>
      </c>
      <c r="K1248" s="5">
        <f ca="1">IFERROR(__xludf.DUMMYFUNCTION("""COMPUTED_VALUE"""),5)</f>
        <v>5</v>
      </c>
      <c r="L1248" s="5" t="str">
        <f ca="1">IFERROR(__xludf.DUMMYFUNCTION("""COMPUTED_VALUE"""),"Fall")</f>
        <v>Fall</v>
      </c>
      <c r="M1248" s="5" t="str">
        <f ca="1">IFERROR(__xludf.DUMMYFUNCTION("""COMPUTED_VALUE"""),"Jacksboro, TN")</f>
        <v>Jacksboro, TN</v>
      </c>
      <c r="N1248" s="5" t="str">
        <f ca="1">IFERROR(__xludf.DUMMYFUNCTION("""COMPUTED_VALUE"""),"TN")</f>
        <v>TN</v>
      </c>
      <c r="O1248" s="5" t="str">
        <f ca="1">IFERROR(__xludf.DUMMYFUNCTION("""COMPUTED_VALUE"""),"High")</f>
        <v>High</v>
      </c>
      <c r="P1248" s="5" t="str">
        <f ca="1">IFERROR(__xludf.DUMMYFUNCTION("""COMPUTED_VALUE"""),"Hallway")</f>
        <v>Hallway</v>
      </c>
      <c r="Q1248" s="5" t="str">
        <f ca="1">IFERROR(__xludf.DUMMYFUNCTION("""COMPUTED_VALUE"""),"Inside School Building")</f>
        <v>Inside School Building</v>
      </c>
      <c r="R1248" s="5" t="str">
        <f ca="1">IFERROR(__xludf.DUMMYFUNCTION("""COMPUTED_VALUE"""),"Yes")</f>
        <v>Yes</v>
      </c>
      <c r="S1248" s="5" t="str">
        <f ca="1">IFERROR(__xludf.DUMMYFUNCTION("""COMPUTED_VALUE"""),"Afternoon Classes")</f>
        <v>Afternoon Classes</v>
      </c>
      <c r="T1248" s="10">
        <f ca="1">IFERROR(__xludf.DUMMYFUNCTION("""COMPUTED_VALUE"""),0.583333333333333)</f>
        <v>0.58333333333333304</v>
      </c>
      <c r="U1248" s="5">
        <f ca="1">IFERROR(__xludf.DUMMYFUNCTION("""COMPUTED_VALUE"""),1)</f>
        <v>1</v>
      </c>
      <c r="V1248" s="5" t="str">
        <f ca="1">IFERROR(__xludf.DUMMYFUNCTION("""COMPUTED_VALUE"""),"Trading gun for RX drugs")</f>
        <v>Trading gun for RX drugs</v>
      </c>
      <c r="W1248"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X1248" s="5" t="str">
        <f ca="1">IFERROR(__xludf.DUMMYFUNCTION("""COMPUTED_VALUE"""),"Illegal Activity")</f>
        <v>Illegal Activity</v>
      </c>
      <c r="Y1248" s="5" t="str">
        <f ca="1">IFERROR(__xludf.DUMMYFUNCTION("""COMPUTED_VALUE"""),"Random Shooting")</f>
        <v>Random Shooting</v>
      </c>
      <c r="Z1248" s="5" t="str">
        <f ca="1">IFERROR(__xludf.DUMMYFUNCTION("""COMPUTED_VALUE"""),"No")</f>
        <v>No</v>
      </c>
      <c r="AA1248" s="5"/>
      <c r="AB1248" s="5" t="str">
        <f ca="1">IFERROR(__xludf.DUMMYFUNCTION("""COMPUTED_VALUE"""),"No")</f>
        <v>No</v>
      </c>
      <c r="AC1248" s="5" t="str">
        <f ca="1">IFERROR(__xludf.DUMMYFUNCTION("""COMPUTED_VALUE"""),"No")</f>
        <v>No</v>
      </c>
      <c r="AD1248" s="5" t="str">
        <f ca="1">IFERROR(__xludf.DUMMYFUNCTION("""COMPUTED_VALUE"""),"No")</f>
        <v>No</v>
      </c>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IFERROR(__xludf.DUMMYFUNCTION("""COMPUTED_VALUE"""),"Yes")</f>
        <v>Yes</v>
      </c>
    </row>
    <row r="1249" spans="1:34" ht="12.75">
      <c r="A1249" s="5" t="str">
        <f ca="1">IFERROR(__xludf.DUMMYFUNCTION("""COMPUTED_VALUE"""),"20051028NYFAF")</f>
        <v>20051028NYFAF</v>
      </c>
      <c r="B1249" s="8">
        <f ca="1">IFERROR(__xludf.DUMMYFUNCTION("""COMPUTED_VALUE"""),38653)</f>
        <v>38653</v>
      </c>
      <c r="C1249" s="5" t="str">
        <f ca="1">IFERROR(__xludf.DUMMYFUNCTION("""COMPUTED_VALUE"""),"Farmingdale High School")</f>
        <v>Farmingdale High School</v>
      </c>
      <c r="D1249" s="5">
        <f ca="1">IFERROR(__xludf.DUMMYFUNCTION("""COMPUTED_VALUE"""),0)</f>
        <v>0</v>
      </c>
      <c r="E1249" s="5">
        <f ca="1">IFERROR(__xludf.DUMMYFUNCTION("""COMPUTED_VALUE"""),0)</f>
        <v>0</v>
      </c>
      <c r="F1249" s="5">
        <f ca="1">IFERROR(__xludf.DUMMYFUNCTION("""COMPUTED_VALUE"""),0)</f>
        <v>0</v>
      </c>
      <c r="G1249" s="5">
        <f ca="1">IFERROR(__xludf.DUMMYFUNCTION("""COMPUTED_VALUE"""),0)</f>
        <v>0</v>
      </c>
      <c r="H1249" s="9" t="str">
        <f ca="1">IFERROR(__xludf.DUMMYFUNCTION("""COMPUTED_VALUE"""),"http://plainedgechat.proboards.com/thread/23")</f>
        <v>http://plainedgechat.proboards.com/thread/23</v>
      </c>
      <c r="I1249" s="5"/>
      <c r="J1249" s="5"/>
      <c r="K1249" s="5">
        <f ca="1">IFERROR(__xludf.DUMMYFUNCTION("""COMPUTED_VALUE"""),1)</f>
        <v>1</v>
      </c>
      <c r="L1249" s="5" t="str">
        <f ca="1">IFERROR(__xludf.DUMMYFUNCTION("""COMPUTED_VALUE"""),"Fall")</f>
        <v>Fall</v>
      </c>
      <c r="M1249" s="5" t="str">
        <f ca="1">IFERROR(__xludf.DUMMYFUNCTION("""COMPUTED_VALUE"""),"Farmingdale")</f>
        <v>Farmingdale</v>
      </c>
      <c r="N1249" s="5" t="str">
        <f ca="1">IFERROR(__xludf.DUMMYFUNCTION("""COMPUTED_VALUE"""),"NY")</f>
        <v>NY</v>
      </c>
      <c r="O1249" s="5" t="str">
        <f ca="1">IFERROR(__xludf.DUMMYFUNCTION("""COMPUTED_VALUE"""),"High")</f>
        <v>High</v>
      </c>
      <c r="P1249" s="5" t="str">
        <f ca="1">IFERROR(__xludf.DUMMYFUNCTION("""COMPUTED_VALUE"""),"Front of School")</f>
        <v>Front of School</v>
      </c>
      <c r="Q1249" s="5" t="str">
        <f ca="1">IFERROR(__xludf.DUMMYFUNCTION("""COMPUTED_VALUE"""),"Outside on School Property")</f>
        <v>Outside on School Property</v>
      </c>
      <c r="R1249" s="5" t="str">
        <f ca="1">IFERROR(__xludf.DUMMYFUNCTION("""COMPUTED_VALUE"""),"No")</f>
        <v>No</v>
      </c>
      <c r="S1249" s="5" t="str">
        <f ca="1">IFERROR(__xludf.DUMMYFUNCTION("""COMPUTED_VALUE"""),"School Event")</f>
        <v>School Event</v>
      </c>
      <c r="T1249" s="10">
        <f ca="1">IFERROR(__xludf.DUMMYFUNCTION("""COMPUTED_VALUE"""),0.822916666666666)</f>
        <v>0.82291666666666596</v>
      </c>
      <c r="U1249" s="5">
        <f ca="1">IFERROR(__xludf.DUMMYFUNCTION("""COMPUTED_VALUE"""),1)</f>
        <v>1</v>
      </c>
      <c r="V1249" s="5" t="str">
        <f ca="1">IFERROR(__xludf.DUMMYFUNCTION("""COMPUTED_VALUE"""),"Group of teens fired multiple shots at school security guard following fight in parking lot")</f>
        <v>Group of teens fired multiple shots at school security guard following fight in parking lot</v>
      </c>
      <c r="W1249"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X1249" s="5" t="str">
        <f ca="1">IFERROR(__xludf.DUMMYFUNCTION("""COMPUTED_VALUE"""),"Escalation of Dispute")</f>
        <v>Escalation of Dispute</v>
      </c>
      <c r="Y1249" s="5" t="str">
        <f ca="1">IFERROR(__xludf.DUMMYFUNCTION("""COMPUTED_VALUE"""),"Victims Targeted")</f>
        <v>Victims Targeted</v>
      </c>
      <c r="Z1249" s="5" t="str">
        <f ca="1">IFERROR(__xludf.DUMMYFUNCTION("""COMPUTED_VALUE"""),"Yes")</f>
        <v>Yes</v>
      </c>
      <c r="AA1249" s="5" t="str">
        <f ca="1">IFERROR(__xludf.DUMMYFUNCTION("""COMPUTED_VALUE"""),"Multiple teens in car")</f>
        <v>Multiple teens in car</v>
      </c>
      <c r="AB1249" s="5" t="str">
        <f ca="1">IFERROR(__xludf.DUMMYFUNCTION("""COMPUTED_VALUE"""),"No")</f>
        <v>No</v>
      </c>
      <c r="AC1249" s="5" t="str">
        <f ca="1">IFERROR(__xludf.DUMMYFUNCTION("""COMPUTED_VALUE"""),"No")</f>
        <v>No</v>
      </c>
      <c r="AD1249" s="5" t="str">
        <f ca="1">IFERROR(__xludf.DUMMYFUNCTION("""COMPUTED_VALUE"""),"No")</f>
        <v>No</v>
      </c>
      <c r="AE1249" s="5" t="str">
        <f ca="1">IFERROR(__xludf.DUMMYFUNCTION("""COMPUTED_VALUE"""),"No")</f>
        <v>No</v>
      </c>
      <c r="AF1249" s="5" t="str">
        <f ca="1">IFERROR(__xludf.DUMMYFUNCTION("""COMPUTED_VALUE"""),"No")</f>
        <v>No</v>
      </c>
      <c r="AG1249" s="5" t="str">
        <f ca="1">IFERROR(__xludf.DUMMYFUNCTION("""COMPUTED_VALUE"""),"No")</f>
        <v>No</v>
      </c>
      <c r="AH1249" s="5"/>
    </row>
    <row r="1250" spans="1:34" ht="12.75">
      <c r="A1250" s="5" t="str">
        <f ca="1">IFERROR(__xludf.DUMMYFUNCTION("""COMPUTED_VALUE"""),"20051028MDANA")</f>
        <v>20051028MDANA</v>
      </c>
      <c r="B1250" s="8">
        <f ca="1">IFERROR(__xludf.DUMMYFUNCTION("""COMPUTED_VALUE"""),38653)</f>
        <v>38653</v>
      </c>
      <c r="C1250" s="5" t="str">
        <f ca="1">IFERROR(__xludf.DUMMYFUNCTION("""COMPUTED_VALUE"""),"Annapolis High School")</f>
        <v>Annapolis High School</v>
      </c>
      <c r="D1250" s="5">
        <f ca="1">IFERROR(__xludf.DUMMYFUNCTION("""COMPUTED_VALUE"""),0)</f>
        <v>0</v>
      </c>
      <c r="E1250" s="5">
        <f ca="1">IFERROR(__xludf.DUMMYFUNCTION("""COMPUTED_VALUE"""),1)</f>
        <v>1</v>
      </c>
      <c r="F1250" s="5">
        <f ca="1">IFERROR(__xludf.DUMMYFUNCTION("""COMPUTED_VALUE"""),1)</f>
        <v>1</v>
      </c>
      <c r="G1250" s="5">
        <f ca="1">IFERROR(__xludf.DUMMYFUNCTION("""COMPUTED_VALUE"""),0)</f>
        <v>0</v>
      </c>
      <c r="H1250" s="9" t="str">
        <f ca="1">IFERROR(__xludf.DUMMYFUNCTION("""COMPUTED_VALUE"""),"http://articles.baltimoresun.com/2005-10-30/news/0510300052_1_annapolis-shooting-was-accidental-charged-in-shooting")</f>
        <v>http://articles.baltimoresun.com/2005-10-30/news/0510300052_1_annapolis-shooting-was-accidental-charged-in-shooting</v>
      </c>
      <c r="I1250" s="5"/>
      <c r="J1250" s="5"/>
      <c r="K1250" s="5">
        <f ca="1">IFERROR(__xludf.DUMMYFUNCTION("""COMPUTED_VALUE"""),3)</f>
        <v>3</v>
      </c>
      <c r="L1250" s="5" t="str">
        <f ca="1">IFERROR(__xludf.DUMMYFUNCTION("""COMPUTED_VALUE"""),"Fall")</f>
        <v>Fall</v>
      </c>
      <c r="M1250" s="5" t="str">
        <f ca="1">IFERROR(__xludf.DUMMYFUNCTION("""COMPUTED_VALUE"""),"Annapolis")</f>
        <v>Annapolis</v>
      </c>
      <c r="N1250" s="5" t="str">
        <f ca="1">IFERROR(__xludf.DUMMYFUNCTION("""COMPUTED_VALUE"""),"MD")</f>
        <v>MD</v>
      </c>
      <c r="O1250" s="5" t="str">
        <f ca="1">IFERROR(__xludf.DUMMYFUNCTION("""COMPUTED_VALUE"""),"High")</f>
        <v>High</v>
      </c>
      <c r="P1250" s="5" t="str">
        <f ca="1">IFERROR(__xludf.DUMMYFUNCTION("""COMPUTED_VALUE"""),"Football Field/Track")</f>
        <v>Football Field/Track</v>
      </c>
      <c r="Q1250" s="5" t="str">
        <f ca="1">IFERROR(__xludf.DUMMYFUNCTION("""COMPUTED_VALUE"""),"Outside on School Property")</f>
        <v>Outside on School Property</v>
      </c>
      <c r="R1250" s="5" t="str">
        <f ca="1">IFERROR(__xludf.DUMMYFUNCTION("""COMPUTED_VALUE"""),"No")</f>
        <v>No</v>
      </c>
      <c r="S1250" s="5" t="str">
        <f ca="1">IFERROR(__xludf.DUMMYFUNCTION("""COMPUTED_VALUE"""),"Sport Event")</f>
        <v>Sport Event</v>
      </c>
      <c r="T1250" s="10">
        <f ca="1">IFERROR(__xludf.DUMMYFUNCTION("""COMPUTED_VALUE"""),0.854166666666666)</f>
        <v>0.85416666666666596</v>
      </c>
      <c r="U1250" s="5">
        <f ca="1">IFERROR(__xludf.DUMMYFUNCTION("""COMPUTED_VALUE"""),1)</f>
        <v>1</v>
      </c>
      <c r="V1250" s="5" t="str">
        <f ca="1">IFERROR(__xludf.DUMMYFUNCTION("""COMPUTED_VALUE"""),"Bystander shot in leg during HS football game, student had gun in pocket")</f>
        <v>Bystander shot in leg during HS football game, student had gun in pocket</v>
      </c>
      <c r="W1250"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X1250" s="5" t="str">
        <f ca="1">IFERROR(__xludf.DUMMYFUNCTION("""COMPUTED_VALUE"""),"Accidental")</f>
        <v>Accidental</v>
      </c>
      <c r="Y1250" s="5" t="str">
        <f ca="1">IFERROR(__xludf.DUMMYFUNCTION("""COMPUTED_VALUE"""),"Random Shooting")</f>
        <v>Random Shooting</v>
      </c>
      <c r="Z1250" s="5" t="str">
        <f ca="1">IFERROR(__xludf.DUMMYFUNCTION("""COMPUTED_VALUE"""),"No")</f>
        <v>No</v>
      </c>
      <c r="AA1250" s="5"/>
      <c r="AB1250" s="5" t="str">
        <f ca="1">IFERROR(__xludf.DUMMYFUNCTION("""COMPUTED_VALUE"""),"No")</f>
        <v>No</v>
      </c>
      <c r="AC1250" s="5" t="str">
        <f ca="1">IFERROR(__xludf.DUMMYFUNCTION("""COMPUTED_VALUE"""),"No")</f>
        <v>No</v>
      </c>
      <c r="AD1250" s="5" t="str">
        <f ca="1">IFERROR(__xludf.DUMMYFUNCTION("""COMPUTED_VALUE"""),"No")</f>
        <v>No</v>
      </c>
      <c r="AE1250" s="5" t="str">
        <f ca="1">IFERROR(__xludf.DUMMYFUNCTION("""COMPUTED_VALUE"""),"No")</f>
        <v>No</v>
      </c>
      <c r="AF1250" s="5" t="str">
        <f ca="1">IFERROR(__xludf.DUMMYFUNCTION("""COMPUTED_VALUE"""),"No")</f>
        <v>No</v>
      </c>
      <c r="AG1250" s="5" t="str">
        <f ca="1">IFERROR(__xludf.DUMMYFUNCTION("""COMPUTED_VALUE"""),"No")</f>
        <v>No</v>
      </c>
      <c r="AH1250" s="5"/>
    </row>
    <row r="1251" spans="1:34" ht="12.75">
      <c r="A1251" s="5" t="str">
        <f ca="1">IFERROR(__xludf.DUMMYFUNCTION("""COMPUTED_VALUE"""),"20051027CABIF")</f>
        <v>20051027CABIF</v>
      </c>
      <c r="B1251" s="8">
        <f ca="1">IFERROR(__xludf.DUMMYFUNCTION("""COMPUTED_VALUE"""),38652)</f>
        <v>38652</v>
      </c>
      <c r="C1251" s="5" t="str">
        <f ca="1">IFERROR(__xludf.DUMMYFUNCTION("""COMPUTED_VALUE"""),"Birney Elementary School")</f>
        <v>Birney Elementary School</v>
      </c>
      <c r="D1251" s="5">
        <f ca="1">IFERROR(__xludf.DUMMYFUNCTION("""COMPUTED_VALUE"""),1)</f>
        <v>1</v>
      </c>
      <c r="E1251" s="5">
        <f ca="1">IFERROR(__xludf.DUMMYFUNCTION("""COMPUTED_VALUE"""),0)</f>
        <v>0</v>
      </c>
      <c r="F1251" s="5">
        <f ca="1">IFERROR(__xludf.DUMMYFUNCTION("""COMPUTED_VALUE"""),1)</f>
        <v>1</v>
      </c>
      <c r="G1251" s="5">
        <f ca="1">IFERROR(__xludf.DUMMYFUNCTION("""COMPUTED_VALUE"""),0)</f>
        <v>0</v>
      </c>
      <c r="H1251"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I1251" s="5"/>
      <c r="J1251" s="5"/>
      <c r="K1251" s="5">
        <f ca="1">IFERROR(__xludf.DUMMYFUNCTION("""COMPUTED_VALUE"""),3)</f>
        <v>3</v>
      </c>
      <c r="L1251" s="5" t="str">
        <f ca="1">IFERROR(__xludf.DUMMYFUNCTION("""COMPUTED_VALUE"""),"Fall")</f>
        <v>Fall</v>
      </c>
      <c r="M1251" s="5" t="str">
        <f ca="1">IFERROR(__xludf.DUMMYFUNCTION("""COMPUTED_VALUE"""),"Fresno")</f>
        <v>Fresno</v>
      </c>
      <c r="N1251" s="5" t="str">
        <f ca="1">IFERROR(__xludf.DUMMYFUNCTION("""COMPUTED_VALUE"""),"CA")</f>
        <v>CA</v>
      </c>
      <c r="O1251" s="5" t="str">
        <f ca="1">IFERROR(__xludf.DUMMYFUNCTION("""COMPUTED_VALUE"""),"Elementary")</f>
        <v>Elementary</v>
      </c>
      <c r="P1251" s="5" t="str">
        <f ca="1">IFERROR(__xludf.DUMMYFUNCTION("""COMPUTED_VALUE"""),"Parking Lot")</f>
        <v>Parking Lot</v>
      </c>
      <c r="Q1251" s="5" t="str">
        <f ca="1">IFERROR(__xludf.DUMMYFUNCTION("""COMPUTED_VALUE"""),"Outside on School Property")</f>
        <v>Outside on School Property</v>
      </c>
      <c r="R1251" s="5" t="str">
        <f ca="1">IFERROR(__xludf.DUMMYFUNCTION("""COMPUTED_VALUE"""),"Yes")</f>
        <v>Yes</v>
      </c>
      <c r="S1251" s="5"/>
      <c r="T1251" s="5"/>
      <c r="U1251" s="5">
        <f ca="1">IFERROR(__xludf.DUMMYFUNCTION("""COMPUTED_VALUE"""),1)</f>
        <v>1</v>
      </c>
      <c r="V1251" s="5" t="str">
        <f ca="1">IFERROR(__xludf.DUMMYFUNCTION("""COMPUTED_VALUE"""),"Victim shot in parking lot of elementary school where son attended - gang related")</f>
        <v>Victim shot in parking lot of elementary school where son attended - gang related</v>
      </c>
      <c r="W1251"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X1251" s="5" t="str">
        <f ca="1">IFERROR(__xludf.DUMMYFUNCTION("""COMPUTED_VALUE"""),"Escalation of Dispute")</f>
        <v>Escalation of Dispute</v>
      </c>
      <c r="Y1251" s="5" t="str">
        <f ca="1">IFERROR(__xludf.DUMMYFUNCTION("""COMPUTED_VALUE"""),"Victims Targeted")</f>
        <v>Victims Targeted</v>
      </c>
      <c r="Z1251" s="5" t="str">
        <f ca="1">IFERROR(__xludf.DUMMYFUNCTION("""COMPUTED_VALUE"""),"No")</f>
        <v>No</v>
      </c>
      <c r="AA1251" s="5"/>
      <c r="AB1251" s="5" t="str">
        <f ca="1">IFERROR(__xludf.DUMMYFUNCTION("""COMPUTED_VALUE"""),"No")</f>
        <v>No</v>
      </c>
      <c r="AC1251" s="5" t="str">
        <f ca="1">IFERROR(__xludf.DUMMYFUNCTION("""COMPUTED_VALUE"""),"No")</f>
        <v>No</v>
      </c>
      <c r="AD1251" s="5" t="str">
        <f ca="1">IFERROR(__xludf.DUMMYFUNCTION("""COMPUTED_VALUE"""),"No")</f>
        <v>No</v>
      </c>
      <c r="AE1251" s="5" t="str">
        <f ca="1">IFERROR(__xludf.DUMMYFUNCTION("""COMPUTED_VALUE"""),"No")</f>
        <v>No</v>
      </c>
      <c r="AF1251" s="5" t="str">
        <f ca="1">IFERROR(__xludf.DUMMYFUNCTION("""COMPUTED_VALUE"""),"No")</f>
        <v>No</v>
      </c>
      <c r="AG1251" s="5" t="str">
        <f ca="1">IFERROR(__xludf.DUMMYFUNCTION("""COMPUTED_VALUE"""),"Yes")</f>
        <v>Yes</v>
      </c>
      <c r="AH1251" s="5"/>
    </row>
    <row r="1252" spans="1:34" ht="12.75">
      <c r="A1252" s="5" t="str">
        <f ca="1">IFERROR(__xludf.DUMMYFUNCTION("""COMPUTED_VALUE"""),"20051020MISAS")</f>
        <v>20051020MISAS</v>
      </c>
      <c r="B1252" s="8">
        <f ca="1">IFERROR(__xludf.DUMMYFUNCTION("""COMPUTED_VALUE"""),38645)</f>
        <v>38645</v>
      </c>
      <c r="C1252" s="5" t="str">
        <f ca="1">IFERROR(__xludf.DUMMYFUNCTION("""COMPUTED_VALUE"""),"Saginaw High School")</f>
        <v>Saginaw High School</v>
      </c>
      <c r="D1252" s="5">
        <f ca="1">IFERROR(__xludf.DUMMYFUNCTION("""COMPUTED_VALUE"""),0)</f>
        <v>0</v>
      </c>
      <c r="E1252" s="5">
        <f ca="1">IFERROR(__xludf.DUMMYFUNCTION("""COMPUTED_VALUE"""),1)</f>
        <v>1</v>
      </c>
      <c r="F1252" s="5">
        <f ca="1">IFERROR(__xludf.DUMMYFUNCTION("""COMPUTED_VALUE"""),1)</f>
        <v>1</v>
      </c>
      <c r="G1252" s="5">
        <f ca="1">IFERROR(__xludf.DUMMYFUNCTION("""COMPUTED_VALUE"""),0)</f>
        <v>0</v>
      </c>
      <c r="H1252" s="9" t="str">
        <f ca="1">IFERROR(__xludf.DUMMYFUNCTION("""COMPUTED_VALUE"""),"https://www.michigandaily.com/content/school-shooting-injures-student")</f>
        <v>https://www.michigandaily.com/content/school-shooting-injures-student</v>
      </c>
      <c r="I1252" s="5"/>
      <c r="J1252" s="5"/>
      <c r="K1252" s="5">
        <f ca="1">IFERROR(__xludf.DUMMYFUNCTION("""COMPUTED_VALUE"""),2)</f>
        <v>2</v>
      </c>
      <c r="L1252" s="5" t="str">
        <f ca="1">IFERROR(__xludf.DUMMYFUNCTION("""COMPUTED_VALUE"""),"Fall")</f>
        <v>Fall</v>
      </c>
      <c r="M1252" s="5" t="str">
        <f ca="1">IFERROR(__xludf.DUMMYFUNCTION("""COMPUTED_VALUE"""),"Saginaw")</f>
        <v>Saginaw</v>
      </c>
      <c r="N1252" s="5" t="str">
        <f ca="1">IFERROR(__xludf.DUMMYFUNCTION("""COMPUTED_VALUE"""),"MI")</f>
        <v>MI</v>
      </c>
      <c r="O1252" s="5" t="str">
        <f ca="1">IFERROR(__xludf.DUMMYFUNCTION("""COMPUTED_VALUE"""),"High")</f>
        <v>High</v>
      </c>
      <c r="P1252" s="5" t="str">
        <f ca="1">IFERROR(__xludf.DUMMYFUNCTION("""COMPUTED_VALUE"""),"Office")</f>
        <v>Office</v>
      </c>
      <c r="Q1252" s="5" t="str">
        <f ca="1">IFERROR(__xludf.DUMMYFUNCTION("""COMPUTED_VALUE"""),"Inside School Building")</f>
        <v>Inside School Building</v>
      </c>
      <c r="R1252" s="5" t="str">
        <f ca="1">IFERROR(__xludf.DUMMYFUNCTION("""COMPUTED_VALUE"""),"Yes")</f>
        <v>Yes</v>
      </c>
      <c r="S1252" s="5" t="str">
        <f ca="1">IFERROR(__xludf.DUMMYFUNCTION("""COMPUTED_VALUE"""),"Lunch")</f>
        <v>Lunch</v>
      </c>
      <c r="T1252" s="10">
        <f ca="1">IFERROR(__xludf.DUMMYFUNCTION("""COMPUTED_VALUE"""),0.5)</f>
        <v>0.5</v>
      </c>
      <c r="U1252" s="5">
        <f ca="1">IFERROR(__xludf.DUMMYFUNCTION("""COMPUTED_VALUE"""),1)</f>
        <v>1</v>
      </c>
      <c r="V1252" s="5" t="str">
        <f ca="1">IFERROR(__xludf.DUMMYFUNCTION("""COMPUTED_VALUE"""),"15 year old shooter opened fire in cafeteria striking another student in chest")</f>
        <v>15 year old shooter opened fire in cafeteria striking another student in chest</v>
      </c>
      <c r="W1252"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X1252" s="5" t="str">
        <f ca="1">IFERROR(__xludf.DUMMYFUNCTION("""COMPUTED_VALUE"""),"Escalation of Dispute")</f>
        <v>Escalation of Dispute</v>
      </c>
      <c r="Y1252" s="5" t="str">
        <f ca="1">IFERROR(__xludf.DUMMYFUNCTION("""COMPUTED_VALUE"""),"Victims Targeted")</f>
        <v>Victims Targeted</v>
      </c>
      <c r="Z1252" s="5" t="str">
        <f ca="1">IFERROR(__xludf.DUMMYFUNCTION("""COMPUTED_VALUE"""),"No")</f>
        <v>No</v>
      </c>
      <c r="AA1252" s="5"/>
      <c r="AB1252" s="5" t="str">
        <f ca="1">IFERROR(__xludf.DUMMYFUNCTION("""COMPUTED_VALUE"""),"No")</f>
        <v>No</v>
      </c>
      <c r="AC1252" s="5" t="str">
        <f ca="1">IFERROR(__xludf.DUMMYFUNCTION("""COMPUTED_VALUE"""),"No")</f>
        <v>No</v>
      </c>
      <c r="AD1252" s="5" t="str">
        <f ca="1">IFERROR(__xludf.DUMMYFUNCTION("""COMPUTED_VALUE"""),"No")</f>
        <v>No</v>
      </c>
      <c r="AE1252" s="5"/>
      <c r="AF1252" s="5" t="str">
        <f ca="1">IFERROR(__xludf.DUMMYFUNCTION("""COMPUTED_VALUE"""),"No")</f>
        <v>No</v>
      </c>
      <c r="AG1252" s="5" t="str">
        <f ca="1">IFERROR(__xludf.DUMMYFUNCTION("""COMPUTED_VALUE"""),"Yes")</f>
        <v>Yes</v>
      </c>
      <c r="AH1252" s="5"/>
    </row>
    <row r="1253" spans="1:34" ht="12.75">
      <c r="A1253" s="5" t="str">
        <f ca="1">IFERROR(__xludf.DUMMYFUNCTION("""COMPUTED_VALUE"""),"20051019CASAS")</f>
        <v>20051019CASAS</v>
      </c>
      <c r="B1253" s="8">
        <f ca="1">IFERROR(__xludf.DUMMYFUNCTION("""COMPUTED_VALUE"""),38644)</f>
        <v>38644</v>
      </c>
      <c r="C1253" s="5" t="str">
        <f ca="1">IFERROR(__xludf.DUMMYFUNCTION("""COMPUTED_VALUE"""),"San Gorgonio High School")</f>
        <v>San Gorgonio High School</v>
      </c>
      <c r="D1253" s="5">
        <f ca="1">IFERROR(__xludf.DUMMYFUNCTION("""COMPUTED_VALUE"""),0)</f>
        <v>0</v>
      </c>
      <c r="E1253" s="5">
        <f ca="1">IFERROR(__xludf.DUMMYFUNCTION("""COMPUTED_VALUE"""),1)</f>
        <v>1</v>
      </c>
      <c r="F1253" s="5">
        <f ca="1">IFERROR(__xludf.DUMMYFUNCTION("""COMPUTED_VALUE"""),1)</f>
        <v>1</v>
      </c>
      <c r="G1253" s="5">
        <f ca="1">IFERROR(__xludf.DUMMYFUNCTION("""COMPUTED_VALUE"""),0)</f>
        <v>0</v>
      </c>
      <c r="H1253" s="9" t="str">
        <f ca="1">IFERROR(__xludf.DUMMYFUNCTION("""COMPUTED_VALUE"""),"http://articles.latimes.com/2005/oct/20/local/me-iebrief20")</f>
        <v>http://articles.latimes.com/2005/oct/20/local/me-iebrief20</v>
      </c>
      <c r="I1253" s="5"/>
      <c r="J1253" s="5"/>
      <c r="K1253" s="5">
        <f ca="1">IFERROR(__xludf.DUMMYFUNCTION("""COMPUTED_VALUE"""),2)</f>
        <v>2</v>
      </c>
      <c r="L1253" s="5" t="str">
        <f ca="1">IFERROR(__xludf.DUMMYFUNCTION("""COMPUTED_VALUE"""),"Fall")</f>
        <v>Fall</v>
      </c>
      <c r="M1253" s="5" t="str">
        <f ca="1">IFERROR(__xludf.DUMMYFUNCTION("""COMPUTED_VALUE"""),"San Bernardino")</f>
        <v>San Bernardino</v>
      </c>
      <c r="N1253" s="5" t="str">
        <f ca="1">IFERROR(__xludf.DUMMYFUNCTION("""COMPUTED_VALUE"""),"CA")</f>
        <v>CA</v>
      </c>
      <c r="O1253" s="5" t="str">
        <f ca="1">IFERROR(__xludf.DUMMYFUNCTION("""COMPUTED_VALUE"""),"High")</f>
        <v>High</v>
      </c>
      <c r="P1253" s="5" t="str">
        <f ca="1">IFERROR(__xludf.DUMMYFUNCTION("""COMPUTED_VALUE"""),"Parking Lot")</f>
        <v>Parking Lot</v>
      </c>
      <c r="Q1253" s="5" t="str">
        <f ca="1">IFERROR(__xludf.DUMMYFUNCTION("""COMPUTED_VALUE"""),"Outside on School Property")</f>
        <v>Outside on School Property</v>
      </c>
      <c r="R1253" s="5" t="str">
        <f ca="1">IFERROR(__xludf.DUMMYFUNCTION("""COMPUTED_VALUE"""),"Yes")</f>
        <v>Yes</v>
      </c>
      <c r="S1253" s="5" t="str">
        <f ca="1">IFERROR(__xludf.DUMMYFUNCTION("""COMPUTED_VALUE"""),"School Start")</f>
        <v>School Start</v>
      </c>
      <c r="T1253" s="10">
        <f ca="1">IFERROR(__xludf.DUMMYFUNCTION("""COMPUTED_VALUE"""),0.319444444444444)</f>
        <v>0.31944444444444398</v>
      </c>
      <c r="U1253" s="5">
        <f ca="1">IFERROR(__xludf.DUMMYFUNCTION("""COMPUTED_VALUE"""),1)</f>
        <v>1</v>
      </c>
      <c r="V1253" s="5" t="str">
        <f ca="1">IFERROR(__xludf.DUMMYFUNCTION("""COMPUTED_VALUE"""),"Student shot in school parking lot as part of Ongoing conflict")</f>
        <v>Student shot in school parking lot as part of Ongoing conflict</v>
      </c>
      <c r="W1253"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X1253" s="5" t="str">
        <f ca="1">IFERROR(__xludf.DUMMYFUNCTION("""COMPUTED_VALUE"""),"Escalation of Dispute")</f>
        <v>Escalation of Dispute</v>
      </c>
      <c r="Y1253" s="5" t="str">
        <f ca="1">IFERROR(__xludf.DUMMYFUNCTION("""COMPUTED_VALUE"""),"Victims Targeted")</f>
        <v>Victims Targeted</v>
      </c>
      <c r="Z1253" s="5" t="str">
        <f ca="1">IFERROR(__xludf.DUMMYFUNCTION("""COMPUTED_VALUE"""),"Yes")</f>
        <v>Yes</v>
      </c>
      <c r="AA1253" s="5" t="str">
        <f ca="1">IFERROR(__xludf.DUMMYFUNCTION("""COMPUTED_VALUE"""),"Driven by Keith Deon Taylor (19YOM)")</f>
        <v>Driven by Keith Deon Taylor (19YOM)</v>
      </c>
      <c r="AB1253" s="5" t="str">
        <f ca="1">IFERROR(__xludf.DUMMYFUNCTION("""COMPUTED_VALUE"""),"No")</f>
        <v>No</v>
      </c>
      <c r="AC1253" s="5" t="str">
        <f ca="1">IFERROR(__xludf.DUMMYFUNCTION("""COMPUTED_VALUE"""),"No")</f>
        <v>No</v>
      </c>
      <c r="AD1253" s="5" t="str">
        <f ca="1">IFERROR(__xludf.DUMMYFUNCTION("""COMPUTED_VALUE"""),"No")</f>
        <v>No</v>
      </c>
      <c r="AE1253" s="5" t="str">
        <f ca="1">IFERROR(__xludf.DUMMYFUNCTION("""COMPUTED_VALUE"""),"No")</f>
        <v>No</v>
      </c>
      <c r="AF1253" s="5" t="str">
        <f ca="1">IFERROR(__xludf.DUMMYFUNCTION("""COMPUTED_VALUE"""),"No")</f>
        <v>No</v>
      </c>
      <c r="AG1253" s="5" t="str">
        <f ca="1">IFERROR(__xludf.DUMMYFUNCTION("""COMPUTED_VALUE"""),"No")</f>
        <v>No</v>
      </c>
      <c r="AH1253" s="5"/>
    </row>
    <row r="1254" spans="1:34" ht="12.75">
      <c r="A1254" s="5" t="str">
        <f ca="1">IFERROR(__xludf.DUMMYFUNCTION("""COMPUTED_VALUE"""),"20051014NYSAN")</f>
        <v>20051014NYSAN</v>
      </c>
      <c r="B1254" s="8">
        <f ca="1">IFERROR(__xludf.DUMMYFUNCTION("""COMPUTED_VALUE"""),38639)</f>
        <v>38639</v>
      </c>
      <c r="C1254" s="5" t="str">
        <f ca="1">IFERROR(__xludf.DUMMYFUNCTION("""COMPUTED_VALUE"""),"Samula Tilden High School")</f>
        <v>Samula Tilden High School</v>
      </c>
      <c r="D1254" s="5">
        <f ca="1">IFERROR(__xludf.DUMMYFUNCTION("""COMPUTED_VALUE"""),0)</f>
        <v>0</v>
      </c>
      <c r="E1254" s="5">
        <f ca="1">IFERROR(__xludf.DUMMYFUNCTION("""COMPUTED_VALUE"""),1)</f>
        <v>1</v>
      </c>
      <c r="F1254" s="5">
        <f ca="1">IFERROR(__xludf.DUMMYFUNCTION("""COMPUTED_VALUE"""),1)</f>
        <v>1</v>
      </c>
      <c r="G1254" s="5">
        <f ca="1">IFERROR(__xludf.DUMMYFUNCTION("""COMPUTED_VALUE"""),0)</f>
        <v>0</v>
      </c>
      <c r="H1254" s="9" t="str">
        <f ca="1">IFERROR(__xludf.DUMMYFUNCTION("""COMPUTED_VALUE"""),"https://nypost.com/2005/10/15/teen-shot-in-hs-madness-leg-hurt-by-punk-at-school/")</f>
        <v>https://nypost.com/2005/10/15/teen-shot-in-hs-madness-leg-hurt-by-punk-at-school/</v>
      </c>
      <c r="I1254" s="5"/>
      <c r="J1254" s="5"/>
      <c r="K1254" s="5">
        <f ca="1">IFERROR(__xludf.DUMMYFUNCTION("""COMPUTED_VALUE"""),2)</f>
        <v>2</v>
      </c>
      <c r="L1254" s="5" t="str">
        <f ca="1">IFERROR(__xludf.DUMMYFUNCTION("""COMPUTED_VALUE"""),"Fall")</f>
        <v>Fall</v>
      </c>
      <c r="M1254" s="5" t="str">
        <f ca="1">IFERROR(__xludf.DUMMYFUNCTION("""COMPUTED_VALUE"""),"New York")</f>
        <v>New York</v>
      </c>
      <c r="N1254" s="5" t="str">
        <f ca="1">IFERROR(__xludf.DUMMYFUNCTION("""COMPUTED_VALUE"""),"NY")</f>
        <v>NY</v>
      </c>
      <c r="O1254" s="5" t="str">
        <f ca="1">IFERROR(__xludf.DUMMYFUNCTION("""COMPUTED_VALUE"""),"High")</f>
        <v>High</v>
      </c>
      <c r="P1254" s="5" t="str">
        <f ca="1">IFERROR(__xludf.DUMMYFUNCTION("""COMPUTED_VALUE"""),"Beside Building")</f>
        <v>Beside Building</v>
      </c>
      <c r="Q1254" s="5" t="str">
        <f ca="1">IFERROR(__xludf.DUMMYFUNCTION("""COMPUTED_VALUE"""),"Outside on School Property")</f>
        <v>Outside on School Property</v>
      </c>
      <c r="R1254" s="5" t="str">
        <f ca="1">IFERROR(__xludf.DUMMYFUNCTION("""COMPUTED_VALUE"""),"Yes")</f>
        <v>Yes</v>
      </c>
      <c r="S1254" s="5" t="str">
        <f ca="1">IFERROR(__xludf.DUMMYFUNCTION("""COMPUTED_VALUE"""),"Morning Classes")</f>
        <v>Morning Classes</v>
      </c>
      <c r="T1254" s="10">
        <f ca="1">IFERROR(__xludf.DUMMYFUNCTION("""COMPUTED_VALUE"""),0.385416666666666)</f>
        <v>0.38541666666666602</v>
      </c>
      <c r="U1254" s="5">
        <f ca="1">IFERROR(__xludf.DUMMYFUNCTION("""COMPUTED_VALUE"""),1)</f>
        <v>1</v>
      </c>
      <c r="V1254" s="5" t="str">
        <f ca="1">IFERROR(__xludf.DUMMYFUNCTION("""COMPUTED_VALUE"""),"Student shot during fight with 6 other students")</f>
        <v>Student shot during fight with 6 other students</v>
      </c>
      <c r="W1254"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X1254" s="5" t="str">
        <f ca="1">IFERROR(__xludf.DUMMYFUNCTION("""COMPUTED_VALUE"""),"Escalation of Dispute")</f>
        <v>Escalation of Dispute</v>
      </c>
      <c r="Y1254" s="5" t="str">
        <f ca="1">IFERROR(__xludf.DUMMYFUNCTION("""COMPUTED_VALUE"""),"Victims Targeted")</f>
        <v>Victims Targeted</v>
      </c>
      <c r="Z1254" s="5" t="str">
        <f ca="1">IFERROR(__xludf.DUMMYFUNCTION("""COMPUTED_VALUE"""),"Yes")</f>
        <v>Yes</v>
      </c>
      <c r="AA1254" s="5" t="str">
        <f ca="1">IFERROR(__xludf.DUMMYFUNCTION("""COMPUTED_VALUE"""),"Group of 6 students")</f>
        <v>Group of 6 students</v>
      </c>
      <c r="AB1254" s="5" t="str">
        <f ca="1">IFERROR(__xludf.DUMMYFUNCTION("""COMPUTED_VALUE"""),"No")</f>
        <v>No</v>
      </c>
      <c r="AC1254" s="5" t="str">
        <f ca="1">IFERROR(__xludf.DUMMYFUNCTION("""COMPUTED_VALUE"""),"No")</f>
        <v>No</v>
      </c>
      <c r="AD1254" s="5" t="str">
        <f ca="1">IFERROR(__xludf.DUMMYFUNCTION("""COMPUTED_VALUE"""),"No")</f>
        <v>No</v>
      </c>
      <c r="AE1254" s="5" t="str">
        <f ca="1">IFERROR(__xludf.DUMMYFUNCTION("""COMPUTED_VALUE"""),"No")</f>
        <v>No</v>
      </c>
      <c r="AF1254" s="5" t="str">
        <f ca="1">IFERROR(__xludf.DUMMYFUNCTION("""COMPUTED_VALUE"""),"No")</f>
        <v>No</v>
      </c>
      <c r="AG1254" s="5" t="str">
        <f ca="1">IFERROR(__xludf.DUMMYFUNCTION("""COMPUTED_VALUE"""),"No")</f>
        <v>No</v>
      </c>
      <c r="AH1254" s="5"/>
    </row>
    <row r="1255" spans="1:34" ht="12.75">
      <c r="A1255" s="5" t="str">
        <f ca="1">IFERROR(__xludf.DUMMYFUNCTION("""COMPUTED_VALUE"""),"20051011MIFAF")</f>
        <v>20051011MIFAF</v>
      </c>
      <c r="B1255" s="8">
        <f ca="1">IFERROR(__xludf.DUMMYFUNCTION("""COMPUTED_VALUE"""),38636)</f>
        <v>38636</v>
      </c>
      <c r="C1255" s="5" t="str">
        <f ca="1">IFERROR(__xludf.DUMMYFUNCTION("""COMPUTED_VALUE"""),"Farmington High School")</f>
        <v>Farmington High School</v>
      </c>
      <c r="D1255" s="5">
        <f ca="1">IFERROR(__xludf.DUMMYFUNCTION("""COMPUTED_VALUE"""),0)</f>
        <v>0</v>
      </c>
      <c r="E1255" s="5">
        <f ca="1">IFERROR(__xludf.DUMMYFUNCTION("""COMPUTED_VALUE"""),0)</f>
        <v>0</v>
      </c>
      <c r="F1255" s="5">
        <f ca="1">IFERROR(__xludf.DUMMYFUNCTION("""COMPUTED_VALUE"""),0)</f>
        <v>0</v>
      </c>
      <c r="G1255" s="5">
        <f ca="1">IFERROR(__xludf.DUMMYFUNCTION("""COMPUTED_VALUE"""),0)</f>
        <v>0</v>
      </c>
      <c r="H1255"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I1255" s="5"/>
      <c r="J1255" s="5"/>
      <c r="K1255" s="5">
        <f ca="1">IFERROR(__xludf.DUMMYFUNCTION("""COMPUTED_VALUE"""),2)</f>
        <v>2</v>
      </c>
      <c r="L1255" s="5" t="str">
        <f ca="1">IFERROR(__xludf.DUMMYFUNCTION("""COMPUTED_VALUE"""),"Fall")</f>
        <v>Fall</v>
      </c>
      <c r="M1255" s="5" t="str">
        <f ca="1">IFERROR(__xludf.DUMMYFUNCTION("""COMPUTED_VALUE"""),"Farmington")</f>
        <v>Farmington</v>
      </c>
      <c r="N1255" s="5" t="str">
        <f ca="1">IFERROR(__xludf.DUMMYFUNCTION("""COMPUTED_VALUE"""),"MI")</f>
        <v>MI</v>
      </c>
      <c r="O1255" s="5" t="str">
        <f ca="1">IFERROR(__xludf.DUMMYFUNCTION("""COMPUTED_VALUE"""),"High")</f>
        <v>High</v>
      </c>
      <c r="P1255" s="5" t="str">
        <f ca="1">IFERROR(__xludf.DUMMYFUNCTION("""COMPUTED_VALUE"""),"Bathroom")</f>
        <v>Bathroom</v>
      </c>
      <c r="Q1255" s="5" t="str">
        <f ca="1">IFERROR(__xludf.DUMMYFUNCTION("""COMPUTED_VALUE"""),"Inside School Building")</f>
        <v>Inside School Building</v>
      </c>
      <c r="R1255" s="5" t="str">
        <f ca="1">IFERROR(__xludf.DUMMYFUNCTION("""COMPUTED_VALUE"""),"Yes")</f>
        <v>Yes</v>
      </c>
      <c r="S1255" s="5" t="str">
        <f ca="1">IFERROR(__xludf.DUMMYFUNCTION("""COMPUTED_VALUE"""),"School Start")</f>
        <v>School Start</v>
      </c>
      <c r="T1255" s="10">
        <f ca="1">IFERROR(__xludf.DUMMYFUNCTION("""COMPUTED_VALUE"""),0.333333333333333)</f>
        <v>0.33333333333333298</v>
      </c>
      <c r="U1255" s="5">
        <f ca="1">IFERROR(__xludf.DUMMYFUNCTION("""COMPUTED_VALUE"""),1)</f>
        <v>1</v>
      </c>
      <c r="V1255" s="5" t="str">
        <f ca="1">IFERROR(__xludf.DUMMYFUNCTION("""COMPUTED_VALUE"""),"Fired shot into ceiling then surrendered to school administrator")</f>
        <v>Fired shot into ceiling then surrendered to school administrator</v>
      </c>
      <c r="W1255"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X1255" s="5" t="str">
        <f ca="1">IFERROR(__xludf.DUMMYFUNCTION("""COMPUTED_VALUE"""),"Psychosis")</f>
        <v>Psychosis</v>
      </c>
      <c r="Y1255" s="5" t="str">
        <f ca="1">IFERROR(__xludf.DUMMYFUNCTION("""COMPUTED_VALUE"""),"Neither")</f>
        <v>Neither</v>
      </c>
      <c r="Z1255" s="5" t="str">
        <f ca="1">IFERROR(__xludf.DUMMYFUNCTION("""COMPUTED_VALUE"""),"No")</f>
        <v>No</v>
      </c>
      <c r="AA1255" s="5"/>
      <c r="AB1255" s="5" t="str">
        <f ca="1">IFERROR(__xludf.DUMMYFUNCTION("""COMPUTED_VALUE"""),"No")</f>
        <v>No</v>
      </c>
      <c r="AC1255" s="5" t="str">
        <f ca="1">IFERROR(__xludf.DUMMYFUNCTION("""COMPUTED_VALUE"""),"No")</f>
        <v>No</v>
      </c>
      <c r="AD1255" s="5" t="str">
        <f ca="1">IFERROR(__xludf.DUMMYFUNCTION("""COMPUTED_VALUE"""),"No")</f>
        <v>No</v>
      </c>
      <c r="AE1255" s="5"/>
      <c r="AF1255" s="5"/>
      <c r="AG1255" s="5" t="str">
        <f ca="1">IFERROR(__xludf.DUMMYFUNCTION("""COMPUTED_VALUE"""),"No")</f>
        <v>No</v>
      </c>
      <c r="AH1255" s="5" t="str">
        <f ca="1">IFERROR(__xludf.DUMMYFUNCTION("""COMPUTED_VALUE"""),"Yes")</f>
        <v>Yes</v>
      </c>
    </row>
    <row r="1256" spans="1:34" ht="12.75">
      <c r="A1256" s="5" t="str">
        <f ca="1">IFERROR(__xludf.DUMMYFUNCTION("""COMPUTED_VALUE"""),"20050924MISAS")</f>
        <v>20050924MISAS</v>
      </c>
      <c r="B1256" s="8">
        <f ca="1">IFERROR(__xludf.DUMMYFUNCTION("""COMPUTED_VALUE"""),38619)</f>
        <v>38619</v>
      </c>
      <c r="C1256" s="5" t="str">
        <f ca="1">IFERROR(__xludf.DUMMYFUNCTION("""COMPUTED_VALUE"""),"Saginaw High School")</f>
        <v>Saginaw High School</v>
      </c>
      <c r="D1256" s="5">
        <f ca="1">IFERROR(__xludf.DUMMYFUNCTION("""COMPUTED_VALUE"""),0)</f>
        <v>0</v>
      </c>
      <c r="E1256" s="5">
        <f ca="1">IFERROR(__xludf.DUMMYFUNCTION("""COMPUTED_VALUE"""),2)</f>
        <v>2</v>
      </c>
      <c r="F1256" s="5">
        <f ca="1">IFERROR(__xludf.DUMMYFUNCTION("""COMPUTED_VALUE"""),2)</f>
        <v>2</v>
      </c>
      <c r="G1256" s="5">
        <f ca="1">IFERROR(__xludf.DUMMYFUNCTION("""COMPUTED_VALUE"""),0)</f>
        <v>0</v>
      </c>
      <c r="H1256" s="9" t="str">
        <f ca="1">IFERROR(__xludf.DUMMYFUNCTION("""COMPUTED_VALUE"""),"https://www.newspapers.com/image/442838812/?terms=SAGINAW%2BDRIVE-BY%2BSHOOTING")</f>
        <v>https://www.newspapers.com/image/442838812/?terms=SAGINAW%2BDRIVE-BY%2BSHOOTING</v>
      </c>
      <c r="I1256" s="5"/>
      <c r="J1256" s="5"/>
      <c r="K1256" s="5">
        <f ca="1">IFERROR(__xludf.DUMMYFUNCTION("""COMPUTED_VALUE"""),2)</f>
        <v>2</v>
      </c>
      <c r="L1256" s="5" t="str">
        <f ca="1">IFERROR(__xludf.DUMMYFUNCTION("""COMPUTED_VALUE"""),"Fall")</f>
        <v>Fall</v>
      </c>
      <c r="M1256" s="5" t="str">
        <f ca="1">IFERROR(__xludf.DUMMYFUNCTION("""COMPUTED_VALUE"""),"Saginaw")</f>
        <v>Saginaw</v>
      </c>
      <c r="N1256" s="5" t="str">
        <f ca="1">IFERROR(__xludf.DUMMYFUNCTION("""COMPUTED_VALUE"""),"MI")</f>
        <v>MI</v>
      </c>
      <c r="O1256" s="5" t="str">
        <f ca="1">IFERROR(__xludf.DUMMYFUNCTION("""COMPUTED_VALUE"""),"High")</f>
        <v>High</v>
      </c>
      <c r="P1256" s="5" t="str">
        <f ca="1">IFERROR(__xludf.DUMMYFUNCTION("""COMPUTED_VALUE"""),"Beside Building")</f>
        <v>Beside Building</v>
      </c>
      <c r="Q1256" s="5" t="str">
        <f ca="1">IFERROR(__xludf.DUMMYFUNCTION("""COMPUTED_VALUE"""),"Outside on School Property")</f>
        <v>Outside on School Property</v>
      </c>
      <c r="R1256" s="5" t="str">
        <f ca="1">IFERROR(__xludf.DUMMYFUNCTION("""COMPUTED_VALUE"""),"No")</f>
        <v>No</v>
      </c>
      <c r="S1256" s="5" t="str">
        <f ca="1">IFERROR(__xludf.DUMMYFUNCTION("""COMPUTED_VALUE"""),"School Event")</f>
        <v>School Event</v>
      </c>
      <c r="T1256" s="10">
        <f ca="1">IFERROR(__xludf.DUMMYFUNCTION("""COMPUTED_VALUE"""),0.979166666666666)</f>
        <v>0.97916666666666596</v>
      </c>
      <c r="U1256" s="5">
        <f ca="1">IFERROR(__xludf.DUMMYFUNCTION("""COMPUTED_VALUE"""),1)</f>
        <v>1</v>
      </c>
      <c r="V1256" s="5" t="str">
        <f ca="1">IFERROR(__xludf.DUMMYFUNCTION("""COMPUTED_VALUE"""),"Drive-by shooting. Possible feud or gang escalation")</f>
        <v>Drive-by shooting. Possible feud or gang escalation</v>
      </c>
      <c r="W1256"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X1256" s="5" t="str">
        <f ca="1">IFERROR(__xludf.DUMMYFUNCTION("""COMPUTED_VALUE"""),"Drive-by Shooting")</f>
        <v>Drive-by Shooting</v>
      </c>
      <c r="Y1256" s="5"/>
      <c r="Z1256" s="5" t="str">
        <f ca="1">IFERROR(__xludf.DUMMYFUNCTION("""COMPUTED_VALUE"""),"No")</f>
        <v>No</v>
      </c>
      <c r="AA1256" s="5"/>
      <c r="AB1256" s="5" t="str">
        <f ca="1">IFERROR(__xludf.DUMMYFUNCTION("""COMPUTED_VALUE"""),"No")</f>
        <v>No</v>
      </c>
      <c r="AC1256" s="5" t="str">
        <f ca="1">IFERROR(__xludf.DUMMYFUNCTION("""COMPUTED_VALUE"""),"No")</f>
        <v>No</v>
      </c>
      <c r="AD1256" s="5" t="str">
        <f ca="1">IFERROR(__xludf.DUMMYFUNCTION("""COMPUTED_VALUE"""),"No")</f>
        <v>No</v>
      </c>
      <c r="AE1256" s="5" t="str">
        <f ca="1">IFERROR(__xludf.DUMMYFUNCTION("""COMPUTED_VALUE"""),"No")</f>
        <v>No</v>
      </c>
      <c r="AF1256" s="5" t="str">
        <f ca="1">IFERROR(__xludf.DUMMYFUNCTION("""COMPUTED_VALUE"""),"No")</f>
        <v>No</v>
      </c>
      <c r="AG1256" s="5" t="str">
        <f ca="1">IFERROR(__xludf.DUMMYFUNCTION("""COMPUTED_VALUE"""),"Yes")</f>
        <v>Yes</v>
      </c>
      <c r="AH1256" s="5"/>
    </row>
    <row r="1257" spans="1:34" ht="12.75">
      <c r="A1257" s="5" t="str">
        <f ca="1">IFERROR(__xludf.DUMMYFUNCTION("""COMPUTED_VALUE"""),"20050913ILHAC")</f>
        <v>20050913ILHAC</v>
      </c>
      <c r="B1257" s="8">
        <f ca="1">IFERROR(__xludf.DUMMYFUNCTION("""COMPUTED_VALUE"""),38608)</f>
        <v>38608</v>
      </c>
      <c r="C1257" s="5" t="str">
        <f ca="1">IFERROR(__xludf.DUMMYFUNCTION("""COMPUTED_VALUE"""),"Harlan Community Academy High School")</f>
        <v>Harlan Community Academy High School</v>
      </c>
      <c r="D1257" s="5">
        <f ca="1">IFERROR(__xludf.DUMMYFUNCTION("""COMPUTED_VALUE"""),0)</f>
        <v>0</v>
      </c>
      <c r="E1257" s="5">
        <f ca="1">IFERROR(__xludf.DUMMYFUNCTION("""COMPUTED_VALUE"""),1)</f>
        <v>1</v>
      </c>
      <c r="F1257" s="5">
        <f ca="1">IFERROR(__xludf.DUMMYFUNCTION("""COMPUTED_VALUE"""),1)</f>
        <v>1</v>
      </c>
      <c r="G1257" s="5">
        <f ca="1">IFERROR(__xludf.DUMMYFUNCTION("""COMPUTED_VALUE"""),0)</f>
        <v>0</v>
      </c>
      <c r="H1257" s="9" t="str">
        <f ca="1">IFERROR(__xludf.DUMMYFUNCTION("""COMPUTED_VALUE"""),"http://articles.chicagotribune.com/2005-09-14/news/0509140261_1_student-chicago-public-schools-initial-fight")</f>
        <v>http://articles.chicagotribune.com/2005-09-14/news/0509140261_1_student-chicago-public-schools-initial-fight</v>
      </c>
      <c r="I1257" s="5"/>
      <c r="J1257" s="5"/>
      <c r="K1257" s="5">
        <f ca="1">IFERROR(__xludf.DUMMYFUNCTION("""COMPUTED_VALUE"""),2)</f>
        <v>2</v>
      </c>
      <c r="L1257" s="5" t="str">
        <f ca="1">IFERROR(__xludf.DUMMYFUNCTION("""COMPUTED_VALUE"""),"Fall")</f>
        <v>Fall</v>
      </c>
      <c r="M1257" s="5" t="str">
        <f ca="1">IFERROR(__xludf.DUMMYFUNCTION("""COMPUTED_VALUE"""),"Chicago")</f>
        <v>Chicago</v>
      </c>
      <c r="N1257" s="5" t="str">
        <f ca="1">IFERROR(__xludf.DUMMYFUNCTION("""COMPUTED_VALUE"""),"IL")</f>
        <v>IL</v>
      </c>
      <c r="O1257" s="5" t="str">
        <f ca="1">IFERROR(__xludf.DUMMYFUNCTION("""COMPUTED_VALUE"""),"High")</f>
        <v>High</v>
      </c>
      <c r="P1257" s="5" t="str">
        <f ca="1">IFERROR(__xludf.DUMMYFUNCTION("""COMPUTED_VALUE"""),"Hallway")</f>
        <v>Hallway</v>
      </c>
      <c r="Q1257" s="5" t="str">
        <f ca="1">IFERROR(__xludf.DUMMYFUNCTION("""COMPUTED_VALUE"""),"Inside School Building")</f>
        <v>Inside School Building</v>
      </c>
      <c r="R1257" s="5" t="str">
        <f ca="1">IFERROR(__xludf.DUMMYFUNCTION("""COMPUTED_VALUE"""),"Yes")</f>
        <v>Yes</v>
      </c>
      <c r="S1257" s="5" t="str">
        <f ca="1">IFERROR(__xludf.DUMMYFUNCTION("""COMPUTED_VALUE"""),"Dismissal")</f>
        <v>Dismissal</v>
      </c>
      <c r="T1257" s="10">
        <f ca="1">IFERROR(__xludf.DUMMYFUNCTION("""COMPUTED_VALUE"""),0.597222222222222)</f>
        <v>0.59722222222222199</v>
      </c>
      <c r="U1257" s="5">
        <f ca="1">IFERROR(__xludf.DUMMYFUNCTION("""COMPUTED_VALUE"""),1)</f>
        <v>1</v>
      </c>
      <c r="V1257" s="5" t="str">
        <f ca="1">IFERROR(__xludf.DUMMYFUNCTION("""COMPUTED_VALUE"""),"Fight involving multiple students at end of day")</f>
        <v>Fight involving multiple students at end of day</v>
      </c>
      <c r="W1257"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X1257" s="5" t="str">
        <f ca="1">IFERROR(__xludf.DUMMYFUNCTION("""COMPUTED_VALUE"""),"Escalation of Dispute")</f>
        <v>Escalation of Dispute</v>
      </c>
      <c r="Y1257" s="5" t="str">
        <f ca="1">IFERROR(__xludf.DUMMYFUNCTION("""COMPUTED_VALUE"""),"Victims Targeted")</f>
        <v>Victims Targeted</v>
      </c>
      <c r="Z1257" s="5" t="str">
        <f ca="1">IFERROR(__xludf.DUMMYFUNCTION("""COMPUTED_VALUE"""),"No")</f>
        <v>No</v>
      </c>
      <c r="AA1257" s="5"/>
      <c r="AB1257" s="5" t="str">
        <f ca="1">IFERROR(__xludf.DUMMYFUNCTION("""COMPUTED_VALUE"""),"No")</f>
        <v>No</v>
      </c>
      <c r="AC1257" s="5" t="str">
        <f ca="1">IFERROR(__xludf.DUMMYFUNCTION("""COMPUTED_VALUE"""),"No")</f>
        <v>No</v>
      </c>
      <c r="AD1257" s="5" t="str">
        <f ca="1">IFERROR(__xludf.DUMMYFUNCTION("""COMPUTED_VALUE"""),"No")</f>
        <v>No</v>
      </c>
      <c r="AE1257" s="5"/>
      <c r="AF1257" s="5" t="str">
        <f ca="1">IFERROR(__xludf.DUMMYFUNCTION("""COMPUTED_VALUE"""),"No")</f>
        <v>No</v>
      </c>
      <c r="AG1257" s="5" t="str">
        <f ca="1">IFERROR(__xludf.DUMMYFUNCTION("""COMPUTED_VALUE"""),"No")</f>
        <v>No</v>
      </c>
      <c r="AH1257" s="5"/>
    </row>
    <row r="1258" spans="1:34" ht="12.75">
      <c r="A1258" s="5" t="str">
        <f ca="1">IFERROR(__xludf.DUMMYFUNCTION("""COMPUTED_VALUE"""),"20050902FLSOJ")</f>
        <v>20050902FLSOJ</v>
      </c>
      <c r="B1258" s="8">
        <f ca="1">IFERROR(__xludf.DUMMYFUNCTION("""COMPUTED_VALUE"""),38597)</f>
        <v>38597</v>
      </c>
      <c r="C1258" s="5" t="str">
        <f ca="1">IFERROR(__xludf.DUMMYFUNCTION("""COMPUTED_VALUE"""),"Sojourner Truth High School")</f>
        <v>Sojourner Truth High School</v>
      </c>
      <c r="D1258" s="5">
        <f ca="1">IFERROR(__xludf.DUMMYFUNCTION("""COMPUTED_VALUE"""),0)</f>
        <v>0</v>
      </c>
      <c r="E1258" s="5">
        <f ca="1">IFERROR(__xludf.DUMMYFUNCTION("""COMPUTED_VALUE"""),1)</f>
        <v>1</v>
      </c>
      <c r="F1258" s="5">
        <f ca="1">IFERROR(__xludf.DUMMYFUNCTION("""COMPUTED_VALUE"""),1)</f>
        <v>1</v>
      </c>
      <c r="G1258" s="5">
        <f ca="1">IFERROR(__xludf.DUMMYFUNCTION("""COMPUTED_VALUE"""),0)</f>
        <v>0</v>
      </c>
      <c r="H1258" s="9" t="str">
        <f ca="1">IFERROR(__xludf.DUMMYFUNCTION("""COMPUTED_VALUE"""),"https://www.questia.com/newspaper/1G1-136174022/student-shot-at-school-police-say-the-shooting-was")</f>
        <v>https://www.questia.com/newspaper/1G1-136174022/student-shot-at-school-police-say-the-shooting-was</v>
      </c>
      <c r="I1258" s="5"/>
      <c r="J1258" s="5"/>
      <c r="K1258" s="5">
        <f ca="1">IFERROR(__xludf.DUMMYFUNCTION("""COMPUTED_VALUE"""),2)</f>
        <v>2</v>
      </c>
      <c r="L1258" s="5" t="str">
        <f ca="1">IFERROR(__xludf.DUMMYFUNCTION("""COMPUTED_VALUE"""),"Fall")</f>
        <v>Fall</v>
      </c>
      <c r="M1258" s="5" t="str">
        <f ca="1">IFERROR(__xludf.DUMMYFUNCTION("""COMPUTED_VALUE"""),"Jacksonville")</f>
        <v>Jacksonville</v>
      </c>
      <c r="N1258" s="5" t="str">
        <f ca="1">IFERROR(__xludf.DUMMYFUNCTION("""COMPUTED_VALUE"""),"FL")</f>
        <v>FL</v>
      </c>
      <c r="O1258" s="5" t="str">
        <f ca="1">IFERROR(__xludf.DUMMYFUNCTION("""COMPUTED_VALUE"""),"High")</f>
        <v>High</v>
      </c>
      <c r="P1258" s="5" t="str">
        <f ca="1">IFERROR(__xludf.DUMMYFUNCTION("""COMPUTED_VALUE"""),"Beside Building")</f>
        <v>Beside Building</v>
      </c>
      <c r="Q1258" s="5" t="str">
        <f ca="1">IFERROR(__xludf.DUMMYFUNCTION("""COMPUTED_VALUE"""),"Outside on School Property")</f>
        <v>Outside on School Property</v>
      </c>
      <c r="R1258" s="5" t="str">
        <f ca="1">IFERROR(__xludf.DUMMYFUNCTION("""COMPUTED_VALUE"""),"Yes")</f>
        <v>Yes</v>
      </c>
      <c r="S1258" s="5" t="str">
        <f ca="1">IFERROR(__xludf.DUMMYFUNCTION("""COMPUTED_VALUE"""),"Dismissal")</f>
        <v>Dismissal</v>
      </c>
      <c r="T1258" s="10">
        <f ca="1">IFERROR(__xludf.DUMMYFUNCTION("""COMPUTED_VALUE"""),0.534722222222222)</f>
        <v>0.53472222222222199</v>
      </c>
      <c r="U1258" s="5">
        <f ca="1">IFERROR(__xludf.DUMMYFUNCTION("""COMPUTED_VALUE"""),1)</f>
        <v>1</v>
      </c>
      <c r="V1258" s="5" t="str">
        <f ca="1">IFERROR(__xludf.DUMMYFUNCTION("""COMPUTED_VALUE"""),"Shooting stemmed from misunderstanding over a girl")</f>
        <v>Shooting stemmed from misunderstanding over a girl</v>
      </c>
      <c r="W1258" s="5" t="str">
        <f ca="1">IFERROR(__xludf.DUMMYFUNCTION("""COMPUTED_VALUE"""),"Victim was shot in stomach during early dismissal. Shooter - 21 year old non student shot victim due to girl")</f>
        <v>Victim was shot in stomach during early dismissal. Shooter - 21 year old non student shot victim due to girl</v>
      </c>
      <c r="X1258" s="5" t="str">
        <f ca="1">IFERROR(__xludf.DUMMYFUNCTION("""COMPUTED_VALUE"""),"Escalation of Dispute")</f>
        <v>Escalation of Dispute</v>
      </c>
      <c r="Y1258" s="5" t="str">
        <f ca="1">IFERROR(__xludf.DUMMYFUNCTION("""COMPUTED_VALUE"""),"Victims Targeted")</f>
        <v>Victims Targeted</v>
      </c>
      <c r="Z1258" s="5" t="str">
        <f ca="1">IFERROR(__xludf.DUMMYFUNCTION("""COMPUTED_VALUE"""),"Yes")</f>
        <v>Yes</v>
      </c>
      <c r="AA1258" s="5" t="str">
        <f ca="1">IFERROR(__xludf.DUMMYFUNCTION("""COMPUTED_VALUE"""),"Group of 4")</f>
        <v>Group of 4</v>
      </c>
      <c r="AB1258" s="5" t="str">
        <f ca="1">IFERROR(__xludf.DUMMYFUNCTION("""COMPUTED_VALUE"""),"No")</f>
        <v>No</v>
      </c>
      <c r="AC1258" s="5" t="str">
        <f ca="1">IFERROR(__xludf.DUMMYFUNCTION("""COMPUTED_VALUE"""),"No")</f>
        <v>No</v>
      </c>
      <c r="AD1258" s="5" t="str">
        <f ca="1">IFERROR(__xludf.DUMMYFUNCTION("""COMPUTED_VALUE"""),"No")</f>
        <v>No</v>
      </c>
      <c r="AE1258" s="5"/>
      <c r="AF1258" s="5" t="str">
        <f ca="1">IFERROR(__xludf.DUMMYFUNCTION("""COMPUTED_VALUE"""),"No")</f>
        <v>No</v>
      </c>
      <c r="AG1258" s="5" t="str">
        <f ca="1">IFERROR(__xludf.DUMMYFUNCTION("""COMPUTED_VALUE"""),"No")</f>
        <v>No</v>
      </c>
      <c r="AH1258" s="5"/>
    </row>
    <row r="1259" spans="1:34" ht="12.75">
      <c r="A1259" s="5" t="str">
        <f ca="1">IFERROR(__xludf.DUMMYFUNCTION("""COMPUTED_VALUE"""),"20050901AKDIA")</f>
        <v>20050901AKDIA</v>
      </c>
      <c r="B1259" s="8">
        <f ca="1">IFERROR(__xludf.DUMMYFUNCTION("""COMPUTED_VALUE"""),38596)</f>
        <v>38596</v>
      </c>
      <c r="C1259" s="5" t="str">
        <f ca="1">IFERROR(__xludf.DUMMYFUNCTION("""COMPUTED_VALUE"""),"Dimond High School")</f>
        <v>Dimond High School</v>
      </c>
      <c r="D1259" s="5">
        <f ca="1">IFERROR(__xludf.DUMMYFUNCTION("""COMPUTED_VALUE"""),0)</f>
        <v>0</v>
      </c>
      <c r="E1259" s="5">
        <f ca="1">IFERROR(__xludf.DUMMYFUNCTION("""COMPUTED_VALUE"""),0)</f>
        <v>0</v>
      </c>
      <c r="F1259" s="5">
        <f ca="1">IFERROR(__xludf.DUMMYFUNCTION("""COMPUTED_VALUE"""),0)</f>
        <v>0</v>
      </c>
      <c r="G1259" s="5">
        <f ca="1">IFERROR(__xludf.DUMMYFUNCTION("""COMPUTED_VALUE"""),0)</f>
        <v>0</v>
      </c>
      <c r="H1259" s="9" t="str">
        <f ca="1">IFERROR(__xludf.DUMMYFUNCTION("""COMPUTED_VALUE"""),"https://www.columbine-angels.com/School_Violence_2005-2006.htm")</f>
        <v>https://www.columbine-angels.com/School_Violence_2005-2006.htm</v>
      </c>
      <c r="I1259" s="5"/>
      <c r="J1259" s="5"/>
      <c r="K1259" s="5">
        <f ca="1">IFERROR(__xludf.DUMMYFUNCTION("""COMPUTED_VALUE"""),1)</f>
        <v>1</v>
      </c>
      <c r="L1259" s="5" t="str">
        <f ca="1">IFERROR(__xludf.DUMMYFUNCTION("""COMPUTED_VALUE"""),"Fall")</f>
        <v>Fall</v>
      </c>
      <c r="M1259" s="5" t="str">
        <f ca="1">IFERROR(__xludf.DUMMYFUNCTION("""COMPUTED_VALUE"""),"Anchorage")</f>
        <v>Anchorage</v>
      </c>
      <c r="N1259" s="5" t="str">
        <f ca="1">IFERROR(__xludf.DUMMYFUNCTION("""COMPUTED_VALUE"""),"AK")</f>
        <v>AK</v>
      </c>
      <c r="O1259" s="5" t="str">
        <f ca="1">IFERROR(__xludf.DUMMYFUNCTION("""COMPUTED_VALUE"""),"High")</f>
        <v>High</v>
      </c>
      <c r="P1259" s="5" t="str">
        <f ca="1">IFERROR(__xludf.DUMMYFUNCTION("""COMPUTED_VALUE"""),"Parking Lot")</f>
        <v>Parking Lot</v>
      </c>
      <c r="Q1259" s="5" t="str">
        <f ca="1">IFERROR(__xludf.DUMMYFUNCTION("""COMPUTED_VALUE"""),"Outside on School Property")</f>
        <v>Outside on School Property</v>
      </c>
      <c r="R1259" s="5" t="str">
        <f ca="1">IFERROR(__xludf.DUMMYFUNCTION("""COMPUTED_VALUE"""),"No")</f>
        <v>No</v>
      </c>
      <c r="S1259" s="5" t="str">
        <f ca="1">IFERROR(__xludf.DUMMYFUNCTION("""COMPUTED_VALUE"""),"Evening")</f>
        <v>Evening</v>
      </c>
      <c r="T1259" s="10">
        <f ca="1">IFERROR(__xludf.DUMMYFUNCTION("""COMPUTED_VALUE"""),0.708333333333333)</f>
        <v>0.70833333333333304</v>
      </c>
      <c r="U1259" s="5">
        <f ca="1">IFERROR(__xludf.DUMMYFUNCTION("""COMPUTED_VALUE"""),1)</f>
        <v>1</v>
      </c>
      <c r="V1259" s="5" t="str">
        <f ca="1">IFERROR(__xludf.DUMMYFUNCTION("""COMPUTED_VALUE"""),"Shots during fight in parking lot")</f>
        <v>Shots during fight in parking lot</v>
      </c>
      <c r="W1259"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X1259" s="5" t="str">
        <f ca="1">IFERROR(__xludf.DUMMYFUNCTION("""COMPUTED_VALUE"""),"Escalation of Dispute")</f>
        <v>Escalation of Dispute</v>
      </c>
      <c r="Y1259" s="5" t="str">
        <f ca="1">IFERROR(__xludf.DUMMYFUNCTION("""COMPUTED_VALUE"""),"Victims Targeted")</f>
        <v>Victims Targeted</v>
      </c>
      <c r="Z1259" s="5" t="str">
        <f ca="1">IFERROR(__xludf.DUMMYFUNCTION("""COMPUTED_VALUE"""),"No")</f>
        <v>No</v>
      </c>
      <c r="AA1259" s="5"/>
      <c r="AB1259" s="5" t="str">
        <f ca="1">IFERROR(__xludf.DUMMYFUNCTION("""COMPUTED_VALUE"""),"No")</f>
        <v>No</v>
      </c>
      <c r="AC1259" s="5" t="str">
        <f ca="1">IFERROR(__xludf.DUMMYFUNCTION("""COMPUTED_VALUE"""),"No")</f>
        <v>No</v>
      </c>
      <c r="AD1259" s="5" t="str">
        <f ca="1">IFERROR(__xludf.DUMMYFUNCTION("""COMPUTED_VALUE"""),"No")</f>
        <v>No</v>
      </c>
      <c r="AE1259" s="5" t="str">
        <f ca="1">IFERROR(__xludf.DUMMYFUNCTION("""COMPUTED_VALUE"""),"No")</f>
        <v>No</v>
      </c>
      <c r="AF1259" s="5" t="str">
        <f ca="1">IFERROR(__xludf.DUMMYFUNCTION("""COMPUTED_VALUE"""),"No")</f>
        <v>No</v>
      </c>
      <c r="AG1259" s="5" t="str">
        <f ca="1">IFERROR(__xludf.DUMMYFUNCTION("""COMPUTED_VALUE"""),"No")</f>
        <v>No</v>
      </c>
      <c r="AH1259" s="5"/>
    </row>
    <row r="1260" spans="1:34" ht="12.75">
      <c r="A1260" s="5" t="str">
        <f ca="1">IFERROR(__xludf.DUMMYFUNCTION("""COMPUTED_VALUE"""),"20050825TNMAD")</f>
        <v>20050825TNMAD</v>
      </c>
      <c r="B1260" s="8">
        <f ca="1">IFERROR(__xludf.DUMMYFUNCTION("""COMPUTED_VALUE"""),38589)</f>
        <v>38589</v>
      </c>
      <c r="C1260" s="5" t="str">
        <f ca="1">IFERROR(__xludf.DUMMYFUNCTION("""COMPUTED_VALUE"""),"Maury Middle School")</f>
        <v>Maury Middle School</v>
      </c>
      <c r="D1260" s="5">
        <f ca="1">IFERROR(__xludf.DUMMYFUNCTION("""COMPUTED_VALUE"""),0)</f>
        <v>0</v>
      </c>
      <c r="E1260" s="5">
        <f ca="1">IFERROR(__xludf.DUMMYFUNCTION("""COMPUTED_VALUE"""),1)</f>
        <v>1</v>
      </c>
      <c r="F1260" s="5">
        <f ca="1">IFERROR(__xludf.DUMMYFUNCTION("""COMPUTED_VALUE"""),1)</f>
        <v>1</v>
      </c>
      <c r="G1260" s="5">
        <f ca="1">IFERROR(__xludf.DUMMYFUNCTION("""COMPUTED_VALUE"""),0)</f>
        <v>0</v>
      </c>
      <c r="H1260" s="9" t="str">
        <f ca="1">IFERROR(__xludf.DUMMYFUNCTION("""COMPUTED_VALUE"""),"http://www.foxnews.com/story/2005/11/09/principal-praised-as-hero-in-tenn-school-shooting.html")</f>
        <v>http://www.foxnews.com/story/2005/11/09/principal-praised-as-hero-in-tenn-school-shooting.html</v>
      </c>
      <c r="I1260" s="5"/>
      <c r="J1260" s="5"/>
      <c r="K1260" s="5">
        <f ca="1">IFERROR(__xludf.DUMMYFUNCTION("""COMPUTED_VALUE"""),2)</f>
        <v>2</v>
      </c>
      <c r="L1260" s="5" t="str">
        <f ca="1">IFERROR(__xludf.DUMMYFUNCTION("""COMPUTED_VALUE"""),"Summer")</f>
        <v>Summer</v>
      </c>
      <c r="M1260" s="5" t="str">
        <f ca="1">IFERROR(__xludf.DUMMYFUNCTION("""COMPUTED_VALUE"""),"Dandridge")</f>
        <v>Dandridge</v>
      </c>
      <c r="N1260" s="5" t="str">
        <f ca="1">IFERROR(__xludf.DUMMYFUNCTION("""COMPUTED_VALUE"""),"TN")</f>
        <v>TN</v>
      </c>
      <c r="O1260" s="5" t="str">
        <f ca="1">IFERROR(__xludf.DUMMYFUNCTION("""COMPUTED_VALUE"""),"Middle")</f>
        <v>Middle</v>
      </c>
      <c r="P1260" s="5" t="str">
        <f ca="1">IFERROR(__xludf.DUMMYFUNCTION("""COMPUTED_VALUE"""),"Bathroom")</f>
        <v>Bathroom</v>
      </c>
      <c r="Q1260" s="5" t="str">
        <f ca="1">IFERROR(__xludf.DUMMYFUNCTION("""COMPUTED_VALUE"""),"Inside School Building")</f>
        <v>Inside School Building</v>
      </c>
      <c r="R1260" s="5" t="str">
        <f ca="1">IFERROR(__xludf.DUMMYFUNCTION("""COMPUTED_VALUE"""),"Yes")</f>
        <v>Yes</v>
      </c>
      <c r="S1260" s="5" t="str">
        <f ca="1">IFERROR(__xludf.DUMMYFUNCTION("""COMPUTED_VALUE"""),"Morning Classes")</f>
        <v>Morning Classes</v>
      </c>
      <c r="T1260" s="10">
        <f ca="1">IFERROR(__xludf.DUMMYFUNCTION("""COMPUTED_VALUE"""),0.395833333333333)</f>
        <v>0.39583333333333298</v>
      </c>
      <c r="U1260" s="5">
        <f ca="1">IFERROR(__xludf.DUMMYFUNCTION("""COMPUTED_VALUE"""),1)</f>
        <v>1</v>
      </c>
      <c r="V1260" s="5" t="str">
        <f ca="1">IFERROR(__xludf.DUMMYFUNCTION("""COMPUTED_VALUE"""),"Three students were handling weapon when it accidentally fired striking victim; plotting to kill teacher")</f>
        <v>Three students were handling weapon when it accidentally fired striking victim; plotting to kill teacher</v>
      </c>
      <c r="W1260"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X1260" s="5" t="str">
        <f ca="1">IFERROR(__xludf.DUMMYFUNCTION("""COMPUTED_VALUE"""),"Accidental")</f>
        <v>Accidental</v>
      </c>
      <c r="Y1260" s="5" t="str">
        <f ca="1">IFERROR(__xludf.DUMMYFUNCTION("""COMPUTED_VALUE"""),"Random Shooting")</f>
        <v>Random Shooting</v>
      </c>
      <c r="Z1260" s="5" t="str">
        <f ca="1">IFERROR(__xludf.DUMMYFUNCTION("""COMPUTED_VALUE"""),"No")</f>
        <v>No</v>
      </c>
      <c r="AA1260" s="5"/>
      <c r="AB1260" s="5" t="str">
        <f ca="1">IFERROR(__xludf.DUMMYFUNCTION("""COMPUTED_VALUE"""),"No")</f>
        <v>No</v>
      </c>
      <c r="AC1260" s="5" t="str">
        <f ca="1">IFERROR(__xludf.DUMMYFUNCTION("""COMPUTED_VALUE"""),"No")</f>
        <v>No</v>
      </c>
      <c r="AD1260" s="5" t="str">
        <f ca="1">IFERROR(__xludf.DUMMYFUNCTION("""COMPUTED_VALUE"""),"No")</f>
        <v>No</v>
      </c>
      <c r="AE1260" s="5" t="str">
        <f ca="1">IFERROR(__xludf.DUMMYFUNCTION("""COMPUTED_VALUE"""),"No")</f>
        <v>No</v>
      </c>
      <c r="AF1260" s="5" t="str">
        <f ca="1">IFERROR(__xludf.DUMMYFUNCTION("""COMPUTED_VALUE"""),"No")</f>
        <v>No</v>
      </c>
      <c r="AG1260" s="5" t="str">
        <f ca="1">IFERROR(__xludf.DUMMYFUNCTION("""COMPUTED_VALUE"""),"No")</f>
        <v>No</v>
      </c>
      <c r="AH1260" s="5"/>
    </row>
    <row r="1261" spans="1:34" ht="12.75">
      <c r="A1261" s="5" t="str">
        <f ca="1">IFERROR(__xludf.DUMMYFUNCTION("""COMPUTED_VALUE"""),"20050819GAMOM")</f>
        <v>20050819GAMOM</v>
      </c>
      <c r="B1261" s="8">
        <f ca="1">IFERROR(__xludf.DUMMYFUNCTION("""COMPUTED_VALUE"""),38583)</f>
        <v>38583</v>
      </c>
      <c r="C1261" s="5" t="str">
        <f ca="1">IFERROR(__xludf.DUMMYFUNCTION("""COMPUTED_VALUE"""),"Morrow High School")</f>
        <v>Morrow High School</v>
      </c>
      <c r="D1261" s="5">
        <f ca="1">IFERROR(__xludf.DUMMYFUNCTION("""COMPUTED_VALUE"""),0)</f>
        <v>0</v>
      </c>
      <c r="E1261" s="5">
        <f ca="1">IFERROR(__xludf.DUMMYFUNCTION("""COMPUTED_VALUE"""),2)</f>
        <v>2</v>
      </c>
      <c r="F1261" s="5">
        <f ca="1">IFERROR(__xludf.DUMMYFUNCTION("""COMPUTED_VALUE"""),2)</f>
        <v>2</v>
      </c>
      <c r="G1261" s="5">
        <f ca="1">IFERROR(__xludf.DUMMYFUNCTION("""COMPUTED_VALUE"""),0)</f>
        <v>0</v>
      </c>
      <c r="H1261" s="9" t="str">
        <f ca="1">IFERROR(__xludf.DUMMYFUNCTION("""COMPUTED_VALUE"""),"https://www.columbine-angels.com/School_Violence_2005-2006.htm")</f>
        <v>https://www.columbine-angels.com/School_Violence_2005-2006.htm</v>
      </c>
      <c r="I1261" s="5"/>
      <c r="J1261" s="5"/>
      <c r="K1261" s="5">
        <f ca="1">IFERROR(__xludf.DUMMYFUNCTION("""COMPUTED_VALUE"""),1)</f>
        <v>1</v>
      </c>
      <c r="L1261" s="5" t="str">
        <f ca="1">IFERROR(__xludf.DUMMYFUNCTION("""COMPUTED_VALUE"""),"Summer")</f>
        <v>Summer</v>
      </c>
      <c r="M1261" s="5" t="str">
        <f ca="1">IFERROR(__xludf.DUMMYFUNCTION("""COMPUTED_VALUE"""),"Morrow")</f>
        <v>Morrow</v>
      </c>
      <c r="N1261" s="5" t="str">
        <f ca="1">IFERROR(__xludf.DUMMYFUNCTION("""COMPUTED_VALUE"""),"GA")</f>
        <v>GA</v>
      </c>
      <c r="O1261" s="5" t="str">
        <f ca="1">IFERROR(__xludf.DUMMYFUNCTION("""COMPUTED_VALUE"""),"High")</f>
        <v>High</v>
      </c>
      <c r="P1261" s="5" t="str">
        <f ca="1">IFERROR(__xludf.DUMMYFUNCTION("""COMPUTED_VALUE"""),"Parking Lot")</f>
        <v>Parking Lot</v>
      </c>
      <c r="Q1261" s="5" t="str">
        <f ca="1">IFERROR(__xludf.DUMMYFUNCTION("""COMPUTED_VALUE"""),"Outside on School Property")</f>
        <v>Outside on School Property</v>
      </c>
      <c r="R1261" s="5" t="str">
        <f ca="1">IFERROR(__xludf.DUMMYFUNCTION("""COMPUTED_VALUE"""),"Yes")</f>
        <v>Yes</v>
      </c>
      <c r="S1261" s="5" t="str">
        <f ca="1">IFERROR(__xludf.DUMMYFUNCTION("""COMPUTED_VALUE"""),"Morning Classes")</f>
        <v>Morning Classes</v>
      </c>
      <c r="T1261" s="10">
        <f ca="1">IFERROR(__xludf.DUMMYFUNCTION("""COMPUTED_VALUE"""),0.458333333333333)</f>
        <v>0.45833333333333298</v>
      </c>
      <c r="U1261" s="5">
        <f ca="1">IFERROR(__xludf.DUMMYFUNCTION("""COMPUTED_VALUE"""),1)</f>
        <v>1</v>
      </c>
      <c r="V1261" s="5" t="str">
        <f ca="1">IFERROR(__xludf.DUMMYFUNCTION("""COMPUTED_VALUE"""),"2 males shot in school parking lot by unknown shooter")</f>
        <v>2 males shot in school parking lot by unknown shooter</v>
      </c>
      <c r="W1261"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X1261" s="5" t="str">
        <f ca="1">IFERROR(__xludf.DUMMYFUNCTION("""COMPUTED_VALUE"""),"Escalation of Dispute")</f>
        <v>Escalation of Dispute</v>
      </c>
      <c r="Y1261" s="5" t="str">
        <f ca="1">IFERROR(__xludf.DUMMYFUNCTION("""COMPUTED_VALUE"""),"Victims Targeted")</f>
        <v>Victims Targeted</v>
      </c>
      <c r="Z1261" s="5" t="str">
        <f ca="1">IFERROR(__xludf.DUMMYFUNCTION("""COMPUTED_VALUE"""),"No")</f>
        <v>No</v>
      </c>
      <c r="AA1261" s="5"/>
      <c r="AB1261" s="5" t="str">
        <f ca="1">IFERROR(__xludf.DUMMYFUNCTION("""COMPUTED_VALUE"""),"No")</f>
        <v>No</v>
      </c>
      <c r="AC1261" s="5" t="str">
        <f ca="1">IFERROR(__xludf.DUMMYFUNCTION("""COMPUTED_VALUE"""),"No")</f>
        <v>No</v>
      </c>
      <c r="AD1261" s="5" t="str">
        <f ca="1">IFERROR(__xludf.DUMMYFUNCTION("""COMPUTED_VALUE"""),"No")</f>
        <v>No</v>
      </c>
      <c r="AE1261" s="5" t="str">
        <f ca="1">IFERROR(__xludf.DUMMYFUNCTION("""COMPUTED_VALUE"""),"No")</f>
        <v>No</v>
      </c>
      <c r="AF1261" s="5" t="str">
        <f ca="1">IFERROR(__xludf.DUMMYFUNCTION("""COMPUTED_VALUE"""),"No")</f>
        <v>No</v>
      </c>
      <c r="AG1261" s="5"/>
      <c r="AH1261" s="5"/>
    </row>
    <row r="1262" spans="1:34" ht="12.75">
      <c r="A1262" s="5" t="str">
        <f ca="1">IFERROR(__xludf.DUMMYFUNCTION("""COMPUTED_VALUE"""),"20050817CAPLB")</f>
        <v>20050817CAPLB</v>
      </c>
      <c r="B1262" s="8">
        <f ca="1">IFERROR(__xludf.DUMMYFUNCTION("""COMPUTED_VALUE"""),38581)</f>
        <v>38581</v>
      </c>
      <c r="C1262" s="5" t="str">
        <f ca="1">IFERROR(__xludf.DUMMYFUNCTION("""COMPUTED_VALUE"""),"Planatation Elementary School")</f>
        <v>Planatation Elementary School</v>
      </c>
      <c r="D1262" s="5">
        <f ca="1">IFERROR(__xludf.DUMMYFUNCTION("""COMPUTED_VALUE"""),1)</f>
        <v>1</v>
      </c>
      <c r="E1262" s="5">
        <f ca="1">IFERROR(__xludf.DUMMYFUNCTION("""COMPUTED_VALUE"""),0)</f>
        <v>0</v>
      </c>
      <c r="F1262" s="5">
        <f ca="1">IFERROR(__xludf.DUMMYFUNCTION("""COMPUTED_VALUE"""),1)</f>
        <v>1</v>
      </c>
      <c r="G1262" s="5">
        <f ca="1">IFERROR(__xludf.DUMMYFUNCTION("""COMPUTED_VALUE"""),0)</f>
        <v>0</v>
      </c>
      <c r="H1262" s="9" t="str">
        <f ca="1">IFERROR(__xludf.DUMMYFUNCTION("""COMPUTED_VALUE"""),"https://www.columbine-angels.com/School_Violence_2005-2006.htm")</f>
        <v>https://www.columbine-angels.com/School_Violence_2005-2006.htm</v>
      </c>
      <c r="I1262" s="5"/>
      <c r="J1262" s="5"/>
      <c r="K1262" s="5">
        <f ca="1">IFERROR(__xludf.DUMMYFUNCTION("""COMPUTED_VALUE"""),1)</f>
        <v>1</v>
      </c>
      <c r="L1262" s="5" t="str">
        <f ca="1">IFERROR(__xludf.DUMMYFUNCTION("""COMPUTED_VALUE"""),"Summer")</f>
        <v>Summer</v>
      </c>
      <c r="M1262" s="5" t="str">
        <f ca="1">IFERROR(__xludf.DUMMYFUNCTION("""COMPUTED_VALUE"""),"Bakersfield")</f>
        <v>Bakersfield</v>
      </c>
      <c r="N1262" s="5" t="str">
        <f ca="1">IFERROR(__xludf.DUMMYFUNCTION("""COMPUTED_VALUE"""),"CA")</f>
        <v>CA</v>
      </c>
      <c r="O1262" s="5" t="str">
        <f ca="1">IFERROR(__xludf.DUMMYFUNCTION("""COMPUTED_VALUE"""),"Elementary")</f>
        <v>Elementary</v>
      </c>
      <c r="P1262" s="5" t="str">
        <f ca="1">IFERROR(__xludf.DUMMYFUNCTION("""COMPUTED_VALUE"""),"Parking Lot")</f>
        <v>Parking Lot</v>
      </c>
      <c r="Q1262" s="5" t="str">
        <f ca="1">IFERROR(__xludf.DUMMYFUNCTION("""COMPUTED_VALUE"""),"Outside on School Property")</f>
        <v>Outside on School Property</v>
      </c>
      <c r="R1262" s="5" t="str">
        <f ca="1">IFERROR(__xludf.DUMMYFUNCTION("""COMPUTED_VALUE"""),"No")</f>
        <v>No</v>
      </c>
      <c r="S1262" s="5" t="str">
        <f ca="1">IFERROR(__xludf.DUMMYFUNCTION("""COMPUTED_VALUE"""),"Evening")</f>
        <v>Evening</v>
      </c>
      <c r="T1262" s="10">
        <f ca="1">IFERROR(__xludf.DUMMYFUNCTION("""COMPUTED_VALUE"""),0.75)</f>
        <v>0.75</v>
      </c>
      <c r="U1262" s="5">
        <f ca="1">IFERROR(__xludf.DUMMYFUNCTION("""COMPUTED_VALUE"""),1)</f>
        <v>1</v>
      </c>
      <c r="V1262" s="5" t="str">
        <f ca="1">IFERROR(__xludf.DUMMYFUNCTION("""COMPUTED_VALUE"""),"Shot during argument outside of school")</f>
        <v>Shot during argument outside of school</v>
      </c>
      <c r="W1262"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X1262" s="5" t="str">
        <f ca="1">IFERROR(__xludf.DUMMYFUNCTION("""COMPUTED_VALUE"""),"Escalation of Dispute")</f>
        <v>Escalation of Dispute</v>
      </c>
      <c r="Y1262" s="5" t="str">
        <f ca="1">IFERROR(__xludf.DUMMYFUNCTION("""COMPUTED_VALUE"""),"Victims Targeted")</f>
        <v>Victims Targeted</v>
      </c>
      <c r="Z1262" s="5" t="str">
        <f ca="1">IFERROR(__xludf.DUMMYFUNCTION("""COMPUTED_VALUE"""),"No")</f>
        <v>No</v>
      </c>
      <c r="AA1262" s="5" t="str">
        <f ca="1">IFERROR(__xludf.DUMMYFUNCTION("""COMPUTED_VALUE"""),"In car, unclear if shooter was driver")</f>
        <v>In car, unclear if shooter was driver</v>
      </c>
      <c r="AB1262" s="5" t="str">
        <f ca="1">IFERROR(__xludf.DUMMYFUNCTION("""COMPUTED_VALUE"""),"No")</f>
        <v>No</v>
      </c>
      <c r="AC1262" s="5" t="str">
        <f ca="1">IFERROR(__xludf.DUMMYFUNCTION("""COMPUTED_VALUE"""),"No")</f>
        <v>No</v>
      </c>
      <c r="AD1262" s="5" t="str">
        <f ca="1">IFERROR(__xludf.DUMMYFUNCTION("""COMPUTED_VALUE"""),"No")</f>
        <v>No</v>
      </c>
      <c r="AE1262" s="5" t="str">
        <f ca="1">IFERROR(__xludf.DUMMYFUNCTION("""COMPUTED_VALUE"""),"No")</f>
        <v>No</v>
      </c>
      <c r="AF1262" s="5" t="str">
        <f ca="1">IFERROR(__xludf.DUMMYFUNCTION("""COMPUTED_VALUE"""),"No")</f>
        <v>No</v>
      </c>
      <c r="AG1262" s="5" t="str">
        <f ca="1">IFERROR(__xludf.DUMMYFUNCTION("""COMPUTED_VALUE"""),"No")</f>
        <v>No</v>
      </c>
      <c r="AH1262" s="5"/>
    </row>
    <row r="1263" spans="1:34" ht="12.75">
      <c r="A1263" s="5" t="str">
        <f ca="1">IFERROR(__xludf.DUMMYFUNCTION("""COMPUTED_VALUE"""),"20050816VICOE")</f>
        <v>20050816VICOE</v>
      </c>
      <c r="B1263" s="8">
        <f ca="1">IFERROR(__xludf.DUMMYFUNCTION("""COMPUTED_VALUE"""),38580)</f>
        <v>38580</v>
      </c>
      <c r="C1263" s="5" t="str">
        <f ca="1">IFERROR(__xludf.DUMMYFUNCTION("""COMPUTED_VALUE"""),"Country Day High School")</f>
        <v>Country Day High School</v>
      </c>
      <c r="D1263" s="5">
        <f ca="1">IFERROR(__xludf.DUMMYFUNCTION("""COMPUTED_VALUE"""),0)</f>
        <v>0</v>
      </c>
      <c r="E1263" s="5">
        <f ca="1">IFERROR(__xludf.DUMMYFUNCTION("""COMPUTED_VALUE"""),1)</f>
        <v>1</v>
      </c>
      <c r="F1263" s="5">
        <f ca="1">IFERROR(__xludf.DUMMYFUNCTION("""COMPUTED_VALUE"""),1)</f>
        <v>1</v>
      </c>
      <c r="G1263" s="5">
        <f ca="1">IFERROR(__xludf.DUMMYFUNCTION("""COMPUTED_VALUE"""),0)</f>
        <v>0</v>
      </c>
      <c r="H1263"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I1263" s="5"/>
      <c r="J1263" s="5"/>
      <c r="K1263" s="5">
        <f ca="1">IFERROR(__xludf.DUMMYFUNCTION("""COMPUTED_VALUE"""),1)</f>
        <v>1</v>
      </c>
      <c r="L1263" s="5" t="str">
        <f ca="1">IFERROR(__xludf.DUMMYFUNCTION("""COMPUTED_VALUE"""),"Summer")</f>
        <v>Summer</v>
      </c>
      <c r="M1263" s="5" t="str">
        <f ca="1">IFERROR(__xludf.DUMMYFUNCTION("""COMPUTED_VALUE"""),"Estate Concordia")</f>
        <v>Estate Concordia</v>
      </c>
      <c r="N1263" s="5" t="str">
        <f ca="1">IFERROR(__xludf.DUMMYFUNCTION("""COMPUTED_VALUE"""),"VI")</f>
        <v>VI</v>
      </c>
      <c r="O1263" s="5" t="str">
        <f ca="1">IFERROR(__xludf.DUMMYFUNCTION("""COMPUTED_VALUE"""),"High")</f>
        <v>High</v>
      </c>
      <c r="P1263" s="5" t="str">
        <f ca="1">IFERROR(__xludf.DUMMYFUNCTION("""COMPUTED_VALUE"""),"Other")</f>
        <v>Other</v>
      </c>
      <c r="Q1263" s="5" t="str">
        <f ca="1">IFERROR(__xludf.DUMMYFUNCTION("""COMPUTED_VALUE"""),"Inside School Building")</f>
        <v>Inside School Building</v>
      </c>
      <c r="R1263" s="5" t="str">
        <f ca="1">IFERROR(__xludf.DUMMYFUNCTION("""COMPUTED_VALUE"""),"Yes")</f>
        <v>Yes</v>
      </c>
      <c r="S1263" s="5" t="str">
        <f ca="1">IFERROR(__xludf.DUMMYFUNCTION("""COMPUTED_VALUE"""),"Before School")</f>
        <v>Before School</v>
      </c>
      <c r="T1263" s="10">
        <f ca="1">IFERROR(__xludf.DUMMYFUNCTION("""COMPUTED_VALUE"""),0.3125)</f>
        <v>0.3125</v>
      </c>
      <c r="U1263" s="5">
        <f ca="1">IFERROR(__xludf.DUMMYFUNCTION("""COMPUTED_VALUE"""),1)</f>
        <v>1</v>
      </c>
      <c r="V1263" s="5" t="str">
        <f ca="1">IFERROR(__xludf.DUMMYFUNCTION("""COMPUTED_VALUE"""),"School maintenance worker shot while in school maintenance shop by two masked men")</f>
        <v>School maintenance worker shot while in school maintenance shop by two masked men</v>
      </c>
      <c r="W1263"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X1263" s="5" t="str">
        <f ca="1">IFERROR(__xludf.DUMMYFUNCTION("""COMPUTED_VALUE"""),"Illegal Activity")</f>
        <v>Illegal Activity</v>
      </c>
      <c r="Y1263" s="5" t="str">
        <f ca="1">IFERROR(__xludf.DUMMYFUNCTION("""COMPUTED_VALUE"""),"Victims Targeted")</f>
        <v>Victims Targeted</v>
      </c>
      <c r="Z1263" s="5" t="str">
        <f ca="1">IFERROR(__xludf.DUMMYFUNCTION("""COMPUTED_VALUE"""),"No")</f>
        <v>No</v>
      </c>
      <c r="AA1263" s="5"/>
      <c r="AB1263" s="5" t="str">
        <f ca="1">IFERROR(__xludf.DUMMYFUNCTION("""COMPUTED_VALUE"""),"No")</f>
        <v>No</v>
      </c>
      <c r="AC1263" s="5" t="str">
        <f ca="1">IFERROR(__xludf.DUMMYFUNCTION("""COMPUTED_VALUE"""),"No")</f>
        <v>No</v>
      </c>
      <c r="AD1263" s="5" t="str">
        <f ca="1">IFERROR(__xludf.DUMMYFUNCTION("""COMPUTED_VALUE"""),"No")</f>
        <v>No</v>
      </c>
      <c r="AE1263" s="5" t="str">
        <f ca="1">IFERROR(__xludf.DUMMYFUNCTION("""COMPUTED_VALUE"""),"No")</f>
        <v>No</v>
      </c>
      <c r="AF1263" s="5" t="str">
        <f ca="1">IFERROR(__xludf.DUMMYFUNCTION("""COMPUTED_VALUE"""),"No")</f>
        <v>No</v>
      </c>
      <c r="AG1263" s="5" t="str">
        <f ca="1">IFERROR(__xludf.DUMMYFUNCTION("""COMPUTED_VALUE"""),"No")</f>
        <v>No</v>
      </c>
      <c r="AH1263" s="5"/>
    </row>
    <row r="1264" spans="1:34" ht="12.75">
      <c r="A1264" s="5" t="str">
        <f ca="1">IFERROR(__xludf.DUMMYFUNCTION("""COMPUTED_VALUE"""),"20050718NJWEN")</f>
        <v>20050718NJWEN</v>
      </c>
      <c r="B1264" s="8">
        <f ca="1">IFERROR(__xludf.DUMMYFUNCTION("""COMPUTED_VALUE"""),38551)</f>
        <v>38551</v>
      </c>
      <c r="C1264" s="5" t="str">
        <f ca="1">IFERROR(__xludf.DUMMYFUNCTION("""COMPUTED_VALUE"""),"Weequahic High School")</f>
        <v>Weequahic High School</v>
      </c>
      <c r="D1264" s="5">
        <f ca="1">IFERROR(__xludf.DUMMYFUNCTION("""COMPUTED_VALUE"""),2)</f>
        <v>2</v>
      </c>
      <c r="E1264" s="5">
        <f ca="1">IFERROR(__xludf.DUMMYFUNCTION("""COMPUTED_VALUE"""),0)</f>
        <v>0</v>
      </c>
      <c r="F1264" s="5">
        <f ca="1">IFERROR(__xludf.DUMMYFUNCTION("""COMPUTED_VALUE"""),2)</f>
        <v>2</v>
      </c>
      <c r="G1264" s="5">
        <f ca="1">IFERROR(__xludf.DUMMYFUNCTION("""COMPUTED_VALUE"""),0)</f>
        <v>0</v>
      </c>
      <c r="H1264" s="9" t="str">
        <f ca="1">IFERROR(__xludf.DUMMYFUNCTION("""COMPUTED_VALUE"""),"https://www.nytimes.com/2005/07/20/nyregion/2-men-charged-in-slaying-of-officer-at-newark-school.html")</f>
        <v>https://www.nytimes.com/2005/07/20/nyregion/2-men-charged-in-slaying-of-officer-at-newark-school.html</v>
      </c>
      <c r="I1264" s="5"/>
      <c r="J1264" s="5"/>
      <c r="K1264" s="5">
        <f ca="1">IFERROR(__xludf.DUMMYFUNCTION("""COMPUTED_VALUE"""),2)</f>
        <v>2</v>
      </c>
      <c r="L1264" s="5" t="str">
        <f ca="1">IFERROR(__xludf.DUMMYFUNCTION("""COMPUTED_VALUE"""),"Summer")</f>
        <v>Summer</v>
      </c>
      <c r="M1264" s="5" t="str">
        <f ca="1">IFERROR(__xludf.DUMMYFUNCTION("""COMPUTED_VALUE"""),"Newark")</f>
        <v>Newark</v>
      </c>
      <c r="N1264" s="5" t="str">
        <f ca="1">IFERROR(__xludf.DUMMYFUNCTION("""COMPUTED_VALUE"""),"NJ")</f>
        <v>NJ</v>
      </c>
      <c r="O1264" s="5" t="str">
        <f ca="1">IFERROR(__xludf.DUMMYFUNCTION("""COMPUTED_VALUE"""),"High")</f>
        <v>High</v>
      </c>
      <c r="P1264" s="5" t="str">
        <f ca="1">IFERROR(__xludf.DUMMYFUNCTION("""COMPUTED_VALUE"""),"Parking Lot")</f>
        <v>Parking Lot</v>
      </c>
      <c r="Q1264" s="5" t="str">
        <f ca="1">IFERROR(__xludf.DUMMYFUNCTION("""COMPUTED_VALUE"""),"Outside on School Property")</f>
        <v>Outside on School Property</v>
      </c>
      <c r="R1264" s="5" t="str">
        <f ca="1">IFERROR(__xludf.DUMMYFUNCTION("""COMPUTED_VALUE"""),"Yes")</f>
        <v>Yes</v>
      </c>
      <c r="S1264" s="5" t="str">
        <f ca="1">IFERROR(__xludf.DUMMYFUNCTION("""COMPUTED_VALUE"""),"Afternoon Classes")</f>
        <v>Afternoon Classes</v>
      </c>
      <c r="T1264" s="10">
        <f ca="1">IFERROR(__xludf.DUMMYFUNCTION("""COMPUTED_VALUE"""),0.5625)</f>
        <v>0.5625</v>
      </c>
      <c r="U1264" s="5">
        <f ca="1">IFERROR(__xludf.DUMMYFUNCTION("""COMPUTED_VALUE"""),1)</f>
        <v>1</v>
      </c>
      <c r="V1264" s="5" t="str">
        <f ca="1">IFERROR(__xludf.DUMMYFUNCTION("""COMPUTED_VALUE"""),"Police tried to break up fight between female students, brother fired at officers killing one")</f>
        <v>Police tried to break up fight between female students, brother fired at officers killing one</v>
      </c>
      <c r="W1264"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X1264" s="5" t="str">
        <f ca="1">IFERROR(__xludf.DUMMYFUNCTION("""COMPUTED_VALUE"""),"Escalation of Dispute")</f>
        <v>Escalation of Dispute</v>
      </c>
      <c r="Y1264" s="5" t="str">
        <f ca="1">IFERROR(__xludf.DUMMYFUNCTION("""COMPUTED_VALUE"""),"Random Shooting")</f>
        <v>Random Shooting</v>
      </c>
      <c r="Z1264" s="5" t="str">
        <f ca="1">IFERROR(__xludf.DUMMYFUNCTION("""COMPUTED_VALUE"""),"Yes")</f>
        <v>Yes</v>
      </c>
      <c r="AA1264" s="5" t="str">
        <f ca="1">IFERROR(__xludf.DUMMYFUNCTION("""COMPUTED_VALUE"""),"Multiple involved in fight")</f>
        <v>Multiple involved in fight</v>
      </c>
      <c r="AB1264" s="5" t="str">
        <f ca="1">IFERROR(__xludf.DUMMYFUNCTION("""COMPUTED_VALUE"""),"No")</f>
        <v>No</v>
      </c>
      <c r="AC1264" s="5" t="str">
        <f ca="1">IFERROR(__xludf.DUMMYFUNCTION("""COMPUTED_VALUE"""),"No")</f>
        <v>No</v>
      </c>
      <c r="AD1264" s="5" t="str">
        <f ca="1">IFERROR(__xludf.DUMMYFUNCTION("""COMPUTED_VALUE"""),"No")</f>
        <v>No</v>
      </c>
      <c r="AE1264" s="5" t="str">
        <f ca="1">IFERROR(__xludf.DUMMYFUNCTION("""COMPUTED_VALUE"""),"No")</f>
        <v>No</v>
      </c>
      <c r="AF1264" s="5" t="str">
        <f ca="1">IFERROR(__xludf.DUMMYFUNCTION("""COMPUTED_VALUE"""),"No")</f>
        <v>No</v>
      </c>
      <c r="AG1264" s="5" t="str">
        <f ca="1">IFERROR(__xludf.DUMMYFUNCTION("""COMPUTED_VALUE"""),"No")</f>
        <v>No</v>
      </c>
      <c r="AH1264" s="5"/>
    </row>
    <row r="1265" spans="1:34" ht="12.75">
      <c r="A1265" s="5" t="str">
        <f ca="1">IFERROR(__xludf.DUMMYFUNCTION("""COMPUTED_VALUE"""),"20050612NJBAA")</f>
        <v>20050612NJBAA</v>
      </c>
      <c r="B1265" s="8">
        <f ca="1">IFERROR(__xludf.DUMMYFUNCTION("""COMPUTED_VALUE"""),38515)</f>
        <v>38515</v>
      </c>
      <c r="C1265" s="5" t="str">
        <f ca="1">IFERROR(__xludf.DUMMYFUNCTION("""COMPUTED_VALUE"""),"Bangs Avenue Elementary School")</f>
        <v>Bangs Avenue Elementary School</v>
      </c>
      <c r="D1265" s="5">
        <f ca="1">IFERROR(__xludf.DUMMYFUNCTION("""COMPUTED_VALUE"""),0)</f>
        <v>0</v>
      </c>
      <c r="E1265" s="5">
        <f ca="1">IFERROR(__xludf.DUMMYFUNCTION("""COMPUTED_VALUE"""),3)</f>
        <v>3</v>
      </c>
      <c r="F1265" s="5">
        <f ca="1">IFERROR(__xludf.DUMMYFUNCTION("""COMPUTED_VALUE"""),3)</f>
        <v>3</v>
      </c>
      <c r="G1265" s="5">
        <f ca="1">IFERROR(__xludf.DUMMYFUNCTION("""COMPUTED_VALUE"""),0)</f>
        <v>0</v>
      </c>
      <c r="H1265" s="9" t="str">
        <f ca="1">IFERROR(__xludf.DUMMYFUNCTION("""COMPUTED_VALUE"""),"https://www.columbine-angels.com/School_Violence_2004-2005.htm")</f>
        <v>https://www.columbine-angels.com/School_Violence_2004-2005.htm</v>
      </c>
      <c r="I1265" s="5"/>
      <c r="J1265" s="5"/>
      <c r="K1265" s="5">
        <f ca="1">IFERROR(__xludf.DUMMYFUNCTION("""COMPUTED_VALUE"""),1)</f>
        <v>1</v>
      </c>
      <c r="L1265" s="5" t="str">
        <f ca="1">IFERROR(__xludf.DUMMYFUNCTION("""COMPUTED_VALUE"""),"Summer")</f>
        <v>Summer</v>
      </c>
      <c r="M1265" s="5" t="str">
        <f ca="1">IFERROR(__xludf.DUMMYFUNCTION("""COMPUTED_VALUE"""),"Asbury Park")</f>
        <v>Asbury Park</v>
      </c>
      <c r="N1265" s="5" t="str">
        <f ca="1">IFERROR(__xludf.DUMMYFUNCTION("""COMPUTED_VALUE"""),"NJ")</f>
        <v>NJ</v>
      </c>
      <c r="O1265" s="5" t="str">
        <f ca="1">IFERROR(__xludf.DUMMYFUNCTION("""COMPUTED_VALUE"""),"Elementary")</f>
        <v>Elementary</v>
      </c>
      <c r="P1265" s="5" t="str">
        <f ca="1">IFERROR(__xludf.DUMMYFUNCTION("""COMPUTED_VALUE"""),"Beside Building")</f>
        <v>Beside Building</v>
      </c>
      <c r="Q1265" s="5" t="str">
        <f ca="1">IFERROR(__xludf.DUMMYFUNCTION("""COMPUTED_VALUE"""),"Outside on School Property")</f>
        <v>Outside on School Property</v>
      </c>
      <c r="R1265" s="5" t="str">
        <f ca="1">IFERROR(__xludf.DUMMYFUNCTION("""COMPUTED_VALUE"""),"No")</f>
        <v>No</v>
      </c>
      <c r="S1265" s="5" t="str">
        <f ca="1">IFERROR(__xludf.DUMMYFUNCTION("""COMPUTED_VALUE"""),"Evening")</f>
        <v>Evening</v>
      </c>
      <c r="T1265" s="10">
        <f ca="1">IFERROR(__xludf.DUMMYFUNCTION("""COMPUTED_VALUE"""),0.895833333333333)</f>
        <v>0.89583333333333304</v>
      </c>
      <c r="U1265" s="5">
        <f ca="1">IFERROR(__xludf.DUMMYFUNCTION("""COMPUTED_VALUE"""),1)</f>
        <v>1</v>
      </c>
      <c r="V1265" s="5" t="str">
        <f ca="1">IFERROR(__xludf.DUMMYFUNCTION("""COMPUTED_VALUE"""),"3 shot during fight between 20 people at school")</f>
        <v>3 shot during fight between 20 people at school</v>
      </c>
      <c r="W1265"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X1265" s="5" t="str">
        <f ca="1">IFERROR(__xludf.DUMMYFUNCTION("""COMPUTED_VALUE"""),"Escalation of Dispute")</f>
        <v>Escalation of Dispute</v>
      </c>
      <c r="Y1265" s="5"/>
      <c r="Z1265" s="5" t="str">
        <f ca="1">IFERROR(__xludf.DUMMYFUNCTION("""COMPUTED_VALUE"""),"Yes")</f>
        <v>Yes</v>
      </c>
      <c r="AA1265" s="5" t="str">
        <f ca="1">IFERROR(__xludf.DUMMYFUNCTION("""COMPUTED_VALUE"""),"20 males involved in fight")</f>
        <v>20 males involved in fight</v>
      </c>
      <c r="AB1265" s="5" t="str">
        <f ca="1">IFERROR(__xludf.DUMMYFUNCTION("""COMPUTED_VALUE"""),"No")</f>
        <v>No</v>
      </c>
      <c r="AC1265" s="5" t="str">
        <f ca="1">IFERROR(__xludf.DUMMYFUNCTION("""COMPUTED_VALUE"""),"No")</f>
        <v>No</v>
      </c>
      <c r="AD1265" s="5" t="str">
        <f ca="1">IFERROR(__xludf.DUMMYFUNCTION("""COMPUTED_VALUE"""),"No")</f>
        <v>No</v>
      </c>
      <c r="AE1265" s="5" t="str">
        <f ca="1">IFERROR(__xludf.DUMMYFUNCTION("""COMPUTED_VALUE"""),"No")</f>
        <v>No</v>
      </c>
      <c r="AF1265" s="5" t="str">
        <f ca="1">IFERROR(__xludf.DUMMYFUNCTION("""COMPUTED_VALUE"""),"No")</f>
        <v>No</v>
      </c>
      <c r="AG1265" s="5" t="str">
        <f ca="1">IFERROR(__xludf.DUMMYFUNCTION("""COMPUTED_VALUE"""),"No")</f>
        <v>No</v>
      </c>
      <c r="AH1265" s="5"/>
    </row>
    <row r="1266" spans="1:34" ht="12.75">
      <c r="A1266" s="5" t="str">
        <f ca="1">IFERROR(__xludf.DUMMYFUNCTION("""COMPUTED_VALUE"""),"20050608NYARP")</f>
        <v>20050608NYARP</v>
      </c>
      <c r="B1266" s="8">
        <f ca="1">IFERROR(__xludf.DUMMYFUNCTION("""COMPUTED_VALUE"""),38511)</f>
        <v>38511</v>
      </c>
      <c r="C1266" s="5" t="str">
        <f ca="1">IFERROR(__xludf.DUMMYFUNCTION("""COMPUTED_VALUE"""),"Arlington High School")</f>
        <v>Arlington High School</v>
      </c>
      <c r="D1266" s="5">
        <f ca="1">IFERROR(__xludf.DUMMYFUNCTION("""COMPUTED_VALUE"""),0)</f>
        <v>0</v>
      </c>
      <c r="E1266" s="5">
        <f ca="1">IFERROR(__xludf.DUMMYFUNCTION("""COMPUTED_VALUE"""),2)</f>
        <v>2</v>
      </c>
      <c r="F1266" s="5">
        <f ca="1">IFERROR(__xludf.DUMMYFUNCTION("""COMPUTED_VALUE"""),2)</f>
        <v>2</v>
      </c>
      <c r="G1266" s="5">
        <f ca="1">IFERROR(__xludf.DUMMYFUNCTION("""COMPUTED_VALUE"""),0)</f>
        <v>0</v>
      </c>
      <c r="H1266" s="9" t="str">
        <f ca="1">IFERROR(__xludf.DUMMYFUNCTION("""COMPUTED_VALUE"""),"https://www.columbine-angels.com/School_Violence_2004-2005.htm")</f>
        <v>https://www.columbine-angels.com/School_Violence_2004-2005.htm</v>
      </c>
      <c r="I1266" s="5"/>
      <c r="J1266" s="5"/>
      <c r="K1266" s="5">
        <f ca="1">IFERROR(__xludf.DUMMYFUNCTION("""COMPUTED_VALUE"""),1)</f>
        <v>1</v>
      </c>
      <c r="L1266" s="5" t="str">
        <f ca="1">IFERROR(__xludf.DUMMYFUNCTION("""COMPUTED_VALUE"""),"Summer")</f>
        <v>Summer</v>
      </c>
      <c r="M1266" s="5" t="str">
        <f ca="1">IFERROR(__xludf.DUMMYFUNCTION("""COMPUTED_VALUE"""),"Poughkeepsi")</f>
        <v>Poughkeepsi</v>
      </c>
      <c r="N1266" s="5" t="str">
        <f ca="1">IFERROR(__xludf.DUMMYFUNCTION("""COMPUTED_VALUE"""),"NY")</f>
        <v>NY</v>
      </c>
      <c r="O1266" s="5" t="str">
        <f ca="1">IFERROR(__xludf.DUMMYFUNCTION("""COMPUTED_VALUE"""),"High")</f>
        <v>High</v>
      </c>
      <c r="P1266" s="5" t="str">
        <f ca="1">IFERROR(__xludf.DUMMYFUNCTION("""COMPUTED_VALUE"""),"Front of School")</f>
        <v>Front of School</v>
      </c>
      <c r="Q1266" s="5" t="str">
        <f ca="1">IFERROR(__xludf.DUMMYFUNCTION("""COMPUTED_VALUE"""),"Outside on School Property")</f>
        <v>Outside on School Property</v>
      </c>
      <c r="R1266" s="5" t="str">
        <f ca="1">IFERROR(__xludf.DUMMYFUNCTION("""COMPUTED_VALUE"""),"Yes")</f>
        <v>Yes</v>
      </c>
      <c r="S1266" s="5" t="str">
        <f ca="1">IFERROR(__xludf.DUMMYFUNCTION("""COMPUTED_VALUE"""),"Dismissal")</f>
        <v>Dismissal</v>
      </c>
      <c r="T1266" s="10">
        <f ca="1">IFERROR(__xludf.DUMMYFUNCTION("""COMPUTED_VALUE"""),0.605555555555555)</f>
        <v>0.60555555555555496</v>
      </c>
      <c r="U1266" s="5">
        <f ca="1">IFERROR(__xludf.DUMMYFUNCTION("""COMPUTED_VALUE"""),1)</f>
        <v>1</v>
      </c>
      <c r="V1266" s="5" t="str">
        <f ca="1">IFERROR(__xludf.DUMMYFUNCTION("""COMPUTED_VALUE"""),"Fired BB gun at students during drive-by")</f>
        <v>Fired BB gun at students during drive-by</v>
      </c>
      <c r="W1266"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X1266" s="5" t="str">
        <f ca="1">IFERROR(__xludf.DUMMYFUNCTION("""COMPUTED_VALUE"""),"Drive-by Shooting")</f>
        <v>Drive-by Shooting</v>
      </c>
      <c r="Y1266" s="5"/>
      <c r="Z1266" s="5" t="str">
        <f ca="1">IFERROR(__xludf.DUMMYFUNCTION("""COMPUTED_VALUE"""),"Yes")</f>
        <v>Yes</v>
      </c>
      <c r="AA1266" s="5" t="str">
        <f ca="1">IFERROR(__xludf.DUMMYFUNCTION("""COMPUTED_VALUE"""),"In a car with driver")</f>
        <v>In a car with driver</v>
      </c>
      <c r="AB1266" s="5" t="str">
        <f ca="1">IFERROR(__xludf.DUMMYFUNCTION("""COMPUTED_VALUE"""),"No")</f>
        <v>No</v>
      </c>
      <c r="AC1266" s="5" t="str">
        <f ca="1">IFERROR(__xludf.DUMMYFUNCTION("""COMPUTED_VALUE"""),"No")</f>
        <v>No</v>
      </c>
      <c r="AD1266" s="5" t="str">
        <f ca="1">IFERROR(__xludf.DUMMYFUNCTION("""COMPUTED_VALUE"""),"No")</f>
        <v>No</v>
      </c>
      <c r="AE1266" s="5" t="str">
        <f ca="1">IFERROR(__xludf.DUMMYFUNCTION("""COMPUTED_VALUE"""),"No")</f>
        <v>No</v>
      </c>
      <c r="AF1266" s="5" t="str">
        <f ca="1">IFERROR(__xludf.DUMMYFUNCTION("""COMPUTED_VALUE"""),"No")</f>
        <v>No</v>
      </c>
      <c r="AG1266" s="5" t="str">
        <f ca="1">IFERROR(__xludf.DUMMYFUNCTION("""COMPUTED_VALUE"""),"No")</f>
        <v>No</v>
      </c>
      <c r="AH1266" s="5"/>
    </row>
    <row r="1267" spans="1:34" ht="12.75">
      <c r="A1267" s="5" t="str">
        <f ca="1">IFERROR(__xludf.DUMMYFUNCTION("""COMPUTED_VALUE"""),"20050524LABOS")</f>
        <v>20050524LABOS</v>
      </c>
      <c r="B1267" s="8">
        <f ca="1">IFERROR(__xludf.DUMMYFUNCTION("""COMPUTED_VALUE"""),38496)</f>
        <v>38496</v>
      </c>
      <c r="C1267" s="5" t="str">
        <f ca="1">IFERROR(__xludf.DUMMYFUNCTION("""COMPUTED_VALUE"""),"Booker T. Washington High School")</f>
        <v>Booker T. Washington High School</v>
      </c>
      <c r="D1267" s="5">
        <f ca="1">IFERROR(__xludf.DUMMYFUNCTION("""COMPUTED_VALUE"""),0)</f>
        <v>0</v>
      </c>
      <c r="E1267" s="5">
        <f ca="1">IFERROR(__xludf.DUMMYFUNCTION("""COMPUTED_VALUE"""),0)</f>
        <v>0</v>
      </c>
      <c r="F1267" s="5">
        <f ca="1">IFERROR(__xludf.DUMMYFUNCTION("""COMPUTED_VALUE"""),0)</f>
        <v>0</v>
      </c>
      <c r="G1267" s="5">
        <f ca="1">IFERROR(__xludf.DUMMYFUNCTION("""COMPUTED_VALUE"""),0)</f>
        <v>0</v>
      </c>
      <c r="H1267" s="9" t="str">
        <f ca="1">IFERROR(__xludf.DUMMYFUNCTION("""COMPUTED_VALUE"""),"https://www.newspapers.com/image/219341527/")</f>
        <v>https://www.newspapers.com/image/219341527/</v>
      </c>
      <c r="I1267" s="5"/>
      <c r="J1267" s="5"/>
      <c r="K1267" s="5">
        <f ca="1">IFERROR(__xludf.DUMMYFUNCTION("""COMPUTED_VALUE"""),2)</f>
        <v>2</v>
      </c>
      <c r="L1267" s="5" t="str">
        <f ca="1">IFERROR(__xludf.DUMMYFUNCTION("""COMPUTED_VALUE"""),"Spring")</f>
        <v>Spring</v>
      </c>
      <c r="M1267" s="5" t="str">
        <f ca="1">IFERROR(__xludf.DUMMYFUNCTION("""COMPUTED_VALUE"""),"Shreveport")</f>
        <v>Shreveport</v>
      </c>
      <c r="N1267" s="5" t="str">
        <f ca="1">IFERROR(__xludf.DUMMYFUNCTION("""COMPUTED_VALUE"""),"LA")</f>
        <v>LA</v>
      </c>
      <c r="O1267" s="5" t="str">
        <f ca="1">IFERROR(__xludf.DUMMYFUNCTION("""COMPUTED_VALUE"""),"High")</f>
        <v>High</v>
      </c>
      <c r="P1267" s="5" t="str">
        <f ca="1">IFERROR(__xludf.DUMMYFUNCTION("""COMPUTED_VALUE"""),"Beside Building")</f>
        <v>Beside Building</v>
      </c>
      <c r="Q1267" s="5" t="str">
        <f ca="1">IFERROR(__xludf.DUMMYFUNCTION("""COMPUTED_VALUE"""),"Outside on School Property")</f>
        <v>Outside on School Property</v>
      </c>
      <c r="R1267" s="5" t="str">
        <f ca="1">IFERROR(__xludf.DUMMYFUNCTION("""COMPUTED_VALUE"""),"Yes")</f>
        <v>Yes</v>
      </c>
      <c r="S1267" s="5" t="str">
        <f ca="1">IFERROR(__xludf.DUMMYFUNCTION("""COMPUTED_VALUE"""),"Dismissal")</f>
        <v>Dismissal</v>
      </c>
      <c r="T1267" s="10">
        <f ca="1">IFERROR(__xludf.DUMMYFUNCTION("""COMPUTED_VALUE"""),0.579861111111111)</f>
        <v>0.57986111111111105</v>
      </c>
      <c r="U1267" s="5">
        <f ca="1">IFERROR(__xludf.DUMMYFUNCTION("""COMPUTED_VALUE"""),1)</f>
        <v>1</v>
      </c>
      <c r="V1267" s="5" t="str">
        <f ca="1">IFERROR(__xludf.DUMMYFUNCTION("""COMPUTED_VALUE"""),"Student shot self in leg outside of school put pistol into pocket")</f>
        <v>Student shot self in leg outside of school put pistol into pocket</v>
      </c>
      <c r="W1267"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X1267" s="5" t="str">
        <f ca="1">IFERROR(__xludf.DUMMYFUNCTION("""COMPUTED_VALUE"""),"Accidental")</f>
        <v>Accidental</v>
      </c>
      <c r="Y1267" s="5" t="str">
        <f ca="1">IFERROR(__xludf.DUMMYFUNCTION("""COMPUTED_VALUE"""),"Neither")</f>
        <v>Neither</v>
      </c>
      <c r="Z1267" s="5" t="str">
        <f ca="1">IFERROR(__xludf.DUMMYFUNCTION("""COMPUTED_VALUE"""),"No")</f>
        <v>No</v>
      </c>
      <c r="AA1267" s="5"/>
      <c r="AB1267" s="5" t="str">
        <f ca="1">IFERROR(__xludf.DUMMYFUNCTION("""COMPUTED_VALUE"""),"No")</f>
        <v>No</v>
      </c>
      <c r="AC1267" s="5" t="str">
        <f ca="1">IFERROR(__xludf.DUMMYFUNCTION("""COMPUTED_VALUE"""),"No")</f>
        <v>No</v>
      </c>
      <c r="AD1267" s="5" t="str">
        <f ca="1">IFERROR(__xludf.DUMMYFUNCTION("""COMPUTED_VALUE"""),"No")</f>
        <v>No</v>
      </c>
      <c r="AE1267" s="5" t="str">
        <f ca="1">IFERROR(__xludf.DUMMYFUNCTION("""COMPUTED_VALUE"""),"No")</f>
        <v>No</v>
      </c>
      <c r="AF1267" s="5" t="str">
        <f ca="1">IFERROR(__xludf.DUMMYFUNCTION("""COMPUTED_VALUE"""),"No")</f>
        <v>No</v>
      </c>
      <c r="AG1267" s="5" t="str">
        <f ca="1">IFERROR(__xludf.DUMMYFUNCTION("""COMPUTED_VALUE"""),"No")</f>
        <v>No</v>
      </c>
      <c r="AH1267" s="5"/>
    </row>
    <row r="1268" spans="1:34" ht="12.75">
      <c r="A1268" s="5" t="str">
        <f ca="1">IFERROR(__xludf.DUMMYFUNCTION("""COMPUTED_VALUE"""),"20050524COACD")</f>
        <v>20050524COACD</v>
      </c>
      <c r="B1268" s="8">
        <f ca="1">IFERROR(__xludf.DUMMYFUNCTION("""COMPUTED_VALUE"""),38496)</f>
        <v>38496</v>
      </c>
      <c r="C1268" s="5" t="str">
        <f ca="1">IFERROR(__xludf.DUMMYFUNCTION("""COMPUTED_VALUE"""),"Academia Ana Marie Sandoval Montessori School")</f>
        <v>Academia Ana Marie Sandoval Montessori School</v>
      </c>
      <c r="D1268" s="5">
        <f ca="1">IFERROR(__xludf.DUMMYFUNCTION("""COMPUTED_VALUE"""),0)</f>
        <v>0</v>
      </c>
      <c r="E1268" s="5">
        <f ca="1">IFERROR(__xludf.DUMMYFUNCTION("""COMPUTED_VALUE"""),2)</f>
        <v>2</v>
      </c>
      <c r="F1268" s="5">
        <f ca="1">IFERROR(__xludf.DUMMYFUNCTION("""COMPUTED_VALUE"""),2)</f>
        <v>2</v>
      </c>
      <c r="G1268" s="5">
        <f ca="1">IFERROR(__xludf.DUMMYFUNCTION("""COMPUTED_VALUE"""),0)</f>
        <v>0</v>
      </c>
      <c r="H1268" s="9" t="str">
        <f ca="1">IFERROR(__xludf.DUMMYFUNCTION("""COMPUTED_VALUE"""),"https://www.denverpost.com/2005/05/24/pellets-strike-2-adults-on-busy-school-playground/")</f>
        <v>https://www.denverpost.com/2005/05/24/pellets-strike-2-adults-on-busy-school-playground/</v>
      </c>
      <c r="I1268" s="5"/>
      <c r="J1268" s="5"/>
      <c r="K1268" s="5">
        <f ca="1">IFERROR(__xludf.DUMMYFUNCTION("""COMPUTED_VALUE"""),2)</f>
        <v>2</v>
      </c>
      <c r="L1268" s="5" t="str">
        <f ca="1">IFERROR(__xludf.DUMMYFUNCTION("""COMPUTED_VALUE"""),"Spring")</f>
        <v>Spring</v>
      </c>
      <c r="M1268" s="5" t="str">
        <f ca="1">IFERROR(__xludf.DUMMYFUNCTION("""COMPUTED_VALUE"""),"Denver")</f>
        <v>Denver</v>
      </c>
      <c r="N1268" s="5" t="str">
        <f ca="1">IFERROR(__xludf.DUMMYFUNCTION("""COMPUTED_VALUE"""),"CO")</f>
        <v>CO</v>
      </c>
      <c r="O1268" s="5" t="str">
        <f ca="1">IFERROR(__xludf.DUMMYFUNCTION("""COMPUTED_VALUE"""),"Other")</f>
        <v>Other</v>
      </c>
      <c r="P1268" s="5" t="str">
        <f ca="1">IFERROR(__xludf.DUMMYFUNCTION("""COMPUTED_VALUE"""),"Playground")</f>
        <v>Playground</v>
      </c>
      <c r="Q1268" s="5" t="str">
        <f ca="1">IFERROR(__xludf.DUMMYFUNCTION("""COMPUTED_VALUE"""),"Outside on School Property")</f>
        <v>Outside on School Property</v>
      </c>
      <c r="R1268" s="5" t="str">
        <f ca="1">IFERROR(__xludf.DUMMYFUNCTION("""COMPUTED_VALUE"""),"Yes")</f>
        <v>Yes</v>
      </c>
      <c r="S1268" s="5" t="str">
        <f ca="1">IFERROR(__xludf.DUMMYFUNCTION("""COMPUTED_VALUE"""),"Afternoon Classes")</f>
        <v>Afternoon Classes</v>
      </c>
      <c r="T1268" s="10">
        <f ca="1">IFERROR(__xludf.DUMMYFUNCTION("""COMPUTED_VALUE"""),0.541666666666666)</f>
        <v>0.54166666666666596</v>
      </c>
      <c r="U1268" s="5">
        <f ca="1">IFERROR(__xludf.DUMMYFUNCTION("""COMPUTED_VALUE"""),1)</f>
        <v>1</v>
      </c>
      <c r="V1268" s="5" t="str">
        <f ca="1">IFERROR(__xludf.DUMMYFUNCTION("""COMPUTED_VALUE"""),"Unknown shooter fired BB gun at playground striking teacher in the neck")</f>
        <v>Unknown shooter fired BB gun at playground striking teacher in the neck</v>
      </c>
      <c r="W1268"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X1268" s="5" t="str">
        <f ca="1">IFERROR(__xludf.DUMMYFUNCTION("""COMPUTED_VALUE"""),"Indiscriminate Shooting")</f>
        <v>Indiscriminate Shooting</v>
      </c>
      <c r="Y1268" s="5" t="str">
        <f ca="1">IFERROR(__xludf.DUMMYFUNCTION("""COMPUTED_VALUE"""),"Random Shooting")</f>
        <v>Random Shooting</v>
      </c>
      <c r="Z1268" s="5" t="str">
        <f ca="1">IFERROR(__xludf.DUMMYFUNCTION("""COMPUTED_VALUE"""),"No")</f>
        <v>No</v>
      </c>
      <c r="AA1268" s="5"/>
      <c r="AB1268" s="5" t="str">
        <f ca="1">IFERROR(__xludf.DUMMYFUNCTION("""COMPUTED_VALUE"""),"No")</f>
        <v>No</v>
      </c>
      <c r="AC1268" s="5" t="str">
        <f ca="1">IFERROR(__xludf.DUMMYFUNCTION("""COMPUTED_VALUE"""),"No")</f>
        <v>No</v>
      </c>
      <c r="AD1268" s="5" t="str">
        <f ca="1">IFERROR(__xludf.DUMMYFUNCTION("""COMPUTED_VALUE"""),"No")</f>
        <v>No</v>
      </c>
      <c r="AE1268" s="5" t="str">
        <f ca="1">IFERROR(__xludf.DUMMYFUNCTION("""COMPUTED_VALUE"""),"No")</f>
        <v>No</v>
      </c>
      <c r="AF1268" s="5" t="str">
        <f ca="1">IFERROR(__xludf.DUMMYFUNCTION("""COMPUTED_VALUE"""),"No")</f>
        <v>No</v>
      </c>
      <c r="AG1268" s="5" t="str">
        <f ca="1">IFERROR(__xludf.DUMMYFUNCTION("""COMPUTED_VALUE"""),"No")</f>
        <v>No</v>
      </c>
      <c r="AH1268" s="5"/>
    </row>
    <row r="1269" spans="1:34" ht="12.75">
      <c r="A1269" s="5" t="str">
        <f ca="1">IFERROR(__xludf.DUMMYFUNCTION("""COMPUTED_VALUE"""),"20050520ILLOM")</f>
        <v>20050520ILLOM</v>
      </c>
      <c r="B1269" s="8">
        <f ca="1">IFERROR(__xludf.DUMMYFUNCTION("""COMPUTED_VALUE"""),38492)</f>
        <v>38492</v>
      </c>
      <c r="C1269" s="5" t="str">
        <f ca="1">IFERROR(__xludf.DUMMYFUNCTION("""COMPUTED_VALUE"""),"Locust Elementary School")</f>
        <v>Locust Elementary School</v>
      </c>
      <c r="D1269" s="5">
        <f ca="1">IFERROR(__xludf.DUMMYFUNCTION("""COMPUTED_VALUE"""),0)</f>
        <v>0</v>
      </c>
      <c r="E1269" s="5">
        <f ca="1">IFERROR(__xludf.DUMMYFUNCTION("""COMPUTED_VALUE"""),2)</f>
        <v>2</v>
      </c>
      <c r="F1269" s="5">
        <f ca="1">IFERROR(__xludf.DUMMYFUNCTION("""COMPUTED_VALUE"""),2)</f>
        <v>2</v>
      </c>
      <c r="G1269" s="5">
        <f ca="1">IFERROR(__xludf.DUMMYFUNCTION("""COMPUTED_VALUE"""),0)</f>
        <v>0</v>
      </c>
      <c r="H1269" s="9" t="str">
        <f ca="1">IFERROR(__xludf.DUMMYFUNCTION("""COMPUTED_VALUE"""),"http://articles.chicagotribune.com/2005-05-26/news/0505260268_1_hallman-pupils-soft-air-gun")</f>
        <v>http://articles.chicagotribune.com/2005-05-26/news/0505260268_1_hallman-pupils-soft-air-gun</v>
      </c>
      <c r="I1269" s="5"/>
      <c r="J1269" s="5"/>
      <c r="K1269" s="5">
        <f ca="1">IFERROR(__xludf.DUMMYFUNCTION("""COMPUTED_VALUE"""),2)</f>
        <v>2</v>
      </c>
      <c r="L1269" s="5" t="str">
        <f ca="1">IFERROR(__xludf.DUMMYFUNCTION("""COMPUTED_VALUE"""),"Spring")</f>
        <v>Spring</v>
      </c>
      <c r="M1269" s="5" t="str">
        <f ca="1">IFERROR(__xludf.DUMMYFUNCTION("""COMPUTED_VALUE"""),"Marengo")</f>
        <v>Marengo</v>
      </c>
      <c r="N1269" s="5" t="str">
        <f ca="1">IFERROR(__xludf.DUMMYFUNCTION("""COMPUTED_VALUE"""),"IL")</f>
        <v>IL</v>
      </c>
      <c r="O1269" s="5" t="str">
        <f ca="1">IFERROR(__xludf.DUMMYFUNCTION("""COMPUTED_VALUE"""),"Elementary")</f>
        <v>Elementary</v>
      </c>
      <c r="P1269" s="5" t="str">
        <f ca="1">IFERROR(__xludf.DUMMYFUNCTION("""COMPUTED_VALUE"""),"Parking Lot")</f>
        <v>Parking Lot</v>
      </c>
      <c r="Q1269" s="5" t="str">
        <f ca="1">IFERROR(__xludf.DUMMYFUNCTION("""COMPUTED_VALUE"""),"Outside on School Property")</f>
        <v>Outside on School Property</v>
      </c>
      <c r="R1269" s="5" t="str">
        <f ca="1">IFERROR(__xludf.DUMMYFUNCTION("""COMPUTED_VALUE"""),"Yes")</f>
        <v>Yes</v>
      </c>
      <c r="S1269" s="5" t="str">
        <f ca="1">IFERROR(__xludf.DUMMYFUNCTION("""COMPUTED_VALUE"""),"Dismissal")</f>
        <v>Dismissal</v>
      </c>
      <c r="T1269" s="10">
        <f ca="1">IFERROR(__xludf.DUMMYFUNCTION("""COMPUTED_VALUE"""),0.625)</f>
        <v>0.625</v>
      </c>
      <c r="U1269" s="5">
        <f ca="1">IFERROR(__xludf.DUMMYFUNCTION("""COMPUTED_VALUE"""),1)</f>
        <v>1</v>
      </c>
      <c r="V1269" s="5" t="str">
        <f ca="1">IFERROR(__xludf.DUMMYFUNCTION("""COMPUTED_VALUE"""),"Showing off airsoft gun in parking lot, accidentally fired injuring 2 students")</f>
        <v>Showing off airsoft gun in parking lot, accidentally fired injuring 2 students</v>
      </c>
      <c r="W1269"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X1269" s="5" t="str">
        <f ca="1">IFERROR(__xludf.DUMMYFUNCTION("""COMPUTED_VALUE"""),"Accidental")</f>
        <v>Accidental</v>
      </c>
      <c r="Y1269" s="5" t="str">
        <f ca="1">IFERROR(__xludf.DUMMYFUNCTION("""COMPUTED_VALUE"""),"Random Shooting")</f>
        <v>Random Shooting</v>
      </c>
      <c r="Z1269" s="5" t="str">
        <f ca="1">IFERROR(__xludf.DUMMYFUNCTION("""COMPUTED_VALUE"""),"No")</f>
        <v>No</v>
      </c>
      <c r="AA1269" s="5"/>
      <c r="AB1269" s="5" t="str">
        <f ca="1">IFERROR(__xludf.DUMMYFUNCTION("""COMPUTED_VALUE"""),"No")</f>
        <v>No</v>
      </c>
      <c r="AC1269" s="5" t="str">
        <f ca="1">IFERROR(__xludf.DUMMYFUNCTION("""COMPUTED_VALUE"""),"No")</f>
        <v>No</v>
      </c>
      <c r="AD1269" s="5" t="str">
        <f ca="1">IFERROR(__xludf.DUMMYFUNCTION("""COMPUTED_VALUE"""),"No")</f>
        <v>No</v>
      </c>
      <c r="AE1269" s="5" t="str">
        <f ca="1">IFERROR(__xludf.DUMMYFUNCTION("""COMPUTED_VALUE"""),"No")</f>
        <v>No</v>
      </c>
      <c r="AF1269" s="5" t="str">
        <f ca="1">IFERROR(__xludf.DUMMYFUNCTION("""COMPUTED_VALUE"""),"No")</f>
        <v>No</v>
      </c>
      <c r="AG1269" s="5" t="str">
        <f ca="1">IFERROR(__xludf.DUMMYFUNCTION("""COMPUTED_VALUE"""),"No")</f>
        <v>No</v>
      </c>
      <c r="AH1269" s="5"/>
    </row>
    <row r="1270" spans="1:34" ht="12.75">
      <c r="A1270" s="5" t="str">
        <f ca="1">IFERROR(__xludf.DUMMYFUNCTION("""COMPUTED_VALUE"""),"20050517PAHIL")</f>
        <v>20050517PAHIL</v>
      </c>
      <c r="B1270" s="8">
        <f ca="1">IFERROR(__xludf.DUMMYFUNCTION("""COMPUTED_VALUE"""),38489)</f>
        <v>38489</v>
      </c>
      <c r="C1270" s="5" t="str">
        <f ca="1">IFERROR(__xludf.DUMMYFUNCTION("""COMPUTED_VALUE"""),"Highland Elementary School")</f>
        <v>Highland Elementary School</v>
      </c>
      <c r="D1270" s="5">
        <f ca="1">IFERROR(__xludf.DUMMYFUNCTION("""COMPUTED_VALUE"""),1)</f>
        <v>1</v>
      </c>
      <c r="E1270" s="5">
        <f ca="1">IFERROR(__xludf.DUMMYFUNCTION("""COMPUTED_VALUE"""),0)</f>
        <v>0</v>
      </c>
      <c r="F1270" s="5">
        <f ca="1">IFERROR(__xludf.DUMMYFUNCTION("""COMPUTED_VALUE"""),1)</f>
        <v>1</v>
      </c>
      <c r="G1270" s="5">
        <f ca="1">IFERROR(__xludf.DUMMYFUNCTION("""COMPUTED_VALUE"""),1)</f>
        <v>1</v>
      </c>
      <c r="H1270" s="9" t="str">
        <f ca="1">IFERROR(__xludf.DUMMYFUNCTION("""COMPUTED_VALUE"""),"https://cumberlink.com/news/murder-suicide-shocks-school/article_f20ad9ba-ef8b-5fc1-bf1e-2507ab486715.html")</f>
        <v>https://cumberlink.com/news/murder-suicide-shocks-school/article_f20ad9ba-ef8b-5fc1-bf1e-2507ab486715.html</v>
      </c>
      <c r="I1270" s="5"/>
      <c r="J1270" s="5"/>
      <c r="K1270" s="5">
        <f ca="1">IFERROR(__xludf.DUMMYFUNCTION("""COMPUTED_VALUE"""),2)</f>
        <v>2</v>
      </c>
      <c r="L1270" s="5" t="str">
        <f ca="1">IFERROR(__xludf.DUMMYFUNCTION("""COMPUTED_VALUE"""),"Spring")</f>
        <v>Spring</v>
      </c>
      <c r="M1270" s="5" t="str">
        <f ca="1">IFERROR(__xludf.DUMMYFUNCTION("""COMPUTED_VALUE"""),"Lower Allen Township")</f>
        <v>Lower Allen Township</v>
      </c>
      <c r="N1270" s="5" t="str">
        <f ca="1">IFERROR(__xludf.DUMMYFUNCTION("""COMPUTED_VALUE"""),"PA")</f>
        <v>PA</v>
      </c>
      <c r="O1270" s="5" t="str">
        <f ca="1">IFERROR(__xludf.DUMMYFUNCTION("""COMPUTED_VALUE"""),"Elementary")</f>
        <v>Elementary</v>
      </c>
      <c r="P1270" s="5" t="str">
        <f ca="1">IFERROR(__xludf.DUMMYFUNCTION("""COMPUTED_VALUE"""),"Parking Lot")</f>
        <v>Parking Lot</v>
      </c>
      <c r="Q1270" s="5" t="str">
        <f ca="1">IFERROR(__xludf.DUMMYFUNCTION("""COMPUTED_VALUE"""),"Outside on School Property")</f>
        <v>Outside on School Property</v>
      </c>
      <c r="R1270" s="5" t="str">
        <f ca="1">IFERROR(__xludf.DUMMYFUNCTION("""COMPUTED_VALUE"""),"Yes")</f>
        <v>Yes</v>
      </c>
      <c r="S1270" s="5" t="str">
        <f ca="1">IFERROR(__xludf.DUMMYFUNCTION("""COMPUTED_VALUE"""),"Dismissal")</f>
        <v>Dismissal</v>
      </c>
      <c r="T1270" s="10">
        <f ca="1">IFERROR(__xludf.DUMMYFUNCTION("""COMPUTED_VALUE"""),0.625)</f>
        <v>0.625</v>
      </c>
      <c r="U1270" s="5">
        <f ca="1">IFERROR(__xludf.DUMMYFUNCTION("""COMPUTED_VALUE"""),1)</f>
        <v>1</v>
      </c>
      <c r="V1270" s="5" t="str">
        <f ca="1">IFERROR(__xludf.DUMMYFUNCTION("""COMPUTED_VALUE"""),"Student's mother was killed by ex-boyfriend in the parking lot then commit suicide")</f>
        <v>Student's mother was killed by ex-boyfriend in the parking lot then commit suicide</v>
      </c>
      <c r="W1270"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X1270" s="5" t="str">
        <f ca="1">IFERROR(__xludf.DUMMYFUNCTION("""COMPUTED_VALUE"""),"Murder/Suicide")</f>
        <v>Murder/Suicide</v>
      </c>
      <c r="Y1270" s="5" t="str">
        <f ca="1">IFERROR(__xludf.DUMMYFUNCTION("""COMPUTED_VALUE"""),"Victims Targeted")</f>
        <v>Victims Targeted</v>
      </c>
      <c r="Z1270" s="5" t="str">
        <f ca="1">IFERROR(__xludf.DUMMYFUNCTION("""COMPUTED_VALUE"""),"No")</f>
        <v>No</v>
      </c>
      <c r="AA1270" s="5"/>
      <c r="AB1270" s="5" t="str">
        <f ca="1">IFERROR(__xludf.DUMMYFUNCTION("""COMPUTED_VALUE"""),"No")</f>
        <v>No</v>
      </c>
      <c r="AC1270" s="5" t="str">
        <f ca="1">IFERROR(__xludf.DUMMYFUNCTION("""COMPUTED_VALUE"""),"No")</f>
        <v>No</v>
      </c>
      <c r="AD1270" s="5" t="str">
        <f ca="1">IFERROR(__xludf.DUMMYFUNCTION("""COMPUTED_VALUE"""),"No")</f>
        <v>No</v>
      </c>
      <c r="AE1270" s="5" t="str">
        <f ca="1">IFERROR(__xludf.DUMMYFUNCTION("""COMPUTED_VALUE"""),"No")</f>
        <v>No</v>
      </c>
      <c r="AF1270" s="5" t="str">
        <f ca="1">IFERROR(__xludf.DUMMYFUNCTION("""COMPUTED_VALUE"""),"Yes")</f>
        <v>Yes</v>
      </c>
      <c r="AG1270" s="5" t="str">
        <f ca="1">IFERROR(__xludf.DUMMYFUNCTION("""COMPUTED_VALUE"""),"No")</f>
        <v>No</v>
      </c>
      <c r="AH1270" s="5"/>
    </row>
    <row r="1271" spans="1:34" ht="12.75">
      <c r="A1271" s="5" t="str">
        <f ca="1">IFERROR(__xludf.DUMMYFUNCTION("""COMPUTED_VALUE"""),"20050514TXBER")</f>
        <v>20050514TXBER</v>
      </c>
      <c r="B1271" s="8">
        <f ca="1">IFERROR(__xludf.DUMMYFUNCTION("""COMPUTED_VALUE"""),38486)</f>
        <v>38486</v>
      </c>
      <c r="C1271" s="5" t="str">
        <f ca="1">IFERROR(__xludf.DUMMYFUNCTION("""COMPUTED_VALUE"""),"Berkner High School")</f>
        <v>Berkner High School</v>
      </c>
      <c r="D1271" s="5">
        <f ca="1">IFERROR(__xludf.DUMMYFUNCTION("""COMPUTED_VALUE"""),0)</f>
        <v>0</v>
      </c>
      <c r="E1271" s="5">
        <f ca="1">IFERROR(__xludf.DUMMYFUNCTION("""COMPUTED_VALUE"""),1)</f>
        <v>1</v>
      </c>
      <c r="F1271" s="5">
        <f ca="1">IFERROR(__xludf.DUMMYFUNCTION("""COMPUTED_VALUE"""),1)</f>
        <v>1</v>
      </c>
      <c r="G1271" s="5">
        <f ca="1">IFERROR(__xludf.DUMMYFUNCTION("""COMPUTED_VALUE"""),0)</f>
        <v>0</v>
      </c>
      <c r="H1271" s="9" t="str">
        <f ca="1">IFERROR(__xludf.DUMMYFUNCTION("""COMPUTED_VALUE"""),"http://www.freerepublic.com/focus/news/1404328/posts")</f>
        <v>http://www.freerepublic.com/focus/news/1404328/posts</v>
      </c>
      <c r="I1271" s="5"/>
      <c r="J1271" s="5"/>
      <c r="K1271" s="5">
        <f ca="1">IFERROR(__xludf.DUMMYFUNCTION("""COMPUTED_VALUE"""),2)</f>
        <v>2</v>
      </c>
      <c r="L1271" s="5" t="str">
        <f ca="1">IFERROR(__xludf.DUMMYFUNCTION("""COMPUTED_VALUE"""),"Spring")</f>
        <v>Spring</v>
      </c>
      <c r="M1271" s="5" t="str">
        <f ca="1">IFERROR(__xludf.DUMMYFUNCTION("""COMPUTED_VALUE"""),"Richardson")</f>
        <v>Richardson</v>
      </c>
      <c r="N1271" s="5" t="str">
        <f ca="1">IFERROR(__xludf.DUMMYFUNCTION("""COMPUTED_VALUE"""),"TX")</f>
        <v>TX</v>
      </c>
      <c r="O1271" s="5" t="str">
        <f ca="1">IFERROR(__xludf.DUMMYFUNCTION("""COMPUTED_VALUE"""),"High")</f>
        <v>High</v>
      </c>
      <c r="P1271" s="5" t="str">
        <f ca="1">IFERROR(__xludf.DUMMYFUNCTION("""COMPUTED_VALUE"""),"Parking Lot")</f>
        <v>Parking Lot</v>
      </c>
      <c r="Q1271" s="5" t="str">
        <f ca="1">IFERROR(__xludf.DUMMYFUNCTION("""COMPUTED_VALUE"""),"Outside on School Property")</f>
        <v>Outside on School Property</v>
      </c>
      <c r="R1271" s="5" t="str">
        <f ca="1">IFERROR(__xludf.DUMMYFUNCTION("""COMPUTED_VALUE"""),"No")</f>
        <v>No</v>
      </c>
      <c r="S1271" s="5" t="str">
        <f ca="1">IFERROR(__xludf.DUMMYFUNCTION("""COMPUTED_VALUE"""),"Not a School Day")</f>
        <v>Not a School Day</v>
      </c>
      <c r="T1271" s="10">
        <f ca="1">IFERROR(__xludf.DUMMYFUNCTION("""COMPUTED_VALUE"""),0.8125)</f>
        <v>0.8125</v>
      </c>
      <c r="U1271" s="5">
        <f ca="1">IFERROR(__xludf.DUMMYFUNCTION("""COMPUTED_VALUE"""),1)</f>
        <v>1</v>
      </c>
      <c r="V1271" s="5" t="str">
        <f ca="1">IFERROR(__xludf.DUMMYFUNCTION("""COMPUTED_VALUE"""),"Fight in high school parking lot following earlier fight broken up by police, shots fired")</f>
        <v>Fight in high school parking lot following earlier fight broken up by police, shots fired</v>
      </c>
      <c r="W1271"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X1271" s="5" t="str">
        <f ca="1">IFERROR(__xludf.DUMMYFUNCTION("""COMPUTED_VALUE"""),"Escalation of Dispute")</f>
        <v>Escalation of Dispute</v>
      </c>
      <c r="Y1271" s="5" t="str">
        <f ca="1">IFERROR(__xludf.DUMMYFUNCTION("""COMPUTED_VALUE"""),"Victims Targeted")</f>
        <v>Victims Targeted</v>
      </c>
      <c r="Z1271" s="5" t="str">
        <f ca="1">IFERROR(__xludf.DUMMYFUNCTION("""COMPUTED_VALUE"""),"Yes")</f>
        <v>Yes</v>
      </c>
      <c r="AA1271" s="5" t="str">
        <f ca="1">IFERROR(__xludf.DUMMYFUNCTION("""COMPUTED_VALUE"""),"Group of students fighting")</f>
        <v>Group of students fighting</v>
      </c>
      <c r="AB1271" s="5" t="str">
        <f ca="1">IFERROR(__xludf.DUMMYFUNCTION("""COMPUTED_VALUE"""),"No")</f>
        <v>No</v>
      </c>
      <c r="AC1271" s="5" t="str">
        <f ca="1">IFERROR(__xludf.DUMMYFUNCTION("""COMPUTED_VALUE"""),"No")</f>
        <v>No</v>
      </c>
      <c r="AD1271" s="5" t="str">
        <f ca="1">IFERROR(__xludf.DUMMYFUNCTION("""COMPUTED_VALUE"""),"No")</f>
        <v>No</v>
      </c>
      <c r="AE1271" s="5" t="str">
        <f ca="1">IFERROR(__xludf.DUMMYFUNCTION("""COMPUTED_VALUE"""),"No")</f>
        <v>No</v>
      </c>
      <c r="AF1271" s="5" t="str">
        <f ca="1">IFERROR(__xludf.DUMMYFUNCTION("""COMPUTED_VALUE"""),"No")</f>
        <v>No</v>
      </c>
      <c r="AG1271" s="5" t="str">
        <f ca="1">IFERROR(__xludf.DUMMYFUNCTION("""COMPUTED_VALUE"""),"No")</f>
        <v>No</v>
      </c>
      <c r="AH1271" s="5"/>
    </row>
    <row r="1272" spans="1:34" ht="12.75">
      <c r="A1272" s="5" t="str">
        <f ca="1">IFERROR(__xludf.DUMMYFUNCTION("""COMPUTED_VALUE"""),"20050429OHDAC")</f>
        <v>20050429OHDAC</v>
      </c>
      <c r="B1272" s="8">
        <f ca="1">IFERROR(__xludf.DUMMYFUNCTION("""COMPUTED_VALUE"""),38471)</f>
        <v>38471</v>
      </c>
      <c r="C1272" s="5" t="str">
        <f ca="1">IFERROR(__xludf.DUMMYFUNCTION("""COMPUTED_VALUE"""),"Daniel E. Morgan Elementary School")</f>
        <v>Daniel E. Morgan Elementary School</v>
      </c>
      <c r="D1272" s="5">
        <f ca="1">IFERROR(__xludf.DUMMYFUNCTION("""COMPUTED_VALUE"""),0)</f>
        <v>0</v>
      </c>
      <c r="E1272" s="5">
        <f ca="1">IFERROR(__xludf.DUMMYFUNCTION("""COMPUTED_VALUE"""),1)</f>
        <v>1</v>
      </c>
      <c r="F1272" s="5">
        <f ca="1">IFERROR(__xludf.DUMMYFUNCTION("""COMPUTED_VALUE"""),1)</f>
        <v>1</v>
      </c>
      <c r="G1272" s="5">
        <f ca="1">IFERROR(__xludf.DUMMYFUNCTION("""COMPUTED_VALUE"""),0)</f>
        <v>0</v>
      </c>
      <c r="H1272" s="9" t="str">
        <f ca="1">IFERROR(__xludf.DUMMYFUNCTION("""COMPUTED_VALUE"""),"https://www.columbine-angels.com/School_Violence_2004-2005.htm")</f>
        <v>https://www.columbine-angels.com/School_Violence_2004-2005.htm</v>
      </c>
      <c r="I1272" s="5"/>
      <c r="J1272" s="5"/>
      <c r="K1272" s="5">
        <f ca="1">IFERROR(__xludf.DUMMYFUNCTION("""COMPUTED_VALUE"""),1)</f>
        <v>1</v>
      </c>
      <c r="L1272" s="5" t="str">
        <f ca="1">IFERROR(__xludf.DUMMYFUNCTION("""COMPUTED_VALUE"""),"Spring")</f>
        <v>Spring</v>
      </c>
      <c r="M1272" s="5" t="str">
        <f ca="1">IFERROR(__xludf.DUMMYFUNCTION("""COMPUTED_VALUE"""),"Cleveland")</f>
        <v>Cleveland</v>
      </c>
      <c r="N1272" s="5" t="str">
        <f ca="1">IFERROR(__xludf.DUMMYFUNCTION("""COMPUTED_VALUE"""),"OH")</f>
        <v>OH</v>
      </c>
      <c r="O1272" s="5" t="str">
        <f ca="1">IFERROR(__xludf.DUMMYFUNCTION("""COMPUTED_VALUE"""),"High")</f>
        <v>High</v>
      </c>
      <c r="P1272" s="5" t="str">
        <f ca="1">IFERROR(__xludf.DUMMYFUNCTION("""COMPUTED_VALUE"""),"Office")</f>
        <v>Office</v>
      </c>
      <c r="Q1272" s="5" t="str">
        <f ca="1">IFERROR(__xludf.DUMMYFUNCTION("""COMPUTED_VALUE"""),"Inside School Building")</f>
        <v>Inside School Building</v>
      </c>
      <c r="R1272" s="5"/>
      <c r="S1272" s="5"/>
      <c r="T1272" s="5"/>
      <c r="U1272" s="5">
        <f ca="1">IFERROR(__xludf.DUMMYFUNCTION("""COMPUTED_VALUE"""),1)</f>
        <v>1</v>
      </c>
      <c r="V1272" s="5" t="str">
        <f ca="1">IFERROR(__xludf.DUMMYFUNCTION("""COMPUTED_VALUE"""),"Shot fired at window of the school office")</f>
        <v>Shot fired at window of the school office</v>
      </c>
      <c r="W1272"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X1272" s="5" t="str">
        <f ca="1">IFERROR(__xludf.DUMMYFUNCTION("""COMPUTED_VALUE"""),"Intentional Property Damage")</f>
        <v>Intentional Property Damage</v>
      </c>
      <c r="Y1272" s="5"/>
      <c r="Z1272" s="5" t="str">
        <f ca="1">IFERROR(__xludf.DUMMYFUNCTION("""COMPUTED_VALUE"""),"No")</f>
        <v>No</v>
      </c>
      <c r="AA1272" s="5"/>
      <c r="AB1272" s="5" t="str">
        <f ca="1">IFERROR(__xludf.DUMMYFUNCTION("""COMPUTED_VALUE"""),"No")</f>
        <v>No</v>
      </c>
      <c r="AC1272" s="5" t="str">
        <f ca="1">IFERROR(__xludf.DUMMYFUNCTION("""COMPUTED_VALUE"""),"No")</f>
        <v>No</v>
      </c>
      <c r="AD1272" s="5" t="str">
        <f ca="1">IFERROR(__xludf.DUMMYFUNCTION("""COMPUTED_VALUE"""),"No")</f>
        <v>No</v>
      </c>
      <c r="AE1272" s="5" t="str">
        <f ca="1">IFERROR(__xludf.DUMMYFUNCTION("""COMPUTED_VALUE"""),"No")</f>
        <v>No</v>
      </c>
      <c r="AF1272" s="5" t="str">
        <f ca="1">IFERROR(__xludf.DUMMYFUNCTION("""COMPUTED_VALUE"""),"No")</f>
        <v>No</v>
      </c>
      <c r="AG1272" s="5" t="str">
        <f ca="1">IFERROR(__xludf.DUMMYFUNCTION("""COMPUTED_VALUE"""),"No")</f>
        <v>No</v>
      </c>
      <c r="AH1272" s="5"/>
    </row>
    <row r="1273" spans="1:34" ht="12.75">
      <c r="A1273" s="5" t="str">
        <f ca="1">IFERROR(__xludf.DUMMYFUNCTION("""COMPUTED_VALUE"""),"20050427LALER")</f>
        <v>20050427LALER</v>
      </c>
      <c r="B1273" s="8">
        <f ca="1">IFERROR(__xludf.DUMMYFUNCTION("""COMPUTED_VALUE"""),38469)</f>
        <v>38469</v>
      </c>
      <c r="C1273" s="5" t="str">
        <f ca="1">IFERROR(__xludf.DUMMYFUNCTION("""COMPUTED_VALUE"""),"Leon Godchaux Junior High School")</f>
        <v>Leon Godchaux Junior High School</v>
      </c>
      <c r="D1273" s="5">
        <f ca="1">IFERROR(__xludf.DUMMYFUNCTION("""COMPUTED_VALUE"""),0)</f>
        <v>0</v>
      </c>
      <c r="E1273" s="5">
        <f ca="1">IFERROR(__xludf.DUMMYFUNCTION("""COMPUTED_VALUE"""),0)</f>
        <v>0</v>
      </c>
      <c r="F1273" s="5">
        <f ca="1">IFERROR(__xludf.DUMMYFUNCTION("""COMPUTED_VALUE"""),0)</f>
        <v>0</v>
      </c>
      <c r="G1273" s="5">
        <f ca="1">IFERROR(__xludf.DUMMYFUNCTION("""COMPUTED_VALUE"""),0)</f>
        <v>0</v>
      </c>
      <c r="H1273" s="9" t="str">
        <f ca="1">IFERROR(__xludf.DUMMYFUNCTION("""COMPUTED_VALUE"""),"https://www.lobservateur.com/2005/05/02/godchaux-student-fires-handgun-in-class/")</f>
        <v>https://www.lobservateur.com/2005/05/02/godchaux-student-fires-handgun-in-class/</v>
      </c>
      <c r="I1273" s="5"/>
      <c r="J1273" s="5"/>
      <c r="K1273" s="5">
        <f ca="1">IFERROR(__xludf.DUMMYFUNCTION("""COMPUTED_VALUE"""),2)</f>
        <v>2</v>
      </c>
      <c r="L1273" s="5" t="str">
        <f ca="1">IFERROR(__xludf.DUMMYFUNCTION("""COMPUTED_VALUE"""),"Spring")</f>
        <v>Spring</v>
      </c>
      <c r="M1273" s="5" t="str">
        <f ca="1">IFERROR(__xludf.DUMMYFUNCTION("""COMPUTED_VALUE"""),"Reserve")</f>
        <v>Reserve</v>
      </c>
      <c r="N1273" s="5" t="str">
        <f ca="1">IFERROR(__xludf.DUMMYFUNCTION("""COMPUTED_VALUE"""),"LA")</f>
        <v>LA</v>
      </c>
      <c r="O1273" s="5" t="str">
        <f ca="1">IFERROR(__xludf.DUMMYFUNCTION("""COMPUTED_VALUE"""),"High")</f>
        <v>High</v>
      </c>
      <c r="P1273" s="5" t="str">
        <f ca="1">IFERROR(__xludf.DUMMYFUNCTION("""COMPUTED_VALUE"""),"Classroom")</f>
        <v>Classroom</v>
      </c>
      <c r="Q1273" s="5" t="str">
        <f ca="1">IFERROR(__xludf.DUMMYFUNCTION("""COMPUTED_VALUE"""),"Inside School Building")</f>
        <v>Inside School Building</v>
      </c>
      <c r="R1273" s="5" t="str">
        <f ca="1">IFERROR(__xludf.DUMMYFUNCTION("""COMPUTED_VALUE"""),"Yes")</f>
        <v>Yes</v>
      </c>
      <c r="S1273" s="5" t="str">
        <f ca="1">IFERROR(__xludf.DUMMYFUNCTION("""COMPUTED_VALUE"""),"Morning Classes")</f>
        <v>Morning Classes</v>
      </c>
      <c r="T1273" s="10">
        <f ca="1">IFERROR(__xludf.DUMMYFUNCTION("""COMPUTED_VALUE"""),0.416666666666666)</f>
        <v>0.41666666666666602</v>
      </c>
      <c r="U1273" s="5">
        <f ca="1">IFERROR(__xludf.DUMMYFUNCTION("""COMPUTED_VALUE"""),1)</f>
        <v>1</v>
      </c>
      <c r="V1273" s="5" t="str">
        <f ca="1">IFERROR(__xludf.DUMMYFUNCTION("""COMPUTED_VALUE"""),"Student fired gun in pocket, students in the class fled the scene, threw gun in sewer drain")</f>
        <v>Student fired gun in pocket, students in the class fled the scene, threw gun in sewer drain</v>
      </c>
      <c r="W1273"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X1273" s="5" t="str">
        <f ca="1">IFERROR(__xludf.DUMMYFUNCTION("""COMPUTED_VALUE"""),"Accidental")</f>
        <v>Accidental</v>
      </c>
      <c r="Y1273" s="5" t="str">
        <f ca="1">IFERROR(__xludf.DUMMYFUNCTION("""COMPUTED_VALUE"""),"Neither")</f>
        <v>Neither</v>
      </c>
      <c r="Z1273" s="5" t="str">
        <f ca="1">IFERROR(__xludf.DUMMYFUNCTION("""COMPUTED_VALUE"""),"Yes")</f>
        <v>Yes</v>
      </c>
      <c r="AA1273" s="5" t="str">
        <f ca="1">IFERROR(__xludf.DUMMYFUNCTION("""COMPUTED_VALUE"""),"14 year old gave him the gun")</f>
        <v>14 year old gave him the gun</v>
      </c>
      <c r="AB1273" s="5" t="str">
        <f ca="1">IFERROR(__xludf.DUMMYFUNCTION("""COMPUTED_VALUE"""),"No")</f>
        <v>No</v>
      </c>
      <c r="AC1273" s="5" t="str">
        <f ca="1">IFERROR(__xludf.DUMMYFUNCTION("""COMPUTED_VALUE"""),"No")</f>
        <v>No</v>
      </c>
      <c r="AD1273" s="5" t="str">
        <f ca="1">IFERROR(__xludf.DUMMYFUNCTION("""COMPUTED_VALUE"""),"No")</f>
        <v>No</v>
      </c>
      <c r="AE1273" s="5" t="str">
        <f ca="1">IFERROR(__xludf.DUMMYFUNCTION("""COMPUTED_VALUE"""),"No")</f>
        <v>No</v>
      </c>
      <c r="AF1273" s="5" t="str">
        <f ca="1">IFERROR(__xludf.DUMMYFUNCTION("""COMPUTED_VALUE"""),"No")</f>
        <v>No</v>
      </c>
      <c r="AG1273" s="5" t="str">
        <f ca="1">IFERROR(__xludf.DUMMYFUNCTION("""COMPUTED_VALUE"""),"No")</f>
        <v>No</v>
      </c>
      <c r="AH1273" s="5"/>
    </row>
    <row r="1274" spans="1:34" ht="12.75">
      <c r="A1274" s="5" t="str">
        <f ca="1">IFERROR(__xludf.DUMMYFUNCTION("""COMPUTED_VALUE"""),"20050407TXCAC")</f>
        <v>20050407TXCAC</v>
      </c>
      <c r="B1274" s="8">
        <f ca="1">IFERROR(__xludf.DUMMYFUNCTION("""COMPUTED_VALUE"""),38449)</f>
        <v>38449</v>
      </c>
      <c r="C1274" s="5" t="str">
        <f ca="1">IFERROR(__xludf.DUMMYFUNCTION("""COMPUTED_VALUE"""),"Canton High School")</f>
        <v>Canton High School</v>
      </c>
      <c r="D1274" s="5">
        <f ca="1">IFERROR(__xludf.DUMMYFUNCTION("""COMPUTED_VALUE"""),0)</f>
        <v>0</v>
      </c>
      <c r="E1274" s="5">
        <f ca="1">IFERROR(__xludf.DUMMYFUNCTION("""COMPUTED_VALUE"""),1)</f>
        <v>1</v>
      </c>
      <c r="F1274" s="5">
        <f ca="1">IFERROR(__xludf.DUMMYFUNCTION("""COMPUTED_VALUE"""),1)</f>
        <v>1</v>
      </c>
      <c r="G1274" s="5">
        <f ca="1">IFERROR(__xludf.DUMMYFUNCTION("""COMPUTED_VALUE"""),0)</f>
        <v>0</v>
      </c>
      <c r="H1274" s="9" t="str">
        <f ca="1">IFERROR(__xludf.DUMMYFUNCTION("""COMPUTED_VALUE"""),"http://www.nbcnews.com/id/7420306/ns/us_news-crime_and_courts/t/wounded-coach-upset-some-players-parents/#.W2cyndJKiUk")</f>
        <v>http://www.nbcnews.com/id/7420306/ns/us_news-crime_and_courts/t/wounded-coach-upset-some-players-parents/#.W2cyndJKiUk</v>
      </c>
      <c r="I1274" s="5"/>
      <c r="J1274" s="5"/>
      <c r="K1274" s="5">
        <f ca="1">IFERROR(__xludf.DUMMYFUNCTION("""COMPUTED_VALUE"""),2)</f>
        <v>2</v>
      </c>
      <c r="L1274" s="5" t="str">
        <f ca="1">IFERROR(__xludf.DUMMYFUNCTION("""COMPUTED_VALUE"""),"Spring")</f>
        <v>Spring</v>
      </c>
      <c r="M1274" s="5" t="str">
        <f ca="1">IFERROR(__xludf.DUMMYFUNCTION("""COMPUTED_VALUE"""),"Canton")</f>
        <v>Canton</v>
      </c>
      <c r="N1274" s="5" t="str">
        <f ca="1">IFERROR(__xludf.DUMMYFUNCTION("""COMPUTED_VALUE"""),"TX")</f>
        <v>TX</v>
      </c>
      <c r="O1274" s="5" t="str">
        <f ca="1">IFERROR(__xludf.DUMMYFUNCTION("""COMPUTED_VALUE"""),"High")</f>
        <v>High</v>
      </c>
      <c r="P1274" s="5" t="str">
        <f ca="1">IFERROR(__xludf.DUMMYFUNCTION("""COMPUTED_VALUE"""),"Office")</f>
        <v>Office</v>
      </c>
      <c r="Q1274" s="5" t="str">
        <f ca="1">IFERROR(__xludf.DUMMYFUNCTION("""COMPUTED_VALUE"""),"Inside School Building")</f>
        <v>Inside School Building</v>
      </c>
      <c r="R1274" s="5" t="str">
        <f ca="1">IFERROR(__xludf.DUMMYFUNCTION("""COMPUTED_VALUE"""),"Yes")</f>
        <v>Yes</v>
      </c>
      <c r="S1274" s="5" t="str">
        <f ca="1">IFERROR(__xludf.DUMMYFUNCTION("""COMPUTED_VALUE"""),"Morning Classes")</f>
        <v>Morning Classes</v>
      </c>
      <c r="T1274" s="10">
        <f ca="1">IFERROR(__xludf.DUMMYFUNCTION("""COMPUTED_VALUE"""),0.385416666666666)</f>
        <v>0.38541666666666602</v>
      </c>
      <c r="U1274" s="5">
        <f ca="1">IFERROR(__xludf.DUMMYFUNCTION("""COMPUTED_VALUE"""),1)</f>
        <v>1</v>
      </c>
      <c r="V1274" s="5" t="str">
        <f ca="1">IFERROR(__xludf.DUMMYFUNCTION("""COMPUTED_VALUE"""),"Shot football coach for benching his son")</f>
        <v>Shot football coach for benching his son</v>
      </c>
      <c r="W1274"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X1274" s="5" t="str">
        <f ca="1">IFERROR(__xludf.DUMMYFUNCTION("""COMPUTED_VALUE"""),"Escalation of Dispute")</f>
        <v>Escalation of Dispute</v>
      </c>
      <c r="Y1274" s="5" t="str">
        <f ca="1">IFERROR(__xludf.DUMMYFUNCTION("""COMPUTED_VALUE"""),"Victims Targeted")</f>
        <v>Victims Targeted</v>
      </c>
      <c r="Z1274" s="5" t="str">
        <f ca="1">IFERROR(__xludf.DUMMYFUNCTION("""COMPUTED_VALUE"""),"No")</f>
        <v>No</v>
      </c>
      <c r="AA1274" s="5"/>
      <c r="AB1274" s="5" t="str">
        <f ca="1">IFERROR(__xludf.DUMMYFUNCTION("""COMPUTED_VALUE"""),"No")</f>
        <v>No</v>
      </c>
      <c r="AC1274" s="5" t="str">
        <f ca="1">IFERROR(__xludf.DUMMYFUNCTION("""COMPUTED_VALUE"""),"No")</f>
        <v>No</v>
      </c>
      <c r="AD1274" s="5" t="str">
        <f ca="1">IFERROR(__xludf.DUMMYFUNCTION("""COMPUTED_VALUE"""),"No")</f>
        <v>No</v>
      </c>
      <c r="AE1274" s="5" t="str">
        <f ca="1">IFERROR(__xludf.DUMMYFUNCTION("""COMPUTED_VALUE"""),"No")</f>
        <v>No</v>
      </c>
      <c r="AF1274" s="5" t="str">
        <f ca="1">IFERROR(__xludf.DUMMYFUNCTION("""COMPUTED_VALUE"""),"No")</f>
        <v>No</v>
      </c>
      <c r="AG1274" s="5" t="str">
        <f ca="1">IFERROR(__xludf.DUMMYFUNCTION("""COMPUTED_VALUE"""),"No")</f>
        <v>No</v>
      </c>
      <c r="AH1274" s="5"/>
    </row>
    <row r="1275" spans="1:34" ht="12.75">
      <c r="A1275" s="5" t="str">
        <f ca="1">IFERROR(__xludf.DUMMYFUNCTION("""COMPUTED_VALUE"""),"20050330TNEAM")</f>
        <v>20050330TNEAM</v>
      </c>
      <c r="B1275" s="8">
        <f ca="1">IFERROR(__xludf.DUMMYFUNCTION("""COMPUTED_VALUE"""),38441)</f>
        <v>38441</v>
      </c>
      <c r="C1275" s="5" t="str">
        <f ca="1">IFERROR(__xludf.DUMMYFUNCTION("""COMPUTED_VALUE"""),"East High School")</f>
        <v>East High School</v>
      </c>
      <c r="D1275" s="5">
        <f ca="1">IFERROR(__xludf.DUMMYFUNCTION("""COMPUTED_VALUE"""),0)</f>
        <v>0</v>
      </c>
      <c r="E1275" s="5">
        <f ca="1">IFERROR(__xludf.DUMMYFUNCTION("""COMPUTED_VALUE"""),0)</f>
        <v>0</v>
      </c>
      <c r="F1275" s="5">
        <f ca="1">IFERROR(__xludf.DUMMYFUNCTION("""COMPUTED_VALUE"""),0)</f>
        <v>0</v>
      </c>
      <c r="G1275" s="5">
        <f ca="1">IFERROR(__xludf.DUMMYFUNCTION("""COMPUTED_VALUE"""),0)</f>
        <v>0</v>
      </c>
      <c r="H1275" s="9" t="str">
        <f ca="1">IFERROR(__xludf.DUMMYFUNCTION("""COMPUTED_VALUE"""),"https://www.columbine-angels.com/School_Violence_2004-2005.htm")</f>
        <v>https://www.columbine-angels.com/School_Violence_2004-2005.htm</v>
      </c>
      <c r="I1275" s="5"/>
      <c r="J1275" s="5"/>
      <c r="K1275" s="5">
        <f ca="1">IFERROR(__xludf.DUMMYFUNCTION("""COMPUTED_VALUE"""),1)</f>
        <v>1</v>
      </c>
      <c r="L1275" s="5" t="str">
        <f ca="1">IFERROR(__xludf.DUMMYFUNCTION("""COMPUTED_VALUE"""),"Spring")</f>
        <v>Spring</v>
      </c>
      <c r="M1275" s="5" t="str">
        <f ca="1">IFERROR(__xludf.DUMMYFUNCTION("""COMPUTED_VALUE"""),"Memphis")</f>
        <v>Memphis</v>
      </c>
      <c r="N1275" s="5" t="str">
        <f ca="1">IFERROR(__xludf.DUMMYFUNCTION("""COMPUTED_VALUE"""),"TN")</f>
        <v>TN</v>
      </c>
      <c r="O1275" s="5" t="str">
        <f ca="1">IFERROR(__xludf.DUMMYFUNCTION("""COMPUTED_VALUE"""),"High")</f>
        <v>High</v>
      </c>
      <c r="P1275" s="5" t="str">
        <f ca="1">IFERROR(__xludf.DUMMYFUNCTION("""COMPUTED_VALUE"""),"Classroom")</f>
        <v>Classroom</v>
      </c>
      <c r="Q1275" s="5" t="str">
        <f ca="1">IFERROR(__xludf.DUMMYFUNCTION("""COMPUTED_VALUE"""),"Inside School Building")</f>
        <v>Inside School Building</v>
      </c>
      <c r="R1275" s="5" t="str">
        <f ca="1">IFERROR(__xludf.DUMMYFUNCTION("""COMPUTED_VALUE"""),"Yes")</f>
        <v>Yes</v>
      </c>
      <c r="S1275" s="5" t="str">
        <f ca="1">IFERROR(__xludf.DUMMYFUNCTION("""COMPUTED_VALUE"""),"Morning Classes")</f>
        <v>Morning Classes</v>
      </c>
      <c r="T1275" s="10">
        <f ca="1">IFERROR(__xludf.DUMMYFUNCTION("""COMPUTED_VALUE"""),0.458333333333333)</f>
        <v>0.45833333333333298</v>
      </c>
      <c r="U1275" s="5">
        <f ca="1">IFERROR(__xludf.DUMMYFUNCTION("""COMPUTED_VALUE"""),1)</f>
        <v>1</v>
      </c>
      <c r="V1275" s="5" t="str">
        <f ca="1">IFERROR(__xludf.DUMMYFUNCTION("""COMPUTED_VALUE"""),"Accidental discharge in classroom")</f>
        <v>Accidental discharge in classroom</v>
      </c>
      <c r="W1275"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X1275" s="5" t="str">
        <f ca="1">IFERROR(__xludf.DUMMYFUNCTION("""COMPUTED_VALUE"""),"Accidental")</f>
        <v>Accidental</v>
      </c>
      <c r="Y1275" s="5" t="str">
        <f ca="1">IFERROR(__xludf.DUMMYFUNCTION("""COMPUTED_VALUE"""),"Random Shooting")</f>
        <v>Random Shooting</v>
      </c>
      <c r="Z1275" s="5" t="str">
        <f ca="1">IFERROR(__xludf.DUMMYFUNCTION("""COMPUTED_VALUE"""),"No")</f>
        <v>No</v>
      </c>
      <c r="AA1275" s="5"/>
      <c r="AB1275" s="5" t="str">
        <f ca="1">IFERROR(__xludf.DUMMYFUNCTION("""COMPUTED_VALUE"""),"No")</f>
        <v>No</v>
      </c>
      <c r="AC1275" s="5" t="str">
        <f ca="1">IFERROR(__xludf.DUMMYFUNCTION("""COMPUTED_VALUE"""),"No")</f>
        <v>No</v>
      </c>
      <c r="AD1275" s="5" t="str">
        <f ca="1">IFERROR(__xludf.DUMMYFUNCTION("""COMPUTED_VALUE"""),"No")</f>
        <v>No</v>
      </c>
      <c r="AE1275" s="5" t="str">
        <f ca="1">IFERROR(__xludf.DUMMYFUNCTION("""COMPUTED_VALUE"""),"No")</f>
        <v>No</v>
      </c>
      <c r="AF1275" s="5" t="str">
        <f ca="1">IFERROR(__xludf.DUMMYFUNCTION("""COMPUTED_VALUE"""),"No")</f>
        <v>No</v>
      </c>
      <c r="AG1275" s="5" t="str">
        <f ca="1">IFERROR(__xludf.DUMMYFUNCTION("""COMPUTED_VALUE"""),"No")</f>
        <v>No</v>
      </c>
      <c r="AH1275" s="5"/>
    </row>
    <row r="1276" spans="1:34" ht="12.75">
      <c r="A1276" s="5" t="str">
        <f ca="1">IFERROR(__xludf.DUMMYFUNCTION("""COMPUTED_VALUE"""),"20050324TNFAM")</f>
        <v>20050324TNFAM</v>
      </c>
      <c r="B1276" s="8">
        <f ca="1">IFERROR(__xludf.DUMMYFUNCTION("""COMPUTED_VALUE"""),38435)</f>
        <v>38435</v>
      </c>
      <c r="C1276" s="5" t="str">
        <f ca="1">IFERROR(__xludf.DUMMYFUNCTION("""COMPUTED_VALUE"""),"Fairly High School")</f>
        <v>Fairly High School</v>
      </c>
      <c r="D1276" s="5">
        <f ca="1">IFERROR(__xludf.DUMMYFUNCTION("""COMPUTED_VALUE"""),0)</f>
        <v>0</v>
      </c>
      <c r="E1276" s="5">
        <f ca="1">IFERROR(__xludf.DUMMYFUNCTION("""COMPUTED_VALUE"""),0)</f>
        <v>0</v>
      </c>
      <c r="F1276" s="5">
        <f ca="1">IFERROR(__xludf.DUMMYFUNCTION("""COMPUTED_VALUE"""),0)</f>
        <v>0</v>
      </c>
      <c r="G1276" s="5">
        <f ca="1">IFERROR(__xludf.DUMMYFUNCTION("""COMPUTED_VALUE"""),0)</f>
        <v>0</v>
      </c>
      <c r="H1276" s="9" t="str">
        <f ca="1">IFERROR(__xludf.DUMMYFUNCTION("""COMPUTED_VALUE"""),"https://www.columbine-angels.com/School_Violence_2004-2005.htm")</f>
        <v>https://www.columbine-angels.com/School_Violence_2004-2005.htm</v>
      </c>
      <c r="I1276" s="5"/>
      <c r="J1276" s="5"/>
      <c r="K1276" s="5">
        <f ca="1">IFERROR(__xludf.DUMMYFUNCTION("""COMPUTED_VALUE"""),1)</f>
        <v>1</v>
      </c>
      <c r="L1276" s="5" t="str">
        <f ca="1">IFERROR(__xludf.DUMMYFUNCTION("""COMPUTED_VALUE"""),"Spring")</f>
        <v>Spring</v>
      </c>
      <c r="M1276" s="5" t="str">
        <f ca="1">IFERROR(__xludf.DUMMYFUNCTION("""COMPUTED_VALUE"""),"Memphis")</f>
        <v>Memphis</v>
      </c>
      <c r="N1276" s="5" t="str">
        <f ca="1">IFERROR(__xludf.DUMMYFUNCTION("""COMPUTED_VALUE"""),"TN")</f>
        <v>TN</v>
      </c>
      <c r="O1276" s="5" t="str">
        <f ca="1">IFERROR(__xludf.DUMMYFUNCTION("""COMPUTED_VALUE"""),"High")</f>
        <v>High</v>
      </c>
      <c r="P1276" s="5" t="str">
        <f ca="1">IFERROR(__xludf.DUMMYFUNCTION("""COMPUTED_VALUE"""),"Inside School Building")</f>
        <v>Inside School Building</v>
      </c>
      <c r="Q1276" s="5" t="str">
        <f ca="1">IFERROR(__xludf.DUMMYFUNCTION("""COMPUTED_VALUE"""),"Inside School Building")</f>
        <v>Inside School Building</v>
      </c>
      <c r="R1276" s="5" t="str">
        <f ca="1">IFERROR(__xludf.DUMMYFUNCTION("""COMPUTED_VALUE"""),"Yes")</f>
        <v>Yes</v>
      </c>
      <c r="S1276" s="5"/>
      <c r="T1276" s="5"/>
      <c r="U1276" s="5">
        <f ca="1">IFERROR(__xludf.DUMMYFUNCTION("""COMPUTED_VALUE"""),1)</f>
        <v>1</v>
      </c>
      <c r="V1276" s="5" t="str">
        <f ca="1">IFERROR(__xludf.DUMMYFUNCTION("""COMPUTED_VALUE"""),"Accidental discharge of gun in student's purse")</f>
        <v>Accidental discharge of gun in student's purse</v>
      </c>
      <c r="W1276"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X1276" s="5" t="str">
        <f ca="1">IFERROR(__xludf.DUMMYFUNCTION("""COMPUTED_VALUE"""),"Accidental")</f>
        <v>Accidental</v>
      </c>
      <c r="Y1276" s="5" t="str">
        <f ca="1">IFERROR(__xludf.DUMMYFUNCTION("""COMPUTED_VALUE"""),"Random Shooting")</f>
        <v>Random Shooting</v>
      </c>
      <c r="Z1276" s="5" t="str">
        <f ca="1">IFERROR(__xludf.DUMMYFUNCTION("""COMPUTED_VALUE"""),"No")</f>
        <v>No</v>
      </c>
      <c r="AA1276" s="5"/>
      <c r="AB1276" s="5" t="str">
        <f ca="1">IFERROR(__xludf.DUMMYFUNCTION("""COMPUTED_VALUE"""),"No")</f>
        <v>No</v>
      </c>
      <c r="AC1276" s="5" t="str">
        <f ca="1">IFERROR(__xludf.DUMMYFUNCTION("""COMPUTED_VALUE"""),"No")</f>
        <v>No</v>
      </c>
      <c r="AD1276" s="5" t="str">
        <f ca="1">IFERROR(__xludf.DUMMYFUNCTION("""COMPUTED_VALUE"""),"No")</f>
        <v>No</v>
      </c>
      <c r="AE1276" s="5" t="str">
        <f ca="1">IFERROR(__xludf.DUMMYFUNCTION("""COMPUTED_VALUE"""),"No")</f>
        <v>No</v>
      </c>
      <c r="AF1276" s="5" t="str">
        <f ca="1">IFERROR(__xludf.DUMMYFUNCTION("""COMPUTED_VALUE"""),"No")</f>
        <v>No</v>
      </c>
      <c r="AG1276" s="5" t="str">
        <f ca="1">IFERROR(__xludf.DUMMYFUNCTION("""COMPUTED_VALUE"""),"No")</f>
        <v>No</v>
      </c>
      <c r="AH1276" s="5"/>
    </row>
    <row r="1277" spans="1:34" ht="12.75">
      <c r="A1277" s="5" t="str">
        <f ca="1">IFERROR(__xludf.DUMMYFUNCTION("""COMPUTED_VALUE"""),"20050321NYNEB")</f>
        <v>20050321NYNEB</v>
      </c>
      <c r="B1277" s="8">
        <f ca="1">IFERROR(__xludf.DUMMYFUNCTION("""COMPUTED_VALUE"""),38432)</f>
        <v>38432</v>
      </c>
      <c r="C1277" s="5" t="str">
        <f ca="1">IFERROR(__xludf.DUMMYFUNCTION("""COMPUTED_VALUE"""),"New Utrecht High School")</f>
        <v>New Utrecht High School</v>
      </c>
      <c r="D1277" s="5">
        <f ca="1">IFERROR(__xludf.DUMMYFUNCTION("""COMPUTED_VALUE"""),0)</f>
        <v>0</v>
      </c>
      <c r="E1277" s="5">
        <f ca="1">IFERROR(__xludf.DUMMYFUNCTION("""COMPUTED_VALUE"""),0)</f>
        <v>0</v>
      </c>
      <c r="F1277" s="5">
        <f ca="1">IFERROR(__xludf.DUMMYFUNCTION("""COMPUTED_VALUE"""),0)</f>
        <v>0</v>
      </c>
      <c r="G1277" s="5">
        <f ca="1">IFERROR(__xludf.DUMMYFUNCTION("""COMPUTED_VALUE"""),0)</f>
        <v>0</v>
      </c>
      <c r="H1277" s="9" t="str">
        <f ca="1">IFERROR(__xludf.DUMMYFUNCTION("""COMPUTED_VALUE"""),"http://www.nydailynews.com/archives/news/b-klyn-hs-panic-boy-shoots-leg-article-1.589241")</f>
        <v>http://www.nydailynews.com/archives/news/b-klyn-hs-panic-boy-shoots-leg-article-1.589241</v>
      </c>
      <c r="I1277" s="5">
        <f ca="1">IFERROR(__xludf.DUMMYFUNCTION("""COMPUTED_VALUE"""),1)</f>
        <v>1</v>
      </c>
      <c r="J1277" s="5" t="str">
        <f ca="1">IFERROR(__xludf.DUMMYFUNCTION("""COMPUTED_VALUE"""),"Local")</f>
        <v>Local</v>
      </c>
      <c r="K1277" s="5">
        <f ca="1">IFERROR(__xludf.DUMMYFUNCTION("""COMPUTED_VALUE"""),2)</f>
        <v>2</v>
      </c>
      <c r="L1277" s="5" t="str">
        <f ca="1">IFERROR(__xludf.DUMMYFUNCTION("""COMPUTED_VALUE"""),"Spring")</f>
        <v>Spring</v>
      </c>
      <c r="M1277" s="5" t="str">
        <f ca="1">IFERROR(__xludf.DUMMYFUNCTION("""COMPUTED_VALUE"""),"Brooklyn")</f>
        <v>Brooklyn</v>
      </c>
      <c r="N1277" s="5" t="str">
        <f ca="1">IFERROR(__xludf.DUMMYFUNCTION("""COMPUTED_VALUE"""),"NY")</f>
        <v>NY</v>
      </c>
      <c r="O1277" s="5" t="str">
        <f ca="1">IFERROR(__xludf.DUMMYFUNCTION("""COMPUTED_VALUE"""),"High")</f>
        <v>High</v>
      </c>
      <c r="P1277" s="5" t="str">
        <f ca="1">IFERROR(__xludf.DUMMYFUNCTION("""COMPUTED_VALUE"""),"Classroom")</f>
        <v>Classroom</v>
      </c>
      <c r="Q1277" s="5" t="str">
        <f ca="1">IFERROR(__xludf.DUMMYFUNCTION("""COMPUTED_VALUE"""),"Inside School Building")</f>
        <v>Inside School Building</v>
      </c>
      <c r="R1277" s="5" t="str">
        <f ca="1">IFERROR(__xludf.DUMMYFUNCTION("""COMPUTED_VALUE"""),"Yes")</f>
        <v>Yes</v>
      </c>
      <c r="S1277" s="5" t="str">
        <f ca="1">IFERROR(__xludf.DUMMYFUNCTION("""COMPUTED_VALUE"""),"Morning Classes")</f>
        <v>Morning Classes</v>
      </c>
      <c r="T1277" s="10">
        <f ca="1">IFERROR(__xludf.DUMMYFUNCTION("""COMPUTED_VALUE"""),0.5)</f>
        <v>0.5</v>
      </c>
      <c r="U1277" s="5">
        <f ca="1">IFERROR(__xludf.DUMMYFUNCTION("""COMPUTED_VALUE"""),1)</f>
        <v>1</v>
      </c>
      <c r="V1277" s="5" t="str">
        <f ca="1">IFERROR(__xludf.DUMMYFUNCTION("""COMPUTED_VALUE"""),"Accidental discharge in pocket during class")</f>
        <v>Accidental discharge in pocket during class</v>
      </c>
      <c r="W1277"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X1277" s="5" t="str">
        <f ca="1">IFERROR(__xludf.DUMMYFUNCTION("""COMPUTED_VALUE"""),"Accidental")</f>
        <v>Accidental</v>
      </c>
      <c r="Y1277" s="5" t="str">
        <f ca="1">IFERROR(__xludf.DUMMYFUNCTION("""COMPUTED_VALUE"""),"Random Shooting")</f>
        <v>Random Shooting</v>
      </c>
      <c r="Z1277" s="5" t="str">
        <f ca="1">IFERROR(__xludf.DUMMYFUNCTION("""COMPUTED_VALUE"""),"No")</f>
        <v>No</v>
      </c>
      <c r="AA1277" s="5"/>
      <c r="AB1277" s="5" t="str">
        <f ca="1">IFERROR(__xludf.DUMMYFUNCTION("""COMPUTED_VALUE"""),"No")</f>
        <v>No</v>
      </c>
      <c r="AC1277" s="5" t="str">
        <f ca="1">IFERROR(__xludf.DUMMYFUNCTION("""COMPUTED_VALUE"""),"No")</f>
        <v>No</v>
      </c>
      <c r="AD1277" s="5" t="str">
        <f ca="1">IFERROR(__xludf.DUMMYFUNCTION("""COMPUTED_VALUE"""),"No")</f>
        <v>No</v>
      </c>
      <c r="AE1277" s="5" t="str">
        <f ca="1">IFERROR(__xludf.DUMMYFUNCTION("""COMPUTED_VALUE"""),"No")</f>
        <v>No</v>
      </c>
      <c r="AF1277" s="5" t="str">
        <f ca="1">IFERROR(__xludf.DUMMYFUNCTION("""COMPUTED_VALUE"""),"No")</f>
        <v>No</v>
      </c>
      <c r="AG1277" s="5" t="str">
        <f ca="1">IFERROR(__xludf.DUMMYFUNCTION("""COMPUTED_VALUE"""),"No")</f>
        <v>No</v>
      </c>
      <c r="AH1277" s="5"/>
    </row>
    <row r="1278" spans="1:34" ht="12.75">
      <c r="A1278" s="5" t="str">
        <f ca="1">IFERROR(__xludf.DUMMYFUNCTION("""COMPUTED_VALUE"""),"20050321MNRER")</f>
        <v>20050321MNRER</v>
      </c>
      <c r="B1278" s="8">
        <f ca="1">IFERROR(__xludf.DUMMYFUNCTION("""COMPUTED_VALUE"""),38432)</f>
        <v>38432</v>
      </c>
      <c r="C1278" s="5" t="str">
        <f ca="1">IFERROR(__xludf.DUMMYFUNCTION("""COMPUTED_VALUE"""),"Red Lake Senior High School")</f>
        <v>Red Lake Senior High School</v>
      </c>
      <c r="D1278" s="5">
        <f ca="1">IFERROR(__xludf.DUMMYFUNCTION("""COMPUTED_VALUE"""),8)</f>
        <v>8</v>
      </c>
      <c r="E1278" s="5">
        <f ca="1">IFERROR(__xludf.DUMMYFUNCTION("""COMPUTED_VALUE"""),5)</f>
        <v>5</v>
      </c>
      <c r="F1278" s="5">
        <f ca="1">IFERROR(__xludf.DUMMYFUNCTION("""COMPUTED_VALUE"""),13)</f>
        <v>13</v>
      </c>
      <c r="G1278" s="5">
        <f ca="1">IFERROR(__xludf.DUMMYFUNCTION("""COMPUTED_VALUE"""),1)</f>
        <v>1</v>
      </c>
      <c r="H1278"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I1278" s="5"/>
      <c r="J1278" s="5"/>
      <c r="K1278" s="5">
        <f ca="1">IFERROR(__xludf.DUMMYFUNCTION("""COMPUTED_VALUE"""),5)</f>
        <v>5</v>
      </c>
      <c r="L1278" s="5" t="str">
        <f ca="1">IFERROR(__xludf.DUMMYFUNCTION("""COMPUTED_VALUE"""),"Spring")</f>
        <v>Spring</v>
      </c>
      <c r="M1278" s="5" t="str">
        <f ca="1">IFERROR(__xludf.DUMMYFUNCTION("""COMPUTED_VALUE"""),"Red Lake")</f>
        <v>Red Lake</v>
      </c>
      <c r="N1278" s="5" t="str">
        <f ca="1">IFERROR(__xludf.DUMMYFUNCTION("""COMPUTED_VALUE"""),"MN")</f>
        <v>MN</v>
      </c>
      <c r="O1278" s="5" t="str">
        <f ca="1">IFERROR(__xludf.DUMMYFUNCTION("""COMPUTED_VALUE"""),"High")</f>
        <v>High</v>
      </c>
      <c r="P1278" s="5" t="str">
        <f ca="1">IFERROR(__xludf.DUMMYFUNCTION("""COMPUTED_VALUE"""),"Hallway")</f>
        <v>Hallway</v>
      </c>
      <c r="Q1278" s="5" t="str">
        <f ca="1">IFERROR(__xludf.DUMMYFUNCTION("""COMPUTED_VALUE"""),"Inside School Building")</f>
        <v>Inside School Building</v>
      </c>
      <c r="R1278" s="5" t="str">
        <f ca="1">IFERROR(__xludf.DUMMYFUNCTION("""COMPUTED_VALUE"""),"Yes")</f>
        <v>Yes</v>
      </c>
      <c r="S1278" s="5" t="str">
        <f ca="1">IFERROR(__xludf.DUMMYFUNCTION("""COMPUTED_VALUE"""),"Afternoon Classes")</f>
        <v>Afternoon Classes</v>
      </c>
      <c r="T1278" s="10">
        <f ca="1">IFERROR(__xludf.DUMMYFUNCTION("""COMPUTED_VALUE"""),0.617361111111111)</f>
        <v>0.61736111111111103</v>
      </c>
      <c r="U1278" s="5"/>
      <c r="V1278" s="5" t="str">
        <f ca="1">IFERROR(__xludf.DUMMYFUNCTION("""COMPUTED_VALUE"""),"Planned attack on school, studied Columbine, wore trench coat, had been bullied")</f>
        <v>Planned attack on school, studied Columbine, wore trench coat, had been bullied</v>
      </c>
      <c r="W1278"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X1278" s="5" t="str">
        <f ca="1">IFERROR(__xludf.DUMMYFUNCTION("""COMPUTED_VALUE"""),"Indiscriminate Shooting")</f>
        <v>Indiscriminate Shooting</v>
      </c>
      <c r="Y1278" s="5" t="str">
        <f ca="1">IFERROR(__xludf.DUMMYFUNCTION("""COMPUTED_VALUE"""),"Random Shooting")</f>
        <v>Random Shooting</v>
      </c>
      <c r="Z1278" s="5" t="str">
        <f ca="1">IFERROR(__xludf.DUMMYFUNCTION("""COMPUTED_VALUE"""),"No")</f>
        <v>No</v>
      </c>
      <c r="AA1278" s="5"/>
      <c r="AB1278" s="5" t="str">
        <f ca="1">IFERROR(__xludf.DUMMYFUNCTION("""COMPUTED_VALUE"""),"No")</f>
        <v>No</v>
      </c>
      <c r="AC1278" s="5" t="str">
        <f ca="1">IFERROR(__xludf.DUMMYFUNCTION("""COMPUTED_VALUE"""),"No")</f>
        <v>No</v>
      </c>
      <c r="AD1278" s="5" t="str">
        <f ca="1">IFERROR(__xludf.DUMMYFUNCTION("""COMPUTED_VALUE"""),"No")</f>
        <v>No</v>
      </c>
      <c r="AE1278" s="5" t="str">
        <f ca="1">IFERROR(__xludf.DUMMYFUNCTION("""COMPUTED_VALUE"""),"Yes")</f>
        <v>Yes</v>
      </c>
      <c r="AF1278" s="5" t="str">
        <f ca="1">IFERROR(__xludf.DUMMYFUNCTION("""COMPUTED_VALUE"""),"No")</f>
        <v>No</v>
      </c>
      <c r="AG1278" s="5" t="str">
        <f ca="1">IFERROR(__xludf.DUMMYFUNCTION("""COMPUTED_VALUE"""),"No")</f>
        <v>No</v>
      </c>
      <c r="AH1278" s="5" t="str">
        <f ca="1">IFERROR(__xludf.DUMMYFUNCTION("""COMPUTED_VALUE"""),"Yes")</f>
        <v>Yes</v>
      </c>
    </row>
    <row r="1279" spans="1:34" ht="12.75">
      <c r="A1279" s="5" t="str">
        <f ca="1">IFERROR(__xludf.DUMMYFUNCTION("""COMPUTED_VALUE"""),"20050317LAOPA")</f>
        <v>20050317LAOPA</v>
      </c>
      <c r="B1279" s="8">
        <f ca="1">IFERROR(__xludf.DUMMYFUNCTION("""COMPUTED_VALUE"""),38428)</f>
        <v>38428</v>
      </c>
      <c r="C1279" s="5" t="str">
        <f ca="1">IFERROR(__xludf.DUMMYFUNCTION("""COMPUTED_VALUE"""),"O Perry Walker High School")</f>
        <v>O Perry Walker High School</v>
      </c>
      <c r="D1279" s="5">
        <f ca="1">IFERROR(__xludf.DUMMYFUNCTION("""COMPUTED_VALUE"""),0)</f>
        <v>0</v>
      </c>
      <c r="E1279" s="5">
        <f ca="1">IFERROR(__xludf.DUMMYFUNCTION("""COMPUTED_VALUE"""),1)</f>
        <v>1</v>
      </c>
      <c r="F1279" s="5">
        <f ca="1">IFERROR(__xludf.DUMMYFUNCTION("""COMPUTED_VALUE"""),1)</f>
        <v>1</v>
      </c>
      <c r="G1279" s="5">
        <f ca="1">IFERROR(__xludf.DUMMYFUNCTION("""COMPUTED_VALUE"""),0)</f>
        <v>0</v>
      </c>
      <c r="H1279" s="9" t="str">
        <f ca="1">IFERROR(__xludf.DUMMYFUNCTION("""COMPUTED_VALUE"""),"https://www.newspapers.com/image/321630892/?terms=o.%2Bperry%2Bhigh%2Bschool")</f>
        <v>https://www.newspapers.com/image/321630892/?terms=o.%2Bperry%2Bhigh%2Bschool</v>
      </c>
      <c r="I1279" s="5"/>
      <c r="J1279" s="5"/>
      <c r="K1279" s="5">
        <f ca="1">IFERROR(__xludf.DUMMYFUNCTION("""COMPUTED_VALUE"""),1)</f>
        <v>1</v>
      </c>
      <c r="L1279" s="5" t="str">
        <f ca="1">IFERROR(__xludf.DUMMYFUNCTION("""COMPUTED_VALUE"""),"Spring")</f>
        <v>Spring</v>
      </c>
      <c r="M1279" s="5" t="str">
        <f ca="1">IFERROR(__xludf.DUMMYFUNCTION("""COMPUTED_VALUE"""),"Algiers")</f>
        <v>Algiers</v>
      </c>
      <c r="N1279" s="5" t="str">
        <f ca="1">IFERROR(__xludf.DUMMYFUNCTION("""COMPUTED_VALUE"""),"LA")</f>
        <v>LA</v>
      </c>
      <c r="O1279" s="5" t="str">
        <f ca="1">IFERROR(__xludf.DUMMYFUNCTION("""COMPUTED_VALUE"""),"High")</f>
        <v>High</v>
      </c>
      <c r="P1279" s="5" t="str">
        <f ca="1">IFERROR(__xludf.DUMMYFUNCTION("""COMPUTED_VALUE"""),"Hallway")</f>
        <v>Hallway</v>
      </c>
      <c r="Q1279" s="5" t="str">
        <f ca="1">IFERROR(__xludf.DUMMYFUNCTION("""COMPUTED_VALUE"""),"Inside School Building")</f>
        <v>Inside School Building</v>
      </c>
      <c r="R1279" s="5" t="str">
        <f ca="1">IFERROR(__xludf.DUMMYFUNCTION("""COMPUTED_VALUE"""),"Yes")</f>
        <v>Yes</v>
      </c>
      <c r="S1279" s="5" t="str">
        <f ca="1">IFERROR(__xludf.DUMMYFUNCTION("""COMPUTED_VALUE"""),"Afternoon Classes")</f>
        <v>Afternoon Classes</v>
      </c>
      <c r="T1279" s="5"/>
      <c r="U1279" s="5">
        <f ca="1">IFERROR(__xludf.DUMMYFUNCTION("""COMPUTED_VALUE"""),1)</f>
        <v>1</v>
      </c>
      <c r="V1279" s="5" t="str">
        <f ca="1">IFERROR(__xludf.DUMMYFUNCTION("""COMPUTED_VALUE"""),"Bystand student struck when shots were fired during fight")</f>
        <v>Bystand student struck when shots were fired during fight</v>
      </c>
      <c r="W1279" s="5" t="str">
        <f ca="1">IFERROR(__xludf.DUMMYFUNCTION("""COMPUTED_VALUE"""),"Victim caught in the crossfire of an ongoing dispute. Unidentified shooter fled and gun was not recovered.")</f>
        <v>Victim caught in the crossfire of an ongoing dispute. Unidentified shooter fled and gun was not recovered.</v>
      </c>
      <c r="X1279" s="5" t="str">
        <f ca="1">IFERROR(__xludf.DUMMYFUNCTION("""COMPUTED_VALUE"""),"Escalation of Dispute")</f>
        <v>Escalation of Dispute</v>
      </c>
      <c r="Y1279" s="5" t="str">
        <f ca="1">IFERROR(__xludf.DUMMYFUNCTION("""COMPUTED_VALUE"""),"Random Shooting")</f>
        <v>Random Shooting</v>
      </c>
      <c r="Z1279" s="5" t="str">
        <f ca="1">IFERROR(__xludf.DUMMYFUNCTION("""COMPUTED_VALUE"""),"Yes")</f>
        <v>Yes</v>
      </c>
      <c r="AA1279" s="5" t="str">
        <f ca="1">IFERROR(__xludf.DUMMYFUNCTION("""COMPUTED_VALUE"""),"3 teens involved in fight")</f>
        <v>3 teens involved in fight</v>
      </c>
      <c r="AB1279" s="5" t="str">
        <f ca="1">IFERROR(__xludf.DUMMYFUNCTION("""COMPUTED_VALUE"""),"No")</f>
        <v>No</v>
      </c>
      <c r="AC1279" s="5" t="str">
        <f ca="1">IFERROR(__xludf.DUMMYFUNCTION("""COMPUTED_VALUE"""),"No")</f>
        <v>No</v>
      </c>
      <c r="AD1279" s="5" t="str">
        <f ca="1">IFERROR(__xludf.DUMMYFUNCTION("""COMPUTED_VALUE"""),"No")</f>
        <v>No</v>
      </c>
      <c r="AE1279" s="5" t="str">
        <f ca="1">IFERROR(__xludf.DUMMYFUNCTION("""COMPUTED_VALUE"""),"No")</f>
        <v>No</v>
      </c>
      <c r="AF1279" s="5" t="str">
        <f ca="1">IFERROR(__xludf.DUMMYFUNCTION("""COMPUTED_VALUE"""),"No")</f>
        <v>No</v>
      </c>
      <c r="AG1279" s="5" t="str">
        <f ca="1">IFERROR(__xludf.DUMMYFUNCTION("""COMPUTED_VALUE"""),"No")</f>
        <v>No</v>
      </c>
      <c r="AH1279" s="5"/>
    </row>
    <row r="1280" spans="1:34" ht="12.75">
      <c r="A1280" s="5" t="str">
        <f ca="1">IFERROR(__xludf.DUMMYFUNCTION("""COMPUTED_VALUE"""),"20050317CALOL")</f>
        <v>20050317CALOL</v>
      </c>
      <c r="B1280" s="8">
        <f ca="1">IFERROR(__xludf.DUMMYFUNCTION("""COMPUTED_VALUE"""),38428)</f>
        <v>38428</v>
      </c>
      <c r="C1280" s="5" t="str">
        <f ca="1">IFERROR(__xludf.DUMMYFUNCTION("""COMPUTED_VALUE"""),"Locke High School")</f>
        <v>Locke High School</v>
      </c>
      <c r="D1280" s="5">
        <f ca="1">IFERROR(__xludf.DUMMYFUNCTION("""COMPUTED_VALUE"""),1)</f>
        <v>1</v>
      </c>
      <c r="E1280" s="5">
        <f ca="1">IFERROR(__xludf.DUMMYFUNCTION("""COMPUTED_VALUE"""),0)</f>
        <v>0</v>
      </c>
      <c r="F1280" s="5">
        <f ca="1">IFERROR(__xludf.DUMMYFUNCTION("""COMPUTED_VALUE"""),1)</f>
        <v>1</v>
      </c>
      <c r="G1280" s="5">
        <f ca="1">IFERROR(__xludf.DUMMYFUNCTION("""COMPUTED_VALUE"""),0)</f>
        <v>0</v>
      </c>
      <c r="H1280"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I1280" s="5"/>
      <c r="J1280" s="5"/>
      <c r="K1280" s="5">
        <f ca="1">IFERROR(__xludf.DUMMYFUNCTION("""COMPUTED_VALUE"""),3)</f>
        <v>3</v>
      </c>
      <c r="L1280" s="5" t="str">
        <f ca="1">IFERROR(__xludf.DUMMYFUNCTION("""COMPUTED_VALUE"""),"Spring")</f>
        <v>Spring</v>
      </c>
      <c r="M1280" s="5" t="str">
        <f ca="1">IFERROR(__xludf.DUMMYFUNCTION("""COMPUTED_VALUE"""),"Los Angeles")</f>
        <v>Los Angeles</v>
      </c>
      <c r="N1280" s="5" t="str">
        <f ca="1">IFERROR(__xludf.DUMMYFUNCTION("""COMPUTED_VALUE"""),"CA")</f>
        <v>CA</v>
      </c>
      <c r="O1280" s="5" t="str">
        <f ca="1">IFERROR(__xludf.DUMMYFUNCTION("""COMPUTED_VALUE"""),"High")</f>
        <v>High</v>
      </c>
      <c r="P1280" s="5" t="str">
        <f ca="1">IFERROR(__xludf.DUMMYFUNCTION("""COMPUTED_VALUE"""),"Beside Building")</f>
        <v>Beside Building</v>
      </c>
      <c r="Q1280" s="5" t="str">
        <f ca="1">IFERROR(__xludf.DUMMYFUNCTION("""COMPUTED_VALUE"""),"Outside on School Property")</f>
        <v>Outside on School Property</v>
      </c>
      <c r="R1280" s="5" t="str">
        <f ca="1">IFERROR(__xludf.DUMMYFUNCTION("""COMPUTED_VALUE"""),"Yes")</f>
        <v>Yes</v>
      </c>
      <c r="S1280" s="5" t="str">
        <f ca="1">IFERROR(__xludf.DUMMYFUNCTION("""COMPUTED_VALUE"""),"Dismissal")</f>
        <v>Dismissal</v>
      </c>
      <c r="T1280" s="10">
        <f ca="1">IFERROR(__xludf.DUMMYFUNCTION("""COMPUTED_VALUE"""),0.625)</f>
        <v>0.625</v>
      </c>
      <c r="U1280" s="5">
        <f ca="1">IFERROR(__xludf.DUMMYFUNCTION("""COMPUTED_VALUE"""),1)</f>
        <v>1</v>
      </c>
      <c r="V1280" s="5" t="str">
        <f ca="1">IFERROR(__xludf.DUMMYFUNCTION("""COMPUTED_VALUE"""),"Victim accidentally caught in cross fire of gang related shooting")</f>
        <v>Victim accidentally caught in cross fire of gang related shooting</v>
      </c>
      <c r="W1280"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X1280" s="5" t="str">
        <f ca="1">IFERROR(__xludf.DUMMYFUNCTION("""COMPUTED_VALUE"""),"Escalation of Dispute")</f>
        <v>Escalation of Dispute</v>
      </c>
      <c r="Y1280" s="5"/>
      <c r="Z1280" s="5" t="str">
        <f ca="1">IFERROR(__xludf.DUMMYFUNCTION("""COMPUTED_VALUE"""),"No")</f>
        <v>No</v>
      </c>
      <c r="AA1280" s="5"/>
      <c r="AB1280" s="5" t="str">
        <f ca="1">IFERROR(__xludf.DUMMYFUNCTION("""COMPUTED_VALUE"""),"No")</f>
        <v>No</v>
      </c>
      <c r="AC1280" s="5" t="str">
        <f ca="1">IFERROR(__xludf.DUMMYFUNCTION("""COMPUTED_VALUE"""),"No")</f>
        <v>No</v>
      </c>
      <c r="AD1280" s="5" t="str">
        <f ca="1">IFERROR(__xludf.DUMMYFUNCTION("""COMPUTED_VALUE"""),"No")</f>
        <v>No</v>
      </c>
      <c r="AE1280" s="5" t="str">
        <f ca="1">IFERROR(__xludf.DUMMYFUNCTION("""COMPUTED_VALUE"""),"No")</f>
        <v>No</v>
      </c>
      <c r="AF1280" s="5" t="str">
        <f ca="1">IFERROR(__xludf.DUMMYFUNCTION("""COMPUTED_VALUE"""),"No")</f>
        <v>No</v>
      </c>
      <c r="AG1280" s="5" t="str">
        <f ca="1">IFERROR(__xludf.DUMMYFUNCTION("""COMPUTED_VALUE"""),"Yes")</f>
        <v>Yes</v>
      </c>
      <c r="AH1280" s="5"/>
    </row>
    <row r="1281" spans="1:34" ht="12.75">
      <c r="A1281" s="5" t="str">
        <f ca="1">IFERROR(__xludf.DUMMYFUNCTION("""COMPUTED_VALUE"""),"20050316PACAP")</f>
        <v>20050316PACAP</v>
      </c>
      <c r="B1281" s="8">
        <f ca="1">IFERROR(__xludf.DUMMYFUNCTION("""COMPUTED_VALUE"""),38427)</f>
        <v>38427</v>
      </c>
      <c r="C1281" s="5" t="str">
        <f ca="1">IFERROR(__xludf.DUMMYFUNCTION("""COMPUTED_VALUE"""),"Carrick High School")</f>
        <v>Carrick High School</v>
      </c>
      <c r="D1281" s="5">
        <f ca="1">IFERROR(__xludf.DUMMYFUNCTION("""COMPUTED_VALUE"""),1)</f>
        <v>1</v>
      </c>
      <c r="E1281" s="5">
        <f ca="1">IFERROR(__xludf.DUMMYFUNCTION("""COMPUTED_VALUE"""),2)</f>
        <v>2</v>
      </c>
      <c r="F1281" s="5">
        <f ca="1">IFERROR(__xludf.DUMMYFUNCTION("""COMPUTED_VALUE"""),3)</f>
        <v>3</v>
      </c>
      <c r="G1281" s="5">
        <f ca="1">IFERROR(__xludf.DUMMYFUNCTION("""COMPUTED_VALUE"""),0)</f>
        <v>0</v>
      </c>
      <c r="H1281"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I1281" s="5"/>
      <c r="J1281" s="5"/>
      <c r="K1281" s="5">
        <f ca="1">IFERROR(__xludf.DUMMYFUNCTION("""COMPUTED_VALUE"""),2)</f>
        <v>2</v>
      </c>
      <c r="L1281" s="5" t="str">
        <f ca="1">IFERROR(__xludf.DUMMYFUNCTION("""COMPUTED_VALUE"""),"Spring")</f>
        <v>Spring</v>
      </c>
      <c r="M1281" s="5" t="str">
        <f ca="1">IFERROR(__xludf.DUMMYFUNCTION("""COMPUTED_VALUE"""),"Pittsburgh")</f>
        <v>Pittsburgh</v>
      </c>
      <c r="N1281" s="5" t="str">
        <f ca="1">IFERROR(__xludf.DUMMYFUNCTION("""COMPUTED_VALUE"""),"PA")</f>
        <v>PA</v>
      </c>
      <c r="O1281" s="5" t="str">
        <f ca="1">IFERROR(__xludf.DUMMYFUNCTION("""COMPUTED_VALUE"""),"High")</f>
        <v>High</v>
      </c>
      <c r="P1281" s="5" t="str">
        <f ca="1">IFERROR(__xludf.DUMMYFUNCTION("""COMPUTED_VALUE"""),"Parking Lot")</f>
        <v>Parking Lot</v>
      </c>
      <c r="Q1281" s="5" t="str">
        <f ca="1">IFERROR(__xludf.DUMMYFUNCTION("""COMPUTED_VALUE"""),"Outside on School Property")</f>
        <v>Outside on School Property</v>
      </c>
      <c r="R1281" s="5" t="str">
        <f ca="1">IFERROR(__xludf.DUMMYFUNCTION("""COMPUTED_VALUE"""),"Yes")</f>
        <v>Yes</v>
      </c>
      <c r="S1281" s="5" t="str">
        <f ca="1">IFERROR(__xludf.DUMMYFUNCTION("""COMPUTED_VALUE"""),"Dismissal")</f>
        <v>Dismissal</v>
      </c>
      <c r="T1281" s="10">
        <f ca="1">IFERROR(__xludf.DUMMYFUNCTION("""COMPUTED_VALUE"""),0.581944444444444)</f>
        <v>0.58194444444444404</v>
      </c>
      <c r="U1281" s="5">
        <f ca="1">IFERROR(__xludf.DUMMYFUNCTION("""COMPUTED_VALUE"""),1)</f>
        <v>1</v>
      </c>
      <c r="V1281" s="5" t="str">
        <f ca="1">IFERROR(__xludf.DUMMYFUNCTION("""COMPUTED_VALUE"""),"Drive-by in retaliation for prior shooting")</f>
        <v>Drive-by in retaliation for prior shooting</v>
      </c>
      <c r="W1281"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X1281" s="5" t="str">
        <f ca="1">IFERROR(__xludf.DUMMYFUNCTION("""COMPUTED_VALUE"""),"Drive-by Shooting")</f>
        <v>Drive-by Shooting</v>
      </c>
      <c r="Y1281" s="5" t="str">
        <f ca="1">IFERROR(__xludf.DUMMYFUNCTION("""COMPUTED_VALUE"""),"Victims Targeted")</f>
        <v>Victims Targeted</v>
      </c>
      <c r="Z1281" s="5" t="str">
        <f ca="1">IFERROR(__xludf.DUMMYFUNCTION("""COMPUTED_VALUE"""),"Yes")</f>
        <v>Yes</v>
      </c>
      <c r="AA1281" s="5" t="str">
        <f ca="1">IFERROR(__xludf.DUMMYFUNCTION("""COMPUTED_VALUE"""),"3 males in car during shooting")</f>
        <v>3 males in car during shooting</v>
      </c>
      <c r="AB1281" s="5" t="str">
        <f ca="1">IFERROR(__xludf.DUMMYFUNCTION("""COMPUTED_VALUE"""),"No")</f>
        <v>No</v>
      </c>
      <c r="AC1281" s="5" t="str">
        <f ca="1">IFERROR(__xludf.DUMMYFUNCTION("""COMPUTED_VALUE"""),"No")</f>
        <v>No</v>
      </c>
      <c r="AD1281" s="5" t="str">
        <f ca="1">IFERROR(__xludf.DUMMYFUNCTION("""COMPUTED_VALUE"""),"No")</f>
        <v>No</v>
      </c>
      <c r="AE1281" s="5" t="str">
        <f ca="1">IFERROR(__xludf.DUMMYFUNCTION("""COMPUTED_VALUE"""),"No")</f>
        <v>No</v>
      </c>
      <c r="AF1281" s="5" t="str">
        <f ca="1">IFERROR(__xludf.DUMMYFUNCTION("""COMPUTED_VALUE"""),"No")</f>
        <v>No</v>
      </c>
      <c r="AG1281" s="5" t="str">
        <f ca="1">IFERROR(__xludf.DUMMYFUNCTION("""COMPUTED_VALUE"""),"Yes")</f>
        <v>Yes</v>
      </c>
      <c r="AH1281" s="5"/>
    </row>
    <row r="1282" spans="1:34" ht="12.75">
      <c r="A1282" s="5" t="str">
        <f ca="1">IFERROR(__xludf.DUMMYFUNCTION("""COMPUTED_VALUE"""),"20050314OHLEC")</f>
        <v>20050314OHLEC</v>
      </c>
      <c r="B1282" s="8">
        <f ca="1">IFERROR(__xludf.DUMMYFUNCTION("""COMPUTED_VALUE"""),38425)</f>
        <v>38425</v>
      </c>
      <c r="C1282" s="5" t="str">
        <f ca="1">IFERROR(__xludf.DUMMYFUNCTION("""COMPUTED_VALUE"""),"Leawood Elementary School")</f>
        <v>Leawood Elementary School</v>
      </c>
      <c r="D1282" s="5">
        <f ca="1">IFERROR(__xludf.DUMMYFUNCTION("""COMPUTED_VALUE"""),0)</f>
        <v>0</v>
      </c>
      <c r="E1282" s="5">
        <f ca="1">IFERROR(__xludf.DUMMYFUNCTION("""COMPUTED_VALUE"""),1)</f>
        <v>1</v>
      </c>
      <c r="F1282" s="5">
        <f ca="1">IFERROR(__xludf.DUMMYFUNCTION("""COMPUTED_VALUE"""),1)</f>
        <v>1</v>
      </c>
      <c r="G1282" s="5">
        <f ca="1">IFERROR(__xludf.DUMMYFUNCTION("""COMPUTED_VALUE"""),0)</f>
        <v>0</v>
      </c>
      <c r="H1282"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I1282" s="5"/>
      <c r="J1282" s="5"/>
      <c r="K1282" s="5">
        <f ca="1">IFERROR(__xludf.DUMMYFUNCTION("""COMPUTED_VALUE"""),2)</f>
        <v>2</v>
      </c>
      <c r="L1282" s="5" t="str">
        <f ca="1">IFERROR(__xludf.DUMMYFUNCTION("""COMPUTED_VALUE"""),"Spring")</f>
        <v>Spring</v>
      </c>
      <c r="M1282" s="5" t="str">
        <f ca="1">IFERROR(__xludf.DUMMYFUNCTION("""COMPUTED_VALUE"""),"Columbus")</f>
        <v>Columbus</v>
      </c>
      <c r="N1282" s="5" t="str">
        <f ca="1">IFERROR(__xludf.DUMMYFUNCTION("""COMPUTED_VALUE"""),"OH")</f>
        <v>OH</v>
      </c>
      <c r="O1282" s="5" t="str">
        <f ca="1">IFERROR(__xludf.DUMMYFUNCTION("""COMPUTED_VALUE"""),"Elementary")</f>
        <v>Elementary</v>
      </c>
      <c r="P1282" s="5" t="str">
        <f ca="1">IFERROR(__xludf.DUMMYFUNCTION("""COMPUTED_VALUE"""),"Classroom")</f>
        <v>Classroom</v>
      </c>
      <c r="Q1282" s="5" t="str">
        <f ca="1">IFERROR(__xludf.DUMMYFUNCTION("""COMPUTED_VALUE"""),"Inside School Building")</f>
        <v>Inside School Building</v>
      </c>
      <c r="R1282" s="5" t="str">
        <f ca="1">IFERROR(__xludf.DUMMYFUNCTION("""COMPUTED_VALUE"""),"Yes")</f>
        <v>Yes</v>
      </c>
      <c r="S1282" s="5" t="str">
        <f ca="1">IFERROR(__xludf.DUMMYFUNCTION("""COMPUTED_VALUE"""),"Morning Classes")</f>
        <v>Morning Classes</v>
      </c>
      <c r="T1282" s="10">
        <f ca="1">IFERROR(__xludf.DUMMYFUNCTION("""COMPUTED_VALUE"""),0.375)</f>
        <v>0.375</v>
      </c>
      <c r="U1282" s="5">
        <f ca="1">IFERROR(__xludf.DUMMYFUNCTION("""COMPUTED_VALUE"""),1)</f>
        <v>1</v>
      </c>
      <c r="V1282" s="5" t="str">
        <f ca="1">IFERROR(__xludf.DUMMYFUNCTION("""COMPUTED_VALUE"""),"Student showing off gun in classroom shot himself in hand")</f>
        <v>Student showing off gun in classroom shot himself in hand</v>
      </c>
      <c r="W1282" s="5" t="str">
        <f ca="1">IFERROR(__xludf.DUMMYFUNCTION("""COMPUTED_VALUE"""),"7YOM was showing off gun in classroom and shot himself in the hand putting it into his backpack.")</f>
        <v>7YOM was showing off gun in classroom and shot himself in the hand putting it into his backpack.</v>
      </c>
      <c r="X1282" s="5" t="str">
        <f ca="1">IFERROR(__xludf.DUMMYFUNCTION("""COMPUTED_VALUE"""),"Accidental")</f>
        <v>Accidental</v>
      </c>
      <c r="Y1282" s="5" t="str">
        <f ca="1">IFERROR(__xludf.DUMMYFUNCTION("""COMPUTED_VALUE"""),"Random Shooting")</f>
        <v>Random Shooting</v>
      </c>
      <c r="Z1282" s="5" t="str">
        <f ca="1">IFERROR(__xludf.DUMMYFUNCTION("""COMPUTED_VALUE"""),"No")</f>
        <v>No</v>
      </c>
      <c r="AA1282" s="5"/>
      <c r="AB1282" s="5" t="str">
        <f ca="1">IFERROR(__xludf.DUMMYFUNCTION("""COMPUTED_VALUE"""),"No")</f>
        <v>No</v>
      </c>
      <c r="AC1282" s="5" t="str">
        <f ca="1">IFERROR(__xludf.DUMMYFUNCTION("""COMPUTED_VALUE"""),"No")</f>
        <v>No</v>
      </c>
      <c r="AD1282" s="5" t="str">
        <f ca="1">IFERROR(__xludf.DUMMYFUNCTION("""COMPUTED_VALUE"""),"No")</f>
        <v>No</v>
      </c>
      <c r="AE1282" s="5" t="str">
        <f ca="1">IFERROR(__xludf.DUMMYFUNCTION("""COMPUTED_VALUE"""),"No")</f>
        <v>No</v>
      </c>
      <c r="AF1282" s="5" t="str">
        <f ca="1">IFERROR(__xludf.DUMMYFUNCTION("""COMPUTED_VALUE"""),"No")</f>
        <v>No</v>
      </c>
      <c r="AG1282" s="5" t="str">
        <f ca="1">IFERROR(__xludf.DUMMYFUNCTION("""COMPUTED_VALUE"""),"No")</f>
        <v>No</v>
      </c>
      <c r="AH1282" s="5"/>
    </row>
    <row r="1283" spans="1:34" ht="12.75">
      <c r="A1283" s="5" t="str">
        <f ca="1">IFERROR(__xludf.DUMMYFUNCTION("""COMPUTED_VALUE"""),"20050310TXZAD")</f>
        <v>20050310TXZAD</v>
      </c>
      <c r="B1283" s="8">
        <f ca="1">IFERROR(__xludf.DUMMYFUNCTION("""COMPUTED_VALUE"""),38421)</f>
        <v>38421</v>
      </c>
      <c r="C1283" s="5" t="str">
        <f ca="1">IFERROR(__xludf.DUMMYFUNCTION("""COMPUTED_VALUE"""),"Zaragoza Elementary School")</f>
        <v>Zaragoza Elementary School</v>
      </c>
      <c r="D1283" s="5">
        <f ca="1">IFERROR(__xludf.DUMMYFUNCTION("""COMPUTED_VALUE"""),0)</f>
        <v>0</v>
      </c>
      <c r="E1283" s="5">
        <f ca="1">IFERROR(__xludf.DUMMYFUNCTION("""COMPUTED_VALUE"""),1)</f>
        <v>1</v>
      </c>
      <c r="F1283" s="5">
        <f ca="1">IFERROR(__xludf.DUMMYFUNCTION("""COMPUTED_VALUE"""),1)</f>
        <v>1</v>
      </c>
      <c r="G1283" s="5">
        <f ca="1">IFERROR(__xludf.DUMMYFUNCTION("""COMPUTED_VALUE"""),0)</f>
        <v>0</v>
      </c>
      <c r="H1283" s="9" t="str">
        <f ca="1">IFERROR(__xludf.DUMMYFUNCTION("""COMPUTED_VALUE"""),"https://www.columbine-angels.com/School_Violence_2004-2005.htm")</f>
        <v>https://www.columbine-angels.com/School_Violence_2004-2005.htm</v>
      </c>
      <c r="I1283" s="5"/>
      <c r="J1283" s="5"/>
      <c r="K1283" s="5">
        <f ca="1">IFERROR(__xludf.DUMMYFUNCTION("""COMPUTED_VALUE"""),1)</f>
        <v>1</v>
      </c>
      <c r="L1283" s="5" t="str">
        <f ca="1">IFERROR(__xludf.DUMMYFUNCTION("""COMPUTED_VALUE"""),"Spring")</f>
        <v>Spring</v>
      </c>
      <c r="M1283" s="5" t="str">
        <f ca="1">IFERROR(__xludf.DUMMYFUNCTION("""COMPUTED_VALUE"""),"Dallas")</f>
        <v>Dallas</v>
      </c>
      <c r="N1283" s="5" t="str">
        <f ca="1">IFERROR(__xludf.DUMMYFUNCTION("""COMPUTED_VALUE"""),"TX")</f>
        <v>TX</v>
      </c>
      <c r="O1283" s="5" t="str">
        <f ca="1">IFERROR(__xludf.DUMMYFUNCTION("""COMPUTED_VALUE"""),"Elementary")</f>
        <v>Elementary</v>
      </c>
      <c r="P1283" s="5" t="str">
        <f ca="1">IFERROR(__xludf.DUMMYFUNCTION("""COMPUTED_VALUE"""),"Parking Lot")</f>
        <v>Parking Lot</v>
      </c>
      <c r="Q1283" s="5" t="str">
        <f ca="1">IFERROR(__xludf.DUMMYFUNCTION("""COMPUTED_VALUE"""),"Outside on School Property")</f>
        <v>Outside on School Property</v>
      </c>
      <c r="R1283" s="5" t="str">
        <f ca="1">IFERROR(__xludf.DUMMYFUNCTION("""COMPUTED_VALUE"""),"No")</f>
        <v>No</v>
      </c>
      <c r="S1283" s="5" t="str">
        <f ca="1">IFERROR(__xludf.DUMMYFUNCTION("""COMPUTED_VALUE"""),"Evening")</f>
        <v>Evening</v>
      </c>
      <c r="T1283" s="10">
        <f ca="1">IFERROR(__xludf.DUMMYFUNCTION("""COMPUTED_VALUE"""),0.770833333333333)</f>
        <v>0.77083333333333304</v>
      </c>
      <c r="U1283" s="5">
        <f ca="1">IFERROR(__xludf.DUMMYFUNCTION("""COMPUTED_VALUE"""),1)</f>
        <v>1</v>
      </c>
      <c r="V1283" s="5" t="str">
        <f ca="1">IFERROR(__xludf.DUMMYFUNCTION("""COMPUTED_VALUE"""),"Drive-by when people were leaving meeting at school")</f>
        <v>Drive-by when people were leaving meeting at school</v>
      </c>
      <c r="W1283"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X1283" s="5" t="str">
        <f ca="1">IFERROR(__xludf.DUMMYFUNCTION("""COMPUTED_VALUE"""),"Drive-by Shooting")</f>
        <v>Drive-by Shooting</v>
      </c>
      <c r="Y1283" s="5"/>
      <c r="Z1283" s="5" t="str">
        <f ca="1">IFERROR(__xludf.DUMMYFUNCTION("""COMPUTED_VALUE"""),"No")</f>
        <v>No</v>
      </c>
      <c r="AA1283" s="5"/>
      <c r="AB1283" s="5" t="str">
        <f ca="1">IFERROR(__xludf.DUMMYFUNCTION("""COMPUTED_VALUE"""),"No")</f>
        <v>No</v>
      </c>
      <c r="AC1283" s="5" t="str">
        <f ca="1">IFERROR(__xludf.DUMMYFUNCTION("""COMPUTED_VALUE"""),"No")</f>
        <v>No</v>
      </c>
      <c r="AD1283" s="5" t="str">
        <f ca="1">IFERROR(__xludf.DUMMYFUNCTION("""COMPUTED_VALUE"""),"No")</f>
        <v>No</v>
      </c>
      <c r="AE1283" s="5" t="str">
        <f ca="1">IFERROR(__xludf.DUMMYFUNCTION("""COMPUTED_VALUE"""),"No")</f>
        <v>No</v>
      </c>
      <c r="AF1283" s="5" t="str">
        <f ca="1">IFERROR(__xludf.DUMMYFUNCTION("""COMPUTED_VALUE"""),"No")</f>
        <v>No</v>
      </c>
      <c r="AG1283" s="5"/>
      <c r="AH1283" s="5"/>
    </row>
    <row r="1284" spans="1:34" ht="12.75">
      <c r="A1284" s="5" t="str">
        <f ca="1">IFERROR(__xludf.DUMMYFUNCTION("""COMPUTED_VALUE"""),"20050309TNMAN")</f>
        <v>20050309TNMAN</v>
      </c>
      <c r="B1284" s="8">
        <f ca="1">IFERROR(__xludf.DUMMYFUNCTION("""COMPUTED_VALUE"""),38420)</f>
        <v>38420</v>
      </c>
      <c r="C1284" s="5" t="str">
        <f ca="1">IFERROR(__xludf.DUMMYFUNCTION("""COMPUTED_VALUE"""),"Maplewood Comprehensive High School")</f>
        <v>Maplewood Comprehensive High School</v>
      </c>
      <c r="D1284" s="5">
        <f ca="1">IFERROR(__xludf.DUMMYFUNCTION("""COMPUTED_VALUE"""),0)</f>
        <v>0</v>
      </c>
      <c r="E1284" s="5">
        <f ca="1">IFERROR(__xludf.DUMMYFUNCTION("""COMPUTED_VALUE"""),1)</f>
        <v>1</v>
      </c>
      <c r="F1284" s="5">
        <f ca="1">IFERROR(__xludf.DUMMYFUNCTION("""COMPUTED_VALUE"""),1)</f>
        <v>1</v>
      </c>
      <c r="G1284" s="5">
        <f ca="1">IFERROR(__xludf.DUMMYFUNCTION("""COMPUTED_VALUE"""),0)</f>
        <v>0</v>
      </c>
      <c r="H1284" s="9" t="str">
        <f ca="1">IFERROR(__xludf.DUMMYFUNCTION("""COMPUTED_VALUE"""),"https://www.columbine-angels.com/School_Violence_2004-2005.htm")</f>
        <v>https://www.columbine-angels.com/School_Violence_2004-2005.htm</v>
      </c>
      <c r="I1284" s="5"/>
      <c r="J1284" s="5"/>
      <c r="K1284" s="5">
        <f ca="1">IFERROR(__xludf.DUMMYFUNCTION("""COMPUTED_VALUE"""),1)</f>
        <v>1</v>
      </c>
      <c r="L1284" s="5" t="str">
        <f ca="1">IFERROR(__xludf.DUMMYFUNCTION("""COMPUTED_VALUE"""),"Spring")</f>
        <v>Spring</v>
      </c>
      <c r="M1284" s="5" t="str">
        <f ca="1">IFERROR(__xludf.DUMMYFUNCTION("""COMPUTED_VALUE"""),"Nashville")</f>
        <v>Nashville</v>
      </c>
      <c r="N1284" s="5" t="str">
        <f ca="1">IFERROR(__xludf.DUMMYFUNCTION("""COMPUTED_VALUE"""),"TN")</f>
        <v>TN</v>
      </c>
      <c r="O1284" s="5" t="str">
        <f ca="1">IFERROR(__xludf.DUMMYFUNCTION("""COMPUTED_VALUE"""),"High")</f>
        <v>High</v>
      </c>
      <c r="P1284" s="5" t="str">
        <f ca="1">IFERROR(__xludf.DUMMYFUNCTION("""COMPUTED_VALUE"""),"Parking Lot")</f>
        <v>Parking Lot</v>
      </c>
      <c r="Q1284" s="5" t="str">
        <f ca="1">IFERROR(__xludf.DUMMYFUNCTION("""COMPUTED_VALUE"""),"Outside on School Property")</f>
        <v>Outside on School Property</v>
      </c>
      <c r="R1284" s="5" t="str">
        <f ca="1">IFERROR(__xludf.DUMMYFUNCTION("""COMPUTED_VALUE"""),"Yes")</f>
        <v>Yes</v>
      </c>
      <c r="S1284" s="5" t="str">
        <f ca="1">IFERROR(__xludf.DUMMYFUNCTION("""COMPUTED_VALUE"""),"Dismissal")</f>
        <v>Dismissal</v>
      </c>
      <c r="T1284" s="10">
        <f ca="1">IFERROR(__xludf.DUMMYFUNCTION("""COMPUTED_VALUE"""),0.583333333333333)</f>
        <v>0.58333333333333304</v>
      </c>
      <c r="U1284" s="5">
        <f ca="1">IFERROR(__xludf.DUMMYFUNCTION("""COMPUTED_VALUE"""),1)</f>
        <v>1</v>
      </c>
      <c r="V1284" s="5" t="str">
        <f ca="1">IFERROR(__xludf.DUMMYFUNCTION("""COMPUTED_VALUE"""),"Shots fired during argument between expelled student (shooter) and other students")</f>
        <v>Shots fired during argument between expelled student (shooter) and other students</v>
      </c>
      <c r="W1284"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X1284" s="5" t="str">
        <f ca="1">IFERROR(__xludf.DUMMYFUNCTION("""COMPUTED_VALUE"""),"Escalation of Dispute")</f>
        <v>Escalation of Dispute</v>
      </c>
      <c r="Y1284" s="5" t="str">
        <f ca="1">IFERROR(__xludf.DUMMYFUNCTION("""COMPUTED_VALUE"""),"Victims Targeted")</f>
        <v>Victims Targeted</v>
      </c>
      <c r="Z1284" s="5" t="str">
        <f ca="1">IFERROR(__xludf.DUMMYFUNCTION("""COMPUTED_VALUE"""),"No")</f>
        <v>No</v>
      </c>
      <c r="AA1284" s="5"/>
      <c r="AB1284" s="5" t="str">
        <f ca="1">IFERROR(__xludf.DUMMYFUNCTION("""COMPUTED_VALUE"""),"No")</f>
        <v>No</v>
      </c>
      <c r="AC1284" s="5" t="str">
        <f ca="1">IFERROR(__xludf.DUMMYFUNCTION("""COMPUTED_VALUE"""),"No")</f>
        <v>No</v>
      </c>
      <c r="AD1284" s="5" t="str">
        <f ca="1">IFERROR(__xludf.DUMMYFUNCTION("""COMPUTED_VALUE"""),"No")</f>
        <v>No</v>
      </c>
      <c r="AE1284" s="5" t="str">
        <f ca="1">IFERROR(__xludf.DUMMYFUNCTION("""COMPUTED_VALUE"""),"No")</f>
        <v>No</v>
      </c>
      <c r="AF1284" s="5" t="str">
        <f ca="1">IFERROR(__xludf.DUMMYFUNCTION("""COMPUTED_VALUE"""),"No")</f>
        <v>No</v>
      </c>
      <c r="AG1284" s="5" t="str">
        <f ca="1">IFERROR(__xludf.DUMMYFUNCTION("""COMPUTED_VALUE"""),"No")</f>
        <v>No</v>
      </c>
      <c r="AH1284" s="5"/>
    </row>
    <row r="1285" spans="1:34" ht="12.75">
      <c r="A1285" s="5" t="str">
        <f ca="1">IFERROR(__xludf.DUMMYFUNCTION("""COMPUTED_VALUE"""),"20050302TNSTD")</f>
        <v>20050302TNSTD</v>
      </c>
      <c r="B1285" s="8">
        <f ca="1">IFERROR(__xludf.DUMMYFUNCTION("""COMPUTED_VALUE"""),38413)</f>
        <v>38413</v>
      </c>
      <c r="C1285" s="5" t="str">
        <f ca="1">IFERROR(__xludf.DUMMYFUNCTION("""COMPUTED_VALUE"""),"Stewart County High School (bus)")</f>
        <v>Stewart County High School (bus)</v>
      </c>
      <c r="D1285" s="5">
        <f ca="1">IFERROR(__xludf.DUMMYFUNCTION("""COMPUTED_VALUE"""),1)</f>
        <v>1</v>
      </c>
      <c r="E1285" s="5">
        <f ca="1">IFERROR(__xludf.DUMMYFUNCTION("""COMPUTED_VALUE"""),0)</f>
        <v>0</v>
      </c>
      <c r="F1285" s="5">
        <f ca="1">IFERROR(__xludf.DUMMYFUNCTION("""COMPUTED_VALUE"""),1)</f>
        <v>1</v>
      </c>
      <c r="G1285" s="5">
        <f ca="1">IFERROR(__xludf.DUMMYFUNCTION("""COMPUTED_VALUE"""),0)</f>
        <v>0</v>
      </c>
      <c r="H1285" s="9" t="str">
        <f ca="1">IFERROR(__xludf.DUMMYFUNCTION("""COMPUTED_VALUE"""),"https://www.cbsnews.com/news/school-bus-driver-shot-to-death/")</f>
        <v>https://www.cbsnews.com/news/school-bus-driver-shot-to-death/</v>
      </c>
      <c r="I1285" s="5"/>
      <c r="J1285" s="5"/>
      <c r="K1285" s="5">
        <f ca="1">IFERROR(__xludf.DUMMYFUNCTION("""COMPUTED_VALUE"""),2)</f>
        <v>2</v>
      </c>
      <c r="L1285" s="5" t="str">
        <f ca="1">IFERROR(__xludf.DUMMYFUNCTION("""COMPUTED_VALUE"""),"Spring")</f>
        <v>Spring</v>
      </c>
      <c r="M1285" s="5" t="str">
        <f ca="1">IFERROR(__xludf.DUMMYFUNCTION("""COMPUTED_VALUE"""),"Dover")</f>
        <v>Dover</v>
      </c>
      <c r="N1285" s="5" t="str">
        <f ca="1">IFERROR(__xludf.DUMMYFUNCTION("""COMPUTED_VALUE"""),"TN")</f>
        <v>TN</v>
      </c>
      <c r="O1285" s="5" t="str">
        <f ca="1">IFERROR(__xludf.DUMMYFUNCTION("""COMPUTED_VALUE"""),"High")</f>
        <v>High</v>
      </c>
      <c r="P1285" s="5" t="str">
        <f ca="1">IFERROR(__xludf.DUMMYFUNCTION("""COMPUTED_VALUE"""),"School Bus")</f>
        <v>School Bus</v>
      </c>
      <c r="Q1285" s="5" t="str">
        <f ca="1">IFERROR(__xludf.DUMMYFUNCTION("""COMPUTED_VALUE"""),"School Bus")</f>
        <v>School Bus</v>
      </c>
      <c r="R1285" s="5" t="str">
        <f ca="1">IFERROR(__xludf.DUMMYFUNCTION("""COMPUTED_VALUE"""),"No")</f>
        <v>No</v>
      </c>
      <c r="S1285" s="5" t="str">
        <f ca="1">IFERROR(__xludf.DUMMYFUNCTION("""COMPUTED_VALUE"""),"Before School")</f>
        <v>Before School</v>
      </c>
      <c r="T1285" s="10">
        <f ca="1">IFERROR(__xludf.DUMMYFUNCTION("""COMPUTED_VALUE"""),0.260416666666666)</f>
        <v>0.26041666666666602</v>
      </c>
      <c r="U1285" s="5">
        <f ca="1">IFERROR(__xludf.DUMMYFUNCTION("""COMPUTED_VALUE"""),1)</f>
        <v>1</v>
      </c>
      <c r="V1285" s="5" t="str">
        <f ca="1">IFERROR(__xludf.DUMMYFUNCTION("""COMPUTED_VALUE"""),"Killed bus driver because she had reported his tobacco use")</f>
        <v>Killed bus driver because she had reported his tobacco use</v>
      </c>
      <c r="W1285"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X1285" s="5" t="str">
        <f ca="1">IFERROR(__xludf.DUMMYFUNCTION("""COMPUTED_VALUE"""),"Anger Over Grade/Suspension/Discipline")</f>
        <v>Anger Over Grade/Suspension/Discipline</v>
      </c>
      <c r="Y1285" s="5" t="str">
        <f ca="1">IFERROR(__xludf.DUMMYFUNCTION("""COMPUTED_VALUE"""),"Victims Targeted")</f>
        <v>Victims Targeted</v>
      </c>
      <c r="Z1285" s="5" t="str">
        <f ca="1">IFERROR(__xludf.DUMMYFUNCTION("""COMPUTED_VALUE"""),"No")</f>
        <v>No</v>
      </c>
      <c r="AA1285" s="5"/>
      <c r="AB1285" s="5" t="str">
        <f ca="1">IFERROR(__xludf.DUMMYFUNCTION("""COMPUTED_VALUE"""),"No")</f>
        <v>No</v>
      </c>
      <c r="AC1285" s="5" t="str">
        <f ca="1">IFERROR(__xludf.DUMMYFUNCTION("""COMPUTED_VALUE"""),"No")</f>
        <v>No</v>
      </c>
      <c r="AD1285" s="5" t="str">
        <f ca="1">IFERROR(__xludf.DUMMYFUNCTION("""COMPUTED_VALUE"""),"No")</f>
        <v>No</v>
      </c>
      <c r="AE1285" s="5" t="str">
        <f ca="1">IFERROR(__xludf.DUMMYFUNCTION("""COMPUTED_VALUE"""),"No")</f>
        <v>No</v>
      </c>
      <c r="AF1285" s="5" t="str">
        <f ca="1">IFERROR(__xludf.DUMMYFUNCTION("""COMPUTED_VALUE"""),"No")</f>
        <v>No</v>
      </c>
      <c r="AG1285" s="5" t="str">
        <f ca="1">IFERROR(__xludf.DUMMYFUNCTION("""COMPUTED_VALUE"""),"No")</f>
        <v>No</v>
      </c>
      <c r="AH1285" s="5"/>
    </row>
    <row r="1286" spans="1:34" ht="12.75">
      <c r="A1286" s="5" t="str">
        <f ca="1">IFERROR(__xludf.DUMMYFUNCTION("""COMPUTED_VALUE"""),"20050208ILBOC")</f>
        <v>20050208ILBOC</v>
      </c>
      <c r="B1286" s="8">
        <f ca="1">IFERROR(__xludf.DUMMYFUNCTION("""COMPUTED_VALUE"""),38391)</f>
        <v>38391</v>
      </c>
      <c r="C1286" s="5" t="str">
        <f ca="1">IFERROR(__xludf.DUMMYFUNCTION("""COMPUTED_VALUE"""),"Bowen High School")</f>
        <v>Bowen High School</v>
      </c>
      <c r="D1286" s="5">
        <f ca="1">IFERROR(__xludf.DUMMYFUNCTION("""COMPUTED_VALUE"""),0)</f>
        <v>0</v>
      </c>
      <c r="E1286" s="5">
        <f ca="1">IFERROR(__xludf.DUMMYFUNCTION("""COMPUTED_VALUE"""),1)</f>
        <v>1</v>
      </c>
      <c r="F1286" s="5">
        <f ca="1">IFERROR(__xludf.DUMMYFUNCTION("""COMPUTED_VALUE"""),1)</f>
        <v>1</v>
      </c>
      <c r="G1286" s="5">
        <f ca="1">IFERROR(__xludf.DUMMYFUNCTION("""COMPUTED_VALUE"""),0)</f>
        <v>0</v>
      </c>
      <c r="H1286" s="9" t="str">
        <f ca="1">IFERROR(__xludf.DUMMYFUNCTION("""COMPUTED_VALUE"""),"http://articles.chicagotribune.com/2005-02-09/news/0502090400_1_chicago-public-schools-students-exits")</f>
        <v>http://articles.chicagotribune.com/2005-02-09/news/0502090400_1_chicago-public-schools-students-exits</v>
      </c>
      <c r="I1286" s="5"/>
      <c r="J1286" s="5"/>
      <c r="K1286" s="5">
        <f ca="1">IFERROR(__xludf.DUMMYFUNCTION("""COMPUTED_VALUE"""),2)</f>
        <v>2</v>
      </c>
      <c r="L1286" s="5" t="str">
        <f ca="1">IFERROR(__xludf.DUMMYFUNCTION("""COMPUTED_VALUE"""),"Winter")</f>
        <v>Winter</v>
      </c>
      <c r="M1286" s="5" t="str">
        <f ca="1">IFERROR(__xludf.DUMMYFUNCTION("""COMPUTED_VALUE"""),"Chicago")</f>
        <v>Chicago</v>
      </c>
      <c r="N1286" s="5" t="str">
        <f ca="1">IFERROR(__xludf.DUMMYFUNCTION("""COMPUTED_VALUE"""),"IL")</f>
        <v>IL</v>
      </c>
      <c r="O1286" s="5" t="str">
        <f ca="1">IFERROR(__xludf.DUMMYFUNCTION("""COMPUTED_VALUE"""),"High")</f>
        <v>High</v>
      </c>
      <c r="P1286" s="5" t="str">
        <f ca="1">IFERROR(__xludf.DUMMYFUNCTION("""COMPUTED_VALUE"""),"Beside Building")</f>
        <v>Beside Building</v>
      </c>
      <c r="Q1286" s="5" t="str">
        <f ca="1">IFERROR(__xludf.DUMMYFUNCTION("""COMPUTED_VALUE"""),"Outside on School Property")</f>
        <v>Outside on School Property</v>
      </c>
      <c r="R1286" s="5" t="str">
        <f ca="1">IFERROR(__xludf.DUMMYFUNCTION("""COMPUTED_VALUE"""),"Yes")</f>
        <v>Yes</v>
      </c>
      <c r="S1286" s="5" t="str">
        <f ca="1">IFERROR(__xludf.DUMMYFUNCTION("""COMPUTED_VALUE"""),"Dismissal")</f>
        <v>Dismissal</v>
      </c>
      <c r="T1286" s="10">
        <f ca="1">IFERROR(__xludf.DUMMYFUNCTION("""COMPUTED_VALUE"""),0.605555555555555)</f>
        <v>0.60555555555555496</v>
      </c>
      <c r="U1286" s="5">
        <f ca="1">IFERROR(__xludf.DUMMYFUNCTION("""COMPUTED_VALUE"""),1)</f>
        <v>1</v>
      </c>
      <c r="V1286" s="5" t="str">
        <f ca="1">IFERROR(__xludf.DUMMYFUNCTION("""COMPUTED_VALUE"""),"Fight as school dismissed")</f>
        <v>Fight as school dismissed</v>
      </c>
      <c r="W1286"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X1286" s="5" t="str">
        <f ca="1">IFERROR(__xludf.DUMMYFUNCTION("""COMPUTED_VALUE"""),"Escalation of Dispute")</f>
        <v>Escalation of Dispute</v>
      </c>
      <c r="Y1286" s="5"/>
      <c r="Z1286" s="5" t="str">
        <f ca="1">IFERROR(__xludf.DUMMYFUNCTION("""COMPUTED_VALUE"""),"No")</f>
        <v>No</v>
      </c>
      <c r="AA1286" s="5"/>
      <c r="AB1286" s="5" t="str">
        <f ca="1">IFERROR(__xludf.DUMMYFUNCTION("""COMPUTED_VALUE"""),"No")</f>
        <v>No</v>
      </c>
      <c r="AC1286" s="5" t="str">
        <f ca="1">IFERROR(__xludf.DUMMYFUNCTION("""COMPUTED_VALUE"""),"No")</f>
        <v>No</v>
      </c>
      <c r="AD1286" s="5" t="str">
        <f ca="1">IFERROR(__xludf.DUMMYFUNCTION("""COMPUTED_VALUE"""),"No")</f>
        <v>No</v>
      </c>
      <c r="AE1286" s="5"/>
      <c r="AF1286" s="5" t="str">
        <f ca="1">IFERROR(__xludf.DUMMYFUNCTION("""COMPUTED_VALUE"""),"No")</f>
        <v>No</v>
      </c>
      <c r="AG1286" s="5" t="str">
        <f ca="1">IFERROR(__xludf.DUMMYFUNCTION("""COMPUTED_VALUE"""),"No")</f>
        <v>No</v>
      </c>
      <c r="AH1286" s="5"/>
    </row>
    <row r="1287" spans="1:34" ht="12.75">
      <c r="A1287" s="5" t="str">
        <f ca="1">IFERROR(__xludf.DUMMYFUNCTION("""COMPUTED_VALUE"""),"20050204GAMCA")</f>
        <v>20050204GAMCA</v>
      </c>
      <c r="B1287" s="8">
        <f ca="1">IFERROR(__xludf.DUMMYFUNCTION("""COMPUTED_VALUE"""),38387)</f>
        <v>38387</v>
      </c>
      <c r="C1287" s="5" t="str">
        <f ca="1">IFERROR(__xludf.DUMMYFUNCTION("""COMPUTED_VALUE"""),"McNair High School")</f>
        <v>McNair High School</v>
      </c>
      <c r="D1287" s="5">
        <f ca="1">IFERROR(__xludf.DUMMYFUNCTION("""COMPUTED_VALUE"""),0)</f>
        <v>0</v>
      </c>
      <c r="E1287" s="5">
        <f ca="1">IFERROR(__xludf.DUMMYFUNCTION("""COMPUTED_VALUE"""),1)</f>
        <v>1</v>
      </c>
      <c r="F1287" s="5">
        <f ca="1">IFERROR(__xludf.DUMMYFUNCTION("""COMPUTED_VALUE"""),1)</f>
        <v>1</v>
      </c>
      <c r="G1287" s="5">
        <f ca="1">IFERROR(__xludf.DUMMYFUNCTION("""COMPUTED_VALUE"""),0)</f>
        <v>0</v>
      </c>
      <c r="H1287" s="9" t="str">
        <f ca="1">IFERROR(__xludf.DUMMYFUNCTION("""COMPUTED_VALUE"""),"https://www.columbine-angels.com/School_Violence_2005-2006.htm")</f>
        <v>https://www.columbine-angels.com/School_Violence_2005-2006.htm</v>
      </c>
      <c r="I1287" s="5"/>
      <c r="J1287" s="5"/>
      <c r="K1287" s="5">
        <f ca="1">IFERROR(__xludf.DUMMYFUNCTION("""COMPUTED_VALUE"""),1)</f>
        <v>1</v>
      </c>
      <c r="L1287" s="5" t="str">
        <f ca="1">IFERROR(__xludf.DUMMYFUNCTION("""COMPUTED_VALUE"""),"Winter")</f>
        <v>Winter</v>
      </c>
      <c r="M1287" s="5" t="str">
        <f ca="1">IFERROR(__xludf.DUMMYFUNCTION("""COMPUTED_VALUE"""),"Atlanta")</f>
        <v>Atlanta</v>
      </c>
      <c r="N1287" s="5" t="str">
        <f ca="1">IFERROR(__xludf.DUMMYFUNCTION("""COMPUTED_VALUE"""),"GA")</f>
        <v>GA</v>
      </c>
      <c r="O1287" s="5" t="str">
        <f ca="1">IFERROR(__xludf.DUMMYFUNCTION("""COMPUTED_VALUE"""),"High")</f>
        <v>High</v>
      </c>
      <c r="P1287" s="5" t="str">
        <f ca="1">IFERROR(__xludf.DUMMYFUNCTION("""COMPUTED_VALUE"""),"Outside on School Property")</f>
        <v>Outside on School Property</v>
      </c>
      <c r="Q1287" s="5" t="str">
        <f ca="1">IFERROR(__xludf.DUMMYFUNCTION("""COMPUTED_VALUE"""),"Outside on School Property")</f>
        <v>Outside on School Property</v>
      </c>
      <c r="R1287" s="5"/>
      <c r="S1287" s="5"/>
      <c r="T1287" s="5"/>
      <c r="U1287" s="5">
        <f ca="1">IFERROR(__xludf.DUMMYFUNCTION("""COMPUTED_VALUE"""),1)</f>
        <v>1</v>
      </c>
      <c r="V1287" s="5" t="str">
        <f ca="1">IFERROR(__xludf.DUMMYFUNCTION("""COMPUTED_VALUE"""),"Gun was dropped and discharged")</f>
        <v>Gun was dropped and discharged</v>
      </c>
      <c r="W1287"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X1287" s="5" t="str">
        <f ca="1">IFERROR(__xludf.DUMMYFUNCTION("""COMPUTED_VALUE"""),"Accidental")</f>
        <v>Accidental</v>
      </c>
      <c r="Y1287" s="5" t="str">
        <f ca="1">IFERROR(__xludf.DUMMYFUNCTION("""COMPUTED_VALUE"""),"Random Shooting")</f>
        <v>Random Shooting</v>
      </c>
      <c r="Z1287" s="5" t="str">
        <f ca="1">IFERROR(__xludf.DUMMYFUNCTION("""COMPUTED_VALUE"""),"No")</f>
        <v>No</v>
      </c>
      <c r="AA1287" s="5"/>
      <c r="AB1287" s="5" t="str">
        <f ca="1">IFERROR(__xludf.DUMMYFUNCTION("""COMPUTED_VALUE"""),"No")</f>
        <v>No</v>
      </c>
      <c r="AC1287" s="5" t="str">
        <f ca="1">IFERROR(__xludf.DUMMYFUNCTION("""COMPUTED_VALUE"""),"No")</f>
        <v>No</v>
      </c>
      <c r="AD1287" s="5" t="str">
        <f ca="1">IFERROR(__xludf.DUMMYFUNCTION("""COMPUTED_VALUE"""),"No")</f>
        <v>No</v>
      </c>
      <c r="AE1287" s="5" t="str">
        <f ca="1">IFERROR(__xludf.DUMMYFUNCTION("""COMPUTED_VALUE"""),"No")</f>
        <v>No</v>
      </c>
      <c r="AF1287" s="5" t="str">
        <f ca="1">IFERROR(__xludf.DUMMYFUNCTION("""COMPUTED_VALUE"""),"No")</f>
        <v>No</v>
      </c>
      <c r="AG1287" s="5" t="str">
        <f ca="1">IFERROR(__xludf.DUMMYFUNCTION("""COMPUTED_VALUE"""),"No")</f>
        <v>No</v>
      </c>
      <c r="AH1287" s="5"/>
    </row>
    <row r="1288" spans="1:34" ht="12.75">
      <c r="A1288" s="5" t="str">
        <f ca="1">IFERROR(__xludf.DUMMYFUNCTION("""COMPUTED_VALUE"""),"20050126ILWOP")</f>
        <v>20050126ILWOP</v>
      </c>
      <c r="B1288" s="8">
        <f ca="1">IFERROR(__xludf.DUMMYFUNCTION("""COMPUTED_VALUE"""),38378)</f>
        <v>38378</v>
      </c>
      <c r="C1288" s="5" t="str">
        <f ca="1">IFERROR(__xludf.DUMMYFUNCTION("""COMPUTED_VALUE"""),"Woodruff High School")</f>
        <v>Woodruff High School</v>
      </c>
      <c r="D1288" s="5">
        <f ca="1">IFERROR(__xludf.DUMMYFUNCTION("""COMPUTED_VALUE"""),0)</f>
        <v>0</v>
      </c>
      <c r="E1288" s="5">
        <f ca="1">IFERROR(__xludf.DUMMYFUNCTION("""COMPUTED_VALUE"""),0)</f>
        <v>0</v>
      </c>
      <c r="F1288" s="5">
        <f ca="1">IFERROR(__xludf.DUMMYFUNCTION("""COMPUTED_VALUE"""),0)</f>
        <v>0</v>
      </c>
      <c r="G1288" s="5">
        <f ca="1">IFERROR(__xludf.DUMMYFUNCTION("""COMPUTED_VALUE"""),0)</f>
        <v>0</v>
      </c>
      <c r="H1288" s="9" t="str">
        <f ca="1">IFERROR(__xludf.DUMMYFUNCTION("""COMPUTED_VALUE"""),"http://www.pjstar.com/article/20131215/news/131219398")</f>
        <v>http://www.pjstar.com/article/20131215/news/131219398</v>
      </c>
      <c r="I1288" s="5"/>
      <c r="J1288" s="5"/>
      <c r="K1288" s="5">
        <f ca="1">IFERROR(__xludf.DUMMYFUNCTION("""COMPUTED_VALUE"""),2)</f>
        <v>2</v>
      </c>
      <c r="L1288" s="5" t="str">
        <f ca="1">IFERROR(__xludf.DUMMYFUNCTION("""COMPUTED_VALUE"""),"Winter")</f>
        <v>Winter</v>
      </c>
      <c r="M1288" s="5" t="str">
        <f ca="1">IFERROR(__xludf.DUMMYFUNCTION("""COMPUTED_VALUE"""),"Peoria")</f>
        <v>Peoria</v>
      </c>
      <c r="N1288" s="5" t="str">
        <f ca="1">IFERROR(__xludf.DUMMYFUNCTION("""COMPUTED_VALUE"""),"IL")</f>
        <v>IL</v>
      </c>
      <c r="O1288" s="5" t="str">
        <f ca="1">IFERROR(__xludf.DUMMYFUNCTION("""COMPUTED_VALUE"""),"High")</f>
        <v>High</v>
      </c>
      <c r="P1288" s="5" t="str">
        <f ca="1">IFERROR(__xludf.DUMMYFUNCTION("""COMPUTED_VALUE"""),"Hallway")</f>
        <v>Hallway</v>
      </c>
      <c r="Q1288" s="5" t="str">
        <f ca="1">IFERROR(__xludf.DUMMYFUNCTION("""COMPUTED_VALUE"""),"Inside School Building")</f>
        <v>Inside School Building</v>
      </c>
      <c r="R1288" s="5" t="str">
        <f ca="1">IFERROR(__xludf.DUMMYFUNCTION("""COMPUTED_VALUE"""),"Yes")</f>
        <v>Yes</v>
      </c>
      <c r="S1288" s="5" t="str">
        <f ca="1">IFERROR(__xludf.DUMMYFUNCTION("""COMPUTED_VALUE"""),"Morning Classes")</f>
        <v>Morning Classes</v>
      </c>
      <c r="T1288" s="5"/>
      <c r="U1288" s="5">
        <f ca="1">IFERROR(__xludf.DUMMYFUNCTION("""COMPUTED_VALUE"""),1)</f>
        <v>1</v>
      </c>
      <c r="V1288" s="5" t="str">
        <f ca="1">IFERROR(__xludf.DUMMYFUNCTION("""COMPUTED_VALUE"""),"Fired shots at another student in hallway, prior fight with shot fired away from school")</f>
        <v>Fired shots at another student in hallway, prior fight with shot fired away from school</v>
      </c>
      <c r="W1288"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X1288" s="5" t="str">
        <f ca="1">IFERROR(__xludf.DUMMYFUNCTION("""COMPUTED_VALUE"""),"Escalation of Dispute")</f>
        <v>Escalation of Dispute</v>
      </c>
      <c r="Y1288" s="5" t="str">
        <f ca="1">IFERROR(__xludf.DUMMYFUNCTION("""COMPUTED_VALUE"""),"Victims Targeted")</f>
        <v>Victims Targeted</v>
      </c>
      <c r="Z1288" s="5" t="str">
        <f ca="1">IFERROR(__xludf.DUMMYFUNCTION("""COMPUTED_VALUE"""),"No")</f>
        <v>No</v>
      </c>
      <c r="AA1288" s="5"/>
      <c r="AB1288" s="5" t="str">
        <f ca="1">IFERROR(__xludf.DUMMYFUNCTION("""COMPUTED_VALUE"""),"No")</f>
        <v>No</v>
      </c>
      <c r="AC1288" s="5" t="str">
        <f ca="1">IFERROR(__xludf.DUMMYFUNCTION("""COMPUTED_VALUE"""),"No")</f>
        <v>No</v>
      </c>
      <c r="AD1288" s="5" t="str">
        <f ca="1">IFERROR(__xludf.DUMMYFUNCTION("""COMPUTED_VALUE"""),"No")</f>
        <v>No</v>
      </c>
      <c r="AE1288" s="5" t="str">
        <f ca="1">IFERROR(__xludf.DUMMYFUNCTION("""COMPUTED_VALUE"""),"No")</f>
        <v>No</v>
      </c>
      <c r="AF1288" s="5" t="str">
        <f ca="1">IFERROR(__xludf.DUMMYFUNCTION("""COMPUTED_VALUE"""),"No")</f>
        <v>No</v>
      </c>
      <c r="AG1288" s="5" t="str">
        <f ca="1">IFERROR(__xludf.DUMMYFUNCTION("""COMPUTED_VALUE"""),"No")</f>
        <v>No</v>
      </c>
      <c r="AH1288" s="5"/>
    </row>
    <row r="1289" spans="1:34" ht="12.75">
      <c r="A1289" s="5" t="str">
        <f ca="1">IFERROR(__xludf.DUMMYFUNCTION("""COMPUTED_VALUE"""),"20050105PAMUN")</f>
        <v>20050105PAMUN</v>
      </c>
      <c r="B1289" s="8">
        <f ca="1">IFERROR(__xludf.DUMMYFUNCTION("""COMPUTED_VALUE"""),38357)</f>
        <v>38357</v>
      </c>
      <c r="C1289" s="5" t="str">
        <f ca="1">IFERROR(__xludf.DUMMYFUNCTION("""COMPUTED_VALUE"""),"Murrell Dobbins Vocational-Technical High School")</f>
        <v>Murrell Dobbins Vocational-Technical High School</v>
      </c>
      <c r="D1289" s="5">
        <f ca="1">IFERROR(__xludf.DUMMYFUNCTION("""COMPUTED_VALUE"""),1)</f>
        <v>1</v>
      </c>
      <c r="E1289" s="5">
        <f ca="1">IFERROR(__xludf.DUMMYFUNCTION("""COMPUTED_VALUE"""),0)</f>
        <v>0</v>
      </c>
      <c r="F1289" s="5">
        <f ca="1">IFERROR(__xludf.DUMMYFUNCTION("""COMPUTED_VALUE"""),1)</f>
        <v>1</v>
      </c>
      <c r="G1289" s="5">
        <f ca="1">IFERROR(__xludf.DUMMYFUNCTION("""COMPUTED_VALUE"""),0)</f>
        <v>0</v>
      </c>
      <c r="H1289" s="9" t="str">
        <f ca="1">IFERROR(__xludf.DUMMYFUNCTION("""COMPUTED_VALUE"""),"http://www.philadelphiaweekly.com/news/state-of-disgrace/article_86c2a06b-190d-5781-ab53-23c8fb71c94c.html")</f>
        <v>http://www.philadelphiaweekly.com/news/state-of-disgrace/article_86c2a06b-190d-5781-ab53-23c8fb71c94c.html</v>
      </c>
      <c r="I1289" s="5"/>
      <c r="J1289" s="5"/>
      <c r="K1289" s="5">
        <f ca="1">IFERROR(__xludf.DUMMYFUNCTION("""COMPUTED_VALUE"""),2)</f>
        <v>2</v>
      </c>
      <c r="L1289" s="5" t="str">
        <f ca="1">IFERROR(__xludf.DUMMYFUNCTION("""COMPUTED_VALUE"""),"Winter")</f>
        <v>Winter</v>
      </c>
      <c r="M1289" s="5" t="str">
        <f ca="1">IFERROR(__xludf.DUMMYFUNCTION("""COMPUTED_VALUE"""),"North Philadelphia")</f>
        <v>North Philadelphia</v>
      </c>
      <c r="N1289" s="5" t="str">
        <f ca="1">IFERROR(__xludf.DUMMYFUNCTION("""COMPUTED_VALUE"""),"PA")</f>
        <v>PA</v>
      </c>
      <c r="O1289" s="5" t="str">
        <f ca="1">IFERROR(__xludf.DUMMYFUNCTION("""COMPUTED_VALUE"""),"High")</f>
        <v>High</v>
      </c>
      <c r="P1289" s="5" t="str">
        <f ca="1">IFERROR(__xludf.DUMMYFUNCTION("""COMPUTED_VALUE"""),"Front of School")</f>
        <v>Front of School</v>
      </c>
      <c r="Q1289" s="5" t="str">
        <f ca="1">IFERROR(__xludf.DUMMYFUNCTION("""COMPUTED_VALUE"""),"Outside on School Property")</f>
        <v>Outside on School Property</v>
      </c>
      <c r="R1289" s="5" t="str">
        <f ca="1">IFERROR(__xludf.DUMMYFUNCTION("""COMPUTED_VALUE"""),"Yes")</f>
        <v>Yes</v>
      </c>
      <c r="S1289" s="5" t="str">
        <f ca="1">IFERROR(__xludf.DUMMYFUNCTION("""COMPUTED_VALUE"""),"Dismissal")</f>
        <v>Dismissal</v>
      </c>
      <c r="T1289" s="10">
        <f ca="1">IFERROR(__xludf.DUMMYFUNCTION("""COMPUTED_VALUE"""),0.616666666666666)</f>
        <v>0.61666666666666603</v>
      </c>
      <c r="U1289" s="5">
        <f ca="1">IFERROR(__xludf.DUMMYFUNCTION("""COMPUTED_VALUE"""),1)</f>
        <v>1</v>
      </c>
      <c r="V1289" s="5" t="str">
        <f ca="1">IFERROR(__xludf.DUMMYFUNCTION("""COMPUTED_VALUE"""),"Killed by rival gang member outside of school")</f>
        <v>Killed by rival gang member outside of school</v>
      </c>
      <c r="W1289"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X1289" s="5" t="str">
        <f ca="1">IFERROR(__xludf.DUMMYFUNCTION("""COMPUTED_VALUE"""),"Escalation of Dispute")</f>
        <v>Escalation of Dispute</v>
      </c>
      <c r="Y1289" s="5" t="str">
        <f ca="1">IFERROR(__xludf.DUMMYFUNCTION("""COMPUTED_VALUE"""),"Victims Targeted")</f>
        <v>Victims Targeted</v>
      </c>
      <c r="Z1289" s="5" t="str">
        <f ca="1">IFERROR(__xludf.DUMMYFUNCTION("""COMPUTED_VALUE"""),"Yes")</f>
        <v>Yes</v>
      </c>
      <c r="AA1289" s="5" t="str">
        <f ca="1">IFERROR(__xludf.DUMMYFUNCTION("""COMPUTED_VALUE"""),"Group of 4 teens involved")</f>
        <v>Group of 4 teens involved</v>
      </c>
      <c r="AB1289" s="5" t="str">
        <f ca="1">IFERROR(__xludf.DUMMYFUNCTION("""COMPUTED_VALUE"""),"No")</f>
        <v>No</v>
      </c>
      <c r="AC1289" s="5" t="str">
        <f ca="1">IFERROR(__xludf.DUMMYFUNCTION("""COMPUTED_VALUE"""),"No")</f>
        <v>No</v>
      </c>
      <c r="AD1289" s="5" t="str">
        <f ca="1">IFERROR(__xludf.DUMMYFUNCTION("""COMPUTED_VALUE"""),"No")</f>
        <v>No</v>
      </c>
      <c r="AE1289" s="5" t="str">
        <f ca="1">IFERROR(__xludf.DUMMYFUNCTION("""COMPUTED_VALUE"""),"No")</f>
        <v>No</v>
      </c>
      <c r="AF1289" s="5" t="str">
        <f ca="1">IFERROR(__xludf.DUMMYFUNCTION("""COMPUTED_VALUE"""),"No")</f>
        <v>No</v>
      </c>
      <c r="AG1289" s="5" t="str">
        <f ca="1">IFERROR(__xludf.DUMMYFUNCTION("""COMPUTED_VALUE"""),"Yes")</f>
        <v>Yes</v>
      </c>
      <c r="AH1289" s="5"/>
    </row>
    <row r="1290" spans="1:34" ht="12.75">
      <c r="A1290" s="5" t="str">
        <f ca="1">IFERROR(__xludf.DUMMYFUNCTION("""COMPUTED_VALUE"""),"20041231TXRIR")</f>
        <v>20041231TXRIR</v>
      </c>
      <c r="B1290" s="8">
        <f ca="1">IFERROR(__xludf.DUMMYFUNCTION("""COMPUTED_VALUE"""),38352)</f>
        <v>38352</v>
      </c>
      <c r="C1290" s="5" t="str">
        <f ca="1">IFERROR(__xludf.DUMMYFUNCTION("""COMPUTED_VALUE"""),"Richmond State School")</f>
        <v>Richmond State School</v>
      </c>
      <c r="D1290" s="5">
        <f ca="1">IFERROR(__xludf.DUMMYFUNCTION("""COMPUTED_VALUE"""),0)</f>
        <v>0</v>
      </c>
      <c r="E1290" s="5">
        <f ca="1">IFERROR(__xludf.DUMMYFUNCTION("""COMPUTED_VALUE"""),1)</f>
        <v>1</v>
      </c>
      <c r="F1290" s="5">
        <f ca="1">IFERROR(__xludf.DUMMYFUNCTION("""COMPUTED_VALUE"""),1)</f>
        <v>1</v>
      </c>
      <c r="G1290" s="5">
        <f ca="1">IFERROR(__xludf.DUMMYFUNCTION("""COMPUTED_VALUE"""),1)</f>
        <v>1</v>
      </c>
      <c r="H1290" s="9" t="str">
        <f ca="1">IFERROR(__xludf.DUMMYFUNCTION("""COMPUTED_VALUE"""),"https://www.chron.com/news/houston-texas/article/1-dead-1-hurt-in-Richmond-State-School-shooting-1938319.php")</f>
        <v>https://www.chron.com/news/houston-texas/article/1-dead-1-hurt-in-Richmond-State-School-shooting-1938319.php</v>
      </c>
      <c r="I1290" s="5"/>
      <c r="J1290" s="5"/>
      <c r="K1290" s="5">
        <f ca="1">IFERROR(__xludf.DUMMYFUNCTION("""COMPUTED_VALUE"""),2)</f>
        <v>2</v>
      </c>
      <c r="L1290" s="5" t="str">
        <f ca="1">IFERROR(__xludf.DUMMYFUNCTION("""COMPUTED_VALUE"""),"Winter")</f>
        <v>Winter</v>
      </c>
      <c r="M1290" s="5" t="str">
        <f ca="1">IFERROR(__xludf.DUMMYFUNCTION("""COMPUTED_VALUE"""),"Richmond")</f>
        <v>Richmond</v>
      </c>
      <c r="N1290" s="5" t="str">
        <f ca="1">IFERROR(__xludf.DUMMYFUNCTION("""COMPUTED_VALUE"""),"TX")</f>
        <v>TX</v>
      </c>
      <c r="O1290" s="5" t="str">
        <f ca="1">IFERROR(__xludf.DUMMYFUNCTION("""COMPUTED_VALUE"""),"Other")</f>
        <v>Other</v>
      </c>
      <c r="P1290" s="5" t="str">
        <f ca="1">IFERROR(__xludf.DUMMYFUNCTION("""COMPUTED_VALUE"""),"Cafeteria")</f>
        <v>Cafeteria</v>
      </c>
      <c r="Q1290" s="5" t="str">
        <f ca="1">IFERROR(__xludf.DUMMYFUNCTION("""COMPUTED_VALUE"""),"Inside School Building")</f>
        <v>Inside School Building</v>
      </c>
      <c r="R1290" s="5" t="str">
        <f ca="1">IFERROR(__xludf.DUMMYFUNCTION("""COMPUTED_VALUE"""),"No")</f>
        <v>No</v>
      </c>
      <c r="S1290" s="5" t="str">
        <f ca="1">IFERROR(__xludf.DUMMYFUNCTION("""COMPUTED_VALUE"""),"Evening")</f>
        <v>Evening</v>
      </c>
      <c r="T1290" s="10">
        <f ca="1">IFERROR(__xludf.DUMMYFUNCTION("""COMPUTED_VALUE"""),0.75)</f>
        <v>0.75</v>
      </c>
      <c r="U1290" s="5">
        <f ca="1">IFERROR(__xludf.DUMMYFUNCTION("""COMPUTED_VALUE"""),1)</f>
        <v>1</v>
      </c>
      <c r="V1290" s="5" t="str">
        <f ca="1">IFERROR(__xludf.DUMMYFUNCTION("""COMPUTED_VALUE"""),"Cafeteria worker shot coworker and then killed himself")</f>
        <v>Cafeteria worker shot coworker and then killed himself</v>
      </c>
      <c r="W1290" s="5" t="str">
        <f ca="1">IFERROR(__xludf.DUMMYFUNCTION("""COMPUTED_VALUE"""),"Cafeteria worker shot coworker 3 times and then shot himself. Motive unclear.")</f>
        <v>Cafeteria worker shot coworker 3 times and then shot himself. Motive unclear.</v>
      </c>
      <c r="X1290" s="5" t="str">
        <f ca="1">IFERROR(__xludf.DUMMYFUNCTION("""COMPUTED_VALUE"""),"Murder/Suicide")</f>
        <v>Murder/Suicide</v>
      </c>
      <c r="Y1290" s="5" t="str">
        <f ca="1">IFERROR(__xludf.DUMMYFUNCTION("""COMPUTED_VALUE"""),"Victims Targeted")</f>
        <v>Victims Targeted</v>
      </c>
      <c r="Z1290" s="5" t="str">
        <f ca="1">IFERROR(__xludf.DUMMYFUNCTION("""COMPUTED_VALUE"""),"No")</f>
        <v>No</v>
      </c>
      <c r="AA1290" s="5"/>
      <c r="AB1290" s="5" t="str">
        <f ca="1">IFERROR(__xludf.DUMMYFUNCTION("""COMPUTED_VALUE"""),"No")</f>
        <v>No</v>
      </c>
      <c r="AC1290" s="5" t="str">
        <f ca="1">IFERROR(__xludf.DUMMYFUNCTION("""COMPUTED_VALUE"""),"No")</f>
        <v>No</v>
      </c>
      <c r="AD1290" s="5" t="str">
        <f ca="1">IFERROR(__xludf.DUMMYFUNCTION("""COMPUTED_VALUE"""),"No")</f>
        <v>No</v>
      </c>
      <c r="AE1290" s="5" t="str">
        <f ca="1">IFERROR(__xludf.DUMMYFUNCTION("""COMPUTED_VALUE"""),"No")</f>
        <v>No</v>
      </c>
      <c r="AF1290" s="5"/>
      <c r="AG1290" s="5" t="str">
        <f ca="1">IFERROR(__xludf.DUMMYFUNCTION("""COMPUTED_VALUE"""),"No")</f>
        <v>No</v>
      </c>
      <c r="AH1290" s="5"/>
    </row>
    <row r="1291" spans="1:34" ht="12.75">
      <c r="A1291" s="5" t="str">
        <f ca="1">IFERROR(__xludf.DUMMYFUNCTION("""COMPUTED_VALUE"""),"20041213LALAL")</f>
        <v>20041213LALAL</v>
      </c>
      <c r="B1291" s="8">
        <f ca="1">IFERROR(__xludf.DUMMYFUNCTION("""COMPUTED_VALUE"""),38334)</f>
        <v>38334</v>
      </c>
      <c r="C1291" s="5" t="str">
        <f ca="1">IFERROR(__xludf.DUMMYFUNCTION("""COMPUTED_VALUE"""),"La Grange High School")</f>
        <v>La Grange High School</v>
      </c>
      <c r="D1291" s="5">
        <f ca="1">IFERROR(__xludf.DUMMYFUNCTION("""COMPUTED_VALUE"""),0)</f>
        <v>0</v>
      </c>
      <c r="E1291" s="5">
        <f ca="1">IFERROR(__xludf.DUMMYFUNCTION("""COMPUTED_VALUE"""),1)</f>
        <v>1</v>
      </c>
      <c r="F1291" s="5">
        <f ca="1">IFERROR(__xludf.DUMMYFUNCTION("""COMPUTED_VALUE"""),1)</f>
        <v>1</v>
      </c>
      <c r="G1291" s="5">
        <f ca="1">IFERROR(__xludf.DUMMYFUNCTION("""COMPUTED_VALUE"""),0)</f>
        <v>0</v>
      </c>
      <c r="H1291" s="9" t="str">
        <f ca="1">IFERROR(__xludf.DUMMYFUNCTION("""COMPUTED_VALUE"""),"https://www.columbine-angels.com/School_Violence_2004-2005.htm")</f>
        <v>https://www.columbine-angels.com/School_Violence_2004-2005.htm</v>
      </c>
      <c r="I1291" s="5"/>
      <c r="J1291" s="5"/>
      <c r="K1291" s="5">
        <f ca="1">IFERROR(__xludf.DUMMYFUNCTION("""COMPUTED_VALUE"""),1)</f>
        <v>1</v>
      </c>
      <c r="L1291" s="5" t="str">
        <f ca="1">IFERROR(__xludf.DUMMYFUNCTION("""COMPUTED_VALUE"""),"Winter")</f>
        <v>Winter</v>
      </c>
      <c r="M1291" s="5" t="str">
        <f ca="1">IFERROR(__xludf.DUMMYFUNCTION("""COMPUTED_VALUE"""),"Lake Charles")</f>
        <v>Lake Charles</v>
      </c>
      <c r="N1291" s="5" t="str">
        <f ca="1">IFERROR(__xludf.DUMMYFUNCTION("""COMPUTED_VALUE"""),"LA")</f>
        <v>LA</v>
      </c>
      <c r="O1291" s="5" t="str">
        <f ca="1">IFERROR(__xludf.DUMMYFUNCTION("""COMPUTED_VALUE"""),"High")</f>
        <v>High</v>
      </c>
      <c r="P1291" s="5" t="str">
        <f ca="1">IFERROR(__xludf.DUMMYFUNCTION("""COMPUTED_VALUE"""),"Parking Lot")</f>
        <v>Parking Lot</v>
      </c>
      <c r="Q1291" s="5" t="str">
        <f ca="1">IFERROR(__xludf.DUMMYFUNCTION("""COMPUTED_VALUE"""),"Outside on School Property")</f>
        <v>Outside on School Property</v>
      </c>
      <c r="R1291" s="5" t="str">
        <f ca="1">IFERROR(__xludf.DUMMYFUNCTION("""COMPUTED_VALUE"""),"Yes")</f>
        <v>Yes</v>
      </c>
      <c r="S1291" s="5" t="str">
        <f ca="1">IFERROR(__xludf.DUMMYFUNCTION("""COMPUTED_VALUE"""),"Lunch")</f>
        <v>Lunch</v>
      </c>
      <c r="T1291" s="10">
        <f ca="1">IFERROR(__xludf.DUMMYFUNCTION("""COMPUTED_VALUE"""),0.520833333333333)</f>
        <v>0.52083333333333304</v>
      </c>
      <c r="U1291" s="5">
        <f ca="1">IFERROR(__xludf.DUMMYFUNCTION("""COMPUTED_VALUE"""),1)</f>
        <v>1</v>
      </c>
      <c r="V1291" s="5" t="str">
        <f ca="1">IFERROR(__xludf.DUMMYFUNCTION("""COMPUTED_VALUE"""),"Shot in parking lot by masked gunman")</f>
        <v>Shot in parking lot by masked gunman</v>
      </c>
      <c r="W1291" s="5" t="str">
        <f ca="1">IFERROR(__xludf.DUMMYFUNCTION("""COMPUTED_VALUE"""),"18YOM shot in the school parking lot inside his car by a masked gunman. No other information available.")</f>
        <v>18YOM shot in the school parking lot inside his car by a masked gunman. No other information available.</v>
      </c>
      <c r="X1291" s="5" t="str">
        <f ca="1">IFERROR(__xludf.DUMMYFUNCTION("""COMPUTED_VALUE"""),"Unknown")</f>
        <v>Unknown</v>
      </c>
      <c r="Y1291" s="5" t="str">
        <f ca="1">IFERROR(__xludf.DUMMYFUNCTION("""COMPUTED_VALUE"""),"Victims Targeted")</f>
        <v>Victims Targeted</v>
      </c>
      <c r="Z1291" s="5" t="str">
        <f ca="1">IFERROR(__xludf.DUMMYFUNCTION("""COMPUTED_VALUE"""),"No")</f>
        <v>No</v>
      </c>
      <c r="AA1291" s="5"/>
      <c r="AB1291" s="5" t="str">
        <f ca="1">IFERROR(__xludf.DUMMYFUNCTION("""COMPUTED_VALUE"""),"No")</f>
        <v>No</v>
      </c>
      <c r="AC1291" s="5" t="str">
        <f ca="1">IFERROR(__xludf.DUMMYFUNCTION("""COMPUTED_VALUE"""),"No")</f>
        <v>No</v>
      </c>
      <c r="AD1291" s="5" t="str">
        <f ca="1">IFERROR(__xludf.DUMMYFUNCTION("""COMPUTED_VALUE"""),"No")</f>
        <v>No</v>
      </c>
      <c r="AE1291" s="5" t="str">
        <f ca="1">IFERROR(__xludf.DUMMYFUNCTION("""COMPUTED_VALUE"""),"No")</f>
        <v>No</v>
      </c>
      <c r="AF1291" s="5" t="str">
        <f ca="1">IFERROR(__xludf.DUMMYFUNCTION("""COMPUTED_VALUE"""),"No")</f>
        <v>No</v>
      </c>
      <c r="AG1291" s="5"/>
      <c r="AH1291" s="5"/>
    </row>
    <row r="1292" spans="1:34" ht="12.75">
      <c r="A1292" s="5" t="str">
        <f ca="1">IFERROR(__xludf.DUMMYFUNCTION("""COMPUTED_VALUE"""),"20041209WALAS")</f>
        <v>20041209WALAS</v>
      </c>
      <c r="B1292" s="8">
        <f ca="1">IFERROR(__xludf.DUMMYFUNCTION("""COMPUTED_VALUE"""),38330)</f>
        <v>38330</v>
      </c>
      <c r="C1292" s="5" t="str">
        <f ca="1">IFERROR(__xludf.DUMMYFUNCTION("""COMPUTED_VALUE"""),"Lakeside High School")</f>
        <v>Lakeside High School</v>
      </c>
      <c r="D1292" s="5">
        <f ca="1">IFERROR(__xludf.DUMMYFUNCTION("""COMPUTED_VALUE"""),0)</f>
        <v>0</v>
      </c>
      <c r="E1292" s="5">
        <f ca="1">IFERROR(__xludf.DUMMYFUNCTION("""COMPUTED_VALUE"""),0)</f>
        <v>0</v>
      </c>
      <c r="F1292" s="5">
        <f ca="1">IFERROR(__xludf.DUMMYFUNCTION("""COMPUTED_VALUE"""),0)</f>
        <v>0</v>
      </c>
      <c r="G1292" s="5">
        <f ca="1">IFERROR(__xludf.DUMMYFUNCTION("""COMPUTED_VALUE"""),1)</f>
        <v>1</v>
      </c>
      <c r="H1292" s="9" t="str">
        <f ca="1">IFERROR(__xludf.DUMMYFUNCTION("""COMPUTED_VALUE"""),"http://www.spokesman.com/stories/2004/dec/11/skyler-cullitan-remembered-as-caring-outgoing/")</f>
        <v>http://www.spokesman.com/stories/2004/dec/11/skyler-cullitan-remembered-as-caring-outgoing/</v>
      </c>
      <c r="I1292" s="5"/>
      <c r="J1292" s="5"/>
      <c r="K1292" s="5">
        <f ca="1">IFERROR(__xludf.DUMMYFUNCTION("""COMPUTED_VALUE"""),2)</f>
        <v>2</v>
      </c>
      <c r="L1292" s="5" t="str">
        <f ca="1">IFERROR(__xludf.DUMMYFUNCTION("""COMPUTED_VALUE"""),"Winter")</f>
        <v>Winter</v>
      </c>
      <c r="M1292" s="5" t="str">
        <f ca="1">IFERROR(__xludf.DUMMYFUNCTION("""COMPUTED_VALUE"""),"Spokane")</f>
        <v>Spokane</v>
      </c>
      <c r="N1292" s="5" t="str">
        <f ca="1">IFERROR(__xludf.DUMMYFUNCTION("""COMPUTED_VALUE"""),"WA")</f>
        <v>WA</v>
      </c>
      <c r="O1292" s="5" t="str">
        <f ca="1">IFERROR(__xludf.DUMMYFUNCTION("""COMPUTED_VALUE"""),"High")</f>
        <v>High</v>
      </c>
      <c r="P1292" s="5" t="str">
        <f ca="1">IFERROR(__xludf.DUMMYFUNCTION("""COMPUTED_VALUE"""),"Front of School")</f>
        <v>Front of School</v>
      </c>
      <c r="Q1292" s="5" t="str">
        <f ca="1">IFERROR(__xludf.DUMMYFUNCTION("""COMPUTED_VALUE"""),"Outside on School Property")</f>
        <v>Outside on School Property</v>
      </c>
      <c r="R1292" s="5" t="str">
        <f ca="1">IFERROR(__xludf.DUMMYFUNCTION("""COMPUTED_VALUE"""),"Yes")</f>
        <v>Yes</v>
      </c>
      <c r="S1292" s="5" t="str">
        <f ca="1">IFERROR(__xludf.DUMMYFUNCTION("""COMPUTED_VALUE"""),"Afternoon Classes")</f>
        <v>Afternoon Classes</v>
      </c>
      <c r="T1292" s="10">
        <f ca="1">IFERROR(__xludf.DUMMYFUNCTION("""COMPUTED_VALUE"""),0.555555555555555)</f>
        <v>0.55555555555555503</v>
      </c>
      <c r="U1292" s="5">
        <f ca="1">IFERROR(__xludf.DUMMYFUNCTION("""COMPUTED_VALUE"""),1)</f>
        <v>1</v>
      </c>
      <c r="V1292" s="5" t="str">
        <f ca="1">IFERROR(__xludf.DUMMYFUNCTION("""COMPUTED_VALUE"""),"Shot himself in front of school, reported he had fireworks and multiple types of ammo")</f>
        <v>Shot himself in front of school, reported he had fireworks and multiple types of ammo</v>
      </c>
      <c r="W1292"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X1292" s="5" t="str">
        <f ca="1">IFERROR(__xludf.DUMMYFUNCTION("""COMPUTED_VALUE"""),"Suicide/Attempted")</f>
        <v>Suicide/Attempted</v>
      </c>
      <c r="Y1292" s="5" t="str">
        <f ca="1">IFERROR(__xludf.DUMMYFUNCTION("""COMPUTED_VALUE"""),"Victims Targeted")</f>
        <v>Victims Targeted</v>
      </c>
      <c r="Z1292" s="5" t="str">
        <f ca="1">IFERROR(__xludf.DUMMYFUNCTION("""COMPUTED_VALUE"""),"No")</f>
        <v>No</v>
      </c>
      <c r="AA1292" s="5"/>
      <c r="AB1292" s="5" t="str">
        <f ca="1">IFERROR(__xludf.DUMMYFUNCTION("""COMPUTED_VALUE"""),"No")</f>
        <v>No</v>
      </c>
      <c r="AC1292" s="5" t="str">
        <f ca="1">IFERROR(__xludf.DUMMYFUNCTION("""COMPUTED_VALUE"""),"No")</f>
        <v>No</v>
      </c>
      <c r="AD1292" s="5" t="str">
        <f ca="1">IFERROR(__xludf.DUMMYFUNCTION("""COMPUTED_VALUE"""),"No")</f>
        <v>No</v>
      </c>
      <c r="AE1292" s="5" t="str">
        <f ca="1">IFERROR(__xludf.DUMMYFUNCTION("""COMPUTED_VALUE"""),"Yes")</f>
        <v>Yes</v>
      </c>
      <c r="AF1292" s="5" t="str">
        <f ca="1">IFERROR(__xludf.DUMMYFUNCTION("""COMPUTED_VALUE"""),"No")</f>
        <v>No</v>
      </c>
      <c r="AG1292" s="5" t="str">
        <f ca="1">IFERROR(__xludf.DUMMYFUNCTION("""COMPUTED_VALUE"""),"No")</f>
        <v>No</v>
      </c>
      <c r="AH1292" s="5"/>
    </row>
    <row r="1293" spans="1:34" ht="12.75">
      <c r="A1293" s="5" t="str">
        <f ca="1">IFERROR(__xludf.DUMMYFUNCTION("""COMPUTED_VALUE"""),"20041119FLTEJ")</f>
        <v>20041119FLTEJ</v>
      </c>
      <c r="B1293" s="8">
        <f ca="1">IFERROR(__xludf.DUMMYFUNCTION("""COMPUTED_VALUE"""),38310)</f>
        <v>38310</v>
      </c>
      <c r="C1293" s="5" t="str">
        <f ca="1">IFERROR(__xludf.DUMMYFUNCTION("""COMPUTED_VALUE"""),"Terry Parker High School")</f>
        <v>Terry Parker High School</v>
      </c>
      <c r="D1293" s="5">
        <f ca="1">IFERROR(__xludf.DUMMYFUNCTION("""COMPUTED_VALUE"""),0)</f>
        <v>0</v>
      </c>
      <c r="E1293" s="5">
        <f ca="1">IFERROR(__xludf.DUMMYFUNCTION("""COMPUTED_VALUE"""),1)</f>
        <v>1</v>
      </c>
      <c r="F1293" s="5">
        <f ca="1">IFERROR(__xludf.DUMMYFUNCTION("""COMPUTED_VALUE"""),1)</f>
        <v>1</v>
      </c>
      <c r="G1293" s="5">
        <f ca="1">IFERROR(__xludf.DUMMYFUNCTION("""COMPUTED_VALUE"""),0)</f>
        <v>0</v>
      </c>
      <c r="H1293" s="9" t="str">
        <f ca="1">IFERROR(__xludf.DUMMYFUNCTION("""COMPUTED_VALUE"""),"https://www.questia.com/newspaper/1G1-125515131/student-accidentally-shot-1-charged-terry-parker")</f>
        <v>https://www.questia.com/newspaper/1G1-125515131/student-accidentally-shot-1-charged-terry-parker</v>
      </c>
      <c r="I1293" s="5"/>
      <c r="J1293" s="5"/>
      <c r="K1293" s="5">
        <f ca="1">IFERROR(__xludf.DUMMYFUNCTION("""COMPUTED_VALUE"""),2)</f>
        <v>2</v>
      </c>
      <c r="L1293" s="5" t="str">
        <f ca="1">IFERROR(__xludf.DUMMYFUNCTION("""COMPUTED_VALUE"""),"Fall")</f>
        <v>Fall</v>
      </c>
      <c r="M1293" s="5" t="str">
        <f ca="1">IFERROR(__xludf.DUMMYFUNCTION("""COMPUTED_VALUE"""),"Jacksonville")</f>
        <v>Jacksonville</v>
      </c>
      <c r="N1293" s="5" t="str">
        <f ca="1">IFERROR(__xludf.DUMMYFUNCTION("""COMPUTED_VALUE"""),"FL")</f>
        <v>FL</v>
      </c>
      <c r="O1293" s="5" t="str">
        <f ca="1">IFERROR(__xludf.DUMMYFUNCTION("""COMPUTED_VALUE"""),"High")</f>
        <v>High</v>
      </c>
      <c r="P1293" s="5" t="str">
        <f ca="1">IFERROR(__xludf.DUMMYFUNCTION("""COMPUTED_VALUE"""),"Parking Lot")</f>
        <v>Parking Lot</v>
      </c>
      <c r="Q1293" s="5" t="str">
        <f ca="1">IFERROR(__xludf.DUMMYFUNCTION("""COMPUTED_VALUE"""),"Outside on School Property")</f>
        <v>Outside on School Property</v>
      </c>
      <c r="R1293" s="5" t="str">
        <f ca="1">IFERROR(__xludf.DUMMYFUNCTION("""COMPUTED_VALUE"""),"Yes")</f>
        <v>Yes</v>
      </c>
      <c r="S1293" s="5" t="str">
        <f ca="1">IFERROR(__xludf.DUMMYFUNCTION("""COMPUTED_VALUE"""),"School Start")</f>
        <v>School Start</v>
      </c>
      <c r="T1293" s="10">
        <f ca="1">IFERROR(__xludf.DUMMYFUNCTION("""COMPUTED_VALUE"""),0.28125)</f>
        <v>0.28125</v>
      </c>
      <c r="U1293" s="5">
        <f ca="1">IFERROR(__xludf.DUMMYFUNCTION("""COMPUTED_VALUE"""),1)</f>
        <v>1</v>
      </c>
      <c r="V1293" s="5" t="str">
        <f ca="1">IFERROR(__xludf.DUMMYFUNCTION("""COMPUTED_VALUE"""),"4 students playing with gun in car, one shot in leg, claimed a driveby")</f>
        <v>4 students playing with gun in car, one shot in leg, claimed a driveby</v>
      </c>
      <c r="W1293"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X1293" s="5" t="str">
        <f ca="1">IFERROR(__xludf.DUMMYFUNCTION("""COMPUTED_VALUE"""),"Accidental")</f>
        <v>Accidental</v>
      </c>
      <c r="Y1293" s="5" t="str">
        <f ca="1">IFERROR(__xludf.DUMMYFUNCTION("""COMPUTED_VALUE"""),"Random Shooting")</f>
        <v>Random Shooting</v>
      </c>
      <c r="Z1293" s="5" t="str">
        <f ca="1">IFERROR(__xludf.DUMMYFUNCTION("""COMPUTED_VALUE"""),"Yes")</f>
        <v>Yes</v>
      </c>
      <c r="AA1293" s="5" t="str">
        <f ca="1">IFERROR(__xludf.DUMMYFUNCTION("""COMPUTED_VALUE"""),"4 students in car playing with gun")</f>
        <v>4 students in car playing with gun</v>
      </c>
      <c r="AB1293" s="5" t="str">
        <f ca="1">IFERROR(__xludf.DUMMYFUNCTION("""COMPUTED_VALUE"""),"No")</f>
        <v>No</v>
      </c>
      <c r="AC1293" s="5" t="str">
        <f ca="1">IFERROR(__xludf.DUMMYFUNCTION("""COMPUTED_VALUE"""),"No")</f>
        <v>No</v>
      </c>
      <c r="AD1293" s="5" t="str">
        <f ca="1">IFERROR(__xludf.DUMMYFUNCTION("""COMPUTED_VALUE"""),"No")</f>
        <v>No</v>
      </c>
      <c r="AE1293" s="5" t="str">
        <f ca="1">IFERROR(__xludf.DUMMYFUNCTION("""COMPUTED_VALUE"""),"No")</f>
        <v>No</v>
      </c>
      <c r="AF1293" s="5" t="str">
        <f ca="1">IFERROR(__xludf.DUMMYFUNCTION("""COMPUTED_VALUE"""),"No")</f>
        <v>No</v>
      </c>
      <c r="AG1293" s="5" t="str">
        <f ca="1">IFERROR(__xludf.DUMMYFUNCTION("""COMPUTED_VALUE"""),"No")</f>
        <v>No</v>
      </c>
      <c r="AH1293" s="5"/>
    </row>
    <row r="1294" spans="1:34" ht="12.75">
      <c r="A1294" s="5" t="str">
        <f ca="1">IFERROR(__xludf.DUMMYFUNCTION("""COMPUTED_VALUE"""),"20041117FLAPA")</f>
        <v>20041117FLAPA</v>
      </c>
      <c r="B1294" s="8">
        <f ca="1">IFERROR(__xludf.DUMMYFUNCTION("""COMPUTED_VALUE"""),38308)</f>
        <v>38308</v>
      </c>
      <c r="C1294" s="5" t="str">
        <f ca="1">IFERROR(__xludf.DUMMYFUNCTION("""COMPUTED_VALUE"""),"Apopka Memorial Middle School")</f>
        <v>Apopka Memorial Middle School</v>
      </c>
      <c r="D1294" s="5">
        <f ca="1">IFERROR(__xludf.DUMMYFUNCTION("""COMPUTED_VALUE"""),0)</f>
        <v>0</v>
      </c>
      <c r="E1294" s="5">
        <f ca="1">IFERROR(__xludf.DUMMYFUNCTION("""COMPUTED_VALUE"""),0)</f>
        <v>0</v>
      </c>
      <c r="F1294" s="5">
        <f ca="1">IFERROR(__xludf.DUMMYFUNCTION("""COMPUTED_VALUE"""),0)</f>
        <v>0</v>
      </c>
      <c r="G1294" s="5">
        <f ca="1">IFERROR(__xludf.DUMMYFUNCTION("""COMPUTED_VALUE"""),0)</f>
        <v>0</v>
      </c>
      <c r="H1294" s="9" t="str">
        <f ca="1">IFERROR(__xludf.DUMMYFUNCTION("""COMPUTED_VALUE"""),"http://articles.orlandosentinel.com/keyword/gun-to-school/recent/3")</f>
        <v>http://articles.orlandosentinel.com/keyword/gun-to-school/recent/3</v>
      </c>
      <c r="I1294" s="5"/>
      <c r="J1294" s="5"/>
      <c r="K1294" s="5">
        <f ca="1">IFERROR(__xludf.DUMMYFUNCTION("""COMPUTED_VALUE"""),2)</f>
        <v>2</v>
      </c>
      <c r="L1294" s="5" t="str">
        <f ca="1">IFERROR(__xludf.DUMMYFUNCTION("""COMPUTED_VALUE"""),"Fall")</f>
        <v>Fall</v>
      </c>
      <c r="M1294" s="5" t="str">
        <f ca="1">IFERROR(__xludf.DUMMYFUNCTION("""COMPUTED_VALUE"""),"Apopka")</f>
        <v>Apopka</v>
      </c>
      <c r="N1294" s="5" t="str">
        <f ca="1">IFERROR(__xludf.DUMMYFUNCTION("""COMPUTED_VALUE"""),"FL")</f>
        <v>FL</v>
      </c>
      <c r="O1294" s="5" t="str">
        <f ca="1">IFERROR(__xludf.DUMMYFUNCTION("""COMPUTED_VALUE"""),"Middle")</f>
        <v>Middle</v>
      </c>
      <c r="P1294" s="5" t="str">
        <f ca="1">IFERROR(__xludf.DUMMYFUNCTION("""COMPUTED_VALUE"""),"Classroom")</f>
        <v>Classroom</v>
      </c>
      <c r="Q1294" s="5" t="str">
        <f ca="1">IFERROR(__xludf.DUMMYFUNCTION("""COMPUTED_VALUE"""),"Inside School Building")</f>
        <v>Inside School Building</v>
      </c>
      <c r="R1294" s="5" t="str">
        <f ca="1">IFERROR(__xludf.DUMMYFUNCTION("""COMPUTED_VALUE"""),"Yes")</f>
        <v>Yes</v>
      </c>
      <c r="S1294" s="5"/>
      <c r="T1294" s="5"/>
      <c r="U1294" s="5">
        <f ca="1">IFERROR(__xludf.DUMMYFUNCTION("""COMPUTED_VALUE"""),1)</f>
        <v>1</v>
      </c>
      <c r="V1294" s="5" t="str">
        <f ca="1">IFERROR(__xludf.DUMMYFUNCTION("""COMPUTED_VALUE"""),"Fired gun in bathroom, ran into class with gun, arrested by police")</f>
        <v>Fired gun in bathroom, ran into class with gun, arrested by police</v>
      </c>
      <c r="W1294" s="5" t="str">
        <f ca="1">IFERROR(__xludf.DUMMYFUNCTION("""COMPUTED_VALUE"""),"14YOM fired gun in bathroom, ran into a classroom, and was arrested by police.")</f>
        <v>14YOM fired gun in bathroom, ran into a classroom, and was arrested by police.</v>
      </c>
      <c r="X1294" s="5" t="str">
        <f ca="1">IFERROR(__xludf.DUMMYFUNCTION("""COMPUTED_VALUE"""),"Unknown")</f>
        <v>Unknown</v>
      </c>
      <c r="Y1294" s="5" t="str">
        <f ca="1">IFERROR(__xludf.DUMMYFUNCTION("""COMPUTED_VALUE"""),"Neither")</f>
        <v>Neither</v>
      </c>
      <c r="Z1294" s="5" t="str">
        <f ca="1">IFERROR(__xludf.DUMMYFUNCTION("""COMPUTED_VALUE"""),"No")</f>
        <v>No</v>
      </c>
      <c r="AA1294" s="5"/>
      <c r="AB1294" s="5" t="str">
        <f ca="1">IFERROR(__xludf.DUMMYFUNCTION("""COMPUTED_VALUE"""),"No")</f>
        <v>No</v>
      </c>
      <c r="AC1294" s="5" t="str">
        <f ca="1">IFERROR(__xludf.DUMMYFUNCTION("""COMPUTED_VALUE"""),"No")</f>
        <v>No</v>
      </c>
      <c r="AD1294" s="5" t="str">
        <f ca="1">IFERROR(__xludf.DUMMYFUNCTION("""COMPUTED_VALUE"""),"No")</f>
        <v>No</v>
      </c>
      <c r="AE1294" s="5" t="str">
        <f ca="1">IFERROR(__xludf.DUMMYFUNCTION("""COMPUTED_VALUE"""),"No")</f>
        <v>No</v>
      </c>
      <c r="AF1294" s="5" t="str">
        <f ca="1">IFERROR(__xludf.DUMMYFUNCTION("""COMPUTED_VALUE"""),"No")</f>
        <v>No</v>
      </c>
      <c r="AG1294" s="5" t="str">
        <f ca="1">IFERROR(__xludf.DUMMYFUNCTION("""COMPUTED_VALUE"""),"No")</f>
        <v>No</v>
      </c>
      <c r="AH1294" s="5"/>
    </row>
    <row r="1295" spans="1:34" ht="12.75">
      <c r="A1295" s="5" t="str">
        <f ca="1">IFERROR(__xludf.DUMMYFUNCTION("""COMPUTED_VALUE"""),"20041116SCBAB")</f>
        <v>20041116SCBAB</v>
      </c>
      <c r="B1295" s="8">
        <f ca="1">IFERROR(__xludf.DUMMYFUNCTION("""COMPUTED_VALUE"""),38307)</f>
        <v>38307</v>
      </c>
      <c r="C1295" s="5" t="str">
        <f ca="1">IFERROR(__xludf.DUMMYFUNCTION("""COMPUTED_VALUE"""),"Battery Creek High School")</f>
        <v>Battery Creek High School</v>
      </c>
      <c r="D1295" s="5">
        <f ca="1">IFERROR(__xludf.DUMMYFUNCTION("""COMPUTED_VALUE"""),0)</f>
        <v>0</v>
      </c>
      <c r="E1295" s="5">
        <f ca="1">IFERROR(__xludf.DUMMYFUNCTION("""COMPUTED_VALUE"""),1)</f>
        <v>1</v>
      </c>
      <c r="F1295" s="5">
        <f ca="1">IFERROR(__xludf.DUMMYFUNCTION("""COMPUTED_VALUE"""),1)</f>
        <v>1</v>
      </c>
      <c r="G1295" s="5">
        <f ca="1">IFERROR(__xludf.DUMMYFUNCTION("""COMPUTED_VALUE"""),0)</f>
        <v>0</v>
      </c>
      <c r="H1295" s="9" t="str">
        <f ca="1">IFERROR(__xludf.DUMMYFUNCTION("""COMPUTED_VALUE"""),"http://www.wtoc.com/story/2578224/gunman-sought-in-battery-creek-high-shooting")</f>
        <v>http://www.wtoc.com/story/2578224/gunman-sought-in-battery-creek-high-shooting</v>
      </c>
      <c r="I1295" s="5"/>
      <c r="J1295" s="5"/>
      <c r="K1295" s="5">
        <f ca="1">IFERROR(__xludf.DUMMYFUNCTION("""COMPUTED_VALUE"""),2)</f>
        <v>2</v>
      </c>
      <c r="L1295" s="5" t="str">
        <f ca="1">IFERROR(__xludf.DUMMYFUNCTION("""COMPUTED_VALUE"""),"Fall")</f>
        <v>Fall</v>
      </c>
      <c r="M1295" s="5" t="str">
        <f ca="1">IFERROR(__xludf.DUMMYFUNCTION("""COMPUTED_VALUE"""),"Beaufort")</f>
        <v>Beaufort</v>
      </c>
      <c r="N1295" s="5" t="str">
        <f ca="1">IFERROR(__xludf.DUMMYFUNCTION("""COMPUTED_VALUE"""),"SC")</f>
        <v>SC</v>
      </c>
      <c r="O1295" s="5" t="str">
        <f ca="1">IFERROR(__xludf.DUMMYFUNCTION("""COMPUTED_VALUE"""),"High")</f>
        <v>High</v>
      </c>
      <c r="P1295" s="5" t="str">
        <f ca="1">IFERROR(__xludf.DUMMYFUNCTION("""COMPUTED_VALUE"""),"Gym")</f>
        <v>Gym</v>
      </c>
      <c r="Q1295" s="5" t="str">
        <f ca="1">IFERROR(__xludf.DUMMYFUNCTION("""COMPUTED_VALUE"""),"Inside School Building")</f>
        <v>Inside School Building</v>
      </c>
      <c r="R1295" s="5" t="str">
        <f ca="1">IFERROR(__xludf.DUMMYFUNCTION("""COMPUTED_VALUE"""),"No")</f>
        <v>No</v>
      </c>
      <c r="S1295" s="5" t="str">
        <f ca="1">IFERROR(__xludf.DUMMYFUNCTION("""COMPUTED_VALUE"""),"Sport Event")</f>
        <v>Sport Event</v>
      </c>
      <c r="T1295" s="10">
        <f ca="1">IFERROR(__xludf.DUMMYFUNCTION("""COMPUTED_VALUE"""),0.770833333333333)</f>
        <v>0.77083333333333304</v>
      </c>
      <c r="U1295" s="5">
        <f ca="1">IFERROR(__xludf.DUMMYFUNCTION("""COMPUTED_VALUE"""),1)</f>
        <v>1</v>
      </c>
      <c r="V1295" s="5" t="str">
        <f ca="1">IFERROR(__xludf.DUMMYFUNCTION("""COMPUTED_VALUE"""),"Argument during basketball game")</f>
        <v>Argument during basketball game</v>
      </c>
      <c r="W1295"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X1295" s="5" t="str">
        <f ca="1">IFERROR(__xludf.DUMMYFUNCTION("""COMPUTED_VALUE"""),"Escalation of Dispute")</f>
        <v>Escalation of Dispute</v>
      </c>
      <c r="Y1295" s="5" t="str">
        <f ca="1">IFERROR(__xludf.DUMMYFUNCTION("""COMPUTED_VALUE"""),"Victims Targeted")</f>
        <v>Victims Targeted</v>
      </c>
      <c r="Z1295" s="5" t="str">
        <f ca="1">IFERROR(__xludf.DUMMYFUNCTION("""COMPUTED_VALUE"""),"No")</f>
        <v>No</v>
      </c>
      <c r="AA1295" s="5"/>
      <c r="AB1295" s="5" t="str">
        <f ca="1">IFERROR(__xludf.DUMMYFUNCTION("""COMPUTED_VALUE"""),"No")</f>
        <v>No</v>
      </c>
      <c r="AC1295" s="5" t="str">
        <f ca="1">IFERROR(__xludf.DUMMYFUNCTION("""COMPUTED_VALUE"""),"No")</f>
        <v>No</v>
      </c>
      <c r="AD1295" s="5" t="str">
        <f ca="1">IFERROR(__xludf.DUMMYFUNCTION("""COMPUTED_VALUE"""),"No")</f>
        <v>No</v>
      </c>
      <c r="AE1295" s="5" t="str">
        <f ca="1">IFERROR(__xludf.DUMMYFUNCTION("""COMPUTED_VALUE"""),"No")</f>
        <v>No</v>
      </c>
      <c r="AF1295" s="5" t="str">
        <f ca="1">IFERROR(__xludf.DUMMYFUNCTION("""COMPUTED_VALUE"""),"No")</f>
        <v>No</v>
      </c>
      <c r="AG1295" s="5" t="str">
        <f ca="1">IFERROR(__xludf.DUMMYFUNCTION("""COMPUTED_VALUE"""),"No")</f>
        <v>No</v>
      </c>
      <c r="AH1295" s="5"/>
    </row>
    <row r="1296" spans="1:34" ht="12.75">
      <c r="A1296" s="5" t="str">
        <f ca="1">IFERROR(__xludf.DUMMYFUNCTION("""COMPUTED_VALUE"""),"20041115INBRG")</f>
        <v>20041115INBRG</v>
      </c>
      <c r="B1296" s="8">
        <f ca="1">IFERROR(__xludf.DUMMYFUNCTION("""COMPUTED_VALUE"""),38306)</f>
        <v>38306</v>
      </c>
      <c r="C1296" s="5" t="str">
        <f ca="1">IFERROR(__xludf.DUMMYFUNCTION("""COMPUTED_VALUE"""),"Brunswick Elementary School")</f>
        <v>Brunswick Elementary School</v>
      </c>
      <c r="D1296" s="5">
        <f ca="1">IFERROR(__xludf.DUMMYFUNCTION("""COMPUTED_VALUE"""),0)</f>
        <v>0</v>
      </c>
      <c r="E1296" s="5">
        <f ca="1">IFERROR(__xludf.DUMMYFUNCTION("""COMPUTED_VALUE"""),1)</f>
        <v>1</v>
      </c>
      <c r="F1296" s="5">
        <f ca="1">IFERROR(__xludf.DUMMYFUNCTION("""COMPUTED_VALUE"""),1)</f>
        <v>1</v>
      </c>
      <c r="G1296" s="5">
        <f ca="1">IFERROR(__xludf.DUMMYFUNCTION("""COMPUTED_VALUE"""),0)</f>
        <v>0</v>
      </c>
      <c r="H1296" s="9" t="str">
        <f ca="1">IFERROR(__xludf.DUMMYFUNCTION("""COMPUTED_VALUE"""),"https://www.nwitimes.com/news/local/suspect-in-school-shooting-in-custody/article_45dbc46d-b19d-5eda-a4e0-8823c211e6cd.html")</f>
        <v>https://www.nwitimes.com/news/local/suspect-in-school-shooting-in-custody/article_45dbc46d-b19d-5eda-a4e0-8823c211e6cd.html</v>
      </c>
      <c r="I1296" s="5"/>
      <c r="J1296" s="5"/>
      <c r="K1296" s="5">
        <f ca="1">IFERROR(__xludf.DUMMYFUNCTION("""COMPUTED_VALUE"""),2)</f>
        <v>2</v>
      </c>
      <c r="L1296" s="5" t="str">
        <f ca="1">IFERROR(__xludf.DUMMYFUNCTION("""COMPUTED_VALUE"""),"Fall")</f>
        <v>Fall</v>
      </c>
      <c r="M1296" s="5" t="str">
        <f ca="1">IFERROR(__xludf.DUMMYFUNCTION("""COMPUTED_VALUE"""),"Gary")</f>
        <v>Gary</v>
      </c>
      <c r="N1296" s="5" t="str">
        <f ca="1">IFERROR(__xludf.DUMMYFUNCTION("""COMPUTED_VALUE"""),"IN")</f>
        <v>IN</v>
      </c>
      <c r="O1296" s="5" t="str">
        <f ca="1">IFERROR(__xludf.DUMMYFUNCTION("""COMPUTED_VALUE"""),"Elementary")</f>
        <v>Elementary</v>
      </c>
      <c r="P1296" s="5" t="str">
        <f ca="1">IFERROR(__xludf.DUMMYFUNCTION("""COMPUTED_VALUE"""),"Parking Lot")</f>
        <v>Parking Lot</v>
      </c>
      <c r="Q1296" s="5" t="str">
        <f ca="1">IFERROR(__xludf.DUMMYFUNCTION("""COMPUTED_VALUE"""),"Outside on School Property")</f>
        <v>Outside on School Property</v>
      </c>
      <c r="R1296" s="5" t="str">
        <f ca="1">IFERROR(__xludf.DUMMYFUNCTION("""COMPUTED_VALUE"""),"Yes")</f>
        <v>Yes</v>
      </c>
      <c r="S1296" s="5" t="str">
        <f ca="1">IFERROR(__xludf.DUMMYFUNCTION("""COMPUTED_VALUE"""),"Dismissal")</f>
        <v>Dismissal</v>
      </c>
      <c r="T1296" s="5"/>
      <c r="U1296" s="5">
        <f ca="1">IFERROR(__xludf.DUMMYFUNCTION("""COMPUTED_VALUE"""),1)</f>
        <v>1</v>
      </c>
      <c r="V1296" s="5" t="str">
        <f ca="1">IFERROR(__xludf.DUMMYFUNCTION("""COMPUTED_VALUE"""),"Argument between two men, mother picking up child shot in crossfire")</f>
        <v>Argument between two men, mother picking up child shot in crossfire</v>
      </c>
      <c r="W1296"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X1296" s="5" t="str">
        <f ca="1">IFERROR(__xludf.DUMMYFUNCTION("""COMPUTED_VALUE"""),"Escalation of Dispute")</f>
        <v>Escalation of Dispute</v>
      </c>
      <c r="Y1296" s="5" t="str">
        <f ca="1">IFERROR(__xludf.DUMMYFUNCTION("""COMPUTED_VALUE"""),"Both")</f>
        <v>Both</v>
      </c>
      <c r="Z1296" s="5" t="str">
        <f ca="1">IFERROR(__xludf.DUMMYFUNCTION("""COMPUTED_VALUE"""),"No")</f>
        <v>No</v>
      </c>
      <c r="AA1296" s="5" t="str">
        <f ca="1">IFERROR(__xludf.DUMMYFUNCTION("""COMPUTED_VALUE"""),"Two shooters firing at each other")</f>
        <v>Two shooters firing at each other</v>
      </c>
      <c r="AB1296" s="5" t="str">
        <f ca="1">IFERROR(__xludf.DUMMYFUNCTION("""COMPUTED_VALUE"""),"No")</f>
        <v>No</v>
      </c>
      <c r="AC1296" s="5" t="str">
        <f ca="1">IFERROR(__xludf.DUMMYFUNCTION("""COMPUTED_VALUE"""),"No")</f>
        <v>No</v>
      </c>
      <c r="AD1296" s="5" t="str">
        <f ca="1">IFERROR(__xludf.DUMMYFUNCTION("""COMPUTED_VALUE"""),"No")</f>
        <v>No</v>
      </c>
      <c r="AE1296" s="5" t="str">
        <f ca="1">IFERROR(__xludf.DUMMYFUNCTION("""COMPUTED_VALUE"""),"No")</f>
        <v>No</v>
      </c>
      <c r="AF1296" s="5" t="str">
        <f ca="1">IFERROR(__xludf.DUMMYFUNCTION("""COMPUTED_VALUE"""),"No")</f>
        <v>No</v>
      </c>
      <c r="AG1296" s="5" t="str">
        <f ca="1">IFERROR(__xludf.DUMMYFUNCTION("""COMPUTED_VALUE"""),"No")</f>
        <v>No</v>
      </c>
      <c r="AH1296" s="5"/>
    </row>
    <row r="1297" spans="1:34" ht="12.75">
      <c r="A1297" s="5" t="str">
        <f ca="1">IFERROR(__xludf.DUMMYFUNCTION("""COMPUTED_VALUE"""),"20041115ALPAB")</f>
        <v>20041115ALPAB</v>
      </c>
      <c r="B1297" s="8">
        <f ca="1">IFERROR(__xludf.DUMMYFUNCTION("""COMPUTED_VALUE"""),38306)</f>
        <v>38306</v>
      </c>
      <c r="C1297" s="5" t="str">
        <f ca="1">IFERROR(__xludf.DUMMYFUNCTION("""COMPUTED_VALUE"""),"Parker High School")</f>
        <v>Parker High School</v>
      </c>
      <c r="D1297" s="5">
        <f ca="1">IFERROR(__xludf.DUMMYFUNCTION("""COMPUTED_VALUE"""),0)</f>
        <v>0</v>
      </c>
      <c r="E1297" s="5">
        <f ca="1">IFERROR(__xludf.DUMMYFUNCTION("""COMPUTED_VALUE"""),1)</f>
        <v>1</v>
      </c>
      <c r="F1297" s="5">
        <f ca="1">IFERROR(__xludf.DUMMYFUNCTION("""COMPUTED_VALUE"""),1)</f>
        <v>1</v>
      </c>
      <c r="G1297" s="5">
        <f ca="1">IFERROR(__xludf.DUMMYFUNCTION("""COMPUTED_VALUE"""),0)</f>
        <v>0</v>
      </c>
      <c r="H1297" s="9" t="str">
        <f ca="1">IFERROR(__xludf.DUMMYFUNCTION("""COMPUTED_VALUE"""),"http://blog.al.com/spotnews/2009/04/suspect_in_drugrelated_titusvi.html")</f>
        <v>http://blog.al.com/spotnews/2009/04/suspect_in_drugrelated_titusvi.html</v>
      </c>
      <c r="I1297" s="5"/>
      <c r="J1297" s="5"/>
      <c r="K1297" s="5">
        <f ca="1">IFERROR(__xludf.DUMMYFUNCTION("""COMPUTED_VALUE"""),1)</f>
        <v>1</v>
      </c>
      <c r="L1297" s="5" t="str">
        <f ca="1">IFERROR(__xludf.DUMMYFUNCTION("""COMPUTED_VALUE"""),"Fall")</f>
        <v>Fall</v>
      </c>
      <c r="M1297" s="5" t="str">
        <f ca="1">IFERROR(__xludf.DUMMYFUNCTION("""COMPUTED_VALUE"""),"Birmingham")</f>
        <v>Birmingham</v>
      </c>
      <c r="N1297" s="5" t="str">
        <f ca="1">IFERROR(__xludf.DUMMYFUNCTION("""COMPUTED_VALUE"""),"AL")</f>
        <v>AL</v>
      </c>
      <c r="O1297" s="5" t="str">
        <f ca="1">IFERROR(__xludf.DUMMYFUNCTION("""COMPUTED_VALUE"""),"High")</f>
        <v>High</v>
      </c>
      <c r="P1297" s="5" t="str">
        <f ca="1">IFERROR(__xludf.DUMMYFUNCTION("""COMPUTED_VALUE"""),"Beside Building")</f>
        <v>Beside Building</v>
      </c>
      <c r="Q1297" s="5" t="str">
        <f ca="1">IFERROR(__xludf.DUMMYFUNCTION("""COMPUTED_VALUE"""),"Outside on School Property")</f>
        <v>Outside on School Property</v>
      </c>
      <c r="R1297" s="5" t="str">
        <f ca="1">IFERROR(__xludf.DUMMYFUNCTION("""COMPUTED_VALUE"""),"No")</f>
        <v>No</v>
      </c>
      <c r="S1297" s="5" t="str">
        <f ca="1">IFERROR(__xludf.DUMMYFUNCTION("""COMPUTED_VALUE"""),"Sport Event")</f>
        <v>Sport Event</v>
      </c>
      <c r="T1297" s="10">
        <f ca="1">IFERROR(__xludf.DUMMYFUNCTION("""COMPUTED_VALUE"""),0.875)</f>
        <v>0.875</v>
      </c>
      <c r="U1297" s="5">
        <f ca="1">IFERROR(__xludf.DUMMYFUNCTION("""COMPUTED_VALUE"""),1)</f>
        <v>1</v>
      </c>
      <c r="V1297" s="5" t="str">
        <f ca="1">IFERROR(__xludf.DUMMYFUNCTION("""COMPUTED_VALUE"""),"Shot later after slapping woman")</f>
        <v>Shot later after slapping woman</v>
      </c>
      <c r="W1297"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X1297" s="5" t="str">
        <f ca="1">IFERROR(__xludf.DUMMYFUNCTION("""COMPUTED_VALUE"""),"Escalation of Dispute")</f>
        <v>Escalation of Dispute</v>
      </c>
      <c r="Y1297" s="5" t="str">
        <f ca="1">IFERROR(__xludf.DUMMYFUNCTION("""COMPUTED_VALUE"""),"Victims Targeted")</f>
        <v>Victims Targeted</v>
      </c>
      <c r="Z1297" s="5" t="str">
        <f ca="1">IFERROR(__xludf.DUMMYFUNCTION("""COMPUTED_VALUE"""),"Yes")</f>
        <v>Yes</v>
      </c>
      <c r="AA1297" s="5" t="str">
        <f ca="1">IFERROR(__xludf.DUMMYFUNCTION("""COMPUTED_VALUE"""),"Group")</f>
        <v>Group</v>
      </c>
      <c r="AB1297" s="5" t="str">
        <f ca="1">IFERROR(__xludf.DUMMYFUNCTION("""COMPUTED_VALUE"""),"No")</f>
        <v>No</v>
      </c>
      <c r="AC1297" s="5" t="str">
        <f ca="1">IFERROR(__xludf.DUMMYFUNCTION("""COMPUTED_VALUE"""),"No")</f>
        <v>No</v>
      </c>
      <c r="AD1297" s="5" t="str">
        <f ca="1">IFERROR(__xludf.DUMMYFUNCTION("""COMPUTED_VALUE"""),"No")</f>
        <v>No</v>
      </c>
      <c r="AE1297" s="5" t="str">
        <f ca="1">IFERROR(__xludf.DUMMYFUNCTION("""COMPUTED_VALUE"""),"No")</f>
        <v>No</v>
      </c>
      <c r="AF1297" s="5" t="str">
        <f ca="1">IFERROR(__xludf.DUMMYFUNCTION("""COMPUTED_VALUE"""),"No")</f>
        <v>No</v>
      </c>
      <c r="AG1297" s="5" t="str">
        <f ca="1">IFERROR(__xludf.DUMMYFUNCTION("""COMPUTED_VALUE"""),"No")</f>
        <v>No</v>
      </c>
      <c r="AH1297" s="5"/>
    </row>
    <row r="1298" spans="1:34" ht="12.75">
      <c r="A1298" s="5" t="str">
        <f ca="1">IFERROR(__xludf.DUMMYFUNCTION("""COMPUTED_VALUE"""),"20041022CATYH")</f>
        <v>20041022CATYH</v>
      </c>
      <c r="B1298" s="8">
        <f ca="1">IFERROR(__xludf.DUMMYFUNCTION("""COMPUTED_VALUE"""),38282)</f>
        <v>38282</v>
      </c>
      <c r="C1298" s="5" t="str">
        <f ca="1">IFERROR(__xludf.DUMMYFUNCTION("""COMPUTED_VALUE"""),"Tyrrell Elementary School")</f>
        <v>Tyrrell Elementary School</v>
      </c>
      <c r="D1298" s="5">
        <f ca="1">IFERROR(__xludf.DUMMYFUNCTION("""COMPUTED_VALUE"""),1)</f>
        <v>1</v>
      </c>
      <c r="E1298" s="5">
        <f ca="1">IFERROR(__xludf.DUMMYFUNCTION("""COMPUTED_VALUE"""),0)</f>
        <v>0</v>
      </c>
      <c r="F1298" s="5">
        <f ca="1">IFERROR(__xludf.DUMMYFUNCTION("""COMPUTED_VALUE"""),1)</f>
        <v>1</v>
      </c>
      <c r="G1298" s="5">
        <f ca="1">IFERROR(__xludf.DUMMYFUNCTION("""COMPUTED_VALUE"""),0)</f>
        <v>0</v>
      </c>
      <c r="H1298" s="9" t="str">
        <f ca="1">IFERROR(__xludf.DUMMYFUNCTION("""COMPUTED_VALUE"""),"https://www.sfgate.com/bayarea/article/HAYWARD-Man-fatally-shot-at-school-no-arrest-2679598.php")</f>
        <v>https://www.sfgate.com/bayarea/article/HAYWARD-Man-fatally-shot-at-school-no-arrest-2679598.php</v>
      </c>
      <c r="I1298" s="5"/>
      <c r="J1298" s="5"/>
      <c r="K1298" s="5">
        <f ca="1">IFERROR(__xludf.DUMMYFUNCTION("""COMPUTED_VALUE"""),2)</f>
        <v>2</v>
      </c>
      <c r="L1298" s="5" t="str">
        <f ca="1">IFERROR(__xludf.DUMMYFUNCTION("""COMPUTED_VALUE"""),"Fall")</f>
        <v>Fall</v>
      </c>
      <c r="M1298" s="5" t="str">
        <f ca="1">IFERROR(__xludf.DUMMYFUNCTION("""COMPUTED_VALUE"""),"Hayward")</f>
        <v>Hayward</v>
      </c>
      <c r="N1298" s="5" t="str">
        <f ca="1">IFERROR(__xludf.DUMMYFUNCTION("""COMPUTED_VALUE"""),"CA")</f>
        <v>CA</v>
      </c>
      <c r="O1298" s="5" t="str">
        <f ca="1">IFERROR(__xludf.DUMMYFUNCTION("""COMPUTED_VALUE"""),"Elementary")</f>
        <v>Elementary</v>
      </c>
      <c r="P1298" s="5" t="str">
        <f ca="1">IFERROR(__xludf.DUMMYFUNCTION("""COMPUTED_VALUE"""),"Parking Lot")</f>
        <v>Parking Lot</v>
      </c>
      <c r="Q1298" s="5" t="str">
        <f ca="1">IFERROR(__xludf.DUMMYFUNCTION("""COMPUTED_VALUE"""),"Outside on School Property")</f>
        <v>Outside on School Property</v>
      </c>
      <c r="R1298" s="5" t="str">
        <f ca="1">IFERROR(__xludf.DUMMYFUNCTION("""COMPUTED_VALUE"""),"No")</f>
        <v>No</v>
      </c>
      <c r="S1298" s="5" t="str">
        <f ca="1">IFERROR(__xludf.DUMMYFUNCTION("""COMPUTED_VALUE"""),"Evening")</f>
        <v>Evening</v>
      </c>
      <c r="T1298" s="10">
        <f ca="1">IFERROR(__xludf.DUMMYFUNCTION("""COMPUTED_VALUE"""),0.913194444444444)</f>
        <v>0.91319444444444398</v>
      </c>
      <c r="U1298" s="5">
        <f ca="1">IFERROR(__xludf.DUMMYFUNCTION("""COMPUTED_VALUE"""),1)</f>
        <v>1</v>
      </c>
      <c r="V1298" s="5" t="str">
        <f ca="1">IFERROR(__xludf.DUMMYFUNCTION("""COMPUTED_VALUE"""),"Killed by unknown shooter in parking lot, believed to be gang related")</f>
        <v>Killed by unknown shooter in parking lot, believed to be gang related</v>
      </c>
      <c r="W1298"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X1298" s="5" t="str">
        <f ca="1">IFERROR(__xludf.DUMMYFUNCTION("""COMPUTED_VALUE"""),"Escalation of Dispute")</f>
        <v>Escalation of Dispute</v>
      </c>
      <c r="Y1298" s="5" t="str">
        <f ca="1">IFERROR(__xludf.DUMMYFUNCTION("""COMPUTED_VALUE"""),"Victims Targeted")</f>
        <v>Victims Targeted</v>
      </c>
      <c r="Z1298" s="5" t="str">
        <f ca="1">IFERROR(__xludf.DUMMYFUNCTION("""COMPUTED_VALUE"""),"Unknown")</f>
        <v>Unknown</v>
      </c>
      <c r="AA1298" s="5"/>
      <c r="AB1298" s="5" t="str">
        <f ca="1">IFERROR(__xludf.DUMMYFUNCTION("""COMPUTED_VALUE"""),"No")</f>
        <v>No</v>
      </c>
      <c r="AC1298" s="5" t="str">
        <f ca="1">IFERROR(__xludf.DUMMYFUNCTION("""COMPUTED_VALUE"""),"No")</f>
        <v>No</v>
      </c>
      <c r="AD1298" s="5" t="str">
        <f ca="1">IFERROR(__xludf.DUMMYFUNCTION("""COMPUTED_VALUE"""),"No")</f>
        <v>No</v>
      </c>
      <c r="AE1298" s="5" t="str">
        <f ca="1">IFERROR(__xludf.DUMMYFUNCTION("""COMPUTED_VALUE"""),"No")</f>
        <v>No</v>
      </c>
      <c r="AF1298" s="5" t="str">
        <f ca="1">IFERROR(__xludf.DUMMYFUNCTION("""COMPUTED_VALUE"""),"No")</f>
        <v>No</v>
      </c>
      <c r="AG1298" s="5" t="str">
        <f ca="1">IFERROR(__xludf.DUMMYFUNCTION("""COMPUTED_VALUE"""),"Yes")</f>
        <v>Yes</v>
      </c>
      <c r="AH1298" s="5"/>
    </row>
    <row r="1299" spans="1:34" ht="12.75">
      <c r="A1299" s="5" t="str">
        <f ca="1">IFERROR(__xludf.DUMMYFUNCTION("""COMPUTED_VALUE"""),"20041021MDTHB")</f>
        <v>20041021MDTHB</v>
      </c>
      <c r="B1299" s="8">
        <f ca="1">IFERROR(__xludf.DUMMYFUNCTION("""COMPUTED_VALUE"""),38281)</f>
        <v>38281</v>
      </c>
      <c r="C1299" s="5" t="str">
        <f ca="1">IFERROR(__xludf.DUMMYFUNCTION("""COMPUTED_VALUE"""),"Thurgood Marshall High School")</f>
        <v>Thurgood Marshall High School</v>
      </c>
      <c r="D1299" s="5">
        <f ca="1">IFERROR(__xludf.DUMMYFUNCTION("""COMPUTED_VALUE"""),0)</f>
        <v>0</v>
      </c>
      <c r="E1299" s="5">
        <f ca="1">IFERROR(__xludf.DUMMYFUNCTION("""COMPUTED_VALUE"""),2)</f>
        <v>2</v>
      </c>
      <c r="F1299" s="5">
        <f ca="1">IFERROR(__xludf.DUMMYFUNCTION("""COMPUTED_VALUE"""),2)</f>
        <v>2</v>
      </c>
      <c r="G1299" s="5">
        <f ca="1">IFERROR(__xludf.DUMMYFUNCTION("""COMPUTED_VALUE"""),0)</f>
        <v>0</v>
      </c>
      <c r="H1299" s="9" t="str">
        <f ca="1">IFERROR(__xludf.DUMMYFUNCTION("""COMPUTED_VALUE"""),"http://articles.baltimoresun.com/2004-10-23/news/0410230240_1_thurgood-marshall-high-school-violence-city-schools")</f>
        <v>http://articles.baltimoresun.com/2004-10-23/news/0410230240_1_thurgood-marshall-high-school-violence-city-schools</v>
      </c>
      <c r="I1299" s="5"/>
      <c r="J1299" s="5"/>
      <c r="K1299" s="5">
        <f ca="1">IFERROR(__xludf.DUMMYFUNCTION("""COMPUTED_VALUE"""),2)</f>
        <v>2</v>
      </c>
      <c r="L1299" s="5" t="str">
        <f ca="1">IFERROR(__xludf.DUMMYFUNCTION("""COMPUTED_VALUE"""),"Fall")</f>
        <v>Fall</v>
      </c>
      <c r="M1299" s="5" t="str">
        <f ca="1">IFERROR(__xludf.DUMMYFUNCTION("""COMPUTED_VALUE"""),"Baltimore")</f>
        <v>Baltimore</v>
      </c>
      <c r="N1299" s="5" t="str">
        <f ca="1">IFERROR(__xludf.DUMMYFUNCTION("""COMPUTED_VALUE"""),"MD")</f>
        <v>MD</v>
      </c>
      <c r="O1299" s="5" t="str">
        <f ca="1">IFERROR(__xludf.DUMMYFUNCTION("""COMPUTED_VALUE"""),"High")</f>
        <v>High</v>
      </c>
      <c r="P1299" s="5" t="str">
        <f ca="1">IFERROR(__xludf.DUMMYFUNCTION("""COMPUTED_VALUE"""),"Courtyard")</f>
        <v>Courtyard</v>
      </c>
      <c r="Q1299" s="5" t="str">
        <f ca="1">IFERROR(__xludf.DUMMYFUNCTION("""COMPUTED_VALUE"""),"Outside on School Property")</f>
        <v>Outside on School Property</v>
      </c>
      <c r="R1299" s="5" t="str">
        <f ca="1">IFERROR(__xludf.DUMMYFUNCTION("""COMPUTED_VALUE"""),"No")</f>
        <v>No</v>
      </c>
      <c r="S1299" s="5" t="str">
        <f ca="1">IFERROR(__xludf.DUMMYFUNCTION("""COMPUTED_VALUE"""),"After School")</f>
        <v>After School</v>
      </c>
      <c r="T1299" s="10">
        <f ca="1">IFERROR(__xludf.DUMMYFUNCTION("""COMPUTED_VALUE"""),0.666666666666666)</f>
        <v>0.66666666666666596</v>
      </c>
      <c r="U1299" s="5">
        <f ca="1">IFERROR(__xludf.DUMMYFUNCTION("""COMPUTED_VALUE"""),1)</f>
        <v>1</v>
      </c>
      <c r="V1299" s="5" t="str">
        <f ca="1">IFERROR(__xludf.DUMMYFUNCTION("""COMPUTED_VALUE"""),"Fight over girl, two random students were shot")</f>
        <v>Fight over girl, two random students were shot</v>
      </c>
      <c r="W1299"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X1299" s="5" t="str">
        <f ca="1">IFERROR(__xludf.DUMMYFUNCTION("""COMPUTED_VALUE"""),"Escalation of Dispute")</f>
        <v>Escalation of Dispute</v>
      </c>
      <c r="Y1299" s="5" t="str">
        <f ca="1">IFERROR(__xludf.DUMMYFUNCTION("""COMPUTED_VALUE"""),"Both")</f>
        <v>Both</v>
      </c>
      <c r="Z1299" s="5" t="str">
        <f ca="1">IFERROR(__xludf.DUMMYFUNCTION("""COMPUTED_VALUE"""),"No")</f>
        <v>No</v>
      </c>
      <c r="AA1299" s="5"/>
      <c r="AB1299" s="5" t="str">
        <f ca="1">IFERROR(__xludf.DUMMYFUNCTION("""COMPUTED_VALUE"""),"No")</f>
        <v>No</v>
      </c>
      <c r="AC1299" s="5" t="str">
        <f ca="1">IFERROR(__xludf.DUMMYFUNCTION("""COMPUTED_VALUE"""),"No")</f>
        <v>No</v>
      </c>
      <c r="AD1299" s="5" t="str">
        <f ca="1">IFERROR(__xludf.DUMMYFUNCTION("""COMPUTED_VALUE"""),"No")</f>
        <v>No</v>
      </c>
      <c r="AE1299" s="5" t="str">
        <f ca="1">IFERROR(__xludf.DUMMYFUNCTION("""COMPUTED_VALUE"""),"No")</f>
        <v>No</v>
      </c>
      <c r="AF1299" s="5" t="str">
        <f ca="1">IFERROR(__xludf.DUMMYFUNCTION("""COMPUTED_VALUE"""),"No")</f>
        <v>No</v>
      </c>
      <c r="AG1299" s="5" t="str">
        <f ca="1">IFERROR(__xludf.DUMMYFUNCTION("""COMPUTED_VALUE"""),"No")</f>
        <v>No</v>
      </c>
      <c r="AH1299" s="5"/>
    </row>
    <row r="1300" spans="1:34" ht="12.75">
      <c r="A1300" s="5" t="str">
        <f ca="1">IFERROR(__xludf.DUMMYFUNCTION("""COMPUTED_VALUE"""),"20041015CABIB")</f>
        <v>20041015CABIB</v>
      </c>
      <c r="B1300" s="8">
        <f ca="1">IFERROR(__xludf.DUMMYFUNCTION("""COMPUTED_VALUE"""),38275)</f>
        <v>38275</v>
      </c>
      <c r="C1300" s="5" t="str">
        <f ca="1">IFERROR(__xludf.DUMMYFUNCTION("""COMPUTED_VALUE"""),"Biggs High School")</f>
        <v>Biggs High School</v>
      </c>
      <c r="D1300" s="5">
        <f ca="1">IFERROR(__xludf.DUMMYFUNCTION("""COMPUTED_VALUE"""),0)</f>
        <v>0</v>
      </c>
      <c r="E1300" s="5">
        <f ca="1">IFERROR(__xludf.DUMMYFUNCTION("""COMPUTED_VALUE"""),1)</f>
        <v>1</v>
      </c>
      <c r="F1300" s="5">
        <f ca="1">IFERROR(__xludf.DUMMYFUNCTION("""COMPUTED_VALUE"""),1)</f>
        <v>1</v>
      </c>
      <c r="G1300" s="5">
        <f ca="1">IFERROR(__xludf.DUMMYFUNCTION("""COMPUTED_VALUE"""),0)</f>
        <v>0</v>
      </c>
      <c r="H1300" s="9" t="str">
        <f ca="1">IFERROR(__xludf.DUMMYFUNCTION("""COMPUTED_VALUE"""),"http://articles.latimes.com/2004/oct/17/local/me-sbriefs17.2")</f>
        <v>http://articles.latimes.com/2004/oct/17/local/me-sbriefs17.2</v>
      </c>
      <c r="I1300" s="5"/>
      <c r="J1300" s="5"/>
      <c r="K1300" s="5">
        <f ca="1">IFERROR(__xludf.DUMMYFUNCTION("""COMPUTED_VALUE"""),2)</f>
        <v>2</v>
      </c>
      <c r="L1300" s="5" t="str">
        <f ca="1">IFERROR(__xludf.DUMMYFUNCTION("""COMPUTED_VALUE"""),"Fall")</f>
        <v>Fall</v>
      </c>
      <c r="M1300" s="5" t="str">
        <f ca="1">IFERROR(__xludf.DUMMYFUNCTION("""COMPUTED_VALUE"""),"Biggs")</f>
        <v>Biggs</v>
      </c>
      <c r="N1300" s="5" t="str">
        <f ca="1">IFERROR(__xludf.DUMMYFUNCTION("""COMPUTED_VALUE"""),"CA")</f>
        <v>CA</v>
      </c>
      <c r="O1300" s="5" t="str">
        <f ca="1">IFERROR(__xludf.DUMMYFUNCTION("""COMPUTED_VALUE"""),"High")</f>
        <v>High</v>
      </c>
      <c r="P1300" s="5" t="str">
        <f ca="1">IFERROR(__xludf.DUMMYFUNCTION("""COMPUTED_VALUE"""),"Football Field/Track")</f>
        <v>Football Field/Track</v>
      </c>
      <c r="Q1300" s="5" t="str">
        <f ca="1">IFERROR(__xludf.DUMMYFUNCTION("""COMPUTED_VALUE"""),"Outside on School Property")</f>
        <v>Outside on School Property</v>
      </c>
      <c r="R1300" s="5" t="str">
        <f ca="1">IFERROR(__xludf.DUMMYFUNCTION("""COMPUTED_VALUE"""),"No")</f>
        <v>No</v>
      </c>
      <c r="S1300" s="5" t="str">
        <f ca="1">IFERROR(__xludf.DUMMYFUNCTION("""COMPUTED_VALUE"""),"Sport Event")</f>
        <v>Sport Event</v>
      </c>
      <c r="T1300" s="10">
        <f ca="1">IFERROR(__xludf.DUMMYFUNCTION("""COMPUTED_VALUE"""),0.863194444444444)</f>
        <v>0.86319444444444404</v>
      </c>
      <c r="U1300" s="5">
        <f ca="1">IFERROR(__xludf.DUMMYFUNCTION("""COMPUTED_VALUE"""),1)</f>
        <v>1</v>
      </c>
      <c r="V1300" s="5" t="str">
        <f ca="1">IFERROR(__xludf.DUMMYFUNCTION("""COMPUTED_VALUE"""),"Gang related shooting at football game")</f>
        <v>Gang related shooting at football game</v>
      </c>
      <c r="W1300"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X1300" s="5" t="str">
        <f ca="1">IFERROR(__xludf.DUMMYFUNCTION("""COMPUTED_VALUE"""),"Escalation of Dispute")</f>
        <v>Escalation of Dispute</v>
      </c>
      <c r="Y1300" s="5" t="str">
        <f ca="1">IFERROR(__xludf.DUMMYFUNCTION("""COMPUTED_VALUE"""),"Victims Targeted")</f>
        <v>Victims Targeted</v>
      </c>
      <c r="Z1300" s="5" t="str">
        <f ca="1">IFERROR(__xludf.DUMMYFUNCTION("""COMPUTED_VALUE"""),"No")</f>
        <v>No</v>
      </c>
      <c r="AA1300" s="5"/>
      <c r="AB1300" s="5" t="str">
        <f ca="1">IFERROR(__xludf.DUMMYFUNCTION("""COMPUTED_VALUE"""),"No")</f>
        <v>No</v>
      </c>
      <c r="AC1300" s="5" t="str">
        <f ca="1">IFERROR(__xludf.DUMMYFUNCTION("""COMPUTED_VALUE"""),"No")</f>
        <v>No</v>
      </c>
      <c r="AD1300" s="5" t="str">
        <f ca="1">IFERROR(__xludf.DUMMYFUNCTION("""COMPUTED_VALUE"""),"No")</f>
        <v>No</v>
      </c>
      <c r="AE1300" s="5" t="str">
        <f ca="1">IFERROR(__xludf.DUMMYFUNCTION("""COMPUTED_VALUE"""),"No")</f>
        <v>No</v>
      </c>
      <c r="AF1300" s="5" t="str">
        <f ca="1">IFERROR(__xludf.DUMMYFUNCTION("""COMPUTED_VALUE"""),"No")</f>
        <v>No</v>
      </c>
      <c r="AG1300" s="5" t="str">
        <f ca="1">IFERROR(__xludf.DUMMYFUNCTION("""COMPUTED_VALUE"""),"Yes")</f>
        <v>Yes</v>
      </c>
      <c r="AH1300" s="5"/>
    </row>
    <row r="1301" spans="1:34" ht="12.75">
      <c r="A1301" s="5" t="str">
        <f ca="1">IFERROR(__xludf.DUMMYFUNCTION("""COMPUTED_VALUE"""),"20041012CALAS")</f>
        <v>20041012CALAS</v>
      </c>
      <c r="B1301" s="8">
        <f ca="1">IFERROR(__xludf.DUMMYFUNCTION("""COMPUTED_VALUE"""),38272)</f>
        <v>38272</v>
      </c>
      <c r="C1301" s="5" t="str">
        <f ca="1">IFERROR(__xludf.DUMMYFUNCTION("""COMPUTED_VALUE"""),"Lakewood Elementary School")</f>
        <v>Lakewood Elementary School</v>
      </c>
      <c r="D1301" s="5">
        <f ca="1">IFERROR(__xludf.DUMMYFUNCTION("""COMPUTED_VALUE"""),0)</f>
        <v>0</v>
      </c>
      <c r="E1301" s="5">
        <f ca="1">IFERROR(__xludf.DUMMYFUNCTION("""COMPUTED_VALUE"""),0)</f>
        <v>0</v>
      </c>
      <c r="F1301" s="5">
        <f ca="1">IFERROR(__xludf.DUMMYFUNCTION("""COMPUTED_VALUE"""),0)</f>
        <v>0</v>
      </c>
      <c r="G1301" s="5">
        <f ca="1">IFERROR(__xludf.DUMMYFUNCTION("""COMPUTED_VALUE"""),2)</f>
        <v>2</v>
      </c>
      <c r="H1301" s="9" t="str">
        <f ca="1">IFERROR(__xludf.DUMMYFUNCTION("""COMPUTED_VALUE"""),"https://www.sfgate.com/bayarea/article/SUNNYVALE-2-killings-at-school-bring-murder-2641374.php")</f>
        <v>https://www.sfgate.com/bayarea/article/SUNNYVALE-2-killings-at-school-bring-murder-2641374.php</v>
      </c>
      <c r="I1301" s="5"/>
      <c r="J1301" s="5"/>
      <c r="K1301" s="5">
        <f ca="1">IFERROR(__xludf.DUMMYFUNCTION("""COMPUTED_VALUE"""),2)</f>
        <v>2</v>
      </c>
      <c r="L1301" s="5" t="str">
        <f ca="1">IFERROR(__xludf.DUMMYFUNCTION("""COMPUTED_VALUE"""),"Fall")</f>
        <v>Fall</v>
      </c>
      <c r="M1301" s="5" t="str">
        <f ca="1">IFERROR(__xludf.DUMMYFUNCTION("""COMPUTED_VALUE"""),"Sunnyvale")</f>
        <v>Sunnyvale</v>
      </c>
      <c r="N1301" s="5" t="str">
        <f ca="1">IFERROR(__xludf.DUMMYFUNCTION("""COMPUTED_VALUE"""),"CA")</f>
        <v>CA</v>
      </c>
      <c r="O1301" s="5" t="str">
        <f ca="1">IFERROR(__xludf.DUMMYFUNCTION("""COMPUTED_VALUE"""),"Elementary")</f>
        <v>Elementary</v>
      </c>
      <c r="P1301" s="5" t="str">
        <f ca="1">IFERROR(__xludf.DUMMYFUNCTION("""COMPUTED_VALUE"""),"Parking Lot")</f>
        <v>Parking Lot</v>
      </c>
      <c r="Q1301" s="5" t="str">
        <f ca="1">IFERROR(__xludf.DUMMYFUNCTION("""COMPUTED_VALUE"""),"Outside on School Property")</f>
        <v>Outside on School Property</v>
      </c>
      <c r="R1301" s="5"/>
      <c r="S1301" s="5"/>
      <c r="T1301" s="5"/>
      <c r="U1301" s="5">
        <f ca="1">IFERROR(__xludf.DUMMYFUNCTION("""COMPUTED_VALUE"""),1)</f>
        <v>1</v>
      </c>
      <c r="V1301" s="5" t="str">
        <f ca="1">IFERROR(__xludf.DUMMYFUNCTION("""COMPUTED_VALUE"""),"Two men fatally shot each other in dispute over woman")</f>
        <v>Two men fatally shot each other in dispute over woman</v>
      </c>
      <c r="W1301" s="5" t="str">
        <f ca="1">IFERROR(__xludf.DUMMYFUNCTION("""COMPUTED_VALUE"""),"Two 25YOM shot each other in the school parking lot during a domestic dispute over a woman.")</f>
        <v>Two 25YOM shot each other in the school parking lot during a domestic dispute over a woman.</v>
      </c>
      <c r="X1301" s="5" t="str">
        <f ca="1">IFERROR(__xludf.DUMMYFUNCTION("""COMPUTED_VALUE"""),"Domestic w/ Targeted Victim")</f>
        <v>Domestic w/ Targeted Victim</v>
      </c>
      <c r="Y1301" s="5" t="str">
        <f ca="1">IFERROR(__xludf.DUMMYFUNCTION("""COMPUTED_VALUE"""),"Victims Targeted")</f>
        <v>Victims Targeted</v>
      </c>
      <c r="Z1301" s="5" t="str">
        <f ca="1">IFERROR(__xludf.DUMMYFUNCTION("""COMPUTED_VALUE"""),"No")</f>
        <v>No</v>
      </c>
      <c r="AA1301" s="5"/>
      <c r="AB1301" s="5" t="str">
        <f ca="1">IFERROR(__xludf.DUMMYFUNCTION("""COMPUTED_VALUE"""),"No")</f>
        <v>No</v>
      </c>
      <c r="AC1301" s="5" t="str">
        <f ca="1">IFERROR(__xludf.DUMMYFUNCTION("""COMPUTED_VALUE"""),"No")</f>
        <v>No</v>
      </c>
      <c r="AD1301" s="5" t="str">
        <f ca="1">IFERROR(__xludf.DUMMYFUNCTION("""COMPUTED_VALUE"""),"No")</f>
        <v>No</v>
      </c>
      <c r="AE1301" s="5" t="str">
        <f ca="1">IFERROR(__xludf.DUMMYFUNCTION("""COMPUTED_VALUE"""),"No")</f>
        <v>No</v>
      </c>
      <c r="AF1301" s="5" t="str">
        <f ca="1">IFERROR(__xludf.DUMMYFUNCTION("""COMPUTED_VALUE"""),"Yes")</f>
        <v>Yes</v>
      </c>
      <c r="AG1301" s="5" t="str">
        <f ca="1">IFERROR(__xludf.DUMMYFUNCTION("""COMPUTED_VALUE"""),"No")</f>
        <v>No</v>
      </c>
      <c r="AH1301" s="5"/>
    </row>
    <row r="1302" spans="1:34" ht="12.75">
      <c r="A1302" s="5" t="str">
        <f ca="1">IFERROR(__xludf.DUMMYFUNCTION("""COMPUTED_VALUE"""),"20041007MANEN")</f>
        <v>20041007MANEN</v>
      </c>
      <c r="B1302" s="8">
        <f ca="1">IFERROR(__xludf.DUMMYFUNCTION("""COMPUTED_VALUE"""),38267)</f>
        <v>38267</v>
      </c>
      <c r="C1302" s="5" t="str">
        <f ca="1">IFERROR(__xludf.DUMMYFUNCTION("""COMPUTED_VALUE"""),"Newburyport High School")</f>
        <v>Newburyport High School</v>
      </c>
      <c r="D1302" s="5">
        <f ca="1">IFERROR(__xludf.DUMMYFUNCTION("""COMPUTED_VALUE"""),0)</f>
        <v>0</v>
      </c>
      <c r="E1302" s="5">
        <f ca="1">IFERROR(__xludf.DUMMYFUNCTION("""COMPUTED_VALUE"""),0)</f>
        <v>0</v>
      </c>
      <c r="F1302" s="5">
        <f ca="1">IFERROR(__xludf.DUMMYFUNCTION("""COMPUTED_VALUE"""),0)</f>
        <v>0</v>
      </c>
      <c r="G1302" s="5">
        <f ca="1">IFERROR(__xludf.DUMMYFUNCTION("""COMPUTED_VALUE"""),1)</f>
        <v>1</v>
      </c>
      <c r="H1302" s="9" t="str">
        <f ca="1">IFERROR(__xludf.DUMMYFUNCTION("""COMPUTED_VALUE"""),"https://www.upi.com/Distraught-teen-kills-himself-at-school/59631097364281/")</f>
        <v>https://www.upi.com/Distraught-teen-kills-himself-at-school/59631097364281/</v>
      </c>
      <c r="I1302" s="5"/>
      <c r="J1302" s="5"/>
      <c r="K1302" s="5">
        <f ca="1">IFERROR(__xludf.DUMMYFUNCTION("""COMPUTED_VALUE"""),2)</f>
        <v>2</v>
      </c>
      <c r="L1302" s="5" t="str">
        <f ca="1">IFERROR(__xludf.DUMMYFUNCTION("""COMPUTED_VALUE"""),"Fall")</f>
        <v>Fall</v>
      </c>
      <c r="M1302" s="5" t="str">
        <f ca="1">IFERROR(__xludf.DUMMYFUNCTION("""COMPUTED_VALUE"""),"Newburyport")</f>
        <v>Newburyport</v>
      </c>
      <c r="N1302" s="5" t="str">
        <f ca="1">IFERROR(__xludf.DUMMYFUNCTION("""COMPUTED_VALUE"""),"MA")</f>
        <v>MA</v>
      </c>
      <c r="O1302" s="5" t="str">
        <f ca="1">IFERROR(__xludf.DUMMYFUNCTION("""COMPUTED_VALUE"""),"High")</f>
        <v>High</v>
      </c>
      <c r="P1302" s="5" t="str">
        <f ca="1">IFERROR(__xludf.DUMMYFUNCTION("""COMPUTED_VALUE"""),"Front of School")</f>
        <v>Front of School</v>
      </c>
      <c r="Q1302" s="5" t="str">
        <f ca="1">IFERROR(__xludf.DUMMYFUNCTION("""COMPUTED_VALUE"""),"Outside on School Property")</f>
        <v>Outside on School Property</v>
      </c>
      <c r="R1302" s="5" t="str">
        <f ca="1">IFERROR(__xludf.DUMMYFUNCTION("""COMPUTED_VALUE"""),"No")</f>
        <v>No</v>
      </c>
      <c r="S1302" s="5" t="str">
        <f ca="1">IFERROR(__xludf.DUMMYFUNCTION("""COMPUTED_VALUE"""),"Night")</f>
        <v>Night</v>
      </c>
      <c r="T1302" s="10">
        <f ca="1">IFERROR(__xludf.DUMMYFUNCTION("""COMPUTED_VALUE"""),0.958333333333333)</f>
        <v>0.95833333333333304</v>
      </c>
      <c r="U1302" s="5">
        <f ca="1">IFERROR(__xludf.DUMMYFUNCTION("""COMPUTED_VALUE"""),1)</f>
        <v>1</v>
      </c>
      <c r="V1302" s="5" t="str">
        <f ca="1">IFERROR(__xludf.DUMMYFUNCTION("""COMPUTED_VALUE"""),"Attempted to get into ex-girlfriend's house, fired 2 shots into air, walked to high school and shot himself")</f>
        <v>Attempted to get into ex-girlfriend's house, fired 2 shots into air, walked to high school and shot himself</v>
      </c>
      <c r="W1302"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X1302" s="5" t="str">
        <f ca="1">IFERROR(__xludf.DUMMYFUNCTION("""COMPUTED_VALUE"""),"Suicide/Attempted")</f>
        <v>Suicide/Attempted</v>
      </c>
      <c r="Y1302" s="5" t="str">
        <f ca="1">IFERROR(__xludf.DUMMYFUNCTION("""COMPUTED_VALUE"""),"Victims Targeted")</f>
        <v>Victims Targeted</v>
      </c>
      <c r="Z1302" s="5" t="str">
        <f ca="1">IFERROR(__xludf.DUMMYFUNCTION("""COMPUTED_VALUE"""),"No")</f>
        <v>No</v>
      </c>
      <c r="AA1302" s="5"/>
      <c r="AB1302" s="5" t="str">
        <f ca="1">IFERROR(__xludf.DUMMYFUNCTION("""COMPUTED_VALUE"""),"No")</f>
        <v>No</v>
      </c>
      <c r="AC1302" s="5" t="str">
        <f ca="1">IFERROR(__xludf.DUMMYFUNCTION("""COMPUTED_VALUE"""),"No")</f>
        <v>No</v>
      </c>
      <c r="AD1302" s="5" t="str">
        <f ca="1">IFERROR(__xludf.DUMMYFUNCTION("""COMPUTED_VALUE"""),"No")</f>
        <v>No</v>
      </c>
      <c r="AE1302" s="5" t="str">
        <f ca="1">IFERROR(__xludf.DUMMYFUNCTION("""COMPUTED_VALUE"""),"No")</f>
        <v>No</v>
      </c>
      <c r="AF1302" s="5" t="str">
        <f ca="1">IFERROR(__xludf.DUMMYFUNCTION("""COMPUTED_VALUE"""),"Yes")</f>
        <v>Yes</v>
      </c>
      <c r="AG1302" s="5" t="str">
        <f ca="1">IFERROR(__xludf.DUMMYFUNCTION("""COMPUTED_VALUE"""),"No")</f>
        <v>No</v>
      </c>
      <c r="AH1302" s="5"/>
    </row>
    <row r="1303" spans="1:34" ht="12.75">
      <c r="A1303" s="5" t="str">
        <f ca="1">IFERROR(__xludf.DUMMYFUNCTION("""COMPUTED_VALUE"""),"20041002NEJEG")</f>
        <v>20041002NEJEG</v>
      </c>
      <c r="B1303" s="8">
        <f ca="1">IFERROR(__xludf.DUMMYFUNCTION("""COMPUTED_VALUE"""),38262)</f>
        <v>38262</v>
      </c>
      <c r="C1303" s="5" t="str">
        <f ca="1">IFERROR(__xludf.DUMMYFUNCTION("""COMPUTED_VALUE"""),"Jefferson Elementary School")</f>
        <v>Jefferson Elementary School</v>
      </c>
      <c r="D1303" s="5">
        <f ca="1">IFERROR(__xludf.DUMMYFUNCTION("""COMPUTED_VALUE"""),0)</f>
        <v>0</v>
      </c>
      <c r="E1303" s="5">
        <f ca="1">IFERROR(__xludf.DUMMYFUNCTION("""COMPUTED_VALUE"""),1)</f>
        <v>1</v>
      </c>
      <c r="F1303" s="5">
        <f ca="1">IFERROR(__xludf.DUMMYFUNCTION("""COMPUTED_VALUE"""),1)</f>
        <v>1</v>
      </c>
      <c r="G1303" s="5">
        <f ca="1">IFERROR(__xludf.DUMMYFUNCTION("""COMPUTED_VALUE"""),0)</f>
        <v>0</v>
      </c>
      <c r="H1303"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I1303" s="5"/>
      <c r="J1303" s="5"/>
      <c r="K1303" s="5">
        <f ca="1">IFERROR(__xludf.DUMMYFUNCTION("""COMPUTED_VALUE"""),2)</f>
        <v>2</v>
      </c>
      <c r="L1303" s="5" t="str">
        <f ca="1">IFERROR(__xludf.DUMMYFUNCTION("""COMPUTED_VALUE"""),"Fall")</f>
        <v>Fall</v>
      </c>
      <c r="M1303" s="5" t="str">
        <f ca="1">IFERROR(__xludf.DUMMYFUNCTION("""COMPUTED_VALUE"""),"Grand Island")</f>
        <v>Grand Island</v>
      </c>
      <c r="N1303" s="5" t="str">
        <f ca="1">IFERROR(__xludf.DUMMYFUNCTION("""COMPUTED_VALUE"""),"NE")</f>
        <v>NE</v>
      </c>
      <c r="O1303" s="5" t="str">
        <f ca="1">IFERROR(__xludf.DUMMYFUNCTION("""COMPUTED_VALUE"""),"Elementary")</f>
        <v>Elementary</v>
      </c>
      <c r="P1303" s="5" t="str">
        <f ca="1">IFERROR(__xludf.DUMMYFUNCTION("""COMPUTED_VALUE"""),"Parking Lot")</f>
        <v>Parking Lot</v>
      </c>
      <c r="Q1303" s="5" t="str">
        <f ca="1">IFERROR(__xludf.DUMMYFUNCTION("""COMPUTED_VALUE"""),"Outside on School Property")</f>
        <v>Outside on School Property</v>
      </c>
      <c r="R1303" s="5" t="str">
        <f ca="1">IFERROR(__xludf.DUMMYFUNCTION("""COMPUTED_VALUE"""),"No")</f>
        <v>No</v>
      </c>
      <c r="S1303" s="5" t="str">
        <f ca="1">IFERROR(__xludf.DUMMYFUNCTION("""COMPUTED_VALUE"""),"Not a School Day")</f>
        <v>Not a School Day</v>
      </c>
      <c r="T1303" s="10">
        <f ca="1">IFERROR(__xludf.DUMMYFUNCTION("""COMPUTED_VALUE"""),0.270833333333333)</f>
        <v>0.27083333333333298</v>
      </c>
      <c r="U1303" s="5">
        <f ca="1">IFERROR(__xludf.DUMMYFUNCTION("""COMPUTED_VALUE"""),1)</f>
        <v>1</v>
      </c>
      <c r="V1303" s="5" t="str">
        <f ca="1">IFERROR(__xludf.DUMMYFUNCTION("""COMPUTED_VALUE"""),"Shooter called ex-girlfriend, current boyfriend and friends came to school to confront him")</f>
        <v>Shooter called ex-girlfriend, current boyfriend and friends came to school to confront him</v>
      </c>
      <c r="W1303"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X1303" s="5" t="str">
        <f ca="1">IFERROR(__xludf.DUMMYFUNCTION("""COMPUTED_VALUE"""),"Domestic w/ Targeted Victim")</f>
        <v>Domestic w/ Targeted Victim</v>
      </c>
      <c r="Y1303" s="5" t="str">
        <f ca="1">IFERROR(__xludf.DUMMYFUNCTION("""COMPUTED_VALUE"""),"Victims Targeted")</f>
        <v>Victims Targeted</v>
      </c>
      <c r="Z1303" s="5" t="str">
        <f ca="1">IFERROR(__xludf.DUMMYFUNCTION("""COMPUTED_VALUE"""),"No")</f>
        <v>No</v>
      </c>
      <c r="AA1303" s="5"/>
      <c r="AB1303" s="5" t="str">
        <f ca="1">IFERROR(__xludf.DUMMYFUNCTION("""COMPUTED_VALUE"""),"No")</f>
        <v>No</v>
      </c>
      <c r="AC1303" s="5" t="str">
        <f ca="1">IFERROR(__xludf.DUMMYFUNCTION("""COMPUTED_VALUE"""),"No")</f>
        <v>No</v>
      </c>
      <c r="AD1303" s="5" t="str">
        <f ca="1">IFERROR(__xludf.DUMMYFUNCTION("""COMPUTED_VALUE"""),"No")</f>
        <v>No</v>
      </c>
      <c r="AE1303" s="5" t="str">
        <f ca="1">IFERROR(__xludf.DUMMYFUNCTION("""COMPUTED_VALUE"""),"No")</f>
        <v>No</v>
      </c>
      <c r="AF1303" s="5" t="str">
        <f ca="1">IFERROR(__xludf.DUMMYFUNCTION("""COMPUTED_VALUE"""),"Yes")</f>
        <v>Yes</v>
      </c>
      <c r="AG1303" s="5" t="str">
        <f ca="1">IFERROR(__xludf.DUMMYFUNCTION("""COMPUTED_VALUE"""),"No")</f>
        <v>No</v>
      </c>
      <c r="AH1303" s="5"/>
    </row>
    <row r="1304" spans="1:34" ht="12.75">
      <c r="A1304" s="5" t="str">
        <f ca="1">IFERROR(__xludf.DUMMYFUNCTION("""COMPUTED_VALUE"""),"20040915INWIG")</f>
        <v>20040915INWIG</v>
      </c>
      <c r="B1304" s="8">
        <f ca="1">IFERROR(__xludf.DUMMYFUNCTION("""COMPUTED_VALUE"""),38245)</f>
        <v>38245</v>
      </c>
      <c r="C1304" s="5" t="str">
        <f ca="1">IFERROR(__xludf.DUMMYFUNCTION("""COMPUTED_VALUE"""),"Wirt High School")</f>
        <v>Wirt High School</v>
      </c>
      <c r="D1304" s="5">
        <f ca="1">IFERROR(__xludf.DUMMYFUNCTION("""COMPUTED_VALUE"""),0)</f>
        <v>0</v>
      </c>
      <c r="E1304" s="5">
        <f ca="1">IFERROR(__xludf.DUMMYFUNCTION("""COMPUTED_VALUE"""),0)</f>
        <v>0</v>
      </c>
      <c r="F1304" s="5">
        <f ca="1">IFERROR(__xludf.DUMMYFUNCTION("""COMPUTED_VALUE"""),0)</f>
        <v>0</v>
      </c>
      <c r="G1304" s="5">
        <f ca="1">IFERROR(__xludf.DUMMYFUNCTION("""COMPUTED_VALUE"""),0)</f>
        <v>0</v>
      </c>
      <c r="H1304" s="9" t="str">
        <f ca="1">IFERROR(__xludf.DUMMYFUNCTION("""COMPUTED_VALUE"""),"https://www.nwitimes.com/news/local/lake-county-news-briefs/article_cc5c39db-4f11-5fc4-8024-c813bc7b21f9.html")</f>
        <v>https://www.nwitimes.com/news/local/lake-county-news-briefs/article_cc5c39db-4f11-5fc4-8024-c813bc7b21f9.html</v>
      </c>
      <c r="I1304" s="5"/>
      <c r="J1304" s="5"/>
      <c r="K1304" s="5">
        <f ca="1">IFERROR(__xludf.DUMMYFUNCTION("""COMPUTED_VALUE"""),2)</f>
        <v>2</v>
      </c>
      <c r="L1304" s="5" t="str">
        <f ca="1">IFERROR(__xludf.DUMMYFUNCTION("""COMPUTED_VALUE"""),"Fall")</f>
        <v>Fall</v>
      </c>
      <c r="M1304" s="5" t="str">
        <f ca="1">IFERROR(__xludf.DUMMYFUNCTION("""COMPUTED_VALUE"""),"Gary")</f>
        <v>Gary</v>
      </c>
      <c r="N1304" s="5" t="str">
        <f ca="1">IFERROR(__xludf.DUMMYFUNCTION("""COMPUTED_VALUE"""),"IN")</f>
        <v>IN</v>
      </c>
      <c r="O1304" s="5" t="str">
        <f ca="1">IFERROR(__xludf.DUMMYFUNCTION("""COMPUTED_VALUE"""),"High")</f>
        <v>High</v>
      </c>
      <c r="P1304" s="5" t="str">
        <f ca="1">IFERROR(__xludf.DUMMYFUNCTION("""COMPUTED_VALUE"""),"Hallway")</f>
        <v>Hallway</v>
      </c>
      <c r="Q1304" s="5" t="str">
        <f ca="1">IFERROR(__xludf.DUMMYFUNCTION("""COMPUTED_VALUE"""),"Inside School Building")</f>
        <v>Inside School Building</v>
      </c>
      <c r="R1304" s="5" t="str">
        <f ca="1">IFERROR(__xludf.DUMMYFUNCTION("""COMPUTED_VALUE"""),"Yes")</f>
        <v>Yes</v>
      </c>
      <c r="S1304" s="5" t="str">
        <f ca="1">IFERROR(__xludf.DUMMYFUNCTION("""COMPUTED_VALUE"""),"Afternoon Classes")</f>
        <v>Afternoon Classes</v>
      </c>
      <c r="T1304" s="5"/>
      <c r="U1304" s="5">
        <f ca="1">IFERROR(__xludf.DUMMYFUNCTION("""COMPUTED_VALUE"""),1)</f>
        <v>1</v>
      </c>
      <c r="V1304" s="5" t="str">
        <f ca="1">IFERROR(__xludf.DUMMYFUNCTION("""COMPUTED_VALUE"""),"Fired shot into school ceiling during fight between 2 groups of students")</f>
        <v>Fired shot into school ceiling during fight between 2 groups of students</v>
      </c>
      <c r="W1304" s="5" t="str">
        <f ca="1">IFERROR(__xludf.DUMMYFUNCTION("""COMPUTED_VALUE"""),"16YOM fired handgun into the ceiling during fight between two groups of students then fled the area.")</f>
        <v>16YOM fired handgun into the ceiling during fight between two groups of students then fled the area.</v>
      </c>
      <c r="X1304" s="5" t="str">
        <f ca="1">IFERROR(__xludf.DUMMYFUNCTION("""COMPUTED_VALUE"""),"Escalation of Dispute")</f>
        <v>Escalation of Dispute</v>
      </c>
      <c r="Y1304" s="5" t="str">
        <f ca="1">IFERROR(__xludf.DUMMYFUNCTION("""COMPUTED_VALUE"""),"Victims Targeted")</f>
        <v>Victims Targeted</v>
      </c>
      <c r="Z1304" s="5" t="str">
        <f ca="1">IFERROR(__xludf.DUMMYFUNCTION("""COMPUTED_VALUE"""),"Yes")</f>
        <v>Yes</v>
      </c>
      <c r="AA1304" s="5" t="str">
        <f ca="1">IFERROR(__xludf.DUMMYFUNCTION("""COMPUTED_VALUE"""),"Patrick Moore 17 also charged in connection with shooting")</f>
        <v>Patrick Moore 17 also charged in connection with shooting</v>
      </c>
      <c r="AB1304" s="5" t="str">
        <f ca="1">IFERROR(__xludf.DUMMYFUNCTION("""COMPUTED_VALUE"""),"No")</f>
        <v>No</v>
      </c>
      <c r="AC1304" s="5" t="str">
        <f ca="1">IFERROR(__xludf.DUMMYFUNCTION("""COMPUTED_VALUE"""),"No")</f>
        <v>No</v>
      </c>
      <c r="AD1304" s="5" t="str">
        <f ca="1">IFERROR(__xludf.DUMMYFUNCTION("""COMPUTED_VALUE"""),"No")</f>
        <v>No</v>
      </c>
      <c r="AE1304" s="5" t="str">
        <f ca="1">IFERROR(__xludf.DUMMYFUNCTION("""COMPUTED_VALUE"""),"No")</f>
        <v>No</v>
      </c>
      <c r="AF1304" s="5" t="str">
        <f ca="1">IFERROR(__xludf.DUMMYFUNCTION("""COMPUTED_VALUE"""),"No")</f>
        <v>No</v>
      </c>
      <c r="AG1304" s="5" t="str">
        <f ca="1">IFERROR(__xludf.DUMMYFUNCTION("""COMPUTED_VALUE"""),"No")</f>
        <v>No</v>
      </c>
      <c r="AH1304" s="5"/>
    </row>
    <row r="1305" spans="1:34" ht="12.75">
      <c r="A1305" s="5" t="str">
        <f ca="1">IFERROR(__xludf.DUMMYFUNCTION("""COMPUTED_VALUE"""),"20040912LABON")</f>
        <v>20040912LABON</v>
      </c>
      <c r="B1305" s="8">
        <f ca="1">IFERROR(__xludf.DUMMYFUNCTION("""COMPUTED_VALUE"""),38242)</f>
        <v>38242</v>
      </c>
      <c r="C1305" s="5" t="str">
        <f ca="1">IFERROR(__xludf.DUMMYFUNCTION("""COMPUTED_VALUE"""),"Booker T. Washington High School")</f>
        <v>Booker T. Washington High School</v>
      </c>
      <c r="D1305" s="5">
        <f ca="1">IFERROR(__xludf.DUMMYFUNCTION("""COMPUTED_VALUE"""),0)</f>
        <v>0</v>
      </c>
      <c r="E1305" s="5">
        <f ca="1">IFERROR(__xludf.DUMMYFUNCTION("""COMPUTED_VALUE"""),1)</f>
        <v>1</v>
      </c>
      <c r="F1305" s="5">
        <f ca="1">IFERROR(__xludf.DUMMYFUNCTION("""COMPUTED_VALUE"""),1)</f>
        <v>1</v>
      </c>
      <c r="G1305" s="5">
        <f ca="1">IFERROR(__xludf.DUMMYFUNCTION("""COMPUTED_VALUE"""),0)</f>
        <v>0</v>
      </c>
      <c r="H1305" s="9" t="str">
        <f ca="1">IFERROR(__xludf.DUMMYFUNCTION("""COMPUTED_VALUE"""),"https://en.wikipedia.org/wiki/List_of_school_shootings_in_the_United_States")</f>
        <v>https://en.wikipedia.org/wiki/List_of_school_shootings_in_the_United_States</v>
      </c>
      <c r="I1305" s="5"/>
      <c r="J1305" s="5"/>
      <c r="K1305" s="5">
        <f ca="1">IFERROR(__xludf.DUMMYFUNCTION("""COMPUTED_VALUE"""),1)</f>
        <v>1</v>
      </c>
      <c r="L1305" s="5" t="str">
        <f ca="1">IFERROR(__xludf.DUMMYFUNCTION("""COMPUTED_VALUE"""),"Fall")</f>
        <v>Fall</v>
      </c>
      <c r="M1305" s="5" t="str">
        <f ca="1">IFERROR(__xludf.DUMMYFUNCTION("""COMPUTED_VALUE"""),"New Orleans")</f>
        <v>New Orleans</v>
      </c>
      <c r="N1305" s="5" t="str">
        <f ca="1">IFERROR(__xludf.DUMMYFUNCTION("""COMPUTED_VALUE"""),"LA")</f>
        <v>LA</v>
      </c>
      <c r="O1305" s="5" t="str">
        <f ca="1">IFERROR(__xludf.DUMMYFUNCTION("""COMPUTED_VALUE"""),"High")</f>
        <v>High</v>
      </c>
      <c r="P1305" s="5" t="str">
        <f ca="1">IFERROR(__xludf.DUMMYFUNCTION("""COMPUTED_VALUE"""),"Beside Building")</f>
        <v>Beside Building</v>
      </c>
      <c r="Q1305" s="5" t="str">
        <f ca="1">IFERROR(__xludf.DUMMYFUNCTION("""COMPUTED_VALUE"""),"Outside on School Property")</f>
        <v>Outside on School Property</v>
      </c>
      <c r="R1305" s="5" t="str">
        <f ca="1">IFERROR(__xludf.DUMMYFUNCTION("""COMPUTED_VALUE"""),"No")</f>
        <v>No</v>
      </c>
      <c r="S1305" s="5" t="str">
        <f ca="1">IFERROR(__xludf.DUMMYFUNCTION("""COMPUTED_VALUE"""),"Not a School Day")</f>
        <v>Not a School Day</v>
      </c>
      <c r="T1305" s="10">
        <f ca="1">IFERROR(__xludf.DUMMYFUNCTION("""COMPUTED_VALUE"""),0.5)</f>
        <v>0.5</v>
      </c>
      <c r="U1305" s="5">
        <f ca="1">IFERROR(__xludf.DUMMYFUNCTION("""COMPUTED_VALUE"""),1)</f>
        <v>1</v>
      </c>
      <c r="V1305" s="5" t="str">
        <f ca="1">IFERROR(__xludf.DUMMYFUNCTION("""COMPUTED_VALUE"""),"Adult female shot student when he became aggressive and reached for gun")</f>
        <v>Adult female shot student when he became aggressive and reached for gun</v>
      </c>
      <c r="W1305"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X1305" s="5" t="str">
        <f ca="1">IFERROR(__xludf.DUMMYFUNCTION("""COMPUTED_VALUE"""),"Self-defense")</f>
        <v>Self-defense</v>
      </c>
      <c r="Y1305" s="5" t="str">
        <f ca="1">IFERROR(__xludf.DUMMYFUNCTION("""COMPUTED_VALUE"""),"Victims Targeted")</f>
        <v>Victims Targeted</v>
      </c>
      <c r="Z1305" s="5" t="str">
        <f ca="1">IFERROR(__xludf.DUMMYFUNCTION("""COMPUTED_VALUE"""),"No")</f>
        <v>No</v>
      </c>
      <c r="AA1305" s="5"/>
      <c r="AB1305" s="5" t="str">
        <f ca="1">IFERROR(__xludf.DUMMYFUNCTION("""COMPUTED_VALUE"""),"No")</f>
        <v>No</v>
      </c>
      <c r="AC1305" s="5" t="str">
        <f ca="1">IFERROR(__xludf.DUMMYFUNCTION("""COMPUTED_VALUE"""),"No")</f>
        <v>No</v>
      </c>
      <c r="AD1305" s="5" t="str">
        <f ca="1">IFERROR(__xludf.DUMMYFUNCTION("""COMPUTED_VALUE"""),"No")</f>
        <v>No</v>
      </c>
      <c r="AE1305" s="5" t="str">
        <f ca="1">IFERROR(__xludf.DUMMYFUNCTION("""COMPUTED_VALUE"""),"No")</f>
        <v>No</v>
      </c>
      <c r="AF1305" s="5" t="str">
        <f ca="1">IFERROR(__xludf.DUMMYFUNCTION("""COMPUTED_VALUE"""),"No")</f>
        <v>No</v>
      </c>
      <c r="AG1305" s="5" t="str">
        <f ca="1">IFERROR(__xludf.DUMMYFUNCTION("""COMPUTED_VALUE"""),"No")</f>
        <v>No</v>
      </c>
      <c r="AH1305" s="5"/>
    </row>
    <row r="1306" spans="1:34" ht="12.75">
      <c r="A1306" s="5" t="str">
        <f ca="1">IFERROR(__xludf.DUMMYFUNCTION("""COMPUTED_VALUE"""),"20040830ILPRM")</f>
        <v>20040830ILPRM</v>
      </c>
      <c r="B1306" s="8">
        <f ca="1">IFERROR(__xludf.DUMMYFUNCTION("""COMPUTED_VALUE"""),38229)</f>
        <v>38229</v>
      </c>
      <c r="C1306" s="5" t="str">
        <f ca="1">IFERROR(__xludf.DUMMYFUNCTION("""COMPUTED_VALUE"""),"Proviso East High School")</f>
        <v>Proviso East High School</v>
      </c>
      <c r="D1306" s="5">
        <f ca="1">IFERROR(__xludf.DUMMYFUNCTION("""COMPUTED_VALUE"""),1)</f>
        <v>1</v>
      </c>
      <c r="E1306" s="5">
        <f ca="1">IFERROR(__xludf.DUMMYFUNCTION("""COMPUTED_VALUE"""),0)</f>
        <v>0</v>
      </c>
      <c r="F1306" s="5">
        <f ca="1">IFERROR(__xludf.DUMMYFUNCTION("""COMPUTED_VALUE"""),1)</f>
        <v>1</v>
      </c>
      <c r="G1306" s="5">
        <f ca="1">IFERROR(__xludf.DUMMYFUNCTION("""COMPUTED_VALUE"""),0)</f>
        <v>0</v>
      </c>
      <c r="H1306"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I1306" s="5"/>
      <c r="J1306" s="5"/>
      <c r="K1306" s="5">
        <f ca="1">IFERROR(__xludf.DUMMYFUNCTION("""COMPUTED_VALUE"""),2)</f>
        <v>2</v>
      </c>
      <c r="L1306" s="5" t="str">
        <f ca="1">IFERROR(__xludf.DUMMYFUNCTION("""COMPUTED_VALUE"""),"Summer")</f>
        <v>Summer</v>
      </c>
      <c r="M1306" s="5" t="str">
        <f ca="1">IFERROR(__xludf.DUMMYFUNCTION("""COMPUTED_VALUE"""),"Maywood")</f>
        <v>Maywood</v>
      </c>
      <c r="N1306" s="5" t="str">
        <f ca="1">IFERROR(__xludf.DUMMYFUNCTION("""COMPUTED_VALUE"""),"IL")</f>
        <v>IL</v>
      </c>
      <c r="O1306" s="5" t="str">
        <f ca="1">IFERROR(__xludf.DUMMYFUNCTION("""COMPUTED_VALUE"""),"High")</f>
        <v>High</v>
      </c>
      <c r="P1306" s="5" t="str">
        <f ca="1">IFERROR(__xludf.DUMMYFUNCTION("""COMPUTED_VALUE"""),"Parking Lot")</f>
        <v>Parking Lot</v>
      </c>
      <c r="Q1306" s="5" t="str">
        <f ca="1">IFERROR(__xludf.DUMMYFUNCTION("""COMPUTED_VALUE"""),"Outside on School Property")</f>
        <v>Outside on School Property</v>
      </c>
      <c r="R1306" s="5" t="str">
        <f ca="1">IFERROR(__xludf.DUMMYFUNCTION("""COMPUTED_VALUE"""),"Yes")</f>
        <v>Yes</v>
      </c>
      <c r="S1306" s="5" t="str">
        <f ca="1">IFERROR(__xludf.DUMMYFUNCTION("""COMPUTED_VALUE"""),"Dismissal")</f>
        <v>Dismissal</v>
      </c>
      <c r="T1306" s="10">
        <f ca="1">IFERROR(__xludf.DUMMYFUNCTION("""COMPUTED_VALUE"""),0.604166666666666)</f>
        <v>0.60416666666666596</v>
      </c>
      <c r="U1306" s="5">
        <f ca="1">IFERROR(__xludf.DUMMYFUNCTION("""COMPUTED_VALUE"""),1)</f>
        <v>1</v>
      </c>
      <c r="V1306" s="5" t="str">
        <f ca="1">IFERROR(__xludf.DUMMYFUNCTION("""COMPUTED_VALUE"""),"Argument in parking lot while victim was waiting to pick up brother, shot in chest")</f>
        <v>Argument in parking lot while victim was waiting to pick up brother, shot in chest</v>
      </c>
      <c r="W1306"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X1306" s="5" t="str">
        <f ca="1">IFERROR(__xludf.DUMMYFUNCTION("""COMPUTED_VALUE"""),"Escalation of Dispute")</f>
        <v>Escalation of Dispute</v>
      </c>
      <c r="Y1306" s="5" t="str">
        <f ca="1">IFERROR(__xludf.DUMMYFUNCTION("""COMPUTED_VALUE"""),"Victims Targeted")</f>
        <v>Victims Targeted</v>
      </c>
      <c r="Z1306" s="5" t="str">
        <f ca="1">IFERROR(__xludf.DUMMYFUNCTION("""COMPUTED_VALUE"""),"No")</f>
        <v>No</v>
      </c>
      <c r="AA1306" s="5"/>
      <c r="AB1306" s="5" t="str">
        <f ca="1">IFERROR(__xludf.DUMMYFUNCTION("""COMPUTED_VALUE"""),"No")</f>
        <v>No</v>
      </c>
      <c r="AC1306" s="5" t="str">
        <f ca="1">IFERROR(__xludf.DUMMYFUNCTION("""COMPUTED_VALUE"""),"No")</f>
        <v>No</v>
      </c>
      <c r="AD1306" s="5" t="str">
        <f ca="1">IFERROR(__xludf.DUMMYFUNCTION("""COMPUTED_VALUE"""),"No")</f>
        <v>No</v>
      </c>
      <c r="AE1306" s="5" t="str">
        <f ca="1">IFERROR(__xludf.DUMMYFUNCTION("""COMPUTED_VALUE"""),"No")</f>
        <v>No</v>
      </c>
      <c r="AF1306" s="5" t="str">
        <f ca="1">IFERROR(__xludf.DUMMYFUNCTION("""COMPUTED_VALUE"""),"No")</f>
        <v>No</v>
      </c>
      <c r="AG1306" s="5" t="str">
        <f ca="1">IFERROR(__xludf.DUMMYFUNCTION("""COMPUTED_VALUE"""),"Yes")</f>
        <v>Yes</v>
      </c>
      <c r="AH1306" s="5"/>
    </row>
    <row r="1307" spans="1:34" ht="12.75">
      <c r="A1307" s="5" t="str">
        <f ca="1">IFERROR(__xludf.DUMMYFUNCTION("""COMPUTED_VALUE"""),"20040824TNHAM")</f>
        <v>20040824TNHAM</v>
      </c>
      <c r="B1307" s="8">
        <f ca="1">IFERROR(__xludf.DUMMYFUNCTION("""COMPUTED_VALUE"""),38223)</f>
        <v>38223</v>
      </c>
      <c r="C1307" s="5" t="str">
        <f ca="1">IFERROR(__xludf.DUMMYFUNCTION("""COMPUTED_VALUE"""),"Hamilton High School")</f>
        <v>Hamilton High School</v>
      </c>
      <c r="D1307" s="5">
        <f ca="1">IFERROR(__xludf.DUMMYFUNCTION("""COMPUTED_VALUE"""),0)</f>
        <v>0</v>
      </c>
      <c r="E1307" s="5">
        <f ca="1">IFERROR(__xludf.DUMMYFUNCTION("""COMPUTED_VALUE"""),0)</f>
        <v>0</v>
      </c>
      <c r="F1307" s="5">
        <f ca="1">IFERROR(__xludf.DUMMYFUNCTION("""COMPUTED_VALUE"""),0)</f>
        <v>0</v>
      </c>
      <c r="G1307" s="5">
        <f ca="1">IFERROR(__xludf.DUMMYFUNCTION("""COMPUTED_VALUE"""),0)</f>
        <v>0</v>
      </c>
      <c r="H1307" s="9" t="str">
        <f ca="1">IFERROR(__xludf.DUMMYFUNCTION("""COMPUTED_VALUE"""),"http://www.wmcactionnews5.com/story/7818497/police-investigate-shooting-inside-classroom-at-hamilton-high/")</f>
        <v>http://www.wmcactionnews5.com/story/7818497/police-investigate-shooting-inside-classroom-at-hamilton-high/</v>
      </c>
      <c r="I1307" s="5"/>
      <c r="J1307" s="5"/>
      <c r="K1307" s="5">
        <f ca="1">IFERROR(__xludf.DUMMYFUNCTION("""COMPUTED_VALUE"""),2)</f>
        <v>2</v>
      </c>
      <c r="L1307" s="5" t="str">
        <f ca="1">IFERROR(__xludf.DUMMYFUNCTION("""COMPUTED_VALUE"""),"Summer")</f>
        <v>Summer</v>
      </c>
      <c r="M1307" s="5" t="str">
        <f ca="1">IFERROR(__xludf.DUMMYFUNCTION("""COMPUTED_VALUE"""),"Memphis")</f>
        <v>Memphis</v>
      </c>
      <c r="N1307" s="5" t="str">
        <f ca="1">IFERROR(__xludf.DUMMYFUNCTION("""COMPUTED_VALUE"""),"TN")</f>
        <v>TN</v>
      </c>
      <c r="O1307" s="5" t="str">
        <f ca="1">IFERROR(__xludf.DUMMYFUNCTION("""COMPUTED_VALUE"""),"High")</f>
        <v>High</v>
      </c>
      <c r="P1307" s="5" t="str">
        <f ca="1">IFERROR(__xludf.DUMMYFUNCTION("""COMPUTED_VALUE"""),"Hallway")</f>
        <v>Hallway</v>
      </c>
      <c r="Q1307" s="5" t="str">
        <f ca="1">IFERROR(__xludf.DUMMYFUNCTION("""COMPUTED_VALUE"""),"Inside School Building")</f>
        <v>Inside School Building</v>
      </c>
      <c r="R1307" s="5" t="str">
        <f ca="1">IFERROR(__xludf.DUMMYFUNCTION("""COMPUTED_VALUE"""),"Yes")</f>
        <v>Yes</v>
      </c>
      <c r="S1307" s="5"/>
      <c r="T1307" s="5"/>
      <c r="U1307" s="5">
        <f ca="1">IFERROR(__xludf.DUMMYFUNCTION("""COMPUTED_VALUE"""),1)</f>
        <v>1</v>
      </c>
      <c r="V1307" s="5" t="str">
        <f ca="1">IFERROR(__xludf.DUMMYFUNCTION("""COMPUTED_VALUE"""),"Shot fired during fight in classroom")</f>
        <v>Shot fired during fight in classroom</v>
      </c>
      <c r="W1307"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X1307" s="5" t="str">
        <f ca="1">IFERROR(__xludf.DUMMYFUNCTION("""COMPUTED_VALUE"""),"Escalation of Dispute")</f>
        <v>Escalation of Dispute</v>
      </c>
      <c r="Y1307" s="5" t="str">
        <f ca="1">IFERROR(__xludf.DUMMYFUNCTION("""COMPUTED_VALUE"""),"Victims Targeted")</f>
        <v>Victims Targeted</v>
      </c>
      <c r="Z1307" s="5" t="str">
        <f ca="1">IFERROR(__xludf.DUMMYFUNCTION("""COMPUTED_VALUE"""),"No")</f>
        <v>No</v>
      </c>
      <c r="AA1307" s="5"/>
      <c r="AB1307" s="5" t="str">
        <f ca="1">IFERROR(__xludf.DUMMYFUNCTION("""COMPUTED_VALUE"""),"No")</f>
        <v>No</v>
      </c>
      <c r="AC1307" s="5" t="str">
        <f ca="1">IFERROR(__xludf.DUMMYFUNCTION("""COMPUTED_VALUE"""),"No")</f>
        <v>No</v>
      </c>
      <c r="AD1307" s="5" t="str">
        <f ca="1">IFERROR(__xludf.DUMMYFUNCTION("""COMPUTED_VALUE"""),"No")</f>
        <v>No</v>
      </c>
      <c r="AE1307" s="5" t="str">
        <f ca="1">IFERROR(__xludf.DUMMYFUNCTION("""COMPUTED_VALUE"""),"No")</f>
        <v>No</v>
      </c>
      <c r="AF1307" s="5" t="str">
        <f ca="1">IFERROR(__xludf.DUMMYFUNCTION("""COMPUTED_VALUE"""),"No")</f>
        <v>No</v>
      </c>
      <c r="AG1307" s="5" t="str">
        <f ca="1">IFERROR(__xludf.DUMMYFUNCTION("""COMPUTED_VALUE"""),"No")</f>
        <v>No</v>
      </c>
      <c r="AH1307" s="5"/>
    </row>
    <row r="1308" spans="1:34" ht="12.75">
      <c r="A1308" s="5" t="str">
        <f ca="1">IFERROR(__xludf.DUMMYFUNCTION("""COMPUTED_VALUE"""),"20040803ALHUB")</f>
        <v>20040803ALHUB</v>
      </c>
      <c r="B1308" s="8">
        <f ca="1">IFERROR(__xludf.DUMMYFUNCTION("""COMPUTED_VALUE"""),38202)</f>
        <v>38202</v>
      </c>
      <c r="C1308" s="5" t="str">
        <f ca="1">IFERROR(__xludf.DUMMYFUNCTION("""COMPUTED_VALUE"""),"Huffman High School")</f>
        <v>Huffman High School</v>
      </c>
      <c r="D1308" s="5">
        <f ca="1">IFERROR(__xludf.DUMMYFUNCTION("""COMPUTED_VALUE"""),0)</f>
        <v>0</v>
      </c>
      <c r="E1308" s="5">
        <f ca="1">IFERROR(__xludf.DUMMYFUNCTION("""COMPUTED_VALUE"""),1)</f>
        <v>1</v>
      </c>
      <c r="F1308" s="5">
        <f ca="1">IFERROR(__xludf.DUMMYFUNCTION("""COMPUTED_VALUE"""),1)</f>
        <v>1</v>
      </c>
      <c r="G1308" s="5">
        <f ca="1">IFERROR(__xludf.DUMMYFUNCTION("""COMPUTED_VALUE"""),0)</f>
        <v>0</v>
      </c>
      <c r="H1308" s="9" t="str">
        <f ca="1">IFERROR(__xludf.DUMMYFUNCTION("""COMPUTED_VALUE"""),"http://www.gadsdentimes.com/article/DA/20040804/News/603205688/GT/")</f>
        <v>http://www.gadsdentimes.com/article/DA/20040804/News/603205688/GT/</v>
      </c>
      <c r="I1308" s="5"/>
      <c r="J1308" s="5"/>
      <c r="K1308" s="5">
        <f ca="1">IFERROR(__xludf.DUMMYFUNCTION("""COMPUTED_VALUE"""),2)</f>
        <v>2</v>
      </c>
      <c r="L1308" s="5" t="str">
        <f ca="1">IFERROR(__xludf.DUMMYFUNCTION("""COMPUTED_VALUE"""),"Summer")</f>
        <v>Summer</v>
      </c>
      <c r="M1308" s="5" t="str">
        <f ca="1">IFERROR(__xludf.DUMMYFUNCTION("""COMPUTED_VALUE"""),"Birmingham")</f>
        <v>Birmingham</v>
      </c>
      <c r="N1308" s="5" t="str">
        <f ca="1">IFERROR(__xludf.DUMMYFUNCTION("""COMPUTED_VALUE"""),"AL")</f>
        <v>AL</v>
      </c>
      <c r="O1308" s="5" t="str">
        <f ca="1">IFERROR(__xludf.DUMMYFUNCTION("""COMPUTED_VALUE"""),"High")</f>
        <v>High</v>
      </c>
      <c r="P1308" s="5" t="str">
        <f ca="1">IFERROR(__xludf.DUMMYFUNCTION("""COMPUTED_VALUE"""),"Parking Lot")</f>
        <v>Parking Lot</v>
      </c>
      <c r="Q1308" s="5" t="str">
        <f ca="1">IFERROR(__xludf.DUMMYFUNCTION("""COMPUTED_VALUE"""),"Outside on School Property")</f>
        <v>Outside on School Property</v>
      </c>
      <c r="R1308" s="5" t="str">
        <f ca="1">IFERROR(__xludf.DUMMYFUNCTION("""COMPUTED_VALUE"""),"Yes")</f>
        <v>Yes</v>
      </c>
      <c r="S1308" s="5" t="str">
        <f ca="1">IFERROR(__xludf.DUMMYFUNCTION("""COMPUTED_VALUE"""),"Morning Classes")</f>
        <v>Morning Classes</v>
      </c>
      <c r="T1308" s="10">
        <f ca="1">IFERROR(__xludf.DUMMYFUNCTION("""COMPUTED_VALUE"""),0.364583333333333)</f>
        <v>0.36458333333333298</v>
      </c>
      <c r="U1308" s="5">
        <f ca="1">IFERROR(__xludf.DUMMYFUNCTION("""COMPUTED_VALUE"""),1)</f>
        <v>1</v>
      </c>
      <c r="V1308" s="5" t="str">
        <f ca="1">IFERROR(__xludf.DUMMYFUNCTION("""COMPUTED_VALUE"""),"Band member shot fellow band member during break")</f>
        <v>Band member shot fellow band member during break</v>
      </c>
      <c r="W1308"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X1308" s="5" t="str">
        <f ca="1">IFERROR(__xludf.DUMMYFUNCTION("""COMPUTED_VALUE"""),"Unknown")</f>
        <v>Unknown</v>
      </c>
      <c r="Y1308" s="5" t="str">
        <f ca="1">IFERROR(__xludf.DUMMYFUNCTION("""COMPUTED_VALUE"""),"Victims Targeted")</f>
        <v>Victims Targeted</v>
      </c>
      <c r="Z1308" s="5" t="str">
        <f ca="1">IFERROR(__xludf.DUMMYFUNCTION("""COMPUTED_VALUE"""),"No")</f>
        <v>No</v>
      </c>
      <c r="AA1308" s="5"/>
      <c r="AB1308" s="5" t="str">
        <f ca="1">IFERROR(__xludf.DUMMYFUNCTION("""COMPUTED_VALUE"""),"No")</f>
        <v>No</v>
      </c>
      <c r="AC1308" s="5" t="str">
        <f ca="1">IFERROR(__xludf.DUMMYFUNCTION("""COMPUTED_VALUE"""),"No")</f>
        <v>No</v>
      </c>
      <c r="AD1308" s="5" t="str">
        <f ca="1">IFERROR(__xludf.DUMMYFUNCTION("""COMPUTED_VALUE"""),"No")</f>
        <v>No</v>
      </c>
      <c r="AE1308" s="5" t="str">
        <f ca="1">IFERROR(__xludf.DUMMYFUNCTION("""COMPUTED_VALUE"""),"No")</f>
        <v>No</v>
      </c>
      <c r="AF1308" s="5" t="str">
        <f ca="1">IFERROR(__xludf.DUMMYFUNCTION("""COMPUTED_VALUE"""),"No")</f>
        <v>No</v>
      </c>
      <c r="AG1308" s="5" t="str">
        <f ca="1">IFERROR(__xludf.DUMMYFUNCTION("""COMPUTED_VALUE"""),"No")</f>
        <v>No</v>
      </c>
      <c r="AH1308" s="5"/>
    </row>
    <row r="1309" spans="1:34" ht="12.75">
      <c r="A1309" s="5" t="str">
        <f ca="1">IFERROR(__xludf.DUMMYFUNCTION("""COMPUTED_VALUE"""),"20040609CACAO")</f>
        <v>20040609CACAO</v>
      </c>
      <c r="B1309" s="8">
        <f ca="1">IFERROR(__xludf.DUMMYFUNCTION("""COMPUTED_VALUE"""),38147)</f>
        <v>38147</v>
      </c>
      <c r="C1309" s="5" t="str">
        <f ca="1">IFERROR(__xludf.DUMMYFUNCTION("""COMPUTED_VALUE"""),"Castlemont High School")</f>
        <v>Castlemont High School</v>
      </c>
      <c r="D1309" s="5">
        <f ca="1">IFERROR(__xludf.DUMMYFUNCTION("""COMPUTED_VALUE"""),0)</f>
        <v>0</v>
      </c>
      <c r="E1309" s="5">
        <f ca="1">IFERROR(__xludf.DUMMYFUNCTION("""COMPUTED_VALUE"""),2)</f>
        <v>2</v>
      </c>
      <c r="F1309" s="5">
        <f ca="1">IFERROR(__xludf.DUMMYFUNCTION("""COMPUTED_VALUE"""),2)</f>
        <v>2</v>
      </c>
      <c r="G1309" s="5">
        <f ca="1">IFERROR(__xludf.DUMMYFUNCTION("""COMPUTED_VALUE"""),0)</f>
        <v>0</v>
      </c>
      <c r="H1309" s="9" t="str">
        <f ca="1">IFERROR(__xludf.DUMMYFUNCTION("""COMPUTED_VALUE"""),"https://www.eastbaytimes.com/2004/06/10/castlemont-pupils-shot-in-drive-by/")</f>
        <v>https://www.eastbaytimes.com/2004/06/10/castlemont-pupils-shot-in-drive-by/</v>
      </c>
      <c r="I1309" s="5"/>
      <c r="J1309" s="5"/>
      <c r="K1309" s="5">
        <f ca="1">IFERROR(__xludf.DUMMYFUNCTION("""COMPUTED_VALUE"""),2)</f>
        <v>2</v>
      </c>
      <c r="L1309" s="5" t="str">
        <f ca="1">IFERROR(__xludf.DUMMYFUNCTION("""COMPUTED_VALUE"""),"Summer")</f>
        <v>Summer</v>
      </c>
      <c r="M1309" s="5" t="str">
        <f ca="1">IFERROR(__xludf.DUMMYFUNCTION("""COMPUTED_VALUE"""),"Oakland")</f>
        <v>Oakland</v>
      </c>
      <c r="N1309" s="5" t="str">
        <f ca="1">IFERROR(__xludf.DUMMYFUNCTION("""COMPUTED_VALUE"""),"CA")</f>
        <v>CA</v>
      </c>
      <c r="O1309" s="5" t="str">
        <f ca="1">IFERROR(__xludf.DUMMYFUNCTION("""COMPUTED_VALUE"""),"High")</f>
        <v>High</v>
      </c>
      <c r="P1309" s="5" t="str">
        <f ca="1">IFERROR(__xludf.DUMMYFUNCTION("""COMPUTED_VALUE"""),"Front of School")</f>
        <v>Front of School</v>
      </c>
      <c r="Q1309" s="5" t="str">
        <f ca="1">IFERROR(__xludf.DUMMYFUNCTION("""COMPUTED_VALUE"""),"Outside on School Property")</f>
        <v>Outside on School Property</v>
      </c>
      <c r="R1309" s="5" t="str">
        <f ca="1">IFERROR(__xludf.DUMMYFUNCTION("""COMPUTED_VALUE"""),"Yes")</f>
        <v>Yes</v>
      </c>
      <c r="S1309" s="5" t="str">
        <f ca="1">IFERROR(__xludf.DUMMYFUNCTION("""COMPUTED_VALUE"""),"Afternoon Classes")</f>
        <v>Afternoon Classes</v>
      </c>
      <c r="T1309" s="10">
        <f ca="1">IFERROR(__xludf.DUMMYFUNCTION("""COMPUTED_VALUE"""),0.515277777777777)</f>
        <v>0.51527777777777695</v>
      </c>
      <c r="U1309" s="5">
        <f ca="1">IFERROR(__xludf.DUMMYFUNCTION("""COMPUTED_VALUE"""),1)</f>
        <v>1</v>
      </c>
      <c r="V1309" s="5" t="str">
        <f ca="1">IFERROR(__xludf.DUMMYFUNCTION("""COMPUTED_VALUE"""),"Gang-related drive-by in retaliation for prior fight")</f>
        <v>Gang-related drive-by in retaliation for prior fight</v>
      </c>
      <c r="W1309"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X1309" s="5" t="str">
        <f ca="1">IFERROR(__xludf.DUMMYFUNCTION("""COMPUTED_VALUE"""),"Drive-by Shooting")</f>
        <v>Drive-by Shooting</v>
      </c>
      <c r="Y1309" s="5" t="str">
        <f ca="1">IFERROR(__xludf.DUMMYFUNCTION("""COMPUTED_VALUE"""),"Victims Targeted")</f>
        <v>Victims Targeted</v>
      </c>
      <c r="Z1309" s="5" t="str">
        <f ca="1">IFERROR(__xludf.DUMMYFUNCTION("""COMPUTED_VALUE"""),"Yes")</f>
        <v>Yes</v>
      </c>
      <c r="AA1309" s="5" t="str">
        <f ca="1">IFERROR(__xludf.DUMMYFUNCTION("""COMPUTED_VALUE"""),"Multiple people in car")</f>
        <v>Multiple people in car</v>
      </c>
      <c r="AB1309" s="5" t="str">
        <f ca="1">IFERROR(__xludf.DUMMYFUNCTION("""COMPUTED_VALUE"""),"No")</f>
        <v>No</v>
      </c>
      <c r="AC1309" s="5" t="str">
        <f ca="1">IFERROR(__xludf.DUMMYFUNCTION("""COMPUTED_VALUE"""),"No")</f>
        <v>No</v>
      </c>
      <c r="AD1309" s="5" t="str">
        <f ca="1">IFERROR(__xludf.DUMMYFUNCTION("""COMPUTED_VALUE"""),"No")</f>
        <v>No</v>
      </c>
      <c r="AE1309" s="5" t="str">
        <f ca="1">IFERROR(__xludf.DUMMYFUNCTION("""COMPUTED_VALUE"""),"No")</f>
        <v>No</v>
      </c>
      <c r="AF1309" s="5" t="str">
        <f ca="1">IFERROR(__xludf.DUMMYFUNCTION("""COMPUTED_VALUE"""),"No")</f>
        <v>No</v>
      </c>
      <c r="AG1309" s="5" t="str">
        <f ca="1">IFERROR(__xludf.DUMMYFUNCTION("""COMPUTED_VALUE"""),"Yes")</f>
        <v>Yes</v>
      </c>
      <c r="AH1309" s="5"/>
    </row>
    <row r="1310" spans="1:34" ht="12.75">
      <c r="A1310" s="5" t="str">
        <f ca="1">IFERROR(__xludf.DUMMYFUNCTION("""COMPUTED_VALUE"""),"20040524UTWES")</f>
        <v>20040524UTWES</v>
      </c>
      <c r="B1310" s="8">
        <f ca="1">IFERROR(__xludf.DUMMYFUNCTION("""COMPUTED_VALUE"""),38131)</f>
        <v>38131</v>
      </c>
      <c r="C1310" s="5" t="str">
        <f ca="1">IFERROR(__xludf.DUMMYFUNCTION("""COMPUTED_VALUE"""),"West High School")</f>
        <v>West High School</v>
      </c>
      <c r="D1310" s="5">
        <f ca="1">IFERROR(__xludf.DUMMYFUNCTION("""COMPUTED_VALUE"""),1)</f>
        <v>1</v>
      </c>
      <c r="E1310" s="5">
        <f ca="1">IFERROR(__xludf.DUMMYFUNCTION("""COMPUTED_VALUE"""),0)</f>
        <v>0</v>
      </c>
      <c r="F1310" s="5">
        <f ca="1">IFERROR(__xludf.DUMMYFUNCTION("""COMPUTED_VALUE"""),1)</f>
        <v>1</v>
      </c>
      <c r="G1310" s="5">
        <f ca="1">IFERROR(__xludf.DUMMYFUNCTION("""COMPUTED_VALUE"""),1)</f>
        <v>1</v>
      </c>
      <c r="H1310" s="9" t="str">
        <f ca="1">IFERROR(__xludf.DUMMYFUNCTION("""COMPUTED_VALUE"""),"https://www.deseretnews.com/article/595065631/Man-kills-wife-self-at-West-High.html")</f>
        <v>https://www.deseretnews.com/article/595065631/Man-kills-wife-self-at-West-High.html</v>
      </c>
      <c r="I1310" s="5"/>
      <c r="J1310" s="5"/>
      <c r="K1310" s="5">
        <f ca="1">IFERROR(__xludf.DUMMYFUNCTION("""COMPUTED_VALUE"""),2)</f>
        <v>2</v>
      </c>
      <c r="L1310" s="5" t="str">
        <f ca="1">IFERROR(__xludf.DUMMYFUNCTION("""COMPUTED_VALUE"""),"Spring")</f>
        <v>Spring</v>
      </c>
      <c r="M1310" s="5" t="str">
        <f ca="1">IFERROR(__xludf.DUMMYFUNCTION("""COMPUTED_VALUE"""),"Salt Lake City")</f>
        <v>Salt Lake City</v>
      </c>
      <c r="N1310" s="5" t="str">
        <f ca="1">IFERROR(__xludf.DUMMYFUNCTION("""COMPUTED_VALUE"""),"UT")</f>
        <v>UT</v>
      </c>
      <c r="O1310" s="5" t="str">
        <f ca="1">IFERROR(__xludf.DUMMYFUNCTION("""COMPUTED_VALUE"""),"High")</f>
        <v>High</v>
      </c>
      <c r="P1310" s="5" t="str">
        <f ca="1">IFERROR(__xludf.DUMMYFUNCTION("""COMPUTED_VALUE"""),"Parking Lot")</f>
        <v>Parking Lot</v>
      </c>
      <c r="Q1310" s="5" t="str">
        <f ca="1">IFERROR(__xludf.DUMMYFUNCTION("""COMPUTED_VALUE"""),"Outside on School Property")</f>
        <v>Outside on School Property</v>
      </c>
      <c r="R1310" s="5" t="str">
        <f ca="1">IFERROR(__xludf.DUMMYFUNCTION("""COMPUTED_VALUE"""),"No")</f>
        <v>No</v>
      </c>
      <c r="S1310" s="5" t="str">
        <f ca="1">IFERROR(__xludf.DUMMYFUNCTION("""COMPUTED_VALUE"""),"Before School")</f>
        <v>Before School</v>
      </c>
      <c r="T1310" s="10">
        <f ca="1">IFERROR(__xludf.DUMMYFUNCTION("""COMPUTED_VALUE"""),0.25)</f>
        <v>0.25</v>
      </c>
      <c r="U1310" s="5">
        <f ca="1">IFERROR(__xludf.DUMMYFUNCTION("""COMPUTED_VALUE"""),1)</f>
        <v>1</v>
      </c>
      <c r="V1310" s="5" t="str">
        <f ca="1">IFERROR(__xludf.DUMMYFUNCTION("""COMPUTED_VALUE"""),"Murder suicide of husband killing wife (cafeteria worker)")</f>
        <v>Murder suicide of husband killing wife (cafeteria worker)</v>
      </c>
      <c r="W1310"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X1310" s="5" t="str">
        <f ca="1">IFERROR(__xludf.DUMMYFUNCTION("""COMPUTED_VALUE"""),"Murder/Suicide")</f>
        <v>Murder/Suicide</v>
      </c>
      <c r="Y1310" s="5" t="str">
        <f ca="1">IFERROR(__xludf.DUMMYFUNCTION("""COMPUTED_VALUE"""),"Victims Targeted")</f>
        <v>Victims Targeted</v>
      </c>
      <c r="Z1310" s="5" t="str">
        <f ca="1">IFERROR(__xludf.DUMMYFUNCTION("""COMPUTED_VALUE"""),"No")</f>
        <v>No</v>
      </c>
      <c r="AA1310" s="5"/>
      <c r="AB1310" s="5" t="str">
        <f ca="1">IFERROR(__xludf.DUMMYFUNCTION("""COMPUTED_VALUE"""),"No")</f>
        <v>No</v>
      </c>
      <c r="AC1310" s="5" t="str">
        <f ca="1">IFERROR(__xludf.DUMMYFUNCTION("""COMPUTED_VALUE"""),"No")</f>
        <v>No</v>
      </c>
      <c r="AD1310" s="5" t="str">
        <f ca="1">IFERROR(__xludf.DUMMYFUNCTION("""COMPUTED_VALUE"""),"No")</f>
        <v>No</v>
      </c>
      <c r="AE1310" s="5" t="str">
        <f ca="1">IFERROR(__xludf.DUMMYFUNCTION("""COMPUTED_VALUE"""),"No")</f>
        <v>No</v>
      </c>
      <c r="AF1310" s="5" t="str">
        <f ca="1">IFERROR(__xludf.DUMMYFUNCTION("""COMPUTED_VALUE"""),"Yes")</f>
        <v>Yes</v>
      </c>
      <c r="AG1310" s="5" t="str">
        <f ca="1">IFERROR(__xludf.DUMMYFUNCTION("""COMPUTED_VALUE"""),"No")</f>
        <v>No</v>
      </c>
      <c r="AH1310" s="5"/>
    </row>
    <row r="1311" spans="1:34" ht="12.75">
      <c r="A1311" s="5" t="str">
        <f ca="1">IFERROR(__xludf.DUMMYFUNCTION("""COMPUTED_VALUE"""),"20040512CAEAM")</f>
        <v>20040512CAEAM</v>
      </c>
      <c r="B1311" s="8">
        <f ca="1">IFERROR(__xludf.DUMMYFUNCTION("""COMPUTED_VALUE"""),38119)</f>
        <v>38119</v>
      </c>
      <c r="C1311" s="5" t="str">
        <f ca="1">IFERROR(__xludf.DUMMYFUNCTION("""COMPUTED_VALUE"""),"East Campus Educational Center")</f>
        <v>East Campus Educational Center</v>
      </c>
      <c r="D1311" s="5">
        <f ca="1">IFERROR(__xludf.DUMMYFUNCTION("""COMPUTED_VALUE"""),0)</f>
        <v>0</v>
      </c>
      <c r="E1311" s="5">
        <f ca="1">IFERROR(__xludf.DUMMYFUNCTION("""COMPUTED_VALUE"""),2)</f>
        <v>2</v>
      </c>
      <c r="F1311" s="5">
        <f ca="1">IFERROR(__xludf.DUMMYFUNCTION("""COMPUTED_VALUE"""),2)</f>
        <v>2</v>
      </c>
      <c r="G1311" s="5">
        <f ca="1">IFERROR(__xludf.DUMMYFUNCTION("""COMPUTED_VALUE"""),0)</f>
        <v>0</v>
      </c>
      <c r="H1311" s="9" t="str">
        <f ca="1">IFERROR(__xludf.DUMMYFUNCTION("""COMPUTED_VALUE"""),"https://www.newspapers.com/image/285023326/?terms=East%2BCampus%2BEducational%2BCenter%2BJulio%2BNajar")</f>
        <v>https://www.newspapers.com/image/285023326/?terms=East%2BCampus%2BEducational%2BCenter%2BJulio%2BNajar</v>
      </c>
      <c r="I1311" s="5"/>
      <c r="J1311" s="5"/>
      <c r="K1311" s="5">
        <f ca="1">IFERROR(__xludf.DUMMYFUNCTION("""COMPUTED_VALUE"""),2)</f>
        <v>2</v>
      </c>
      <c r="L1311" s="5" t="str">
        <f ca="1">IFERROR(__xludf.DUMMYFUNCTION("""COMPUTED_VALUE"""),"Spring")</f>
        <v>Spring</v>
      </c>
      <c r="M1311" s="5" t="str">
        <f ca="1">IFERROR(__xludf.DUMMYFUNCTION("""COMPUTED_VALUE"""),"Merced")</f>
        <v>Merced</v>
      </c>
      <c r="N1311" s="5" t="str">
        <f ca="1">IFERROR(__xludf.DUMMYFUNCTION("""COMPUTED_VALUE"""),"CA")</f>
        <v>CA</v>
      </c>
      <c r="O1311" s="5" t="str">
        <f ca="1">IFERROR(__xludf.DUMMYFUNCTION("""COMPUTED_VALUE"""),"K-12")</f>
        <v>K-12</v>
      </c>
      <c r="P1311" s="5" t="str">
        <f ca="1">IFERROR(__xludf.DUMMYFUNCTION("""COMPUTED_VALUE"""),"Beside Building")</f>
        <v>Beside Building</v>
      </c>
      <c r="Q1311" s="5" t="str">
        <f ca="1">IFERROR(__xludf.DUMMYFUNCTION("""COMPUTED_VALUE"""),"Outside on School Property")</f>
        <v>Outside on School Property</v>
      </c>
      <c r="R1311" s="5" t="str">
        <f ca="1">IFERROR(__xludf.DUMMYFUNCTION("""COMPUTED_VALUE"""),"No")</f>
        <v>No</v>
      </c>
      <c r="S1311" s="5" t="str">
        <f ca="1">IFERROR(__xludf.DUMMYFUNCTION("""COMPUTED_VALUE"""),"Evening")</f>
        <v>Evening</v>
      </c>
      <c r="T1311" s="10">
        <f ca="1">IFERROR(__xludf.DUMMYFUNCTION("""COMPUTED_VALUE"""),0.725694444444444)</f>
        <v>0.72569444444444398</v>
      </c>
      <c r="U1311" s="5">
        <f ca="1">IFERROR(__xludf.DUMMYFUNCTION("""COMPUTED_VALUE"""),1)</f>
        <v>1</v>
      </c>
      <c r="V1311" s="5" t="str">
        <f ca="1">IFERROR(__xludf.DUMMYFUNCTION("""COMPUTED_VALUE"""),"Gang related shooting outside of school, bystander female student struck")</f>
        <v>Gang related shooting outside of school, bystander female student struck</v>
      </c>
      <c r="W1311"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X1311" s="5" t="str">
        <f ca="1">IFERROR(__xludf.DUMMYFUNCTION("""COMPUTED_VALUE"""),"Escalation of Dispute")</f>
        <v>Escalation of Dispute</v>
      </c>
      <c r="Y1311" s="5" t="str">
        <f ca="1">IFERROR(__xludf.DUMMYFUNCTION("""COMPUTED_VALUE"""),"Both")</f>
        <v>Both</v>
      </c>
      <c r="Z1311" s="5" t="str">
        <f ca="1">IFERROR(__xludf.DUMMYFUNCTION("""COMPUTED_VALUE"""),"Yes")</f>
        <v>Yes</v>
      </c>
      <c r="AA1311" s="5" t="str">
        <f ca="1">IFERROR(__xludf.DUMMYFUNCTION("""COMPUTED_VALUE"""),"Shooter and two additional men involved in fight and fled together")</f>
        <v>Shooter and two additional men involved in fight and fled together</v>
      </c>
      <c r="AB1311" s="5" t="str">
        <f ca="1">IFERROR(__xludf.DUMMYFUNCTION("""COMPUTED_VALUE"""),"No")</f>
        <v>No</v>
      </c>
      <c r="AC1311" s="5" t="str">
        <f ca="1">IFERROR(__xludf.DUMMYFUNCTION("""COMPUTED_VALUE"""),"No")</f>
        <v>No</v>
      </c>
      <c r="AD1311" s="5" t="str">
        <f ca="1">IFERROR(__xludf.DUMMYFUNCTION("""COMPUTED_VALUE"""),"No")</f>
        <v>No</v>
      </c>
      <c r="AE1311" s="5" t="str">
        <f ca="1">IFERROR(__xludf.DUMMYFUNCTION("""COMPUTED_VALUE"""),"No")</f>
        <v>No</v>
      </c>
      <c r="AF1311" s="5" t="str">
        <f ca="1">IFERROR(__xludf.DUMMYFUNCTION("""COMPUTED_VALUE"""),"No")</f>
        <v>No</v>
      </c>
      <c r="AG1311" s="5" t="str">
        <f ca="1">IFERROR(__xludf.DUMMYFUNCTION("""COMPUTED_VALUE"""),"Yes")</f>
        <v>Yes</v>
      </c>
      <c r="AH1311" s="5"/>
    </row>
    <row r="1312" spans="1:34" ht="12.75">
      <c r="A1312" s="5" t="str">
        <f ca="1">IFERROR(__xludf.DUMMYFUNCTION("""COMPUTED_VALUE"""),"20040507MDRAR")</f>
        <v>20040507MDRAR</v>
      </c>
      <c r="B1312" s="8">
        <f ca="1">IFERROR(__xludf.DUMMYFUNCTION("""COMPUTED_VALUE"""),38114)</f>
        <v>38114</v>
      </c>
      <c r="C1312" s="5" t="str">
        <f ca="1">IFERROR(__xludf.DUMMYFUNCTION("""COMPUTED_VALUE"""),"Randallstown High School")</f>
        <v>Randallstown High School</v>
      </c>
      <c r="D1312" s="5">
        <f ca="1">IFERROR(__xludf.DUMMYFUNCTION("""COMPUTED_VALUE"""),0)</f>
        <v>0</v>
      </c>
      <c r="E1312" s="5">
        <f ca="1">IFERROR(__xludf.DUMMYFUNCTION("""COMPUTED_VALUE"""),4)</f>
        <v>4</v>
      </c>
      <c r="F1312" s="5">
        <f ca="1">IFERROR(__xludf.DUMMYFUNCTION("""COMPUTED_VALUE"""),4)</f>
        <v>4</v>
      </c>
      <c r="G1312" s="5">
        <f ca="1">IFERROR(__xludf.DUMMYFUNCTION("""COMPUTED_VALUE"""),0)</f>
        <v>0</v>
      </c>
      <c r="H1312" s="9" t="str">
        <f ca="1">IFERROR(__xludf.DUMMYFUNCTION("""COMPUTED_VALUE"""),"http://www.baltimoresun.com/bal-te.randallstown28jan28-story.html")</f>
        <v>http://www.baltimoresun.com/bal-te.randallstown28jan28-story.html</v>
      </c>
      <c r="I1312" s="5"/>
      <c r="J1312" s="5"/>
      <c r="K1312" s="5">
        <f ca="1">IFERROR(__xludf.DUMMYFUNCTION("""COMPUTED_VALUE"""),2)</f>
        <v>2</v>
      </c>
      <c r="L1312" s="5" t="str">
        <f ca="1">IFERROR(__xludf.DUMMYFUNCTION("""COMPUTED_VALUE"""),"Spring")</f>
        <v>Spring</v>
      </c>
      <c r="M1312" s="5" t="str">
        <f ca="1">IFERROR(__xludf.DUMMYFUNCTION("""COMPUTED_VALUE"""),"Randallstown")</f>
        <v>Randallstown</v>
      </c>
      <c r="N1312" s="5" t="str">
        <f ca="1">IFERROR(__xludf.DUMMYFUNCTION("""COMPUTED_VALUE"""),"MD")</f>
        <v>MD</v>
      </c>
      <c r="O1312" s="5" t="str">
        <f ca="1">IFERROR(__xludf.DUMMYFUNCTION("""COMPUTED_VALUE"""),"High")</f>
        <v>High</v>
      </c>
      <c r="P1312" s="5" t="str">
        <f ca="1">IFERROR(__xludf.DUMMYFUNCTION("""COMPUTED_VALUE"""),"Basketball Court")</f>
        <v>Basketball Court</v>
      </c>
      <c r="Q1312" s="5" t="str">
        <f ca="1">IFERROR(__xludf.DUMMYFUNCTION("""COMPUTED_VALUE"""),"Outside on School Property")</f>
        <v>Outside on School Property</v>
      </c>
      <c r="R1312" s="5" t="str">
        <f ca="1">IFERROR(__xludf.DUMMYFUNCTION("""COMPUTED_VALUE"""),"No")</f>
        <v>No</v>
      </c>
      <c r="S1312" s="5" t="str">
        <f ca="1">IFERROR(__xludf.DUMMYFUNCTION("""COMPUTED_VALUE"""),"After School")</f>
        <v>After School</v>
      </c>
      <c r="T1312" s="10">
        <f ca="1">IFERROR(__xludf.DUMMYFUNCTION("""COMPUTED_VALUE"""),0.6875)</f>
        <v>0.6875</v>
      </c>
      <c r="U1312" s="5">
        <f ca="1">IFERROR(__xludf.DUMMYFUNCTION("""COMPUTED_VALUE"""),1)</f>
        <v>1</v>
      </c>
      <c r="V1312" s="5" t="str">
        <f ca="1">IFERROR(__xludf.DUMMYFUNCTION("""COMPUTED_VALUE"""),"Fight after basketball game")</f>
        <v>Fight after basketball game</v>
      </c>
      <c r="W1312"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X1312" s="5" t="str">
        <f ca="1">IFERROR(__xludf.DUMMYFUNCTION("""COMPUTED_VALUE"""),"Escalation of Dispute")</f>
        <v>Escalation of Dispute</v>
      </c>
      <c r="Y1312" s="5" t="str">
        <f ca="1">IFERROR(__xludf.DUMMYFUNCTION("""COMPUTED_VALUE"""),"Both")</f>
        <v>Both</v>
      </c>
      <c r="Z1312" s="5" t="str">
        <f ca="1">IFERROR(__xludf.DUMMYFUNCTION("""COMPUTED_VALUE"""),"Yes")</f>
        <v>Yes</v>
      </c>
      <c r="AA1312" s="5" t="str">
        <f ca="1">IFERROR(__xludf.DUMMYFUNCTION("""COMPUTED_VALUE"""),"Two shooters (same gun) and third male in car")</f>
        <v>Two shooters (same gun) and third male in car</v>
      </c>
      <c r="AB1312" s="5" t="str">
        <f ca="1">IFERROR(__xludf.DUMMYFUNCTION("""COMPUTED_VALUE"""),"No")</f>
        <v>No</v>
      </c>
      <c r="AC1312" s="5" t="str">
        <f ca="1">IFERROR(__xludf.DUMMYFUNCTION("""COMPUTED_VALUE"""),"No")</f>
        <v>No</v>
      </c>
      <c r="AD1312" s="5" t="str">
        <f ca="1">IFERROR(__xludf.DUMMYFUNCTION("""COMPUTED_VALUE"""),"No")</f>
        <v>No</v>
      </c>
      <c r="AE1312" s="5" t="str">
        <f ca="1">IFERROR(__xludf.DUMMYFUNCTION("""COMPUTED_VALUE"""),"No")</f>
        <v>No</v>
      </c>
      <c r="AF1312" s="5" t="str">
        <f ca="1">IFERROR(__xludf.DUMMYFUNCTION("""COMPUTED_VALUE"""),"No")</f>
        <v>No</v>
      </c>
      <c r="AG1312" s="5" t="str">
        <f ca="1">IFERROR(__xludf.DUMMYFUNCTION("""COMPUTED_VALUE"""),"Yes")</f>
        <v>Yes</v>
      </c>
      <c r="AH1312" s="5"/>
    </row>
    <row r="1313" spans="1:34" ht="12.75">
      <c r="A1313" s="5" t="str">
        <f ca="1">IFERROR(__xludf.DUMMYFUNCTION("""COMPUTED_VALUE"""),"20040504TXKAH")</f>
        <v>20040504TXKAH</v>
      </c>
      <c r="B1313" s="8">
        <f ca="1">IFERROR(__xludf.DUMMYFUNCTION("""COMPUTED_VALUE"""),38111)</f>
        <v>38111</v>
      </c>
      <c r="C1313" s="5" t="str">
        <f ca="1">IFERROR(__xludf.DUMMYFUNCTION("""COMPUTED_VALUE"""),"Kashmere High School")</f>
        <v>Kashmere High School</v>
      </c>
      <c r="D1313" s="5">
        <f ca="1">IFERROR(__xludf.DUMMYFUNCTION("""COMPUTED_VALUE"""),0)</f>
        <v>0</v>
      </c>
      <c r="E1313" s="5">
        <f ca="1">IFERROR(__xludf.DUMMYFUNCTION("""COMPUTED_VALUE"""),0)</f>
        <v>0</v>
      </c>
      <c r="F1313" s="5">
        <f ca="1">IFERROR(__xludf.DUMMYFUNCTION("""COMPUTED_VALUE"""),0)</f>
        <v>0</v>
      </c>
      <c r="G1313" s="5">
        <f ca="1">IFERROR(__xludf.DUMMYFUNCTION("""COMPUTED_VALUE"""),0)</f>
        <v>0</v>
      </c>
      <c r="H1313" s="9" t="str">
        <f ca="1">IFERROR(__xludf.DUMMYFUNCTION("""COMPUTED_VALUE"""),"https://www.chron.com/news/houston-texas/article/Gunfire-but-no-injuries-at-Kashmere-High-School-1651100.php")</f>
        <v>https://www.chron.com/news/houston-texas/article/Gunfire-but-no-injuries-at-Kashmere-High-School-1651100.php</v>
      </c>
      <c r="I1313" s="5"/>
      <c r="J1313" s="5"/>
      <c r="K1313" s="5">
        <f ca="1">IFERROR(__xludf.DUMMYFUNCTION("""COMPUTED_VALUE"""),2)</f>
        <v>2</v>
      </c>
      <c r="L1313" s="5" t="str">
        <f ca="1">IFERROR(__xludf.DUMMYFUNCTION("""COMPUTED_VALUE"""),"Spring")</f>
        <v>Spring</v>
      </c>
      <c r="M1313" s="5" t="str">
        <f ca="1">IFERROR(__xludf.DUMMYFUNCTION("""COMPUTED_VALUE"""),"Houston")</f>
        <v>Houston</v>
      </c>
      <c r="N1313" s="5" t="str">
        <f ca="1">IFERROR(__xludf.DUMMYFUNCTION("""COMPUTED_VALUE"""),"TX")</f>
        <v>TX</v>
      </c>
      <c r="O1313" s="5" t="str">
        <f ca="1">IFERROR(__xludf.DUMMYFUNCTION("""COMPUTED_VALUE"""),"High")</f>
        <v>High</v>
      </c>
      <c r="P1313" s="5" t="str">
        <f ca="1">IFERROR(__xludf.DUMMYFUNCTION("""COMPUTED_VALUE"""),"Beside Building")</f>
        <v>Beside Building</v>
      </c>
      <c r="Q1313" s="5" t="str">
        <f ca="1">IFERROR(__xludf.DUMMYFUNCTION("""COMPUTED_VALUE"""),"Outside on School Property")</f>
        <v>Outside on School Property</v>
      </c>
      <c r="R1313" s="5" t="str">
        <f ca="1">IFERROR(__xludf.DUMMYFUNCTION("""COMPUTED_VALUE"""),"Yes")</f>
        <v>Yes</v>
      </c>
      <c r="S1313" s="5" t="str">
        <f ca="1">IFERROR(__xludf.DUMMYFUNCTION("""COMPUTED_VALUE"""),"Morning Classes")</f>
        <v>Morning Classes</v>
      </c>
      <c r="T1313" s="10">
        <f ca="1">IFERROR(__xludf.DUMMYFUNCTION("""COMPUTED_VALUE"""),0.333333333333333)</f>
        <v>0.33333333333333298</v>
      </c>
      <c r="U1313" s="5">
        <f ca="1">IFERROR(__xludf.DUMMYFUNCTION("""COMPUTED_VALUE"""),1)</f>
        <v>1</v>
      </c>
      <c r="V1313" s="5" t="str">
        <f ca="1">IFERROR(__xludf.DUMMYFUNCTION("""COMPUTED_VALUE"""),"Multiple shots fired outside of school, no injuries")</f>
        <v>Multiple shots fired outside of school, no injuries</v>
      </c>
      <c r="W1313"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X1313" s="5" t="str">
        <f ca="1">IFERROR(__xludf.DUMMYFUNCTION("""COMPUTED_VALUE"""),"Unknown")</f>
        <v>Unknown</v>
      </c>
      <c r="Y1313" s="5"/>
      <c r="Z1313" s="5" t="str">
        <f ca="1">IFERROR(__xludf.DUMMYFUNCTION("""COMPUTED_VALUE"""),"No")</f>
        <v>No</v>
      </c>
      <c r="AA1313" s="5"/>
      <c r="AB1313" s="5" t="str">
        <f ca="1">IFERROR(__xludf.DUMMYFUNCTION("""COMPUTED_VALUE"""),"No")</f>
        <v>No</v>
      </c>
      <c r="AC1313" s="5" t="str">
        <f ca="1">IFERROR(__xludf.DUMMYFUNCTION("""COMPUTED_VALUE"""),"No")</f>
        <v>No</v>
      </c>
      <c r="AD1313" s="5" t="str">
        <f ca="1">IFERROR(__xludf.DUMMYFUNCTION("""COMPUTED_VALUE"""),"No")</f>
        <v>No</v>
      </c>
      <c r="AE1313" s="5"/>
      <c r="AF1313" s="5"/>
      <c r="AG1313" s="5"/>
      <c r="AH1313" s="5"/>
    </row>
    <row r="1314" spans="1:34" ht="12.75">
      <c r="A1314" s="5" t="str">
        <f ca="1">IFERROR(__xludf.DUMMYFUNCTION("""COMPUTED_VALUE"""),"20040317WACRJ")</f>
        <v>20040317WACRJ</v>
      </c>
      <c r="B1314" s="8">
        <f ca="1">IFERROR(__xludf.DUMMYFUNCTION("""COMPUTED_VALUE"""),38063)</f>
        <v>38063</v>
      </c>
      <c r="C1314" s="5" t="str">
        <f ca="1">IFERROR(__xludf.DUMMYFUNCTION("""COMPUTED_VALUE"""),"Crescent Junior-Senior High School")</f>
        <v>Crescent Junior-Senior High School</v>
      </c>
      <c r="D1314" s="5">
        <f ca="1">IFERROR(__xludf.DUMMYFUNCTION("""COMPUTED_VALUE"""),0)</f>
        <v>0</v>
      </c>
      <c r="E1314" s="5">
        <f ca="1">IFERROR(__xludf.DUMMYFUNCTION("""COMPUTED_VALUE"""),0)</f>
        <v>0</v>
      </c>
      <c r="F1314" s="5">
        <f ca="1">IFERROR(__xludf.DUMMYFUNCTION("""COMPUTED_VALUE"""),0)</f>
        <v>0</v>
      </c>
      <c r="G1314" s="5">
        <f ca="1">IFERROR(__xludf.DUMMYFUNCTION("""COMPUTED_VALUE"""),1)</f>
        <v>1</v>
      </c>
      <c r="H1314" s="9" t="str">
        <f ca="1">IFERROR(__xludf.DUMMYFUNCTION("""COMPUTED_VALUE"""),"http://community.seattletimes.nwsource.com/archive/?date=20040319&amp;slug=boyshot19m")</f>
        <v>http://community.seattletimes.nwsource.com/archive/?date=20040319&amp;slug=boyshot19m</v>
      </c>
      <c r="I1314" s="5"/>
      <c r="J1314" s="5"/>
      <c r="K1314" s="5">
        <f ca="1">IFERROR(__xludf.DUMMYFUNCTION("""COMPUTED_VALUE"""),2)</f>
        <v>2</v>
      </c>
      <c r="L1314" s="5" t="str">
        <f ca="1">IFERROR(__xludf.DUMMYFUNCTION("""COMPUTED_VALUE"""),"Spring")</f>
        <v>Spring</v>
      </c>
      <c r="M1314" s="5" t="str">
        <f ca="1">IFERROR(__xludf.DUMMYFUNCTION("""COMPUTED_VALUE"""),"Joyce")</f>
        <v>Joyce</v>
      </c>
      <c r="N1314" s="5" t="str">
        <f ca="1">IFERROR(__xludf.DUMMYFUNCTION("""COMPUTED_VALUE"""),"WA")</f>
        <v>WA</v>
      </c>
      <c r="O1314" s="5" t="str">
        <f ca="1">IFERROR(__xludf.DUMMYFUNCTION("""COMPUTED_VALUE"""),"Junior High")</f>
        <v>Junior High</v>
      </c>
      <c r="P1314" s="5" t="str">
        <f ca="1">IFERROR(__xludf.DUMMYFUNCTION("""COMPUTED_VALUE"""),"Classroom")</f>
        <v>Classroom</v>
      </c>
      <c r="Q1314" s="5" t="str">
        <f ca="1">IFERROR(__xludf.DUMMYFUNCTION("""COMPUTED_VALUE"""),"Inside School Building")</f>
        <v>Inside School Building</v>
      </c>
      <c r="R1314" s="5" t="str">
        <f ca="1">IFERROR(__xludf.DUMMYFUNCTION("""COMPUTED_VALUE"""),"Yes")</f>
        <v>Yes</v>
      </c>
      <c r="S1314" s="5" t="str">
        <f ca="1">IFERROR(__xludf.DUMMYFUNCTION("""COMPUTED_VALUE"""),"Morning Classes")</f>
        <v>Morning Classes</v>
      </c>
      <c r="T1314" s="10">
        <f ca="1">IFERROR(__xludf.DUMMYFUNCTION("""COMPUTED_VALUE"""),0.416666666666666)</f>
        <v>0.41666666666666602</v>
      </c>
      <c r="U1314" s="5">
        <f ca="1">IFERROR(__xludf.DUMMYFUNCTION("""COMPUTED_VALUE"""),1)</f>
        <v>1</v>
      </c>
      <c r="V1314" s="5" t="str">
        <f ca="1">IFERROR(__xludf.DUMMYFUNCTION("""COMPUTED_VALUE"""),"Shot self in class infront of teacher and 18 students")</f>
        <v>Shot self in class infront of teacher and 18 students</v>
      </c>
      <c r="W1314"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X1314" s="5" t="str">
        <f ca="1">IFERROR(__xludf.DUMMYFUNCTION("""COMPUTED_VALUE"""),"Suicide/Attempted")</f>
        <v>Suicide/Attempted</v>
      </c>
      <c r="Y1314" s="5" t="str">
        <f ca="1">IFERROR(__xludf.DUMMYFUNCTION("""COMPUTED_VALUE"""),"Victims Targeted")</f>
        <v>Victims Targeted</v>
      </c>
      <c r="Z1314" s="5" t="str">
        <f ca="1">IFERROR(__xludf.DUMMYFUNCTION("""COMPUTED_VALUE"""),"No")</f>
        <v>No</v>
      </c>
      <c r="AA1314" s="5"/>
      <c r="AB1314" s="5" t="str">
        <f ca="1">IFERROR(__xludf.DUMMYFUNCTION("""COMPUTED_VALUE"""),"No")</f>
        <v>No</v>
      </c>
      <c r="AC1314" s="5" t="str">
        <f ca="1">IFERROR(__xludf.DUMMYFUNCTION("""COMPUTED_VALUE"""),"No")</f>
        <v>No</v>
      </c>
      <c r="AD1314" s="5" t="str">
        <f ca="1">IFERROR(__xludf.DUMMYFUNCTION("""COMPUTED_VALUE"""),"No")</f>
        <v>No</v>
      </c>
      <c r="AE1314" s="5" t="str">
        <f ca="1">IFERROR(__xludf.DUMMYFUNCTION("""COMPUTED_VALUE"""),"No")</f>
        <v>No</v>
      </c>
      <c r="AF1314" s="5" t="str">
        <f ca="1">IFERROR(__xludf.DUMMYFUNCTION("""COMPUTED_VALUE"""),"No")</f>
        <v>No</v>
      </c>
      <c r="AG1314" s="5" t="str">
        <f ca="1">IFERROR(__xludf.DUMMYFUNCTION("""COMPUTED_VALUE"""),"No")</f>
        <v>No</v>
      </c>
      <c r="AH1314" s="5"/>
    </row>
    <row r="1315" spans="1:34" ht="12.75">
      <c r="A1315" s="5" t="str">
        <f ca="1">IFERROR(__xludf.DUMMYFUNCTION("""COMPUTED_VALUE"""),"20040305CASAL")</f>
        <v>20040305CASAL</v>
      </c>
      <c r="B1315" s="8">
        <f ca="1">IFERROR(__xludf.DUMMYFUNCTION("""COMPUTED_VALUE"""),38051)</f>
        <v>38051</v>
      </c>
      <c r="C1315" s="5" t="str">
        <f ca="1">IFERROR(__xludf.DUMMYFUNCTION("""COMPUTED_VALUE"""),"Saledad Enrichment Action Charter High School")</f>
        <v>Saledad Enrichment Action Charter High School</v>
      </c>
      <c r="D1315" s="5">
        <f ca="1">IFERROR(__xludf.DUMMYFUNCTION("""COMPUTED_VALUE"""),0)</f>
        <v>0</v>
      </c>
      <c r="E1315" s="5">
        <f ca="1">IFERROR(__xludf.DUMMYFUNCTION("""COMPUTED_VALUE"""),2)</f>
        <v>2</v>
      </c>
      <c r="F1315" s="5">
        <f ca="1">IFERROR(__xludf.DUMMYFUNCTION("""COMPUTED_VALUE"""),2)</f>
        <v>2</v>
      </c>
      <c r="G1315" s="5">
        <f ca="1">IFERROR(__xludf.DUMMYFUNCTION("""COMPUTED_VALUE"""),0)</f>
        <v>0</v>
      </c>
      <c r="H1315" s="9" t="str">
        <f ca="1">IFERROR(__xludf.DUMMYFUNCTION("""COMPUTED_VALUE"""),"https://www.newspapers.com/image/192854243/?terms=Los%2BAngeles%2Bhigh%2Bschool%2Bshooting")</f>
        <v>https://www.newspapers.com/image/192854243/?terms=Los%2BAngeles%2Bhigh%2Bschool%2Bshooting</v>
      </c>
      <c r="I1315" s="5"/>
      <c r="J1315" s="5"/>
      <c r="K1315" s="5">
        <f ca="1">IFERROR(__xludf.DUMMYFUNCTION("""COMPUTED_VALUE"""),2)</f>
        <v>2</v>
      </c>
      <c r="L1315" s="5" t="str">
        <f ca="1">IFERROR(__xludf.DUMMYFUNCTION("""COMPUTED_VALUE"""),"Spring")</f>
        <v>Spring</v>
      </c>
      <c r="M1315" s="5" t="str">
        <f ca="1">IFERROR(__xludf.DUMMYFUNCTION("""COMPUTED_VALUE"""),"Los Angeles")</f>
        <v>Los Angeles</v>
      </c>
      <c r="N1315" s="5" t="str">
        <f ca="1">IFERROR(__xludf.DUMMYFUNCTION("""COMPUTED_VALUE"""),"CA")</f>
        <v>CA</v>
      </c>
      <c r="O1315" s="5" t="str">
        <f ca="1">IFERROR(__xludf.DUMMYFUNCTION("""COMPUTED_VALUE"""),"High")</f>
        <v>High</v>
      </c>
      <c r="P1315" s="5" t="str">
        <f ca="1">IFERROR(__xludf.DUMMYFUNCTION("""COMPUTED_VALUE"""),"Front of School")</f>
        <v>Front of School</v>
      </c>
      <c r="Q1315" s="5" t="str">
        <f ca="1">IFERROR(__xludf.DUMMYFUNCTION("""COMPUTED_VALUE"""),"Outside on School Property")</f>
        <v>Outside on School Property</v>
      </c>
      <c r="R1315" s="5" t="str">
        <f ca="1">IFERROR(__xludf.DUMMYFUNCTION("""COMPUTED_VALUE"""),"Yes")</f>
        <v>Yes</v>
      </c>
      <c r="S1315" s="5" t="str">
        <f ca="1">IFERROR(__xludf.DUMMYFUNCTION("""COMPUTED_VALUE"""),"School Start")</f>
        <v>School Start</v>
      </c>
      <c r="T1315" s="10">
        <f ca="1">IFERROR(__xludf.DUMMYFUNCTION("""COMPUTED_VALUE"""),0.315972222222222)</f>
        <v>0.31597222222222199</v>
      </c>
      <c r="U1315" s="5">
        <f ca="1">IFERROR(__xludf.DUMMYFUNCTION("""COMPUTED_VALUE"""),1)</f>
        <v>1</v>
      </c>
      <c r="V1315" s="5" t="str">
        <f ca="1">IFERROR(__xludf.DUMMYFUNCTION("""COMPUTED_VALUE"""),"Gang related drive by shooting")</f>
        <v>Gang related drive by shooting</v>
      </c>
      <c r="W1315"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X1315" s="5" t="str">
        <f ca="1">IFERROR(__xludf.DUMMYFUNCTION("""COMPUTED_VALUE"""),"Drive-by Shooting")</f>
        <v>Drive-by Shooting</v>
      </c>
      <c r="Y1315" s="5" t="str">
        <f ca="1">IFERROR(__xludf.DUMMYFUNCTION("""COMPUTED_VALUE"""),"Both")</f>
        <v>Both</v>
      </c>
      <c r="Z1315" s="5" t="str">
        <f ca="1">IFERROR(__xludf.DUMMYFUNCTION("""COMPUTED_VALUE"""),"Unknown")</f>
        <v>Unknown</v>
      </c>
      <c r="AA1315" s="5"/>
      <c r="AB1315" s="5" t="str">
        <f ca="1">IFERROR(__xludf.DUMMYFUNCTION("""COMPUTED_VALUE"""),"No")</f>
        <v>No</v>
      </c>
      <c r="AC1315" s="5" t="str">
        <f ca="1">IFERROR(__xludf.DUMMYFUNCTION("""COMPUTED_VALUE"""),"No")</f>
        <v>No</v>
      </c>
      <c r="AD1315" s="5" t="str">
        <f ca="1">IFERROR(__xludf.DUMMYFUNCTION("""COMPUTED_VALUE"""),"No")</f>
        <v>No</v>
      </c>
      <c r="AE1315" s="5" t="str">
        <f ca="1">IFERROR(__xludf.DUMMYFUNCTION("""COMPUTED_VALUE"""),"No")</f>
        <v>No</v>
      </c>
      <c r="AF1315" s="5" t="str">
        <f ca="1">IFERROR(__xludf.DUMMYFUNCTION("""COMPUTED_VALUE"""),"No")</f>
        <v>No</v>
      </c>
      <c r="AG1315" s="5" t="str">
        <f ca="1">IFERROR(__xludf.DUMMYFUNCTION("""COMPUTED_VALUE"""),"Yes")</f>
        <v>Yes</v>
      </c>
      <c r="AH1315" s="5"/>
    </row>
    <row r="1316" spans="1:34" ht="12.75">
      <c r="A1316" s="5" t="str">
        <f ca="1">IFERROR(__xludf.DUMMYFUNCTION("""COMPUTED_VALUE"""),"20040220LAGAS")</f>
        <v>20040220LAGAS</v>
      </c>
      <c r="B1316" s="8">
        <f ca="1">IFERROR(__xludf.DUMMYFUNCTION("""COMPUTED_VALUE"""),38037)</f>
        <v>38037</v>
      </c>
      <c r="C1316" s="5" t="str">
        <f ca="1">IFERROR(__xludf.DUMMYFUNCTION("""COMPUTED_VALUE"""),"Gathway Christian Academy")</f>
        <v>Gathway Christian Academy</v>
      </c>
      <c r="D1316" s="5">
        <f ca="1">IFERROR(__xludf.DUMMYFUNCTION("""COMPUTED_VALUE"""),1)</f>
        <v>1</v>
      </c>
      <c r="E1316" s="5">
        <f ca="1">IFERROR(__xludf.DUMMYFUNCTION("""COMPUTED_VALUE"""),0)</f>
        <v>0</v>
      </c>
      <c r="F1316" s="5">
        <f ca="1">IFERROR(__xludf.DUMMYFUNCTION("""COMPUTED_VALUE"""),1)</f>
        <v>1</v>
      </c>
      <c r="G1316" s="5">
        <f ca="1">IFERROR(__xludf.DUMMYFUNCTION("""COMPUTED_VALUE"""),1)</f>
        <v>1</v>
      </c>
      <c r="H1316" s="9" t="str">
        <f ca="1">IFERROR(__xludf.DUMMYFUNCTION("""COMPUTED_VALUE"""),"https://www.iberianet.com/news/two-dead-in-friday-murder-suicide/article_6e2281d6-1558-5273-b883-8aa0132a8b2e.html")</f>
        <v>https://www.iberianet.com/news/two-dead-in-friday-murder-suicide/article_6e2281d6-1558-5273-b883-8aa0132a8b2e.html</v>
      </c>
      <c r="I1316" s="5"/>
      <c r="J1316" s="5"/>
      <c r="K1316" s="5">
        <f ca="1">IFERROR(__xludf.DUMMYFUNCTION("""COMPUTED_VALUE"""),2)</f>
        <v>2</v>
      </c>
      <c r="L1316" s="5" t="str">
        <f ca="1">IFERROR(__xludf.DUMMYFUNCTION("""COMPUTED_VALUE"""),"Winter")</f>
        <v>Winter</v>
      </c>
      <c r="M1316" s="5" t="str">
        <f ca="1">IFERROR(__xludf.DUMMYFUNCTION("""COMPUTED_VALUE"""),"St. Martinville")</f>
        <v>St. Martinville</v>
      </c>
      <c r="N1316" s="5" t="str">
        <f ca="1">IFERROR(__xludf.DUMMYFUNCTION("""COMPUTED_VALUE"""),"LA")</f>
        <v>LA</v>
      </c>
      <c r="O1316" s="5" t="str">
        <f ca="1">IFERROR(__xludf.DUMMYFUNCTION("""COMPUTED_VALUE"""),"K-12")</f>
        <v>K-12</v>
      </c>
      <c r="P1316" s="5" t="str">
        <f ca="1">IFERROR(__xludf.DUMMYFUNCTION("""COMPUTED_VALUE"""),"Classroom")</f>
        <v>Classroom</v>
      </c>
      <c r="Q1316" s="5" t="str">
        <f ca="1">IFERROR(__xludf.DUMMYFUNCTION("""COMPUTED_VALUE"""),"Inside School Building")</f>
        <v>Inside School Building</v>
      </c>
      <c r="R1316" s="5" t="str">
        <f ca="1">IFERROR(__xludf.DUMMYFUNCTION("""COMPUTED_VALUE"""),"Yes")</f>
        <v>Yes</v>
      </c>
      <c r="S1316" s="5" t="str">
        <f ca="1">IFERROR(__xludf.DUMMYFUNCTION("""COMPUTED_VALUE"""),"Morning Classes")</f>
        <v>Morning Classes</v>
      </c>
      <c r="T1316" s="10">
        <f ca="1">IFERROR(__xludf.DUMMYFUNCTION("""COMPUTED_VALUE"""),0.46875)</f>
        <v>0.46875</v>
      </c>
      <c r="U1316" s="5">
        <f ca="1">IFERROR(__xludf.DUMMYFUNCTION("""COMPUTED_VALUE"""),1)</f>
        <v>1</v>
      </c>
      <c r="V1316" s="5" t="str">
        <f ca="1">IFERROR(__xludf.DUMMYFUNCTION("""COMPUTED_VALUE"""),"Teacher shot by fiance, he fled and shot himself 30 minutes later")</f>
        <v>Teacher shot by fiance, he fled and shot himself 30 minutes later</v>
      </c>
      <c r="W1316"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X1316" s="5" t="str">
        <f ca="1">IFERROR(__xludf.DUMMYFUNCTION("""COMPUTED_VALUE"""),"Domestic w/ Targeted Victim")</f>
        <v>Domestic w/ Targeted Victim</v>
      </c>
      <c r="Y1316" s="5" t="str">
        <f ca="1">IFERROR(__xludf.DUMMYFUNCTION("""COMPUTED_VALUE"""),"Victims Targeted")</f>
        <v>Victims Targeted</v>
      </c>
      <c r="Z1316" s="5" t="str">
        <f ca="1">IFERROR(__xludf.DUMMYFUNCTION("""COMPUTED_VALUE"""),"No")</f>
        <v>No</v>
      </c>
      <c r="AA1316" s="5"/>
      <c r="AB1316" s="5" t="str">
        <f ca="1">IFERROR(__xludf.DUMMYFUNCTION("""COMPUTED_VALUE"""),"No")</f>
        <v>No</v>
      </c>
      <c r="AC1316" s="5" t="str">
        <f ca="1">IFERROR(__xludf.DUMMYFUNCTION("""COMPUTED_VALUE"""),"No")</f>
        <v>No</v>
      </c>
      <c r="AD1316" s="5" t="str">
        <f ca="1">IFERROR(__xludf.DUMMYFUNCTION("""COMPUTED_VALUE"""),"No")</f>
        <v>No</v>
      </c>
      <c r="AE1316" s="5" t="str">
        <f ca="1">IFERROR(__xludf.DUMMYFUNCTION("""COMPUTED_VALUE"""),"No")</f>
        <v>No</v>
      </c>
      <c r="AF1316" s="5" t="str">
        <f ca="1">IFERROR(__xludf.DUMMYFUNCTION("""COMPUTED_VALUE"""),"Yes")</f>
        <v>Yes</v>
      </c>
      <c r="AG1316" s="5" t="str">
        <f ca="1">IFERROR(__xludf.DUMMYFUNCTION("""COMPUTED_VALUE"""),"No")</f>
        <v>No</v>
      </c>
      <c r="AH1316" s="5"/>
    </row>
    <row r="1317" spans="1:34" ht="12.75">
      <c r="A1317" s="5" t="str">
        <f ca="1">IFERROR(__xludf.DUMMYFUNCTION("""COMPUTED_VALUE"""),"20040213OHCOD")</f>
        <v>20040213OHCOD</v>
      </c>
      <c r="B1317" s="8">
        <f ca="1">IFERROR(__xludf.DUMMYFUNCTION("""COMPUTED_VALUE"""),38030)</f>
        <v>38030</v>
      </c>
      <c r="C1317" s="5" t="str">
        <f ca="1">IFERROR(__xludf.DUMMYFUNCTION("""COMPUTED_VALUE"""),"Colonel White High School")</f>
        <v>Colonel White High School</v>
      </c>
      <c r="D1317" s="5">
        <f ca="1">IFERROR(__xludf.DUMMYFUNCTION("""COMPUTED_VALUE"""),0)</f>
        <v>0</v>
      </c>
      <c r="E1317" s="5">
        <f ca="1">IFERROR(__xludf.DUMMYFUNCTION("""COMPUTED_VALUE"""),1)</f>
        <v>1</v>
      </c>
      <c r="F1317" s="5">
        <f ca="1">IFERROR(__xludf.DUMMYFUNCTION("""COMPUTED_VALUE"""),1)</f>
        <v>1</v>
      </c>
      <c r="G1317" s="5">
        <f ca="1">IFERROR(__xludf.DUMMYFUNCTION("""COMPUTED_VALUE"""),0)</f>
        <v>0</v>
      </c>
      <c r="H1317" s="9" t="str">
        <f ca="1">IFERROR(__xludf.DUMMYFUNCTION("""COMPUTED_VALUE"""),"https://www.newspapers.com/image/410611502/")</f>
        <v>https://www.newspapers.com/image/410611502/</v>
      </c>
      <c r="I1317" s="5"/>
      <c r="J1317" s="5"/>
      <c r="K1317" s="5">
        <f ca="1">IFERROR(__xludf.DUMMYFUNCTION("""COMPUTED_VALUE"""),2)</f>
        <v>2</v>
      </c>
      <c r="L1317" s="5" t="str">
        <f ca="1">IFERROR(__xludf.DUMMYFUNCTION("""COMPUTED_VALUE"""),"Winter")</f>
        <v>Winter</v>
      </c>
      <c r="M1317" s="5" t="str">
        <f ca="1">IFERROR(__xludf.DUMMYFUNCTION("""COMPUTED_VALUE"""),"Dayton")</f>
        <v>Dayton</v>
      </c>
      <c r="N1317" s="5" t="str">
        <f ca="1">IFERROR(__xludf.DUMMYFUNCTION("""COMPUTED_VALUE"""),"OH")</f>
        <v>OH</v>
      </c>
      <c r="O1317" s="5" t="str">
        <f ca="1">IFERROR(__xludf.DUMMYFUNCTION("""COMPUTED_VALUE"""),"High")</f>
        <v>High</v>
      </c>
      <c r="P1317" s="5" t="str">
        <f ca="1">IFERROR(__xludf.DUMMYFUNCTION("""COMPUTED_VALUE"""),"Parking Lot")</f>
        <v>Parking Lot</v>
      </c>
      <c r="Q1317" s="5" t="str">
        <f ca="1">IFERROR(__xludf.DUMMYFUNCTION("""COMPUTED_VALUE"""),"Outside on School Property")</f>
        <v>Outside on School Property</v>
      </c>
      <c r="R1317" s="5" t="str">
        <f ca="1">IFERROR(__xludf.DUMMYFUNCTION("""COMPUTED_VALUE"""),"Yes")</f>
        <v>Yes</v>
      </c>
      <c r="S1317" s="5" t="str">
        <f ca="1">IFERROR(__xludf.DUMMYFUNCTION("""COMPUTED_VALUE"""),"Lunch")</f>
        <v>Lunch</v>
      </c>
      <c r="T1317" s="10">
        <f ca="1">IFERROR(__xludf.DUMMYFUNCTION("""COMPUTED_VALUE"""),0.541666666666666)</f>
        <v>0.54166666666666596</v>
      </c>
      <c r="U1317" s="5">
        <f ca="1">IFERROR(__xludf.DUMMYFUNCTION("""COMPUTED_VALUE"""),1)</f>
        <v>1</v>
      </c>
      <c r="V1317" s="5" t="str">
        <f ca="1">IFERROR(__xludf.DUMMYFUNCTION("""COMPUTED_VALUE"""),"Student shot during carjacking in parking lot")</f>
        <v>Student shot during carjacking in parking lot</v>
      </c>
      <c r="W1317"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X1317" s="5" t="str">
        <f ca="1">IFERROR(__xludf.DUMMYFUNCTION("""COMPUTED_VALUE"""),"Illegal Activity")</f>
        <v>Illegal Activity</v>
      </c>
      <c r="Y1317" s="5" t="str">
        <f ca="1">IFERROR(__xludf.DUMMYFUNCTION("""COMPUTED_VALUE"""),"Victims Targeted")</f>
        <v>Victims Targeted</v>
      </c>
      <c r="Z1317" s="5" t="str">
        <f ca="1">IFERROR(__xludf.DUMMYFUNCTION("""COMPUTED_VALUE"""),"Yes")</f>
        <v>Yes</v>
      </c>
      <c r="AA1317" s="5" t="str">
        <f ca="1">IFERROR(__xludf.DUMMYFUNCTION("""COMPUTED_VALUE"""),"Two teens attempted carjacking")</f>
        <v>Two teens attempted carjacking</v>
      </c>
      <c r="AB1317" s="5" t="str">
        <f ca="1">IFERROR(__xludf.DUMMYFUNCTION("""COMPUTED_VALUE"""),"No")</f>
        <v>No</v>
      </c>
      <c r="AC1317" s="5" t="str">
        <f ca="1">IFERROR(__xludf.DUMMYFUNCTION("""COMPUTED_VALUE"""),"No")</f>
        <v>No</v>
      </c>
      <c r="AD1317" s="5" t="str">
        <f ca="1">IFERROR(__xludf.DUMMYFUNCTION("""COMPUTED_VALUE"""),"No")</f>
        <v>No</v>
      </c>
      <c r="AE1317" s="5" t="str">
        <f ca="1">IFERROR(__xludf.DUMMYFUNCTION("""COMPUTED_VALUE"""),"No")</f>
        <v>No</v>
      </c>
      <c r="AF1317" s="5" t="str">
        <f ca="1">IFERROR(__xludf.DUMMYFUNCTION("""COMPUTED_VALUE"""),"No")</f>
        <v>No</v>
      </c>
      <c r="AG1317" s="5" t="str">
        <f ca="1">IFERROR(__xludf.DUMMYFUNCTION("""COMPUTED_VALUE"""),"No")</f>
        <v>No</v>
      </c>
      <c r="AH1317" s="5"/>
    </row>
    <row r="1318" spans="1:34" ht="12.75">
      <c r="A1318" s="5" t="str">
        <f ca="1">IFERROR(__xludf.DUMMYFUNCTION("""COMPUTED_VALUE"""),"20040211PATMP")</f>
        <v>20040211PATMP</v>
      </c>
      <c r="B1318" s="8">
        <f ca="1">IFERROR(__xludf.DUMMYFUNCTION("""COMPUTED_VALUE"""),38028)</f>
        <v>38028</v>
      </c>
      <c r="C1318" s="5" t="str">
        <f ca="1">IFERROR(__xludf.DUMMYFUNCTION("""COMPUTED_VALUE"""),"T M Peirce Elementary School")</f>
        <v>T M Peirce Elementary School</v>
      </c>
      <c r="D1318" s="5">
        <f ca="1">IFERROR(__xludf.DUMMYFUNCTION("""COMPUTED_VALUE"""),1)</f>
        <v>1</v>
      </c>
      <c r="E1318" s="5">
        <f ca="1">IFERROR(__xludf.DUMMYFUNCTION("""COMPUTED_VALUE"""),1)</f>
        <v>1</v>
      </c>
      <c r="F1318" s="5">
        <f ca="1">IFERROR(__xludf.DUMMYFUNCTION("""COMPUTED_VALUE"""),2)</f>
        <v>2</v>
      </c>
      <c r="G1318" s="5">
        <f ca="1">IFERROR(__xludf.DUMMYFUNCTION("""COMPUTED_VALUE"""),0)</f>
        <v>0</v>
      </c>
      <c r="H1318" s="9" t="str">
        <f ca="1">IFERROR(__xludf.DUMMYFUNCTION("""COMPUTED_VALUE"""),"http://www.foxnews.com/story/2006/03/16/two-guilty-in-slaying-philadelphia-boy.html")</f>
        <v>http://www.foxnews.com/story/2006/03/16/two-guilty-in-slaying-philadelphia-boy.html</v>
      </c>
      <c r="I1318" s="5"/>
      <c r="J1318" s="5"/>
      <c r="K1318" s="5">
        <f ca="1">IFERROR(__xludf.DUMMYFUNCTION("""COMPUTED_VALUE"""),2)</f>
        <v>2</v>
      </c>
      <c r="L1318" s="5" t="str">
        <f ca="1">IFERROR(__xludf.DUMMYFUNCTION("""COMPUTED_VALUE"""),"Winter")</f>
        <v>Winter</v>
      </c>
      <c r="M1318" s="5" t="str">
        <f ca="1">IFERROR(__xludf.DUMMYFUNCTION("""COMPUTED_VALUE"""),"Philadelphia")</f>
        <v>Philadelphia</v>
      </c>
      <c r="N1318" s="5" t="str">
        <f ca="1">IFERROR(__xludf.DUMMYFUNCTION("""COMPUTED_VALUE"""),"PA")</f>
        <v>PA</v>
      </c>
      <c r="O1318" s="5" t="str">
        <f ca="1">IFERROR(__xludf.DUMMYFUNCTION("""COMPUTED_VALUE"""),"Elementary")</f>
        <v>Elementary</v>
      </c>
      <c r="P1318" s="5" t="str">
        <f ca="1">IFERROR(__xludf.DUMMYFUNCTION("""COMPUTED_VALUE"""),"Playground")</f>
        <v>Playground</v>
      </c>
      <c r="Q1318" s="5" t="str">
        <f ca="1">IFERROR(__xludf.DUMMYFUNCTION("""COMPUTED_VALUE"""),"Outside on School Property")</f>
        <v>Outside on School Property</v>
      </c>
      <c r="R1318" s="5" t="str">
        <f ca="1">IFERROR(__xludf.DUMMYFUNCTION("""COMPUTED_VALUE"""),"Yes")</f>
        <v>Yes</v>
      </c>
      <c r="S1318" s="5" t="str">
        <f ca="1">IFERROR(__xludf.DUMMYFUNCTION("""COMPUTED_VALUE"""),"School Start")</f>
        <v>School Start</v>
      </c>
      <c r="T1318" s="10">
        <f ca="1">IFERROR(__xludf.DUMMYFUNCTION("""COMPUTED_VALUE"""),0.354166666666666)</f>
        <v>0.35416666666666602</v>
      </c>
      <c r="U1318" s="5">
        <f ca="1">IFERROR(__xludf.DUMMYFUNCTION("""COMPUTED_VALUE"""),1)</f>
        <v>1</v>
      </c>
      <c r="V1318" s="5" t="str">
        <f ca="1">IFERROR(__xludf.DUMMYFUNCTION("""COMPUTED_VALUE"""),"Shootout between drug deals, student and teacher hit in cross fire")</f>
        <v>Shootout between drug deals, student and teacher hit in cross fire</v>
      </c>
      <c r="W1318"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X1318" s="5" t="str">
        <f ca="1">IFERROR(__xludf.DUMMYFUNCTION("""COMPUTED_VALUE"""),"Illegal Activity")</f>
        <v>Illegal Activity</v>
      </c>
      <c r="Y1318" s="5" t="str">
        <f ca="1">IFERROR(__xludf.DUMMYFUNCTION("""COMPUTED_VALUE"""),"Both")</f>
        <v>Both</v>
      </c>
      <c r="Z1318" s="5" t="str">
        <f ca="1">IFERROR(__xludf.DUMMYFUNCTION("""COMPUTED_VALUE"""),"No")</f>
        <v>No</v>
      </c>
      <c r="AA1318" s="5" t="str">
        <f ca="1">IFERROR(__xludf.DUMMYFUNCTION("""COMPUTED_VALUE"""),"Shooting at each other")</f>
        <v>Shooting at each other</v>
      </c>
      <c r="AB1318" s="5" t="str">
        <f ca="1">IFERROR(__xludf.DUMMYFUNCTION("""COMPUTED_VALUE"""),"No")</f>
        <v>No</v>
      </c>
      <c r="AC1318" s="5" t="str">
        <f ca="1">IFERROR(__xludf.DUMMYFUNCTION("""COMPUTED_VALUE"""),"No")</f>
        <v>No</v>
      </c>
      <c r="AD1318" s="5" t="str">
        <f ca="1">IFERROR(__xludf.DUMMYFUNCTION("""COMPUTED_VALUE"""),"No")</f>
        <v>No</v>
      </c>
      <c r="AE1318" s="5" t="str">
        <f ca="1">IFERROR(__xludf.DUMMYFUNCTION("""COMPUTED_VALUE"""),"No")</f>
        <v>No</v>
      </c>
      <c r="AF1318" s="5" t="str">
        <f ca="1">IFERROR(__xludf.DUMMYFUNCTION("""COMPUTED_VALUE"""),"No")</f>
        <v>No</v>
      </c>
      <c r="AG1318" s="5" t="str">
        <f ca="1">IFERROR(__xludf.DUMMYFUNCTION("""COMPUTED_VALUE"""),"Yes")</f>
        <v>Yes</v>
      </c>
      <c r="AH1318" s="5"/>
    </row>
    <row r="1319" spans="1:34" ht="12.75">
      <c r="A1319" s="5" t="str">
        <f ca="1">IFERROR(__xludf.DUMMYFUNCTION("""COMPUTED_VALUE"""),"20040209NYCOE")</f>
        <v>20040209NYCOE</v>
      </c>
      <c r="B1319" s="8">
        <f ca="1">IFERROR(__xludf.DUMMYFUNCTION("""COMPUTED_VALUE"""),38026)</f>
        <v>38026</v>
      </c>
      <c r="C1319" s="5" t="str">
        <f ca="1">IFERROR(__xludf.DUMMYFUNCTION("""COMPUTED_VALUE"""),"Columbia High School")</f>
        <v>Columbia High School</v>
      </c>
      <c r="D1319" s="5">
        <f ca="1">IFERROR(__xludf.DUMMYFUNCTION("""COMPUTED_VALUE"""),0)</f>
        <v>0</v>
      </c>
      <c r="E1319" s="5">
        <f ca="1">IFERROR(__xludf.DUMMYFUNCTION("""COMPUTED_VALUE"""),1)</f>
        <v>1</v>
      </c>
      <c r="F1319" s="5">
        <f ca="1">IFERROR(__xludf.DUMMYFUNCTION("""COMPUTED_VALUE"""),1)</f>
        <v>1</v>
      </c>
      <c r="G1319" s="5">
        <f ca="1">IFERROR(__xludf.DUMMYFUNCTION("""COMPUTED_VALUE"""),0)</f>
        <v>0</v>
      </c>
      <c r="H1319" s="5" t="str">
        <f ca="1">IFERROR(__xludf.DUMMYFUNCTION("""COMPUTED_VALUE"""),"https://www.nytimes.com/2004/12/19/nyregion/student-agrees-to-20year-term-after-nonfatal-shooting-spree-in.html https://www.fbi.gov/file-repository/active-shooter-incidents-2000-2017.pdf")</f>
        <v>https://www.nytimes.com/2004/12/19/nyregion/student-agrees-to-20year-term-after-nonfatal-shooting-spree-in.html https://www.fbi.gov/file-repository/active-shooter-incidents-2000-2017.pdf</v>
      </c>
      <c r="I1319" s="5"/>
      <c r="J1319" s="5"/>
      <c r="K1319" s="5">
        <f ca="1">IFERROR(__xludf.DUMMYFUNCTION("""COMPUTED_VALUE"""),3)</f>
        <v>3</v>
      </c>
      <c r="L1319" s="5" t="str">
        <f ca="1">IFERROR(__xludf.DUMMYFUNCTION("""COMPUTED_VALUE"""),"Winter")</f>
        <v>Winter</v>
      </c>
      <c r="M1319" s="5" t="str">
        <f ca="1">IFERROR(__xludf.DUMMYFUNCTION("""COMPUTED_VALUE"""),"East Greenbush")</f>
        <v>East Greenbush</v>
      </c>
      <c r="N1319" s="5" t="str">
        <f ca="1">IFERROR(__xludf.DUMMYFUNCTION("""COMPUTED_VALUE"""),"NY")</f>
        <v>NY</v>
      </c>
      <c r="O1319" s="5" t="str">
        <f ca="1">IFERROR(__xludf.DUMMYFUNCTION("""COMPUTED_VALUE"""),"High")</f>
        <v>High</v>
      </c>
      <c r="P1319" s="5" t="str">
        <f ca="1">IFERROR(__xludf.DUMMYFUNCTION("""COMPUTED_VALUE"""),"Bathroom")</f>
        <v>Bathroom</v>
      </c>
      <c r="Q1319" s="5" t="str">
        <f ca="1">IFERROR(__xludf.DUMMYFUNCTION("""COMPUTED_VALUE"""),"Inside School Building")</f>
        <v>Inside School Building</v>
      </c>
      <c r="R1319" s="5" t="str">
        <f ca="1">IFERROR(__xludf.DUMMYFUNCTION("""COMPUTED_VALUE"""),"Yes")</f>
        <v>Yes</v>
      </c>
      <c r="S1319" s="5" t="str">
        <f ca="1">IFERROR(__xludf.DUMMYFUNCTION("""COMPUTED_VALUE"""),"Morning Classes")</f>
        <v>Morning Classes</v>
      </c>
      <c r="T1319" s="10">
        <f ca="1">IFERROR(__xludf.DUMMYFUNCTION("""COMPUTED_VALUE"""),0.4375)</f>
        <v>0.4375</v>
      </c>
      <c r="U1319" s="5">
        <f ca="1">IFERROR(__xludf.DUMMYFUNCTION("""COMPUTED_VALUE"""),1)</f>
        <v>1</v>
      </c>
      <c r="V1319" s="5" t="str">
        <f ca="1">IFERROR(__xludf.DUMMYFUNCTION("""COMPUTED_VALUE"""),"Planned attack, sent texts warning others, tackled after first shot")</f>
        <v>Planned attack, sent texts warning others, tackled after first shot</v>
      </c>
      <c r="W1319"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X1319" s="5" t="str">
        <f ca="1">IFERROR(__xludf.DUMMYFUNCTION("""COMPUTED_VALUE"""),"Indiscriminate Shooting")</f>
        <v>Indiscriminate Shooting</v>
      </c>
      <c r="Y1319" s="5"/>
      <c r="Z1319" s="5" t="str">
        <f ca="1">IFERROR(__xludf.DUMMYFUNCTION("""COMPUTED_VALUE"""),"No")</f>
        <v>No</v>
      </c>
      <c r="AA1319" s="5"/>
      <c r="AB1319" s="5" t="str">
        <f ca="1">IFERROR(__xludf.DUMMYFUNCTION("""COMPUTED_VALUE"""),"No")</f>
        <v>No</v>
      </c>
      <c r="AC1319" s="5" t="str">
        <f ca="1">IFERROR(__xludf.DUMMYFUNCTION("""COMPUTED_VALUE"""),"No")</f>
        <v>No</v>
      </c>
      <c r="AD1319" s="5" t="str">
        <f ca="1">IFERROR(__xludf.DUMMYFUNCTION("""COMPUTED_VALUE"""),"No")</f>
        <v>No</v>
      </c>
      <c r="AE1319" s="5" t="str">
        <f ca="1">IFERROR(__xludf.DUMMYFUNCTION("""COMPUTED_VALUE"""),"No")</f>
        <v>No</v>
      </c>
      <c r="AF1319" s="5" t="str">
        <f ca="1">IFERROR(__xludf.DUMMYFUNCTION("""COMPUTED_VALUE"""),"No")</f>
        <v>No</v>
      </c>
      <c r="AG1319" s="5" t="str">
        <f ca="1">IFERROR(__xludf.DUMMYFUNCTION("""COMPUTED_VALUE"""),"No")</f>
        <v>No</v>
      </c>
      <c r="AH1319" s="5" t="str">
        <f ca="1">IFERROR(__xludf.DUMMYFUNCTION("""COMPUTED_VALUE"""),"Yes")</f>
        <v>Yes</v>
      </c>
    </row>
    <row r="1320" spans="1:34" ht="12.75">
      <c r="A1320" s="5" t="str">
        <f ca="1">IFERROR(__xludf.DUMMYFUNCTION("""COMPUTED_VALUE"""),"20040206LAFAS")</f>
        <v>20040206LAFAS</v>
      </c>
      <c r="B1320" s="8">
        <f ca="1">IFERROR(__xludf.DUMMYFUNCTION("""COMPUTED_VALUE"""),38023)</f>
        <v>38023</v>
      </c>
      <c r="C1320" s="5" t="str">
        <f ca="1">IFERROR(__xludf.DUMMYFUNCTION("""COMPUTED_VALUE"""),"Fair Park High School")</f>
        <v>Fair Park High School</v>
      </c>
      <c r="D1320" s="5">
        <f ca="1">IFERROR(__xludf.DUMMYFUNCTION("""COMPUTED_VALUE"""),0)</f>
        <v>0</v>
      </c>
      <c r="E1320" s="5">
        <f ca="1">IFERROR(__xludf.DUMMYFUNCTION("""COMPUTED_VALUE"""),0)</f>
        <v>0</v>
      </c>
      <c r="F1320" s="5">
        <f ca="1">IFERROR(__xludf.DUMMYFUNCTION("""COMPUTED_VALUE"""),0)</f>
        <v>0</v>
      </c>
      <c r="G1320" s="5">
        <f ca="1">IFERROR(__xludf.DUMMYFUNCTION("""COMPUTED_VALUE"""),0)</f>
        <v>0</v>
      </c>
      <c r="H1320" s="9" t="str">
        <f ca="1">IFERROR(__xludf.DUMMYFUNCTION("""COMPUTED_VALUE"""),"https://www.shreveporttimes.com/story/news/2017/11/07/times-files-officer-fires-shot-fair-park-high/841429001/")</f>
        <v>https://www.shreveporttimes.com/story/news/2017/11/07/times-files-officer-fires-shot-fair-park-high/841429001/</v>
      </c>
      <c r="I1320" s="5"/>
      <c r="J1320" s="5"/>
      <c r="K1320" s="5">
        <f ca="1">IFERROR(__xludf.DUMMYFUNCTION("""COMPUTED_VALUE"""),2)</f>
        <v>2</v>
      </c>
      <c r="L1320" s="5" t="str">
        <f ca="1">IFERROR(__xludf.DUMMYFUNCTION("""COMPUTED_VALUE"""),"Winter")</f>
        <v>Winter</v>
      </c>
      <c r="M1320" s="5" t="str">
        <f ca="1">IFERROR(__xludf.DUMMYFUNCTION("""COMPUTED_VALUE"""),"Shreveport")</f>
        <v>Shreveport</v>
      </c>
      <c r="N1320" s="5" t="str">
        <f ca="1">IFERROR(__xludf.DUMMYFUNCTION("""COMPUTED_VALUE"""),"LA")</f>
        <v>LA</v>
      </c>
      <c r="O1320" s="5" t="str">
        <f ca="1">IFERROR(__xludf.DUMMYFUNCTION("""COMPUTED_VALUE"""),"High")</f>
        <v>High</v>
      </c>
      <c r="P1320" s="5" t="str">
        <f ca="1">IFERROR(__xludf.DUMMYFUNCTION("""COMPUTED_VALUE"""),"Parking Lot")</f>
        <v>Parking Lot</v>
      </c>
      <c r="Q1320" s="5" t="str">
        <f ca="1">IFERROR(__xludf.DUMMYFUNCTION("""COMPUTED_VALUE"""),"Outside on School Property")</f>
        <v>Outside on School Property</v>
      </c>
      <c r="R1320" s="5" t="str">
        <f ca="1">IFERROR(__xludf.DUMMYFUNCTION("""COMPUTED_VALUE"""),"Yes")</f>
        <v>Yes</v>
      </c>
      <c r="S1320" s="5"/>
      <c r="T1320" s="5"/>
      <c r="U1320" s="5">
        <f ca="1">IFERROR(__xludf.DUMMYFUNCTION("""COMPUTED_VALUE"""),1)</f>
        <v>1</v>
      </c>
      <c r="V1320" s="5" t="str">
        <f ca="1">IFERROR(__xludf.DUMMYFUNCTION("""COMPUTED_VALUE"""),"Police officer fired at student in vehicle in parking lot")</f>
        <v>Police officer fired at student in vehicle in parking lot</v>
      </c>
      <c r="W1320"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X1320" s="5" t="str">
        <f ca="1">IFERROR(__xludf.DUMMYFUNCTION("""COMPUTED_VALUE"""),"Illegal Activity")</f>
        <v>Illegal Activity</v>
      </c>
      <c r="Y1320" s="5" t="str">
        <f ca="1">IFERROR(__xludf.DUMMYFUNCTION("""COMPUTED_VALUE"""),"Victims Targeted")</f>
        <v>Victims Targeted</v>
      </c>
      <c r="Z1320" s="5" t="str">
        <f ca="1">IFERROR(__xludf.DUMMYFUNCTION("""COMPUTED_VALUE"""),"No")</f>
        <v>No</v>
      </c>
      <c r="AA1320" s="5"/>
      <c r="AB1320" s="5" t="str">
        <f ca="1">IFERROR(__xludf.DUMMYFUNCTION("""COMPUTED_VALUE"""),"No")</f>
        <v>No</v>
      </c>
      <c r="AC1320" s="5" t="str">
        <f ca="1">IFERROR(__xludf.DUMMYFUNCTION("""COMPUTED_VALUE"""),"No")</f>
        <v>No</v>
      </c>
      <c r="AD1320" s="5" t="str">
        <f ca="1">IFERROR(__xludf.DUMMYFUNCTION("""COMPUTED_VALUE"""),"Yes")</f>
        <v>Yes</v>
      </c>
      <c r="AE1320" s="5" t="str">
        <f ca="1">IFERROR(__xludf.DUMMYFUNCTION("""COMPUTED_VALUE"""),"N/A")</f>
        <v>N/A</v>
      </c>
      <c r="AF1320" s="5" t="str">
        <f ca="1">IFERROR(__xludf.DUMMYFUNCTION("""COMPUTED_VALUE"""),"N/A")</f>
        <v>N/A</v>
      </c>
      <c r="AG1320" s="5" t="str">
        <f ca="1">IFERROR(__xludf.DUMMYFUNCTION("""COMPUTED_VALUE"""),"N/A")</f>
        <v>N/A</v>
      </c>
      <c r="AH1320" s="5" t="str">
        <f ca="1">IFERROR(__xludf.DUMMYFUNCTION("""COMPUTED_VALUE"""),"N/A")</f>
        <v>N/A</v>
      </c>
    </row>
    <row r="1321" spans="1:34" ht="12.75">
      <c r="A1321" s="5" t="str">
        <f ca="1">IFERROR(__xludf.DUMMYFUNCTION("""COMPUTED_VALUE"""),"20040203TXYOH")</f>
        <v>20040203TXYOH</v>
      </c>
      <c r="B1321" s="8">
        <f ca="1">IFERROR(__xludf.DUMMYFUNCTION("""COMPUTED_VALUE"""),38020)</f>
        <v>38020</v>
      </c>
      <c r="C1321" s="5" t="str">
        <f ca="1">IFERROR(__xludf.DUMMYFUNCTION("""COMPUTED_VALUE"""),"Youens Elementary School")</f>
        <v>Youens Elementary School</v>
      </c>
      <c r="D1321" s="5">
        <f ca="1">IFERROR(__xludf.DUMMYFUNCTION("""COMPUTED_VALUE"""),0)</f>
        <v>0</v>
      </c>
      <c r="E1321" s="5">
        <f ca="1">IFERROR(__xludf.DUMMYFUNCTION("""COMPUTED_VALUE"""),0)</f>
        <v>0</v>
      </c>
      <c r="F1321" s="5">
        <f ca="1">IFERROR(__xludf.DUMMYFUNCTION("""COMPUTED_VALUE"""),0)</f>
        <v>0</v>
      </c>
      <c r="G1321" s="5">
        <f ca="1">IFERROR(__xludf.DUMMYFUNCTION("""COMPUTED_VALUE"""),0)</f>
        <v>0</v>
      </c>
      <c r="H1321" s="9" t="str">
        <f ca="1">IFERROR(__xludf.DUMMYFUNCTION("""COMPUTED_VALUE"""),"https://www.chron.com/news/houston-texas/article/Fifth-grader-accidentally-shoots-himself-at-school-1979500.php")</f>
        <v>https://www.chron.com/news/houston-texas/article/Fifth-grader-accidentally-shoots-himself-at-school-1979500.php</v>
      </c>
      <c r="I1321" s="5"/>
      <c r="J1321" s="5"/>
      <c r="K1321" s="5">
        <f ca="1">IFERROR(__xludf.DUMMYFUNCTION("""COMPUTED_VALUE"""),2)</f>
        <v>2</v>
      </c>
      <c r="L1321" s="5" t="str">
        <f ca="1">IFERROR(__xludf.DUMMYFUNCTION("""COMPUTED_VALUE"""),"Winter")</f>
        <v>Winter</v>
      </c>
      <c r="M1321" s="5" t="str">
        <f ca="1">IFERROR(__xludf.DUMMYFUNCTION("""COMPUTED_VALUE"""),"Houston")</f>
        <v>Houston</v>
      </c>
      <c r="N1321" s="5" t="str">
        <f ca="1">IFERROR(__xludf.DUMMYFUNCTION("""COMPUTED_VALUE"""),"TX")</f>
        <v>TX</v>
      </c>
      <c r="O1321" s="5" t="str">
        <f ca="1">IFERROR(__xludf.DUMMYFUNCTION("""COMPUTED_VALUE"""),"Elementary")</f>
        <v>Elementary</v>
      </c>
      <c r="P1321" s="5" t="str">
        <f ca="1">IFERROR(__xludf.DUMMYFUNCTION("""COMPUTED_VALUE"""),"Classroom")</f>
        <v>Classroom</v>
      </c>
      <c r="Q1321" s="5" t="str">
        <f ca="1">IFERROR(__xludf.DUMMYFUNCTION("""COMPUTED_VALUE"""),"Inside School Building")</f>
        <v>Inside School Building</v>
      </c>
      <c r="R1321" s="5" t="str">
        <f ca="1">IFERROR(__xludf.DUMMYFUNCTION("""COMPUTED_VALUE"""),"Yes")</f>
        <v>Yes</v>
      </c>
      <c r="S1321" s="5" t="str">
        <f ca="1">IFERROR(__xludf.DUMMYFUNCTION("""COMPUTED_VALUE"""),"Afternoon Classes")</f>
        <v>Afternoon Classes</v>
      </c>
      <c r="T1321" s="10">
        <f ca="1">IFERROR(__xludf.DUMMYFUNCTION("""COMPUTED_VALUE"""),0.4375)</f>
        <v>0.4375</v>
      </c>
      <c r="U1321" s="5">
        <f ca="1">IFERROR(__xludf.DUMMYFUNCTION("""COMPUTED_VALUE"""),1)</f>
        <v>1</v>
      </c>
      <c r="V1321" s="5" t="str">
        <f ca="1">IFERROR(__xludf.DUMMYFUNCTION("""COMPUTED_VALUE"""),"Showed off gun, fired when he put it into waistband of pants striking himself")</f>
        <v>Showed off gun, fired when he put it into waistband of pants striking himself</v>
      </c>
      <c r="W1321"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X1321" s="5" t="str">
        <f ca="1">IFERROR(__xludf.DUMMYFUNCTION("""COMPUTED_VALUE"""),"Accidental")</f>
        <v>Accidental</v>
      </c>
      <c r="Y1321" s="5" t="str">
        <f ca="1">IFERROR(__xludf.DUMMYFUNCTION("""COMPUTED_VALUE"""),"Neither")</f>
        <v>Neither</v>
      </c>
      <c r="Z1321" s="5" t="str">
        <f ca="1">IFERROR(__xludf.DUMMYFUNCTION("""COMPUTED_VALUE"""),"No")</f>
        <v>No</v>
      </c>
      <c r="AA1321" s="5"/>
      <c r="AB1321" s="5" t="str">
        <f ca="1">IFERROR(__xludf.DUMMYFUNCTION("""COMPUTED_VALUE"""),"No")</f>
        <v>No</v>
      </c>
      <c r="AC1321" s="5" t="str">
        <f ca="1">IFERROR(__xludf.DUMMYFUNCTION("""COMPUTED_VALUE"""),"No")</f>
        <v>No</v>
      </c>
      <c r="AD1321" s="5" t="str">
        <f ca="1">IFERROR(__xludf.DUMMYFUNCTION("""COMPUTED_VALUE"""),"No")</f>
        <v>No</v>
      </c>
      <c r="AE1321" s="5" t="str">
        <f ca="1">IFERROR(__xludf.DUMMYFUNCTION("""COMPUTED_VALUE"""),"No")</f>
        <v>No</v>
      </c>
      <c r="AF1321" s="5" t="str">
        <f ca="1">IFERROR(__xludf.DUMMYFUNCTION("""COMPUTED_VALUE"""),"No")</f>
        <v>No</v>
      </c>
      <c r="AG1321" s="5" t="str">
        <f ca="1">IFERROR(__xludf.DUMMYFUNCTION("""COMPUTED_VALUE"""),"No")</f>
        <v>No</v>
      </c>
      <c r="AH1321" s="5"/>
    </row>
    <row r="1322" spans="1:34" ht="12.75">
      <c r="A1322" s="5" t="str">
        <f ca="1">IFERROR(__xludf.DUMMYFUNCTION("""COMPUTED_VALUE"""),"20040202DCBAW")</f>
        <v>20040202DCBAW</v>
      </c>
      <c r="B1322" s="8">
        <f ca="1">IFERROR(__xludf.DUMMYFUNCTION("""COMPUTED_VALUE"""),38019)</f>
        <v>38019</v>
      </c>
      <c r="C1322" s="5" t="str">
        <f ca="1">IFERROR(__xludf.DUMMYFUNCTION("""COMPUTED_VALUE"""),"Ballou Senior High School")</f>
        <v>Ballou Senior High School</v>
      </c>
      <c r="D1322" s="5">
        <f ca="1">IFERROR(__xludf.DUMMYFUNCTION("""COMPUTED_VALUE"""),1)</f>
        <v>1</v>
      </c>
      <c r="E1322" s="5">
        <f ca="1">IFERROR(__xludf.DUMMYFUNCTION("""COMPUTED_VALUE"""),0)</f>
        <v>0</v>
      </c>
      <c r="F1322" s="5">
        <f ca="1">IFERROR(__xludf.DUMMYFUNCTION("""COMPUTED_VALUE"""),1)</f>
        <v>1</v>
      </c>
      <c r="G1322" s="5">
        <f ca="1">IFERROR(__xludf.DUMMYFUNCTION("""COMPUTED_VALUE"""),0)</f>
        <v>0</v>
      </c>
      <c r="H1322" s="9" t="str">
        <f ca="1">IFERROR(__xludf.DUMMYFUNCTION("""COMPUTED_VALUE"""),"http://www.washingtonpost.com/wp-dyn/articles/A13630-2004Feb4.html")</f>
        <v>http://www.washingtonpost.com/wp-dyn/articles/A13630-2004Feb4.html</v>
      </c>
      <c r="I1322" s="5"/>
      <c r="J1322" s="5"/>
      <c r="K1322" s="5">
        <f ca="1">IFERROR(__xludf.DUMMYFUNCTION("""COMPUTED_VALUE"""),2)</f>
        <v>2</v>
      </c>
      <c r="L1322" s="5" t="str">
        <f ca="1">IFERROR(__xludf.DUMMYFUNCTION("""COMPUTED_VALUE"""),"Winter")</f>
        <v>Winter</v>
      </c>
      <c r="M1322" s="5" t="str">
        <f ca="1">IFERROR(__xludf.DUMMYFUNCTION("""COMPUTED_VALUE"""),"Washington")</f>
        <v>Washington</v>
      </c>
      <c r="N1322" s="5" t="str">
        <f ca="1">IFERROR(__xludf.DUMMYFUNCTION("""COMPUTED_VALUE"""),"DC")</f>
        <v>DC</v>
      </c>
      <c r="O1322" s="5" t="str">
        <f ca="1">IFERROR(__xludf.DUMMYFUNCTION("""COMPUTED_VALUE"""),"High")</f>
        <v>High</v>
      </c>
      <c r="P1322" s="5" t="str">
        <f ca="1">IFERROR(__xludf.DUMMYFUNCTION("""COMPUTED_VALUE"""),"Beside Building")</f>
        <v>Beside Building</v>
      </c>
      <c r="Q1322" s="5" t="str">
        <f ca="1">IFERROR(__xludf.DUMMYFUNCTION("""COMPUTED_VALUE"""),"Outside on School Property")</f>
        <v>Outside on School Property</v>
      </c>
      <c r="R1322" s="5" t="str">
        <f ca="1">IFERROR(__xludf.DUMMYFUNCTION("""COMPUTED_VALUE"""),"Yes")</f>
        <v>Yes</v>
      </c>
      <c r="S1322" s="5" t="str">
        <f ca="1">IFERROR(__xludf.DUMMYFUNCTION("""COMPUTED_VALUE"""),"Morning Classes")</f>
        <v>Morning Classes</v>
      </c>
      <c r="T1322" s="10">
        <f ca="1">IFERROR(__xludf.DUMMYFUNCTION("""COMPUTED_VALUE"""),0.4375)</f>
        <v>0.4375</v>
      </c>
      <c r="U1322" s="5">
        <f ca="1">IFERROR(__xludf.DUMMYFUNCTION("""COMPUTED_VALUE"""),1)</f>
        <v>1</v>
      </c>
      <c r="V1322" s="5" t="str">
        <f ca="1">IFERROR(__xludf.DUMMYFUNCTION("""COMPUTED_VALUE"""),"Multiple fights between shooter and victim")</f>
        <v>Multiple fights between shooter and victim</v>
      </c>
      <c r="W1322"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X1322" s="5" t="str">
        <f ca="1">IFERROR(__xludf.DUMMYFUNCTION("""COMPUTED_VALUE"""),"Escalation of Dispute")</f>
        <v>Escalation of Dispute</v>
      </c>
      <c r="Y1322" s="5" t="str">
        <f ca="1">IFERROR(__xludf.DUMMYFUNCTION("""COMPUTED_VALUE"""),"Victims Targeted")</f>
        <v>Victims Targeted</v>
      </c>
      <c r="Z1322" s="5" t="str">
        <f ca="1">IFERROR(__xludf.DUMMYFUNCTION("""COMPUTED_VALUE"""),"No")</f>
        <v>No</v>
      </c>
      <c r="AA1322" s="5"/>
      <c r="AB1322" s="5" t="str">
        <f ca="1">IFERROR(__xludf.DUMMYFUNCTION("""COMPUTED_VALUE"""),"No")</f>
        <v>No</v>
      </c>
      <c r="AC1322" s="5" t="str">
        <f ca="1">IFERROR(__xludf.DUMMYFUNCTION("""COMPUTED_VALUE"""),"No")</f>
        <v>No</v>
      </c>
      <c r="AD1322" s="5" t="str">
        <f ca="1">IFERROR(__xludf.DUMMYFUNCTION("""COMPUTED_VALUE"""),"No")</f>
        <v>No</v>
      </c>
      <c r="AE1322" s="5" t="str">
        <f ca="1">IFERROR(__xludf.DUMMYFUNCTION("""COMPUTED_VALUE"""),"No")</f>
        <v>No</v>
      </c>
      <c r="AF1322" s="5" t="str">
        <f ca="1">IFERROR(__xludf.DUMMYFUNCTION("""COMPUTED_VALUE"""),"No")</f>
        <v>No</v>
      </c>
      <c r="AG1322" s="5" t="str">
        <f ca="1">IFERROR(__xludf.DUMMYFUNCTION("""COMPUTED_VALUE"""),"No")</f>
        <v>No</v>
      </c>
      <c r="AH1322" s="5"/>
    </row>
    <row r="1323" spans="1:34" ht="12.75">
      <c r="A1323" s="5" t="str">
        <f ca="1">IFERROR(__xludf.DUMMYFUNCTION("""COMPUTED_VALUE"""),"20040121NVFAH")</f>
        <v>20040121NVFAH</v>
      </c>
      <c r="B1323" s="8">
        <f ca="1">IFERROR(__xludf.DUMMYFUNCTION("""COMPUTED_VALUE"""),38007)</f>
        <v>38007</v>
      </c>
      <c r="C1323" s="5" t="str">
        <f ca="1">IFERROR(__xludf.DUMMYFUNCTION("""COMPUTED_VALUE"""),"Fay Galloway Elementary School")</f>
        <v>Fay Galloway Elementary School</v>
      </c>
      <c r="D1323" s="5">
        <f ca="1">IFERROR(__xludf.DUMMYFUNCTION("""COMPUTED_VALUE"""),1)</f>
        <v>1</v>
      </c>
      <c r="E1323" s="5">
        <f ca="1">IFERROR(__xludf.DUMMYFUNCTION("""COMPUTED_VALUE"""),0)</f>
        <v>0</v>
      </c>
      <c r="F1323" s="5">
        <f ca="1">IFERROR(__xludf.DUMMYFUNCTION("""COMPUTED_VALUE"""),1)</f>
        <v>1</v>
      </c>
      <c r="G1323" s="5">
        <f ca="1">IFERROR(__xludf.DUMMYFUNCTION("""COMPUTED_VALUE"""),1)</f>
        <v>1</v>
      </c>
      <c r="H1323" s="9" t="str">
        <f ca="1">IFERROR(__xludf.DUMMYFUNCTION("""COMPUTED_VALUE"""),"https://lasvegassun.com/news/2004/feb/27/inquest-begins-in-shooting-at-elementary-school/")</f>
        <v>https://lasvegassun.com/news/2004/feb/27/inquest-begins-in-shooting-at-elementary-school/</v>
      </c>
      <c r="I1323" s="5">
        <f ca="1">IFERROR(__xludf.DUMMYFUNCTION("""COMPUTED_VALUE"""),3)</f>
        <v>3</v>
      </c>
      <c r="J1323" s="5" t="str">
        <f ca="1">IFERROR(__xludf.DUMMYFUNCTION("""COMPUTED_VALUE"""),"Local")</f>
        <v>Local</v>
      </c>
      <c r="K1323" s="5">
        <f ca="1">IFERROR(__xludf.DUMMYFUNCTION("""COMPUTED_VALUE"""),2)</f>
        <v>2</v>
      </c>
      <c r="L1323" s="5" t="str">
        <f ca="1">IFERROR(__xludf.DUMMYFUNCTION("""COMPUTED_VALUE"""),"Winter")</f>
        <v>Winter</v>
      </c>
      <c r="M1323" s="5" t="str">
        <f ca="1">IFERROR(__xludf.DUMMYFUNCTION("""COMPUTED_VALUE"""),"Henderson")</f>
        <v>Henderson</v>
      </c>
      <c r="N1323" s="5" t="str">
        <f ca="1">IFERROR(__xludf.DUMMYFUNCTION("""COMPUTED_VALUE"""),"NV")</f>
        <v>NV</v>
      </c>
      <c r="O1323" s="5" t="str">
        <f ca="1">IFERROR(__xludf.DUMMYFUNCTION("""COMPUTED_VALUE"""),"Elementary")</f>
        <v>Elementary</v>
      </c>
      <c r="P1323" s="5" t="str">
        <f ca="1">IFERROR(__xludf.DUMMYFUNCTION("""COMPUTED_VALUE"""),"Classroom; Parking Lot")</f>
        <v>Classroom; Parking Lot</v>
      </c>
      <c r="Q1323" s="5" t="str">
        <f ca="1">IFERROR(__xludf.DUMMYFUNCTION("""COMPUTED_VALUE"""),"Both Inside/Outside")</f>
        <v>Both Inside/Outside</v>
      </c>
      <c r="R1323" s="5" t="str">
        <f ca="1">IFERROR(__xludf.DUMMYFUNCTION("""COMPUTED_VALUE"""),"No")</f>
        <v>No</v>
      </c>
      <c r="S1323" s="5" t="str">
        <f ca="1">IFERROR(__xludf.DUMMYFUNCTION("""COMPUTED_VALUE"""),"After School")</f>
        <v>After School</v>
      </c>
      <c r="T1323" s="10">
        <f ca="1">IFERROR(__xludf.DUMMYFUNCTION("""COMPUTED_VALUE"""),0.701388888888888)</f>
        <v>0.70138888888888795</v>
      </c>
      <c r="U1323" s="5">
        <f ca="1">IFERROR(__xludf.DUMMYFUNCTION("""COMPUTED_VALUE"""),20)</f>
        <v>20</v>
      </c>
      <c r="V1323"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W1323"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X1323" s="5" t="str">
        <f ca="1">IFERROR(__xludf.DUMMYFUNCTION("""COMPUTED_VALUE"""),"Domestic w/ Targeted Victim")</f>
        <v>Domestic w/ Targeted Victim</v>
      </c>
      <c r="Y1323" s="5" t="str">
        <f ca="1">IFERROR(__xludf.DUMMYFUNCTION("""COMPUTED_VALUE"""),"Victims Targeted")</f>
        <v>Victims Targeted</v>
      </c>
      <c r="Z1323" s="5" t="str">
        <f ca="1">IFERROR(__xludf.DUMMYFUNCTION("""COMPUTED_VALUE"""),"No")</f>
        <v>No</v>
      </c>
      <c r="AA1323" s="5"/>
      <c r="AB1323" s="5" t="str">
        <f ca="1">IFERROR(__xludf.DUMMYFUNCTION("""COMPUTED_VALUE"""),"Yes")</f>
        <v>Yes</v>
      </c>
      <c r="AC1323" s="5" t="str">
        <f ca="1">IFERROR(__xludf.DUMMYFUNCTION("""COMPUTED_VALUE"""),"No")</f>
        <v>No</v>
      </c>
      <c r="AD1323" s="5" t="str">
        <f ca="1">IFERROR(__xludf.DUMMYFUNCTION("""COMPUTED_VALUE"""),"No")</f>
        <v>No</v>
      </c>
      <c r="AE1323" s="5" t="str">
        <f ca="1">IFERROR(__xludf.DUMMYFUNCTION("""COMPUTED_VALUE"""),"No")</f>
        <v>No</v>
      </c>
      <c r="AF1323" s="5" t="str">
        <f ca="1">IFERROR(__xludf.DUMMYFUNCTION("""COMPUTED_VALUE"""),"Yes")</f>
        <v>Yes</v>
      </c>
      <c r="AG1323" s="5" t="str">
        <f ca="1">IFERROR(__xludf.DUMMYFUNCTION("""COMPUTED_VALUE"""),"No")</f>
        <v>No</v>
      </c>
      <c r="AH1323" s="5" t="str">
        <f ca="1">IFERROR(__xludf.DUMMYFUNCTION("""COMPUTED_VALUE"""),"Yes")</f>
        <v>Yes</v>
      </c>
    </row>
    <row r="1324" spans="1:34" ht="12.75">
      <c r="A1324" s="5" t="str">
        <f ca="1">IFERROR(__xludf.DUMMYFUNCTION("""COMPUTED_VALUE"""),"20040115CAPOP")</f>
        <v>20040115CAPOP</v>
      </c>
      <c r="B1324" s="8">
        <f ca="1">IFERROR(__xludf.DUMMYFUNCTION("""COMPUTED_VALUE"""),38001)</f>
        <v>38001</v>
      </c>
      <c r="C1324" s="5" t="str">
        <f ca="1">IFERROR(__xludf.DUMMYFUNCTION("""COMPUTED_VALUE"""),"Pomona High School")</f>
        <v>Pomona High School</v>
      </c>
      <c r="D1324" s="5">
        <f ca="1">IFERROR(__xludf.DUMMYFUNCTION("""COMPUTED_VALUE"""),0)</f>
        <v>0</v>
      </c>
      <c r="E1324" s="5">
        <f ca="1">IFERROR(__xludf.DUMMYFUNCTION("""COMPUTED_VALUE"""),1)</f>
        <v>1</v>
      </c>
      <c r="F1324" s="5">
        <f ca="1">IFERROR(__xludf.DUMMYFUNCTION("""COMPUTED_VALUE"""),1)</f>
        <v>1</v>
      </c>
      <c r="G1324" s="5">
        <f ca="1">IFERROR(__xludf.DUMMYFUNCTION("""COMPUTED_VALUE"""),0)</f>
        <v>0</v>
      </c>
      <c r="H1324" s="9" t="str">
        <f ca="1">IFERROR(__xludf.DUMMYFUNCTION("""COMPUTED_VALUE"""),"https://www.newspapers.com/image/192733466/?terms=Pomona%2BHigh%2BSchool%2Bstudent%2Bshot")</f>
        <v>https://www.newspapers.com/image/192733466/?terms=Pomona%2BHigh%2BSchool%2Bstudent%2Bshot</v>
      </c>
      <c r="I1324" s="5"/>
      <c r="J1324" s="5"/>
      <c r="K1324" s="5">
        <f ca="1">IFERROR(__xludf.DUMMYFUNCTION("""COMPUTED_VALUE"""),2)</f>
        <v>2</v>
      </c>
      <c r="L1324" s="5" t="str">
        <f ca="1">IFERROR(__xludf.DUMMYFUNCTION("""COMPUTED_VALUE"""),"Winter")</f>
        <v>Winter</v>
      </c>
      <c r="M1324" s="5" t="str">
        <f ca="1">IFERROR(__xludf.DUMMYFUNCTION("""COMPUTED_VALUE"""),"Pomona")</f>
        <v>Pomona</v>
      </c>
      <c r="N1324" s="5" t="str">
        <f ca="1">IFERROR(__xludf.DUMMYFUNCTION("""COMPUTED_VALUE"""),"CA")</f>
        <v>CA</v>
      </c>
      <c r="O1324" s="5" t="str">
        <f ca="1">IFERROR(__xludf.DUMMYFUNCTION("""COMPUTED_VALUE"""),"High")</f>
        <v>High</v>
      </c>
      <c r="P1324" s="5" t="str">
        <f ca="1">IFERROR(__xludf.DUMMYFUNCTION("""COMPUTED_VALUE"""),"Classroom")</f>
        <v>Classroom</v>
      </c>
      <c r="Q1324" s="5" t="str">
        <f ca="1">IFERROR(__xludf.DUMMYFUNCTION("""COMPUTED_VALUE"""),"Inside School Building")</f>
        <v>Inside School Building</v>
      </c>
      <c r="R1324" s="5" t="str">
        <f ca="1">IFERROR(__xludf.DUMMYFUNCTION("""COMPUTED_VALUE"""),"Yes")</f>
        <v>Yes</v>
      </c>
      <c r="S1324" s="5" t="str">
        <f ca="1">IFERROR(__xludf.DUMMYFUNCTION("""COMPUTED_VALUE"""),"Morning Classes")</f>
        <v>Morning Classes</v>
      </c>
      <c r="T1324" s="5"/>
      <c r="U1324" s="5">
        <f ca="1">IFERROR(__xludf.DUMMYFUNCTION("""COMPUTED_VALUE"""),1)</f>
        <v>1</v>
      </c>
      <c r="V1324"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W1324"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X1324" s="5" t="str">
        <f ca="1">IFERROR(__xludf.DUMMYFUNCTION("""COMPUTED_VALUE"""),"Accidental")</f>
        <v>Accidental</v>
      </c>
      <c r="Y1324" s="5" t="str">
        <f ca="1">IFERROR(__xludf.DUMMYFUNCTION("""COMPUTED_VALUE"""),"Random Shooting")</f>
        <v>Random Shooting</v>
      </c>
      <c r="Z1324" s="5" t="str">
        <f ca="1">IFERROR(__xludf.DUMMYFUNCTION("""COMPUTED_VALUE"""),"Yes")</f>
        <v>Yes</v>
      </c>
      <c r="AA1324" s="5" t="str">
        <f ca="1">IFERROR(__xludf.DUMMYFUNCTION("""COMPUTED_VALUE"""),"Passing the gun to another student when it went off")</f>
        <v>Passing the gun to another student when it went off</v>
      </c>
      <c r="AB1324" s="5" t="str">
        <f ca="1">IFERROR(__xludf.DUMMYFUNCTION("""COMPUTED_VALUE"""),"No")</f>
        <v>No</v>
      </c>
      <c r="AC1324" s="5" t="str">
        <f ca="1">IFERROR(__xludf.DUMMYFUNCTION("""COMPUTED_VALUE"""),"No")</f>
        <v>No</v>
      </c>
      <c r="AD1324" s="5" t="str">
        <f ca="1">IFERROR(__xludf.DUMMYFUNCTION("""COMPUTED_VALUE"""),"No")</f>
        <v>No</v>
      </c>
      <c r="AE1324" s="5" t="str">
        <f ca="1">IFERROR(__xludf.DUMMYFUNCTION("""COMPUTED_VALUE"""),"No")</f>
        <v>No</v>
      </c>
      <c r="AF1324" s="5" t="str">
        <f ca="1">IFERROR(__xludf.DUMMYFUNCTION("""COMPUTED_VALUE"""),"No")</f>
        <v>No</v>
      </c>
      <c r="AG1324" s="5" t="str">
        <f ca="1">IFERROR(__xludf.DUMMYFUNCTION("""COMPUTED_VALUE"""),"No")</f>
        <v>No</v>
      </c>
      <c r="AH1324" s="5"/>
    </row>
    <row r="1325" spans="1:34" ht="12.75">
      <c r="A1325" s="5" t="str">
        <f ca="1">IFERROR(__xludf.DUMMYFUNCTION("""COMPUTED_VALUE"""),"20031229FLABE")</f>
        <v>20031229FLABE</v>
      </c>
      <c r="B1325" s="8">
        <f ca="1">IFERROR(__xludf.DUMMYFUNCTION("""COMPUTED_VALUE"""),37984)</f>
        <v>37984</v>
      </c>
      <c r="C1325" s="5" t="str">
        <f ca="1">IFERROR(__xludf.DUMMYFUNCTION("""COMPUTED_VALUE"""),"Abess Park Elementary School")</f>
        <v>Abess Park Elementary School</v>
      </c>
      <c r="D1325" s="5">
        <f ca="1">IFERROR(__xludf.DUMMYFUNCTION("""COMPUTED_VALUE"""),1)</f>
        <v>1</v>
      </c>
      <c r="E1325" s="5">
        <f ca="1">IFERROR(__xludf.DUMMYFUNCTION("""COMPUTED_VALUE"""),1)</f>
        <v>1</v>
      </c>
      <c r="F1325" s="5">
        <f ca="1">IFERROR(__xludf.DUMMYFUNCTION("""COMPUTED_VALUE"""),2)</f>
        <v>2</v>
      </c>
      <c r="G1325" s="5">
        <f ca="1">IFERROR(__xludf.DUMMYFUNCTION("""COMPUTED_VALUE"""),0)</f>
        <v>0</v>
      </c>
      <c r="H1325" s="9" t="str">
        <f ca="1">IFERROR(__xludf.DUMMYFUNCTION("""COMPUTED_VALUE"""),"https://www.news4jax.com/news/two-brothers-arrested-for-school-lot-shooting")</f>
        <v>https://www.news4jax.com/news/two-brothers-arrested-for-school-lot-shooting</v>
      </c>
      <c r="I1325" s="5"/>
      <c r="J1325" s="5"/>
      <c r="K1325" s="5">
        <f ca="1">IFERROR(__xludf.DUMMYFUNCTION("""COMPUTED_VALUE"""),2)</f>
        <v>2</v>
      </c>
      <c r="L1325" s="5" t="str">
        <f ca="1">IFERROR(__xludf.DUMMYFUNCTION("""COMPUTED_VALUE"""),"Winter")</f>
        <v>Winter</v>
      </c>
      <c r="M1325" s="5" t="str">
        <f ca="1">IFERROR(__xludf.DUMMYFUNCTION("""COMPUTED_VALUE"""),"East Arlington")</f>
        <v>East Arlington</v>
      </c>
      <c r="N1325" s="5" t="str">
        <f ca="1">IFERROR(__xludf.DUMMYFUNCTION("""COMPUTED_VALUE"""),"FL")</f>
        <v>FL</v>
      </c>
      <c r="O1325" s="5" t="str">
        <f ca="1">IFERROR(__xludf.DUMMYFUNCTION("""COMPUTED_VALUE"""),"Elementary")</f>
        <v>Elementary</v>
      </c>
      <c r="P1325" s="5" t="str">
        <f ca="1">IFERROR(__xludf.DUMMYFUNCTION("""COMPUTED_VALUE"""),"Parking Lot")</f>
        <v>Parking Lot</v>
      </c>
      <c r="Q1325" s="5" t="str">
        <f ca="1">IFERROR(__xludf.DUMMYFUNCTION("""COMPUTED_VALUE"""),"Outside on School Property")</f>
        <v>Outside on School Property</v>
      </c>
      <c r="R1325" s="5" t="str">
        <f ca="1">IFERROR(__xludf.DUMMYFUNCTION("""COMPUTED_VALUE"""),"No")</f>
        <v>No</v>
      </c>
      <c r="S1325" s="5" t="str">
        <f ca="1">IFERROR(__xludf.DUMMYFUNCTION("""COMPUTED_VALUE"""),"Night")</f>
        <v>Night</v>
      </c>
      <c r="T1325" s="10">
        <f ca="1">IFERROR(__xludf.DUMMYFUNCTION("""COMPUTED_VALUE"""),0.166666666666666)</f>
        <v>0.16666666666666599</v>
      </c>
      <c r="U1325" s="5">
        <f ca="1">IFERROR(__xludf.DUMMYFUNCTION("""COMPUTED_VALUE"""),1)</f>
        <v>1</v>
      </c>
      <c r="V1325" s="5" t="str">
        <f ca="1">IFERROR(__xludf.DUMMYFUNCTION("""COMPUTED_VALUE"""),"Shooting between rival gangs in school parking lot")</f>
        <v>Shooting between rival gangs in school parking lot</v>
      </c>
      <c r="W1325"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X1325" s="5" t="str">
        <f ca="1">IFERROR(__xludf.DUMMYFUNCTION("""COMPUTED_VALUE"""),"Escalation of Dispute")</f>
        <v>Escalation of Dispute</v>
      </c>
      <c r="Y1325" s="5" t="str">
        <f ca="1">IFERROR(__xludf.DUMMYFUNCTION("""COMPUTED_VALUE"""),"Victims Targeted")</f>
        <v>Victims Targeted</v>
      </c>
      <c r="Z1325" s="5" t="str">
        <f ca="1">IFERROR(__xludf.DUMMYFUNCTION("""COMPUTED_VALUE"""),"Yes")</f>
        <v>Yes</v>
      </c>
      <c r="AA1325" s="5" t="str">
        <f ca="1">IFERROR(__xludf.DUMMYFUNCTION("""COMPUTED_VALUE"""),"Brother was with him during shooting and drove him to hospital")</f>
        <v>Brother was with him during shooting and drove him to hospital</v>
      </c>
      <c r="AB1325" s="5" t="str">
        <f ca="1">IFERROR(__xludf.DUMMYFUNCTION("""COMPUTED_VALUE"""),"No")</f>
        <v>No</v>
      </c>
      <c r="AC1325" s="5" t="str">
        <f ca="1">IFERROR(__xludf.DUMMYFUNCTION("""COMPUTED_VALUE"""),"No")</f>
        <v>No</v>
      </c>
      <c r="AD1325" s="5" t="str">
        <f ca="1">IFERROR(__xludf.DUMMYFUNCTION("""COMPUTED_VALUE"""),"No")</f>
        <v>No</v>
      </c>
      <c r="AE1325" s="5" t="str">
        <f ca="1">IFERROR(__xludf.DUMMYFUNCTION("""COMPUTED_VALUE"""),"No")</f>
        <v>No</v>
      </c>
      <c r="AF1325" s="5" t="str">
        <f ca="1">IFERROR(__xludf.DUMMYFUNCTION("""COMPUTED_VALUE"""),"No")</f>
        <v>No</v>
      </c>
      <c r="AG1325" s="5" t="str">
        <f ca="1">IFERROR(__xludf.DUMMYFUNCTION("""COMPUTED_VALUE"""),"Yes")</f>
        <v>Yes</v>
      </c>
      <c r="AH1325" s="5"/>
    </row>
    <row r="1326" spans="1:34" ht="12.75">
      <c r="A1326" s="5" t="str">
        <f ca="1">IFERROR(__xludf.DUMMYFUNCTION("""COMPUTED_VALUE"""),"20031222NJCOW")</f>
        <v>20031222NJCOW</v>
      </c>
      <c r="B1326" s="8">
        <f ca="1">IFERROR(__xludf.DUMMYFUNCTION("""COMPUTED_VALUE"""),37977)</f>
        <v>37977</v>
      </c>
      <c r="C1326" s="5" t="str">
        <f ca="1">IFERROR(__xludf.DUMMYFUNCTION("""COMPUTED_VALUE"""),"Colonia High School")</f>
        <v>Colonia High School</v>
      </c>
      <c r="D1326" s="5">
        <f ca="1">IFERROR(__xludf.DUMMYFUNCTION("""COMPUTED_VALUE"""),0)</f>
        <v>0</v>
      </c>
      <c r="E1326" s="5">
        <f ca="1">IFERROR(__xludf.DUMMYFUNCTION("""COMPUTED_VALUE"""),1)</f>
        <v>1</v>
      </c>
      <c r="F1326" s="5">
        <f ca="1">IFERROR(__xludf.DUMMYFUNCTION("""COMPUTED_VALUE"""),1)</f>
        <v>1</v>
      </c>
      <c r="G1326" s="5">
        <f ca="1">IFERROR(__xludf.DUMMYFUNCTION("""COMPUTED_VALUE"""),0)</f>
        <v>0</v>
      </c>
      <c r="H1326" s="9" t="str">
        <f ca="1">IFERROR(__xludf.DUMMYFUNCTION("""COMPUTED_VALUE"""),"https://www.newspapers.com/image/225032236/?terms=Colonia%2BHigh%2BSchool%2Bhandgun")</f>
        <v>https://www.newspapers.com/image/225032236/?terms=Colonia%2BHigh%2BSchool%2Bhandgun</v>
      </c>
      <c r="I1326" s="5"/>
      <c r="J1326" s="5"/>
      <c r="K1326" s="5">
        <f ca="1">IFERROR(__xludf.DUMMYFUNCTION("""COMPUTED_VALUE"""),2)</f>
        <v>2</v>
      </c>
      <c r="L1326" s="5" t="str">
        <f ca="1">IFERROR(__xludf.DUMMYFUNCTION("""COMPUTED_VALUE"""),"Winter")</f>
        <v>Winter</v>
      </c>
      <c r="M1326" s="5" t="str">
        <f ca="1">IFERROR(__xludf.DUMMYFUNCTION("""COMPUTED_VALUE"""),"Woodbridge")</f>
        <v>Woodbridge</v>
      </c>
      <c r="N1326" s="5" t="str">
        <f ca="1">IFERROR(__xludf.DUMMYFUNCTION("""COMPUTED_VALUE"""),"NJ")</f>
        <v>NJ</v>
      </c>
      <c r="O1326" s="5" t="str">
        <f ca="1">IFERROR(__xludf.DUMMYFUNCTION("""COMPUTED_VALUE"""),"High")</f>
        <v>High</v>
      </c>
      <c r="P1326" s="5" t="str">
        <f ca="1">IFERROR(__xludf.DUMMYFUNCTION("""COMPUTED_VALUE"""),"Parking Lot")</f>
        <v>Parking Lot</v>
      </c>
      <c r="Q1326" s="5" t="str">
        <f ca="1">IFERROR(__xludf.DUMMYFUNCTION("""COMPUTED_VALUE"""),"Outside on School Property")</f>
        <v>Outside on School Property</v>
      </c>
      <c r="R1326" s="5" t="str">
        <f ca="1">IFERROR(__xludf.DUMMYFUNCTION("""COMPUTED_VALUE"""),"No")</f>
        <v>No</v>
      </c>
      <c r="S1326" s="5" t="str">
        <f ca="1">IFERROR(__xludf.DUMMYFUNCTION("""COMPUTED_VALUE"""),"Evening")</f>
        <v>Evening</v>
      </c>
      <c r="T1326" s="10">
        <f ca="1">IFERROR(__xludf.DUMMYFUNCTION("""COMPUTED_VALUE"""),0.916666666666666)</f>
        <v>0.91666666666666596</v>
      </c>
      <c r="U1326" s="5">
        <f ca="1">IFERROR(__xludf.DUMMYFUNCTION("""COMPUTED_VALUE"""),1)</f>
        <v>1</v>
      </c>
      <c r="V1326" s="5" t="str">
        <f ca="1">IFERROR(__xludf.DUMMYFUNCTION("""COMPUTED_VALUE"""),"Drive-by in school parking lot, Ongoing dispute with target")</f>
        <v>Drive-by in school parking lot, Ongoing dispute with target</v>
      </c>
      <c r="W1326"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X1326" s="5" t="str">
        <f ca="1">IFERROR(__xludf.DUMMYFUNCTION("""COMPUTED_VALUE"""),"Drive-by Shooting")</f>
        <v>Drive-by Shooting</v>
      </c>
      <c r="Y1326" s="5" t="str">
        <f ca="1">IFERROR(__xludf.DUMMYFUNCTION("""COMPUTED_VALUE"""),"Victims Targeted")</f>
        <v>Victims Targeted</v>
      </c>
      <c r="Z1326" s="5" t="str">
        <f ca="1">IFERROR(__xludf.DUMMYFUNCTION("""COMPUTED_VALUE"""),"Yes")</f>
        <v>Yes</v>
      </c>
      <c r="AA1326" s="5" t="str">
        <f ca="1">IFERROR(__xludf.DUMMYFUNCTION("""COMPUTED_VALUE"""),"3 others in vehicle with shooter during the shooting")</f>
        <v>3 others in vehicle with shooter during the shooting</v>
      </c>
      <c r="AB1326" s="5" t="str">
        <f ca="1">IFERROR(__xludf.DUMMYFUNCTION("""COMPUTED_VALUE"""),"No")</f>
        <v>No</v>
      </c>
      <c r="AC1326" s="5" t="str">
        <f ca="1">IFERROR(__xludf.DUMMYFUNCTION("""COMPUTED_VALUE"""),"No")</f>
        <v>No</v>
      </c>
      <c r="AD1326" s="5" t="str">
        <f ca="1">IFERROR(__xludf.DUMMYFUNCTION("""COMPUTED_VALUE"""),"No")</f>
        <v>No</v>
      </c>
      <c r="AE1326" s="5" t="str">
        <f ca="1">IFERROR(__xludf.DUMMYFUNCTION("""COMPUTED_VALUE"""),"No")</f>
        <v>No</v>
      </c>
      <c r="AF1326" s="5" t="str">
        <f ca="1">IFERROR(__xludf.DUMMYFUNCTION("""COMPUTED_VALUE"""),"No")</f>
        <v>No</v>
      </c>
      <c r="AG1326" s="5" t="str">
        <f ca="1">IFERROR(__xludf.DUMMYFUNCTION("""COMPUTED_VALUE"""),"No")</f>
        <v>No</v>
      </c>
      <c r="AH1326" s="5"/>
    </row>
    <row r="1327" spans="1:34" ht="12.75">
      <c r="A1327" s="5" t="str">
        <f ca="1">IFERROR(__xludf.DUMMYFUNCTION("""COMPUTED_VALUE"""),"20031217MDOLM")</f>
        <v>20031217MDOLM</v>
      </c>
      <c r="B1327" s="8">
        <f ca="1">IFERROR(__xludf.DUMMYFUNCTION("""COMPUTED_VALUE"""),37972)</f>
        <v>37972</v>
      </c>
      <c r="C1327" s="5" t="str">
        <f ca="1">IFERROR(__xludf.DUMMYFUNCTION("""COMPUTED_VALUE"""),"Old Mill High School")</f>
        <v>Old Mill High School</v>
      </c>
      <c r="D1327" s="5">
        <f ca="1">IFERROR(__xludf.DUMMYFUNCTION("""COMPUTED_VALUE"""),0)</f>
        <v>0</v>
      </c>
      <c r="E1327" s="5">
        <f ca="1">IFERROR(__xludf.DUMMYFUNCTION("""COMPUTED_VALUE"""),0)</f>
        <v>0</v>
      </c>
      <c r="F1327" s="5">
        <f ca="1">IFERROR(__xludf.DUMMYFUNCTION("""COMPUTED_VALUE"""),0)</f>
        <v>0</v>
      </c>
      <c r="G1327" s="5">
        <f ca="1">IFERROR(__xludf.DUMMYFUNCTION("""COMPUTED_VALUE"""),0)</f>
        <v>0</v>
      </c>
      <c r="H1327" s="9" t="str">
        <f ca="1">IFERROR(__xludf.DUMMYFUNCTION("""COMPUTED_VALUE"""),"http://articles.baltimoresun.com/2003-12-18/news/0312180341_1_two-middle-schools-school-officials-mill-high")</f>
        <v>http://articles.baltimoresun.com/2003-12-18/news/0312180341_1_two-middle-schools-school-officials-mill-high</v>
      </c>
      <c r="I1327" s="5"/>
      <c r="J1327" s="5"/>
      <c r="K1327" s="5">
        <f ca="1">IFERROR(__xludf.DUMMYFUNCTION("""COMPUTED_VALUE"""),2)</f>
        <v>2</v>
      </c>
      <c r="L1327" s="5" t="str">
        <f ca="1">IFERROR(__xludf.DUMMYFUNCTION("""COMPUTED_VALUE"""),"Winter")</f>
        <v>Winter</v>
      </c>
      <c r="M1327" s="5" t="str">
        <f ca="1">IFERROR(__xludf.DUMMYFUNCTION("""COMPUTED_VALUE"""),"Millersville")</f>
        <v>Millersville</v>
      </c>
      <c r="N1327" s="5" t="str">
        <f ca="1">IFERROR(__xludf.DUMMYFUNCTION("""COMPUTED_VALUE"""),"MD")</f>
        <v>MD</v>
      </c>
      <c r="O1327" s="5" t="str">
        <f ca="1">IFERROR(__xludf.DUMMYFUNCTION("""COMPUTED_VALUE"""),"High")</f>
        <v>High</v>
      </c>
      <c r="P1327" s="5" t="str">
        <f ca="1">IFERROR(__xludf.DUMMYFUNCTION("""COMPUTED_VALUE"""),"Bathroom")</f>
        <v>Bathroom</v>
      </c>
      <c r="Q1327" s="5" t="str">
        <f ca="1">IFERROR(__xludf.DUMMYFUNCTION("""COMPUTED_VALUE"""),"Inside School Building")</f>
        <v>Inside School Building</v>
      </c>
      <c r="R1327" s="5" t="str">
        <f ca="1">IFERROR(__xludf.DUMMYFUNCTION("""COMPUTED_VALUE"""),"Yes")</f>
        <v>Yes</v>
      </c>
      <c r="S1327" s="5" t="str">
        <f ca="1">IFERROR(__xludf.DUMMYFUNCTION("""COMPUTED_VALUE"""),"Morning Classes")</f>
        <v>Morning Classes</v>
      </c>
      <c r="T1327" s="5"/>
      <c r="U1327" s="5">
        <f ca="1">IFERROR(__xludf.DUMMYFUNCTION("""COMPUTED_VALUE"""),1)</f>
        <v>1</v>
      </c>
      <c r="V1327" s="5" t="str">
        <f ca="1">IFERROR(__xludf.DUMMYFUNCTION("""COMPUTED_VALUE"""),"Shot fired in bathroom by unknown shooter, gun found in stall, no suspect")</f>
        <v>Shot fired in bathroom by unknown shooter, gun found in stall, no suspect</v>
      </c>
      <c r="W1327"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X1327" s="5" t="str">
        <f ca="1">IFERROR(__xludf.DUMMYFUNCTION("""COMPUTED_VALUE"""),"Accidental")</f>
        <v>Accidental</v>
      </c>
      <c r="Y1327" s="5"/>
      <c r="Z1327" s="5" t="str">
        <f ca="1">IFERROR(__xludf.DUMMYFUNCTION("""COMPUTED_VALUE"""),"No")</f>
        <v>No</v>
      </c>
      <c r="AA1327" s="5"/>
      <c r="AB1327" s="5" t="str">
        <f ca="1">IFERROR(__xludf.DUMMYFUNCTION("""COMPUTED_VALUE"""),"No")</f>
        <v>No</v>
      </c>
      <c r="AC1327" s="5" t="str">
        <f ca="1">IFERROR(__xludf.DUMMYFUNCTION("""COMPUTED_VALUE"""),"No")</f>
        <v>No</v>
      </c>
      <c r="AD1327" s="5" t="str">
        <f ca="1">IFERROR(__xludf.DUMMYFUNCTION("""COMPUTED_VALUE"""),"No")</f>
        <v>No</v>
      </c>
      <c r="AE1327" s="5"/>
      <c r="AF1327" s="5"/>
      <c r="AG1327" s="5" t="str">
        <f ca="1">IFERROR(__xludf.DUMMYFUNCTION("""COMPUTED_VALUE"""),"No")</f>
        <v>No</v>
      </c>
      <c r="AH1327" s="5"/>
    </row>
    <row r="1328" spans="1:34" ht="12.75">
      <c r="A1328" s="5" t="str">
        <f ca="1">IFERROR(__xludf.DUMMYFUNCTION("""COMPUTED_VALUE"""),"20031205ILCAC")</f>
        <v>20031205ILCAC</v>
      </c>
      <c r="B1328" s="8">
        <f ca="1">IFERROR(__xludf.DUMMYFUNCTION("""COMPUTED_VALUE"""),37960)</f>
        <v>37960</v>
      </c>
      <c r="C1328" s="5" t="str">
        <f ca="1">IFERROR(__xludf.DUMMYFUNCTION("""COMPUTED_VALUE"""),"Carbondale Community High School")</f>
        <v>Carbondale Community High School</v>
      </c>
      <c r="D1328" s="5">
        <f ca="1">IFERROR(__xludf.DUMMYFUNCTION("""COMPUTED_VALUE"""),0)</f>
        <v>0</v>
      </c>
      <c r="E1328" s="5">
        <f ca="1">IFERROR(__xludf.DUMMYFUNCTION("""COMPUTED_VALUE"""),1)</f>
        <v>1</v>
      </c>
      <c r="F1328" s="5">
        <f ca="1">IFERROR(__xludf.DUMMYFUNCTION("""COMPUTED_VALUE"""),1)</f>
        <v>1</v>
      </c>
      <c r="G1328" s="5">
        <f ca="1">IFERROR(__xludf.DUMMYFUNCTION("""COMPUTED_VALUE"""),0)</f>
        <v>0</v>
      </c>
      <c r="H1328" s="9" t="str">
        <f ca="1">IFERROR(__xludf.DUMMYFUNCTION("""COMPUTED_VALUE"""),"https://dailyegyptian.com/27496/archives/man-shot-in-leg-cchs-game/")</f>
        <v>https://dailyegyptian.com/27496/archives/man-shot-in-leg-cchs-game/</v>
      </c>
      <c r="I1328" s="5"/>
      <c r="J1328" s="5"/>
      <c r="K1328" s="5">
        <f ca="1">IFERROR(__xludf.DUMMYFUNCTION("""COMPUTED_VALUE"""),2)</f>
        <v>2</v>
      </c>
      <c r="L1328" s="5" t="str">
        <f ca="1">IFERROR(__xludf.DUMMYFUNCTION("""COMPUTED_VALUE"""),"Winter")</f>
        <v>Winter</v>
      </c>
      <c r="M1328" s="5" t="str">
        <f ca="1">IFERROR(__xludf.DUMMYFUNCTION("""COMPUTED_VALUE"""),"Carbondale")</f>
        <v>Carbondale</v>
      </c>
      <c r="N1328" s="5" t="str">
        <f ca="1">IFERROR(__xludf.DUMMYFUNCTION("""COMPUTED_VALUE"""),"IL")</f>
        <v>IL</v>
      </c>
      <c r="O1328" s="5" t="str">
        <f ca="1">IFERROR(__xludf.DUMMYFUNCTION("""COMPUTED_VALUE"""),"High")</f>
        <v>High</v>
      </c>
      <c r="P1328" s="5" t="str">
        <f ca="1">IFERROR(__xludf.DUMMYFUNCTION("""COMPUTED_VALUE"""),"Parking Lot")</f>
        <v>Parking Lot</v>
      </c>
      <c r="Q1328" s="5" t="str">
        <f ca="1">IFERROR(__xludf.DUMMYFUNCTION("""COMPUTED_VALUE"""),"Outside on School Property")</f>
        <v>Outside on School Property</v>
      </c>
      <c r="R1328" s="5" t="str">
        <f ca="1">IFERROR(__xludf.DUMMYFUNCTION("""COMPUTED_VALUE"""),"No")</f>
        <v>No</v>
      </c>
      <c r="S1328" s="5" t="str">
        <f ca="1">IFERROR(__xludf.DUMMYFUNCTION("""COMPUTED_VALUE"""),"Sport Event")</f>
        <v>Sport Event</v>
      </c>
      <c r="T1328" s="5"/>
      <c r="U1328" s="5">
        <f ca="1">IFERROR(__xludf.DUMMYFUNCTION("""COMPUTED_VALUE"""),1)</f>
        <v>1</v>
      </c>
      <c r="V1328" s="5" t="str">
        <f ca="1">IFERROR(__xludf.DUMMYFUNCTION("""COMPUTED_VALUE"""),"Shooting in parking lot after basketball game during argument that started in gym")</f>
        <v>Shooting in parking lot after basketball game during argument that started in gym</v>
      </c>
      <c r="W1328"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X1328" s="5" t="str">
        <f ca="1">IFERROR(__xludf.DUMMYFUNCTION("""COMPUTED_VALUE"""),"Escalation of Dispute")</f>
        <v>Escalation of Dispute</v>
      </c>
      <c r="Y1328" s="5" t="str">
        <f ca="1">IFERROR(__xludf.DUMMYFUNCTION("""COMPUTED_VALUE"""),"Victims Targeted")</f>
        <v>Victims Targeted</v>
      </c>
      <c r="Z1328" s="5" t="str">
        <f ca="1">IFERROR(__xludf.DUMMYFUNCTION("""COMPUTED_VALUE"""),"No")</f>
        <v>No</v>
      </c>
      <c r="AA1328" s="5"/>
      <c r="AB1328" s="5" t="str">
        <f ca="1">IFERROR(__xludf.DUMMYFUNCTION("""COMPUTED_VALUE"""),"No")</f>
        <v>No</v>
      </c>
      <c r="AC1328" s="5" t="str">
        <f ca="1">IFERROR(__xludf.DUMMYFUNCTION("""COMPUTED_VALUE"""),"No")</f>
        <v>No</v>
      </c>
      <c r="AD1328" s="5" t="str">
        <f ca="1">IFERROR(__xludf.DUMMYFUNCTION("""COMPUTED_VALUE"""),"No")</f>
        <v>No</v>
      </c>
      <c r="AE1328" s="5" t="str">
        <f ca="1">IFERROR(__xludf.DUMMYFUNCTION("""COMPUTED_VALUE"""),"No")</f>
        <v>No</v>
      </c>
      <c r="AF1328" s="5" t="str">
        <f ca="1">IFERROR(__xludf.DUMMYFUNCTION("""COMPUTED_VALUE"""),"No")</f>
        <v>No</v>
      </c>
      <c r="AG1328" s="5" t="str">
        <f ca="1">IFERROR(__xludf.DUMMYFUNCTION("""COMPUTED_VALUE"""),"No")</f>
        <v>No</v>
      </c>
      <c r="AH1328" s="5"/>
    </row>
    <row r="1329" spans="1:34" ht="12.75">
      <c r="A1329" s="5" t="str">
        <f ca="1">IFERROR(__xludf.DUMMYFUNCTION("""COMPUTED_VALUE"""),"20031204OKDOO")</f>
        <v>20031204OKDOO</v>
      </c>
      <c r="B1329" s="8">
        <f ca="1">IFERROR(__xludf.DUMMYFUNCTION("""COMPUTED_VALUE"""),37959)</f>
        <v>37959</v>
      </c>
      <c r="C1329" s="5" t="str">
        <f ca="1">IFERROR(__xludf.DUMMYFUNCTION("""COMPUTED_VALUE"""),"Douglas High School")</f>
        <v>Douglas High School</v>
      </c>
      <c r="D1329" s="5">
        <f ca="1">IFERROR(__xludf.DUMMYFUNCTION("""COMPUTED_VALUE"""),0)</f>
        <v>0</v>
      </c>
      <c r="E1329" s="5">
        <f ca="1">IFERROR(__xludf.DUMMYFUNCTION("""COMPUTED_VALUE"""),1)</f>
        <v>1</v>
      </c>
      <c r="F1329" s="5">
        <f ca="1">IFERROR(__xludf.DUMMYFUNCTION("""COMPUTED_VALUE"""),1)</f>
        <v>1</v>
      </c>
      <c r="G1329" s="5">
        <f ca="1">IFERROR(__xludf.DUMMYFUNCTION("""COMPUTED_VALUE"""),0)</f>
        <v>0</v>
      </c>
      <c r="H1329" s="9" t="str">
        <f ca="1">IFERROR(__xludf.DUMMYFUNCTION("""COMPUTED_VALUE"""),"https://newsok.com/article/1961014/arrest-warrant-issued-in-high-school-shooting")</f>
        <v>https://newsok.com/article/1961014/arrest-warrant-issued-in-high-school-shooting</v>
      </c>
      <c r="I1329" s="5"/>
      <c r="J1329" s="5"/>
      <c r="K1329" s="5">
        <f ca="1">IFERROR(__xludf.DUMMYFUNCTION("""COMPUTED_VALUE"""),2)</f>
        <v>2</v>
      </c>
      <c r="L1329" s="5" t="str">
        <f ca="1">IFERROR(__xludf.DUMMYFUNCTION("""COMPUTED_VALUE"""),"Winter")</f>
        <v>Winter</v>
      </c>
      <c r="M1329" s="5" t="str">
        <f ca="1">IFERROR(__xludf.DUMMYFUNCTION("""COMPUTED_VALUE"""),"Oklahoma City")</f>
        <v>Oklahoma City</v>
      </c>
      <c r="N1329" s="5" t="str">
        <f ca="1">IFERROR(__xludf.DUMMYFUNCTION("""COMPUTED_VALUE"""),"OK")</f>
        <v>OK</v>
      </c>
      <c r="O1329" s="5" t="str">
        <f ca="1">IFERROR(__xludf.DUMMYFUNCTION("""COMPUTED_VALUE"""),"High")</f>
        <v>High</v>
      </c>
      <c r="P1329" s="5" t="str">
        <f ca="1">IFERROR(__xludf.DUMMYFUNCTION("""COMPUTED_VALUE"""),"Beside Building")</f>
        <v>Beside Building</v>
      </c>
      <c r="Q1329" s="5" t="str">
        <f ca="1">IFERROR(__xludf.DUMMYFUNCTION("""COMPUTED_VALUE"""),"Outside on School Property")</f>
        <v>Outside on School Property</v>
      </c>
      <c r="R1329" s="5" t="str">
        <f ca="1">IFERROR(__xludf.DUMMYFUNCTION("""COMPUTED_VALUE"""),"Yes")</f>
        <v>Yes</v>
      </c>
      <c r="S1329" s="5" t="str">
        <f ca="1">IFERROR(__xludf.DUMMYFUNCTION("""COMPUTED_VALUE"""),"Afternoon Classes")</f>
        <v>Afternoon Classes</v>
      </c>
      <c r="T1329" s="10">
        <f ca="1">IFERROR(__xludf.DUMMYFUNCTION("""COMPUTED_VALUE"""),0.590277777777777)</f>
        <v>0.59027777777777701</v>
      </c>
      <c r="U1329" s="5">
        <f ca="1">IFERROR(__xludf.DUMMYFUNCTION("""COMPUTED_VALUE"""),1)</f>
        <v>1</v>
      </c>
      <c r="V1329" s="5" t="str">
        <f ca="1">IFERROR(__xludf.DUMMYFUNCTION("""COMPUTED_VALUE"""),"Fight outside school gym, shot fired striking uninvolved female student")</f>
        <v>Fight outside school gym, shot fired striking uninvolved female student</v>
      </c>
      <c r="W1329"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X1329" s="5" t="str">
        <f ca="1">IFERROR(__xludf.DUMMYFUNCTION("""COMPUTED_VALUE"""),"Escalation of Dispute")</f>
        <v>Escalation of Dispute</v>
      </c>
      <c r="Y1329" s="5" t="str">
        <f ca="1">IFERROR(__xludf.DUMMYFUNCTION("""COMPUTED_VALUE"""),"Random Shooting")</f>
        <v>Random Shooting</v>
      </c>
      <c r="Z1329" s="5" t="str">
        <f ca="1">IFERROR(__xludf.DUMMYFUNCTION("""COMPUTED_VALUE"""),"No")</f>
        <v>No</v>
      </c>
      <c r="AA1329" s="5"/>
      <c r="AB1329" s="5" t="str">
        <f ca="1">IFERROR(__xludf.DUMMYFUNCTION("""COMPUTED_VALUE"""),"No")</f>
        <v>No</v>
      </c>
      <c r="AC1329" s="5" t="str">
        <f ca="1">IFERROR(__xludf.DUMMYFUNCTION("""COMPUTED_VALUE"""),"No")</f>
        <v>No</v>
      </c>
      <c r="AD1329" s="5" t="str">
        <f ca="1">IFERROR(__xludf.DUMMYFUNCTION("""COMPUTED_VALUE"""),"No")</f>
        <v>No</v>
      </c>
      <c r="AE1329" s="5" t="str">
        <f ca="1">IFERROR(__xludf.DUMMYFUNCTION("""COMPUTED_VALUE"""),"No")</f>
        <v>No</v>
      </c>
      <c r="AF1329" s="5" t="str">
        <f ca="1">IFERROR(__xludf.DUMMYFUNCTION("""COMPUTED_VALUE"""),"No")</f>
        <v>No</v>
      </c>
      <c r="AG1329" s="5" t="str">
        <f ca="1">IFERROR(__xludf.DUMMYFUNCTION("""COMPUTED_VALUE"""),"No")</f>
        <v>No</v>
      </c>
      <c r="AH1329" s="5"/>
    </row>
    <row r="1330" spans="1:34" ht="12.75">
      <c r="A1330" s="5" t="str">
        <f ca="1">IFERROR(__xludf.DUMMYFUNCTION("""COMPUTED_VALUE"""),"20031202ILFEC")</f>
        <v>20031202ILFEC</v>
      </c>
      <c r="B1330" s="8">
        <f ca="1">IFERROR(__xludf.DUMMYFUNCTION("""COMPUTED_VALUE"""),37957)</f>
        <v>37957</v>
      </c>
      <c r="C1330" s="5" t="str">
        <f ca="1">IFERROR(__xludf.DUMMYFUNCTION("""COMPUTED_VALUE"""),"Fermi Elementary School")</f>
        <v>Fermi Elementary School</v>
      </c>
      <c r="D1330" s="5">
        <f ca="1">IFERROR(__xludf.DUMMYFUNCTION("""COMPUTED_VALUE"""),0)</f>
        <v>0</v>
      </c>
      <c r="E1330" s="5">
        <f ca="1">IFERROR(__xludf.DUMMYFUNCTION("""COMPUTED_VALUE"""),0)</f>
        <v>0</v>
      </c>
      <c r="F1330" s="5">
        <f ca="1">IFERROR(__xludf.DUMMYFUNCTION("""COMPUTED_VALUE"""),0)</f>
        <v>0</v>
      </c>
      <c r="G1330" s="5">
        <f ca="1">IFERROR(__xludf.DUMMYFUNCTION("""COMPUTED_VALUE"""),1)</f>
        <v>1</v>
      </c>
      <c r="H1330"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I1330" s="5"/>
      <c r="J1330" s="5"/>
      <c r="K1330" s="5">
        <f ca="1">IFERROR(__xludf.DUMMYFUNCTION("""COMPUTED_VALUE"""),3)</f>
        <v>3</v>
      </c>
      <c r="L1330" s="5" t="str">
        <f ca="1">IFERROR(__xludf.DUMMYFUNCTION("""COMPUTED_VALUE"""),"Winter")</f>
        <v>Winter</v>
      </c>
      <c r="M1330" s="5" t="str">
        <f ca="1">IFERROR(__xludf.DUMMYFUNCTION("""COMPUTED_VALUE"""),"Chicago")</f>
        <v>Chicago</v>
      </c>
      <c r="N1330" s="5" t="str">
        <f ca="1">IFERROR(__xludf.DUMMYFUNCTION("""COMPUTED_VALUE"""),"IL")</f>
        <v>IL</v>
      </c>
      <c r="O1330" s="5" t="str">
        <f ca="1">IFERROR(__xludf.DUMMYFUNCTION("""COMPUTED_VALUE"""),"Elementary")</f>
        <v>Elementary</v>
      </c>
      <c r="P1330" s="5" t="str">
        <f ca="1">IFERROR(__xludf.DUMMYFUNCTION("""COMPUTED_VALUE"""),"Field (General)")</f>
        <v>Field (General)</v>
      </c>
      <c r="Q1330" s="5" t="str">
        <f ca="1">IFERROR(__xludf.DUMMYFUNCTION("""COMPUTED_VALUE"""),"Outside on School Property")</f>
        <v>Outside on School Property</v>
      </c>
      <c r="R1330" s="5" t="str">
        <f ca="1">IFERROR(__xludf.DUMMYFUNCTION("""COMPUTED_VALUE"""),"No")</f>
        <v>No</v>
      </c>
      <c r="S1330" s="5" t="str">
        <f ca="1">IFERROR(__xludf.DUMMYFUNCTION("""COMPUTED_VALUE"""),"Evening")</f>
        <v>Evening</v>
      </c>
      <c r="T1330" s="10">
        <f ca="1">IFERROR(__xludf.DUMMYFUNCTION("""COMPUTED_VALUE"""),0.902777777777777)</f>
        <v>0.90277777777777701</v>
      </c>
      <c r="U1330" s="5">
        <f ca="1">IFERROR(__xludf.DUMMYFUNCTION("""COMPUTED_VALUE"""),1)</f>
        <v>1</v>
      </c>
      <c r="V1330" s="5" t="str">
        <f ca="1">IFERROR(__xludf.DUMMYFUNCTION("""COMPUTED_VALUE"""),"Suspect stopped by police on school playground - refused to drop gun - was shot.")</f>
        <v>Suspect stopped by police on school playground - refused to drop gun - was shot.</v>
      </c>
      <c r="W1330" s="5" t="str">
        <f ca="1">IFERROR(__xludf.DUMMYFUNCTION("""COMPUTED_VALUE"""),"Police officer shot and killed a man who pointed a revolver at the officer on the field of the school.")</f>
        <v>Police officer shot and killed a man who pointed a revolver at the officer on the field of the school.</v>
      </c>
      <c r="X1330" s="5" t="str">
        <f ca="1">IFERROR(__xludf.DUMMYFUNCTION("""COMPUTED_VALUE"""),"Self-defense")</f>
        <v>Self-defense</v>
      </c>
      <c r="Y1330" s="5" t="str">
        <f ca="1">IFERROR(__xludf.DUMMYFUNCTION("""COMPUTED_VALUE"""),"Victims Targeted")</f>
        <v>Victims Targeted</v>
      </c>
      <c r="Z1330" s="5" t="str">
        <f ca="1">IFERROR(__xludf.DUMMYFUNCTION("""COMPUTED_VALUE"""),"No")</f>
        <v>No</v>
      </c>
      <c r="AA1330" s="5"/>
      <c r="AB1330" s="5" t="str">
        <f ca="1">IFERROR(__xludf.DUMMYFUNCTION("""COMPUTED_VALUE"""),"No")</f>
        <v>No</v>
      </c>
      <c r="AC1330" s="5" t="str">
        <f ca="1">IFERROR(__xludf.DUMMYFUNCTION("""COMPUTED_VALUE"""),"No")</f>
        <v>No</v>
      </c>
      <c r="AD1330" s="5" t="str">
        <f ca="1">IFERROR(__xludf.DUMMYFUNCTION("""COMPUTED_VALUE"""),"Yes")</f>
        <v>Yes</v>
      </c>
      <c r="AE1330" s="5" t="str">
        <f ca="1">IFERROR(__xludf.DUMMYFUNCTION("""COMPUTED_VALUE"""),"No")</f>
        <v>No</v>
      </c>
      <c r="AF1330" s="5" t="str">
        <f ca="1">IFERROR(__xludf.DUMMYFUNCTION("""COMPUTED_VALUE"""),"No")</f>
        <v>No</v>
      </c>
      <c r="AG1330" s="5"/>
      <c r="AH1330" s="5"/>
    </row>
    <row r="1331" spans="1:34" ht="12.75">
      <c r="A1331" s="5" t="str">
        <f ca="1">IFERROR(__xludf.DUMMYFUNCTION("""COMPUTED_VALUE"""),"20031113NCEAC")</f>
        <v>20031113NCEAC</v>
      </c>
      <c r="B1331" s="8">
        <f ca="1">IFERROR(__xludf.DUMMYFUNCTION("""COMPUTED_VALUE"""),37938)</f>
        <v>37938</v>
      </c>
      <c r="C1331" s="5" t="str">
        <f ca="1">IFERROR(__xludf.DUMMYFUNCTION("""COMPUTED_VALUE"""),"East Mecklenburg High School")</f>
        <v>East Mecklenburg High School</v>
      </c>
      <c r="D1331" s="5">
        <f ca="1">IFERROR(__xludf.DUMMYFUNCTION("""COMPUTED_VALUE"""),0)</f>
        <v>0</v>
      </c>
      <c r="E1331" s="5">
        <f ca="1">IFERROR(__xludf.DUMMYFUNCTION("""COMPUTED_VALUE"""),2)</f>
        <v>2</v>
      </c>
      <c r="F1331" s="5">
        <f ca="1">IFERROR(__xludf.DUMMYFUNCTION("""COMPUTED_VALUE"""),2)</f>
        <v>2</v>
      </c>
      <c r="G1331" s="5">
        <f ca="1">IFERROR(__xludf.DUMMYFUNCTION("""COMPUTED_VALUE"""),0)</f>
        <v>0</v>
      </c>
      <c r="H1331" s="9" t="str">
        <f ca="1">IFERROR(__xludf.DUMMYFUNCTION("""COMPUTED_VALUE"""),"https://www.columbine-angels.com/School_Violence_2003-2004.htm")</f>
        <v>https://www.columbine-angels.com/School_Violence_2003-2004.htm</v>
      </c>
      <c r="I1331" s="5"/>
      <c r="J1331" s="5"/>
      <c r="K1331" s="5">
        <f ca="1">IFERROR(__xludf.DUMMYFUNCTION("""COMPUTED_VALUE"""),1)</f>
        <v>1</v>
      </c>
      <c r="L1331" s="5" t="str">
        <f ca="1">IFERROR(__xludf.DUMMYFUNCTION("""COMPUTED_VALUE"""),"Fall")</f>
        <v>Fall</v>
      </c>
      <c r="M1331" s="5" t="str">
        <f ca="1">IFERROR(__xludf.DUMMYFUNCTION("""COMPUTED_VALUE"""),"Charlotte")</f>
        <v>Charlotte</v>
      </c>
      <c r="N1331" s="5" t="str">
        <f ca="1">IFERROR(__xludf.DUMMYFUNCTION("""COMPUTED_VALUE"""),"NC")</f>
        <v>NC</v>
      </c>
      <c r="O1331" s="5" t="str">
        <f ca="1">IFERROR(__xludf.DUMMYFUNCTION("""COMPUTED_VALUE"""),"High")</f>
        <v>High</v>
      </c>
      <c r="P1331" s="5" t="str">
        <f ca="1">IFERROR(__xludf.DUMMYFUNCTION("""COMPUTED_VALUE"""),"Classroom")</f>
        <v>Classroom</v>
      </c>
      <c r="Q1331" s="5" t="str">
        <f ca="1">IFERROR(__xludf.DUMMYFUNCTION("""COMPUTED_VALUE"""),"Inside School Building")</f>
        <v>Inside School Building</v>
      </c>
      <c r="R1331" s="5" t="str">
        <f ca="1">IFERROR(__xludf.DUMMYFUNCTION("""COMPUTED_VALUE"""),"Yes")</f>
        <v>Yes</v>
      </c>
      <c r="S1331" s="5" t="str">
        <f ca="1">IFERROR(__xludf.DUMMYFUNCTION("""COMPUTED_VALUE"""),"Morning Classes")</f>
        <v>Morning Classes</v>
      </c>
      <c r="T1331" s="10">
        <f ca="1">IFERROR(__xludf.DUMMYFUNCTION("""COMPUTED_VALUE"""),0.489583333333333)</f>
        <v>0.48958333333333298</v>
      </c>
      <c r="U1331" s="5">
        <f ca="1">IFERROR(__xludf.DUMMYFUNCTION("""COMPUTED_VALUE"""),1)</f>
        <v>1</v>
      </c>
      <c r="V1331" s="5" t="str">
        <f ca="1">IFERROR(__xludf.DUMMYFUNCTION("""COMPUTED_VALUE"""),"Accidental discharge in students pocket")</f>
        <v>Accidental discharge in students pocket</v>
      </c>
      <c r="W1331" s="5" t="str">
        <f ca="1">IFERROR(__xludf.DUMMYFUNCTION("""COMPUTED_VALUE"""),"Handgun in a 15YOM students pocket discharged grazing two other students.")</f>
        <v>Handgun in a 15YOM students pocket discharged grazing two other students.</v>
      </c>
      <c r="X1331" s="5" t="str">
        <f ca="1">IFERROR(__xludf.DUMMYFUNCTION("""COMPUTED_VALUE"""),"Accidental")</f>
        <v>Accidental</v>
      </c>
      <c r="Y1331" s="5" t="str">
        <f ca="1">IFERROR(__xludf.DUMMYFUNCTION("""COMPUTED_VALUE"""),"Neither")</f>
        <v>Neither</v>
      </c>
      <c r="Z1331" s="5" t="str">
        <f ca="1">IFERROR(__xludf.DUMMYFUNCTION("""COMPUTED_VALUE"""),"No")</f>
        <v>No</v>
      </c>
      <c r="AA1331" s="5"/>
      <c r="AB1331" s="5" t="str">
        <f ca="1">IFERROR(__xludf.DUMMYFUNCTION("""COMPUTED_VALUE"""),"No")</f>
        <v>No</v>
      </c>
      <c r="AC1331" s="5" t="str">
        <f ca="1">IFERROR(__xludf.DUMMYFUNCTION("""COMPUTED_VALUE"""),"No")</f>
        <v>No</v>
      </c>
      <c r="AD1331" s="5" t="str">
        <f ca="1">IFERROR(__xludf.DUMMYFUNCTION("""COMPUTED_VALUE"""),"No")</f>
        <v>No</v>
      </c>
      <c r="AE1331" s="5" t="str">
        <f ca="1">IFERROR(__xludf.DUMMYFUNCTION("""COMPUTED_VALUE"""),"No")</f>
        <v>No</v>
      </c>
      <c r="AF1331" s="5" t="str">
        <f ca="1">IFERROR(__xludf.DUMMYFUNCTION("""COMPUTED_VALUE"""),"No")</f>
        <v>No</v>
      </c>
      <c r="AG1331" s="5" t="str">
        <f ca="1">IFERROR(__xludf.DUMMYFUNCTION("""COMPUTED_VALUE"""),"No")</f>
        <v>No</v>
      </c>
      <c r="AH1331" s="5"/>
    </row>
    <row r="1332" spans="1:34" ht="12.75">
      <c r="A1332" s="5" t="str">
        <f ca="1">IFERROR(__xludf.DUMMYFUNCTION("""COMPUTED_VALUE"""),"20031108TXHIS")</f>
        <v>20031108TXHIS</v>
      </c>
      <c r="B1332" s="8">
        <f ca="1">IFERROR(__xludf.DUMMYFUNCTION("""COMPUTED_VALUE"""),37933)</f>
        <v>37933</v>
      </c>
      <c r="C1332" s="5" t="str">
        <f ca="1">IFERROR(__xludf.DUMMYFUNCTION("""COMPUTED_VALUE"""),"Hightower High School")</f>
        <v>Hightower High School</v>
      </c>
      <c r="D1332" s="5">
        <f ca="1">IFERROR(__xludf.DUMMYFUNCTION("""COMPUTED_VALUE"""),1)</f>
        <v>1</v>
      </c>
      <c r="E1332" s="5">
        <f ca="1">IFERROR(__xludf.DUMMYFUNCTION("""COMPUTED_VALUE"""),0)</f>
        <v>0</v>
      </c>
      <c r="F1332" s="5">
        <f ca="1">IFERROR(__xludf.DUMMYFUNCTION("""COMPUTED_VALUE"""),1)</f>
        <v>1</v>
      </c>
      <c r="G1332" s="5">
        <f ca="1">IFERROR(__xludf.DUMMYFUNCTION("""COMPUTED_VALUE"""),0)</f>
        <v>0</v>
      </c>
      <c r="H1332" s="9" t="str">
        <f ca="1">IFERROR(__xludf.DUMMYFUNCTION("""COMPUTED_VALUE"""),"https://www.chron.com/news/houston-texas/article/Man-convicted-of-killing-student-outside-stadium-1624934.php")</f>
        <v>https://www.chron.com/news/houston-texas/article/Man-convicted-of-killing-student-outside-stadium-1624934.php</v>
      </c>
      <c r="I1332" s="5"/>
      <c r="J1332" s="5"/>
      <c r="K1332" s="5">
        <f ca="1">IFERROR(__xludf.DUMMYFUNCTION("""COMPUTED_VALUE"""),2)</f>
        <v>2</v>
      </c>
      <c r="L1332" s="5" t="str">
        <f ca="1">IFERROR(__xludf.DUMMYFUNCTION("""COMPUTED_VALUE"""),"Fall")</f>
        <v>Fall</v>
      </c>
      <c r="M1332" s="5" t="str">
        <f ca="1">IFERROR(__xludf.DUMMYFUNCTION("""COMPUTED_VALUE"""),"Sugarland")</f>
        <v>Sugarland</v>
      </c>
      <c r="N1332" s="5" t="str">
        <f ca="1">IFERROR(__xludf.DUMMYFUNCTION("""COMPUTED_VALUE"""),"TX")</f>
        <v>TX</v>
      </c>
      <c r="O1332" s="5" t="str">
        <f ca="1">IFERROR(__xludf.DUMMYFUNCTION("""COMPUTED_VALUE"""),"High")</f>
        <v>High</v>
      </c>
      <c r="P1332" s="5" t="str">
        <f ca="1">IFERROR(__xludf.DUMMYFUNCTION("""COMPUTED_VALUE"""),"Football Field/Track")</f>
        <v>Football Field/Track</v>
      </c>
      <c r="Q1332" s="5" t="str">
        <f ca="1">IFERROR(__xludf.DUMMYFUNCTION("""COMPUTED_VALUE"""),"Outside on School Property")</f>
        <v>Outside on School Property</v>
      </c>
      <c r="R1332" s="5" t="str">
        <f ca="1">IFERROR(__xludf.DUMMYFUNCTION("""COMPUTED_VALUE"""),"No")</f>
        <v>No</v>
      </c>
      <c r="S1332" s="5" t="str">
        <f ca="1">IFERROR(__xludf.DUMMYFUNCTION("""COMPUTED_VALUE"""),"Sport Event")</f>
        <v>Sport Event</v>
      </c>
      <c r="T1332" s="10">
        <f ca="1">IFERROR(__xludf.DUMMYFUNCTION("""COMPUTED_VALUE"""),0.888888888888888)</f>
        <v>0.88888888888888795</v>
      </c>
      <c r="U1332" s="5">
        <f ca="1">IFERROR(__xludf.DUMMYFUNCTION("""COMPUTED_VALUE"""),1)</f>
        <v>1</v>
      </c>
      <c r="V1332" s="5" t="str">
        <f ca="1">IFERROR(__xludf.DUMMYFUNCTION("""COMPUTED_VALUE"""),"Fight between large group of males following football game, uninvolved female student was shot and killed")</f>
        <v>Fight between large group of males following football game, uninvolved female student was shot and killed</v>
      </c>
      <c r="W1332"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X1332" s="5" t="str">
        <f ca="1">IFERROR(__xludf.DUMMYFUNCTION("""COMPUTED_VALUE"""),"Escalation of Dispute")</f>
        <v>Escalation of Dispute</v>
      </c>
      <c r="Y1332" s="5" t="str">
        <f ca="1">IFERROR(__xludf.DUMMYFUNCTION("""COMPUTED_VALUE"""),"Random Shooting")</f>
        <v>Random Shooting</v>
      </c>
      <c r="Z1332" s="5" t="str">
        <f ca="1">IFERROR(__xludf.DUMMYFUNCTION("""COMPUTED_VALUE"""),"No")</f>
        <v>No</v>
      </c>
      <c r="AA1332" s="5"/>
      <c r="AB1332" s="5" t="str">
        <f ca="1">IFERROR(__xludf.DUMMYFUNCTION("""COMPUTED_VALUE"""),"No")</f>
        <v>No</v>
      </c>
      <c r="AC1332" s="5" t="str">
        <f ca="1">IFERROR(__xludf.DUMMYFUNCTION("""COMPUTED_VALUE"""),"No")</f>
        <v>No</v>
      </c>
      <c r="AD1332" s="5" t="str">
        <f ca="1">IFERROR(__xludf.DUMMYFUNCTION("""COMPUTED_VALUE"""),"No")</f>
        <v>No</v>
      </c>
      <c r="AE1332" s="5" t="str">
        <f ca="1">IFERROR(__xludf.DUMMYFUNCTION("""COMPUTED_VALUE"""),"No")</f>
        <v>No</v>
      </c>
      <c r="AF1332" s="5" t="str">
        <f ca="1">IFERROR(__xludf.DUMMYFUNCTION("""COMPUTED_VALUE"""),"No")</f>
        <v>No</v>
      </c>
      <c r="AG1332" s="5" t="str">
        <f ca="1">IFERROR(__xludf.DUMMYFUNCTION("""COMPUTED_VALUE"""),"No")</f>
        <v>No</v>
      </c>
      <c r="AH1332" s="5"/>
    </row>
    <row r="1333" spans="1:34" ht="12.75">
      <c r="A1333" s="5" t="str">
        <f ca="1">IFERROR(__xludf.DUMMYFUNCTION("""COMPUTED_VALUE"""),"20031030DCANW")</f>
        <v>20031030DCANW</v>
      </c>
      <c r="B1333" s="8">
        <f ca="1">IFERROR(__xludf.DUMMYFUNCTION("""COMPUTED_VALUE"""),37924)</f>
        <v>37924</v>
      </c>
      <c r="C1333" s="5" t="str">
        <f ca="1">IFERROR(__xludf.DUMMYFUNCTION("""COMPUTED_VALUE"""),"Anacostia High School")</f>
        <v>Anacostia High School</v>
      </c>
      <c r="D1333" s="5">
        <f ca="1">IFERROR(__xludf.DUMMYFUNCTION("""COMPUTED_VALUE"""),1)</f>
        <v>1</v>
      </c>
      <c r="E1333" s="5">
        <f ca="1">IFERROR(__xludf.DUMMYFUNCTION("""COMPUTED_VALUE"""),1)</f>
        <v>1</v>
      </c>
      <c r="F1333" s="5">
        <f ca="1">IFERROR(__xludf.DUMMYFUNCTION("""COMPUTED_VALUE"""),2)</f>
        <v>2</v>
      </c>
      <c r="G1333" s="5">
        <f ca="1">IFERROR(__xludf.DUMMYFUNCTION("""COMPUTED_VALUE"""),0)</f>
        <v>0</v>
      </c>
      <c r="H1333"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I1333" s="5"/>
      <c r="J1333" s="5"/>
      <c r="K1333" s="5">
        <f ca="1">IFERROR(__xludf.DUMMYFUNCTION("""COMPUTED_VALUE"""),2)</f>
        <v>2</v>
      </c>
      <c r="L1333" s="5" t="str">
        <f ca="1">IFERROR(__xludf.DUMMYFUNCTION("""COMPUTED_VALUE"""),"Fall")</f>
        <v>Fall</v>
      </c>
      <c r="M1333" s="5" t="str">
        <f ca="1">IFERROR(__xludf.DUMMYFUNCTION("""COMPUTED_VALUE"""),"Washington")</f>
        <v>Washington</v>
      </c>
      <c r="N1333" s="5" t="str">
        <f ca="1">IFERROR(__xludf.DUMMYFUNCTION("""COMPUTED_VALUE"""),"DC")</f>
        <v>DC</v>
      </c>
      <c r="O1333" s="5" t="str">
        <f ca="1">IFERROR(__xludf.DUMMYFUNCTION("""COMPUTED_VALUE"""),"High")</f>
        <v>High</v>
      </c>
      <c r="P1333" s="5" t="str">
        <f ca="1">IFERROR(__xludf.DUMMYFUNCTION("""COMPUTED_VALUE"""),"Beside Building")</f>
        <v>Beside Building</v>
      </c>
      <c r="Q1333" s="5" t="str">
        <f ca="1">IFERROR(__xludf.DUMMYFUNCTION("""COMPUTED_VALUE"""),"Outside on School Property")</f>
        <v>Outside on School Property</v>
      </c>
      <c r="R1333" s="5" t="str">
        <f ca="1">IFERROR(__xludf.DUMMYFUNCTION("""COMPUTED_VALUE"""),"No")</f>
        <v>No</v>
      </c>
      <c r="S1333" s="5" t="str">
        <f ca="1">IFERROR(__xludf.DUMMYFUNCTION("""COMPUTED_VALUE"""),"School Event")</f>
        <v>School Event</v>
      </c>
      <c r="T1333" s="10">
        <f ca="1">IFERROR(__xludf.DUMMYFUNCTION("""COMPUTED_VALUE"""),0.635416666666666)</f>
        <v>0.63541666666666596</v>
      </c>
      <c r="U1333" s="5">
        <f ca="1">IFERROR(__xludf.DUMMYFUNCTION("""COMPUTED_VALUE"""),1)</f>
        <v>1</v>
      </c>
      <c r="V1333" s="5" t="str">
        <f ca="1">IFERROR(__xludf.DUMMYFUNCTION("""COMPUTED_VALUE"""),"Gang related shooting, two bystander students struck")</f>
        <v>Gang related shooting, two bystander students struck</v>
      </c>
      <c r="W1333"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X1333" s="5" t="str">
        <f ca="1">IFERROR(__xludf.DUMMYFUNCTION("""COMPUTED_VALUE"""),"Escalation of Dispute")</f>
        <v>Escalation of Dispute</v>
      </c>
      <c r="Y1333" s="5" t="str">
        <f ca="1">IFERROR(__xludf.DUMMYFUNCTION("""COMPUTED_VALUE"""),"Both")</f>
        <v>Both</v>
      </c>
      <c r="Z1333" s="5" t="str">
        <f ca="1">IFERROR(__xludf.DUMMYFUNCTION("""COMPUTED_VALUE"""),"No")</f>
        <v>No</v>
      </c>
      <c r="AA1333" s="5"/>
      <c r="AB1333" s="5" t="str">
        <f ca="1">IFERROR(__xludf.DUMMYFUNCTION("""COMPUTED_VALUE"""),"No")</f>
        <v>No</v>
      </c>
      <c r="AC1333" s="5" t="str">
        <f ca="1">IFERROR(__xludf.DUMMYFUNCTION("""COMPUTED_VALUE"""),"No")</f>
        <v>No</v>
      </c>
      <c r="AD1333" s="5" t="str">
        <f ca="1">IFERROR(__xludf.DUMMYFUNCTION("""COMPUTED_VALUE"""),"No")</f>
        <v>No</v>
      </c>
      <c r="AE1333" s="5" t="str">
        <f ca="1">IFERROR(__xludf.DUMMYFUNCTION("""COMPUTED_VALUE"""),"No")</f>
        <v>No</v>
      </c>
      <c r="AF1333" s="5" t="str">
        <f ca="1">IFERROR(__xludf.DUMMYFUNCTION("""COMPUTED_VALUE"""),"No")</f>
        <v>No</v>
      </c>
      <c r="AG1333" s="5" t="str">
        <f ca="1">IFERROR(__xludf.DUMMYFUNCTION("""COMPUTED_VALUE"""),"Yes")</f>
        <v>Yes</v>
      </c>
      <c r="AH1333" s="5"/>
    </row>
    <row r="1334" spans="1:34" ht="12.75">
      <c r="A1334" s="5" t="str">
        <f ca="1">IFERROR(__xludf.DUMMYFUNCTION("""COMPUTED_VALUE"""),"20031029LAMAM")</f>
        <v>20031029LAMAM</v>
      </c>
      <c r="B1334" s="8">
        <f ca="1">IFERROR(__xludf.DUMMYFUNCTION("""COMPUTED_VALUE"""),37923)</f>
        <v>37923</v>
      </c>
      <c r="C1334" s="5" t="str">
        <f ca="1">IFERROR(__xludf.DUMMYFUNCTION("""COMPUTED_VALUE"""),"Marion High School")</f>
        <v>Marion High School</v>
      </c>
      <c r="D1334" s="5">
        <f ca="1">IFERROR(__xludf.DUMMYFUNCTION("""COMPUTED_VALUE"""),0)</f>
        <v>0</v>
      </c>
      <c r="E1334" s="5">
        <f ca="1">IFERROR(__xludf.DUMMYFUNCTION("""COMPUTED_VALUE"""),0)</f>
        <v>0</v>
      </c>
      <c r="F1334" s="5">
        <f ca="1">IFERROR(__xludf.DUMMYFUNCTION("""COMPUTED_VALUE"""),0)</f>
        <v>0</v>
      </c>
      <c r="G1334" s="5">
        <f ca="1">IFERROR(__xludf.DUMMYFUNCTION("""COMPUTED_VALUE"""),0)</f>
        <v>0</v>
      </c>
      <c r="H1334" s="9" t="str">
        <f ca="1">IFERROR(__xludf.DUMMYFUNCTION("""COMPUTED_VALUE"""),"https://www.newspapers.com/image/226188784/")</f>
        <v>https://www.newspapers.com/image/226188784/</v>
      </c>
      <c r="I1334" s="5"/>
      <c r="J1334" s="5"/>
      <c r="K1334" s="5">
        <f ca="1">IFERROR(__xludf.DUMMYFUNCTION("""COMPUTED_VALUE"""),2)</f>
        <v>2</v>
      </c>
      <c r="L1334" s="5" t="str">
        <f ca="1">IFERROR(__xludf.DUMMYFUNCTION("""COMPUTED_VALUE"""),"Fall")</f>
        <v>Fall</v>
      </c>
      <c r="M1334" s="5" t="str">
        <f ca="1">IFERROR(__xludf.DUMMYFUNCTION("""COMPUTED_VALUE"""),"Marion")</f>
        <v>Marion</v>
      </c>
      <c r="N1334" s="5" t="str">
        <f ca="1">IFERROR(__xludf.DUMMYFUNCTION("""COMPUTED_VALUE"""),"LA")</f>
        <v>LA</v>
      </c>
      <c r="O1334" s="5" t="str">
        <f ca="1">IFERROR(__xludf.DUMMYFUNCTION("""COMPUTED_VALUE"""),"High")</f>
        <v>High</v>
      </c>
      <c r="P1334" s="5" t="str">
        <f ca="1">IFERROR(__xludf.DUMMYFUNCTION("""COMPUTED_VALUE"""),"Classroom")</f>
        <v>Classroom</v>
      </c>
      <c r="Q1334" s="5" t="str">
        <f ca="1">IFERROR(__xludf.DUMMYFUNCTION("""COMPUTED_VALUE"""),"Inside School Building")</f>
        <v>Inside School Building</v>
      </c>
      <c r="R1334" s="5" t="str">
        <f ca="1">IFERROR(__xludf.DUMMYFUNCTION("""COMPUTED_VALUE"""),"Yes")</f>
        <v>Yes</v>
      </c>
      <c r="S1334" s="5" t="str">
        <f ca="1">IFERROR(__xludf.DUMMYFUNCTION("""COMPUTED_VALUE"""),"Morning Classes")</f>
        <v>Morning Classes</v>
      </c>
      <c r="T1334" s="10">
        <f ca="1">IFERROR(__xludf.DUMMYFUNCTION("""COMPUTED_VALUE"""),0.329861111111111)</f>
        <v>0.32986111111111099</v>
      </c>
      <c r="U1334" s="5"/>
      <c r="V1334" s="5" t="str">
        <f ca="1">IFERROR(__xludf.DUMMYFUNCTION("""COMPUTED_VALUE"""),"Pulled gun, took teachers car keys, kidnapped other student, drove car in police chase")</f>
        <v>Pulled gun, took teachers car keys, kidnapped other student, drove car in police chase</v>
      </c>
      <c r="W1334"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X1334" s="5" t="str">
        <f ca="1">IFERROR(__xludf.DUMMYFUNCTION("""COMPUTED_VALUE"""),"Hostage/Standoff")</f>
        <v>Hostage/Standoff</v>
      </c>
      <c r="Y1334" s="5"/>
      <c r="Z1334" s="5" t="str">
        <f ca="1">IFERROR(__xludf.DUMMYFUNCTION("""COMPUTED_VALUE"""),"No")</f>
        <v>No</v>
      </c>
      <c r="AA1334" s="5"/>
      <c r="AB1334" s="5" t="str">
        <f ca="1">IFERROR(__xludf.DUMMYFUNCTION("""COMPUTED_VALUE"""),"Yes")</f>
        <v>Yes</v>
      </c>
      <c r="AC1334" s="5" t="str">
        <f ca="1">IFERROR(__xludf.DUMMYFUNCTION("""COMPUTED_VALUE"""),"No")</f>
        <v>No</v>
      </c>
      <c r="AD1334" s="5" t="str">
        <f ca="1">IFERROR(__xludf.DUMMYFUNCTION("""COMPUTED_VALUE"""),"No")</f>
        <v>No</v>
      </c>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IFERROR(__xludf.DUMMYFUNCTION("""COMPUTED_VALUE"""),"Yes")</f>
        <v>Yes</v>
      </c>
    </row>
    <row r="1335" spans="1:34" ht="12.75">
      <c r="A1335" s="5" t="str">
        <f ca="1">IFERROR(__xludf.DUMMYFUNCTION("""COMPUTED_VALUE"""),"20031007OHKEA")</f>
        <v>20031007OHKEA</v>
      </c>
      <c r="B1335" s="8">
        <f ca="1">IFERROR(__xludf.DUMMYFUNCTION("""COMPUTED_VALUE"""),37901)</f>
        <v>37901</v>
      </c>
      <c r="C1335" s="5" t="str">
        <f ca="1">IFERROR(__xludf.DUMMYFUNCTION("""COMPUTED_VALUE"""),"Kenmore High School")</f>
        <v>Kenmore High School</v>
      </c>
      <c r="D1335" s="5">
        <f ca="1">IFERROR(__xludf.DUMMYFUNCTION("""COMPUTED_VALUE"""),0)</f>
        <v>0</v>
      </c>
      <c r="E1335" s="5">
        <f ca="1">IFERROR(__xludf.DUMMYFUNCTION("""COMPUTED_VALUE"""),1)</f>
        <v>1</v>
      </c>
      <c r="F1335" s="5">
        <f ca="1">IFERROR(__xludf.DUMMYFUNCTION("""COMPUTED_VALUE"""),1)</f>
        <v>1</v>
      </c>
      <c r="G1335" s="5">
        <f ca="1">IFERROR(__xludf.DUMMYFUNCTION("""COMPUTED_VALUE"""),0)</f>
        <v>0</v>
      </c>
      <c r="H1335" s="9" t="str">
        <f ca="1">IFERROR(__xludf.DUMMYFUNCTION("""COMPUTED_VALUE"""),"http://www.the-daily-record.com/news/20070723/kenmore-grad-remembers-every-detail-of-2003-school-shooting")</f>
        <v>http://www.the-daily-record.com/news/20070723/kenmore-grad-remembers-every-detail-of-2003-school-shooting</v>
      </c>
      <c r="I1335" s="5"/>
      <c r="J1335" s="5"/>
      <c r="K1335" s="5">
        <f ca="1">IFERROR(__xludf.DUMMYFUNCTION("""COMPUTED_VALUE"""),2)</f>
        <v>2</v>
      </c>
      <c r="L1335" s="5" t="str">
        <f ca="1">IFERROR(__xludf.DUMMYFUNCTION("""COMPUTED_VALUE"""),"Fall")</f>
        <v>Fall</v>
      </c>
      <c r="M1335" s="5" t="str">
        <f ca="1">IFERROR(__xludf.DUMMYFUNCTION("""COMPUTED_VALUE"""),"Akron")</f>
        <v>Akron</v>
      </c>
      <c r="N1335" s="5" t="str">
        <f ca="1">IFERROR(__xludf.DUMMYFUNCTION("""COMPUTED_VALUE"""),"OH")</f>
        <v>OH</v>
      </c>
      <c r="O1335" s="5" t="str">
        <f ca="1">IFERROR(__xludf.DUMMYFUNCTION("""COMPUTED_VALUE"""),"High")</f>
        <v>High</v>
      </c>
      <c r="P1335" s="5" t="str">
        <f ca="1">IFERROR(__xludf.DUMMYFUNCTION("""COMPUTED_VALUE"""),"Parking Lot")</f>
        <v>Parking Lot</v>
      </c>
      <c r="Q1335" s="5" t="str">
        <f ca="1">IFERROR(__xludf.DUMMYFUNCTION("""COMPUTED_VALUE"""),"Outside on School Property")</f>
        <v>Outside on School Property</v>
      </c>
      <c r="R1335" s="5" t="str">
        <f ca="1">IFERROR(__xludf.DUMMYFUNCTION("""COMPUTED_VALUE"""),"Yes")</f>
        <v>Yes</v>
      </c>
      <c r="S1335" s="5" t="str">
        <f ca="1">IFERROR(__xludf.DUMMYFUNCTION("""COMPUTED_VALUE"""),"Afternoon Classes")</f>
        <v>Afternoon Classes</v>
      </c>
      <c r="T1335" s="5"/>
      <c r="U1335" s="5">
        <f ca="1">IFERROR(__xludf.DUMMYFUNCTION("""COMPUTED_VALUE"""),1)</f>
        <v>1</v>
      </c>
      <c r="V1335" s="5" t="str">
        <f ca="1">IFERROR(__xludf.DUMMYFUNCTION("""COMPUTED_VALUE"""),"Argument over car being broken into, third student shot at two arguing")</f>
        <v>Argument over car being broken into, third student shot at two arguing</v>
      </c>
      <c r="W1335"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X1335" s="5" t="str">
        <f ca="1">IFERROR(__xludf.DUMMYFUNCTION("""COMPUTED_VALUE"""),"Escalation of Dispute")</f>
        <v>Escalation of Dispute</v>
      </c>
      <c r="Y1335" s="5" t="str">
        <f ca="1">IFERROR(__xludf.DUMMYFUNCTION("""COMPUTED_VALUE"""),"Victims Targeted")</f>
        <v>Victims Targeted</v>
      </c>
      <c r="Z1335" s="5" t="str">
        <f ca="1">IFERROR(__xludf.DUMMYFUNCTION("""COMPUTED_VALUE"""),"No")</f>
        <v>No</v>
      </c>
      <c r="AA1335" s="5"/>
      <c r="AB1335" s="5" t="str">
        <f ca="1">IFERROR(__xludf.DUMMYFUNCTION("""COMPUTED_VALUE"""),"No")</f>
        <v>No</v>
      </c>
      <c r="AC1335" s="5" t="str">
        <f ca="1">IFERROR(__xludf.DUMMYFUNCTION("""COMPUTED_VALUE"""),"No")</f>
        <v>No</v>
      </c>
      <c r="AD1335" s="5" t="str">
        <f ca="1">IFERROR(__xludf.DUMMYFUNCTION("""COMPUTED_VALUE"""),"No")</f>
        <v>No</v>
      </c>
      <c r="AE1335" s="5" t="str">
        <f ca="1">IFERROR(__xludf.DUMMYFUNCTION("""COMPUTED_VALUE"""),"No")</f>
        <v>No</v>
      </c>
      <c r="AF1335" s="5" t="str">
        <f ca="1">IFERROR(__xludf.DUMMYFUNCTION("""COMPUTED_VALUE"""),"No")</f>
        <v>No</v>
      </c>
      <c r="AG1335" s="5" t="str">
        <f ca="1">IFERROR(__xludf.DUMMYFUNCTION("""COMPUTED_VALUE"""),"No")</f>
        <v>No</v>
      </c>
      <c r="AH1335" s="5"/>
    </row>
    <row r="1336" spans="1:34" ht="12.75">
      <c r="A1336" s="5" t="str">
        <f ca="1">IFERROR(__xludf.DUMMYFUNCTION("""COMPUTED_VALUE"""),"20031001CARIS")</f>
        <v>20031001CARIS</v>
      </c>
      <c r="B1336" s="8">
        <f ca="1">IFERROR(__xludf.DUMMYFUNCTION("""COMPUTED_VALUE"""),37895)</f>
        <v>37895</v>
      </c>
      <c r="C1336" s="5" t="str">
        <f ca="1">IFERROR(__xludf.DUMMYFUNCTION("""COMPUTED_VALUE"""),"Rio Cazadero High School")</f>
        <v>Rio Cazadero High School</v>
      </c>
      <c r="D1336" s="5">
        <f ca="1">IFERROR(__xludf.DUMMYFUNCTION("""COMPUTED_VALUE"""),0)</f>
        <v>0</v>
      </c>
      <c r="E1336" s="5">
        <f ca="1">IFERROR(__xludf.DUMMYFUNCTION("""COMPUTED_VALUE"""),1)</f>
        <v>1</v>
      </c>
      <c r="F1336" s="5">
        <f ca="1">IFERROR(__xludf.DUMMYFUNCTION("""COMPUTED_VALUE"""),1)</f>
        <v>1</v>
      </c>
      <c r="G1336" s="5">
        <f ca="1">IFERROR(__xludf.DUMMYFUNCTION("""COMPUTED_VALUE"""),0)</f>
        <v>0</v>
      </c>
      <c r="H1336" s="9" t="str">
        <f ca="1">IFERROR(__xludf.DUMMYFUNCTION("""COMPUTED_VALUE"""),"http://articles.latimes.com/2003/oct/02/local/me-shooting2")</f>
        <v>http://articles.latimes.com/2003/oct/02/local/me-shooting2</v>
      </c>
      <c r="I1336" s="5"/>
      <c r="J1336" s="5"/>
      <c r="K1336" s="5">
        <f ca="1">IFERROR(__xludf.DUMMYFUNCTION("""COMPUTED_VALUE"""),2)</f>
        <v>2</v>
      </c>
      <c r="L1336" s="5" t="str">
        <f ca="1">IFERROR(__xludf.DUMMYFUNCTION("""COMPUTED_VALUE"""),"Fall")</f>
        <v>Fall</v>
      </c>
      <c r="M1336" s="5" t="str">
        <f ca="1">IFERROR(__xludf.DUMMYFUNCTION("""COMPUTED_VALUE"""),"Sacramento")</f>
        <v>Sacramento</v>
      </c>
      <c r="N1336" s="5" t="str">
        <f ca="1">IFERROR(__xludf.DUMMYFUNCTION("""COMPUTED_VALUE"""),"CA")</f>
        <v>CA</v>
      </c>
      <c r="O1336" s="5" t="str">
        <f ca="1">IFERROR(__xludf.DUMMYFUNCTION("""COMPUTED_VALUE"""),"High")</f>
        <v>High</v>
      </c>
      <c r="P1336" s="5" t="str">
        <f ca="1">IFERROR(__xludf.DUMMYFUNCTION("""COMPUTED_VALUE"""),"Classroom; Beside Building")</f>
        <v>Classroom; Beside Building</v>
      </c>
      <c r="Q1336" s="5" t="str">
        <f ca="1">IFERROR(__xludf.DUMMYFUNCTION("""COMPUTED_VALUE"""),"Both Inside/Outside")</f>
        <v>Both Inside/Outside</v>
      </c>
      <c r="R1336" s="5" t="str">
        <f ca="1">IFERROR(__xludf.DUMMYFUNCTION("""COMPUTED_VALUE"""),"Yes")</f>
        <v>Yes</v>
      </c>
      <c r="S1336" s="5" t="str">
        <f ca="1">IFERROR(__xludf.DUMMYFUNCTION("""COMPUTED_VALUE"""),"Morning Classes")</f>
        <v>Morning Classes</v>
      </c>
      <c r="T1336" s="10">
        <f ca="1">IFERROR(__xludf.DUMMYFUNCTION("""COMPUTED_VALUE"""),0.375)</f>
        <v>0.375</v>
      </c>
      <c r="U1336" s="5"/>
      <c r="V1336" s="5" t="str">
        <f ca="1">IFERROR(__xludf.DUMMYFUNCTION("""COMPUTED_VALUE"""),"Suicide by cop, depressed over breakup")</f>
        <v>Suicide by cop, depressed over breakup</v>
      </c>
      <c r="W1336"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X1336" s="5" t="str">
        <f ca="1">IFERROR(__xludf.DUMMYFUNCTION("""COMPUTED_VALUE"""),"Suicide/Attempted")</f>
        <v>Suicide/Attempted</v>
      </c>
      <c r="Y1336" s="5" t="str">
        <f ca="1">IFERROR(__xludf.DUMMYFUNCTION("""COMPUTED_VALUE"""),"Victims Targeted")</f>
        <v>Victims Targeted</v>
      </c>
      <c r="Z1336" s="5" t="str">
        <f ca="1">IFERROR(__xludf.DUMMYFUNCTION("""COMPUTED_VALUE"""),"No")</f>
        <v>No</v>
      </c>
      <c r="AA1336" s="5"/>
      <c r="AB1336" s="5" t="str">
        <f ca="1">IFERROR(__xludf.DUMMYFUNCTION("""COMPUTED_VALUE"""),"No")</f>
        <v>No</v>
      </c>
      <c r="AC1336" s="5" t="str">
        <f ca="1">IFERROR(__xludf.DUMMYFUNCTION("""COMPUTED_VALUE"""),"No")</f>
        <v>No</v>
      </c>
      <c r="AD1336" s="5" t="str">
        <f ca="1">IFERROR(__xludf.DUMMYFUNCTION("""COMPUTED_VALUE"""),"No")</f>
        <v>No</v>
      </c>
      <c r="AE1336" s="5" t="str">
        <f ca="1">IFERROR(__xludf.DUMMYFUNCTION("""COMPUTED_VALUE"""),"No")</f>
        <v>No</v>
      </c>
      <c r="AF1336" s="5" t="str">
        <f ca="1">IFERROR(__xludf.DUMMYFUNCTION("""COMPUTED_VALUE"""),"Yes")</f>
        <v>Yes</v>
      </c>
      <c r="AG1336" s="5" t="str">
        <f ca="1">IFERROR(__xludf.DUMMYFUNCTION("""COMPUTED_VALUE"""),"No")</f>
        <v>No</v>
      </c>
      <c r="AH1336" s="5"/>
    </row>
    <row r="1337" spans="1:34" ht="12.75">
      <c r="A1337" s="5" t="str">
        <f ca="1">IFERROR(__xludf.DUMMYFUNCTION("""COMPUTED_VALUE"""),"20030925NCBUL")</f>
        <v>20030925NCBUL</v>
      </c>
      <c r="B1337" s="8">
        <f ca="1">IFERROR(__xludf.DUMMYFUNCTION("""COMPUTED_VALUE"""),37889)</f>
        <v>37889</v>
      </c>
      <c r="C1337" s="5" t="str">
        <f ca="1">IFERROR(__xludf.DUMMYFUNCTION("""COMPUTED_VALUE"""),"Burns Middle School")</f>
        <v>Burns Middle School</v>
      </c>
      <c r="D1337" s="5">
        <f ca="1">IFERROR(__xludf.DUMMYFUNCTION("""COMPUTED_VALUE"""),0)</f>
        <v>0</v>
      </c>
      <c r="E1337" s="5">
        <f ca="1">IFERROR(__xludf.DUMMYFUNCTION("""COMPUTED_VALUE"""),0)</f>
        <v>0</v>
      </c>
      <c r="F1337" s="5">
        <f ca="1">IFERROR(__xludf.DUMMYFUNCTION("""COMPUTED_VALUE"""),0)</f>
        <v>0</v>
      </c>
      <c r="G1337" s="5">
        <f ca="1">IFERROR(__xludf.DUMMYFUNCTION("""COMPUTED_VALUE"""),0)</f>
        <v>0</v>
      </c>
      <c r="H1337"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I1337" s="5"/>
      <c r="J1337" s="5"/>
      <c r="K1337" s="5">
        <f ca="1">IFERROR(__xludf.DUMMYFUNCTION("""COMPUTED_VALUE"""),4)</f>
        <v>4</v>
      </c>
      <c r="L1337" s="5" t="str">
        <f ca="1">IFERROR(__xludf.DUMMYFUNCTION("""COMPUTED_VALUE"""),"Fall")</f>
        <v>Fall</v>
      </c>
      <c r="M1337" s="5" t="str">
        <f ca="1">IFERROR(__xludf.DUMMYFUNCTION("""COMPUTED_VALUE"""),"Lawndale")</f>
        <v>Lawndale</v>
      </c>
      <c r="N1337" s="5" t="str">
        <f ca="1">IFERROR(__xludf.DUMMYFUNCTION("""COMPUTED_VALUE"""),"NC")</f>
        <v>NC</v>
      </c>
      <c r="O1337" s="5" t="str">
        <f ca="1">IFERROR(__xludf.DUMMYFUNCTION("""COMPUTED_VALUE"""),"Middle")</f>
        <v>Middle</v>
      </c>
      <c r="P1337" s="5" t="str">
        <f ca="1">IFERROR(__xludf.DUMMYFUNCTION("""COMPUTED_VALUE"""),"Hallway")</f>
        <v>Hallway</v>
      </c>
      <c r="Q1337" s="5" t="str">
        <f ca="1">IFERROR(__xludf.DUMMYFUNCTION("""COMPUTED_VALUE"""),"Inside School Building")</f>
        <v>Inside School Building</v>
      </c>
      <c r="R1337" s="5" t="str">
        <f ca="1">IFERROR(__xludf.DUMMYFUNCTION("""COMPUTED_VALUE"""),"Yes")</f>
        <v>Yes</v>
      </c>
      <c r="S1337" s="5" t="str">
        <f ca="1">IFERROR(__xludf.DUMMYFUNCTION("""COMPUTED_VALUE"""),"School Start")</f>
        <v>School Start</v>
      </c>
      <c r="T1337" s="10">
        <f ca="1">IFERROR(__xludf.DUMMYFUNCTION("""COMPUTED_VALUE"""),0.333333333333333)</f>
        <v>0.33333333333333298</v>
      </c>
      <c r="U1337" s="5">
        <f ca="1">IFERROR(__xludf.DUMMYFUNCTION("""COMPUTED_VALUE"""),1)</f>
        <v>1</v>
      </c>
      <c r="V1337" s="5" t="str">
        <f ca="1">IFERROR(__xludf.DUMMYFUNCTION("""COMPUTED_VALUE"""),"Pulled gun in hallway, fired into classrooms, tackled by SRO")</f>
        <v>Pulled gun in hallway, fired into classrooms, tackled by SRO</v>
      </c>
      <c r="W1337"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X1337" s="5" t="str">
        <f ca="1">IFERROR(__xludf.DUMMYFUNCTION("""COMPUTED_VALUE"""),"Indiscriminate Shooting")</f>
        <v>Indiscriminate Shooting</v>
      </c>
      <c r="Y1337" s="5" t="str">
        <f ca="1">IFERROR(__xludf.DUMMYFUNCTION("""COMPUTED_VALUE"""),"Victims Targeted")</f>
        <v>Victims Targeted</v>
      </c>
      <c r="Z1337" s="5" t="str">
        <f ca="1">IFERROR(__xludf.DUMMYFUNCTION("""COMPUTED_VALUE"""),"No")</f>
        <v>No</v>
      </c>
      <c r="AA1337" s="5"/>
      <c r="AB1337" s="5" t="str">
        <f ca="1">IFERROR(__xludf.DUMMYFUNCTION("""COMPUTED_VALUE"""),"No")</f>
        <v>No</v>
      </c>
      <c r="AC1337" s="5" t="str">
        <f ca="1">IFERROR(__xludf.DUMMYFUNCTION("""COMPUTED_VALUE"""),"No")</f>
        <v>No</v>
      </c>
      <c r="AD1337" s="5" t="str">
        <f ca="1">IFERROR(__xludf.DUMMYFUNCTION("""COMPUTED_VALUE"""),"No")</f>
        <v>No</v>
      </c>
      <c r="AE1337" s="5" t="str">
        <f ca="1">IFERROR(__xludf.DUMMYFUNCTION("""COMPUTED_VALUE"""),"No")</f>
        <v>No</v>
      </c>
      <c r="AF1337" s="5"/>
      <c r="AG1337" s="5" t="str">
        <f ca="1">IFERROR(__xludf.DUMMYFUNCTION("""COMPUTED_VALUE"""),"No")</f>
        <v>No</v>
      </c>
      <c r="AH1337" s="5" t="str">
        <f ca="1">IFERROR(__xludf.DUMMYFUNCTION("""COMPUTED_VALUE"""),"Yes")</f>
        <v>Yes</v>
      </c>
    </row>
    <row r="1338" spans="1:34" ht="12.75">
      <c r="A1338" s="5" t="str">
        <f ca="1">IFERROR(__xludf.DUMMYFUNCTION("""COMPUTED_VALUE"""),"20030924MNROC")</f>
        <v>20030924MNROC</v>
      </c>
      <c r="B1338" s="8">
        <f ca="1">IFERROR(__xludf.DUMMYFUNCTION("""COMPUTED_VALUE"""),37888)</f>
        <v>37888</v>
      </c>
      <c r="C1338" s="5" t="str">
        <f ca="1">IFERROR(__xludf.DUMMYFUNCTION("""COMPUTED_VALUE"""),"Rocori High School")</f>
        <v>Rocori High School</v>
      </c>
      <c r="D1338" s="5">
        <f ca="1">IFERROR(__xludf.DUMMYFUNCTION("""COMPUTED_VALUE"""),2)</f>
        <v>2</v>
      </c>
      <c r="E1338" s="5">
        <f ca="1">IFERROR(__xludf.DUMMYFUNCTION("""COMPUTED_VALUE"""),0)</f>
        <v>0</v>
      </c>
      <c r="F1338" s="5">
        <f ca="1">IFERROR(__xludf.DUMMYFUNCTION("""COMPUTED_VALUE"""),2)</f>
        <v>2</v>
      </c>
      <c r="G1338" s="5">
        <f ca="1">IFERROR(__xludf.DUMMYFUNCTION("""COMPUTED_VALUE"""),0)</f>
        <v>0</v>
      </c>
      <c r="H1338"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I1338" s="5"/>
      <c r="J1338" s="5"/>
      <c r="K1338" s="5">
        <f ca="1">IFERROR(__xludf.DUMMYFUNCTION("""COMPUTED_VALUE"""),5)</f>
        <v>5</v>
      </c>
      <c r="L1338" s="5" t="str">
        <f ca="1">IFERROR(__xludf.DUMMYFUNCTION("""COMPUTED_VALUE"""),"Fall")</f>
        <v>Fall</v>
      </c>
      <c r="M1338" s="5" t="str">
        <f ca="1">IFERROR(__xludf.DUMMYFUNCTION("""COMPUTED_VALUE"""),"Cold Spring")</f>
        <v>Cold Spring</v>
      </c>
      <c r="N1338" s="5" t="str">
        <f ca="1">IFERROR(__xludf.DUMMYFUNCTION("""COMPUTED_VALUE"""),"MN")</f>
        <v>MN</v>
      </c>
      <c r="O1338" s="5" t="str">
        <f ca="1">IFERROR(__xludf.DUMMYFUNCTION("""COMPUTED_VALUE"""),"High")</f>
        <v>High</v>
      </c>
      <c r="P1338" s="5" t="str">
        <f ca="1">IFERROR(__xludf.DUMMYFUNCTION("""COMPUTED_VALUE"""),"Gym")</f>
        <v>Gym</v>
      </c>
      <c r="Q1338" s="5" t="str">
        <f ca="1">IFERROR(__xludf.DUMMYFUNCTION("""COMPUTED_VALUE"""),"Inside School Building")</f>
        <v>Inside School Building</v>
      </c>
      <c r="R1338" s="5" t="str">
        <f ca="1">IFERROR(__xludf.DUMMYFUNCTION("""COMPUTED_VALUE"""),"Yes")</f>
        <v>Yes</v>
      </c>
      <c r="S1338" s="5" t="str">
        <f ca="1">IFERROR(__xludf.DUMMYFUNCTION("""COMPUTED_VALUE"""),"Morning Classes")</f>
        <v>Morning Classes</v>
      </c>
      <c r="T1338" s="10">
        <f ca="1">IFERROR(__xludf.DUMMYFUNCTION("""COMPUTED_VALUE"""),0.484722222222222)</f>
        <v>0.484722222222222</v>
      </c>
      <c r="U1338" s="5">
        <f ca="1">IFERROR(__xludf.DUMMYFUNCTION("""COMPUTED_VALUE"""),2)</f>
        <v>2</v>
      </c>
      <c r="V1338" s="5" t="str">
        <f ca="1">IFERROR(__xludf.DUMMYFUNCTION("""COMPUTED_VALUE"""),"Targeted two bullies, other students in area were not shot at")</f>
        <v>Targeted two bullies, other students in area were not shot at</v>
      </c>
      <c r="W1338"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X1338" s="5" t="str">
        <f ca="1">IFERROR(__xludf.DUMMYFUNCTION("""COMPUTED_VALUE"""),"Bullying")</f>
        <v>Bullying</v>
      </c>
      <c r="Y1338" s="5" t="str">
        <f ca="1">IFERROR(__xludf.DUMMYFUNCTION("""COMPUTED_VALUE"""),"Victims Targeted")</f>
        <v>Victims Targeted</v>
      </c>
      <c r="Z1338" s="5" t="str">
        <f ca="1">IFERROR(__xludf.DUMMYFUNCTION("""COMPUTED_VALUE"""),"No")</f>
        <v>No</v>
      </c>
      <c r="AA1338" s="5"/>
      <c r="AB1338" s="5" t="str">
        <f ca="1">IFERROR(__xludf.DUMMYFUNCTION("""COMPUTED_VALUE"""),"No")</f>
        <v>No</v>
      </c>
      <c r="AC1338" s="5" t="str">
        <f ca="1">IFERROR(__xludf.DUMMYFUNCTION("""COMPUTED_VALUE"""),"No")</f>
        <v>No</v>
      </c>
      <c r="AD1338" s="5" t="str">
        <f ca="1">IFERROR(__xludf.DUMMYFUNCTION("""COMPUTED_VALUE"""),"No")</f>
        <v>No</v>
      </c>
      <c r="AE1338" s="5" t="str">
        <f ca="1">IFERROR(__xludf.DUMMYFUNCTION("""COMPUTED_VALUE"""),"Yes")</f>
        <v>Yes</v>
      </c>
      <c r="AF1338" s="5" t="str">
        <f ca="1">IFERROR(__xludf.DUMMYFUNCTION("""COMPUTED_VALUE"""),"No")</f>
        <v>No</v>
      </c>
      <c r="AG1338" s="5" t="str">
        <f ca="1">IFERROR(__xludf.DUMMYFUNCTION("""COMPUTED_VALUE"""),"No")</f>
        <v>No</v>
      </c>
      <c r="AH1338" s="5" t="str">
        <f ca="1">IFERROR(__xludf.DUMMYFUNCTION("""COMPUTED_VALUE"""),"Yes")</f>
        <v>Yes</v>
      </c>
    </row>
    <row r="1339" spans="1:34" ht="12.75">
      <c r="A1339" s="5" t="str">
        <f ca="1">IFERROR(__xludf.DUMMYFUNCTION("""COMPUTED_VALUE"""),"20030922WALES")</f>
        <v>20030922WALES</v>
      </c>
      <c r="B1339" s="8">
        <f ca="1">IFERROR(__xludf.DUMMYFUNCTION("""COMPUTED_VALUE"""),37886)</f>
        <v>37886</v>
      </c>
      <c r="C1339" s="5" t="str">
        <f ca="1">IFERROR(__xludf.DUMMYFUNCTION("""COMPUTED_VALUE"""),"Lewis and Clark High School")</f>
        <v>Lewis and Clark High School</v>
      </c>
      <c r="D1339" s="5">
        <f ca="1">IFERROR(__xludf.DUMMYFUNCTION("""COMPUTED_VALUE"""),0)</f>
        <v>0</v>
      </c>
      <c r="E1339" s="5">
        <f ca="1">IFERROR(__xludf.DUMMYFUNCTION("""COMPUTED_VALUE"""),1)</f>
        <v>1</v>
      </c>
      <c r="F1339" s="5">
        <f ca="1">IFERROR(__xludf.DUMMYFUNCTION("""COMPUTED_VALUE"""),1)</f>
        <v>1</v>
      </c>
      <c r="G1339" s="5">
        <f ca="1">IFERROR(__xludf.DUMMYFUNCTION("""COMPUTED_VALUE"""),0)</f>
        <v>0</v>
      </c>
      <c r="H1339" s="9" t="str">
        <f ca="1">IFERROR(__xludf.DUMMYFUNCTION("""COMPUTED_VALUE"""),"http://www.spokesman.com/stories/2004/sep/04/father-says-police-too-aggressive-high-school-shoo/")</f>
        <v>http://www.spokesman.com/stories/2004/sep/04/father-says-police-too-aggressive-high-school-shoo/</v>
      </c>
      <c r="I1339" s="5"/>
      <c r="J1339" s="5"/>
      <c r="K1339" s="5">
        <f ca="1">IFERROR(__xludf.DUMMYFUNCTION("""COMPUTED_VALUE"""),2)</f>
        <v>2</v>
      </c>
      <c r="L1339" s="5" t="str">
        <f ca="1">IFERROR(__xludf.DUMMYFUNCTION("""COMPUTED_VALUE"""),"Fall")</f>
        <v>Fall</v>
      </c>
      <c r="M1339" s="5" t="str">
        <f ca="1">IFERROR(__xludf.DUMMYFUNCTION("""COMPUTED_VALUE"""),"Spokane")</f>
        <v>Spokane</v>
      </c>
      <c r="N1339" s="5" t="str">
        <f ca="1">IFERROR(__xludf.DUMMYFUNCTION("""COMPUTED_VALUE"""),"WA")</f>
        <v>WA</v>
      </c>
      <c r="O1339" s="5" t="str">
        <f ca="1">IFERROR(__xludf.DUMMYFUNCTION("""COMPUTED_VALUE"""),"High")</f>
        <v>High</v>
      </c>
      <c r="P1339" s="5" t="str">
        <f ca="1">IFERROR(__xludf.DUMMYFUNCTION("""COMPUTED_VALUE"""),"Classroom")</f>
        <v>Classroom</v>
      </c>
      <c r="Q1339" s="5" t="str">
        <f ca="1">IFERROR(__xludf.DUMMYFUNCTION("""COMPUTED_VALUE"""),"Inside School Building")</f>
        <v>Inside School Building</v>
      </c>
      <c r="R1339" s="5" t="str">
        <f ca="1">IFERROR(__xludf.DUMMYFUNCTION("""COMPUTED_VALUE"""),"Yes")</f>
        <v>Yes</v>
      </c>
      <c r="S1339" s="5" t="str">
        <f ca="1">IFERROR(__xludf.DUMMYFUNCTION("""COMPUTED_VALUE"""),"Lunch")</f>
        <v>Lunch</v>
      </c>
      <c r="T1339" s="10">
        <f ca="1">IFERROR(__xludf.DUMMYFUNCTION("""COMPUTED_VALUE"""),0.465277777777777)</f>
        <v>0.46527777777777701</v>
      </c>
      <c r="U1339" s="5">
        <f ca="1">IFERROR(__xludf.DUMMYFUNCTION("""COMPUTED_VALUE"""),95)</f>
        <v>95</v>
      </c>
      <c r="V1339" s="5" t="str">
        <f ca="1">IFERROR(__xludf.DUMMYFUNCTION("""COMPUTED_VALUE"""),"Took 3 students hostage in classroom for an hour, shot by police")</f>
        <v>Took 3 students hostage in classroom for an hour, shot by police</v>
      </c>
      <c r="W1339"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X1339" s="5" t="str">
        <f ca="1">IFERROR(__xludf.DUMMYFUNCTION("""COMPUTED_VALUE"""),"Hostage/Standoff")</f>
        <v>Hostage/Standoff</v>
      </c>
      <c r="Y1339" s="5"/>
      <c r="Z1339" s="5" t="str">
        <f ca="1">IFERROR(__xludf.DUMMYFUNCTION("""COMPUTED_VALUE"""),"No")</f>
        <v>No</v>
      </c>
      <c r="AA1339" s="5"/>
      <c r="AB1339" s="5" t="str">
        <f ca="1">IFERROR(__xludf.DUMMYFUNCTION("""COMPUTED_VALUE"""),"Yes")</f>
        <v>Yes</v>
      </c>
      <c r="AC1339" s="5" t="str">
        <f ca="1">IFERROR(__xludf.DUMMYFUNCTION("""COMPUTED_VALUE"""),"Yes")</f>
        <v>Yes</v>
      </c>
      <c r="AD1339" s="5" t="str">
        <f ca="1">IFERROR(__xludf.DUMMYFUNCTION("""COMPUTED_VALUE"""),"No")</f>
        <v>No</v>
      </c>
      <c r="AE1339" s="5"/>
      <c r="AF1339" s="5" t="str">
        <f ca="1">IFERROR(__xludf.DUMMYFUNCTION("""COMPUTED_VALUE"""),"No")</f>
        <v>No</v>
      </c>
      <c r="AG1339" s="5" t="str">
        <f ca="1">IFERROR(__xludf.DUMMYFUNCTION("""COMPUTED_VALUE"""),"No")</f>
        <v>No</v>
      </c>
      <c r="AH1339" s="5" t="str">
        <f ca="1">IFERROR(__xludf.DUMMYFUNCTION("""COMPUTED_VALUE"""),"Yes")</f>
        <v>Yes</v>
      </c>
    </row>
    <row r="1340" spans="1:34" ht="12.75">
      <c r="A1340" s="5" t="str">
        <f ca="1">IFERROR(__xludf.DUMMYFUNCTION("""COMPUTED_VALUE"""),"20030917MDOKE")</f>
        <v>20030917MDOKE</v>
      </c>
      <c r="B1340" s="8">
        <f ca="1">IFERROR(__xludf.DUMMYFUNCTION("""COMPUTED_VALUE"""),37881)</f>
        <v>37881</v>
      </c>
      <c r="C1340" s="5" t="str">
        <f ca="1">IFERROR(__xludf.DUMMYFUNCTION("""COMPUTED_VALUE"""),"Oklahoma Road Middle School")</f>
        <v>Oklahoma Road Middle School</v>
      </c>
      <c r="D1340" s="5">
        <f ca="1">IFERROR(__xludf.DUMMYFUNCTION("""COMPUTED_VALUE"""),0)</f>
        <v>0</v>
      </c>
      <c r="E1340" s="5">
        <f ca="1">IFERROR(__xludf.DUMMYFUNCTION("""COMPUTED_VALUE"""),0)</f>
        <v>0</v>
      </c>
      <c r="F1340" s="5">
        <f ca="1">IFERROR(__xludf.DUMMYFUNCTION("""COMPUTED_VALUE"""),0)</f>
        <v>0</v>
      </c>
      <c r="G1340" s="5">
        <f ca="1">IFERROR(__xludf.DUMMYFUNCTION("""COMPUTED_VALUE"""),0)</f>
        <v>0</v>
      </c>
      <c r="H1340" s="9" t="str">
        <f ca="1">IFERROR(__xludf.DUMMYFUNCTION("""COMPUTED_VALUE"""),"https://en.wikipedia.org/wiki/List_of_school_shootings_in_the_United_States")</f>
        <v>https://en.wikipedia.org/wiki/List_of_school_shootings_in_the_United_States</v>
      </c>
      <c r="I1340" s="5"/>
      <c r="J1340" s="5"/>
      <c r="K1340" s="5">
        <f ca="1">IFERROR(__xludf.DUMMYFUNCTION("""COMPUTED_VALUE"""),1)</f>
        <v>1</v>
      </c>
      <c r="L1340" s="5" t="str">
        <f ca="1">IFERROR(__xludf.DUMMYFUNCTION("""COMPUTED_VALUE"""),"Fall")</f>
        <v>Fall</v>
      </c>
      <c r="M1340" s="5" t="str">
        <f ca="1">IFERROR(__xludf.DUMMYFUNCTION("""COMPUTED_VALUE"""),"Eldersburg")</f>
        <v>Eldersburg</v>
      </c>
      <c r="N1340" s="5" t="str">
        <f ca="1">IFERROR(__xludf.DUMMYFUNCTION("""COMPUTED_VALUE"""),"MD")</f>
        <v>MD</v>
      </c>
      <c r="O1340" s="5" t="str">
        <f ca="1">IFERROR(__xludf.DUMMYFUNCTION("""COMPUTED_VALUE"""),"Middle")</f>
        <v>Middle</v>
      </c>
      <c r="P1340" s="5" t="str">
        <f ca="1">IFERROR(__xludf.DUMMYFUNCTION("""COMPUTED_VALUE"""),"Bathroom")</f>
        <v>Bathroom</v>
      </c>
      <c r="Q1340" s="5" t="str">
        <f ca="1">IFERROR(__xludf.DUMMYFUNCTION("""COMPUTED_VALUE"""),"Inside School Building")</f>
        <v>Inside School Building</v>
      </c>
      <c r="R1340" s="5" t="str">
        <f ca="1">IFERROR(__xludf.DUMMYFUNCTION("""COMPUTED_VALUE"""),"Yes")</f>
        <v>Yes</v>
      </c>
      <c r="S1340" s="5" t="str">
        <f ca="1">IFERROR(__xludf.DUMMYFUNCTION("""COMPUTED_VALUE"""),"Morning Classes")</f>
        <v>Morning Classes</v>
      </c>
      <c r="T1340" s="10">
        <f ca="1">IFERROR(__xludf.DUMMYFUNCTION("""COMPUTED_VALUE"""),0.416666666666666)</f>
        <v>0.41666666666666602</v>
      </c>
      <c r="U1340" s="5">
        <f ca="1">IFERROR(__xludf.DUMMYFUNCTION("""COMPUTED_VALUE"""),1)</f>
        <v>1</v>
      </c>
      <c r="V1340" s="5" t="str">
        <f ca="1">IFERROR(__xludf.DUMMYFUNCTION("""COMPUTED_VALUE"""),"Fired shot in bathroom, surrendered to teacher who investigated")</f>
        <v>Fired shot in bathroom, surrendered to teacher who investigated</v>
      </c>
      <c r="W1340"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X1340" s="5" t="str">
        <f ca="1">IFERROR(__xludf.DUMMYFUNCTION("""COMPUTED_VALUE"""),"Suicide/Attempted")</f>
        <v>Suicide/Attempted</v>
      </c>
      <c r="Y1340" s="5"/>
      <c r="Z1340" s="5" t="str">
        <f ca="1">IFERROR(__xludf.DUMMYFUNCTION("""COMPUTED_VALUE"""),"No")</f>
        <v>No</v>
      </c>
      <c r="AA1340" s="5"/>
      <c r="AB1340" s="5" t="str">
        <f ca="1">IFERROR(__xludf.DUMMYFUNCTION("""COMPUTED_VALUE"""),"No")</f>
        <v>No</v>
      </c>
      <c r="AC1340" s="5" t="str">
        <f ca="1">IFERROR(__xludf.DUMMYFUNCTION("""COMPUTED_VALUE"""),"No")</f>
        <v>No</v>
      </c>
      <c r="AD1340" s="5" t="str">
        <f ca="1">IFERROR(__xludf.DUMMYFUNCTION("""COMPUTED_VALUE"""),"No")</f>
        <v>No</v>
      </c>
      <c r="AE1340" s="5" t="str">
        <f ca="1">IFERROR(__xludf.DUMMYFUNCTION("""COMPUTED_VALUE"""),"No")</f>
        <v>No</v>
      </c>
      <c r="AF1340" s="5" t="str">
        <f ca="1">IFERROR(__xludf.DUMMYFUNCTION("""COMPUTED_VALUE"""),"No")</f>
        <v>No</v>
      </c>
      <c r="AG1340" s="5" t="str">
        <f ca="1">IFERROR(__xludf.DUMMYFUNCTION("""COMPUTED_VALUE"""),"No")</f>
        <v>No</v>
      </c>
      <c r="AH1340" s="5"/>
    </row>
    <row r="1341" spans="1:34" ht="12.75">
      <c r="A1341" s="5" t="str">
        <f ca="1">IFERROR(__xludf.DUMMYFUNCTION("""COMPUTED_VALUE"""),"20030917MACHB")</f>
        <v>20030917MACHB</v>
      </c>
      <c r="B1341" s="8">
        <f ca="1">IFERROR(__xludf.DUMMYFUNCTION("""COMPUTED_VALUE"""),37881)</f>
        <v>37881</v>
      </c>
      <c r="C1341" s="5" t="str">
        <f ca="1">IFERROR(__xludf.DUMMYFUNCTION("""COMPUTED_VALUE"""),"Charlestown High School")</f>
        <v>Charlestown High School</v>
      </c>
      <c r="D1341" s="5">
        <f ca="1">IFERROR(__xludf.DUMMYFUNCTION("""COMPUTED_VALUE"""),0)</f>
        <v>0</v>
      </c>
      <c r="E1341" s="5">
        <f ca="1">IFERROR(__xludf.DUMMYFUNCTION("""COMPUTED_VALUE"""),2)</f>
        <v>2</v>
      </c>
      <c r="F1341" s="5">
        <f ca="1">IFERROR(__xludf.DUMMYFUNCTION("""COMPUTED_VALUE"""),2)</f>
        <v>2</v>
      </c>
      <c r="G1341" s="5">
        <f ca="1">IFERROR(__xludf.DUMMYFUNCTION("""COMPUTED_VALUE"""),0)</f>
        <v>0</v>
      </c>
      <c r="H1341" s="9" t="str">
        <f ca="1">IFERROR(__xludf.DUMMYFUNCTION("""COMPUTED_VALUE"""),"http://archive.boston.com/news/local/articles/2003/09/18/teen_shot_near_charlestown_high/")</f>
        <v>http://archive.boston.com/news/local/articles/2003/09/18/teen_shot_near_charlestown_high/</v>
      </c>
      <c r="I1341" s="5"/>
      <c r="J1341" s="5"/>
      <c r="K1341" s="5">
        <f ca="1">IFERROR(__xludf.DUMMYFUNCTION("""COMPUTED_VALUE"""),2)</f>
        <v>2</v>
      </c>
      <c r="L1341" s="5" t="str">
        <f ca="1">IFERROR(__xludf.DUMMYFUNCTION("""COMPUTED_VALUE"""),"Fall")</f>
        <v>Fall</v>
      </c>
      <c r="M1341" s="5" t="str">
        <f ca="1">IFERROR(__xludf.DUMMYFUNCTION("""COMPUTED_VALUE"""),"Boston")</f>
        <v>Boston</v>
      </c>
      <c r="N1341" s="5" t="str">
        <f ca="1">IFERROR(__xludf.DUMMYFUNCTION("""COMPUTED_VALUE"""),"MA")</f>
        <v>MA</v>
      </c>
      <c r="O1341" s="5" t="str">
        <f ca="1">IFERROR(__xludf.DUMMYFUNCTION("""COMPUTED_VALUE"""),"K-12")</f>
        <v>K-12</v>
      </c>
      <c r="P1341" s="5" t="str">
        <f ca="1">IFERROR(__xludf.DUMMYFUNCTION("""COMPUTED_VALUE"""),"Beside Building")</f>
        <v>Beside Building</v>
      </c>
      <c r="Q1341" s="5" t="str">
        <f ca="1">IFERROR(__xludf.DUMMYFUNCTION("""COMPUTED_VALUE"""),"Outside on School Property")</f>
        <v>Outside on School Property</v>
      </c>
      <c r="R1341" s="5" t="str">
        <f ca="1">IFERROR(__xludf.DUMMYFUNCTION("""COMPUTED_VALUE"""),"No")</f>
        <v>No</v>
      </c>
      <c r="S1341" s="5" t="str">
        <f ca="1">IFERROR(__xludf.DUMMYFUNCTION("""COMPUTED_VALUE"""),"Dismissal")</f>
        <v>Dismissal</v>
      </c>
      <c r="T1341" s="10">
        <f ca="1">IFERROR(__xludf.DUMMYFUNCTION("""COMPUTED_VALUE"""),0.583333333333333)</f>
        <v>0.58333333333333304</v>
      </c>
      <c r="U1341" s="5">
        <f ca="1">IFERROR(__xludf.DUMMYFUNCTION("""COMPUTED_VALUE"""),1)</f>
        <v>1</v>
      </c>
      <c r="V1341" s="5" t="str">
        <f ca="1">IFERROR(__xludf.DUMMYFUNCTION("""COMPUTED_VALUE"""),"Shot a specific victim during dismissal, missed hitting other student and police officer")</f>
        <v>Shot a specific victim during dismissal, missed hitting other student and police officer</v>
      </c>
      <c r="W1341"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X1341" s="5" t="str">
        <f ca="1">IFERROR(__xludf.DUMMYFUNCTION("""COMPUTED_VALUE"""),"Escalation of Dispute")</f>
        <v>Escalation of Dispute</v>
      </c>
      <c r="Y1341" s="5" t="str">
        <f ca="1">IFERROR(__xludf.DUMMYFUNCTION("""COMPUTED_VALUE"""),"Both")</f>
        <v>Both</v>
      </c>
      <c r="Z1341" s="5" t="str">
        <f ca="1">IFERROR(__xludf.DUMMYFUNCTION("""COMPUTED_VALUE"""),"No")</f>
        <v>No</v>
      </c>
      <c r="AA1341" s="5"/>
      <c r="AB1341" s="5" t="str">
        <f ca="1">IFERROR(__xludf.DUMMYFUNCTION("""COMPUTED_VALUE"""),"No")</f>
        <v>No</v>
      </c>
      <c r="AC1341" s="5" t="str">
        <f ca="1">IFERROR(__xludf.DUMMYFUNCTION("""COMPUTED_VALUE"""),"No")</f>
        <v>No</v>
      </c>
      <c r="AD1341" s="5" t="str">
        <f ca="1">IFERROR(__xludf.DUMMYFUNCTION("""COMPUTED_VALUE"""),"No")</f>
        <v>No</v>
      </c>
      <c r="AE1341" s="5" t="str">
        <f ca="1">IFERROR(__xludf.DUMMYFUNCTION("""COMPUTED_VALUE"""),"No")</f>
        <v>No</v>
      </c>
      <c r="AF1341" s="5" t="str">
        <f ca="1">IFERROR(__xludf.DUMMYFUNCTION("""COMPUTED_VALUE"""),"No")</f>
        <v>No</v>
      </c>
      <c r="AG1341" s="5" t="str">
        <f ca="1">IFERROR(__xludf.DUMMYFUNCTION("""COMPUTED_VALUE"""),"Yes")</f>
        <v>Yes</v>
      </c>
      <c r="AH1341" s="5"/>
    </row>
    <row r="1342" spans="1:34" ht="12.75">
      <c r="A1342" s="5" t="str">
        <f ca="1">IFERROR(__xludf.DUMMYFUNCTION("""COMPUTED_VALUE"""),"20030910MSVIV")</f>
        <v>20030910MSVIV</v>
      </c>
      <c r="B1342" s="8">
        <f ca="1">IFERROR(__xludf.DUMMYFUNCTION("""COMPUTED_VALUE"""),37874)</f>
        <v>37874</v>
      </c>
      <c r="C1342" s="5" t="str">
        <f ca="1">IFERROR(__xludf.DUMMYFUNCTION("""COMPUTED_VALUE"""),"Vicksburg High School")</f>
        <v>Vicksburg High School</v>
      </c>
      <c r="D1342" s="5">
        <f ca="1">IFERROR(__xludf.DUMMYFUNCTION("""COMPUTED_VALUE"""),1)</f>
        <v>1</v>
      </c>
      <c r="E1342" s="5">
        <f ca="1">IFERROR(__xludf.DUMMYFUNCTION("""COMPUTED_VALUE"""),0)</f>
        <v>0</v>
      </c>
      <c r="F1342" s="5">
        <f ca="1">IFERROR(__xludf.DUMMYFUNCTION("""COMPUTED_VALUE"""),1)</f>
        <v>1</v>
      </c>
      <c r="G1342" s="5">
        <f ca="1">IFERROR(__xludf.DUMMYFUNCTION("""COMPUTED_VALUE"""),0)</f>
        <v>0</v>
      </c>
      <c r="H1342" s="9" t="str">
        <f ca="1">IFERROR(__xludf.DUMMYFUNCTION("""COMPUTED_VALUE"""),"https://www.vicksburgpost.com/2003/09/11/former-vhs-student-shot-dead/")</f>
        <v>https://www.vicksburgpost.com/2003/09/11/former-vhs-student-shot-dead/</v>
      </c>
      <c r="I1342" s="5"/>
      <c r="J1342" s="5"/>
      <c r="K1342" s="5">
        <f ca="1">IFERROR(__xludf.DUMMYFUNCTION("""COMPUTED_VALUE"""),2)</f>
        <v>2</v>
      </c>
      <c r="L1342" s="5" t="str">
        <f ca="1">IFERROR(__xludf.DUMMYFUNCTION("""COMPUTED_VALUE"""),"Fall")</f>
        <v>Fall</v>
      </c>
      <c r="M1342" s="5" t="str">
        <f ca="1">IFERROR(__xludf.DUMMYFUNCTION("""COMPUTED_VALUE"""),"Vicksburg")</f>
        <v>Vicksburg</v>
      </c>
      <c r="N1342" s="5" t="str">
        <f ca="1">IFERROR(__xludf.DUMMYFUNCTION("""COMPUTED_VALUE"""),"MS")</f>
        <v>MS</v>
      </c>
      <c r="O1342" s="5" t="str">
        <f ca="1">IFERROR(__xludf.DUMMYFUNCTION("""COMPUTED_VALUE"""),"High")</f>
        <v>High</v>
      </c>
      <c r="P1342" s="5" t="str">
        <f ca="1">IFERROR(__xludf.DUMMYFUNCTION("""COMPUTED_VALUE"""),"Football Field/Track")</f>
        <v>Football Field/Track</v>
      </c>
      <c r="Q1342" s="5" t="str">
        <f ca="1">IFERROR(__xludf.DUMMYFUNCTION("""COMPUTED_VALUE"""),"Outside on School Property")</f>
        <v>Outside on School Property</v>
      </c>
      <c r="R1342" s="5" t="str">
        <f ca="1">IFERROR(__xludf.DUMMYFUNCTION("""COMPUTED_VALUE"""),"Yes")</f>
        <v>Yes</v>
      </c>
      <c r="S1342" s="5" t="str">
        <f ca="1">IFERROR(__xludf.DUMMYFUNCTION("""COMPUTED_VALUE"""),"Afternoon Classes")</f>
        <v>Afternoon Classes</v>
      </c>
      <c r="T1342" s="10">
        <f ca="1">IFERROR(__xludf.DUMMYFUNCTION("""COMPUTED_VALUE"""),0.604166666666666)</f>
        <v>0.60416666666666596</v>
      </c>
      <c r="U1342" s="5">
        <f ca="1">IFERROR(__xludf.DUMMYFUNCTION("""COMPUTED_VALUE"""),1)</f>
        <v>1</v>
      </c>
      <c r="V1342" s="5" t="str">
        <f ca="1">IFERROR(__xludf.DUMMYFUNCTION("""COMPUTED_VALUE"""),"Ongoing feud resulted in shooting at school stadium")</f>
        <v>Ongoing feud resulted in shooting at school stadium</v>
      </c>
      <c r="W1342"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X1342" s="5" t="str">
        <f ca="1">IFERROR(__xludf.DUMMYFUNCTION("""COMPUTED_VALUE"""),"Escalation of Dispute")</f>
        <v>Escalation of Dispute</v>
      </c>
      <c r="Y1342" s="5" t="str">
        <f ca="1">IFERROR(__xludf.DUMMYFUNCTION("""COMPUTED_VALUE"""),"Victims Targeted")</f>
        <v>Victims Targeted</v>
      </c>
      <c r="Z1342" s="5" t="str">
        <f ca="1">IFERROR(__xludf.DUMMYFUNCTION("""COMPUTED_VALUE"""),"No")</f>
        <v>No</v>
      </c>
      <c r="AA1342" s="5"/>
      <c r="AB1342" s="5" t="str">
        <f ca="1">IFERROR(__xludf.DUMMYFUNCTION("""COMPUTED_VALUE"""),"No")</f>
        <v>No</v>
      </c>
      <c r="AC1342" s="5" t="str">
        <f ca="1">IFERROR(__xludf.DUMMYFUNCTION("""COMPUTED_VALUE"""),"No")</f>
        <v>No</v>
      </c>
      <c r="AD1342" s="5" t="str">
        <f ca="1">IFERROR(__xludf.DUMMYFUNCTION("""COMPUTED_VALUE"""),"No")</f>
        <v>No</v>
      </c>
      <c r="AE1342" s="5" t="str">
        <f ca="1">IFERROR(__xludf.DUMMYFUNCTION("""COMPUTED_VALUE"""),"No")</f>
        <v>No</v>
      </c>
      <c r="AF1342" s="5" t="str">
        <f ca="1">IFERROR(__xludf.DUMMYFUNCTION("""COMPUTED_VALUE"""),"No")</f>
        <v>No</v>
      </c>
      <c r="AG1342" s="5" t="str">
        <f ca="1">IFERROR(__xludf.DUMMYFUNCTION("""COMPUTED_VALUE"""),"No")</f>
        <v>No</v>
      </c>
      <c r="AH1342" s="5"/>
    </row>
    <row r="1343" spans="1:34" ht="12.75">
      <c r="A1343" s="5" t="str">
        <f ca="1">IFERROR(__xludf.DUMMYFUNCTION("""COMPUTED_VALUE"""),"20030604PAROW")</f>
        <v>20030604PAROW</v>
      </c>
      <c r="B1343" s="8">
        <f ca="1">IFERROR(__xludf.DUMMYFUNCTION("""COMPUTED_VALUE"""),37776)</f>
        <v>37776</v>
      </c>
      <c r="C1343" s="5" t="str">
        <f ca="1">IFERROR(__xludf.DUMMYFUNCTION("""COMPUTED_VALUE"""),"Rock L. Butler Middle School")</f>
        <v>Rock L. Butler Middle School</v>
      </c>
      <c r="D1343" s="5">
        <f ca="1">IFERROR(__xludf.DUMMYFUNCTION("""COMPUTED_VALUE"""),0)</f>
        <v>0</v>
      </c>
      <c r="E1343" s="5">
        <f ca="1">IFERROR(__xludf.DUMMYFUNCTION("""COMPUTED_VALUE"""),0)</f>
        <v>0</v>
      </c>
      <c r="F1343" s="5">
        <f ca="1">IFERROR(__xludf.DUMMYFUNCTION("""COMPUTED_VALUE"""),0)</f>
        <v>0</v>
      </c>
      <c r="G1343" s="5">
        <f ca="1">IFERROR(__xludf.DUMMYFUNCTION("""COMPUTED_VALUE"""),1)</f>
        <v>1</v>
      </c>
      <c r="H1343"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I1343" s="5"/>
      <c r="J1343" s="5"/>
      <c r="K1343" s="5">
        <f ca="1">IFERROR(__xludf.DUMMYFUNCTION("""COMPUTED_VALUE"""),2)</f>
        <v>2</v>
      </c>
      <c r="L1343" s="5" t="str">
        <f ca="1">IFERROR(__xludf.DUMMYFUNCTION("""COMPUTED_VALUE"""),"Summer")</f>
        <v>Summer</v>
      </c>
      <c r="M1343" s="5" t="str">
        <f ca="1">IFERROR(__xludf.DUMMYFUNCTION("""COMPUTED_VALUE"""),"Wellsboro")</f>
        <v>Wellsboro</v>
      </c>
      <c r="N1343" s="5" t="str">
        <f ca="1">IFERROR(__xludf.DUMMYFUNCTION("""COMPUTED_VALUE"""),"PA")</f>
        <v>PA</v>
      </c>
      <c r="O1343" s="5" t="str">
        <f ca="1">IFERROR(__xludf.DUMMYFUNCTION("""COMPUTED_VALUE"""),"Middle")</f>
        <v>Middle</v>
      </c>
      <c r="P1343" s="5" t="str">
        <f ca="1">IFERROR(__xludf.DUMMYFUNCTION("""COMPUTED_VALUE"""),"Bathroom")</f>
        <v>Bathroom</v>
      </c>
      <c r="Q1343" s="5" t="str">
        <f ca="1">IFERROR(__xludf.DUMMYFUNCTION("""COMPUTED_VALUE"""),"Inside School Building")</f>
        <v>Inside School Building</v>
      </c>
      <c r="R1343" s="5" t="str">
        <f ca="1">IFERROR(__xludf.DUMMYFUNCTION("""COMPUTED_VALUE"""),"Yes")</f>
        <v>Yes</v>
      </c>
      <c r="S1343" s="5" t="str">
        <f ca="1">IFERROR(__xludf.DUMMYFUNCTION("""COMPUTED_VALUE"""),"School Start")</f>
        <v>School Start</v>
      </c>
      <c r="T1343" s="10">
        <f ca="1">IFERROR(__xludf.DUMMYFUNCTION("""COMPUTED_VALUE"""),0.345138888888888)</f>
        <v>0.345138888888888</v>
      </c>
      <c r="U1343" s="5">
        <f ca="1">IFERROR(__xludf.DUMMYFUNCTION("""COMPUTED_VALUE"""),1)</f>
        <v>1</v>
      </c>
      <c r="V1343" s="5" t="str">
        <f ca="1">IFERROR(__xludf.DUMMYFUNCTION("""COMPUTED_VALUE"""),"Brought duffel bag with 7 weapons, shot self in bathroom")</f>
        <v>Brought duffel bag with 7 weapons, shot self in bathroom</v>
      </c>
      <c r="W1343"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X1343" s="5" t="str">
        <f ca="1">IFERROR(__xludf.DUMMYFUNCTION("""COMPUTED_VALUE"""),"Indiscriminate Shooting")</f>
        <v>Indiscriminate Shooting</v>
      </c>
      <c r="Y1343" s="5"/>
      <c r="Z1343" s="5" t="str">
        <f ca="1">IFERROR(__xludf.DUMMYFUNCTION("""COMPUTED_VALUE"""),"Yes")</f>
        <v>Yes</v>
      </c>
      <c r="AA1343" s="5" t="str">
        <f ca="1">IFERROR(__xludf.DUMMYFUNCTION("""COMPUTED_VALUE"""),"Planned attack with 3 other students, backed out that morning and called police")</f>
        <v>Planned attack with 3 other students, backed out that morning and called police</v>
      </c>
      <c r="AB1343" s="5" t="str">
        <f ca="1">IFERROR(__xludf.DUMMYFUNCTION("""COMPUTED_VALUE"""),"No")</f>
        <v>No</v>
      </c>
      <c r="AC1343" s="5" t="str">
        <f ca="1">IFERROR(__xludf.DUMMYFUNCTION("""COMPUTED_VALUE"""),"No")</f>
        <v>No</v>
      </c>
      <c r="AD1343" s="5" t="str">
        <f ca="1">IFERROR(__xludf.DUMMYFUNCTION("""COMPUTED_VALUE"""),"No")</f>
        <v>No</v>
      </c>
      <c r="AE1343" s="5" t="str">
        <f ca="1">IFERROR(__xludf.DUMMYFUNCTION("""COMPUTED_VALUE"""),"No")</f>
        <v>No</v>
      </c>
      <c r="AF1343" s="5" t="str">
        <f ca="1">IFERROR(__xludf.DUMMYFUNCTION("""COMPUTED_VALUE"""),"No")</f>
        <v>No</v>
      </c>
      <c r="AG1343" s="5" t="str">
        <f ca="1">IFERROR(__xludf.DUMMYFUNCTION("""COMPUTED_VALUE"""),"No")</f>
        <v>No</v>
      </c>
      <c r="AH1343" s="5" t="str">
        <f ca="1">IFERROR(__xludf.DUMMYFUNCTION("""COMPUTED_VALUE"""),"Yes")</f>
        <v>Yes</v>
      </c>
    </row>
    <row r="1344" spans="1:34" ht="12.75">
      <c r="A1344" s="5" t="str">
        <f ca="1">IFERROR(__xludf.DUMMYFUNCTION("""COMPUTED_VALUE"""),"20030513PAFOJ")</f>
        <v>20030513PAFOJ</v>
      </c>
      <c r="B1344" s="8">
        <f ca="1">IFERROR(__xludf.DUMMYFUNCTION("""COMPUTED_VALUE"""),37754)</f>
        <v>37754</v>
      </c>
      <c r="C1344" s="5" t="str">
        <f ca="1">IFERROR(__xludf.DUMMYFUNCTION("""COMPUTED_VALUE"""),"Forest Hills High School")</f>
        <v>Forest Hills High School</v>
      </c>
      <c r="D1344" s="5">
        <f ca="1">IFERROR(__xludf.DUMMYFUNCTION("""COMPUTED_VALUE"""),0)</f>
        <v>0</v>
      </c>
      <c r="E1344" s="5">
        <f ca="1">IFERROR(__xludf.DUMMYFUNCTION("""COMPUTED_VALUE"""),0)</f>
        <v>0</v>
      </c>
      <c r="F1344" s="5">
        <f ca="1">IFERROR(__xludf.DUMMYFUNCTION("""COMPUTED_VALUE"""),0)</f>
        <v>0</v>
      </c>
      <c r="G1344" s="5">
        <f ca="1">IFERROR(__xludf.DUMMYFUNCTION("""COMPUTED_VALUE"""),1)</f>
        <v>1</v>
      </c>
      <c r="H1344" s="9" t="str">
        <f ca="1">IFERROR(__xludf.DUMMYFUNCTION("""COMPUTED_VALUE"""),"https://newspaperarchive.com/altoona-mirror-may-14-2003-p-11/")</f>
        <v>https://newspaperarchive.com/altoona-mirror-may-14-2003-p-11/</v>
      </c>
      <c r="I1344" s="5"/>
      <c r="J1344" s="5"/>
      <c r="K1344" s="5">
        <f ca="1">IFERROR(__xludf.DUMMYFUNCTION("""COMPUTED_VALUE"""),2)</f>
        <v>2</v>
      </c>
      <c r="L1344" s="5" t="str">
        <f ca="1">IFERROR(__xludf.DUMMYFUNCTION("""COMPUTED_VALUE"""),"Spring")</f>
        <v>Spring</v>
      </c>
      <c r="M1344" s="5" t="str">
        <f ca="1">IFERROR(__xludf.DUMMYFUNCTION("""COMPUTED_VALUE"""),"Johnstown")</f>
        <v>Johnstown</v>
      </c>
      <c r="N1344" s="5" t="str">
        <f ca="1">IFERROR(__xludf.DUMMYFUNCTION("""COMPUTED_VALUE"""),"PA")</f>
        <v>PA</v>
      </c>
      <c r="O1344" s="5" t="str">
        <f ca="1">IFERROR(__xludf.DUMMYFUNCTION("""COMPUTED_VALUE"""),"High")</f>
        <v>High</v>
      </c>
      <c r="P1344" s="5" t="str">
        <f ca="1">IFERROR(__xludf.DUMMYFUNCTION("""COMPUTED_VALUE"""),"Parking Lot")</f>
        <v>Parking Lot</v>
      </c>
      <c r="Q1344" s="5" t="str">
        <f ca="1">IFERROR(__xludf.DUMMYFUNCTION("""COMPUTED_VALUE"""),"Outside on School Property")</f>
        <v>Outside on School Property</v>
      </c>
      <c r="R1344" s="5" t="str">
        <f ca="1">IFERROR(__xludf.DUMMYFUNCTION("""COMPUTED_VALUE"""),"Yes")</f>
        <v>Yes</v>
      </c>
      <c r="S1344" s="5" t="str">
        <f ca="1">IFERROR(__xludf.DUMMYFUNCTION("""COMPUTED_VALUE"""),"Morning Classes")</f>
        <v>Morning Classes</v>
      </c>
      <c r="T1344" s="5"/>
      <c r="U1344" s="5">
        <f ca="1">IFERROR(__xludf.DUMMYFUNCTION("""COMPUTED_VALUE"""),1)</f>
        <v>1</v>
      </c>
      <c r="V1344" s="5" t="str">
        <f ca="1">IFERROR(__xludf.DUMMYFUNCTION("""COMPUTED_VALUE"""),"Commit suicide in parking lot")</f>
        <v>Commit suicide in parking lot</v>
      </c>
      <c r="W1344" s="5" t="str">
        <f ca="1">IFERROR(__xludf.DUMMYFUNCTION("""COMPUTED_VALUE"""),"18YOM student commit suicide in parking lot.")</f>
        <v>18YOM student commit suicide in parking lot.</v>
      </c>
      <c r="X1344" s="5" t="str">
        <f ca="1">IFERROR(__xludf.DUMMYFUNCTION("""COMPUTED_VALUE"""),"Suicide/Attempted")</f>
        <v>Suicide/Attempted</v>
      </c>
      <c r="Y1344" s="5" t="str">
        <f ca="1">IFERROR(__xludf.DUMMYFUNCTION("""COMPUTED_VALUE"""),"Victims Targeted")</f>
        <v>Victims Targeted</v>
      </c>
      <c r="Z1344" s="5" t="str">
        <f ca="1">IFERROR(__xludf.DUMMYFUNCTION("""COMPUTED_VALUE"""),"No")</f>
        <v>No</v>
      </c>
      <c r="AA1344" s="5"/>
      <c r="AB1344" s="5" t="str">
        <f ca="1">IFERROR(__xludf.DUMMYFUNCTION("""COMPUTED_VALUE"""),"No")</f>
        <v>No</v>
      </c>
      <c r="AC1344" s="5" t="str">
        <f ca="1">IFERROR(__xludf.DUMMYFUNCTION("""COMPUTED_VALUE"""),"No")</f>
        <v>No</v>
      </c>
      <c r="AD1344" s="5" t="str">
        <f ca="1">IFERROR(__xludf.DUMMYFUNCTION("""COMPUTED_VALUE"""),"No")</f>
        <v>No</v>
      </c>
      <c r="AE1344" s="5" t="str">
        <f ca="1">IFERROR(__xludf.DUMMYFUNCTION("""COMPUTED_VALUE"""),"No")</f>
        <v>No</v>
      </c>
      <c r="AF1344" s="5" t="str">
        <f ca="1">IFERROR(__xludf.DUMMYFUNCTION("""COMPUTED_VALUE"""),"No")</f>
        <v>No</v>
      </c>
      <c r="AG1344" s="5" t="str">
        <f ca="1">IFERROR(__xludf.DUMMYFUNCTION("""COMPUTED_VALUE"""),"No")</f>
        <v>No</v>
      </c>
      <c r="AH1344" s="5"/>
    </row>
    <row r="1345" spans="1:34" ht="12.75">
      <c r="A1345" s="5" t="str">
        <f ca="1">IFERROR(__xludf.DUMMYFUNCTION("""COMPUTED_VALUE"""),"20030424PARER")</f>
        <v>20030424PARER</v>
      </c>
      <c r="B1345" s="8">
        <f ca="1">IFERROR(__xludf.DUMMYFUNCTION("""COMPUTED_VALUE"""),37735)</f>
        <v>37735</v>
      </c>
      <c r="C1345" s="5" t="str">
        <f ca="1">IFERROR(__xludf.DUMMYFUNCTION("""COMPUTED_VALUE"""),"Red Lion Area Junior High School")</f>
        <v>Red Lion Area Junior High School</v>
      </c>
      <c r="D1345" s="5">
        <f ca="1">IFERROR(__xludf.DUMMYFUNCTION("""COMPUTED_VALUE"""),1)</f>
        <v>1</v>
      </c>
      <c r="E1345" s="5">
        <f ca="1">IFERROR(__xludf.DUMMYFUNCTION("""COMPUTED_VALUE"""),0)</f>
        <v>0</v>
      </c>
      <c r="F1345" s="5">
        <f ca="1">IFERROR(__xludf.DUMMYFUNCTION("""COMPUTED_VALUE"""),1)</f>
        <v>1</v>
      </c>
      <c r="G1345" s="5">
        <f ca="1">IFERROR(__xludf.DUMMYFUNCTION("""COMPUTED_VALUE"""),1)</f>
        <v>1</v>
      </c>
      <c r="H1345"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I1345" s="5"/>
      <c r="J1345" s="5"/>
      <c r="K1345" s="5">
        <f ca="1">IFERROR(__xludf.DUMMYFUNCTION("""COMPUTED_VALUE"""),5)</f>
        <v>5</v>
      </c>
      <c r="L1345" s="5" t="str">
        <f ca="1">IFERROR(__xludf.DUMMYFUNCTION("""COMPUTED_VALUE"""),"Spring")</f>
        <v>Spring</v>
      </c>
      <c r="M1345" s="5" t="str">
        <f ca="1">IFERROR(__xludf.DUMMYFUNCTION("""COMPUTED_VALUE"""),"Red Lion")</f>
        <v>Red Lion</v>
      </c>
      <c r="N1345" s="5" t="str">
        <f ca="1">IFERROR(__xludf.DUMMYFUNCTION("""COMPUTED_VALUE"""),"PA")</f>
        <v>PA</v>
      </c>
      <c r="O1345" s="5" t="str">
        <f ca="1">IFERROR(__xludf.DUMMYFUNCTION("""COMPUTED_VALUE"""),"Junior High")</f>
        <v>Junior High</v>
      </c>
      <c r="P1345" s="5" t="str">
        <f ca="1">IFERROR(__xludf.DUMMYFUNCTION("""COMPUTED_VALUE"""),"Cafeteria")</f>
        <v>Cafeteria</v>
      </c>
      <c r="Q1345" s="5" t="str">
        <f ca="1">IFERROR(__xludf.DUMMYFUNCTION("""COMPUTED_VALUE"""),"Inside School Building")</f>
        <v>Inside School Building</v>
      </c>
      <c r="R1345" s="5" t="str">
        <f ca="1">IFERROR(__xludf.DUMMYFUNCTION("""COMPUTED_VALUE"""),"Yes")</f>
        <v>Yes</v>
      </c>
      <c r="S1345" s="5" t="str">
        <f ca="1">IFERROR(__xludf.DUMMYFUNCTION("""COMPUTED_VALUE"""),"School Start")</f>
        <v>School Start</v>
      </c>
      <c r="T1345" s="10">
        <f ca="1">IFERROR(__xludf.DUMMYFUNCTION("""COMPUTED_VALUE"""),0.315277777777777)</f>
        <v>0.31527777777777699</v>
      </c>
      <c r="U1345" s="5">
        <f ca="1">IFERROR(__xludf.DUMMYFUNCTION("""COMPUTED_VALUE"""),1)</f>
        <v>1</v>
      </c>
      <c r="V1345" s="5" t="str">
        <f ca="1">IFERROR(__xludf.DUMMYFUNCTION("""COMPUTED_VALUE"""),"Recently disciplined by principal")</f>
        <v>Recently disciplined by principal</v>
      </c>
      <c r="W1345"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X1345" s="5" t="str">
        <f ca="1">IFERROR(__xludf.DUMMYFUNCTION("""COMPUTED_VALUE"""),"Anger Over Grade/Suspension/Discipline")</f>
        <v>Anger Over Grade/Suspension/Discipline</v>
      </c>
      <c r="Y1345" s="5" t="str">
        <f ca="1">IFERROR(__xludf.DUMMYFUNCTION("""COMPUTED_VALUE"""),"Victims Targeted")</f>
        <v>Victims Targeted</v>
      </c>
      <c r="Z1345" s="5" t="str">
        <f ca="1">IFERROR(__xludf.DUMMYFUNCTION("""COMPUTED_VALUE"""),"No")</f>
        <v>No</v>
      </c>
      <c r="AA1345" s="5"/>
      <c r="AB1345" s="5" t="str">
        <f ca="1">IFERROR(__xludf.DUMMYFUNCTION("""COMPUTED_VALUE"""),"No")</f>
        <v>No</v>
      </c>
      <c r="AC1345" s="5" t="str">
        <f ca="1">IFERROR(__xludf.DUMMYFUNCTION("""COMPUTED_VALUE"""),"No")</f>
        <v>No</v>
      </c>
      <c r="AD1345" s="5" t="str">
        <f ca="1">IFERROR(__xludf.DUMMYFUNCTION("""COMPUTED_VALUE"""),"No")</f>
        <v>No</v>
      </c>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IFERROR(__xludf.DUMMYFUNCTION("""COMPUTED_VALUE"""),"Yes")</f>
        <v>Yes</v>
      </c>
    </row>
    <row r="1346" spans="1:34" ht="12.75">
      <c r="A1346" s="5" t="str">
        <f ca="1">IFERROR(__xludf.DUMMYFUNCTION("""COMPUTED_VALUE"""),"20030416TXGRA")</f>
        <v>20030416TXGRA</v>
      </c>
      <c r="B1346" s="8">
        <f ca="1">IFERROR(__xludf.DUMMYFUNCTION("""COMPUTED_VALUE"""),37727)</f>
        <v>37727</v>
      </c>
      <c r="C1346" s="5" t="str">
        <f ca="1">IFERROR(__xludf.DUMMYFUNCTION("""COMPUTED_VALUE"""),"Greenhill Middle School")</f>
        <v>Greenhill Middle School</v>
      </c>
      <c r="D1346" s="5">
        <f ca="1">IFERROR(__xludf.DUMMYFUNCTION("""COMPUTED_VALUE"""),0)</f>
        <v>0</v>
      </c>
      <c r="E1346" s="5">
        <f ca="1">IFERROR(__xludf.DUMMYFUNCTION("""COMPUTED_VALUE"""),0)</f>
        <v>0</v>
      </c>
      <c r="F1346" s="5">
        <f ca="1">IFERROR(__xludf.DUMMYFUNCTION("""COMPUTED_VALUE"""),0)</f>
        <v>0</v>
      </c>
      <c r="G1346" s="5">
        <f ca="1">IFERROR(__xludf.DUMMYFUNCTION("""COMPUTED_VALUE"""),1)</f>
        <v>1</v>
      </c>
      <c r="H1346" s="9" t="str">
        <f ca="1">IFERROR(__xludf.DUMMYFUNCTION("""COMPUTED_VALUE"""),"http://obits.dallasnews.com/obituaries/dallasmorningnews/obituary.aspx?page=lifestory&amp;pid=950952")</f>
        <v>http://obits.dallasnews.com/obituaries/dallasmorningnews/obituary.aspx?page=lifestory&amp;pid=950952</v>
      </c>
      <c r="I1346" s="5"/>
      <c r="J1346" s="5"/>
      <c r="K1346" s="5">
        <f ca="1">IFERROR(__xludf.DUMMYFUNCTION("""COMPUTED_VALUE"""),2)</f>
        <v>2</v>
      </c>
      <c r="L1346" s="5" t="str">
        <f ca="1">IFERROR(__xludf.DUMMYFUNCTION("""COMPUTED_VALUE"""),"Spring")</f>
        <v>Spring</v>
      </c>
      <c r="M1346" s="5" t="str">
        <f ca="1">IFERROR(__xludf.DUMMYFUNCTION("""COMPUTED_VALUE"""),"Addison")</f>
        <v>Addison</v>
      </c>
      <c r="N1346" s="5" t="str">
        <f ca="1">IFERROR(__xludf.DUMMYFUNCTION("""COMPUTED_VALUE"""),"TX")</f>
        <v>TX</v>
      </c>
      <c r="O1346" s="5" t="str">
        <f ca="1">IFERROR(__xludf.DUMMYFUNCTION("""COMPUTED_VALUE"""),"Middle")</f>
        <v>Middle</v>
      </c>
      <c r="P1346" s="5" t="str">
        <f ca="1">IFERROR(__xludf.DUMMYFUNCTION("""COMPUTED_VALUE"""),"Bathroom")</f>
        <v>Bathroom</v>
      </c>
      <c r="Q1346" s="5" t="str">
        <f ca="1">IFERROR(__xludf.DUMMYFUNCTION("""COMPUTED_VALUE"""),"Inside School Building")</f>
        <v>Inside School Building</v>
      </c>
      <c r="R1346" s="5" t="str">
        <f ca="1">IFERROR(__xludf.DUMMYFUNCTION("""COMPUTED_VALUE"""),"Yes")</f>
        <v>Yes</v>
      </c>
      <c r="S1346" s="5" t="str">
        <f ca="1">IFERROR(__xludf.DUMMYFUNCTION("""COMPUTED_VALUE"""),"After School")</f>
        <v>After School</v>
      </c>
      <c r="T1346" s="10">
        <f ca="1">IFERROR(__xludf.DUMMYFUNCTION("""COMPUTED_VALUE"""),0.631944444444444)</f>
        <v>0.63194444444444398</v>
      </c>
      <c r="U1346" s="5">
        <f ca="1">IFERROR(__xludf.DUMMYFUNCTION("""COMPUTED_VALUE"""),1)</f>
        <v>1</v>
      </c>
      <c r="V1346" s="5" t="str">
        <f ca="1">IFERROR(__xludf.DUMMYFUNCTION("""COMPUTED_VALUE"""),"Student shot herself in bathroom")</f>
        <v>Student shot herself in bathroom</v>
      </c>
      <c r="W1346" s="5" t="str">
        <f ca="1">IFERROR(__xludf.DUMMYFUNCTION("""COMPUTED_VALUE"""),"12YOF student shot herself in the school bathroom")</f>
        <v>12YOF student shot herself in the school bathroom</v>
      </c>
      <c r="X1346" s="5" t="str">
        <f ca="1">IFERROR(__xludf.DUMMYFUNCTION("""COMPUTED_VALUE"""),"Murder/Suicide")</f>
        <v>Murder/Suicide</v>
      </c>
      <c r="Y1346" s="5" t="str">
        <f ca="1">IFERROR(__xludf.DUMMYFUNCTION("""COMPUTED_VALUE"""),"Victims Targeted")</f>
        <v>Victims Targeted</v>
      </c>
      <c r="Z1346" s="5" t="str">
        <f ca="1">IFERROR(__xludf.DUMMYFUNCTION("""COMPUTED_VALUE"""),"No")</f>
        <v>No</v>
      </c>
      <c r="AA1346" s="5"/>
      <c r="AB1346" s="5" t="str">
        <f ca="1">IFERROR(__xludf.DUMMYFUNCTION("""COMPUTED_VALUE"""),"No")</f>
        <v>No</v>
      </c>
      <c r="AC1346" s="5" t="str">
        <f ca="1">IFERROR(__xludf.DUMMYFUNCTION("""COMPUTED_VALUE"""),"No")</f>
        <v>No</v>
      </c>
      <c r="AD1346" s="5" t="str">
        <f ca="1">IFERROR(__xludf.DUMMYFUNCTION("""COMPUTED_VALUE"""),"No")</f>
        <v>No</v>
      </c>
      <c r="AE1346" s="5"/>
      <c r="AF1346" s="5" t="str">
        <f ca="1">IFERROR(__xludf.DUMMYFUNCTION("""COMPUTED_VALUE"""),"No")</f>
        <v>No</v>
      </c>
      <c r="AG1346" s="5" t="str">
        <f ca="1">IFERROR(__xludf.DUMMYFUNCTION("""COMPUTED_VALUE"""),"No")</f>
        <v>No</v>
      </c>
      <c r="AH1346" s="5"/>
    </row>
    <row r="1347" spans="1:34" ht="12.75">
      <c r="A1347" s="5" t="str">
        <f ca="1">IFERROR(__xludf.DUMMYFUNCTION("""COMPUTED_VALUE"""),"20030414LAJON")</f>
        <v>20030414LAJON</v>
      </c>
      <c r="B1347" s="8">
        <f ca="1">IFERROR(__xludf.DUMMYFUNCTION("""COMPUTED_VALUE"""),37725)</f>
        <v>37725</v>
      </c>
      <c r="C1347" s="5" t="str">
        <f ca="1">IFERROR(__xludf.DUMMYFUNCTION("""COMPUTED_VALUE"""),"John McDonogh High School")</f>
        <v>John McDonogh High School</v>
      </c>
      <c r="D1347" s="5">
        <f ca="1">IFERROR(__xludf.DUMMYFUNCTION("""COMPUTED_VALUE"""),1)</f>
        <v>1</v>
      </c>
      <c r="E1347" s="5">
        <f ca="1">IFERROR(__xludf.DUMMYFUNCTION("""COMPUTED_VALUE"""),4)</f>
        <v>4</v>
      </c>
      <c r="F1347" s="5">
        <f ca="1">IFERROR(__xludf.DUMMYFUNCTION("""COMPUTED_VALUE"""),5)</f>
        <v>5</v>
      </c>
      <c r="G1347" s="5">
        <f ca="1">IFERROR(__xludf.DUMMYFUNCTION("""COMPUTED_VALUE"""),0)</f>
        <v>0</v>
      </c>
      <c r="H1347"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I1347" s="5"/>
      <c r="J1347" s="5"/>
      <c r="K1347" s="5">
        <f ca="1">IFERROR(__xludf.DUMMYFUNCTION("""COMPUTED_VALUE"""),2)</f>
        <v>2</v>
      </c>
      <c r="L1347" s="5" t="str">
        <f ca="1">IFERROR(__xludf.DUMMYFUNCTION("""COMPUTED_VALUE"""),"Spring")</f>
        <v>Spring</v>
      </c>
      <c r="M1347" s="5" t="str">
        <f ca="1">IFERROR(__xludf.DUMMYFUNCTION("""COMPUTED_VALUE"""),"New Orleans")</f>
        <v>New Orleans</v>
      </c>
      <c r="N1347" s="5" t="str">
        <f ca="1">IFERROR(__xludf.DUMMYFUNCTION("""COMPUTED_VALUE"""),"LA")</f>
        <v>LA</v>
      </c>
      <c r="O1347" s="5" t="str">
        <f ca="1">IFERROR(__xludf.DUMMYFUNCTION("""COMPUTED_VALUE"""),"High")</f>
        <v>High</v>
      </c>
      <c r="P1347" s="5" t="str">
        <f ca="1">IFERROR(__xludf.DUMMYFUNCTION("""COMPUTED_VALUE"""),"Gym")</f>
        <v>Gym</v>
      </c>
      <c r="Q1347" s="5" t="str">
        <f ca="1">IFERROR(__xludf.DUMMYFUNCTION("""COMPUTED_VALUE"""),"Inside School Building")</f>
        <v>Inside School Building</v>
      </c>
      <c r="R1347" s="5" t="str">
        <f ca="1">IFERROR(__xludf.DUMMYFUNCTION("""COMPUTED_VALUE"""),"Yes")</f>
        <v>Yes</v>
      </c>
      <c r="S1347" s="5" t="str">
        <f ca="1">IFERROR(__xludf.DUMMYFUNCTION("""COMPUTED_VALUE"""),"Morning Classes")</f>
        <v>Morning Classes</v>
      </c>
      <c r="T1347" s="10">
        <f ca="1">IFERROR(__xludf.DUMMYFUNCTION("""COMPUTED_VALUE"""),0.427083333333333)</f>
        <v>0.42708333333333298</v>
      </c>
      <c r="U1347" s="5">
        <f ca="1">IFERROR(__xludf.DUMMYFUNCTION("""COMPUTED_VALUE"""),1)</f>
        <v>1</v>
      </c>
      <c r="V1347" s="5" t="str">
        <f ca="1">IFERROR(__xludf.DUMMYFUNCTION("""COMPUTED_VALUE"""),"Gang members targeted rival gang member in school gym")</f>
        <v>Gang members targeted rival gang member in school gym</v>
      </c>
      <c r="W1347"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X1347" s="5" t="str">
        <f ca="1">IFERROR(__xludf.DUMMYFUNCTION("""COMPUTED_VALUE"""),"Indiscriminate Shooting")</f>
        <v>Indiscriminate Shooting</v>
      </c>
      <c r="Y1347" s="5" t="str">
        <f ca="1">IFERROR(__xludf.DUMMYFUNCTION("""COMPUTED_VALUE"""),"Both")</f>
        <v>Both</v>
      </c>
      <c r="Z1347" s="5" t="str">
        <f ca="1">IFERROR(__xludf.DUMMYFUNCTION("""COMPUTED_VALUE"""),"Yes")</f>
        <v>Yes</v>
      </c>
      <c r="AA1347" s="5" t="str">
        <f ca="1">IFERROR(__xludf.DUMMYFUNCTION("""COMPUTED_VALUE"""),"3 gunmen")</f>
        <v>3 gunmen</v>
      </c>
      <c r="AB1347" s="5" t="str">
        <f ca="1">IFERROR(__xludf.DUMMYFUNCTION("""COMPUTED_VALUE"""),"No")</f>
        <v>No</v>
      </c>
      <c r="AC1347" s="5" t="str">
        <f ca="1">IFERROR(__xludf.DUMMYFUNCTION("""COMPUTED_VALUE"""),"No")</f>
        <v>No</v>
      </c>
      <c r="AD1347" s="5" t="str">
        <f ca="1">IFERROR(__xludf.DUMMYFUNCTION("""COMPUTED_VALUE"""),"No")</f>
        <v>No</v>
      </c>
      <c r="AE1347" s="5" t="str">
        <f ca="1">IFERROR(__xludf.DUMMYFUNCTION("""COMPUTED_VALUE"""),"No")</f>
        <v>No</v>
      </c>
      <c r="AF1347" s="5" t="str">
        <f ca="1">IFERROR(__xludf.DUMMYFUNCTION("""COMPUTED_VALUE"""),"No")</f>
        <v>No</v>
      </c>
      <c r="AG1347" s="5" t="str">
        <f ca="1">IFERROR(__xludf.DUMMYFUNCTION("""COMPUTED_VALUE"""),"Yes")</f>
        <v>Yes</v>
      </c>
      <c r="AH1347" s="5" t="str">
        <f ca="1">IFERROR(__xludf.DUMMYFUNCTION("""COMPUTED_VALUE"""),"Yes")</f>
        <v>Yes</v>
      </c>
    </row>
    <row r="1348" spans="1:34" ht="12.75">
      <c r="A1348" s="5" t="str">
        <f ca="1">IFERROR(__xludf.DUMMYFUNCTION("""COMPUTED_VALUE"""),"20030414LAFAS")</f>
        <v>20030414LAFAS</v>
      </c>
      <c r="B1348" s="8">
        <f ca="1">IFERROR(__xludf.DUMMYFUNCTION("""COMPUTED_VALUE"""),37725)</f>
        <v>37725</v>
      </c>
      <c r="C1348" s="5" t="str">
        <f ca="1">IFERROR(__xludf.DUMMYFUNCTION("""COMPUTED_VALUE"""),"Fair Park High School")</f>
        <v>Fair Park High School</v>
      </c>
      <c r="D1348" s="5">
        <f ca="1">IFERROR(__xludf.DUMMYFUNCTION("""COMPUTED_VALUE"""),0)</f>
        <v>0</v>
      </c>
      <c r="E1348" s="5">
        <f ca="1">IFERROR(__xludf.DUMMYFUNCTION("""COMPUTED_VALUE"""),1)</f>
        <v>1</v>
      </c>
      <c r="F1348" s="5">
        <f ca="1">IFERROR(__xludf.DUMMYFUNCTION("""COMPUTED_VALUE"""),1)</f>
        <v>1</v>
      </c>
      <c r="G1348" s="5">
        <f ca="1">IFERROR(__xludf.DUMMYFUNCTION("""COMPUTED_VALUE"""),0)</f>
        <v>0</v>
      </c>
      <c r="H1348" s="9" t="str">
        <f ca="1">IFERROR(__xludf.DUMMYFUNCTION("""COMPUTED_VALUE"""),"https://www.newspapers.com/image/220871722/?terms=Fair%2BPark%2BHigh%2BSchool%2BSteven%2BGreen")</f>
        <v>https://www.newspapers.com/image/220871722/?terms=Fair%2BPark%2BHigh%2BSchool%2BSteven%2BGreen</v>
      </c>
      <c r="I1348" s="5"/>
      <c r="J1348" s="5"/>
      <c r="K1348" s="5">
        <f ca="1">IFERROR(__xludf.DUMMYFUNCTION("""COMPUTED_VALUE"""),2)</f>
        <v>2</v>
      </c>
      <c r="L1348" s="5" t="str">
        <f ca="1">IFERROR(__xludf.DUMMYFUNCTION("""COMPUTED_VALUE"""),"Spring")</f>
        <v>Spring</v>
      </c>
      <c r="M1348" s="5" t="str">
        <f ca="1">IFERROR(__xludf.DUMMYFUNCTION("""COMPUTED_VALUE"""),"Shereveport")</f>
        <v>Shereveport</v>
      </c>
      <c r="N1348" s="5" t="str">
        <f ca="1">IFERROR(__xludf.DUMMYFUNCTION("""COMPUTED_VALUE"""),"LA")</f>
        <v>LA</v>
      </c>
      <c r="O1348" s="5" t="str">
        <f ca="1">IFERROR(__xludf.DUMMYFUNCTION("""COMPUTED_VALUE"""),"High")</f>
        <v>High</v>
      </c>
      <c r="P1348" s="5" t="str">
        <f ca="1">IFERROR(__xludf.DUMMYFUNCTION("""COMPUTED_VALUE"""),"Classroom")</f>
        <v>Classroom</v>
      </c>
      <c r="Q1348" s="5" t="str">
        <f ca="1">IFERROR(__xludf.DUMMYFUNCTION("""COMPUTED_VALUE"""),"Inside School Building")</f>
        <v>Inside School Building</v>
      </c>
      <c r="R1348" s="5" t="str">
        <f ca="1">IFERROR(__xludf.DUMMYFUNCTION("""COMPUTED_VALUE"""),"Yes")</f>
        <v>Yes</v>
      </c>
      <c r="S1348" s="5" t="str">
        <f ca="1">IFERROR(__xludf.DUMMYFUNCTION("""COMPUTED_VALUE"""),"Morning Classes")</f>
        <v>Morning Classes</v>
      </c>
      <c r="T1348" s="10">
        <f ca="1">IFERROR(__xludf.DUMMYFUNCTION("""COMPUTED_VALUE"""),0.4375)</f>
        <v>0.4375</v>
      </c>
      <c r="U1348" s="5">
        <f ca="1">IFERROR(__xludf.DUMMYFUNCTION("""COMPUTED_VALUE"""),1)</f>
        <v>1</v>
      </c>
      <c r="V1348" s="5" t="str">
        <f ca="1">IFERROR(__xludf.DUMMYFUNCTION("""COMPUTED_VALUE"""),"Showing off gun, struck friend in stomach")</f>
        <v>Showing off gun, struck friend in stomach</v>
      </c>
      <c r="W1348"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X1348" s="5" t="str">
        <f ca="1">IFERROR(__xludf.DUMMYFUNCTION("""COMPUTED_VALUE"""),"Accidental")</f>
        <v>Accidental</v>
      </c>
      <c r="Y1348" s="5" t="str">
        <f ca="1">IFERROR(__xludf.DUMMYFUNCTION("""COMPUTED_VALUE"""),"Random Shooting")</f>
        <v>Random Shooting</v>
      </c>
      <c r="Z1348" s="5" t="str">
        <f ca="1">IFERROR(__xludf.DUMMYFUNCTION("""COMPUTED_VALUE"""),"No")</f>
        <v>No</v>
      </c>
      <c r="AA1348" s="5"/>
      <c r="AB1348" s="5" t="str">
        <f ca="1">IFERROR(__xludf.DUMMYFUNCTION("""COMPUTED_VALUE"""),"No")</f>
        <v>No</v>
      </c>
      <c r="AC1348" s="5" t="str">
        <f ca="1">IFERROR(__xludf.DUMMYFUNCTION("""COMPUTED_VALUE"""),"No")</f>
        <v>No</v>
      </c>
      <c r="AD1348" s="5" t="str">
        <f ca="1">IFERROR(__xludf.DUMMYFUNCTION("""COMPUTED_VALUE"""),"No")</f>
        <v>No</v>
      </c>
      <c r="AE1348" s="5" t="str">
        <f ca="1">IFERROR(__xludf.DUMMYFUNCTION("""COMPUTED_VALUE"""),"No")</f>
        <v>No</v>
      </c>
      <c r="AF1348" s="5" t="str">
        <f ca="1">IFERROR(__xludf.DUMMYFUNCTION("""COMPUTED_VALUE"""),"No")</f>
        <v>No</v>
      </c>
      <c r="AG1348" s="5" t="str">
        <f ca="1">IFERROR(__xludf.DUMMYFUNCTION("""COMPUTED_VALUE"""),"No")</f>
        <v>No</v>
      </c>
      <c r="AH1348" s="5"/>
    </row>
    <row r="1349" spans="1:34" ht="12.75">
      <c r="A1349" s="5" t="str">
        <f ca="1">IFERROR(__xludf.DUMMYFUNCTION("""COMPUTED_VALUE"""),"20030410CAWAW")</f>
        <v>20030410CAWAW</v>
      </c>
      <c r="B1349" s="8">
        <f ca="1">IFERROR(__xludf.DUMMYFUNCTION("""COMPUTED_VALUE"""),37721)</f>
        <v>37721</v>
      </c>
      <c r="C1349" s="5" t="str">
        <f ca="1">IFERROR(__xludf.DUMMYFUNCTION("""COMPUTED_VALUE"""),"Walnut High School")</f>
        <v>Walnut High School</v>
      </c>
      <c r="D1349" s="5">
        <f ca="1">IFERROR(__xludf.DUMMYFUNCTION("""COMPUTED_VALUE"""),0)</f>
        <v>0</v>
      </c>
      <c r="E1349" s="5">
        <f ca="1">IFERROR(__xludf.DUMMYFUNCTION("""COMPUTED_VALUE"""),0)</f>
        <v>0</v>
      </c>
      <c r="F1349" s="5">
        <f ca="1">IFERROR(__xludf.DUMMYFUNCTION("""COMPUTED_VALUE"""),0)</f>
        <v>0</v>
      </c>
      <c r="G1349" s="5">
        <f ca="1">IFERROR(__xludf.DUMMYFUNCTION("""COMPUTED_VALUE"""),1)</f>
        <v>1</v>
      </c>
      <c r="H1349" s="9" t="str">
        <f ca="1">IFERROR(__xludf.DUMMYFUNCTION("""COMPUTED_VALUE"""),"https://web.archive.org/web/20050211181322/https://www.nbc4.tv/news/2104581/detail.html")</f>
        <v>https://web.archive.org/web/20050211181322/https://www.nbc4.tv/news/2104581/detail.html</v>
      </c>
      <c r="I1349" s="5">
        <f ca="1">IFERROR(__xludf.DUMMYFUNCTION("""COMPUTED_VALUE"""),4)</f>
        <v>4</v>
      </c>
      <c r="J1349" s="5" t="str">
        <f ca="1">IFERROR(__xludf.DUMMYFUNCTION("""COMPUTED_VALUE"""),"Local")</f>
        <v>Local</v>
      </c>
      <c r="K1349" s="5">
        <f ca="1">IFERROR(__xludf.DUMMYFUNCTION("""COMPUTED_VALUE"""),4)</f>
        <v>4</v>
      </c>
      <c r="L1349" s="5" t="str">
        <f ca="1">IFERROR(__xludf.DUMMYFUNCTION("""COMPUTED_VALUE"""),"Spring")</f>
        <v>Spring</v>
      </c>
      <c r="M1349" s="5" t="str">
        <f ca="1">IFERROR(__xludf.DUMMYFUNCTION("""COMPUTED_VALUE"""),"Walnut")</f>
        <v>Walnut</v>
      </c>
      <c r="N1349" s="5" t="str">
        <f ca="1">IFERROR(__xludf.DUMMYFUNCTION("""COMPUTED_VALUE"""),"CA")</f>
        <v>CA</v>
      </c>
      <c r="O1349" s="5" t="str">
        <f ca="1">IFERROR(__xludf.DUMMYFUNCTION("""COMPUTED_VALUE"""),"High")</f>
        <v>High</v>
      </c>
      <c r="P1349" s="5" t="str">
        <f ca="1">IFERROR(__xludf.DUMMYFUNCTION("""COMPUTED_VALUE"""),"Cafeteria")</f>
        <v>Cafeteria</v>
      </c>
      <c r="Q1349" s="5" t="str">
        <f ca="1">IFERROR(__xludf.DUMMYFUNCTION("""COMPUTED_VALUE"""),"Inside School Building")</f>
        <v>Inside School Building</v>
      </c>
      <c r="R1349" s="5" t="str">
        <f ca="1">IFERROR(__xludf.DUMMYFUNCTION("""COMPUTED_VALUE"""),"Yes")</f>
        <v>Yes</v>
      </c>
      <c r="S1349" s="5" t="str">
        <f ca="1">IFERROR(__xludf.DUMMYFUNCTION("""COMPUTED_VALUE"""),"Lunch")</f>
        <v>Lunch</v>
      </c>
      <c r="T1349" s="10">
        <f ca="1">IFERROR(__xludf.DUMMYFUNCTION("""COMPUTED_VALUE"""),0.506944444444444)</f>
        <v>0.50694444444444398</v>
      </c>
      <c r="U1349" s="5">
        <f ca="1">IFERROR(__xludf.DUMMYFUNCTION("""COMPUTED_VALUE"""),1)</f>
        <v>1</v>
      </c>
      <c r="V1349" s="5" t="str">
        <f ca="1">IFERROR(__xludf.DUMMYFUNCTION("""COMPUTED_VALUE"""),"Student fatally shot himself inside cafeteria during lunch")</f>
        <v>Student fatally shot himself inside cafeteria during lunch</v>
      </c>
      <c r="W1349"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X1349" s="5" t="str">
        <f ca="1">IFERROR(__xludf.DUMMYFUNCTION("""COMPUTED_VALUE"""),"Suicide/Attempted")</f>
        <v>Suicide/Attempted</v>
      </c>
      <c r="Y1349" s="5" t="str">
        <f ca="1">IFERROR(__xludf.DUMMYFUNCTION("""COMPUTED_VALUE"""),"Victims Targeted")</f>
        <v>Victims Targeted</v>
      </c>
      <c r="Z1349" s="5" t="str">
        <f ca="1">IFERROR(__xludf.DUMMYFUNCTION("""COMPUTED_VALUE"""),"No")</f>
        <v>No</v>
      </c>
      <c r="AA1349" s="5"/>
      <c r="AB1349" s="5" t="str">
        <f ca="1">IFERROR(__xludf.DUMMYFUNCTION("""COMPUTED_VALUE"""),"No")</f>
        <v>No</v>
      </c>
      <c r="AC1349" s="5" t="str">
        <f ca="1">IFERROR(__xludf.DUMMYFUNCTION("""COMPUTED_VALUE"""),"No")</f>
        <v>No</v>
      </c>
      <c r="AD1349" s="5" t="str">
        <f ca="1">IFERROR(__xludf.DUMMYFUNCTION("""COMPUTED_VALUE"""),"No")</f>
        <v>No</v>
      </c>
      <c r="AE1349" s="5" t="str">
        <f ca="1">IFERROR(__xludf.DUMMYFUNCTION("""COMPUTED_VALUE"""),"No")</f>
        <v>No</v>
      </c>
      <c r="AF1349" s="5" t="str">
        <f ca="1">IFERROR(__xludf.DUMMYFUNCTION("""COMPUTED_VALUE"""),"No")</f>
        <v>No</v>
      </c>
      <c r="AG1349" s="5" t="str">
        <f ca="1">IFERROR(__xludf.DUMMYFUNCTION("""COMPUTED_VALUE"""),"No")</f>
        <v>No</v>
      </c>
      <c r="AH1349" s="5" t="str">
        <f ca="1">IFERROR(__xludf.DUMMYFUNCTION("""COMPUTED_VALUE"""),"No")</f>
        <v>No</v>
      </c>
    </row>
    <row r="1350" spans="1:34" ht="12.75">
      <c r="A1350" s="5" t="str">
        <f ca="1">IFERROR(__xludf.DUMMYFUNCTION("""COMPUTED_VALUE"""),"20030401DCCAW")</f>
        <v>20030401DCCAW</v>
      </c>
      <c r="B1350" s="8">
        <f ca="1">IFERROR(__xludf.DUMMYFUNCTION("""COMPUTED_VALUE"""),37712)</f>
        <v>37712</v>
      </c>
      <c r="C1350" s="5" t="str">
        <f ca="1">IFERROR(__xludf.DUMMYFUNCTION("""COMPUTED_VALUE"""),"Cardozo High School")</f>
        <v>Cardozo High School</v>
      </c>
      <c r="D1350" s="5">
        <f ca="1">IFERROR(__xludf.DUMMYFUNCTION("""COMPUTED_VALUE"""),0)</f>
        <v>0</v>
      </c>
      <c r="E1350" s="5">
        <f ca="1">IFERROR(__xludf.DUMMYFUNCTION("""COMPUTED_VALUE"""),1)</f>
        <v>1</v>
      </c>
      <c r="F1350" s="5">
        <f ca="1">IFERROR(__xludf.DUMMYFUNCTION("""COMPUTED_VALUE"""),1)</f>
        <v>1</v>
      </c>
      <c r="G1350" s="5">
        <f ca="1">IFERROR(__xludf.DUMMYFUNCTION("""COMPUTED_VALUE"""),0)</f>
        <v>0</v>
      </c>
      <c r="H1350" s="9" t="str">
        <f ca="1">IFERROR(__xludf.DUMMYFUNCTION("""COMPUTED_VALUE"""),"https://www.washingtontimes.com/news/2003/apr/4/20030404-090538-6902r/")</f>
        <v>https://www.washingtontimes.com/news/2003/apr/4/20030404-090538-6902r/</v>
      </c>
      <c r="I1350" s="5"/>
      <c r="J1350" s="5"/>
      <c r="K1350" s="5">
        <f ca="1">IFERROR(__xludf.DUMMYFUNCTION("""COMPUTED_VALUE"""),2)</f>
        <v>2</v>
      </c>
      <c r="L1350" s="5" t="str">
        <f ca="1">IFERROR(__xludf.DUMMYFUNCTION("""COMPUTED_VALUE"""),"Spring")</f>
        <v>Spring</v>
      </c>
      <c r="M1350" s="5" t="str">
        <f ca="1">IFERROR(__xludf.DUMMYFUNCTION("""COMPUTED_VALUE"""),"Washington")</f>
        <v>Washington</v>
      </c>
      <c r="N1350" s="5" t="str">
        <f ca="1">IFERROR(__xludf.DUMMYFUNCTION("""COMPUTED_VALUE"""),"DC")</f>
        <v>DC</v>
      </c>
      <c r="O1350" s="5" t="str">
        <f ca="1">IFERROR(__xludf.DUMMYFUNCTION("""COMPUTED_VALUE"""),"High")</f>
        <v>High</v>
      </c>
      <c r="P1350" s="5" t="str">
        <f ca="1">IFERROR(__xludf.DUMMYFUNCTION("""COMPUTED_VALUE"""),"Hallway")</f>
        <v>Hallway</v>
      </c>
      <c r="Q1350" s="5" t="str">
        <f ca="1">IFERROR(__xludf.DUMMYFUNCTION("""COMPUTED_VALUE"""),"Inside School Building")</f>
        <v>Inside School Building</v>
      </c>
      <c r="R1350" s="5" t="str">
        <f ca="1">IFERROR(__xludf.DUMMYFUNCTION("""COMPUTED_VALUE"""),"Yes")</f>
        <v>Yes</v>
      </c>
      <c r="S1350" s="5" t="str">
        <f ca="1">IFERROR(__xludf.DUMMYFUNCTION("""COMPUTED_VALUE"""),"Lunch")</f>
        <v>Lunch</v>
      </c>
      <c r="T1350" s="10">
        <f ca="1">IFERROR(__xludf.DUMMYFUNCTION("""COMPUTED_VALUE"""),0.510416666666666)</f>
        <v>0.51041666666666596</v>
      </c>
      <c r="U1350" s="5">
        <f ca="1">IFERROR(__xludf.DUMMYFUNCTION("""COMPUTED_VALUE"""),1)</f>
        <v>1</v>
      </c>
      <c r="V1350" s="5" t="str">
        <f ca="1">IFERROR(__xludf.DUMMYFUNCTION("""COMPUTED_VALUE"""),"Gang-related fight in hallway between students")</f>
        <v>Gang-related fight in hallway between students</v>
      </c>
      <c r="W1350"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X1350" s="5" t="str">
        <f ca="1">IFERROR(__xludf.DUMMYFUNCTION("""COMPUTED_VALUE"""),"Escalation of Dispute")</f>
        <v>Escalation of Dispute</v>
      </c>
      <c r="Y1350" s="5" t="str">
        <f ca="1">IFERROR(__xludf.DUMMYFUNCTION("""COMPUTED_VALUE"""),"Victims Targeted")</f>
        <v>Victims Targeted</v>
      </c>
      <c r="Z1350" s="5" t="str">
        <f ca="1">IFERROR(__xludf.DUMMYFUNCTION("""COMPUTED_VALUE"""),"No")</f>
        <v>No</v>
      </c>
      <c r="AA1350" s="5"/>
      <c r="AB1350" s="5" t="str">
        <f ca="1">IFERROR(__xludf.DUMMYFUNCTION("""COMPUTED_VALUE"""),"No")</f>
        <v>No</v>
      </c>
      <c r="AC1350" s="5" t="str">
        <f ca="1">IFERROR(__xludf.DUMMYFUNCTION("""COMPUTED_VALUE"""),"No")</f>
        <v>No</v>
      </c>
      <c r="AD1350" s="5" t="str">
        <f ca="1">IFERROR(__xludf.DUMMYFUNCTION("""COMPUTED_VALUE"""),"No")</f>
        <v>No</v>
      </c>
      <c r="AE1350" s="5" t="str">
        <f ca="1">IFERROR(__xludf.DUMMYFUNCTION("""COMPUTED_VALUE"""),"No")</f>
        <v>No</v>
      </c>
      <c r="AF1350" s="5" t="str">
        <f ca="1">IFERROR(__xludf.DUMMYFUNCTION("""COMPUTED_VALUE"""),"No")</f>
        <v>No</v>
      </c>
      <c r="AG1350" s="5" t="str">
        <f ca="1">IFERROR(__xludf.DUMMYFUNCTION("""COMPUTED_VALUE"""),"Yes")</f>
        <v>Yes</v>
      </c>
      <c r="AH1350" s="5"/>
    </row>
    <row r="1351" spans="1:34" ht="12.75">
      <c r="A1351" s="5" t="str">
        <f ca="1">IFERROR(__xludf.DUMMYFUNCTION("""COMPUTED_VALUE"""),"20030330CAROW")</f>
        <v>20030330CAROW</v>
      </c>
      <c r="B1351" s="8">
        <f ca="1">IFERROR(__xludf.DUMMYFUNCTION("""COMPUTED_VALUE"""),37710)</f>
        <v>37710</v>
      </c>
      <c r="C1351" s="5" t="str">
        <f ca="1">IFERROR(__xludf.DUMMYFUNCTION("""COMPUTED_VALUE"""),"Rolling Hills Middle School")</f>
        <v>Rolling Hills Middle School</v>
      </c>
      <c r="D1351" s="5">
        <f ca="1">IFERROR(__xludf.DUMMYFUNCTION("""COMPUTED_VALUE"""),1)</f>
        <v>1</v>
      </c>
      <c r="E1351" s="5">
        <f ca="1">IFERROR(__xludf.DUMMYFUNCTION("""COMPUTED_VALUE"""),0)</f>
        <v>0</v>
      </c>
      <c r="F1351" s="5">
        <f ca="1">IFERROR(__xludf.DUMMYFUNCTION("""COMPUTED_VALUE"""),1)</f>
        <v>1</v>
      </c>
      <c r="G1351" s="5">
        <f ca="1">IFERROR(__xludf.DUMMYFUNCTION("""COMPUTED_VALUE"""),0)</f>
        <v>0</v>
      </c>
      <c r="H1351" s="9" t="str">
        <f ca="1">IFERROR(__xludf.DUMMYFUNCTION("""COMPUTED_VALUE"""),"http://www.santacruzsentinel.com/article/zz/20080625/NEWS/806259869")</f>
        <v>http://www.santacruzsentinel.com/article/zz/20080625/NEWS/806259869</v>
      </c>
      <c r="I1351" s="5"/>
      <c r="J1351" s="5"/>
      <c r="K1351" s="5">
        <f ca="1">IFERROR(__xludf.DUMMYFUNCTION("""COMPUTED_VALUE"""),2)</f>
        <v>2</v>
      </c>
      <c r="L1351" s="5" t="str">
        <f ca="1">IFERROR(__xludf.DUMMYFUNCTION("""COMPUTED_VALUE"""),"Spring")</f>
        <v>Spring</v>
      </c>
      <c r="M1351" s="5" t="str">
        <f ca="1">IFERROR(__xludf.DUMMYFUNCTION("""COMPUTED_VALUE"""),"Watsonville")</f>
        <v>Watsonville</v>
      </c>
      <c r="N1351" s="5" t="str">
        <f ca="1">IFERROR(__xludf.DUMMYFUNCTION("""COMPUTED_VALUE"""),"CA")</f>
        <v>CA</v>
      </c>
      <c r="O1351" s="5" t="str">
        <f ca="1">IFERROR(__xludf.DUMMYFUNCTION("""COMPUTED_VALUE"""),"High")</f>
        <v>High</v>
      </c>
      <c r="P1351" s="5" t="str">
        <f ca="1">IFERROR(__xludf.DUMMYFUNCTION("""COMPUTED_VALUE"""),"Beside Building")</f>
        <v>Beside Building</v>
      </c>
      <c r="Q1351" s="5" t="str">
        <f ca="1">IFERROR(__xludf.DUMMYFUNCTION("""COMPUTED_VALUE"""),"Outside on School Property")</f>
        <v>Outside on School Property</v>
      </c>
      <c r="R1351" s="5" t="str">
        <f ca="1">IFERROR(__xludf.DUMMYFUNCTION("""COMPUTED_VALUE"""),"No")</f>
        <v>No</v>
      </c>
      <c r="S1351" s="5" t="str">
        <f ca="1">IFERROR(__xludf.DUMMYFUNCTION("""COMPUTED_VALUE"""),"Not a School Day")</f>
        <v>Not a School Day</v>
      </c>
      <c r="T1351" s="10">
        <f ca="1">IFERROR(__xludf.DUMMYFUNCTION("""COMPUTED_VALUE"""),0.777777777777777)</f>
        <v>0.77777777777777701</v>
      </c>
      <c r="U1351" s="5">
        <f ca="1">IFERROR(__xludf.DUMMYFUNCTION("""COMPUTED_VALUE"""),1)</f>
        <v>1</v>
      </c>
      <c r="V1351" s="5" t="str">
        <f ca="1">IFERROR(__xludf.DUMMYFUNCTION("""COMPUTED_VALUE"""),"Man shot during gang dispute because of belt color")</f>
        <v>Man shot during gang dispute because of belt color</v>
      </c>
      <c r="W1351"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X1351" s="5" t="str">
        <f ca="1">IFERROR(__xludf.DUMMYFUNCTION("""COMPUTED_VALUE"""),"Escalation of Dispute")</f>
        <v>Escalation of Dispute</v>
      </c>
      <c r="Y1351" s="5" t="str">
        <f ca="1">IFERROR(__xludf.DUMMYFUNCTION("""COMPUTED_VALUE"""),"Victims Targeted")</f>
        <v>Victims Targeted</v>
      </c>
      <c r="Z1351" s="5" t="str">
        <f ca="1">IFERROR(__xludf.DUMMYFUNCTION("""COMPUTED_VALUE"""),"No")</f>
        <v>No</v>
      </c>
      <c r="AA1351" s="5"/>
      <c r="AB1351" s="5" t="str">
        <f ca="1">IFERROR(__xludf.DUMMYFUNCTION("""COMPUTED_VALUE"""),"No")</f>
        <v>No</v>
      </c>
      <c r="AC1351" s="5" t="str">
        <f ca="1">IFERROR(__xludf.DUMMYFUNCTION("""COMPUTED_VALUE"""),"No")</f>
        <v>No</v>
      </c>
      <c r="AD1351" s="5" t="str">
        <f ca="1">IFERROR(__xludf.DUMMYFUNCTION("""COMPUTED_VALUE"""),"No")</f>
        <v>No</v>
      </c>
      <c r="AE1351" s="5" t="str">
        <f ca="1">IFERROR(__xludf.DUMMYFUNCTION("""COMPUTED_VALUE"""),"No")</f>
        <v>No</v>
      </c>
      <c r="AF1351" s="5" t="str">
        <f ca="1">IFERROR(__xludf.DUMMYFUNCTION("""COMPUTED_VALUE"""),"No")</f>
        <v>No</v>
      </c>
      <c r="AG1351" s="5" t="str">
        <f ca="1">IFERROR(__xludf.DUMMYFUNCTION("""COMPUTED_VALUE"""),"Yes")</f>
        <v>Yes</v>
      </c>
      <c r="AH1351" s="5"/>
    </row>
    <row r="1352" spans="1:34" ht="12.75">
      <c r="A1352" s="5" t="str">
        <f ca="1">IFERROR(__xludf.DUMMYFUNCTION("""COMPUTED_VALUE"""),"20030321MSNOM")</f>
        <v>20030321MSNOM</v>
      </c>
      <c r="B1352" s="8">
        <f ca="1">IFERROR(__xludf.DUMMYFUNCTION("""COMPUTED_VALUE"""),37701)</f>
        <v>37701</v>
      </c>
      <c r="C1352" s="5" t="str">
        <f ca="1">IFERROR(__xludf.DUMMYFUNCTION("""COMPUTED_VALUE"""),"Northeast High School")</f>
        <v>Northeast High School</v>
      </c>
      <c r="D1352" s="5">
        <f ca="1">IFERROR(__xludf.DUMMYFUNCTION("""COMPUTED_VALUE"""),0)</f>
        <v>0</v>
      </c>
      <c r="E1352" s="5">
        <f ca="1">IFERROR(__xludf.DUMMYFUNCTION("""COMPUTED_VALUE"""),0)</f>
        <v>0</v>
      </c>
      <c r="F1352" s="5">
        <f ca="1">IFERROR(__xludf.DUMMYFUNCTION("""COMPUTED_VALUE"""),0)</f>
        <v>0</v>
      </c>
      <c r="G1352" s="5">
        <f ca="1">IFERROR(__xludf.DUMMYFUNCTION("""COMPUTED_VALUE"""),1)</f>
        <v>1</v>
      </c>
      <c r="H1352" s="9" t="str">
        <f ca="1">IFERROR(__xludf.DUMMYFUNCTION("""COMPUTED_VALUE"""),"https://www.franklincountytimes.com/2003/03/26/northeast-high-school-begins-healing-process/")</f>
        <v>https://www.franklincountytimes.com/2003/03/26/northeast-high-school-begins-healing-process/</v>
      </c>
      <c r="I1352" s="5"/>
      <c r="J1352" s="5"/>
      <c r="K1352" s="5">
        <f ca="1">IFERROR(__xludf.DUMMYFUNCTION("""COMPUTED_VALUE"""),2)</f>
        <v>2</v>
      </c>
      <c r="L1352" s="5" t="str">
        <f ca="1">IFERROR(__xludf.DUMMYFUNCTION("""COMPUTED_VALUE"""),"Spring")</f>
        <v>Spring</v>
      </c>
      <c r="M1352" s="5" t="str">
        <f ca="1">IFERROR(__xludf.DUMMYFUNCTION("""COMPUTED_VALUE"""),"Meridian")</f>
        <v>Meridian</v>
      </c>
      <c r="N1352" s="5" t="str">
        <f ca="1">IFERROR(__xludf.DUMMYFUNCTION("""COMPUTED_VALUE"""),"MS")</f>
        <v>MS</v>
      </c>
      <c r="O1352" s="5" t="str">
        <f ca="1">IFERROR(__xludf.DUMMYFUNCTION("""COMPUTED_VALUE"""),"High")</f>
        <v>High</v>
      </c>
      <c r="P1352" s="5" t="str">
        <f ca="1">IFERROR(__xludf.DUMMYFUNCTION("""COMPUTED_VALUE"""),"Bathroom")</f>
        <v>Bathroom</v>
      </c>
      <c r="Q1352" s="5" t="str">
        <f ca="1">IFERROR(__xludf.DUMMYFUNCTION("""COMPUTED_VALUE"""),"Inside School Building")</f>
        <v>Inside School Building</v>
      </c>
      <c r="R1352" s="5" t="str">
        <f ca="1">IFERROR(__xludf.DUMMYFUNCTION("""COMPUTED_VALUE"""),"Yes")</f>
        <v>Yes</v>
      </c>
      <c r="S1352" s="5" t="str">
        <f ca="1">IFERROR(__xludf.DUMMYFUNCTION("""COMPUTED_VALUE"""),"Morning Classes")</f>
        <v>Morning Classes</v>
      </c>
      <c r="T1352" s="10">
        <f ca="1">IFERROR(__xludf.DUMMYFUNCTION("""COMPUTED_VALUE"""),0.333333333333333)</f>
        <v>0.33333333333333298</v>
      </c>
      <c r="U1352" s="5">
        <f ca="1">IFERROR(__xludf.DUMMYFUNCTION("""COMPUTED_VALUE"""),1)</f>
        <v>1</v>
      </c>
      <c r="V1352" s="5" t="str">
        <f ca="1">IFERROR(__xludf.DUMMYFUNCTION("""COMPUTED_VALUE"""),"Student shot self in bathroom")</f>
        <v>Student shot self in bathroom</v>
      </c>
      <c r="W1352"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X1352" s="5" t="str">
        <f ca="1">IFERROR(__xludf.DUMMYFUNCTION("""COMPUTED_VALUE"""),"Suicide/Attempted")</f>
        <v>Suicide/Attempted</v>
      </c>
      <c r="Y1352" s="5" t="str">
        <f ca="1">IFERROR(__xludf.DUMMYFUNCTION("""COMPUTED_VALUE"""),"Victims Targeted")</f>
        <v>Victims Targeted</v>
      </c>
      <c r="Z1352" s="5" t="str">
        <f ca="1">IFERROR(__xludf.DUMMYFUNCTION("""COMPUTED_VALUE"""),"No")</f>
        <v>No</v>
      </c>
      <c r="AA1352" s="5"/>
      <c r="AB1352" s="5" t="str">
        <f ca="1">IFERROR(__xludf.DUMMYFUNCTION("""COMPUTED_VALUE"""),"No")</f>
        <v>No</v>
      </c>
      <c r="AC1352" s="5" t="str">
        <f ca="1">IFERROR(__xludf.DUMMYFUNCTION("""COMPUTED_VALUE"""),"No")</f>
        <v>No</v>
      </c>
      <c r="AD1352" s="5" t="str">
        <f ca="1">IFERROR(__xludf.DUMMYFUNCTION("""COMPUTED_VALUE"""),"No")</f>
        <v>No</v>
      </c>
      <c r="AE1352" s="5"/>
      <c r="AF1352" s="5" t="str">
        <f ca="1">IFERROR(__xludf.DUMMYFUNCTION("""COMPUTED_VALUE"""),"No")</f>
        <v>No</v>
      </c>
      <c r="AG1352" s="5" t="str">
        <f ca="1">IFERROR(__xludf.DUMMYFUNCTION("""COMPUTED_VALUE"""),"No")</f>
        <v>No</v>
      </c>
      <c r="AH1352" s="5"/>
    </row>
    <row r="1353" spans="1:34" ht="12.75">
      <c r="A1353" s="5" t="str">
        <f ca="1">IFERROR(__xludf.DUMMYFUNCTION("""COMPUTED_VALUE"""),"20030318IACLG")</f>
        <v>20030318IACLG</v>
      </c>
      <c r="B1353" s="8">
        <f ca="1">IFERROR(__xludf.DUMMYFUNCTION("""COMPUTED_VALUE"""),37698)</f>
        <v>37698</v>
      </c>
      <c r="C1353" s="5" t="str">
        <f ca="1">IFERROR(__xludf.DUMMYFUNCTION("""COMPUTED_VALUE"""),"Clayton Ridge High School")</f>
        <v>Clayton Ridge High School</v>
      </c>
      <c r="D1353" s="5">
        <f ca="1">IFERROR(__xludf.DUMMYFUNCTION("""COMPUTED_VALUE"""),0)</f>
        <v>0</v>
      </c>
      <c r="E1353" s="5">
        <f ca="1">IFERROR(__xludf.DUMMYFUNCTION("""COMPUTED_VALUE"""),0)</f>
        <v>0</v>
      </c>
      <c r="F1353" s="5">
        <f ca="1">IFERROR(__xludf.DUMMYFUNCTION("""COMPUTED_VALUE"""),0)</f>
        <v>0</v>
      </c>
      <c r="G1353" s="5">
        <f ca="1">IFERROR(__xludf.DUMMYFUNCTION("""COMPUTED_VALUE"""),0)</f>
        <v>0</v>
      </c>
      <c r="H1353" s="9" t="str">
        <f ca="1">IFERROR(__xludf.DUMMYFUNCTION("""COMPUTED_VALUE"""),"https://azdailysun.com/teen-shoots-himself-in-principal-s-office/article_4262b5f6-0d4a-536c-9859-fb77384f957a.html")</f>
        <v>https://azdailysun.com/teen-shoots-himself-in-principal-s-office/article_4262b5f6-0d4a-536c-9859-fb77384f957a.html</v>
      </c>
      <c r="I1353" s="5"/>
      <c r="J1353" s="5"/>
      <c r="K1353" s="5">
        <f ca="1">IFERROR(__xludf.DUMMYFUNCTION("""COMPUTED_VALUE"""),2)</f>
        <v>2</v>
      </c>
      <c r="L1353" s="5" t="str">
        <f ca="1">IFERROR(__xludf.DUMMYFUNCTION("""COMPUTED_VALUE"""),"Spring")</f>
        <v>Spring</v>
      </c>
      <c r="M1353" s="5" t="str">
        <f ca="1">IFERROR(__xludf.DUMMYFUNCTION("""COMPUTED_VALUE"""),"Guttenberg")</f>
        <v>Guttenberg</v>
      </c>
      <c r="N1353" s="5" t="str">
        <f ca="1">IFERROR(__xludf.DUMMYFUNCTION("""COMPUTED_VALUE"""),"IA")</f>
        <v>IA</v>
      </c>
      <c r="O1353" s="5" t="str">
        <f ca="1">IFERROR(__xludf.DUMMYFUNCTION("""COMPUTED_VALUE"""),"High")</f>
        <v>High</v>
      </c>
      <c r="P1353" s="5" t="str">
        <f ca="1">IFERROR(__xludf.DUMMYFUNCTION("""COMPUTED_VALUE"""),"Office")</f>
        <v>Office</v>
      </c>
      <c r="Q1353" s="5" t="str">
        <f ca="1">IFERROR(__xludf.DUMMYFUNCTION("""COMPUTED_VALUE"""),"Inside School Building")</f>
        <v>Inside School Building</v>
      </c>
      <c r="R1353" s="5" t="str">
        <f ca="1">IFERROR(__xludf.DUMMYFUNCTION("""COMPUTED_VALUE"""),"Yes")</f>
        <v>Yes</v>
      </c>
      <c r="S1353" s="5" t="str">
        <f ca="1">IFERROR(__xludf.DUMMYFUNCTION("""COMPUTED_VALUE"""),"Afternoon Classes")</f>
        <v>Afternoon Classes</v>
      </c>
      <c r="T1353" s="5"/>
      <c r="U1353" s="5">
        <f ca="1">IFERROR(__xludf.DUMMYFUNCTION("""COMPUTED_VALUE"""),1)</f>
        <v>1</v>
      </c>
      <c r="V1353" s="5" t="str">
        <f ca="1">IFERROR(__xludf.DUMMYFUNCTION("""COMPUTED_VALUE"""),"Talked with principal, pulled out gun, and shot himself in office")</f>
        <v>Talked with principal, pulled out gun, and shot himself in office</v>
      </c>
      <c r="W1353"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X1353" s="5" t="str">
        <f ca="1">IFERROR(__xludf.DUMMYFUNCTION("""COMPUTED_VALUE"""),"Suicide/Attempted")</f>
        <v>Suicide/Attempted</v>
      </c>
      <c r="Y1353" s="5" t="str">
        <f ca="1">IFERROR(__xludf.DUMMYFUNCTION("""COMPUTED_VALUE"""),"Victims Targeted")</f>
        <v>Victims Targeted</v>
      </c>
      <c r="Z1353" s="5" t="str">
        <f ca="1">IFERROR(__xludf.DUMMYFUNCTION("""COMPUTED_VALUE"""),"No")</f>
        <v>No</v>
      </c>
      <c r="AA1353" s="5"/>
      <c r="AB1353" s="5" t="str">
        <f ca="1">IFERROR(__xludf.DUMMYFUNCTION("""COMPUTED_VALUE"""),"No")</f>
        <v>No</v>
      </c>
      <c r="AC1353" s="5" t="str">
        <f ca="1">IFERROR(__xludf.DUMMYFUNCTION("""COMPUTED_VALUE"""),"No")</f>
        <v>No</v>
      </c>
      <c r="AD1353" s="5" t="str">
        <f ca="1">IFERROR(__xludf.DUMMYFUNCTION("""COMPUTED_VALUE"""),"No")</f>
        <v>No</v>
      </c>
      <c r="AE1353" s="5" t="str">
        <f ca="1">IFERROR(__xludf.DUMMYFUNCTION("""COMPUTED_VALUE"""),"No")</f>
        <v>No</v>
      </c>
      <c r="AF1353" s="5" t="str">
        <f ca="1">IFERROR(__xludf.DUMMYFUNCTION("""COMPUTED_VALUE"""),"No")</f>
        <v>No</v>
      </c>
      <c r="AG1353" s="5" t="str">
        <f ca="1">IFERROR(__xludf.DUMMYFUNCTION("""COMPUTED_VALUE"""),"No")</f>
        <v>No</v>
      </c>
      <c r="AH1353" s="5"/>
    </row>
    <row r="1354" spans="1:34" ht="12.75">
      <c r="A1354" s="5" t="str">
        <f ca="1">IFERROR(__xludf.DUMMYFUNCTION("""COMPUTED_VALUE"""),"20030205CORAW")</f>
        <v>20030205CORAW</v>
      </c>
      <c r="B1354" s="8">
        <f ca="1">IFERROR(__xludf.DUMMYFUNCTION("""COMPUTED_VALUE"""),37657)</f>
        <v>37657</v>
      </c>
      <c r="C1354" s="5" t="str">
        <f ca="1">IFERROR(__xludf.DUMMYFUNCTION("""COMPUTED_VALUE"""),"Ranum High School")</f>
        <v>Ranum High School</v>
      </c>
      <c r="D1354" s="5">
        <f ca="1">IFERROR(__xludf.DUMMYFUNCTION("""COMPUTED_VALUE"""),0)</f>
        <v>0</v>
      </c>
      <c r="E1354" s="5">
        <f ca="1">IFERROR(__xludf.DUMMYFUNCTION("""COMPUTED_VALUE"""),0)</f>
        <v>0</v>
      </c>
      <c r="F1354" s="5">
        <f ca="1">IFERROR(__xludf.DUMMYFUNCTION("""COMPUTED_VALUE"""),0)</f>
        <v>0</v>
      </c>
      <c r="G1354" s="5">
        <f ca="1">IFERROR(__xludf.DUMMYFUNCTION("""COMPUTED_VALUE"""),0)</f>
        <v>0</v>
      </c>
      <c r="H1354"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I1354" s="5"/>
      <c r="J1354" s="5"/>
      <c r="K1354" s="5">
        <f ca="1">IFERROR(__xludf.DUMMYFUNCTION("""COMPUTED_VALUE"""),2)</f>
        <v>2</v>
      </c>
      <c r="L1354" s="5" t="str">
        <f ca="1">IFERROR(__xludf.DUMMYFUNCTION("""COMPUTED_VALUE"""),"Winter")</f>
        <v>Winter</v>
      </c>
      <c r="M1354" s="5" t="str">
        <f ca="1">IFERROR(__xludf.DUMMYFUNCTION("""COMPUTED_VALUE"""),"Westminster")</f>
        <v>Westminster</v>
      </c>
      <c r="N1354" s="5" t="str">
        <f ca="1">IFERROR(__xludf.DUMMYFUNCTION("""COMPUTED_VALUE"""),"CO")</f>
        <v>CO</v>
      </c>
      <c r="O1354" s="5" t="str">
        <f ca="1">IFERROR(__xludf.DUMMYFUNCTION("""COMPUTED_VALUE"""),"High")</f>
        <v>High</v>
      </c>
      <c r="P1354" s="5" t="str">
        <f ca="1">IFERROR(__xludf.DUMMYFUNCTION("""COMPUTED_VALUE"""),"Outside on School Property")</f>
        <v>Outside on School Property</v>
      </c>
      <c r="Q1354" s="5" t="str">
        <f ca="1">IFERROR(__xludf.DUMMYFUNCTION("""COMPUTED_VALUE"""),"Outside on School Property")</f>
        <v>Outside on School Property</v>
      </c>
      <c r="R1354" s="5" t="str">
        <f ca="1">IFERROR(__xludf.DUMMYFUNCTION("""COMPUTED_VALUE"""),"Yes")</f>
        <v>Yes</v>
      </c>
      <c r="S1354" s="5" t="str">
        <f ca="1">IFERROR(__xludf.DUMMYFUNCTION("""COMPUTED_VALUE"""),"Morning Classes")</f>
        <v>Morning Classes</v>
      </c>
      <c r="T1354" s="10">
        <f ca="1">IFERROR(__xludf.DUMMYFUNCTION("""COMPUTED_VALUE"""),0.361111111111111)</f>
        <v>0.36111111111111099</v>
      </c>
      <c r="U1354" s="5">
        <f ca="1">IFERROR(__xludf.DUMMYFUNCTION("""COMPUTED_VALUE"""),1)</f>
        <v>1</v>
      </c>
      <c r="V1354" s="5" t="str">
        <f ca="1">IFERROR(__xludf.DUMMYFUNCTION("""COMPUTED_VALUE"""),"Shots fired during fight, missed target, shooter fled")</f>
        <v>Shots fired during fight, missed target, shooter fled</v>
      </c>
      <c r="W1354"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X1354" s="5" t="str">
        <f ca="1">IFERROR(__xludf.DUMMYFUNCTION("""COMPUTED_VALUE"""),"Escalation of Dispute")</f>
        <v>Escalation of Dispute</v>
      </c>
      <c r="Y1354" s="5" t="str">
        <f ca="1">IFERROR(__xludf.DUMMYFUNCTION("""COMPUTED_VALUE"""),"Victims Targeted")</f>
        <v>Victims Targeted</v>
      </c>
      <c r="Z1354" s="5" t="str">
        <f ca="1">IFERROR(__xludf.DUMMYFUNCTION("""COMPUTED_VALUE"""),"No")</f>
        <v>No</v>
      </c>
      <c r="AA1354" s="5"/>
      <c r="AB1354" s="5" t="str">
        <f ca="1">IFERROR(__xludf.DUMMYFUNCTION("""COMPUTED_VALUE"""),"No")</f>
        <v>No</v>
      </c>
      <c r="AC1354" s="5" t="str">
        <f ca="1">IFERROR(__xludf.DUMMYFUNCTION("""COMPUTED_VALUE"""),"No")</f>
        <v>No</v>
      </c>
      <c r="AD1354" s="5" t="str">
        <f ca="1">IFERROR(__xludf.DUMMYFUNCTION("""COMPUTED_VALUE"""),"No")</f>
        <v>No</v>
      </c>
      <c r="AE1354" s="5" t="str">
        <f ca="1">IFERROR(__xludf.DUMMYFUNCTION("""COMPUTED_VALUE"""),"No")</f>
        <v>No</v>
      </c>
      <c r="AF1354" s="5" t="str">
        <f ca="1">IFERROR(__xludf.DUMMYFUNCTION("""COMPUTED_VALUE"""),"No")</f>
        <v>No</v>
      </c>
      <c r="AG1354" s="5" t="str">
        <f ca="1">IFERROR(__xludf.DUMMYFUNCTION("""COMPUTED_VALUE"""),"No")</f>
        <v>No</v>
      </c>
      <c r="AH1354" s="5"/>
    </row>
    <row r="1355" spans="1:34" ht="12.75">
      <c r="A1355" s="5" t="str">
        <f ca="1">IFERROR(__xludf.DUMMYFUNCTION("""COMPUTED_VALUE"""),"20030130OKJEJ")</f>
        <v>20030130OKJEJ</v>
      </c>
      <c r="B1355" s="8">
        <f ca="1">IFERROR(__xludf.DUMMYFUNCTION("""COMPUTED_VALUE"""),37651)</f>
        <v>37651</v>
      </c>
      <c r="C1355" s="5" t="str">
        <f ca="1">IFERROR(__xludf.DUMMYFUNCTION("""COMPUTED_VALUE"""),"Jenks High School")</f>
        <v>Jenks High School</v>
      </c>
      <c r="D1355" s="5">
        <f ca="1">IFERROR(__xludf.DUMMYFUNCTION("""COMPUTED_VALUE"""),0)</f>
        <v>0</v>
      </c>
      <c r="E1355" s="5">
        <f ca="1">IFERROR(__xludf.DUMMYFUNCTION("""COMPUTED_VALUE"""),0)</f>
        <v>0</v>
      </c>
      <c r="F1355" s="5">
        <f ca="1">IFERROR(__xludf.DUMMYFUNCTION("""COMPUTED_VALUE"""),0)</f>
        <v>0</v>
      </c>
      <c r="G1355" s="5">
        <f ca="1">IFERROR(__xludf.DUMMYFUNCTION("""COMPUTED_VALUE"""),0)</f>
        <v>0</v>
      </c>
      <c r="H1355" s="9" t="str">
        <f ca="1">IFERROR(__xludf.DUMMYFUNCTION("""COMPUTED_VALUE"""),"https://www.tulsaworld.com/archives/jenks-student-yields-after-standoff/article_df79f378-452f-5400-9568-28cd4a828fdf.html")</f>
        <v>https://www.tulsaworld.com/archives/jenks-student-yields-after-standoff/article_df79f378-452f-5400-9568-28cd4a828fdf.html</v>
      </c>
      <c r="I1355" s="5"/>
      <c r="J1355" s="5"/>
      <c r="K1355" s="5">
        <f ca="1">IFERROR(__xludf.DUMMYFUNCTION("""COMPUTED_VALUE"""),2)</f>
        <v>2</v>
      </c>
      <c r="L1355" s="5" t="str">
        <f ca="1">IFERROR(__xludf.DUMMYFUNCTION("""COMPUTED_VALUE"""),"Winter")</f>
        <v>Winter</v>
      </c>
      <c r="M1355" s="5" t="str">
        <f ca="1">IFERROR(__xludf.DUMMYFUNCTION("""COMPUTED_VALUE"""),"Jenks")</f>
        <v>Jenks</v>
      </c>
      <c r="N1355" s="5" t="str">
        <f ca="1">IFERROR(__xludf.DUMMYFUNCTION("""COMPUTED_VALUE"""),"OK")</f>
        <v>OK</v>
      </c>
      <c r="O1355" s="5" t="str">
        <f ca="1">IFERROR(__xludf.DUMMYFUNCTION("""COMPUTED_VALUE"""),"High")</f>
        <v>High</v>
      </c>
      <c r="P1355" s="5" t="str">
        <f ca="1">IFERROR(__xludf.DUMMYFUNCTION("""COMPUTED_VALUE"""),"Other")</f>
        <v>Other</v>
      </c>
      <c r="Q1355" s="5" t="str">
        <f ca="1">IFERROR(__xludf.DUMMYFUNCTION("""COMPUTED_VALUE"""),"Outside on School Property")</f>
        <v>Outside on School Property</v>
      </c>
      <c r="R1355" s="5" t="str">
        <f ca="1">IFERROR(__xludf.DUMMYFUNCTION("""COMPUTED_VALUE"""),"Yes")</f>
        <v>Yes</v>
      </c>
      <c r="S1355" s="5" t="str">
        <f ca="1">IFERROR(__xludf.DUMMYFUNCTION("""COMPUTED_VALUE"""),"Dismissal")</f>
        <v>Dismissal</v>
      </c>
      <c r="T1355" s="10">
        <f ca="1">IFERROR(__xludf.DUMMYFUNCTION("""COMPUTED_VALUE"""),0.625)</f>
        <v>0.625</v>
      </c>
      <c r="U1355" s="5">
        <f ca="1">IFERROR(__xludf.DUMMYFUNCTION("""COMPUTED_VALUE"""),120)</f>
        <v>120</v>
      </c>
      <c r="V1355" s="5" t="str">
        <f ca="1">IFERROR(__xludf.DUMMYFUNCTION("""COMPUTED_VALUE"""),"Student climbed on roof, threatened to shoot himself, surrendered to police after 2 hours")</f>
        <v>Student climbed on roof, threatened to shoot himself, surrendered to police after 2 hours</v>
      </c>
      <c r="W1355"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X1355" s="5" t="str">
        <f ca="1">IFERROR(__xludf.DUMMYFUNCTION("""COMPUTED_VALUE"""),"Suicide/Attempted")</f>
        <v>Suicide/Attempted</v>
      </c>
      <c r="Y1355" s="5" t="str">
        <f ca="1">IFERROR(__xludf.DUMMYFUNCTION("""COMPUTED_VALUE"""),"Victims Targeted")</f>
        <v>Victims Targeted</v>
      </c>
      <c r="Z1355" s="5" t="str">
        <f ca="1">IFERROR(__xludf.DUMMYFUNCTION("""COMPUTED_VALUE"""),"No")</f>
        <v>No</v>
      </c>
      <c r="AA1355" s="5"/>
      <c r="AB1355" s="5" t="str">
        <f ca="1">IFERROR(__xludf.DUMMYFUNCTION("""COMPUTED_VALUE"""),"No")</f>
        <v>No</v>
      </c>
      <c r="AC1355" s="5" t="str">
        <f ca="1">IFERROR(__xludf.DUMMYFUNCTION("""COMPUTED_VALUE"""),"No")</f>
        <v>No</v>
      </c>
      <c r="AD1355" s="5" t="str">
        <f ca="1">IFERROR(__xludf.DUMMYFUNCTION("""COMPUTED_VALUE"""),"No")</f>
        <v>No</v>
      </c>
      <c r="AE1355" s="5"/>
      <c r="AF1355" s="5" t="str">
        <f ca="1">IFERROR(__xludf.DUMMYFUNCTION("""COMPUTED_VALUE"""),"No")</f>
        <v>No</v>
      </c>
      <c r="AG1355" s="5" t="str">
        <f ca="1">IFERROR(__xludf.DUMMYFUNCTION("""COMPUTED_VALUE"""),"No")</f>
        <v>No</v>
      </c>
      <c r="AH1355" s="5"/>
    </row>
    <row r="1356" spans="1:34" ht="12.75">
      <c r="A1356" s="5" t="str">
        <f ca="1">IFERROR(__xludf.DUMMYFUNCTION("""COMPUTED_VALUE"""),"20030121KYWEO")</f>
        <v>20030121KYWEO</v>
      </c>
      <c r="B1356" s="8">
        <f ca="1">IFERROR(__xludf.DUMMYFUNCTION("""COMPUTED_VALUE"""),37642)</f>
        <v>37642</v>
      </c>
      <c r="C1356" s="5" t="str">
        <f ca="1">IFERROR(__xludf.DUMMYFUNCTION("""COMPUTED_VALUE"""),"West Carter Middle School")</f>
        <v>West Carter Middle School</v>
      </c>
      <c r="D1356" s="5">
        <f ca="1">IFERROR(__xludf.DUMMYFUNCTION("""COMPUTED_VALUE"""),0)</f>
        <v>0</v>
      </c>
      <c r="E1356" s="5">
        <f ca="1">IFERROR(__xludf.DUMMYFUNCTION("""COMPUTED_VALUE"""),0)</f>
        <v>0</v>
      </c>
      <c r="F1356" s="5">
        <f ca="1">IFERROR(__xludf.DUMMYFUNCTION("""COMPUTED_VALUE"""),0)</f>
        <v>0</v>
      </c>
      <c r="G1356" s="5">
        <f ca="1">IFERROR(__xludf.DUMMYFUNCTION("""COMPUTED_VALUE"""),0)</f>
        <v>0</v>
      </c>
      <c r="H1356" s="9" t="str">
        <f ca="1">IFERROR(__xludf.DUMMYFUNCTION("""COMPUTED_VALUE"""),"https://www.newspapers.com/image/362208049/?terms=Olive%2BHill%2Bschool%2Bhostage")</f>
        <v>https://www.newspapers.com/image/362208049/?terms=Olive%2BHill%2Bschool%2Bhostage</v>
      </c>
      <c r="I1356" s="5"/>
      <c r="J1356" s="5"/>
      <c r="K1356" s="5">
        <f ca="1">IFERROR(__xludf.DUMMYFUNCTION("""COMPUTED_VALUE"""),2)</f>
        <v>2</v>
      </c>
      <c r="L1356" s="5" t="str">
        <f ca="1">IFERROR(__xludf.DUMMYFUNCTION("""COMPUTED_VALUE"""),"Winter")</f>
        <v>Winter</v>
      </c>
      <c r="M1356" s="5" t="str">
        <f ca="1">IFERROR(__xludf.DUMMYFUNCTION("""COMPUTED_VALUE"""),"Olive Hill")</f>
        <v>Olive Hill</v>
      </c>
      <c r="N1356" s="5" t="str">
        <f ca="1">IFERROR(__xludf.DUMMYFUNCTION("""COMPUTED_VALUE"""),"KY")</f>
        <v>KY</v>
      </c>
      <c r="O1356" s="5" t="str">
        <f ca="1">IFERROR(__xludf.DUMMYFUNCTION("""COMPUTED_VALUE"""),"Middle")</f>
        <v>Middle</v>
      </c>
      <c r="P1356" s="5" t="str">
        <f ca="1">IFERROR(__xludf.DUMMYFUNCTION("""COMPUTED_VALUE"""),"Classroom")</f>
        <v>Classroom</v>
      </c>
      <c r="Q1356" s="5" t="str">
        <f ca="1">IFERROR(__xludf.DUMMYFUNCTION("""COMPUTED_VALUE"""),"Inside School Building")</f>
        <v>Inside School Building</v>
      </c>
      <c r="R1356" s="5" t="str">
        <f ca="1">IFERROR(__xludf.DUMMYFUNCTION("""COMPUTED_VALUE"""),"Yes")</f>
        <v>Yes</v>
      </c>
      <c r="S1356" s="5" t="str">
        <f ca="1">IFERROR(__xludf.DUMMYFUNCTION("""COMPUTED_VALUE"""),"Morning Classes")</f>
        <v>Morning Classes</v>
      </c>
      <c r="T1356" s="10">
        <f ca="1">IFERROR(__xludf.DUMMYFUNCTION("""COMPUTED_VALUE"""),0.458333333333333)</f>
        <v>0.45833333333333298</v>
      </c>
      <c r="U1356" s="5"/>
      <c r="V1356" s="5" t="str">
        <f ca="1">IFERROR(__xludf.DUMMYFUNCTION("""COMPUTED_VALUE"""),"Took student hostage, walked him down hallway, surrendered to SRO")</f>
        <v>Took student hostage, walked him down hallway, surrendered to SRO</v>
      </c>
      <c r="W1356"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X1356" s="5" t="str">
        <f ca="1">IFERROR(__xludf.DUMMYFUNCTION("""COMPUTED_VALUE"""),"Hostage/Standoff")</f>
        <v>Hostage/Standoff</v>
      </c>
      <c r="Y1356" s="5" t="str">
        <f ca="1">IFERROR(__xludf.DUMMYFUNCTION("""COMPUTED_VALUE"""),"Victims Targeted")</f>
        <v>Victims Targeted</v>
      </c>
      <c r="Z1356" s="5" t="str">
        <f ca="1">IFERROR(__xludf.DUMMYFUNCTION("""COMPUTED_VALUE"""),"No")</f>
        <v>No</v>
      </c>
      <c r="AA1356" s="5"/>
      <c r="AB1356" s="5" t="str">
        <f ca="1">IFERROR(__xludf.DUMMYFUNCTION("""COMPUTED_VALUE"""),"Yes")</f>
        <v>Yes</v>
      </c>
      <c r="AC1356" s="5" t="str">
        <f ca="1">IFERROR(__xludf.DUMMYFUNCTION("""COMPUTED_VALUE"""),"No")</f>
        <v>No</v>
      </c>
      <c r="AD1356" s="5" t="str">
        <f ca="1">IFERROR(__xludf.DUMMYFUNCTION("""COMPUTED_VALUE"""),"No")</f>
        <v>No</v>
      </c>
      <c r="AE1356" s="5" t="str">
        <f ca="1">IFERROR(__xludf.DUMMYFUNCTION("""COMPUTED_VALUE"""),"No")</f>
        <v>No</v>
      </c>
      <c r="AF1356" s="5" t="str">
        <f ca="1">IFERROR(__xludf.DUMMYFUNCTION("""COMPUTED_VALUE"""),"No")</f>
        <v>No</v>
      </c>
      <c r="AG1356" s="5" t="str">
        <f ca="1">IFERROR(__xludf.DUMMYFUNCTION("""COMPUTED_VALUE"""),"No")</f>
        <v>No</v>
      </c>
      <c r="AH1356" s="5" t="str">
        <f ca="1">IFERROR(__xludf.DUMMYFUNCTION("""COMPUTED_VALUE"""),"Yes")</f>
        <v>Yes</v>
      </c>
    </row>
    <row r="1357" spans="1:34" ht="12.75">
      <c r="A1357" s="5" t="str">
        <f ca="1">IFERROR(__xludf.DUMMYFUNCTION("""COMPUTED_VALUE"""),"20021216ILENC")</f>
        <v>20021216ILENC</v>
      </c>
      <c r="B1357" s="8">
        <f ca="1">IFERROR(__xludf.DUMMYFUNCTION("""COMPUTED_VALUE"""),37606)</f>
        <v>37606</v>
      </c>
      <c r="C1357" s="5" t="str">
        <f ca="1">IFERROR(__xludf.DUMMYFUNCTION("""COMPUTED_VALUE"""),"Englewood High School")</f>
        <v>Englewood High School</v>
      </c>
      <c r="D1357" s="5">
        <f ca="1">IFERROR(__xludf.DUMMYFUNCTION("""COMPUTED_VALUE"""),1)</f>
        <v>1</v>
      </c>
      <c r="E1357" s="5">
        <f ca="1">IFERROR(__xludf.DUMMYFUNCTION("""COMPUTED_VALUE"""),1)</f>
        <v>1</v>
      </c>
      <c r="F1357" s="5">
        <f ca="1">IFERROR(__xludf.DUMMYFUNCTION("""COMPUTED_VALUE"""),2)</f>
        <v>2</v>
      </c>
      <c r="G1357" s="5">
        <f ca="1">IFERROR(__xludf.DUMMYFUNCTION("""COMPUTED_VALUE"""),0)</f>
        <v>0</v>
      </c>
      <c r="H1357" s="9" t="str">
        <f ca="1">IFERROR(__xludf.DUMMYFUNCTION("""COMPUTED_VALUE"""),"http://articles.chicagotribune.com/2002-12-17/news/0212180098_1_chicago-public-schools-chicago-police-alleged")</f>
        <v>http://articles.chicagotribune.com/2002-12-17/news/0212180098_1_chicago-public-schools-chicago-police-alleged</v>
      </c>
      <c r="I1357" s="5"/>
      <c r="J1357" s="5"/>
      <c r="K1357" s="5">
        <f ca="1">IFERROR(__xludf.DUMMYFUNCTION("""COMPUTED_VALUE"""),2)</f>
        <v>2</v>
      </c>
      <c r="L1357" s="5" t="str">
        <f ca="1">IFERROR(__xludf.DUMMYFUNCTION("""COMPUTED_VALUE"""),"Winter")</f>
        <v>Winter</v>
      </c>
      <c r="M1357" s="5" t="str">
        <f ca="1">IFERROR(__xludf.DUMMYFUNCTION("""COMPUTED_VALUE"""),"Chicago")</f>
        <v>Chicago</v>
      </c>
      <c r="N1357" s="5" t="str">
        <f ca="1">IFERROR(__xludf.DUMMYFUNCTION("""COMPUTED_VALUE"""),"IL")</f>
        <v>IL</v>
      </c>
      <c r="O1357" s="5" t="str">
        <f ca="1">IFERROR(__xludf.DUMMYFUNCTION("""COMPUTED_VALUE"""),"High")</f>
        <v>High</v>
      </c>
      <c r="P1357" s="5" t="str">
        <f ca="1">IFERROR(__xludf.DUMMYFUNCTION("""COMPUTED_VALUE"""),"Beside Building")</f>
        <v>Beside Building</v>
      </c>
      <c r="Q1357" s="5" t="str">
        <f ca="1">IFERROR(__xludf.DUMMYFUNCTION("""COMPUTED_VALUE"""),"Outside on School Property")</f>
        <v>Outside on School Property</v>
      </c>
      <c r="R1357" s="5" t="str">
        <f ca="1">IFERROR(__xludf.DUMMYFUNCTION("""COMPUTED_VALUE"""),"No")</f>
        <v>No</v>
      </c>
      <c r="S1357" s="5" t="str">
        <f ca="1">IFERROR(__xludf.DUMMYFUNCTION("""COMPUTED_VALUE"""),"After School")</f>
        <v>After School</v>
      </c>
      <c r="T1357" s="10">
        <f ca="1">IFERROR(__xludf.DUMMYFUNCTION("""COMPUTED_VALUE"""),0.625)</f>
        <v>0.625</v>
      </c>
      <c r="U1357" s="5">
        <f ca="1">IFERROR(__xludf.DUMMYFUNCTION("""COMPUTED_VALUE"""),1)</f>
        <v>1</v>
      </c>
      <c r="V1357" s="5" t="str">
        <f ca="1">IFERROR(__xludf.DUMMYFUNCTION("""COMPUTED_VALUE"""),"Shooting outside school following prior altercation")</f>
        <v>Shooting outside school following prior altercation</v>
      </c>
      <c r="W1357"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X1357" s="5" t="str">
        <f ca="1">IFERROR(__xludf.DUMMYFUNCTION("""COMPUTED_VALUE"""),"Escalation of Dispute")</f>
        <v>Escalation of Dispute</v>
      </c>
      <c r="Y1357" s="5" t="str">
        <f ca="1">IFERROR(__xludf.DUMMYFUNCTION("""COMPUTED_VALUE"""),"Both")</f>
        <v>Both</v>
      </c>
      <c r="Z1357" s="5" t="str">
        <f ca="1">IFERROR(__xludf.DUMMYFUNCTION("""COMPUTED_VALUE"""),"No")</f>
        <v>No</v>
      </c>
      <c r="AA1357" s="5"/>
      <c r="AB1357" s="5" t="str">
        <f ca="1">IFERROR(__xludf.DUMMYFUNCTION("""COMPUTED_VALUE"""),"No")</f>
        <v>No</v>
      </c>
      <c r="AC1357" s="5" t="str">
        <f ca="1">IFERROR(__xludf.DUMMYFUNCTION("""COMPUTED_VALUE"""),"No")</f>
        <v>No</v>
      </c>
      <c r="AD1357" s="5" t="str">
        <f ca="1">IFERROR(__xludf.DUMMYFUNCTION("""COMPUTED_VALUE"""),"No")</f>
        <v>No</v>
      </c>
      <c r="AE1357" s="5" t="str">
        <f ca="1">IFERROR(__xludf.DUMMYFUNCTION("""COMPUTED_VALUE"""),"No")</f>
        <v>No</v>
      </c>
      <c r="AF1357" s="5" t="str">
        <f ca="1">IFERROR(__xludf.DUMMYFUNCTION("""COMPUTED_VALUE"""),"Yes")</f>
        <v>Yes</v>
      </c>
      <c r="AG1357" s="5" t="str">
        <f ca="1">IFERROR(__xludf.DUMMYFUNCTION("""COMPUTED_VALUE"""),"No")</f>
        <v>No</v>
      </c>
      <c r="AH1357" s="5"/>
    </row>
    <row r="1358" spans="1:34" ht="12.75">
      <c r="A1358" s="5" t="str">
        <f ca="1">IFERROR(__xludf.DUMMYFUNCTION("""COMPUTED_VALUE"""),"20021212WAWIC")</f>
        <v>20021212WAWIC</v>
      </c>
      <c r="B1358" s="8">
        <f ca="1">IFERROR(__xludf.DUMMYFUNCTION("""COMPUTED_VALUE"""),37602)</f>
        <v>37602</v>
      </c>
      <c r="C1358" s="5" t="str">
        <f ca="1">IFERROR(__xludf.DUMMYFUNCTION("""COMPUTED_VALUE"""),"Wind River Middle School")</f>
        <v>Wind River Middle School</v>
      </c>
      <c r="D1358" s="5">
        <f ca="1">IFERROR(__xludf.DUMMYFUNCTION("""COMPUTED_VALUE"""),0)</f>
        <v>0</v>
      </c>
      <c r="E1358" s="5">
        <f ca="1">IFERROR(__xludf.DUMMYFUNCTION("""COMPUTED_VALUE"""),0)</f>
        <v>0</v>
      </c>
      <c r="F1358" s="5">
        <f ca="1">IFERROR(__xludf.DUMMYFUNCTION("""COMPUTED_VALUE"""),0)</f>
        <v>0</v>
      </c>
      <c r="G1358" s="5">
        <f ca="1">IFERROR(__xludf.DUMMYFUNCTION("""COMPUTED_VALUE"""),1)</f>
        <v>1</v>
      </c>
      <c r="H1358"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I1358" s="5"/>
      <c r="J1358" s="5"/>
      <c r="K1358" s="5">
        <f ca="1">IFERROR(__xludf.DUMMYFUNCTION("""COMPUTED_VALUE"""),2)</f>
        <v>2</v>
      </c>
      <c r="L1358" s="5" t="str">
        <f ca="1">IFERROR(__xludf.DUMMYFUNCTION("""COMPUTED_VALUE"""),"Winter")</f>
        <v>Winter</v>
      </c>
      <c r="M1358" s="5" t="str">
        <f ca="1">IFERROR(__xludf.DUMMYFUNCTION("""COMPUTED_VALUE"""),"Carson")</f>
        <v>Carson</v>
      </c>
      <c r="N1358" s="5" t="str">
        <f ca="1">IFERROR(__xludf.DUMMYFUNCTION("""COMPUTED_VALUE"""),"WA")</f>
        <v>WA</v>
      </c>
      <c r="O1358" s="5" t="str">
        <f ca="1">IFERROR(__xludf.DUMMYFUNCTION("""COMPUTED_VALUE"""),"Middle")</f>
        <v>Middle</v>
      </c>
      <c r="P1358" s="5" t="str">
        <f ca="1">IFERROR(__xludf.DUMMYFUNCTION("""COMPUTED_VALUE"""),"Classroom")</f>
        <v>Classroom</v>
      </c>
      <c r="Q1358" s="5" t="str">
        <f ca="1">IFERROR(__xludf.DUMMYFUNCTION("""COMPUTED_VALUE"""),"Inside School Building")</f>
        <v>Inside School Building</v>
      </c>
      <c r="R1358" s="5" t="str">
        <f ca="1">IFERROR(__xludf.DUMMYFUNCTION("""COMPUTED_VALUE"""),"No")</f>
        <v>No</v>
      </c>
      <c r="S1358" s="5" t="str">
        <f ca="1">IFERROR(__xludf.DUMMYFUNCTION("""COMPUTED_VALUE"""),"After School")</f>
        <v>After School</v>
      </c>
      <c r="T1358" s="10">
        <f ca="1">IFERROR(__xludf.DUMMYFUNCTION("""COMPUTED_VALUE"""),0.694444444444444)</f>
        <v>0.69444444444444398</v>
      </c>
      <c r="U1358" s="5">
        <f ca="1">IFERROR(__xludf.DUMMYFUNCTION("""COMPUTED_VALUE"""),1)</f>
        <v>1</v>
      </c>
      <c r="V1358" s="5" t="str">
        <f ca="1">IFERROR(__xludf.DUMMYFUNCTION("""COMPUTED_VALUE"""),"Shot at school window from across the street then shot self")</f>
        <v>Shot at school window from across the street then shot self</v>
      </c>
      <c r="W1358"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X1358" s="5" t="str">
        <f ca="1">IFERROR(__xludf.DUMMYFUNCTION("""COMPUTED_VALUE"""),"Suicide/Attempted")</f>
        <v>Suicide/Attempted</v>
      </c>
      <c r="Y1358" s="5"/>
      <c r="Z1358" s="5" t="str">
        <f ca="1">IFERROR(__xludf.DUMMYFUNCTION("""COMPUTED_VALUE"""),"No")</f>
        <v>No</v>
      </c>
      <c r="AA1358" s="5"/>
      <c r="AB1358" s="5" t="str">
        <f ca="1">IFERROR(__xludf.DUMMYFUNCTION("""COMPUTED_VALUE"""),"No")</f>
        <v>No</v>
      </c>
      <c r="AC1358" s="5" t="str">
        <f ca="1">IFERROR(__xludf.DUMMYFUNCTION("""COMPUTED_VALUE"""),"No")</f>
        <v>No</v>
      </c>
      <c r="AD1358" s="5" t="str">
        <f ca="1">IFERROR(__xludf.DUMMYFUNCTION("""COMPUTED_VALUE"""),"No")</f>
        <v>No</v>
      </c>
      <c r="AE1358" s="5"/>
      <c r="AF1358" s="5" t="str">
        <f ca="1">IFERROR(__xludf.DUMMYFUNCTION("""COMPUTED_VALUE"""),"No")</f>
        <v>No</v>
      </c>
      <c r="AG1358" s="5" t="str">
        <f ca="1">IFERROR(__xludf.DUMMYFUNCTION("""COMPUTED_VALUE"""),"No")</f>
        <v>No</v>
      </c>
      <c r="AH1358" s="5"/>
    </row>
    <row r="1359" spans="1:34" ht="12.75">
      <c r="A1359" s="5" t="str">
        <f ca="1">IFERROR(__xludf.DUMMYFUNCTION("""COMPUTED_VALUE"""),"20021202MIOSD")</f>
        <v>20021202MIOSD</v>
      </c>
      <c r="B1359" s="8">
        <f ca="1">IFERROR(__xludf.DUMMYFUNCTION("""COMPUTED_VALUE"""),37592)</f>
        <v>37592</v>
      </c>
      <c r="C1359" s="5" t="str">
        <f ca="1">IFERROR(__xludf.DUMMYFUNCTION("""COMPUTED_VALUE"""),"Osborn High School")</f>
        <v>Osborn High School</v>
      </c>
      <c r="D1359" s="5">
        <f ca="1">IFERROR(__xludf.DUMMYFUNCTION("""COMPUTED_VALUE"""),0)</f>
        <v>0</v>
      </c>
      <c r="E1359" s="5">
        <f ca="1">IFERROR(__xludf.DUMMYFUNCTION("""COMPUTED_VALUE"""),0)</f>
        <v>0</v>
      </c>
      <c r="F1359" s="5">
        <f ca="1">IFERROR(__xludf.DUMMYFUNCTION("""COMPUTED_VALUE"""),0)</f>
        <v>0</v>
      </c>
      <c r="G1359" s="5">
        <f ca="1">IFERROR(__xludf.DUMMYFUNCTION("""COMPUTED_VALUE"""),0)</f>
        <v>0</v>
      </c>
      <c r="H1359" s="9" t="str">
        <f ca="1">IFERROR(__xludf.DUMMYFUNCTION("""COMPUTED_VALUE"""),"https://www.newspapers.com/image/205047710/?terms=student%2Bshoots")</f>
        <v>https://www.newspapers.com/image/205047710/?terms=student%2Bshoots</v>
      </c>
      <c r="I1359" s="5"/>
      <c r="J1359" s="5"/>
      <c r="K1359" s="5">
        <f ca="1">IFERROR(__xludf.DUMMYFUNCTION("""COMPUTED_VALUE"""),2)</f>
        <v>2</v>
      </c>
      <c r="L1359" s="5" t="str">
        <f ca="1">IFERROR(__xludf.DUMMYFUNCTION("""COMPUTED_VALUE"""),"Winter")</f>
        <v>Winter</v>
      </c>
      <c r="M1359" s="5" t="str">
        <f ca="1">IFERROR(__xludf.DUMMYFUNCTION("""COMPUTED_VALUE"""),"Detroit")</f>
        <v>Detroit</v>
      </c>
      <c r="N1359" s="5" t="str">
        <f ca="1">IFERROR(__xludf.DUMMYFUNCTION("""COMPUTED_VALUE"""),"MI")</f>
        <v>MI</v>
      </c>
      <c r="O1359" s="5" t="str">
        <f ca="1">IFERROR(__xludf.DUMMYFUNCTION("""COMPUTED_VALUE"""),"High")</f>
        <v>High</v>
      </c>
      <c r="P1359" s="5" t="str">
        <f ca="1">IFERROR(__xludf.DUMMYFUNCTION("""COMPUTED_VALUE"""),"Classroom")</f>
        <v>Classroom</v>
      </c>
      <c r="Q1359" s="5" t="str">
        <f ca="1">IFERROR(__xludf.DUMMYFUNCTION("""COMPUTED_VALUE"""),"Inside School Building")</f>
        <v>Inside School Building</v>
      </c>
      <c r="R1359" s="5" t="str">
        <f ca="1">IFERROR(__xludf.DUMMYFUNCTION("""COMPUTED_VALUE"""),"Yes")</f>
        <v>Yes</v>
      </c>
      <c r="S1359" s="5" t="str">
        <f ca="1">IFERROR(__xludf.DUMMYFUNCTION("""COMPUTED_VALUE"""),"Morning Classes")</f>
        <v>Morning Classes</v>
      </c>
      <c r="T1359" s="10">
        <f ca="1">IFERROR(__xludf.DUMMYFUNCTION("""COMPUTED_VALUE"""),0.416666666666666)</f>
        <v>0.41666666666666602</v>
      </c>
      <c r="U1359" s="5">
        <f ca="1">IFERROR(__xludf.DUMMYFUNCTION("""COMPUTED_VALUE"""),1)</f>
        <v>1</v>
      </c>
      <c r="V1359" s="5" t="str">
        <f ca="1">IFERROR(__xludf.DUMMYFUNCTION("""COMPUTED_VALUE"""),"Accidental discharge, shot self")</f>
        <v>Accidental discharge, shot self</v>
      </c>
      <c r="W1359" s="5" t="str">
        <f ca="1">IFERROR(__xludf.DUMMYFUNCTION("""COMPUTED_VALUE"""),"Shooter accidently shot himself in leg")</f>
        <v>Shooter accidently shot himself in leg</v>
      </c>
      <c r="X1359" s="5" t="str">
        <f ca="1">IFERROR(__xludf.DUMMYFUNCTION("""COMPUTED_VALUE"""),"Accidental")</f>
        <v>Accidental</v>
      </c>
      <c r="Y1359" s="5" t="str">
        <f ca="1">IFERROR(__xludf.DUMMYFUNCTION("""COMPUTED_VALUE"""),"Neither")</f>
        <v>Neither</v>
      </c>
      <c r="Z1359" s="5" t="str">
        <f ca="1">IFERROR(__xludf.DUMMYFUNCTION("""COMPUTED_VALUE"""),"No")</f>
        <v>No</v>
      </c>
      <c r="AA1359" s="5" t="str">
        <f ca="1">IFERROR(__xludf.DUMMYFUNCTION("""COMPUTED_VALUE"""),"Student")</f>
        <v>Student</v>
      </c>
      <c r="AB1359" s="5" t="str">
        <f ca="1">IFERROR(__xludf.DUMMYFUNCTION("""COMPUTED_VALUE"""),"No")</f>
        <v>No</v>
      </c>
      <c r="AC1359" s="5" t="str">
        <f ca="1">IFERROR(__xludf.DUMMYFUNCTION("""COMPUTED_VALUE"""),"No")</f>
        <v>No</v>
      </c>
      <c r="AD1359" s="5" t="str">
        <f ca="1">IFERROR(__xludf.DUMMYFUNCTION("""COMPUTED_VALUE"""),"No")</f>
        <v>No</v>
      </c>
      <c r="AE1359" s="5" t="str">
        <f ca="1">IFERROR(__xludf.DUMMYFUNCTION("""COMPUTED_VALUE"""),"No")</f>
        <v>No</v>
      </c>
      <c r="AF1359" s="5" t="str">
        <f ca="1">IFERROR(__xludf.DUMMYFUNCTION("""COMPUTED_VALUE"""),"No")</f>
        <v>No</v>
      </c>
      <c r="AG1359" s="5" t="str">
        <f ca="1">IFERROR(__xludf.DUMMYFUNCTION("""COMPUTED_VALUE"""),"No")</f>
        <v>No</v>
      </c>
      <c r="AH1359" s="5"/>
    </row>
    <row r="1360" spans="1:34" ht="12.75">
      <c r="A1360" s="5" t="str">
        <f ca="1">IFERROR(__xludf.DUMMYFUNCTION("""COMPUTED_VALUE"""),"20021115TXSCS")</f>
        <v>20021115TXSCS</v>
      </c>
      <c r="B1360" s="8">
        <f ca="1">IFERROR(__xludf.DUMMYFUNCTION("""COMPUTED_VALUE"""),37575)</f>
        <v>37575</v>
      </c>
      <c r="C1360" s="5" t="str">
        <f ca="1">IFERROR(__xludf.DUMMYFUNCTION("""COMPUTED_VALUE"""),"Scurry-Rosser High School")</f>
        <v>Scurry-Rosser High School</v>
      </c>
      <c r="D1360" s="5">
        <f ca="1">IFERROR(__xludf.DUMMYFUNCTION("""COMPUTED_VALUE"""),0)</f>
        <v>0</v>
      </c>
      <c r="E1360" s="5">
        <f ca="1">IFERROR(__xludf.DUMMYFUNCTION("""COMPUTED_VALUE"""),0)</f>
        <v>0</v>
      </c>
      <c r="F1360" s="5">
        <f ca="1">IFERROR(__xludf.DUMMYFUNCTION("""COMPUTED_VALUE"""),0)</f>
        <v>0</v>
      </c>
      <c r="G1360" s="5">
        <f ca="1">IFERROR(__xludf.DUMMYFUNCTION("""COMPUTED_VALUE"""),0)</f>
        <v>0</v>
      </c>
      <c r="H1360" s="9" t="str">
        <f ca="1">IFERROR(__xludf.DUMMYFUNCTION("""COMPUTED_VALUE"""),"https://www.myplainview.com/news/article/Scurry-Rosser-faculty-students-subdue-gunman-8787426.php")</f>
        <v>https://www.myplainview.com/news/article/Scurry-Rosser-faculty-students-subdue-gunman-8787426.php</v>
      </c>
      <c r="I1360" s="5"/>
      <c r="J1360" s="5"/>
      <c r="K1360" s="5">
        <f ca="1">IFERROR(__xludf.DUMMYFUNCTION("""COMPUTED_VALUE"""),2)</f>
        <v>2</v>
      </c>
      <c r="L1360" s="5" t="str">
        <f ca="1">IFERROR(__xludf.DUMMYFUNCTION("""COMPUTED_VALUE"""),"Fall")</f>
        <v>Fall</v>
      </c>
      <c r="M1360" s="5" t="str">
        <f ca="1">IFERROR(__xludf.DUMMYFUNCTION("""COMPUTED_VALUE"""),"Scurry")</f>
        <v>Scurry</v>
      </c>
      <c r="N1360" s="5" t="str">
        <f ca="1">IFERROR(__xludf.DUMMYFUNCTION("""COMPUTED_VALUE"""),"TX")</f>
        <v>TX</v>
      </c>
      <c r="O1360" s="5" t="str">
        <f ca="1">IFERROR(__xludf.DUMMYFUNCTION("""COMPUTED_VALUE"""),"High")</f>
        <v>High</v>
      </c>
      <c r="P1360" s="5" t="str">
        <f ca="1">IFERROR(__xludf.DUMMYFUNCTION("""COMPUTED_VALUE"""),"Hallway")</f>
        <v>Hallway</v>
      </c>
      <c r="Q1360" s="5" t="str">
        <f ca="1">IFERROR(__xludf.DUMMYFUNCTION("""COMPUTED_VALUE"""),"Inside School Building")</f>
        <v>Inside School Building</v>
      </c>
      <c r="R1360" s="5" t="str">
        <f ca="1">IFERROR(__xludf.DUMMYFUNCTION("""COMPUTED_VALUE"""),"Yes")</f>
        <v>Yes</v>
      </c>
      <c r="S1360" s="5" t="str">
        <f ca="1">IFERROR(__xludf.DUMMYFUNCTION("""COMPUTED_VALUE"""),"Morning Classes")</f>
        <v>Morning Classes</v>
      </c>
      <c r="T1360" s="10">
        <f ca="1">IFERROR(__xludf.DUMMYFUNCTION("""COMPUTED_VALUE"""),0.354166666666666)</f>
        <v>0.35416666666666602</v>
      </c>
      <c r="U1360" s="5"/>
      <c r="V1360" s="5" t="str">
        <f ca="1">IFERROR(__xludf.DUMMYFUNCTION("""COMPUTED_VALUE"""),"Former student with shotgun forced students into cafeteria, splashed gasoline, wanted to light school on fire")</f>
        <v>Former student with shotgun forced students into cafeteria, splashed gasoline, wanted to light school on fire</v>
      </c>
      <c r="W1360"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X1360" s="5" t="str">
        <f ca="1">IFERROR(__xludf.DUMMYFUNCTION("""COMPUTED_VALUE"""),"Anger Over Grade/Suspension/Discipline")</f>
        <v>Anger Over Grade/Suspension/Discipline</v>
      </c>
      <c r="Y1360" s="5" t="str">
        <f ca="1">IFERROR(__xludf.DUMMYFUNCTION("""COMPUTED_VALUE"""),"Victims Targeted")</f>
        <v>Victims Targeted</v>
      </c>
      <c r="Z1360" s="5" t="str">
        <f ca="1">IFERROR(__xludf.DUMMYFUNCTION("""COMPUTED_VALUE"""),"No")</f>
        <v>No</v>
      </c>
      <c r="AA1360" s="5"/>
      <c r="AB1360" s="5" t="str">
        <f ca="1">IFERROR(__xludf.DUMMYFUNCTION("""COMPUTED_VALUE"""),"Yes")</f>
        <v>Yes</v>
      </c>
      <c r="AC1360" s="5" t="str">
        <f ca="1">IFERROR(__xludf.DUMMYFUNCTION("""COMPUTED_VALUE"""),"No")</f>
        <v>No</v>
      </c>
      <c r="AD1360" s="5" t="str">
        <f ca="1">IFERROR(__xludf.DUMMYFUNCTION("""COMPUTED_VALUE"""),"No")</f>
        <v>No</v>
      </c>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IFERROR(__xludf.DUMMYFUNCTION("""COMPUTED_VALUE"""),"Yes")</f>
        <v>Yes</v>
      </c>
    </row>
    <row r="1361" spans="1:34" ht="12.75">
      <c r="A1361" s="5" t="str">
        <f ca="1">IFERROR(__xludf.DUMMYFUNCTION("""COMPUTED_VALUE"""),"20021115CAAML")</f>
        <v>20021115CAAML</v>
      </c>
      <c r="B1361" s="8">
        <f ca="1">IFERROR(__xludf.DUMMYFUNCTION("""COMPUTED_VALUE"""),37575)</f>
        <v>37575</v>
      </c>
      <c r="C1361" s="5" t="str">
        <f ca="1">IFERROR(__xludf.DUMMYFUNCTION("""COMPUTED_VALUE"""),"Ambler Avenue Elementary School")</f>
        <v>Ambler Avenue Elementary School</v>
      </c>
      <c r="D1361" s="5">
        <f ca="1">IFERROR(__xludf.DUMMYFUNCTION("""COMPUTED_VALUE"""),0)</f>
        <v>0</v>
      </c>
      <c r="E1361" s="5">
        <f ca="1">IFERROR(__xludf.DUMMYFUNCTION("""COMPUTED_VALUE"""),2)</f>
        <v>2</v>
      </c>
      <c r="F1361" s="5">
        <f ca="1">IFERROR(__xludf.DUMMYFUNCTION("""COMPUTED_VALUE"""),2)</f>
        <v>2</v>
      </c>
      <c r="G1361" s="5">
        <f ca="1">IFERROR(__xludf.DUMMYFUNCTION("""COMPUTED_VALUE"""),0)</f>
        <v>0</v>
      </c>
      <c r="H1361" s="9" t="str">
        <f ca="1">IFERROR(__xludf.DUMMYFUNCTION("""COMPUTED_VALUE"""),"http://articles.latimes.com/2002/nov/15/local/me-carson15")</f>
        <v>http://articles.latimes.com/2002/nov/15/local/me-carson15</v>
      </c>
      <c r="I1361" s="5"/>
      <c r="J1361" s="5"/>
      <c r="K1361" s="5">
        <f ca="1">IFERROR(__xludf.DUMMYFUNCTION("""COMPUTED_VALUE"""),2)</f>
        <v>2</v>
      </c>
      <c r="L1361" s="5" t="str">
        <f ca="1">IFERROR(__xludf.DUMMYFUNCTION("""COMPUTED_VALUE"""),"Fall")</f>
        <v>Fall</v>
      </c>
      <c r="M1361" s="5" t="str">
        <f ca="1">IFERROR(__xludf.DUMMYFUNCTION("""COMPUTED_VALUE"""),"Los Angeles")</f>
        <v>Los Angeles</v>
      </c>
      <c r="N1361" s="5" t="str">
        <f ca="1">IFERROR(__xludf.DUMMYFUNCTION("""COMPUTED_VALUE"""),"CA")</f>
        <v>CA</v>
      </c>
      <c r="O1361" s="5" t="str">
        <f ca="1">IFERROR(__xludf.DUMMYFUNCTION("""COMPUTED_VALUE"""),"Elementary")</f>
        <v>Elementary</v>
      </c>
      <c r="P1361" s="5" t="str">
        <f ca="1">IFERROR(__xludf.DUMMYFUNCTION("""COMPUTED_VALUE"""),"Beside Building")</f>
        <v>Beside Building</v>
      </c>
      <c r="Q1361" s="5" t="str">
        <f ca="1">IFERROR(__xludf.DUMMYFUNCTION("""COMPUTED_VALUE"""),"Outside on School Property")</f>
        <v>Outside on School Property</v>
      </c>
      <c r="R1361" s="5" t="str">
        <f ca="1">IFERROR(__xludf.DUMMYFUNCTION("""COMPUTED_VALUE"""),"No")</f>
        <v>No</v>
      </c>
      <c r="S1361" s="5" t="str">
        <f ca="1">IFERROR(__xludf.DUMMYFUNCTION("""COMPUTED_VALUE"""),"Evening")</f>
        <v>Evening</v>
      </c>
      <c r="T1361" s="10">
        <f ca="1">IFERROR(__xludf.DUMMYFUNCTION("""COMPUTED_VALUE"""),0.729166666666666)</f>
        <v>0.72916666666666596</v>
      </c>
      <c r="U1361" s="5">
        <f ca="1">IFERROR(__xludf.DUMMYFUNCTION("""COMPUTED_VALUE"""),1)</f>
        <v>1</v>
      </c>
      <c r="V1361" s="5" t="str">
        <f ca="1">IFERROR(__xludf.DUMMYFUNCTION("""COMPUTED_VALUE"""),"Multiple shots fired by unknown person on the school grounds, 2 struck")</f>
        <v>Multiple shots fired by unknown person on the school grounds, 2 struck</v>
      </c>
      <c r="W1361"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X1361" s="5" t="str">
        <f ca="1">IFERROR(__xludf.DUMMYFUNCTION("""COMPUTED_VALUE"""),"Unknown")</f>
        <v>Unknown</v>
      </c>
      <c r="Y1361" s="5"/>
      <c r="Z1361" s="5" t="str">
        <f ca="1">IFERROR(__xludf.DUMMYFUNCTION("""COMPUTED_VALUE"""),"No")</f>
        <v>No</v>
      </c>
      <c r="AA1361" s="5"/>
      <c r="AB1361" s="5" t="str">
        <f ca="1">IFERROR(__xludf.DUMMYFUNCTION("""COMPUTED_VALUE"""),"No")</f>
        <v>No</v>
      </c>
      <c r="AC1361" s="5" t="str">
        <f ca="1">IFERROR(__xludf.DUMMYFUNCTION("""COMPUTED_VALUE"""),"No")</f>
        <v>No</v>
      </c>
      <c r="AD1361" s="5" t="str">
        <f ca="1">IFERROR(__xludf.DUMMYFUNCTION("""COMPUTED_VALUE"""),"No")</f>
        <v>No</v>
      </c>
      <c r="AE1361" s="5" t="str">
        <f ca="1">IFERROR(__xludf.DUMMYFUNCTION("""COMPUTED_VALUE"""),"No")</f>
        <v>No</v>
      </c>
      <c r="AF1361" s="5" t="str">
        <f ca="1">IFERROR(__xludf.DUMMYFUNCTION("""COMPUTED_VALUE"""),"No")</f>
        <v>No</v>
      </c>
      <c r="AG1361" s="5"/>
      <c r="AH1361" s="5" t="str">
        <f ca="1">IFERROR(__xludf.DUMMYFUNCTION("""COMPUTED_VALUE"""),"Yes")</f>
        <v>Yes</v>
      </c>
    </row>
    <row r="1362" spans="1:34" ht="12.75">
      <c r="A1362" s="5" t="str">
        <f ca="1">IFERROR(__xludf.DUMMYFUNCTION("""COMPUTED_VALUE"""),"20021107MOSTL")</f>
        <v>20021107MOSTL</v>
      </c>
      <c r="B1362" s="8">
        <f ca="1">IFERROR(__xludf.DUMMYFUNCTION("""COMPUTED_VALUE"""),37567)</f>
        <v>37567</v>
      </c>
      <c r="C1362" s="5" t="str">
        <f ca="1">IFERROR(__xludf.DUMMYFUNCTION("""COMPUTED_VALUE"""),"St. James Catholic School")</f>
        <v>St. James Catholic School</v>
      </c>
      <c r="D1362" s="5">
        <f ca="1">IFERROR(__xludf.DUMMYFUNCTION("""COMPUTED_VALUE"""),1)</f>
        <v>1</v>
      </c>
      <c r="E1362" s="5">
        <f ca="1">IFERROR(__xludf.DUMMYFUNCTION("""COMPUTED_VALUE"""),1)</f>
        <v>1</v>
      </c>
      <c r="F1362" s="5">
        <f ca="1">IFERROR(__xludf.DUMMYFUNCTION("""COMPUTED_VALUE"""),2)</f>
        <v>2</v>
      </c>
      <c r="G1362" s="5">
        <f ca="1">IFERROR(__xludf.DUMMYFUNCTION("""COMPUTED_VALUE"""),0)</f>
        <v>0</v>
      </c>
      <c r="H1362" s="9" t="str">
        <f ca="1">IFERROR(__xludf.DUMMYFUNCTION("""COMPUTED_VALUE"""),"https://www.semissourian.com/story/152973.html")</f>
        <v>https://www.semissourian.com/story/152973.html</v>
      </c>
      <c r="I1362" s="5"/>
      <c r="J1362" s="5"/>
      <c r="K1362" s="5">
        <f ca="1">IFERROR(__xludf.DUMMYFUNCTION("""COMPUTED_VALUE"""),2)</f>
        <v>2</v>
      </c>
      <c r="L1362" s="5" t="str">
        <f ca="1">IFERROR(__xludf.DUMMYFUNCTION("""COMPUTED_VALUE"""),"Fall")</f>
        <v>Fall</v>
      </c>
      <c r="M1362" s="5" t="str">
        <f ca="1">IFERROR(__xludf.DUMMYFUNCTION("""COMPUTED_VALUE"""),"Liberty")</f>
        <v>Liberty</v>
      </c>
      <c r="N1362" s="5" t="str">
        <f ca="1">IFERROR(__xludf.DUMMYFUNCTION("""COMPUTED_VALUE"""),"MO")</f>
        <v>MO</v>
      </c>
      <c r="O1362" s="5" t="str">
        <f ca="1">IFERROR(__xludf.DUMMYFUNCTION("""COMPUTED_VALUE"""),"K-8")</f>
        <v>K-8</v>
      </c>
      <c r="P1362" s="5" t="str">
        <f ca="1">IFERROR(__xludf.DUMMYFUNCTION("""COMPUTED_VALUE"""),"Parking Lot")</f>
        <v>Parking Lot</v>
      </c>
      <c r="Q1362" s="5" t="str">
        <f ca="1">IFERROR(__xludf.DUMMYFUNCTION("""COMPUTED_VALUE"""),"Outside on School Property")</f>
        <v>Outside on School Property</v>
      </c>
      <c r="R1362" s="5" t="str">
        <f ca="1">IFERROR(__xludf.DUMMYFUNCTION("""COMPUTED_VALUE"""),"Yes")</f>
        <v>Yes</v>
      </c>
      <c r="S1362" s="5" t="str">
        <f ca="1">IFERROR(__xludf.DUMMYFUNCTION("""COMPUTED_VALUE"""),"Lunch")</f>
        <v>Lunch</v>
      </c>
      <c r="T1362" s="10">
        <f ca="1">IFERROR(__xludf.DUMMYFUNCTION("""COMPUTED_VALUE"""),0.527777777777777)</f>
        <v>0.52777777777777701</v>
      </c>
      <c r="U1362" s="5">
        <f ca="1">IFERROR(__xludf.DUMMYFUNCTION("""COMPUTED_VALUE"""),1)</f>
        <v>1</v>
      </c>
      <c r="V1362" s="5" t="str">
        <f ca="1">IFERROR(__xludf.DUMMYFUNCTION("""COMPUTED_VALUE"""),"Shot wife and son in school parking lot")</f>
        <v>Shot wife and son in school parking lot</v>
      </c>
      <c r="W1362" s="5" t="str">
        <f ca="1">IFERROR(__xludf.DUMMYFUNCTION("""COMPUTED_VALUE"""),"43YOM shot at wife and son in school parking lot then fled the scene.")</f>
        <v>43YOM shot at wife and son in school parking lot then fled the scene.</v>
      </c>
      <c r="X1362" s="5" t="str">
        <f ca="1">IFERROR(__xludf.DUMMYFUNCTION("""COMPUTED_VALUE"""),"Domestic w/ Targeted Victim")</f>
        <v>Domestic w/ Targeted Victim</v>
      </c>
      <c r="Y1362" s="5" t="str">
        <f ca="1">IFERROR(__xludf.DUMMYFUNCTION("""COMPUTED_VALUE"""),"Victims Targeted")</f>
        <v>Victims Targeted</v>
      </c>
      <c r="Z1362" s="5" t="str">
        <f ca="1">IFERROR(__xludf.DUMMYFUNCTION("""COMPUTED_VALUE"""),"No")</f>
        <v>No</v>
      </c>
      <c r="AA1362" s="5"/>
      <c r="AB1362" s="5" t="str">
        <f ca="1">IFERROR(__xludf.DUMMYFUNCTION("""COMPUTED_VALUE"""),"No")</f>
        <v>No</v>
      </c>
      <c r="AC1362" s="5" t="str">
        <f ca="1">IFERROR(__xludf.DUMMYFUNCTION("""COMPUTED_VALUE"""),"No")</f>
        <v>No</v>
      </c>
      <c r="AD1362" s="5" t="str">
        <f ca="1">IFERROR(__xludf.DUMMYFUNCTION("""COMPUTED_VALUE"""),"No")</f>
        <v>No</v>
      </c>
      <c r="AE1362" s="5" t="str">
        <f ca="1">IFERROR(__xludf.DUMMYFUNCTION("""COMPUTED_VALUE"""),"No")</f>
        <v>No</v>
      </c>
      <c r="AF1362" s="5" t="str">
        <f ca="1">IFERROR(__xludf.DUMMYFUNCTION("""COMPUTED_VALUE"""),"Yes")</f>
        <v>Yes</v>
      </c>
      <c r="AG1362" s="5" t="str">
        <f ca="1">IFERROR(__xludf.DUMMYFUNCTION("""COMPUTED_VALUE"""),"No")</f>
        <v>No</v>
      </c>
      <c r="AH1362" s="5"/>
    </row>
    <row r="1363" spans="1:34" ht="12.75">
      <c r="A1363" s="5" t="str">
        <f ca="1">IFERROR(__xludf.DUMMYFUNCTION("""COMPUTED_VALUE"""),"20021029NJLIJ")</f>
        <v>20021029NJLIJ</v>
      </c>
      <c r="B1363" s="8">
        <f ca="1">IFERROR(__xludf.DUMMYFUNCTION("""COMPUTED_VALUE"""),37558)</f>
        <v>37558</v>
      </c>
      <c r="C1363" s="5" t="str">
        <f ca="1">IFERROR(__xludf.DUMMYFUNCTION("""COMPUTED_VALUE"""),"Lincoln High School")</f>
        <v>Lincoln High School</v>
      </c>
      <c r="D1363" s="5">
        <f ca="1">IFERROR(__xludf.DUMMYFUNCTION("""COMPUTED_VALUE"""),0)</f>
        <v>0</v>
      </c>
      <c r="E1363" s="5">
        <f ca="1">IFERROR(__xludf.DUMMYFUNCTION("""COMPUTED_VALUE"""),1)</f>
        <v>1</v>
      </c>
      <c r="F1363" s="5">
        <f ca="1">IFERROR(__xludf.DUMMYFUNCTION("""COMPUTED_VALUE"""),1)</f>
        <v>1</v>
      </c>
      <c r="G1363" s="5">
        <f ca="1">IFERROR(__xludf.DUMMYFUNCTION("""COMPUTED_VALUE"""),0)</f>
        <v>0</v>
      </c>
      <c r="H1363" s="9" t="str">
        <f ca="1">IFERROR(__xludf.DUMMYFUNCTION("""COMPUTED_VALUE"""),"http://www.cnn.com/2002/US/Northeast/10/29/school.shooting/")</f>
        <v>http://www.cnn.com/2002/US/Northeast/10/29/school.shooting/</v>
      </c>
      <c r="I1363" s="5"/>
      <c r="J1363" s="5"/>
      <c r="K1363" s="5">
        <f ca="1">IFERROR(__xludf.DUMMYFUNCTION("""COMPUTED_VALUE"""),2)</f>
        <v>2</v>
      </c>
      <c r="L1363" s="5" t="str">
        <f ca="1">IFERROR(__xludf.DUMMYFUNCTION("""COMPUTED_VALUE"""),"Fall")</f>
        <v>Fall</v>
      </c>
      <c r="M1363" s="5" t="str">
        <f ca="1">IFERROR(__xludf.DUMMYFUNCTION("""COMPUTED_VALUE"""),"Jersey City")</f>
        <v>Jersey City</v>
      </c>
      <c r="N1363" s="5" t="str">
        <f ca="1">IFERROR(__xludf.DUMMYFUNCTION("""COMPUTED_VALUE"""),"NJ")</f>
        <v>NJ</v>
      </c>
      <c r="O1363" s="5" t="str">
        <f ca="1">IFERROR(__xludf.DUMMYFUNCTION("""COMPUTED_VALUE"""),"High")</f>
        <v>High</v>
      </c>
      <c r="P1363" s="5" t="str">
        <f ca="1">IFERROR(__xludf.DUMMYFUNCTION("""COMPUTED_VALUE"""),"Hallway")</f>
        <v>Hallway</v>
      </c>
      <c r="Q1363" s="5" t="str">
        <f ca="1">IFERROR(__xludf.DUMMYFUNCTION("""COMPUTED_VALUE"""),"Inside School Building")</f>
        <v>Inside School Building</v>
      </c>
      <c r="R1363" s="5" t="str">
        <f ca="1">IFERROR(__xludf.DUMMYFUNCTION("""COMPUTED_VALUE"""),"Yes")</f>
        <v>Yes</v>
      </c>
      <c r="S1363" s="5" t="str">
        <f ca="1">IFERROR(__xludf.DUMMYFUNCTION("""COMPUTED_VALUE"""),"Morning Classes")</f>
        <v>Morning Classes</v>
      </c>
      <c r="T1363" s="10">
        <f ca="1">IFERROR(__xludf.DUMMYFUNCTION("""COMPUTED_VALUE"""),0.354166666666666)</f>
        <v>0.35416666666666602</v>
      </c>
      <c r="U1363" s="5">
        <f ca="1">IFERROR(__xludf.DUMMYFUNCTION("""COMPUTED_VALUE"""),1)</f>
        <v>1</v>
      </c>
      <c r="V1363" s="5" t="str">
        <f ca="1">IFERROR(__xludf.DUMMYFUNCTION("""COMPUTED_VALUE"""),"Shots fired during fight in school hallway")</f>
        <v>Shots fired during fight in school hallway</v>
      </c>
      <c r="W1363"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X1363" s="5" t="str">
        <f ca="1">IFERROR(__xludf.DUMMYFUNCTION("""COMPUTED_VALUE"""),"Escalation of Dispute")</f>
        <v>Escalation of Dispute</v>
      </c>
      <c r="Y1363" s="5" t="str">
        <f ca="1">IFERROR(__xludf.DUMMYFUNCTION("""COMPUTED_VALUE"""),"Victims Targeted")</f>
        <v>Victims Targeted</v>
      </c>
      <c r="Z1363" s="5" t="str">
        <f ca="1">IFERROR(__xludf.DUMMYFUNCTION("""COMPUTED_VALUE"""),"No")</f>
        <v>No</v>
      </c>
      <c r="AA1363" s="5"/>
      <c r="AB1363" s="5" t="str">
        <f ca="1">IFERROR(__xludf.DUMMYFUNCTION("""COMPUTED_VALUE"""),"No")</f>
        <v>No</v>
      </c>
      <c r="AC1363" s="5" t="str">
        <f ca="1">IFERROR(__xludf.DUMMYFUNCTION("""COMPUTED_VALUE"""),"No")</f>
        <v>No</v>
      </c>
      <c r="AD1363" s="5" t="str">
        <f ca="1">IFERROR(__xludf.DUMMYFUNCTION("""COMPUTED_VALUE"""),"No")</f>
        <v>No</v>
      </c>
      <c r="AE1363" s="5" t="str">
        <f ca="1">IFERROR(__xludf.DUMMYFUNCTION("""COMPUTED_VALUE"""),"No")</f>
        <v>No</v>
      </c>
      <c r="AF1363" s="5" t="str">
        <f ca="1">IFERROR(__xludf.DUMMYFUNCTION("""COMPUTED_VALUE"""),"No")</f>
        <v>No</v>
      </c>
      <c r="AG1363" s="5" t="str">
        <f ca="1">IFERROR(__xludf.DUMMYFUNCTION("""COMPUTED_VALUE"""),"No")</f>
        <v>No</v>
      </c>
      <c r="AH1363" s="5"/>
    </row>
    <row r="1364" spans="1:34" ht="12.75">
      <c r="A1364" s="5" t="str">
        <f ca="1">IFERROR(__xludf.DUMMYFUNCTION("""COMPUTED_VALUE"""),"20021007MDBEB")</f>
        <v>20021007MDBEB</v>
      </c>
      <c r="B1364" s="8">
        <f ca="1">IFERROR(__xludf.DUMMYFUNCTION("""COMPUTED_VALUE"""),37536)</f>
        <v>37536</v>
      </c>
      <c r="C1364" s="5" t="str">
        <f ca="1">IFERROR(__xludf.DUMMYFUNCTION("""COMPUTED_VALUE"""),"Benjamin Tasker Middle School")</f>
        <v>Benjamin Tasker Middle School</v>
      </c>
      <c r="D1364" s="5">
        <f ca="1">IFERROR(__xludf.DUMMYFUNCTION("""COMPUTED_VALUE"""),0)</f>
        <v>0</v>
      </c>
      <c r="E1364" s="5">
        <f ca="1">IFERROR(__xludf.DUMMYFUNCTION("""COMPUTED_VALUE"""),1)</f>
        <v>1</v>
      </c>
      <c r="F1364" s="5">
        <f ca="1">IFERROR(__xludf.DUMMYFUNCTION("""COMPUTED_VALUE"""),1)</f>
        <v>1</v>
      </c>
      <c r="G1364" s="5">
        <f ca="1">IFERROR(__xludf.DUMMYFUNCTION("""COMPUTED_VALUE"""),0)</f>
        <v>0</v>
      </c>
      <c r="H1364" s="9" t="str">
        <f ca="1">IFERROR(__xludf.DUMMYFUNCTION("""COMPUTED_VALUE"""),"https://www.theguardian.com/world/2002/oct/08/usgunviolence.usa")</f>
        <v>https://www.theguardian.com/world/2002/oct/08/usgunviolence.usa</v>
      </c>
      <c r="I1364" s="5"/>
      <c r="J1364" s="5"/>
      <c r="K1364" s="5">
        <f ca="1">IFERROR(__xludf.DUMMYFUNCTION("""COMPUTED_VALUE"""),2)</f>
        <v>2</v>
      </c>
      <c r="L1364" s="5" t="str">
        <f ca="1">IFERROR(__xludf.DUMMYFUNCTION("""COMPUTED_VALUE"""),"Fall")</f>
        <v>Fall</v>
      </c>
      <c r="M1364" s="5" t="str">
        <f ca="1">IFERROR(__xludf.DUMMYFUNCTION("""COMPUTED_VALUE"""),"Bowie")</f>
        <v>Bowie</v>
      </c>
      <c r="N1364" s="5" t="str">
        <f ca="1">IFERROR(__xludf.DUMMYFUNCTION("""COMPUTED_VALUE"""),"MD")</f>
        <v>MD</v>
      </c>
      <c r="O1364" s="5" t="str">
        <f ca="1">IFERROR(__xludf.DUMMYFUNCTION("""COMPUTED_VALUE"""),"Middle")</f>
        <v>Middle</v>
      </c>
      <c r="P1364" s="5" t="str">
        <f ca="1">IFERROR(__xludf.DUMMYFUNCTION("""COMPUTED_VALUE"""),"Front of School")</f>
        <v>Front of School</v>
      </c>
      <c r="Q1364" s="5" t="str">
        <f ca="1">IFERROR(__xludf.DUMMYFUNCTION("""COMPUTED_VALUE"""),"Outside on School Property")</f>
        <v>Outside on School Property</v>
      </c>
      <c r="R1364" s="5" t="str">
        <f ca="1">IFERROR(__xludf.DUMMYFUNCTION("""COMPUTED_VALUE"""),"Yes")</f>
        <v>Yes</v>
      </c>
      <c r="S1364" s="5" t="str">
        <f ca="1">IFERROR(__xludf.DUMMYFUNCTION("""COMPUTED_VALUE"""),"School Start")</f>
        <v>School Start</v>
      </c>
      <c r="T1364" s="10">
        <f ca="1">IFERROR(__xludf.DUMMYFUNCTION("""COMPUTED_VALUE"""),0.339583333333333)</f>
        <v>0.33958333333333302</v>
      </c>
      <c r="U1364" s="5">
        <f ca="1">IFERROR(__xludf.DUMMYFUNCTION("""COMPUTED_VALUE"""),1)</f>
        <v>1</v>
      </c>
      <c r="V1364" s="5" t="str">
        <f ca="1">IFERROR(__xludf.DUMMYFUNCTION("""COMPUTED_VALUE"""),"Serial Sniper Victim")</f>
        <v>Serial Sniper Victim</v>
      </c>
      <c r="W1364" s="5" t="str">
        <f ca="1">IFERROR(__xludf.DUMMYFUNCTION("""COMPUTED_VALUE"""),"Student shot outside of school by serial sniper who killed 17 random victims")</f>
        <v>Student shot outside of school by serial sniper who killed 17 random victims</v>
      </c>
      <c r="X1364" s="5" t="str">
        <f ca="1">IFERROR(__xludf.DUMMYFUNCTION("""COMPUTED_VALUE"""),"Indiscriminate Shooting")</f>
        <v>Indiscriminate Shooting</v>
      </c>
      <c r="Y1364" s="5" t="str">
        <f ca="1">IFERROR(__xludf.DUMMYFUNCTION("""COMPUTED_VALUE"""),"Random Shooting")</f>
        <v>Random Shooting</v>
      </c>
      <c r="Z1364" s="5" t="str">
        <f ca="1">IFERROR(__xludf.DUMMYFUNCTION("""COMPUTED_VALUE"""),"Yes")</f>
        <v>Yes</v>
      </c>
      <c r="AA1364" s="5" t="str">
        <f ca="1">IFERROR(__xludf.DUMMYFUNCTION("""COMPUTED_VALUE"""),"Need more information")</f>
        <v>Need more information</v>
      </c>
      <c r="AB1364" s="5" t="str">
        <f ca="1">IFERROR(__xludf.DUMMYFUNCTION("""COMPUTED_VALUE"""),"No")</f>
        <v>No</v>
      </c>
      <c r="AC1364" s="5" t="str">
        <f ca="1">IFERROR(__xludf.DUMMYFUNCTION("""COMPUTED_VALUE"""),"No")</f>
        <v>No</v>
      </c>
      <c r="AD1364" s="5" t="str">
        <f ca="1">IFERROR(__xludf.DUMMYFUNCTION("""COMPUTED_VALUE"""),"No")</f>
        <v>No</v>
      </c>
      <c r="AE1364" s="5" t="str">
        <f ca="1">IFERROR(__xludf.DUMMYFUNCTION("""COMPUTED_VALUE"""),"No")</f>
        <v>No</v>
      </c>
      <c r="AF1364" s="5" t="str">
        <f ca="1">IFERROR(__xludf.DUMMYFUNCTION("""COMPUTED_VALUE"""),"No")</f>
        <v>No</v>
      </c>
      <c r="AG1364" s="5" t="str">
        <f ca="1">IFERROR(__xludf.DUMMYFUNCTION("""COMPUTED_VALUE"""),"No")</f>
        <v>No</v>
      </c>
      <c r="AH1364" s="5"/>
    </row>
    <row r="1365" spans="1:34" ht="12.75">
      <c r="A1365" s="5" t="str">
        <f ca="1">IFERROR(__xludf.DUMMYFUNCTION("""COMPUTED_VALUE"""),"20021004TXPAS")</f>
        <v>20021004TXPAS</v>
      </c>
      <c r="B1365" s="8">
        <f ca="1">IFERROR(__xludf.DUMMYFUNCTION("""COMPUTED_VALUE"""),37533)</f>
        <v>37533</v>
      </c>
      <c r="C1365" s="5" t="str">
        <f ca="1">IFERROR(__xludf.DUMMYFUNCTION("""COMPUTED_VALUE"""),"Page Middle School")</f>
        <v>Page Middle School</v>
      </c>
      <c r="D1365" s="5">
        <f ca="1">IFERROR(__xludf.DUMMYFUNCTION("""COMPUTED_VALUE"""),0)</f>
        <v>0</v>
      </c>
      <c r="E1365" s="5">
        <f ca="1">IFERROR(__xludf.DUMMYFUNCTION("""COMPUTED_VALUE"""),0)</f>
        <v>0</v>
      </c>
      <c r="F1365" s="5">
        <f ca="1">IFERROR(__xludf.DUMMYFUNCTION("""COMPUTED_VALUE"""),0)</f>
        <v>0</v>
      </c>
      <c r="G1365" s="5">
        <f ca="1">IFERROR(__xludf.DUMMYFUNCTION("""COMPUTED_VALUE"""),1)</f>
        <v>1</v>
      </c>
      <c r="H1365" s="9" t="str">
        <f ca="1">IFERROR(__xludf.DUMMYFUNCTION("""COMPUTED_VALUE"""),"http://ssristories.drugawareness.org/archive/showa5f5.html?item=224")</f>
        <v>http://ssristories.drugawareness.org/archive/showa5f5.html?item=224</v>
      </c>
      <c r="I1365" s="5"/>
      <c r="J1365" s="5"/>
      <c r="K1365" s="5">
        <f ca="1">IFERROR(__xludf.DUMMYFUNCTION("""COMPUTED_VALUE"""),2)</f>
        <v>2</v>
      </c>
      <c r="L1365" s="5" t="str">
        <f ca="1">IFERROR(__xludf.DUMMYFUNCTION("""COMPUTED_VALUE"""),"Fall")</f>
        <v>Fall</v>
      </c>
      <c r="M1365" s="5" t="str">
        <f ca="1">IFERROR(__xludf.DUMMYFUNCTION("""COMPUTED_VALUE"""),"San Antonio")</f>
        <v>San Antonio</v>
      </c>
      <c r="N1365" s="5" t="str">
        <f ca="1">IFERROR(__xludf.DUMMYFUNCTION("""COMPUTED_VALUE"""),"TX")</f>
        <v>TX</v>
      </c>
      <c r="O1365" s="5" t="str">
        <f ca="1">IFERROR(__xludf.DUMMYFUNCTION("""COMPUTED_VALUE"""),"High")</f>
        <v>High</v>
      </c>
      <c r="P1365" s="5" t="str">
        <f ca="1">IFERROR(__xludf.DUMMYFUNCTION("""COMPUTED_VALUE"""),"Parking Lot")</f>
        <v>Parking Lot</v>
      </c>
      <c r="Q1365" s="5" t="str">
        <f ca="1">IFERROR(__xludf.DUMMYFUNCTION("""COMPUTED_VALUE"""),"Outside on School Property")</f>
        <v>Outside on School Property</v>
      </c>
      <c r="R1365" s="5" t="str">
        <f ca="1">IFERROR(__xludf.DUMMYFUNCTION("""COMPUTED_VALUE"""),"Yes")</f>
        <v>Yes</v>
      </c>
      <c r="S1365" s="5" t="str">
        <f ca="1">IFERROR(__xludf.DUMMYFUNCTION("""COMPUTED_VALUE"""),"School Start")</f>
        <v>School Start</v>
      </c>
      <c r="T1365" s="10">
        <f ca="1">IFERROR(__xludf.DUMMYFUNCTION("""COMPUTED_VALUE"""),0.34375)</f>
        <v>0.34375</v>
      </c>
      <c r="U1365" s="5">
        <f ca="1">IFERROR(__xludf.DUMMYFUNCTION("""COMPUTED_VALUE"""),1)</f>
        <v>1</v>
      </c>
      <c r="V1365" s="5" t="str">
        <f ca="1">IFERROR(__xludf.DUMMYFUNCTION("""COMPUTED_VALUE"""),"Shot herself in the school parking lot in front of other students")</f>
        <v>Shot herself in the school parking lot in front of other students</v>
      </c>
      <c r="W1365"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X1365" s="5" t="str">
        <f ca="1">IFERROR(__xludf.DUMMYFUNCTION("""COMPUTED_VALUE"""),"Suicide/Attempted")</f>
        <v>Suicide/Attempted</v>
      </c>
      <c r="Y1365" s="5" t="str">
        <f ca="1">IFERROR(__xludf.DUMMYFUNCTION("""COMPUTED_VALUE"""),"Victims Targeted")</f>
        <v>Victims Targeted</v>
      </c>
      <c r="Z1365" s="5" t="str">
        <f ca="1">IFERROR(__xludf.DUMMYFUNCTION("""COMPUTED_VALUE"""),"No")</f>
        <v>No</v>
      </c>
      <c r="AA1365" s="5"/>
      <c r="AB1365" s="5" t="str">
        <f ca="1">IFERROR(__xludf.DUMMYFUNCTION("""COMPUTED_VALUE"""),"No")</f>
        <v>No</v>
      </c>
      <c r="AC1365" s="5" t="str">
        <f ca="1">IFERROR(__xludf.DUMMYFUNCTION("""COMPUTED_VALUE"""),"No")</f>
        <v>No</v>
      </c>
      <c r="AD1365" s="5" t="str">
        <f ca="1">IFERROR(__xludf.DUMMYFUNCTION("""COMPUTED_VALUE"""),"No")</f>
        <v>No</v>
      </c>
      <c r="AE1365" s="5" t="str">
        <f ca="1">IFERROR(__xludf.DUMMYFUNCTION("""COMPUTED_VALUE"""),"Yes")</f>
        <v>Yes</v>
      </c>
      <c r="AF1365" s="5" t="str">
        <f ca="1">IFERROR(__xludf.DUMMYFUNCTION("""COMPUTED_VALUE"""),"No")</f>
        <v>No</v>
      </c>
      <c r="AG1365" s="5" t="str">
        <f ca="1">IFERROR(__xludf.DUMMYFUNCTION("""COMPUTED_VALUE"""),"No")</f>
        <v>No</v>
      </c>
      <c r="AH1365" s="5"/>
    </row>
    <row r="1366" spans="1:34" ht="12.75">
      <c r="A1366" s="5" t="str">
        <f ca="1">IFERROR(__xludf.DUMMYFUNCTION("""COMPUTED_VALUE"""),"20021004MTCMG")</f>
        <v>20021004MTCMG</v>
      </c>
      <c r="B1366" s="8">
        <f ca="1">IFERROR(__xludf.DUMMYFUNCTION("""COMPUTED_VALUE"""),37533)</f>
        <v>37533</v>
      </c>
      <c r="C1366" s="5" t="str">
        <f ca="1">IFERROR(__xludf.DUMMYFUNCTION("""COMPUTED_VALUE"""),"C M Russell HIgh School")</f>
        <v>C M Russell HIgh School</v>
      </c>
      <c r="D1366" s="5">
        <f ca="1">IFERROR(__xludf.DUMMYFUNCTION("""COMPUTED_VALUE"""),0)</f>
        <v>0</v>
      </c>
      <c r="E1366" s="5">
        <f ca="1">IFERROR(__xludf.DUMMYFUNCTION("""COMPUTED_VALUE"""),0)</f>
        <v>0</v>
      </c>
      <c r="F1366" s="5">
        <f ca="1">IFERROR(__xludf.DUMMYFUNCTION("""COMPUTED_VALUE"""),0)</f>
        <v>0</v>
      </c>
      <c r="G1366" s="5">
        <f ca="1">IFERROR(__xludf.DUMMYFUNCTION("""COMPUTED_VALUE"""),0)</f>
        <v>0</v>
      </c>
      <c r="H1366"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I1366" s="5"/>
      <c r="J1366" s="5"/>
      <c r="K1366" s="5">
        <f ca="1">IFERROR(__xludf.DUMMYFUNCTION("""COMPUTED_VALUE"""),3)</f>
        <v>3</v>
      </c>
      <c r="L1366" s="5" t="str">
        <f ca="1">IFERROR(__xludf.DUMMYFUNCTION("""COMPUTED_VALUE"""),"Fall")</f>
        <v>Fall</v>
      </c>
      <c r="M1366" s="5" t="str">
        <f ca="1">IFERROR(__xludf.DUMMYFUNCTION("""COMPUTED_VALUE"""),"Great Falls")</f>
        <v>Great Falls</v>
      </c>
      <c r="N1366" s="5" t="str">
        <f ca="1">IFERROR(__xludf.DUMMYFUNCTION("""COMPUTED_VALUE"""),"MT")</f>
        <v>MT</v>
      </c>
      <c r="O1366" s="5" t="str">
        <f ca="1">IFERROR(__xludf.DUMMYFUNCTION("""COMPUTED_VALUE"""),"High")</f>
        <v>High</v>
      </c>
      <c r="P1366" s="5" t="str">
        <f ca="1">IFERROR(__xludf.DUMMYFUNCTION("""COMPUTED_VALUE"""),"Parking Lot")</f>
        <v>Parking Lot</v>
      </c>
      <c r="Q1366" s="5" t="str">
        <f ca="1">IFERROR(__xludf.DUMMYFUNCTION("""COMPUTED_VALUE"""),"Outside on School Property")</f>
        <v>Outside on School Property</v>
      </c>
      <c r="R1366" s="5" t="str">
        <f ca="1">IFERROR(__xludf.DUMMYFUNCTION("""COMPUTED_VALUE"""),"Yes")</f>
        <v>Yes</v>
      </c>
      <c r="S1366" s="5" t="str">
        <f ca="1">IFERROR(__xludf.DUMMYFUNCTION("""COMPUTED_VALUE"""),"After School")</f>
        <v>After School</v>
      </c>
      <c r="T1366" s="10">
        <f ca="1">IFERROR(__xludf.DUMMYFUNCTION("""COMPUTED_VALUE"""),0.645833333333333)</f>
        <v>0.64583333333333304</v>
      </c>
      <c r="U1366" s="5">
        <f ca="1">IFERROR(__xludf.DUMMYFUNCTION("""COMPUTED_VALUE"""),1)</f>
        <v>1</v>
      </c>
      <c r="V1366" s="5" t="str">
        <f ca="1">IFERROR(__xludf.DUMMYFUNCTION("""COMPUTED_VALUE"""),"Gang related shooting in parking lot")</f>
        <v>Gang related shooting in parking lot</v>
      </c>
      <c r="W1366"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X1366" s="5" t="str">
        <f ca="1">IFERROR(__xludf.DUMMYFUNCTION("""COMPUTED_VALUE"""),"Drive-by Shooting")</f>
        <v>Drive-by Shooting</v>
      </c>
      <c r="Y1366" s="5" t="str">
        <f ca="1">IFERROR(__xludf.DUMMYFUNCTION("""COMPUTED_VALUE"""),"Victims Targeted")</f>
        <v>Victims Targeted</v>
      </c>
      <c r="Z1366" s="5" t="str">
        <f ca="1">IFERROR(__xludf.DUMMYFUNCTION("""COMPUTED_VALUE"""),"No")</f>
        <v>No</v>
      </c>
      <c r="AA1366" s="5"/>
      <c r="AB1366" s="5" t="str">
        <f ca="1">IFERROR(__xludf.DUMMYFUNCTION("""COMPUTED_VALUE"""),"No")</f>
        <v>No</v>
      </c>
      <c r="AC1366" s="5" t="str">
        <f ca="1">IFERROR(__xludf.DUMMYFUNCTION("""COMPUTED_VALUE"""),"No")</f>
        <v>No</v>
      </c>
      <c r="AD1366" s="5" t="str">
        <f ca="1">IFERROR(__xludf.DUMMYFUNCTION("""COMPUTED_VALUE"""),"No")</f>
        <v>No</v>
      </c>
      <c r="AE1366" s="5" t="str">
        <f ca="1">IFERROR(__xludf.DUMMYFUNCTION("""COMPUTED_VALUE"""),"No")</f>
        <v>No</v>
      </c>
      <c r="AF1366" s="5" t="str">
        <f ca="1">IFERROR(__xludf.DUMMYFUNCTION("""COMPUTED_VALUE"""),"No")</f>
        <v>No</v>
      </c>
      <c r="AG1366" s="5" t="str">
        <f ca="1">IFERROR(__xludf.DUMMYFUNCTION("""COMPUTED_VALUE"""),"Yes")</f>
        <v>Yes</v>
      </c>
      <c r="AH1366" s="5"/>
    </row>
    <row r="1367" spans="1:34" ht="12.75">
      <c r="A1367" s="5" t="str">
        <f ca="1">IFERROR(__xludf.DUMMYFUNCTION("""COMPUTED_VALUE"""),"20020426LAABN")</f>
        <v>20020426LAABN</v>
      </c>
      <c r="B1367" s="8">
        <f ca="1">IFERROR(__xludf.DUMMYFUNCTION("""COMPUTED_VALUE"""),37372)</f>
        <v>37372</v>
      </c>
      <c r="C1367" s="5" t="str">
        <f ca="1">IFERROR(__xludf.DUMMYFUNCTION("""COMPUTED_VALUE"""),"Abramson High School")</f>
        <v>Abramson High School</v>
      </c>
      <c r="D1367" s="5">
        <f ca="1">IFERROR(__xludf.DUMMYFUNCTION("""COMPUTED_VALUE"""),1)</f>
        <v>1</v>
      </c>
      <c r="E1367" s="5">
        <f ca="1">IFERROR(__xludf.DUMMYFUNCTION("""COMPUTED_VALUE"""),0)</f>
        <v>0</v>
      </c>
      <c r="F1367" s="5">
        <f ca="1">IFERROR(__xludf.DUMMYFUNCTION("""COMPUTED_VALUE"""),1)</f>
        <v>1</v>
      </c>
      <c r="G1367" s="5">
        <f ca="1">IFERROR(__xludf.DUMMYFUNCTION("""COMPUTED_VALUE"""),0)</f>
        <v>0</v>
      </c>
      <c r="H1367" s="9" t="str">
        <f ca="1">IFERROR(__xludf.DUMMYFUNCTION("""COMPUTED_VALUE"""),"https://www.newspapers.com/image/229238117/?terms=Toran%2BJoseph%2BRichard%2BAntoine%2Bschool%2Bdance")</f>
        <v>https://www.newspapers.com/image/229238117/?terms=Toran%2BJoseph%2BRichard%2BAntoine%2Bschool%2Bdance</v>
      </c>
      <c r="I1367" s="5"/>
      <c r="J1367" s="5"/>
      <c r="K1367" s="5">
        <f ca="1">IFERROR(__xludf.DUMMYFUNCTION("""COMPUTED_VALUE"""),2)</f>
        <v>2</v>
      </c>
      <c r="L1367" s="5" t="str">
        <f ca="1">IFERROR(__xludf.DUMMYFUNCTION("""COMPUTED_VALUE"""),"Spring")</f>
        <v>Spring</v>
      </c>
      <c r="M1367" s="5" t="str">
        <f ca="1">IFERROR(__xludf.DUMMYFUNCTION("""COMPUTED_VALUE"""),"New Orleans")</f>
        <v>New Orleans</v>
      </c>
      <c r="N1367" s="5" t="str">
        <f ca="1">IFERROR(__xludf.DUMMYFUNCTION("""COMPUTED_VALUE"""),"LA")</f>
        <v>LA</v>
      </c>
      <c r="O1367" s="5" t="str">
        <f ca="1">IFERROR(__xludf.DUMMYFUNCTION("""COMPUTED_VALUE"""),"High")</f>
        <v>High</v>
      </c>
      <c r="P1367" s="5" t="str">
        <f ca="1">IFERROR(__xludf.DUMMYFUNCTION("""COMPUTED_VALUE"""),"Beside Building")</f>
        <v>Beside Building</v>
      </c>
      <c r="Q1367" s="5" t="str">
        <f ca="1">IFERROR(__xludf.DUMMYFUNCTION("""COMPUTED_VALUE"""),"Outside on School Property")</f>
        <v>Outside on School Property</v>
      </c>
      <c r="R1367" s="5" t="str">
        <f ca="1">IFERROR(__xludf.DUMMYFUNCTION("""COMPUTED_VALUE"""),"No")</f>
        <v>No</v>
      </c>
      <c r="S1367" s="5" t="str">
        <f ca="1">IFERROR(__xludf.DUMMYFUNCTION("""COMPUTED_VALUE"""),"Evening")</f>
        <v>Evening</v>
      </c>
      <c r="T1367" s="10">
        <f ca="1">IFERROR(__xludf.DUMMYFUNCTION("""COMPUTED_VALUE"""),0.90625)</f>
        <v>0.90625</v>
      </c>
      <c r="U1367" s="5">
        <f ca="1">IFERROR(__xludf.DUMMYFUNCTION("""COMPUTED_VALUE"""),1)</f>
        <v>1</v>
      </c>
      <c r="V1367" s="5" t="str">
        <f ca="1">IFERROR(__xludf.DUMMYFUNCTION("""COMPUTED_VALUE"""),"Armed security guards playing quick draw game, gun went off killing one")</f>
        <v>Armed security guards playing quick draw game, gun went off killing one</v>
      </c>
      <c r="W1367"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X1367" s="5" t="str">
        <f ca="1">IFERROR(__xludf.DUMMYFUNCTION("""COMPUTED_VALUE"""),"Accidental")</f>
        <v>Accidental</v>
      </c>
      <c r="Y1367" s="5" t="str">
        <f ca="1">IFERROR(__xludf.DUMMYFUNCTION("""COMPUTED_VALUE"""),"Random Shooting")</f>
        <v>Random Shooting</v>
      </c>
      <c r="Z1367" s="5" t="str">
        <f ca="1">IFERROR(__xludf.DUMMYFUNCTION("""COMPUTED_VALUE"""),"No")</f>
        <v>No</v>
      </c>
      <c r="AA1367" s="5"/>
      <c r="AB1367" s="5" t="str">
        <f ca="1">IFERROR(__xludf.DUMMYFUNCTION("""COMPUTED_VALUE"""),"No")</f>
        <v>No</v>
      </c>
      <c r="AC1367" s="5" t="str">
        <f ca="1">IFERROR(__xludf.DUMMYFUNCTION("""COMPUTED_VALUE"""),"No")</f>
        <v>No</v>
      </c>
      <c r="AD1367" s="5" t="str">
        <f ca="1">IFERROR(__xludf.DUMMYFUNCTION("""COMPUTED_VALUE"""),"No")</f>
        <v>No</v>
      </c>
      <c r="AE1367" s="5" t="str">
        <f ca="1">IFERROR(__xludf.DUMMYFUNCTION("""COMPUTED_VALUE"""),"No")</f>
        <v>No</v>
      </c>
      <c r="AF1367" s="5" t="str">
        <f ca="1">IFERROR(__xludf.DUMMYFUNCTION("""COMPUTED_VALUE"""),"No")</f>
        <v>No</v>
      </c>
      <c r="AG1367" s="5" t="str">
        <f ca="1">IFERROR(__xludf.DUMMYFUNCTION("""COMPUTED_VALUE"""),"No")</f>
        <v>No</v>
      </c>
      <c r="AH1367" s="5"/>
    </row>
    <row r="1368" spans="1:34" ht="12.75">
      <c r="A1368" s="5" t="str">
        <f ca="1">IFERROR(__xludf.DUMMYFUNCTION("""COMPUTED_VALUE"""),"20020406MDLEB")</f>
        <v>20020406MDLEB</v>
      </c>
      <c r="B1368" s="8">
        <f ca="1">IFERROR(__xludf.DUMMYFUNCTION("""COMPUTED_VALUE"""),37352)</f>
        <v>37352</v>
      </c>
      <c r="C1368" s="5" t="str">
        <f ca="1">IFERROR(__xludf.DUMMYFUNCTION("""COMPUTED_VALUE"""),"Leith Walk Elementary School")</f>
        <v>Leith Walk Elementary School</v>
      </c>
      <c r="D1368" s="5">
        <f ca="1">IFERROR(__xludf.DUMMYFUNCTION("""COMPUTED_VALUE"""),1)</f>
        <v>1</v>
      </c>
      <c r="E1368" s="5">
        <f ca="1">IFERROR(__xludf.DUMMYFUNCTION("""COMPUTED_VALUE"""),0)</f>
        <v>0</v>
      </c>
      <c r="F1368" s="5">
        <f ca="1">IFERROR(__xludf.DUMMYFUNCTION("""COMPUTED_VALUE"""),1)</f>
        <v>1</v>
      </c>
      <c r="G1368" s="5">
        <f ca="1">IFERROR(__xludf.DUMMYFUNCTION("""COMPUTED_VALUE"""),0)</f>
        <v>0</v>
      </c>
      <c r="H1368"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I1368" s="5"/>
      <c r="J1368" s="5"/>
      <c r="K1368" s="5">
        <f ca="1">IFERROR(__xludf.DUMMYFUNCTION("""COMPUTED_VALUE"""),4)</f>
        <v>4</v>
      </c>
      <c r="L1368" s="5" t="str">
        <f ca="1">IFERROR(__xludf.DUMMYFUNCTION("""COMPUTED_VALUE"""),"Spring")</f>
        <v>Spring</v>
      </c>
      <c r="M1368" s="5" t="str">
        <f ca="1">IFERROR(__xludf.DUMMYFUNCTION("""COMPUTED_VALUE"""),"Baltimore")</f>
        <v>Baltimore</v>
      </c>
      <c r="N1368" s="5" t="str">
        <f ca="1">IFERROR(__xludf.DUMMYFUNCTION("""COMPUTED_VALUE"""),"MD")</f>
        <v>MD</v>
      </c>
      <c r="O1368" s="5" t="str">
        <f ca="1">IFERROR(__xludf.DUMMYFUNCTION("""COMPUTED_VALUE"""),"Elementary")</f>
        <v>Elementary</v>
      </c>
      <c r="P1368" s="5" t="str">
        <f ca="1">IFERROR(__xludf.DUMMYFUNCTION("""COMPUTED_VALUE"""),"Playground")</f>
        <v>Playground</v>
      </c>
      <c r="Q1368" s="5" t="str">
        <f ca="1">IFERROR(__xludf.DUMMYFUNCTION("""COMPUTED_VALUE"""),"Outside on School Property")</f>
        <v>Outside on School Property</v>
      </c>
      <c r="R1368" s="5" t="str">
        <f ca="1">IFERROR(__xludf.DUMMYFUNCTION("""COMPUTED_VALUE"""),"No")</f>
        <v>No</v>
      </c>
      <c r="S1368" s="5" t="str">
        <f ca="1">IFERROR(__xludf.DUMMYFUNCTION("""COMPUTED_VALUE"""),"Night")</f>
        <v>Night</v>
      </c>
      <c r="T1368" s="10">
        <f ca="1">IFERROR(__xludf.DUMMYFUNCTION("""COMPUTED_VALUE"""),0.0416666666666666)</f>
        <v>4.1666666666666602E-2</v>
      </c>
      <c r="U1368" s="5">
        <f ca="1">IFERROR(__xludf.DUMMYFUNCTION("""COMPUTED_VALUE"""),1)</f>
        <v>1</v>
      </c>
      <c r="V1368" s="5" t="str">
        <f ca="1">IFERROR(__xludf.DUMMYFUNCTION("""COMPUTED_VALUE"""),"Officer shot teen behind the school")</f>
        <v>Officer shot teen behind the school</v>
      </c>
      <c r="W1368"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X1368" s="5" t="str">
        <f ca="1">IFERROR(__xludf.DUMMYFUNCTION("""COMPUTED_VALUE"""),"Illegal Activity")</f>
        <v>Illegal Activity</v>
      </c>
      <c r="Y1368" s="5"/>
      <c r="Z1368" s="5" t="str">
        <f ca="1">IFERROR(__xludf.DUMMYFUNCTION("""COMPUTED_VALUE"""),"No")</f>
        <v>No</v>
      </c>
      <c r="AA1368" s="5"/>
      <c r="AB1368" s="5" t="str">
        <f ca="1">IFERROR(__xludf.DUMMYFUNCTION("""COMPUTED_VALUE"""),"No")</f>
        <v>No</v>
      </c>
      <c r="AC1368" s="5" t="str">
        <f ca="1">IFERROR(__xludf.DUMMYFUNCTION("""COMPUTED_VALUE"""),"No")</f>
        <v>No</v>
      </c>
      <c r="AD1368" s="5" t="str">
        <f ca="1">IFERROR(__xludf.DUMMYFUNCTION("""COMPUTED_VALUE"""),"Yes")</f>
        <v>Yes</v>
      </c>
      <c r="AE1368" s="5" t="str">
        <f ca="1">IFERROR(__xludf.DUMMYFUNCTION("""COMPUTED_VALUE"""),"N/A")</f>
        <v>N/A</v>
      </c>
      <c r="AF1368" s="5" t="str">
        <f ca="1">IFERROR(__xludf.DUMMYFUNCTION("""COMPUTED_VALUE"""),"N/A")</f>
        <v>N/A</v>
      </c>
      <c r="AG1368" s="5" t="str">
        <f ca="1">IFERROR(__xludf.DUMMYFUNCTION("""COMPUTED_VALUE"""),"N/A")</f>
        <v>N/A</v>
      </c>
      <c r="AH1368" s="5" t="str">
        <f ca="1">IFERROR(__xludf.DUMMYFUNCTION("""COMPUTED_VALUE"""),"N/A")</f>
        <v>N/A</v>
      </c>
    </row>
    <row r="1369" spans="1:34" ht="12.75">
      <c r="A1369" s="5" t="str">
        <f ca="1">IFERROR(__xludf.DUMMYFUNCTION("""COMPUTED_VALUE"""),"20020322CAJOC")</f>
        <v>20020322CAJOC</v>
      </c>
      <c r="B1369" s="8">
        <f ca="1">IFERROR(__xludf.DUMMYFUNCTION("""COMPUTED_VALUE"""),37337)</f>
        <v>37337</v>
      </c>
      <c r="C1369" s="5" t="str">
        <f ca="1">IFERROR(__xludf.DUMMYFUNCTION("""COMPUTED_VALUE"""),"John Barrett Middle School")</f>
        <v>John Barrett Middle School</v>
      </c>
      <c r="D1369" s="5">
        <f ca="1">IFERROR(__xludf.DUMMYFUNCTION("""COMPUTED_VALUE"""),0)</f>
        <v>0</v>
      </c>
      <c r="E1369" s="5">
        <f ca="1">IFERROR(__xludf.DUMMYFUNCTION("""COMPUTED_VALUE"""),0)</f>
        <v>0</v>
      </c>
      <c r="F1369" s="5">
        <f ca="1">IFERROR(__xludf.DUMMYFUNCTION("""COMPUTED_VALUE"""),0)</f>
        <v>0</v>
      </c>
      <c r="G1369" s="5">
        <f ca="1">IFERROR(__xludf.DUMMYFUNCTION("""COMPUTED_VALUE"""),0)</f>
        <v>0</v>
      </c>
      <c r="H1369" s="9" t="str">
        <f ca="1">IFERROR(__xludf.DUMMYFUNCTION("""COMPUTED_VALUE"""),"https://www.newspapers.com/image/4986183/")</f>
        <v>https://www.newspapers.com/image/4986183/</v>
      </c>
      <c r="I1369" s="5"/>
      <c r="J1369" s="5"/>
      <c r="K1369" s="5">
        <f ca="1">IFERROR(__xludf.DUMMYFUNCTION("""COMPUTED_VALUE"""),2)</f>
        <v>2</v>
      </c>
      <c r="L1369" s="5" t="str">
        <f ca="1">IFERROR(__xludf.DUMMYFUNCTION("""COMPUTED_VALUE"""),"Spring")</f>
        <v>Spring</v>
      </c>
      <c r="M1369" s="5" t="str">
        <f ca="1">IFERROR(__xludf.DUMMYFUNCTION("""COMPUTED_VALUE"""),"Carmichael")</f>
        <v>Carmichael</v>
      </c>
      <c r="N1369" s="5" t="str">
        <f ca="1">IFERROR(__xludf.DUMMYFUNCTION("""COMPUTED_VALUE"""),"CA")</f>
        <v>CA</v>
      </c>
      <c r="O1369" s="5" t="str">
        <f ca="1">IFERROR(__xludf.DUMMYFUNCTION("""COMPUTED_VALUE"""),"Middle")</f>
        <v>Middle</v>
      </c>
      <c r="P1369" s="5" t="str">
        <f ca="1">IFERROR(__xludf.DUMMYFUNCTION("""COMPUTED_VALUE"""),"Classroom")</f>
        <v>Classroom</v>
      </c>
      <c r="Q1369" s="5" t="str">
        <f ca="1">IFERROR(__xludf.DUMMYFUNCTION("""COMPUTED_VALUE"""),"Inside School Building")</f>
        <v>Inside School Building</v>
      </c>
      <c r="R1369" s="5" t="str">
        <f ca="1">IFERROR(__xludf.DUMMYFUNCTION("""COMPUTED_VALUE"""),"Yes")</f>
        <v>Yes</v>
      </c>
      <c r="S1369" s="5" t="str">
        <f ca="1">IFERROR(__xludf.DUMMYFUNCTION("""COMPUTED_VALUE"""),"Morning Classes")</f>
        <v>Morning Classes</v>
      </c>
      <c r="T1369" s="5"/>
      <c r="U1369" s="5"/>
      <c r="V1369" s="5" t="str">
        <f ca="1">IFERROR(__xludf.DUMMYFUNCTION("""COMPUTED_VALUE"""),"Student had list of 8 teachers to kill and 50 rounds of ammo, surrendered to police officer")</f>
        <v>Student had list of 8 teachers to kill and 50 rounds of ammo, surrendered to police officer</v>
      </c>
      <c r="W1369"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X1369" s="5" t="str">
        <f ca="1">IFERROR(__xludf.DUMMYFUNCTION("""COMPUTED_VALUE"""),"Hostage/Standoff")</f>
        <v>Hostage/Standoff</v>
      </c>
      <c r="Y1369" s="5" t="str">
        <f ca="1">IFERROR(__xludf.DUMMYFUNCTION("""COMPUTED_VALUE"""),"Victims Targeted")</f>
        <v>Victims Targeted</v>
      </c>
      <c r="Z1369" s="5" t="str">
        <f ca="1">IFERROR(__xludf.DUMMYFUNCTION("""COMPUTED_VALUE"""),"No")</f>
        <v>No</v>
      </c>
      <c r="AA1369" s="5"/>
      <c r="AB1369" s="5" t="str">
        <f ca="1">IFERROR(__xludf.DUMMYFUNCTION("""COMPUTED_VALUE"""),"Yes")</f>
        <v>Yes</v>
      </c>
      <c r="AC1369" s="5" t="str">
        <f ca="1">IFERROR(__xludf.DUMMYFUNCTION("""COMPUTED_VALUE"""),"No")</f>
        <v>No</v>
      </c>
      <c r="AD1369" s="5" t="str">
        <f ca="1">IFERROR(__xludf.DUMMYFUNCTION("""COMPUTED_VALUE"""),"No")</f>
        <v>No</v>
      </c>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IFERROR(__xludf.DUMMYFUNCTION("""COMPUTED_VALUE"""),"Yes")</f>
        <v>Yes</v>
      </c>
    </row>
    <row r="1370" spans="1:34" ht="12.75">
      <c r="A1370" s="5" t="str">
        <f ca="1">IFERROR(__xludf.DUMMYFUNCTION("""COMPUTED_VALUE"""),"20020207ILROC")</f>
        <v>20020207ILROC</v>
      </c>
      <c r="B1370" s="8">
        <f ca="1">IFERROR(__xludf.DUMMYFUNCTION("""COMPUTED_VALUE"""),37294)</f>
        <v>37294</v>
      </c>
      <c r="C1370" s="5" t="str">
        <f ca="1">IFERROR(__xludf.DUMMYFUNCTION("""COMPUTED_VALUE"""),"Roosevelt High School")</f>
        <v>Roosevelt High School</v>
      </c>
      <c r="D1370" s="5">
        <f ca="1">IFERROR(__xludf.DUMMYFUNCTION("""COMPUTED_VALUE"""),0)</f>
        <v>0</v>
      </c>
      <c r="E1370" s="5">
        <f ca="1">IFERROR(__xludf.DUMMYFUNCTION("""COMPUTED_VALUE"""),3)</f>
        <v>3</v>
      </c>
      <c r="F1370" s="5">
        <f ca="1">IFERROR(__xludf.DUMMYFUNCTION("""COMPUTED_VALUE"""),3)</f>
        <v>3</v>
      </c>
      <c r="G1370" s="5">
        <f ca="1">IFERROR(__xludf.DUMMYFUNCTION("""COMPUTED_VALUE"""),0)</f>
        <v>0</v>
      </c>
      <c r="H1370" s="9" t="str">
        <f ca="1">IFERROR(__xludf.DUMMYFUNCTION("""COMPUTED_VALUE"""),"https://www.newspapers.com/image/390065452/?terms=Roosevelt%2BHigh%2BSchool%2Bshooting%2BJose%2BVela")</f>
        <v>https://www.newspapers.com/image/390065452/?terms=Roosevelt%2BHigh%2BSchool%2Bshooting%2BJose%2BVela</v>
      </c>
      <c r="I1370" s="5"/>
      <c r="J1370" s="5"/>
      <c r="K1370" s="5">
        <f ca="1">IFERROR(__xludf.DUMMYFUNCTION("""COMPUTED_VALUE"""),2)</f>
        <v>2</v>
      </c>
      <c r="L1370" s="5" t="str">
        <f ca="1">IFERROR(__xludf.DUMMYFUNCTION("""COMPUTED_VALUE"""),"Winter")</f>
        <v>Winter</v>
      </c>
      <c r="M1370" s="5" t="str">
        <f ca="1">IFERROR(__xludf.DUMMYFUNCTION("""COMPUTED_VALUE"""),"Chicago")</f>
        <v>Chicago</v>
      </c>
      <c r="N1370" s="5" t="str">
        <f ca="1">IFERROR(__xludf.DUMMYFUNCTION("""COMPUTED_VALUE"""),"IL")</f>
        <v>IL</v>
      </c>
      <c r="O1370" s="5" t="str">
        <f ca="1">IFERROR(__xludf.DUMMYFUNCTION("""COMPUTED_VALUE"""),"High")</f>
        <v>High</v>
      </c>
      <c r="P1370" s="5" t="str">
        <f ca="1">IFERROR(__xludf.DUMMYFUNCTION("""COMPUTED_VALUE"""),"Beside Building")</f>
        <v>Beside Building</v>
      </c>
      <c r="Q1370" s="5" t="str">
        <f ca="1">IFERROR(__xludf.DUMMYFUNCTION("""COMPUTED_VALUE"""),"Outside on School Property")</f>
        <v>Outside on School Property</v>
      </c>
      <c r="R1370" s="5" t="str">
        <f ca="1">IFERROR(__xludf.DUMMYFUNCTION("""COMPUTED_VALUE"""),"Yes")</f>
        <v>Yes</v>
      </c>
      <c r="S1370" s="5" t="str">
        <f ca="1">IFERROR(__xludf.DUMMYFUNCTION("""COMPUTED_VALUE"""),"Dismissal")</f>
        <v>Dismissal</v>
      </c>
      <c r="T1370" s="10">
        <f ca="1">IFERROR(__xludf.DUMMYFUNCTION("""COMPUTED_VALUE"""),0.618055555555555)</f>
        <v>0.61805555555555503</v>
      </c>
      <c r="U1370" s="5">
        <f ca="1">IFERROR(__xludf.DUMMYFUNCTION("""COMPUTED_VALUE"""),1)</f>
        <v>1</v>
      </c>
      <c r="V1370" s="5" t="str">
        <f ca="1">IFERROR(__xludf.DUMMYFUNCTION("""COMPUTED_VALUE"""),"Fired during a fist fight striking 2 students who were not involved")</f>
        <v>Fired during a fist fight striking 2 students who were not involved</v>
      </c>
      <c r="W1370"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X1370" s="5" t="str">
        <f ca="1">IFERROR(__xludf.DUMMYFUNCTION("""COMPUTED_VALUE"""),"Escalation of Dispute")</f>
        <v>Escalation of Dispute</v>
      </c>
      <c r="Y1370" s="5" t="str">
        <f ca="1">IFERROR(__xludf.DUMMYFUNCTION("""COMPUTED_VALUE"""),"Both")</f>
        <v>Both</v>
      </c>
      <c r="Z1370" s="5" t="str">
        <f ca="1">IFERROR(__xludf.DUMMYFUNCTION("""COMPUTED_VALUE"""),"Yes")</f>
        <v>Yes</v>
      </c>
      <c r="AA1370" s="5" t="str">
        <f ca="1">IFERROR(__xludf.DUMMYFUNCTION("""COMPUTED_VALUE"""),"21YOM who initiated fight charged with battery with a firearm")</f>
        <v>21YOM who initiated fight charged with battery with a firearm</v>
      </c>
      <c r="AB1370" s="5" t="str">
        <f ca="1">IFERROR(__xludf.DUMMYFUNCTION("""COMPUTED_VALUE"""),"No")</f>
        <v>No</v>
      </c>
      <c r="AC1370" s="5" t="str">
        <f ca="1">IFERROR(__xludf.DUMMYFUNCTION("""COMPUTED_VALUE"""),"No")</f>
        <v>No</v>
      </c>
      <c r="AD1370" s="5" t="str">
        <f ca="1">IFERROR(__xludf.DUMMYFUNCTION("""COMPUTED_VALUE"""),"No")</f>
        <v>No</v>
      </c>
      <c r="AE1370" s="5" t="str">
        <f ca="1">IFERROR(__xludf.DUMMYFUNCTION("""COMPUTED_VALUE"""),"No")</f>
        <v>No</v>
      </c>
      <c r="AF1370" s="5" t="str">
        <f ca="1">IFERROR(__xludf.DUMMYFUNCTION("""COMPUTED_VALUE"""),"No")</f>
        <v>No</v>
      </c>
      <c r="AG1370" s="5" t="str">
        <f ca="1">IFERROR(__xludf.DUMMYFUNCTION("""COMPUTED_VALUE"""),"No")</f>
        <v>No</v>
      </c>
      <c r="AH1370" s="5"/>
    </row>
    <row r="1371" spans="1:34" ht="12.75">
      <c r="A1371" s="5" t="str">
        <f ca="1">IFERROR(__xludf.DUMMYFUNCTION("""COMPUTED_VALUE"""),"20020206CAGAL")</f>
        <v>20020206CAGAL</v>
      </c>
      <c r="B1371" s="8">
        <f ca="1">IFERROR(__xludf.DUMMYFUNCTION("""COMPUTED_VALUE"""),37293)</f>
        <v>37293</v>
      </c>
      <c r="C1371" s="5" t="str">
        <f ca="1">IFERROR(__xludf.DUMMYFUNCTION("""COMPUTED_VALUE"""),"Gardena High School")</f>
        <v>Gardena High School</v>
      </c>
      <c r="D1371" s="5">
        <f ca="1">IFERROR(__xludf.DUMMYFUNCTION("""COMPUTED_VALUE"""),0)</f>
        <v>0</v>
      </c>
      <c r="E1371" s="5">
        <f ca="1">IFERROR(__xludf.DUMMYFUNCTION("""COMPUTED_VALUE"""),2)</f>
        <v>2</v>
      </c>
      <c r="F1371" s="5">
        <f ca="1">IFERROR(__xludf.DUMMYFUNCTION("""COMPUTED_VALUE"""),2)</f>
        <v>2</v>
      </c>
      <c r="G1371" s="5">
        <f ca="1">IFERROR(__xludf.DUMMYFUNCTION("""COMPUTED_VALUE"""),0)</f>
        <v>0</v>
      </c>
      <c r="H1371" s="9" t="str">
        <f ca="1">IFERROR(__xludf.DUMMYFUNCTION("""COMPUTED_VALUE"""),"http://articles.latimes.com/2002/feb/07/local/me-shot7")</f>
        <v>http://articles.latimes.com/2002/feb/07/local/me-shot7</v>
      </c>
      <c r="I1371" s="5"/>
      <c r="J1371" s="5"/>
      <c r="K1371" s="5">
        <f ca="1">IFERROR(__xludf.DUMMYFUNCTION("""COMPUTED_VALUE"""),2)</f>
        <v>2</v>
      </c>
      <c r="L1371" s="5" t="str">
        <f ca="1">IFERROR(__xludf.DUMMYFUNCTION("""COMPUTED_VALUE"""),"Winter")</f>
        <v>Winter</v>
      </c>
      <c r="M1371" s="5" t="str">
        <f ca="1">IFERROR(__xludf.DUMMYFUNCTION("""COMPUTED_VALUE"""),"Los Angeles")</f>
        <v>Los Angeles</v>
      </c>
      <c r="N1371" s="5" t="str">
        <f ca="1">IFERROR(__xludf.DUMMYFUNCTION("""COMPUTED_VALUE"""),"CA")</f>
        <v>CA</v>
      </c>
      <c r="O1371" s="5" t="str">
        <f ca="1">IFERROR(__xludf.DUMMYFUNCTION("""COMPUTED_VALUE"""),"High")</f>
        <v>High</v>
      </c>
      <c r="P1371" s="5" t="str">
        <f ca="1">IFERROR(__xludf.DUMMYFUNCTION("""COMPUTED_VALUE"""),"Bathroom")</f>
        <v>Bathroom</v>
      </c>
      <c r="Q1371" s="5" t="str">
        <f ca="1">IFERROR(__xludf.DUMMYFUNCTION("""COMPUTED_VALUE"""),"Inside School Building")</f>
        <v>Inside School Building</v>
      </c>
      <c r="R1371" s="5" t="str">
        <f ca="1">IFERROR(__xludf.DUMMYFUNCTION("""COMPUTED_VALUE"""),"Yes")</f>
        <v>Yes</v>
      </c>
      <c r="S1371" s="5" t="str">
        <f ca="1">IFERROR(__xludf.DUMMYFUNCTION("""COMPUTED_VALUE"""),"Afternoon Classes")</f>
        <v>Afternoon Classes</v>
      </c>
      <c r="T1371" s="10">
        <f ca="1">IFERROR(__xludf.DUMMYFUNCTION("""COMPUTED_VALUE"""),0.618055555555555)</f>
        <v>0.61805555555555503</v>
      </c>
      <c r="U1371" s="5">
        <f ca="1">IFERROR(__xludf.DUMMYFUNCTION("""COMPUTED_VALUE"""),1)</f>
        <v>1</v>
      </c>
      <c r="V1371" s="5" t="str">
        <f ca="1">IFERROR(__xludf.DUMMYFUNCTION("""COMPUTED_VALUE"""),"Botched robbery in school hallway")</f>
        <v>Botched robbery in school hallway</v>
      </c>
      <c r="W1371"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X1371" s="5" t="str">
        <f ca="1">IFERROR(__xludf.DUMMYFUNCTION("""COMPUTED_VALUE"""),"Illegal Activity")</f>
        <v>Illegal Activity</v>
      </c>
      <c r="Y1371" s="5" t="str">
        <f ca="1">IFERROR(__xludf.DUMMYFUNCTION("""COMPUTED_VALUE"""),"Victims Targeted")</f>
        <v>Victims Targeted</v>
      </c>
      <c r="Z1371" s="5" t="str">
        <f ca="1">IFERROR(__xludf.DUMMYFUNCTION("""COMPUTED_VALUE"""),"Yes")</f>
        <v>Yes</v>
      </c>
      <c r="AA1371" s="5" t="str">
        <f ca="1">IFERROR(__xludf.DUMMYFUNCTION("""COMPUTED_VALUE"""),"2 other teens with shooter involved in robbery")</f>
        <v>2 other teens with shooter involved in robbery</v>
      </c>
      <c r="AB1371" s="5" t="str">
        <f ca="1">IFERROR(__xludf.DUMMYFUNCTION("""COMPUTED_VALUE"""),"No")</f>
        <v>No</v>
      </c>
      <c r="AC1371" s="5" t="str">
        <f ca="1">IFERROR(__xludf.DUMMYFUNCTION("""COMPUTED_VALUE"""),"No")</f>
        <v>No</v>
      </c>
      <c r="AD1371" s="5" t="str">
        <f ca="1">IFERROR(__xludf.DUMMYFUNCTION("""COMPUTED_VALUE"""),"No")</f>
        <v>No</v>
      </c>
      <c r="AE1371" s="5" t="str">
        <f ca="1">IFERROR(__xludf.DUMMYFUNCTION("""COMPUTED_VALUE"""),"No")</f>
        <v>No</v>
      </c>
      <c r="AF1371" s="5" t="str">
        <f ca="1">IFERROR(__xludf.DUMMYFUNCTION("""COMPUTED_VALUE"""),"No")</f>
        <v>No</v>
      </c>
      <c r="AG1371" s="5" t="str">
        <f ca="1">IFERROR(__xludf.DUMMYFUNCTION("""COMPUTED_VALUE"""),"No")</f>
        <v>No</v>
      </c>
      <c r="AH1371" s="5"/>
    </row>
    <row r="1372" spans="1:34" ht="12.75">
      <c r="A1372" s="5" t="str">
        <f ca="1">IFERROR(__xludf.DUMMYFUNCTION("""COMPUTED_VALUE"""),"20020201TXBRB")</f>
        <v>20020201TXBRB</v>
      </c>
      <c r="B1372" s="8">
        <f ca="1">IFERROR(__xludf.DUMMYFUNCTION("""COMPUTED_VALUE"""),37288)</f>
        <v>37288</v>
      </c>
      <c r="C1372" s="5" t="str">
        <f ca="1">IFERROR(__xludf.DUMMYFUNCTION("""COMPUTED_VALUE"""),"Brock High School")</f>
        <v>Brock High School</v>
      </c>
      <c r="D1372" s="5">
        <f ca="1">IFERROR(__xludf.DUMMYFUNCTION("""COMPUTED_VALUE"""),0)</f>
        <v>0</v>
      </c>
      <c r="E1372" s="5">
        <f ca="1">IFERROR(__xludf.DUMMYFUNCTION("""COMPUTED_VALUE"""),2)</f>
        <v>2</v>
      </c>
      <c r="F1372" s="5">
        <f ca="1">IFERROR(__xludf.DUMMYFUNCTION("""COMPUTED_VALUE"""),2)</f>
        <v>2</v>
      </c>
      <c r="G1372" s="5">
        <f ca="1">IFERROR(__xludf.DUMMYFUNCTION("""COMPUTED_VALUE"""),0)</f>
        <v>0</v>
      </c>
      <c r="H1372" s="9" t="str">
        <f ca="1">IFERROR(__xludf.DUMMYFUNCTION("""COMPUTED_VALUE"""),"https://www.newspapers.com/image/434313780/?terms=thomas%2Bmcadams%2Barrested")</f>
        <v>https://www.newspapers.com/image/434313780/?terms=thomas%2Bmcadams%2Barrested</v>
      </c>
      <c r="I1372" s="5"/>
      <c r="J1372" s="5"/>
      <c r="K1372" s="5">
        <f ca="1">IFERROR(__xludf.DUMMYFUNCTION("""COMPUTED_VALUE"""),2)</f>
        <v>2</v>
      </c>
      <c r="L1372" s="5" t="str">
        <f ca="1">IFERROR(__xludf.DUMMYFUNCTION("""COMPUTED_VALUE"""),"Winter")</f>
        <v>Winter</v>
      </c>
      <c r="M1372" s="5" t="str">
        <f ca="1">IFERROR(__xludf.DUMMYFUNCTION("""COMPUTED_VALUE"""),"Brock")</f>
        <v>Brock</v>
      </c>
      <c r="N1372" s="5" t="str">
        <f ca="1">IFERROR(__xludf.DUMMYFUNCTION("""COMPUTED_VALUE"""),"TX")</f>
        <v>TX</v>
      </c>
      <c r="O1372" s="5" t="str">
        <f ca="1">IFERROR(__xludf.DUMMYFUNCTION("""COMPUTED_VALUE"""),"High")</f>
        <v>High</v>
      </c>
      <c r="P1372" s="5" t="str">
        <f ca="1">IFERROR(__xludf.DUMMYFUNCTION("""COMPUTED_VALUE"""),"Parking Lot")</f>
        <v>Parking Lot</v>
      </c>
      <c r="Q1372" s="5" t="str">
        <f ca="1">IFERROR(__xludf.DUMMYFUNCTION("""COMPUTED_VALUE"""),"Outside on School Property")</f>
        <v>Outside on School Property</v>
      </c>
      <c r="R1372" s="5" t="str">
        <f ca="1">IFERROR(__xludf.DUMMYFUNCTION("""COMPUTED_VALUE"""),"No")</f>
        <v>No</v>
      </c>
      <c r="S1372" s="5" t="str">
        <f ca="1">IFERROR(__xludf.DUMMYFUNCTION("""COMPUTED_VALUE"""),"After School")</f>
        <v>After School</v>
      </c>
      <c r="T1372" s="5"/>
      <c r="U1372" s="5"/>
      <c r="V1372" s="5" t="str">
        <f ca="1">IFERROR(__xludf.DUMMYFUNCTION("""COMPUTED_VALUE"""),"Man having affair with basketball coach's wife, attacked them in school parking lot")</f>
        <v>Man having affair with basketball coach's wife, attacked them in school parking lot</v>
      </c>
      <c r="W1372"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X1372" s="5" t="str">
        <f ca="1">IFERROR(__xludf.DUMMYFUNCTION("""COMPUTED_VALUE"""),"Domestic w/ Targeted Victim")</f>
        <v>Domestic w/ Targeted Victim</v>
      </c>
      <c r="Y1372" s="5" t="str">
        <f ca="1">IFERROR(__xludf.DUMMYFUNCTION("""COMPUTED_VALUE"""),"Victims Targeted")</f>
        <v>Victims Targeted</v>
      </c>
      <c r="Z1372" s="5" t="str">
        <f ca="1">IFERROR(__xludf.DUMMYFUNCTION("""COMPUTED_VALUE"""),"No")</f>
        <v>No</v>
      </c>
      <c r="AA1372" s="5"/>
      <c r="AB1372" s="5" t="str">
        <f ca="1">IFERROR(__xludf.DUMMYFUNCTION("""COMPUTED_VALUE"""),"No")</f>
        <v>No</v>
      </c>
      <c r="AC1372" s="5" t="str">
        <f ca="1">IFERROR(__xludf.DUMMYFUNCTION("""COMPUTED_VALUE"""),"No")</f>
        <v>No</v>
      </c>
      <c r="AD1372" s="5" t="str">
        <f ca="1">IFERROR(__xludf.DUMMYFUNCTION("""COMPUTED_VALUE"""),"No")</f>
        <v>No</v>
      </c>
      <c r="AE1372" s="5" t="str">
        <f ca="1">IFERROR(__xludf.DUMMYFUNCTION("""COMPUTED_VALUE"""),"No")</f>
        <v>No</v>
      </c>
      <c r="AF1372" s="5" t="str">
        <f ca="1">IFERROR(__xludf.DUMMYFUNCTION("""COMPUTED_VALUE"""),"Yes")</f>
        <v>Yes</v>
      </c>
      <c r="AG1372" s="5" t="str">
        <f ca="1">IFERROR(__xludf.DUMMYFUNCTION("""COMPUTED_VALUE"""),"No")</f>
        <v>No</v>
      </c>
      <c r="AH1372" s="5"/>
    </row>
    <row r="1373" spans="1:34" ht="12.75">
      <c r="A1373" s="5" t="str">
        <f ca="1">IFERROR(__xludf.DUMMYFUNCTION("""COMPUTED_VALUE"""),"20020124PAOLO")</f>
        <v>20020124PAOLO</v>
      </c>
      <c r="B1373" s="8">
        <f ca="1">IFERROR(__xludf.DUMMYFUNCTION("""COMPUTED_VALUE"""),37280)</f>
        <v>37280</v>
      </c>
      <c r="C1373" s="5" t="str">
        <f ca="1">IFERROR(__xludf.DUMMYFUNCTION("""COMPUTED_VALUE"""),"Oley High School (bus)")</f>
        <v>Oley High School (bus)</v>
      </c>
      <c r="D1373" s="5">
        <f ca="1">IFERROR(__xludf.DUMMYFUNCTION("""COMPUTED_VALUE"""),0)</f>
        <v>0</v>
      </c>
      <c r="E1373" s="5">
        <f ca="1">IFERROR(__xludf.DUMMYFUNCTION("""COMPUTED_VALUE"""),0)</f>
        <v>0</v>
      </c>
      <c r="F1373" s="5">
        <f ca="1">IFERROR(__xludf.DUMMYFUNCTION("""COMPUTED_VALUE"""),0)</f>
        <v>0</v>
      </c>
      <c r="G1373" s="5">
        <f ca="1">IFERROR(__xludf.DUMMYFUNCTION("""COMPUTED_VALUE"""),0)</f>
        <v>0</v>
      </c>
      <c r="H1373" s="9" t="str">
        <f ca="1">IFERROR(__xludf.DUMMYFUNCTION("""COMPUTED_VALUE"""),"http://articles.mcall.com/2003-09-24/news/3482461_1_berks-christian-school-otto-nuss-bus-driver")</f>
        <v>http://articles.mcall.com/2003-09-24/news/3482461_1_berks-christian-school-otto-nuss-bus-driver</v>
      </c>
      <c r="I1373" s="5"/>
      <c r="J1373" s="5"/>
      <c r="K1373" s="5">
        <f ca="1">IFERROR(__xludf.DUMMYFUNCTION("""COMPUTED_VALUE"""),2)</f>
        <v>2</v>
      </c>
      <c r="L1373" s="5" t="str">
        <f ca="1">IFERROR(__xludf.DUMMYFUNCTION("""COMPUTED_VALUE"""),"Winter")</f>
        <v>Winter</v>
      </c>
      <c r="M1373" s="5" t="str">
        <f ca="1">IFERROR(__xludf.DUMMYFUNCTION("""COMPUTED_VALUE"""),"Oley")</f>
        <v>Oley</v>
      </c>
      <c r="N1373" s="5" t="str">
        <f ca="1">IFERROR(__xludf.DUMMYFUNCTION("""COMPUTED_VALUE"""),"PA")</f>
        <v>PA</v>
      </c>
      <c r="O1373" s="5" t="str">
        <f ca="1">IFERROR(__xludf.DUMMYFUNCTION("""COMPUTED_VALUE"""),"High")</f>
        <v>High</v>
      </c>
      <c r="P1373" s="5" t="str">
        <f ca="1">IFERROR(__xludf.DUMMYFUNCTION("""COMPUTED_VALUE"""),"School Bus")</f>
        <v>School Bus</v>
      </c>
      <c r="Q1373" s="5" t="str">
        <f ca="1">IFERROR(__xludf.DUMMYFUNCTION("""COMPUTED_VALUE"""),"School Bus")</f>
        <v>School Bus</v>
      </c>
      <c r="R1373" s="5" t="str">
        <f ca="1">IFERROR(__xludf.DUMMYFUNCTION("""COMPUTED_VALUE"""),"Yes")</f>
        <v>Yes</v>
      </c>
      <c r="S1373" s="5" t="str">
        <f ca="1">IFERROR(__xludf.DUMMYFUNCTION("""COMPUTED_VALUE"""),"Before School")</f>
        <v>Before School</v>
      </c>
      <c r="T1373" s="5"/>
      <c r="U1373" s="5">
        <f ca="1">IFERROR(__xludf.DUMMYFUNCTION("""COMPUTED_VALUE"""),360)</f>
        <v>360</v>
      </c>
      <c r="V1373" s="5" t="str">
        <f ca="1">IFERROR(__xludf.DUMMYFUNCTION("""COMPUTED_VALUE"""),"Bus driver with rifle kidnapped 13 students and drove them 150 miles to area near Washington, DC")</f>
        <v>Bus driver with rifle kidnapped 13 students and drove them 150 miles to area near Washington, DC</v>
      </c>
      <c r="W1373"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X1373" s="5" t="str">
        <f ca="1">IFERROR(__xludf.DUMMYFUNCTION("""COMPUTED_VALUE"""),"Hostage/Standoff")</f>
        <v>Hostage/Standoff</v>
      </c>
      <c r="Y1373" s="5" t="str">
        <f ca="1">IFERROR(__xludf.DUMMYFUNCTION("""COMPUTED_VALUE"""),"Neither")</f>
        <v>Neither</v>
      </c>
      <c r="Z1373" s="5" t="str">
        <f ca="1">IFERROR(__xludf.DUMMYFUNCTION("""COMPUTED_VALUE"""),"No")</f>
        <v>No</v>
      </c>
      <c r="AA1373" s="5"/>
      <c r="AB1373" s="5" t="str">
        <f ca="1">IFERROR(__xludf.DUMMYFUNCTION("""COMPUTED_VALUE"""),"Yes")</f>
        <v>Yes</v>
      </c>
      <c r="AC1373" s="5" t="str">
        <f ca="1">IFERROR(__xludf.DUMMYFUNCTION("""COMPUTED_VALUE"""),"No")</f>
        <v>No</v>
      </c>
      <c r="AD1373" s="5" t="str">
        <f ca="1">IFERROR(__xludf.DUMMYFUNCTION("""COMPUTED_VALUE"""),"No")</f>
        <v>No</v>
      </c>
      <c r="AE1373" s="5" t="str">
        <f ca="1">IFERROR(__xludf.DUMMYFUNCTION("""COMPUTED_VALUE"""),"No")</f>
        <v>No</v>
      </c>
      <c r="AF1373" s="5" t="str">
        <f ca="1">IFERROR(__xludf.DUMMYFUNCTION("""COMPUTED_VALUE"""),"No")</f>
        <v>No</v>
      </c>
      <c r="AG1373" s="5" t="str">
        <f ca="1">IFERROR(__xludf.DUMMYFUNCTION("""COMPUTED_VALUE"""),"No")</f>
        <v>No</v>
      </c>
      <c r="AH1373" s="5"/>
    </row>
    <row r="1374" spans="1:34" ht="12.75">
      <c r="A1374" s="5" t="str">
        <f ca="1">IFERROR(__xludf.DUMMYFUNCTION("""COMPUTED_VALUE"""),"20020115NYMAN")</f>
        <v>20020115NYMAN</v>
      </c>
      <c r="B1374" s="8">
        <f ca="1">IFERROR(__xludf.DUMMYFUNCTION("""COMPUTED_VALUE"""),37271)</f>
        <v>37271</v>
      </c>
      <c r="C1374" s="5" t="str">
        <f ca="1">IFERROR(__xludf.DUMMYFUNCTION("""COMPUTED_VALUE"""),"Martin Luther King, Jr. High School")</f>
        <v>Martin Luther King, Jr. High School</v>
      </c>
      <c r="D1374" s="5">
        <f ca="1">IFERROR(__xludf.DUMMYFUNCTION("""COMPUTED_VALUE"""),0)</f>
        <v>0</v>
      </c>
      <c r="E1374" s="5">
        <f ca="1">IFERROR(__xludf.DUMMYFUNCTION("""COMPUTED_VALUE"""),2)</f>
        <v>2</v>
      </c>
      <c r="F1374" s="5">
        <f ca="1">IFERROR(__xludf.DUMMYFUNCTION("""COMPUTED_VALUE"""),2)</f>
        <v>2</v>
      </c>
      <c r="G1374" s="5">
        <f ca="1">IFERROR(__xludf.DUMMYFUNCTION("""COMPUTED_VALUE"""),0)</f>
        <v>0</v>
      </c>
      <c r="H1374" s="9" t="str">
        <f ca="1">IFERROR(__xludf.DUMMYFUNCTION("""COMPUTED_VALUE"""),"https://www.cbsnews.com/news/arrest-in-nyc-school-shooting/")</f>
        <v>https://www.cbsnews.com/news/arrest-in-nyc-school-shooting/</v>
      </c>
      <c r="I1374" s="5"/>
      <c r="J1374" s="5"/>
      <c r="K1374" s="5">
        <f ca="1">IFERROR(__xludf.DUMMYFUNCTION("""COMPUTED_VALUE"""),2)</f>
        <v>2</v>
      </c>
      <c r="L1374" s="5" t="str">
        <f ca="1">IFERROR(__xludf.DUMMYFUNCTION("""COMPUTED_VALUE"""),"Winter")</f>
        <v>Winter</v>
      </c>
      <c r="M1374" s="5" t="str">
        <f ca="1">IFERROR(__xludf.DUMMYFUNCTION("""COMPUTED_VALUE"""),"New York")</f>
        <v>New York</v>
      </c>
      <c r="N1374" s="5" t="str">
        <f ca="1">IFERROR(__xludf.DUMMYFUNCTION("""COMPUTED_VALUE"""),"NY")</f>
        <v>NY</v>
      </c>
      <c r="O1374" s="5" t="str">
        <f ca="1">IFERROR(__xludf.DUMMYFUNCTION("""COMPUTED_VALUE"""),"High")</f>
        <v>High</v>
      </c>
      <c r="P1374" s="5" t="str">
        <f ca="1">IFERROR(__xludf.DUMMYFUNCTION("""COMPUTED_VALUE"""),"Hallway")</f>
        <v>Hallway</v>
      </c>
      <c r="Q1374" s="5" t="str">
        <f ca="1">IFERROR(__xludf.DUMMYFUNCTION("""COMPUTED_VALUE"""),"Inside School Building")</f>
        <v>Inside School Building</v>
      </c>
      <c r="R1374" s="5" t="str">
        <f ca="1">IFERROR(__xludf.DUMMYFUNCTION("""COMPUTED_VALUE"""),"Yes")</f>
        <v>Yes</v>
      </c>
      <c r="S1374" s="5" t="str">
        <f ca="1">IFERROR(__xludf.DUMMYFUNCTION("""COMPUTED_VALUE"""),"Afternoon Classes")</f>
        <v>Afternoon Classes</v>
      </c>
      <c r="T1374" s="10">
        <f ca="1">IFERROR(__xludf.DUMMYFUNCTION("""COMPUTED_VALUE"""),0.583333333333333)</f>
        <v>0.58333333333333304</v>
      </c>
      <c r="U1374" s="5">
        <f ca="1">IFERROR(__xludf.DUMMYFUNCTION("""COMPUTED_VALUE"""),1)</f>
        <v>1</v>
      </c>
      <c r="V1374" s="5" t="str">
        <f ca="1">IFERROR(__xludf.DUMMYFUNCTION("""COMPUTED_VALUE"""),"Two boys teased a girl and pulled a bandana (gang colors) off her head; shot by her boyfriend")</f>
        <v>Two boys teased a girl and pulled a bandana (gang colors) off her head; shot by her boyfriend</v>
      </c>
      <c r="W1374"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X1374" s="5" t="str">
        <f ca="1">IFERROR(__xludf.DUMMYFUNCTION("""COMPUTED_VALUE"""),"Escalation of Dispute")</f>
        <v>Escalation of Dispute</v>
      </c>
      <c r="Y1374" s="5" t="str">
        <f ca="1">IFERROR(__xludf.DUMMYFUNCTION("""COMPUTED_VALUE"""),"Victims Targeted")</f>
        <v>Victims Targeted</v>
      </c>
      <c r="Z1374" s="5" t="str">
        <f ca="1">IFERROR(__xludf.DUMMYFUNCTION("""COMPUTED_VALUE"""),"No")</f>
        <v>No</v>
      </c>
      <c r="AA1374" s="5"/>
      <c r="AB1374" s="5" t="str">
        <f ca="1">IFERROR(__xludf.DUMMYFUNCTION("""COMPUTED_VALUE"""),"No")</f>
        <v>No</v>
      </c>
      <c r="AC1374" s="5" t="str">
        <f ca="1">IFERROR(__xludf.DUMMYFUNCTION("""COMPUTED_VALUE"""),"No")</f>
        <v>No</v>
      </c>
      <c r="AD1374" s="5" t="str">
        <f ca="1">IFERROR(__xludf.DUMMYFUNCTION("""COMPUTED_VALUE"""),"No")</f>
        <v>No</v>
      </c>
      <c r="AE1374" s="5" t="str">
        <f ca="1">IFERROR(__xludf.DUMMYFUNCTION("""COMPUTED_VALUE"""),"Yes")</f>
        <v>Yes</v>
      </c>
      <c r="AF1374" s="5" t="str">
        <f ca="1">IFERROR(__xludf.DUMMYFUNCTION("""COMPUTED_VALUE"""),"No")</f>
        <v>No</v>
      </c>
      <c r="AG1374" s="5" t="str">
        <f ca="1">IFERROR(__xludf.DUMMYFUNCTION("""COMPUTED_VALUE"""),"Yes")</f>
        <v>Yes</v>
      </c>
      <c r="AH1374" s="5"/>
    </row>
    <row r="1375" spans="1:34" ht="12.75">
      <c r="A1375" s="5" t="str">
        <f ca="1">IFERROR(__xludf.DUMMYFUNCTION("""COMPUTED_VALUE"""),"20020111MSRAJ")</f>
        <v>20020111MSRAJ</v>
      </c>
      <c r="B1375" s="8">
        <f ca="1">IFERROR(__xludf.DUMMYFUNCTION("""COMPUTED_VALUE"""),37267)</f>
        <v>37267</v>
      </c>
      <c r="C1375" s="5" t="str">
        <f ca="1">IFERROR(__xludf.DUMMYFUNCTION("""COMPUTED_VALUE"""),"Raymond High School")</f>
        <v>Raymond High School</v>
      </c>
      <c r="D1375" s="5">
        <f ca="1">IFERROR(__xludf.DUMMYFUNCTION("""COMPUTED_VALUE"""),0)</f>
        <v>0</v>
      </c>
      <c r="E1375" s="5">
        <f ca="1">IFERROR(__xludf.DUMMYFUNCTION("""COMPUTED_VALUE"""),0)</f>
        <v>0</v>
      </c>
      <c r="F1375" s="5">
        <f ca="1">IFERROR(__xludf.DUMMYFUNCTION("""COMPUTED_VALUE"""),0)</f>
        <v>0</v>
      </c>
      <c r="G1375" s="5">
        <f ca="1">IFERROR(__xludf.DUMMYFUNCTION("""COMPUTED_VALUE"""),0)</f>
        <v>0</v>
      </c>
      <c r="H1375"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I1375" s="5">
        <f ca="1">IFERROR(__xludf.DUMMYFUNCTION("""COMPUTED_VALUE"""),1)</f>
        <v>1</v>
      </c>
      <c r="J1375" s="5" t="str">
        <f ca="1">IFERROR(__xludf.DUMMYFUNCTION("""COMPUTED_VALUE"""),"Local")</f>
        <v>Local</v>
      </c>
      <c r="K1375" s="5">
        <f ca="1">IFERROR(__xludf.DUMMYFUNCTION("""COMPUTED_VALUE"""),4)</f>
        <v>4</v>
      </c>
      <c r="L1375" s="5" t="str">
        <f ca="1">IFERROR(__xludf.DUMMYFUNCTION("""COMPUTED_VALUE"""),"Winter")</f>
        <v>Winter</v>
      </c>
      <c r="M1375" s="5" t="str">
        <f ca="1">IFERROR(__xludf.DUMMYFUNCTION("""COMPUTED_VALUE"""),"Jackson")</f>
        <v>Jackson</v>
      </c>
      <c r="N1375" s="5" t="str">
        <f ca="1">IFERROR(__xludf.DUMMYFUNCTION("""COMPUTED_VALUE"""),"MS")</f>
        <v>MS</v>
      </c>
      <c r="O1375" s="5" t="str">
        <f ca="1">IFERROR(__xludf.DUMMYFUNCTION("""COMPUTED_VALUE"""),"High")</f>
        <v>High</v>
      </c>
      <c r="P1375" s="5" t="str">
        <f ca="1">IFERROR(__xludf.DUMMYFUNCTION("""COMPUTED_VALUE"""),"Office")</f>
        <v>Office</v>
      </c>
      <c r="Q1375" s="5" t="str">
        <f ca="1">IFERROR(__xludf.DUMMYFUNCTION("""COMPUTED_VALUE"""),"Inside School Building")</f>
        <v>Inside School Building</v>
      </c>
      <c r="R1375" s="5" t="str">
        <f ca="1">IFERROR(__xludf.DUMMYFUNCTION("""COMPUTED_VALUE"""),"Yes")</f>
        <v>Yes</v>
      </c>
      <c r="S1375" s="5" t="str">
        <f ca="1">IFERROR(__xludf.DUMMYFUNCTION("""COMPUTED_VALUE"""),"Lunch")</f>
        <v>Lunch</v>
      </c>
      <c r="T1375" s="10">
        <f ca="1">IFERROR(__xludf.DUMMYFUNCTION("""COMPUTED_VALUE"""),0.5)</f>
        <v>0.5</v>
      </c>
      <c r="U1375" s="5">
        <f ca="1">IFERROR(__xludf.DUMMYFUNCTION("""COMPUTED_VALUE"""),240)</f>
        <v>240</v>
      </c>
      <c r="V1375" s="5" t="str">
        <f ca="1">IFERROR(__xludf.DUMMYFUNCTION("""COMPUTED_VALUE"""),"Made threats about school shooting, suspended, took principal hostage next day")</f>
        <v>Made threats about school shooting, suspended, took principal hostage next day</v>
      </c>
      <c r="W1375"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X1375" s="5" t="str">
        <f ca="1">IFERROR(__xludf.DUMMYFUNCTION("""COMPUTED_VALUE"""),"Hostage/Standoff")</f>
        <v>Hostage/Standoff</v>
      </c>
      <c r="Y1375" s="5" t="str">
        <f ca="1">IFERROR(__xludf.DUMMYFUNCTION("""COMPUTED_VALUE"""),"Victims Targeted")</f>
        <v>Victims Targeted</v>
      </c>
      <c r="Z1375" s="5" t="str">
        <f ca="1">IFERROR(__xludf.DUMMYFUNCTION("""COMPUTED_VALUE"""),"No")</f>
        <v>No</v>
      </c>
      <c r="AA1375" s="5"/>
      <c r="AB1375" s="5" t="str">
        <f ca="1">IFERROR(__xludf.DUMMYFUNCTION("""COMPUTED_VALUE"""),"Yes")</f>
        <v>Yes</v>
      </c>
      <c r="AC1375" s="5" t="str">
        <f ca="1">IFERROR(__xludf.DUMMYFUNCTION("""COMPUTED_VALUE"""),"Yes")</f>
        <v>Yes</v>
      </c>
      <c r="AD1375" s="5" t="str">
        <f ca="1">IFERROR(__xludf.DUMMYFUNCTION("""COMPUTED_VALUE"""),"No")</f>
        <v>No</v>
      </c>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IFERROR(__xludf.DUMMYFUNCTION("""COMPUTED_VALUE"""),"Yes")</f>
        <v>Yes</v>
      </c>
    </row>
    <row r="1376" spans="1:34" ht="12.75">
      <c r="A1376" s="5" t="str">
        <f ca="1">IFERROR(__xludf.DUMMYFUNCTION("""COMPUTED_VALUE"""),"20011130TXFRF")</f>
        <v>20011130TXFRF</v>
      </c>
      <c r="B1376" s="8">
        <f ca="1">IFERROR(__xludf.DUMMYFUNCTION("""COMPUTED_VALUE"""),37225)</f>
        <v>37225</v>
      </c>
      <c r="C1376" s="5" t="str">
        <f ca="1">IFERROR(__xludf.DUMMYFUNCTION("""COMPUTED_VALUE"""),"Friendswood Junior High School")</f>
        <v>Friendswood Junior High School</v>
      </c>
      <c r="D1376" s="5">
        <f ca="1">IFERROR(__xludf.DUMMYFUNCTION("""COMPUTED_VALUE"""),0)</f>
        <v>0</v>
      </c>
      <c r="E1376" s="5">
        <f ca="1">IFERROR(__xludf.DUMMYFUNCTION("""COMPUTED_VALUE"""),0)</f>
        <v>0</v>
      </c>
      <c r="F1376" s="5">
        <f ca="1">IFERROR(__xludf.DUMMYFUNCTION("""COMPUTED_VALUE"""),0)</f>
        <v>0</v>
      </c>
      <c r="G1376" s="5">
        <f ca="1">IFERROR(__xludf.DUMMYFUNCTION("""COMPUTED_VALUE"""),0)</f>
        <v>0</v>
      </c>
      <c r="H1376" s="9" t="str">
        <f ca="1">IFERROR(__xludf.DUMMYFUNCTION("""COMPUTED_VALUE"""),"https://www.chron.com/news/houston-texas/article/Friendswood-teacher-indicted-over-gunfire-2059926.php")</f>
        <v>https://www.chron.com/news/houston-texas/article/Friendswood-teacher-indicted-over-gunfire-2059926.php</v>
      </c>
      <c r="I1376" s="5"/>
      <c r="J1376" s="5"/>
      <c r="K1376" s="5">
        <f ca="1">IFERROR(__xludf.DUMMYFUNCTION("""COMPUTED_VALUE"""),2)</f>
        <v>2</v>
      </c>
      <c r="L1376" s="5" t="str">
        <f ca="1">IFERROR(__xludf.DUMMYFUNCTION("""COMPUTED_VALUE"""),"Fall")</f>
        <v>Fall</v>
      </c>
      <c r="M1376" s="5" t="str">
        <f ca="1">IFERROR(__xludf.DUMMYFUNCTION("""COMPUTED_VALUE"""),"Friendswood")</f>
        <v>Friendswood</v>
      </c>
      <c r="N1376" s="5" t="str">
        <f ca="1">IFERROR(__xludf.DUMMYFUNCTION("""COMPUTED_VALUE"""),"TX")</f>
        <v>TX</v>
      </c>
      <c r="O1376" s="5" t="str">
        <f ca="1">IFERROR(__xludf.DUMMYFUNCTION("""COMPUTED_VALUE"""),"High")</f>
        <v>High</v>
      </c>
      <c r="P1376" s="5" t="str">
        <f ca="1">IFERROR(__xludf.DUMMYFUNCTION("""COMPUTED_VALUE"""),"Classroom")</f>
        <v>Classroom</v>
      </c>
      <c r="Q1376" s="5" t="str">
        <f ca="1">IFERROR(__xludf.DUMMYFUNCTION("""COMPUTED_VALUE"""),"Inside School Building")</f>
        <v>Inside School Building</v>
      </c>
      <c r="R1376" s="5" t="str">
        <f ca="1">IFERROR(__xludf.DUMMYFUNCTION("""COMPUTED_VALUE"""),"No")</f>
        <v>No</v>
      </c>
      <c r="S1376" s="5" t="str">
        <f ca="1">IFERROR(__xludf.DUMMYFUNCTION("""COMPUTED_VALUE"""),"Before School")</f>
        <v>Before School</v>
      </c>
      <c r="T1376" s="10">
        <f ca="1">IFERROR(__xludf.DUMMYFUNCTION("""COMPUTED_VALUE"""),0.25)</f>
        <v>0.25</v>
      </c>
      <c r="U1376" s="5">
        <f ca="1">IFERROR(__xludf.DUMMYFUNCTION("""COMPUTED_VALUE"""),1)</f>
        <v>1</v>
      </c>
      <c r="V1376" s="5" t="str">
        <f ca="1">IFERROR(__xludf.DUMMYFUNCTION("""COMPUTED_VALUE"""),"Teacher fired gun in classroom at 6:00, reported shots were fired at her class room at 9:12 AM")</f>
        <v>Teacher fired gun in classroom at 6:00, reported shots were fired at her class room at 9:12 AM</v>
      </c>
      <c r="W1376"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X1376" s="5" t="str">
        <f ca="1">IFERROR(__xludf.DUMMYFUNCTION("""COMPUTED_VALUE"""),"Unknown")</f>
        <v>Unknown</v>
      </c>
      <c r="Y1376" s="5"/>
      <c r="Z1376" s="5" t="str">
        <f ca="1">IFERROR(__xludf.DUMMYFUNCTION("""COMPUTED_VALUE"""),"No")</f>
        <v>No</v>
      </c>
      <c r="AA1376" s="5"/>
      <c r="AB1376" s="5" t="str">
        <f ca="1">IFERROR(__xludf.DUMMYFUNCTION("""COMPUTED_VALUE"""),"No")</f>
        <v>No</v>
      </c>
      <c r="AC1376" s="5" t="str">
        <f ca="1">IFERROR(__xludf.DUMMYFUNCTION("""COMPUTED_VALUE"""),"No")</f>
        <v>No</v>
      </c>
      <c r="AD1376" s="5" t="str">
        <f ca="1">IFERROR(__xludf.DUMMYFUNCTION("""COMPUTED_VALUE"""),"No")</f>
        <v>No</v>
      </c>
      <c r="AE1376" s="5" t="str">
        <f ca="1">IFERROR(__xludf.DUMMYFUNCTION("""COMPUTED_VALUE"""),"No")</f>
        <v>No</v>
      </c>
      <c r="AF1376" s="5" t="str">
        <f ca="1">IFERROR(__xludf.DUMMYFUNCTION("""COMPUTED_VALUE"""),"No")</f>
        <v>No</v>
      </c>
      <c r="AG1376" s="5" t="str">
        <f ca="1">IFERROR(__xludf.DUMMYFUNCTION("""COMPUTED_VALUE"""),"No")</f>
        <v>No</v>
      </c>
      <c r="AH1376" s="5"/>
    </row>
    <row r="1377" spans="1:34" ht="12.75">
      <c r="A1377" s="5" t="str">
        <f ca="1">IFERROR(__xludf.DUMMYFUNCTION("""COMPUTED_VALUE"""),"20011112MICAC")</f>
        <v>20011112MICAC</v>
      </c>
      <c r="B1377" s="8">
        <f ca="1">IFERROR(__xludf.DUMMYFUNCTION("""COMPUTED_VALUE"""),37207)</f>
        <v>37207</v>
      </c>
      <c r="C1377" s="5" t="str">
        <f ca="1">IFERROR(__xludf.DUMMYFUNCTION("""COMPUTED_VALUE"""),"Caro Learning Center")</f>
        <v>Caro Learning Center</v>
      </c>
      <c r="D1377" s="5">
        <f ca="1">IFERROR(__xludf.DUMMYFUNCTION("""COMPUTED_VALUE"""),0)</f>
        <v>0</v>
      </c>
      <c r="E1377" s="5">
        <f ca="1">IFERROR(__xludf.DUMMYFUNCTION("""COMPUTED_VALUE"""),0)</f>
        <v>0</v>
      </c>
      <c r="F1377" s="5">
        <f ca="1">IFERROR(__xludf.DUMMYFUNCTION("""COMPUTED_VALUE"""),0)</f>
        <v>0</v>
      </c>
      <c r="G1377" s="5">
        <f ca="1">IFERROR(__xludf.DUMMYFUNCTION("""COMPUTED_VALUE"""),1)</f>
        <v>1</v>
      </c>
      <c r="H1377" s="9" t="str">
        <f ca="1">IFERROR(__xludf.DUMMYFUNCTION("""COMPUTED_VALUE"""),"https://www.michigandaily.com/content/17-year-old-takes-hostages-school-commits-suicide")</f>
        <v>https://www.michigandaily.com/content/17-year-old-takes-hostages-school-commits-suicide</v>
      </c>
      <c r="I1377" s="5"/>
      <c r="J1377" s="5"/>
      <c r="K1377" s="5">
        <f ca="1">IFERROR(__xludf.DUMMYFUNCTION("""COMPUTED_VALUE"""),2)</f>
        <v>2</v>
      </c>
      <c r="L1377" s="5" t="str">
        <f ca="1">IFERROR(__xludf.DUMMYFUNCTION("""COMPUTED_VALUE"""),"Fall")</f>
        <v>Fall</v>
      </c>
      <c r="M1377" s="5" t="str">
        <f ca="1">IFERROR(__xludf.DUMMYFUNCTION("""COMPUTED_VALUE"""),"Caro")</f>
        <v>Caro</v>
      </c>
      <c r="N1377" s="5" t="str">
        <f ca="1">IFERROR(__xludf.DUMMYFUNCTION("""COMPUTED_VALUE"""),"MI")</f>
        <v>MI</v>
      </c>
      <c r="O1377" s="5" t="str">
        <f ca="1">IFERROR(__xludf.DUMMYFUNCTION("""COMPUTED_VALUE"""),"High")</f>
        <v>High</v>
      </c>
      <c r="P1377" s="5" t="str">
        <f ca="1">IFERROR(__xludf.DUMMYFUNCTION("""COMPUTED_VALUE"""),"Classroom")</f>
        <v>Classroom</v>
      </c>
      <c r="Q1377" s="5" t="str">
        <f ca="1">IFERROR(__xludf.DUMMYFUNCTION("""COMPUTED_VALUE"""),"Inside School Building")</f>
        <v>Inside School Building</v>
      </c>
      <c r="R1377" s="5" t="str">
        <f ca="1">IFERROR(__xludf.DUMMYFUNCTION("""COMPUTED_VALUE"""),"Yes")</f>
        <v>Yes</v>
      </c>
      <c r="S1377" s="5" t="str">
        <f ca="1">IFERROR(__xludf.DUMMYFUNCTION("""COMPUTED_VALUE"""),"Afternoon Classes")</f>
        <v>Afternoon Classes</v>
      </c>
      <c r="T1377" s="10">
        <f ca="1">IFERROR(__xludf.DUMMYFUNCTION("""COMPUTED_VALUE"""),0.611111111111111)</f>
        <v>0.61111111111111105</v>
      </c>
      <c r="U1377" s="5">
        <f ca="1">IFERROR(__xludf.DUMMYFUNCTION("""COMPUTED_VALUE"""),216)</f>
        <v>216</v>
      </c>
      <c r="V1377" s="5" t="str">
        <f ca="1">IFERROR(__xludf.DUMMYFUNCTION("""COMPUTED_VALUE"""),"Upset about break-up, looking for girlfriend, took other student and teacher hostage, commit suicide")</f>
        <v>Upset about break-up, looking for girlfriend, took other student and teacher hostage, commit suicide</v>
      </c>
      <c r="W1377"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X1377" s="5" t="str">
        <f ca="1">IFERROR(__xludf.DUMMYFUNCTION("""COMPUTED_VALUE"""),"Hostage/Standoff")</f>
        <v>Hostage/Standoff</v>
      </c>
      <c r="Y1377" s="5" t="str">
        <f ca="1">IFERROR(__xludf.DUMMYFUNCTION("""COMPUTED_VALUE"""),"Victims Targeted")</f>
        <v>Victims Targeted</v>
      </c>
      <c r="Z1377" s="5" t="str">
        <f ca="1">IFERROR(__xludf.DUMMYFUNCTION("""COMPUTED_VALUE"""),"No")</f>
        <v>No</v>
      </c>
      <c r="AA1377" s="5"/>
      <c r="AB1377" s="5" t="str">
        <f ca="1">IFERROR(__xludf.DUMMYFUNCTION("""COMPUTED_VALUE"""),"Yes")</f>
        <v>Yes</v>
      </c>
      <c r="AC1377" s="5" t="str">
        <f ca="1">IFERROR(__xludf.DUMMYFUNCTION("""COMPUTED_VALUE"""),"Yes")</f>
        <v>Yes</v>
      </c>
      <c r="AD1377" s="5" t="str">
        <f ca="1">IFERROR(__xludf.DUMMYFUNCTION("""COMPUTED_VALUE"""),"No")</f>
        <v>No</v>
      </c>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IFERROR(__xludf.DUMMYFUNCTION("""COMPUTED_VALUE"""),"Yes")</f>
        <v>Yes</v>
      </c>
    </row>
    <row r="1378" spans="1:34" ht="12.75">
      <c r="A1378" s="5" t="str">
        <f ca="1">IFERROR(__xludf.DUMMYFUNCTION("""COMPUTED_VALUE"""),"20011026MIBES")</f>
        <v>20011026MIBES</v>
      </c>
      <c r="B1378" s="8">
        <f ca="1">IFERROR(__xludf.DUMMYFUNCTION("""COMPUTED_VALUE"""),37190)</f>
        <v>37190</v>
      </c>
      <c r="C1378" s="5" t="str">
        <f ca="1">IFERROR(__xludf.DUMMYFUNCTION("""COMPUTED_VALUE"""),"Benito Juarez Academy")</f>
        <v>Benito Juarez Academy</v>
      </c>
      <c r="D1378" s="5">
        <f ca="1">IFERROR(__xludf.DUMMYFUNCTION("""COMPUTED_VALUE"""),0)</f>
        <v>0</v>
      </c>
      <c r="E1378" s="5">
        <f ca="1">IFERROR(__xludf.DUMMYFUNCTION("""COMPUTED_VALUE"""),1)</f>
        <v>1</v>
      </c>
      <c r="F1378" s="5">
        <f ca="1">IFERROR(__xludf.DUMMYFUNCTION("""COMPUTED_VALUE"""),1)</f>
        <v>1</v>
      </c>
      <c r="G1378" s="5">
        <f ca="1">IFERROR(__xludf.DUMMYFUNCTION("""COMPUTED_VALUE"""),0)</f>
        <v>0</v>
      </c>
      <c r="H1378" s="9" t="str">
        <f ca="1">IFERROR(__xludf.DUMMYFUNCTION("""COMPUTED_VALUE"""),"https://www.newspapers.com/image/220634008/?terms=High%2BSchool%2BSaginaw%2Bgun%2Bjacket")</f>
        <v>https://www.newspapers.com/image/220634008/?terms=High%2BSchool%2BSaginaw%2Bgun%2Bjacket</v>
      </c>
      <c r="I1378" s="5"/>
      <c r="J1378" s="5"/>
      <c r="K1378" s="5">
        <f ca="1">IFERROR(__xludf.DUMMYFUNCTION("""COMPUTED_VALUE"""),2)</f>
        <v>2</v>
      </c>
      <c r="L1378" s="5" t="str">
        <f ca="1">IFERROR(__xludf.DUMMYFUNCTION("""COMPUTED_VALUE"""),"Fall")</f>
        <v>Fall</v>
      </c>
      <c r="M1378" s="5" t="str">
        <f ca="1">IFERROR(__xludf.DUMMYFUNCTION("""COMPUTED_VALUE"""),"Siginaw")</f>
        <v>Siginaw</v>
      </c>
      <c r="N1378" s="5" t="str">
        <f ca="1">IFERROR(__xludf.DUMMYFUNCTION("""COMPUTED_VALUE"""),"MI")</f>
        <v>MI</v>
      </c>
      <c r="O1378" s="5" t="str">
        <f ca="1">IFERROR(__xludf.DUMMYFUNCTION("""COMPUTED_VALUE"""),"High")</f>
        <v>High</v>
      </c>
      <c r="P1378" s="5" t="str">
        <f ca="1">IFERROR(__xludf.DUMMYFUNCTION("""COMPUTED_VALUE"""),"Beside Building")</f>
        <v>Beside Building</v>
      </c>
      <c r="Q1378" s="5" t="str">
        <f ca="1">IFERROR(__xludf.DUMMYFUNCTION("""COMPUTED_VALUE"""),"Outside on School Property")</f>
        <v>Outside on School Property</v>
      </c>
      <c r="R1378" s="5" t="str">
        <f ca="1">IFERROR(__xludf.DUMMYFUNCTION("""COMPUTED_VALUE"""),"Yes")</f>
        <v>Yes</v>
      </c>
      <c r="S1378" s="5" t="str">
        <f ca="1">IFERROR(__xludf.DUMMYFUNCTION("""COMPUTED_VALUE"""),"Afternoon Classes")</f>
        <v>Afternoon Classes</v>
      </c>
      <c r="T1378" s="10">
        <f ca="1">IFERROR(__xludf.DUMMYFUNCTION("""COMPUTED_VALUE"""),0.572916666666666)</f>
        <v>0.57291666666666596</v>
      </c>
      <c r="U1378" s="5">
        <f ca="1">IFERROR(__xludf.DUMMYFUNCTION("""COMPUTED_VALUE"""),1)</f>
        <v>1</v>
      </c>
      <c r="V1378" s="5" t="str">
        <f ca="1">IFERROR(__xludf.DUMMYFUNCTION("""COMPUTED_VALUE"""),"Student tossing jacket back and forth, gun in pocket discharged")</f>
        <v>Student tossing jacket back and forth, gun in pocket discharged</v>
      </c>
      <c r="W1378"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X1378" s="5" t="str">
        <f ca="1">IFERROR(__xludf.DUMMYFUNCTION("""COMPUTED_VALUE"""),"Accidental")</f>
        <v>Accidental</v>
      </c>
      <c r="Y1378" s="5" t="str">
        <f ca="1">IFERROR(__xludf.DUMMYFUNCTION("""COMPUTED_VALUE"""),"Random Shooting")</f>
        <v>Random Shooting</v>
      </c>
      <c r="Z1378" s="5" t="str">
        <f ca="1">IFERROR(__xludf.DUMMYFUNCTION("""COMPUTED_VALUE"""),"No")</f>
        <v>No</v>
      </c>
      <c r="AA1378" s="5"/>
      <c r="AB1378" s="5" t="str">
        <f ca="1">IFERROR(__xludf.DUMMYFUNCTION("""COMPUTED_VALUE"""),"No")</f>
        <v>No</v>
      </c>
      <c r="AC1378" s="5" t="str">
        <f ca="1">IFERROR(__xludf.DUMMYFUNCTION("""COMPUTED_VALUE"""),"No")</f>
        <v>No</v>
      </c>
      <c r="AD1378" s="5" t="str">
        <f ca="1">IFERROR(__xludf.DUMMYFUNCTION("""COMPUTED_VALUE"""),"No")</f>
        <v>No</v>
      </c>
      <c r="AE1378" s="5" t="str">
        <f ca="1">IFERROR(__xludf.DUMMYFUNCTION("""COMPUTED_VALUE"""),"No")</f>
        <v>No</v>
      </c>
      <c r="AF1378" s="5" t="str">
        <f ca="1">IFERROR(__xludf.DUMMYFUNCTION("""COMPUTED_VALUE"""),"No")</f>
        <v>No</v>
      </c>
      <c r="AG1378" s="5" t="str">
        <f ca="1">IFERROR(__xludf.DUMMYFUNCTION("""COMPUTED_VALUE"""),"No")</f>
        <v>No</v>
      </c>
      <c r="AH1378" s="5"/>
    </row>
    <row r="1379" spans="1:34" ht="12.75">
      <c r="A1379" s="5" t="str">
        <f ca="1">IFERROR(__xludf.DUMMYFUNCTION("""COMPUTED_VALUE"""),"20011026CARER")</f>
        <v>20011026CARER</v>
      </c>
      <c r="B1379" s="8">
        <f ca="1">IFERROR(__xludf.DUMMYFUNCTION("""COMPUTED_VALUE"""),37190)</f>
        <v>37190</v>
      </c>
      <c r="C1379" s="5" t="str">
        <f ca="1">IFERROR(__xludf.DUMMYFUNCTION("""COMPUTED_VALUE"""),"Redondo Union High School")</f>
        <v>Redondo Union High School</v>
      </c>
      <c r="D1379" s="5">
        <f ca="1">IFERROR(__xludf.DUMMYFUNCTION("""COMPUTED_VALUE"""),0)</f>
        <v>0</v>
      </c>
      <c r="E1379" s="5">
        <f ca="1">IFERROR(__xludf.DUMMYFUNCTION("""COMPUTED_VALUE"""),1)</f>
        <v>1</v>
      </c>
      <c r="F1379" s="5">
        <f ca="1">IFERROR(__xludf.DUMMYFUNCTION("""COMPUTED_VALUE"""),1)</f>
        <v>1</v>
      </c>
      <c r="G1379" s="5">
        <f ca="1">IFERROR(__xludf.DUMMYFUNCTION("""COMPUTED_VALUE"""),0)</f>
        <v>0</v>
      </c>
      <c r="H1379" s="9" t="str">
        <f ca="1">IFERROR(__xludf.DUMMYFUNCTION("""COMPUTED_VALUE"""),"http://articles.latimes.com/2001/oct/27/local/me-62198")</f>
        <v>http://articles.latimes.com/2001/oct/27/local/me-62198</v>
      </c>
      <c r="I1379" s="5"/>
      <c r="J1379" s="5"/>
      <c r="K1379" s="5">
        <f ca="1">IFERROR(__xludf.DUMMYFUNCTION("""COMPUTED_VALUE"""),2)</f>
        <v>2</v>
      </c>
      <c r="L1379" s="5" t="str">
        <f ca="1">IFERROR(__xludf.DUMMYFUNCTION("""COMPUTED_VALUE"""),"Fall")</f>
        <v>Fall</v>
      </c>
      <c r="M1379" s="5" t="str">
        <f ca="1">IFERROR(__xludf.DUMMYFUNCTION("""COMPUTED_VALUE"""),"Redondo Beach")</f>
        <v>Redondo Beach</v>
      </c>
      <c r="N1379" s="5" t="str">
        <f ca="1">IFERROR(__xludf.DUMMYFUNCTION("""COMPUTED_VALUE"""),"CA")</f>
        <v>CA</v>
      </c>
      <c r="O1379" s="5" t="str">
        <f ca="1">IFERROR(__xludf.DUMMYFUNCTION("""COMPUTED_VALUE"""),"High")</f>
        <v>High</v>
      </c>
      <c r="P1379" s="5" t="str">
        <f ca="1">IFERROR(__xludf.DUMMYFUNCTION("""COMPUTED_VALUE"""),"Courtyard")</f>
        <v>Courtyard</v>
      </c>
      <c r="Q1379" s="5" t="str">
        <f ca="1">IFERROR(__xludf.DUMMYFUNCTION("""COMPUTED_VALUE"""),"Outside on School Property")</f>
        <v>Outside on School Property</v>
      </c>
      <c r="R1379" s="5" t="str">
        <f ca="1">IFERROR(__xludf.DUMMYFUNCTION("""COMPUTED_VALUE"""),"Yes")</f>
        <v>Yes</v>
      </c>
      <c r="S1379" s="5" t="str">
        <f ca="1">IFERROR(__xludf.DUMMYFUNCTION("""COMPUTED_VALUE"""),"Morning Classes")</f>
        <v>Morning Classes</v>
      </c>
      <c r="T1379" s="10">
        <f ca="1">IFERROR(__xludf.DUMMYFUNCTION("""COMPUTED_VALUE"""),0.416666666666666)</f>
        <v>0.41666666666666602</v>
      </c>
      <c r="U1379" s="5">
        <f ca="1">IFERROR(__xludf.DUMMYFUNCTION("""COMPUTED_VALUE"""),1)</f>
        <v>1</v>
      </c>
      <c r="V1379" s="5" t="str">
        <f ca="1">IFERROR(__xludf.DUMMYFUNCTION("""COMPUTED_VALUE"""),"Gun fell out of backpack, fired, and struck student")</f>
        <v>Gun fell out of backpack, fired, and struck student</v>
      </c>
      <c r="W1379"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X1379" s="5" t="str">
        <f ca="1">IFERROR(__xludf.DUMMYFUNCTION("""COMPUTED_VALUE"""),"Accidental")</f>
        <v>Accidental</v>
      </c>
      <c r="Y1379" s="5" t="str">
        <f ca="1">IFERROR(__xludf.DUMMYFUNCTION("""COMPUTED_VALUE"""),"Random Shooting")</f>
        <v>Random Shooting</v>
      </c>
      <c r="Z1379" s="5" t="str">
        <f ca="1">IFERROR(__xludf.DUMMYFUNCTION("""COMPUTED_VALUE"""),"No")</f>
        <v>No</v>
      </c>
      <c r="AA1379" s="5"/>
      <c r="AB1379" s="5" t="str">
        <f ca="1">IFERROR(__xludf.DUMMYFUNCTION("""COMPUTED_VALUE"""),"No")</f>
        <v>No</v>
      </c>
      <c r="AC1379" s="5" t="str">
        <f ca="1">IFERROR(__xludf.DUMMYFUNCTION("""COMPUTED_VALUE"""),"No")</f>
        <v>No</v>
      </c>
      <c r="AD1379" s="5" t="str">
        <f ca="1">IFERROR(__xludf.DUMMYFUNCTION("""COMPUTED_VALUE"""),"No")</f>
        <v>No</v>
      </c>
      <c r="AE1379" s="5" t="str">
        <f ca="1">IFERROR(__xludf.DUMMYFUNCTION("""COMPUTED_VALUE"""),"No")</f>
        <v>No</v>
      </c>
      <c r="AF1379" s="5" t="str">
        <f ca="1">IFERROR(__xludf.DUMMYFUNCTION("""COMPUTED_VALUE"""),"No")</f>
        <v>No</v>
      </c>
      <c r="AG1379" s="5" t="str">
        <f ca="1">IFERROR(__xludf.DUMMYFUNCTION("""COMPUTED_VALUE"""),"No")</f>
        <v>No</v>
      </c>
      <c r="AH1379" s="5"/>
    </row>
    <row r="1380" spans="1:34" ht="12.75">
      <c r="A1380" s="5" t="str">
        <f ca="1">IFERROR(__xludf.DUMMYFUNCTION("""COMPUTED_VALUE"""),"20011012UTTAT")</f>
        <v>20011012UTTAT</v>
      </c>
      <c r="B1380" s="8">
        <f ca="1">IFERROR(__xludf.DUMMYFUNCTION("""COMPUTED_VALUE"""),37176)</f>
        <v>37176</v>
      </c>
      <c r="C1380" s="5" t="str">
        <f ca="1">IFERROR(__xludf.DUMMYFUNCTION("""COMPUTED_VALUE"""),"Taylorsville High School")</f>
        <v>Taylorsville High School</v>
      </c>
      <c r="D1380" s="5">
        <f ca="1">IFERROR(__xludf.DUMMYFUNCTION("""COMPUTED_VALUE"""),0)</f>
        <v>0</v>
      </c>
      <c r="E1380" s="5">
        <f ca="1">IFERROR(__xludf.DUMMYFUNCTION("""COMPUTED_VALUE"""),0)</f>
        <v>0</v>
      </c>
      <c r="F1380" s="5">
        <f ca="1">IFERROR(__xludf.DUMMYFUNCTION("""COMPUTED_VALUE"""),0)</f>
        <v>0</v>
      </c>
      <c r="G1380" s="5">
        <f ca="1">IFERROR(__xludf.DUMMYFUNCTION("""COMPUTED_VALUE"""),1)</f>
        <v>1</v>
      </c>
      <c r="H1380" s="9" t="str">
        <f ca="1">IFERROR(__xludf.DUMMYFUNCTION("""COMPUTED_VALUE"""),"https://www.deseretnews.com/article/868847/Boy-shoots-self-at-school.html")</f>
        <v>https://www.deseretnews.com/article/868847/Boy-shoots-self-at-school.html</v>
      </c>
      <c r="I1380" s="5"/>
      <c r="J1380" s="5"/>
      <c r="K1380" s="5">
        <f ca="1">IFERROR(__xludf.DUMMYFUNCTION("""COMPUTED_VALUE"""),2)</f>
        <v>2</v>
      </c>
      <c r="L1380" s="5" t="str">
        <f ca="1">IFERROR(__xludf.DUMMYFUNCTION("""COMPUTED_VALUE"""),"Fall")</f>
        <v>Fall</v>
      </c>
      <c r="M1380" s="5" t="str">
        <f ca="1">IFERROR(__xludf.DUMMYFUNCTION("""COMPUTED_VALUE"""),"Taylorsville")</f>
        <v>Taylorsville</v>
      </c>
      <c r="N1380" s="5" t="str">
        <f ca="1">IFERROR(__xludf.DUMMYFUNCTION("""COMPUTED_VALUE"""),"UT")</f>
        <v>UT</v>
      </c>
      <c r="O1380" s="5" t="str">
        <f ca="1">IFERROR(__xludf.DUMMYFUNCTION("""COMPUTED_VALUE"""),"High")</f>
        <v>High</v>
      </c>
      <c r="P1380" s="5" t="str">
        <f ca="1">IFERROR(__xludf.DUMMYFUNCTION("""COMPUTED_VALUE"""),"Hallway")</f>
        <v>Hallway</v>
      </c>
      <c r="Q1380" s="5" t="str">
        <f ca="1">IFERROR(__xludf.DUMMYFUNCTION("""COMPUTED_VALUE"""),"Inside School Building")</f>
        <v>Inside School Building</v>
      </c>
      <c r="R1380" s="5" t="str">
        <f ca="1">IFERROR(__xludf.DUMMYFUNCTION("""COMPUTED_VALUE"""),"Yes")</f>
        <v>Yes</v>
      </c>
      <c r="S1380" s="5" t="str">
        <f ca="1">IFERROR(__xludf.DUMMYFUNCTION("""COMPUTED_VALUE"""),"Afternoon Classes")</f>
        <v>Afternoon Classes</v>
      </c>
      <c r="T1380" s="5"/>
      <c r="U1380" s="5">
        <f ca="1">IFERROR(__xludf.DUMMYFUNCTION("""COMPUTED_VALUE"""),1)</f>
        <v>1</v>
      </c>
      <c r="V1380" s="5" t="str">
        <f ca="1">IFERROR(__xludf.DUMMYFUNCTION("""COMPUTED_VALUE"""),"Commit suicide in hallway")</f>
        <v>Commit suicide in hallway</v>
      </c>
      <c r="W1380"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X1380" s="5" t="str">
        <f ca="1">IFERROR(__xludf.DUMMYFUNCTION("""COMPUTED_VALUE"""),"Suicide/Attempted")</f>
        <v>Suicide/Attempted</v>
      </c>
      <c r="Y1380" s="5" t="str">
        <f ca="1">IFERROR(__xludf.DUMMYFUNCTION("""COMPUTED_VALUE"""),"Victims Targeted")</f>
        <v>Victims Targeted</v>
      </c>
      <c r="Z1380" s="5" t="str">
        <f ca="1">IFERROR(__xludf.DUMMYFUNCTION("""COMPUTED_VALUE"""),"No")</f>
        <v>No</v>
      </c>
      <c r="AA1380" s="5"/>
      <c r="AB1380" s="5" t="str">
        <f ca="1">IFERROR(__xludf.DUMMYFUNCTION("""COMPUTED_VALUE"""),"No")</f>
        <v>No</v>
      </c>
      <c r="AC1380" s="5" t="str">
        <f ca="1">IFERROR(__xludf.DUMMYFUNCTION("""COMPUTED_VALUE"""),"No")</f>
        <v>No</v>
      </c>
      <c r="AD1380" s="5" t="str">
        <f ca="1">IFERROR(__xludf.DUMMYFUNCTION("""COMPUTED_VALUE"""),"No")</f>
        <v>No</v>
      </c>
      <c r="AE1380" s="5" t="str">
        <f ca="1">IFERROR(__xludf.DUMMYFUNCTION("""COMPUTED_VALUE"""),"No")</f>
        <v>No</v>
      </c>
      <c r="AF1380" s="5" t="str">
        <f ca="1">IFERROR(__xludf.DUMMYFUNCTION("""COMPUTED_VALUE"""),"No")</f>
        <v>No</v>
      </c>
      <c r="AG1380" s="5" t="str">
        <f ca="1">IFERROR(__xludf.DUMMYFUNCTION("""COMPUTED_VALUE"""),"No")</f>
        <v>No</v>
      </c>
      <c r="AH1380" s="5"/>
    </row>
    <row r="1381" spans="1:34" ht="12.75">
      <c r="A1381" s="5" t="str">
        <f ca="1">IFERROR(__xludf.DUMMYFUNCTION("""COMPUTED_VALUE"""),"20010921MDLAB")</f>
        <v>20010921MDLAB</v>
      </c>
      <c r="B1381" s="8">
        <f ca="1">IFERROR(__xludf.DUMMYFUNCTION("""COMPUTED_VALUE"""),37155)</f>
        <v>37155</v>
      </c>
      <c r="C1381" s="5" t="str">
        <f ca="1">IFERROR(__xludf.DUMMYFUNCTION("""COMPUTED_VALUE"""),"Lake Clifton Eastern High School")</f>
        <v>Lake Clifton Eastern High School</v>
      </c>
      <c r="D1381" s="5">
        <f ca="1">IFERROR(__xludf.DUMMYFUNCTION("""COMPUTED_VALUE"""),0)</f>
        <v>0</v>
      </c>
      <c r="E1381" s="5">
        <f ca="1">IFERROR(__xludf.DUMMYFUNCTION("""COMPUTED_VALUE"""),1)</f>
        <v>1</v>
      </c>
      <c r="F1381" s="5">
        <f ca="1">IFERROR(__xludf.DUMMYFUNCTION("""COMPUTED_VALUE"""),1)</f>
        <v>1</v>
      </c>
      <c r="G1381" s="5">
        <f ca="1">IFERROR(__xludf.DUMMYFUNCTION("""COMPUTED_VALUE"""),0)</f>
        <v>0</v>
      </c>
      <c r="H1381" s="9" t="str">
        <f ca="1">IFERROR(__xludf.DUMMYFUNCTION("""COMPUTED_VALUE"""),"http://articles.baltimoresun.com/2001-09-21/news/0109210200_1_lake-clifton-neighborhood-dispute-inside-the-school")</f>
        <v>http://articles.baltimoresun.com/2001-09-21/news/0109210200_1_lake-clifton-neighborhood-dispute-inside-the-school</v>
      </c>
      <c r="I1381" s="5"/>
      <c r="J1381" s="5"/>
      <c r="K1381" s="5">
        <f ca="1">IFERROR(__xludf.DUMMYFUNCTION("""COMPUTED_VALUE"""),2)</f>
        <v>2</v>
      </c>
      <c r="L1381" s="5" t="str">
        <f ca="1">IFERROR(__xludf.DUMMYFUNCTION("""COMPUTED_VALUE"""),"Fall")</f>
        <v>Fall</v>
      </c>
      <c r="M1381" s="5" t="str">
        <f ca="1">IFERROR(__xludf.DUMMYFUNCTION("""COMPUTED_VALUE"""),"Baltimore")</f>
        <v>Baltimore</v>
      </c>
      <c r="N1381" s="5" t="str">
        <f ca="1">IFERROR(__xludf.DUMMYFUNCTION("""COMPUTED_VALUE"""),"MD")</f>
        <v>MD</v>
      </c>
      <c r="O1381" s="5" t="str">
        <f ca="1">IFERROR(__xludf.DUMMYFUNCTION("""COMPUTED_VALUE"""),"High")</f>
        <v>High</v>
      </c>
      <c r="P1381" s="5" t="str">
        <f ca="1">IFERROR(__xludf.DUMMYFUNCTION("""COMPUTED_VALUE"""),"Cafeteria")</f>
        <v>Cafeteria</v>
      </c>
      <c r="Q1381" s="5" t="str">
        <f ca="1">IFERROR(__xludf.DUMMYFUNCTION("""COMPUTED_VALUE"""),"Inside School Building")</f>
        <v>Inside School Building</v>
      </c>
      <c r="R1381" s="5" t="str">
        <f ca="1">IFERROR(__xludf.DUMMYFUNCTION("""COMPUTED_VALUE"""),"Yes")</f>
        <v>Yes</v>
      </c>
      <c r="S1381" s="5" t="str">
        <f ca="1">IFERROR(__xludf.DUMMYFUNCTION("""COMPUTED_VALUE"""),"Lunch")</f>
        <v>Lunch</v>
      </c>
      <c r="T1381" s="10">
        <f ca="1">IFERROR(__xludf.DUMMYFUNCTION("""COMPUTED_VALUE"""),0.541666666666666)</f>
        <v>0.54166666666666596</v>
      </c>
      <c r="U1381" s="5">
        <f ca="1">IFERROR(__xludf.DUMMYFUNCTION("""COMPUTED_VALUE"""),1)</f>
        <v>1</v>
      </c>
      <c r="V1381" s="5" t="str">
        <f ca="1">IFERROR(__xludf.DUMMYFUNCTION("""COMPUTED_VALUE"""),"Ongoing fight related to neighborhood dispute between students")</f>
        <v>Ongoing fight related to neighborhood dispute between students</v>
      </c>
      <c r="W1381"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X1381" s="5" t="str">
        <f ca="1">IFERROR(__xludf.DUMMYFUNCTION("""COMPUTED_VALUE"""),"Escalation of Dispute")</f>
        <v>Escalation of Dispute</v>
      </c>
      <c r="Y1381" s="5" t="str">
        <f ca="1">IFERROR(__xludf.DUMMYFUNCTION("""COMPUTED_VALUE"""),"Victims Targeted")</f>
        <v>Victims Targeted</v>
      </c>
      <c r="Z1381" s="5" t="str">
        <f ca="1">IFERROR(__xludf.DUMMYFUNCTION("""COMPUTED_VALUE"""),"No")</f>
        <v>No</v>
      </c>
      <c r="AA1381" s="5"/>
      <c r="AB1381" s="5" t="str">
        <f ca="1">IFERROR(__xludf.DUMMYFUNCTION("""COMPUTED_VALUE"""),"No")</f>
        <v>No</v>
      </c>
      <c r="AC1381" s="5" t="str">
        <f ca="1">IFERROR(__xludf.DUMMYFUNCTION("""COMPUTED_VALUE"""),"No")</f>
        <v>No</v>
      </c>
      <c r="AD1381" s="5" t="str">
        <f ca="1">IFERROR(__xludf.DUMMYFUNCTION("""COMPUTED_VALUE"""),"No")</f>
        <v>No</v>
      </c>
      <c r="AE1381" s="5" t="str">
        <f ca="1">IFERROR(__xludf.DUMMYFUNCTION("""COMPUTED_VALUE"""),"No")</f>
        <v>No</v>
      </c>
      <c r="AF1381" s="5" t="str">
        <f ca="1">IFERROR(__xludf.DUMMYFUNCTION("""COMPUTED_VALUE"""),"No")</f>
        <v>No</v>
      </c>
      <c r="AG1381" s="5" t="str">
        <f ca="1">IFERROR(__xludf.DUMMYFUNCTION("""COMPUTED_VALUE"""),"Yes")</f>
        <v>Yes</v>
      </c>
      <c r="AH1381" s="5"/>
    </row>
    <row r="1382" spans="1:34" ht="12.75">
      <c r="A1382" s="5" t="str">
        <f ca="1">IFERROR(__xludf.DUMMYFUNCTION("""COMPUTED_VALUE"""),"20010912KYLAC")</f>
        <v>20010912KYLAC</v>
      </c>
      <c r="B1382" s="8">
        <f ca="1">IFERROR(__xludf.DUMMYFUNCTION("""COMPUTED_VALUE"""),37146)</f>
        <v>37146</v>
      </c>
      <c r="C1382" s="5" t="str">
        <f ca="1">IFERROR(__xludf.DUMMYFUNCTION("""COMPUTED_VALUE"""),"Latonia Elementary School")</f>
        <v>Latonia Elementary School</v>
      </c>
      <c r="D1382" s="5">
        <f ca="1">IFERROR(__xludf.DUMMYFUNCTION("""COMPUTED_VALUE"""),1)</f>
        <v>1</v>
      </c>
      <c r="E1382" s="5">
        <f ca="1">IFERROR(__xludf.DUMMYFUNCTION("""COMPUTED_VALUE"""),0)</f>
        <v>0</v>
      </c>
      <c r="F1382" s="5">
        <f ca="1">IFERROR(__xludf.DUMMYFUNCTION("""COMPUTED_VALUE"""),1)</f>
        <v>1</v>
      </c>
      <c r="G1382" s="5">
        <f ca="1">IFERROR(__xludf.DUMMYFUNCTION("""COMPUTED_VALUE"""),0)</f>
        <v>0</v>
      </c>
      <c r="H1382" s="9" t="str">
        <f ca="1">IFERROR(__xludf.DUMMYFUNCTION("""COMPUTED_VALUE"""),"http://www.enquirer.com/editions/2001/09/14/loc_children_who_saw.html")</f>
        <v>http://www.enquirer.com/editions/2001/09/14/loc_children_who_saw.html</v>
      </c>
      <c r="I1382" s="5"/>
      <c r="J1382" s="5"/>
      <c r="K1382" s="5">
        <f ca="1">IFERROR(__xludf.DUMMYFUNCTION("""COMPUTED_VALUE"""),2)</f>
        <v>2</v>
      </c>
      <c r="L1382" s="5" t="str">
        <f ca="1">IFERROR(__xludf.DUMMYFUNCTION("""COMPUTED_VALUE"""),"Fall")</f>
        <v>Fall</v>
      </c>
      <c r="M1382" s="5" t="str">
        <f ca="1">IFERROR(__xludf.DUMMYFUNCTION("""COMPUTED_VALUE"""),"Covington")</f>
        <v>Covington</v>
      </c>
      <c r="N1382" s="5" t="str">
        <f ca="1">IFERROR(__xludf.DUMMYFUNCTION("""COMPUTED_VALUE"""),"KY")</f>
        <v>KY</v>
      </c>
      <c r="O1382" s="5" t="str">
        <f ca="1">IFERROR(__xludf.DUMMYFUNCTION("""COMPUTED_VALUE"""),"Elementary")</f>
        <v>Elementary</v>
      </c>
      <c r="P1382" s="5" t="str">
        <f ca="1">IFERROR(__xludf.DUMMYFUNCTION("""COMPUTED_VALUE"""),"Parking Lot")</f>
        <v>Parking Lot</v>
      </c>
      <c r="Q1382" s="5" t="str">
        <f ca="1">IFERROR(__xludf.DUMMYFUNCTION("""COMPUTED_VALUE"""),"Outside on School Property")</f>
        <v>Outside on School Property</v>
      </c>
      <c r="R1382" s="5" t="str">
        <f ca="1">IFERROR(__xludf.DUMMYFUNCTION("""COMPUTED_VALUE"""),"Yes")</f>
        <v>Yes</v>
      </c>
      <c r="S1382" s="5" t="str">
        <f ca="1">IFERROR(__xludf.DUMMYFUNCTION("""COMPUTED_VALUE"""),"Dismissal")</f>
        <v>Dismissal</v>
      </c>
      <c r="T1382" s="10">
        <f ca="1">IFERROR(__xludf.DUMMYFUNCTION("""COMPUTED_VALUE"""),0.625)</f>
        <v>0.625</v>
      </c>
      <c r="U1382" s="5">
        <f ca="1">IFERROR(__xludf.DUMMYFUNCTION("""COMPUTED_VALUE"""),1)</f>
        <v>1</v>
      </c>
      <c r="V1382" s="5" t="str">
        <f ca="1">IFERROR(__xludf.DUMMYFUNCTION("""COMPUTED_VALUE"""),"Fight between parents escalated into shooting in front of students")</f>
        <v>Fight between parents escalated into shooting in front of students</v>
      </c>
      <c r="W1382" s="5" t="str">
        <f ca="1">IFERROR(__xludf.DUMMYFUNCTION("""COMPUTED_VALUE"""),"Fight between parents in the parking lot as school was dismissing. 30YOF shot 29 YOF in the neck.")</f>
        <v>Fight between parents in the parking lot as school was dismissing. 30YOF shot 29 YOF in the neck.</v>
      </c>
      <c r="X1382" s="5" t="str">
        <f ca="1">IFERROR(__xludf.DUMMYFUNCTION("""COMPUTED_VALUE"""),"Escalation of Dispute")</f>
        <v>Escalation of Dispute</v>
      </c>
      <c r="Y1382" s="5" t="str">
        <f ca="1">IFERROR(__xludf.DUMMYFUNCTION("""COMPUTED_VALUE"""),"Victims Targeted")</f>
        <v>Victims Targeted</v>
      </c>
      <c r="Z1382" s="5"/>
      <c r="AA1382" s="5"/>
      <c r="AB1382" s="5" t="str">
        <f ca="1">IFERROR(__xludf.DUMMYFUNCTION("""COMPUTED_VALUE"""),"No")</f>
        <v>No</v>
      </c>
      <c r="AC1382" s="5" t="str">
        <f ca="1">IFERROR(__xludf.DUMMYFUNCTION("""COMPUTED_VALUE"""),"No")</f>
        <v>No</v>
      </c>
      <c r="AD1382" s="5" t="str">
        <f ca="1">IFERROR(__xludf.DUMMYFUNCTION("""COMPUTED_VALUE"""),"No")</f>
        <v>No</v>
      </c>
      <c r="AE1382" s="5" t="str">
        <f ca="1">IFERROR(__xludf.DUMMYFUNCTION("""COMPUTED_VALUE"""),"No")</f>
        <v>No</v>
      </c>
      <c r="AF1382" s="5" t="str">
        <f ca="1">IFERROR(__xludf.DUMMYFUNCTION("""COMPUTED_VALUE"""),"No")</f>
        <v>No</v>
      </c>
      <c r="AG1382" s="5" t="str">
        <f ca="1">IFERROR(__xludf.DUMMYFUNCTION("""COMPUTED_VALUE"""),"No")</f>
        <v>No</v>
      </c>
      <c r="AH1382" s="5"/>
    </row>
    <row r="1383" spans="1:34" ht="12.75">
      <c r="A1383" s="5" t="str">
        <f ca="1">IFERROR(__xludf.DUMMYFUNCTION("""COMPUTED_VALUE"""),"20010730CABEL")</f>
        <v>20010730CABEL</v>
      </c>
      <c r="B1383" s="8">
        <f ca="1">IFERROR(__xludf.DUMMYFUNCTION("""COMPUTED_VALUE"""),37102)</f>
        <v>37102</v>
      </c>
      <c r="C1383" s="5" t="str">
        <f ca="1">IFERROR(__xludf.DUMMYFUNCTION("""COMPUTED_VALUE"""),"Belmont High School")</f>
        <v>Belmont High School</v>
      </c>
      <c r="D1383" s="5">
        <f ca="1">IFERROR(__xludf.DUMMYFUNCTION("""COMPUTED_VALUE"""),0)</f>
        <v>0</v>
      </c>
      <c r="E1383" s="5">
        <f ca="1">IFERROR(__xludf.DUMMYFUNCTION("""COMPUTED_VALUE"""),1)</f>
        <v>1</v>
      </c>
      <c r="F1383" s="5">
        <f ca="1">IFERROR(__xludf.DUMMYFUNCTION("""COMPUTED_VALUE"""),1)</f>
        <v>1</v>
      </c>
      <c r="G1383" s="5">
        <f ca="1">IFERROR(__xludf.DUMMYFUNCTION("""COMPUTED_VALUE"""),0)</f>
        <v>0</v>
      </c>
      <c r="H1383" s="9" t="str">
        <f ca="1">IFERROR(__xludf.DUMMYFUNCTION("""COMPUTED_VALUE"""),"http://www.ladowntownnews.com/news/lockdown-at-belmont-high/article_cc919569-fc0c-5517-be27-6e7adfd7e46a.html")</f>
        <v>http://www.ladowntownnews.com/news/lockdown-at-belmont-high/article_cc919569-fc0c-5517-be27-6e7adfd7e46a.html</v>
      </c>
      <c r="I1383" s="5"/>
      <c r="J1383" s="5"/>
      <c r="K1383" s="5">
        <f ca="1">IFERROR(__xludf.DUMMYFUNCTION("""COMPUTED_VALUE"""),2)</f>
        <v>2</v>
      </c>
      <c r="L1383" s="5" t="str">
        <f ca="1">IFERROR(__xludf.DUMMYFUNCTION("""COMPUTED_VALUE"""),"Summer")</f>
        <v>Summer</v>
      </c>
      <c r="M1383" s="5" t="str">
        <f ca="1">IFERROR(__xludf.DUMMYFUNCTION("""COMPUTED_VALUE"""),"Los Angeles")</f>
        <v>Los Angeles</v>
      </c>
      <c r="N1383" s="5" t="str">
        <f ca="1">IFERROR(__xludf.DUMMYFUNCTION("""COMPUTED_VALUE"""),"CA")</f>
        <v>CA</v>
      </c>
      <c r="O1383" s="5" t="str">
        <f ca="1">IFERROR(__xludf.DUMMYFUNCTION("""COMPUTED_VALUE"""),"High")</f>
        <v>High</v>
      </c>
      <c r="P1383" s="5" t="str">
        <f ca="1">IFERROR(__xludf.DUMMYFUNCTION("""COMPUTED_VALUE"""),"Hallway")</f>
        <v>Hallway</v>
      </c>
      <c r="Q1383" s="5" t="str">
        <f ca="1">IFERROR(__xludf.DUMMYFUNCTION("""COMPUTED_VALUE"""),"Inside School Building")</f>
        <v>Inside School Building</v>
      </c>
      <c r="R1383" s="5" t="str">
        <f ca="1">IFERROR(__xludf.DUMMYFUNCTION("""COMPUTED_VALUE"""),"Yes")</f>
        <v>Yes</v>
      </c>
      <c r="S1383" s="5" t="str">
        <f ca="1">IFERROR(__xludf.DUMMYFUNCTION("""COMPUTED_VALUE"""),"School Start")</f>
        <v>School Start</v>
      </c>
      <c r="T1383" s="10">
        <f ca="1">IFERROR(__xludf.DUMMYFUNCTION("""COMPUTED_VALUE"""),0.309027777777777)</f>
        <v>0.30902777777777701</v>
      </c>
      <c r="U1383" s="5">
        <f ca="1">IFERROR(__xludf.DUMMYFUNCTION("""COMPUTED_VALUE"""),1)</f>
        <v>1</v>
      </c>
      <c r="V1383" s="5" t="str">
        <f ca="1">IFERROR(__xludf.DUMMYFUNCTION("""COMPUTED_VALUE"""),"Police officer shot by teen in school")</f>
        <v>Police officer shot by teen in school</v>
      </c>
      <c r="W1383"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X1383" s="5" t="str">
        <f ca="1">IFERROR(__xludf.DUMMYFUNCTION("""COMPUTED_VALUE"""),"Escalation of Dispute")</f>
        <v>Escalation of Dispute</v>
      </c>
      <c r="Y1383" s="5"/>
      <c r="Z1383" s="5" t="str">
        <f ca="1">IFERROR(__xludf.DUMMYFUNCTION("""COMPUTED_VALUE"""),"Yes")</f>
        <v>Yes</v>
      </c>
      <c r="AA1383" s="5" t="str">
        <f ca="1">IFERROR(__xludf.DUMMYFUNCTION("""COMPUTED_VALUE"""),"Two teens, one was shooter")</f>
        <v>Two teens, one was shooter</v>
      </c>
      <c r="AB1383" s="5" t="str">
        <f ca="1">IFERROR(__xludf.DUMMYFUNCTION("""COMPUTED_VALUE"""),"No")</f>
        <v>No</v>
      </c>
      <c r="AC1383" s="5" t="str">
        <f ca="1">IFERROR(__xludf.DUMMYFUNCTION("""COMPUTED_VALUE"""),"No")</f>
        <v>No</v>
      </c>
      <c r="AD1383" s="5" t="str">
        <f ca="1">IFERROR(__xludf.DUMMYFUNCTION("""COMPUTED_VALUE"""),"No")</f>
        <v>No</v>
      </c>
      <c r="AE1383" s="5" t="str">
        <f ca="1">IFERROR(__xludf.DUMMYFUNCTION("""COMPUTED_VALUE"""),"No")</f>
        <v>No</v>
      </c>
      <c r="AF1383" s="5" t="str">
        <f ca="1">IFERROR(__xludf.DUMMYFUNCTION("""COMPUTED_VALUE"""),"No")</f>
        <v>No</v>
      </c>
      <c r="AG1383" s="5"/>
      <c r="AH1383" s="5"/>
    </row>
    <row r="1384" spans="1:34" ht="12.75">
      <c r="A1384" s="5" t="str">
        <f ca="1">IFERROR(__xludf.DUMMYFUNCTION("""COMPUTED_VALUE"""),"20010607TXOUA")</f>
        <v>20010607TXOUA</v>
      </c>
      <c r="B1384" s="8">
        <f ca="1">IFERROR(__xludf.DUMMYFUNCTION("""COMPUTED_VALUE"""),37049)</f>
        <v>37049</v>
      </c>
      <c r="C1384" s="5" t="str">
        <f ca="1">IFERROR(__xludf.DUMMYFUNCTION("""COMPUTED_VALUE"""),"Ousley Junior High School")</f>
        <v>Ousley Junior High School</v>
      </c>
      <c r="D1384" s="5">
        <f ca="1">IFERROR(__xludf.DUMMYFUNCTION("""COMPUTED_VALUE"""),1)</f>
        <v>1</v>
      </c>
      <c r="E1384" s="5">
        <f ca="1">IFERROR(__xludf.DUMMYFUNCTION("""COMPUTED_VALUE"""),0)</f>
        <v>0</v>
      </c>
      <c r="F1384" s="5">
        <f ca="1">IFERROR(__xludf.DUMMYFUNCTION("""COMPUTED_VALUE"""),1)</f>
        <v>1</v>
      </c>
      <c r="G1384" s="5">
        <f ca="1">IFERROR(__xludf.DUMMYFUNCTION("""COMPUTED_VALUE"""),0)</f>
        <v>0</v>
      </c>
      <c r="H1384"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I1384" s="5"/>
      <c r="J1384" s="5"/>
      <c r="K1384" s="5">
        <f ca="1">IFERROR(__xludf.DUMMYFUNCTION("""COMPUTED_VALUE"""),3)</f>
        <v>3</v>
      </c>
      <c r="L1384" s="5" t="str">
        <f ca="1">IFERROR(__xludf.DUMMYFUNCTION("""COMPUTED_VALUE"""),"Summer")</f>
        <v>Summer</v>
      </c>
      <c r="M1384" s="5" t="str">
        <f ca="1">IFERROR(__xludf.DUMMYFUNCTION("""COMPUTED_VALUE"""),"Arlington")</f>
        <v>Arlington</v>
      </c>
      <c r="N1384" s="5" t="str">
        <f ca="1">IFERROR(__xludf.DUMMYFUNCTION("""COMPUTED_VALUE"""),"TX")</f>
        <v>TX</v>
      </c>
      <c r="O1384" s="5" t="str">
        <f ca="1">IFERROR(__xludf.DUMMYFUNCTION("""COMPUTED_VALUE"""),"High")</f>
        <v>High</v>
      </c>
      <c r="P1384" s="5" t="str">
        <f ca="1">IFERROR(__xludf.DUMMYFUNCTION("""COMPUTED_VALUE"""),"Hallway")</f>
        <v>Hallway</v>
      </c>
      <c r="Q1384" s="5" t="str">
        <f ca="1">IFERROR(__xludf.DUMMYFUNCTION("""COMPUTED_VALUE"""),"Inside School Building")</f>
        <v>Inside School Building</v>
      </c>
      <c r="R1384" s="5" t="str">
        <f ca="1">IFERROR(__xludf.DUMMYFUNCTION("""COMPUTED_VALUE"""),"No")</f>
        <v>No</v>
      </c>
      <c r="S1384" s="5" t="str">
        <f ca="1">IFERROR(__xludf.DUMMYFUNCTION("""COMPUTED_VALUE"""),"Not a School Day")</f>
        <v>Not a School Day</v>
      </c>
      <c r="T1384" s="10">
        <f ca="1">IFERROR(__xludf.DUMMYFUNCTION("""COMPUTED_VALUE"""),0.756944444444444)</f>
        <v>0.75694444444444398</v>
      </c>
      <c r="U1384" s="5">
        <f ca="1">IFERROR(__xludf.DUMMYFUNCTION("""COMPUTED_VALUE"""),1)</f>
        <v>1</v>
      </c>
      <c r="V1384" s="5" t="str">
        <f ca="1">IFERROR(__xludf.DUMMYFUNCTION("""COMPUTED_VALUE"""),"Officer killed during training drill at school")</f>
        <v>Officer killed during training drill at school</v>
      </c>
      <c r="W1384" s="5" t="str">
        <f ca="1">IFERROR(__xludf.DUMMYFUNCTION("""COMPUTED_VALUE"""),"Police officer was killed by a real round rather than a training round during a drill at the school.")</f>
        <v>Police officer was killed by a real round rather than a training round during a drill at the school.</v>
      </c>
      <c r="X1384" s="5" t="str">
        <f ca="1">IFERROR(__xludf.DUMMYFUNCTION("""COMPUTED_VALUE"""),"Accidental")</f>
        <v>Accidental</v>
      </c>
      <c r="Y1384" s="5" t="str">
        <f ca="1">IFERROR(__xludf.DUMMYFUNCTION("""COMPUTED_VALUE"""),"Random Shooting")</f>
        <v>Random Shooting</v>
      </c>
      <c r="Z1384" s="5" t="str">
        <f ca="1">IFERROR(__xludf.DUMMYFUNCTION("""COMPUTED_VALUE"""),"No")</f>
        <v>No</v>
      </c>
      <c r="AA1384" s="5"/>
      <c r="AB1384" s="5" t="str">
        <f ca="1">IFERROR(__xludf.DUMMYFUNCTION("""COMPUTED_VALUE"""),"No")</f>
        <v>No</v>
      </c>
      <c r="AC1384" s="5" t="str">
        <f ca="1">IFERROR(__xludf.DUMMYFUNCTION("""COMPUTED_VALUE"""),"No")</f>
        <v>No</v>
      </c>
      <c r="AD1384" s="5" t="str">
        <f ca="1">IFERROR(__xludf.DUMMYFUNCTION("""COMPUTED_VALUE"""),"Yes")</f>
        <v>Yes</v>
      </c>
      <c r="AE1384" s="5" t="str">
        <f ca="1">IFERROR(__xludf.DUMMYFUNCTION("""COMPUTED_VALUE"""),"N/A")</f>
        <v>N/A</v>
      </c>
      <c r="AF1384" s="5" t="str">
        <f ca="1">IFERROR(__xludf.DUMMYFUNCTION("""COMPUTED_VALUE"""),"N/A")</f>
        <v>N/A</v>
      </c>
      <c r="AG1384" s="5" t="str">
        <f ca="1">IFERROR(__xludf.DUMMYFUNCTION("""COMPUTED_VALUE"""),"N/A")</f>
        <v>N/A</v>
      </c>
      <c r="AH1384" s="5" t="str">
        <f ca="1">IFERROR(__xludf.DUMMYFUNCTION("""COMPUTED_VALUE"""),"N/A")</f>
        <v>N/A</v>
      </c>
    </row>
    <row r="1385" spans="1:34" ht="12.75">
      <c r="A1385" s="5" t="str">
        <f ca="1">IFERROR(__xludf.DUMMYFUNCTION("""COMPUTED_VALUE"""),"20010515TXENE")</f>
        <v>20010515TXENE</v>
      </c>
      <c r="B1385" s="8">
        <f ca="1">IFERROR(__xludf.DUMMYFUNCTION("""COMPUTED_VALUE"""),37026)</f>
        <v>37026</v>
      </c>
      <c r="C1385" s="5" t="str">
        <f ca="1">IFERROR(__xludf.DUMMYFUNCTION("""COMPUTED_VALUE"""),"Ennis High School")</f>
        <v>Ennis High School</v>
      </c>
      <c r="D1385" s="5">
        <f ca="1">IFERROR(__xludf.DUMMYFUNCTION("""COMPUTED_VALUE"""),0)</f>
        <v>0</v>
      </c>
      <c r="E1385" s="5">
        <f ca="1">IFERROR(__xludf.DUMMYFUNCTION("""COMPUTED_VALUE"""),0)</f>
        <v>0</v>
      </c>
      <c r="F1385" s="5">
        <f ca="1">IFERROR(__xludf.DUMMYFUNCTION("""COMPUTED_VALUE"""),0)</f>
        <v>0</v>
      </c>
      <c r="G1385" s="5">
        <f ca="1">IFERROR(__xludf.DUMMYFUNCTION("""COMPUTED_VALUE"""),1)</f>
        <v>1</v>
      </c>
      <c r="H1385" s="9" t="str">
        <f ca="1">IFERROR(__xludf.DUMMYFUNCTION("""COMPUTED_VALUE"""),"https://www.deseretnews.com/article/843018/Texas-teen-kills-himself-at-school.html")</f>
        <v>https://www.deseretnews.com/article/843018/Texas-teen-kills-himself-at-school.html</v>
      </c>
      <c r="I1385" s="5"/>
      <c r="J1385" s="5"/>
      <c r="K1385" s="5">
        <f ca="1">IFERROR(__xludf.DUMMYFUNCTION("""COMPUTED_VALUE"""),2)</f>
        <v>2</v>
      </c>
      <c r="L1385" s="5" t="str">
        <f ca="1">IFERROR(__xludf.DUMMYFUNCTION("""COMPUTED_VALUE"""),"Spring")</f>
        <v>Spring</v>
      </c>
      <c r="M1385" s="5" t="str">
        <f ca="1">IFERROR(__xludf.DUMMYFUNCTION("""COMPUTED_VALUE"""),"Ennis")</f>
        <v>Ennis</v>
      </c>
      <c r="N1385" s="5" t="str">
        <f ca="1">IFERROR(__xludf.DUMMYFUNCTION("""COMPUTED_VALUE"""),"TX")</f>
        <v>TX</v>
      </c>
      <c r="O1385" s="5" t="str">
        <f ca="1">IFERROR(__xludf.DUMMYFUNCTION("""COMPUTED_VALUE"""),"High")</f>
        <v>High</v>
      </c>
      <c r="P1385" s="5" t="str">
        <f ca="1">IFERROR(__xludf.DUMMYFUNCTION("""COMPUTED_VALUE"""),"Classroom")</f>
        <v>Classroom</v>
      </c>
      <c r="Q1385" s="5" t="str">
        <f ca="1">IFERROR(__xludf.DUMMYFUNCTION("""COMPUTED_VALUE"""),"Inside School Building")</f>
        <v>Inside School Building</v>
      </c>
      <c r="R1385" s="5" t="str">
        <f ca="1">IFERROR(__xludf.DUMMYFUNCTION("""COMPUTED_VALUE"""),"Yes")</f>
        <v>Yes</v>
      </c>
      <c r="S1385" s="5" t="str">
        <f ca="1">IFERROR(__xludf.DUMMYFUNCTION("""COMPUTED_VALUE"""),"Morning Classes")</f>
        <v>Morning Classes</v>
      </c>
      <c r="T1385" s="10">
        <f ca="1">IFERROR(__xludf.DUMMYFUNCTION("""COMPUTED_VALUE"""),0.5)</f>
        <v>0.5</v>
      </c>
      <c r="U1385" s="5"/>
      <c r="V1385" s="5" t="str">
        <f ca="1">IFERROR(__xludf.DUMMYFUNCTION("""COMPUTED_VALUE"""),"Held class hostage, shot TV, and then shot self")</f>
        <v>Held class hostage, shot TV, and then shot self</v>
      </c>
      <c r="W1385"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X1385" s="5" t="str">
        <f ca="1">IFERROR(__xludf.DUMMYFUNCTION("""COMPUTED_VALUE"""),"Suicide/Attempted")</f>
        <v>Suicide/Attempted</v>
      </c>
      <c r="Y1385" s="5" t="str">
        <f ca="1">IFERROR(__xludf.DUMMYFUNCTION("""COMPUTED_VALUE"""),"Neither")</f>
        <v>Neither</v>
      </c>
      <c r="Z1385" s="5" t="str">
        <f ca="1">IFERROR(__xludf.DUMMYFUNCTION("""COMPUTED_VALUE"""),"No")</f>
        <v>No</v>
      </c>
      <c r="AA1385" s="5"/>
      <c r="AB1385" s="5" t="str">
        <f ca="1">IFERROR(__xludf.DUMMYFUNCTION("""COMPUTED_VALUE"""),"Yes")</f>
        <v>Yes</v>
      </c>
      <c r="AC1385" s="5" t="str">
        <f ca="1">IFERROR(__xludf.DUMMYFUNCTION("""COMPUTED_VALUE"""),"Yes")</f>
        <v>Yes</v>
      </c>
      <c r="AD1385" s="5" t="str">
        <f ca="1">IFERROR(__xludf.DUMMYFUNCTION("""COMPUTED_VALUE"""),"No")</f>
        <v>No</v>
      </c>
      <c r="AE1385" s="5" t="str">
        <f ca="1">IFERROR(__xludf.DUMMYFUNCTION("""COMPUTED_VALUE"""),"No")</f>
        <v>No</v>
      </c>
      <c r="AF1385" s="5" t="str">
        <f ca="1">IFERROR(__xludf.DUMMYFUNCTION("""COMPUTED_VALUE"""),"No")</f>
        <v>No</v>
      </c>
      <c r="AG1385" s="5" t="str">
        <f ca="1">IFERROR(__xludf.DUMMYFUNCTION("""COMPUTED_VALUE"""),"No")</f>
        <v>No</v>
      </c>
      <c r="AH1385" s="5" t="str">
        <f ca="1">IFERROR(__xludf.DUMMYFUNCTION("""COMPUTED_VALUE"""),"Yes")</f>
        <v>Yes</v>
      </c>
    </row>
    <row r="1386" spans="1:34" ht="12.75">
      <c r="A1386" s="5" t="str">
        <f ca="1">IFERROR(__xludf.DUMMYFUNCTION("""COMPUTED_VALUE"""),"20010425OHJOC")</f>
        <v>20010425OHJOC</v>
      </c>
      <c r="B1386" s="8">
        <f ca="1">IFERROR(__xludf.DUMMYFUNCTION("""COMPUTED_VALUE"""),37006)</f>
        <v>37006</v>
      </c>
      <c r="C1386" s="5" t="str">
        <f ca="1">IFERROR(__xludf.DUMMYFUNCTION("""COMPUTED_VALUE"""),"John Marshall High School")</f>
        <v>John Marshall High School</v>
      </c>
      <c r="D1386" s="5">
        <f ca="1">IFERROR(__xludf.DUMMYFUNCTION("""COMPUTED_VALUE"""),1)</f>
        <v>1</v>
      </c>
      <c r="E1386" s="5">
        <f ca="1">IFERROR(__xludf.DUMMYFUNCTION("""COMPUTED_VALUE"""),0)</f>
        <v>0</v>
      </c>
      <c r="F1386" s="5">
        <f ca="1">IFERROR(__xludf.DUMMYFUNCTION("""COMPUTED_VALUE"""),1)</f>
        <v>1</v>
      </c>
      <c r="G1386" s="5">
        <f ca="1">IFERROR(__xludf.DUMMYFUNCTION("""COMPUTED_VALUE"""),0)</f>
        <v>0</v>
      </c>
      <c r="H1386" s="9" t="str">
        <f ca="1">IFERROR(__xludf.DUMMYFUNCTION("""COMPUTED_VALUE"""),"https://nthfmemorial.org/mystery-in-ohio-demetrius-minifee/")</f>
        <v>https://nthfmemorial.org/mystery-in-ohio-demetrius-minifee/</v>
      </c>
      <c r="I1386" s="5"/>
      <c r="J1386" s="5"/>
      <c r="K1386" s="5">
        <f ca="1">IFERROR(__xludf.DUMMYFUNCTION("""COMPUTED_VALUE"""),1)</f>
        <v>1</v>
      </c>
      <c r="L1386" s="5" t="str">
        <f ca="1">IFERROR(__xludf.DUMMYFUNCTION("""COMPUTED_VALUE"""),"Spring")</f>
        <v>Spring</v>
      </c>
      <c r="M1386" s="5" t="str">
        <f ca="1">IFERROR(__xludf.DUMMYFUNCTION("""COMPUTED_VALUE"""),"Cleveland")</f>
        <v>Cleveland</v>
      </c>
      <c r="N1386" s="5" t="str">
        <f ca="1">IFERROR(__xludf.DUMMYFUNCTION("""COMPUTED_VALUE"""),"OH")</f>
        <v>OH</v>
      </c>
      <c r="O1386" s="5" t="str">
        <f ca="1">IFERROR(__xludf.DUMMYFUNCTION("""COMPUTED_VALUE"""),"High")</f>
        <v>High</v>
      </c>
      <c r="P1386" s="5" t="str">
        <f ca="1">IFERROR(__xludf.DUMMYFUNCTION("""COMPUTED_VALUE"""),"Parking Lot")</f>
        <v>Parking Lot</v>
      </c>
      <c r="Q1386" s="5" t="str">
        <f ca="1">IFERROR(__xludf.DUMMYFUNCTION("""COMPUTED_VALUE"""),"Outside on School Property")</f>
        <v>Outside on School Property</v>
      </c>
      <c r="R1386" s="5" t="str">
        <f ca="1">IFERROR(__xludf.DUMMYFUNCTION("""COMPUTED_VALUE"""),"No")</f>
        <v>No</v>
      </c>
      <c r="S1386" s="5" t="str">
        <f ca="1">IFERROR(__xludf.DUMMYFUNCTION("""COMPUTED_VALUE"""),"Night")</f>
        <v>Night</v>
      </c>
      <c r="T1386" s="10">
        <f ca="1">IFERROR(__xludf.DUMMYFUNCTION("""COMPUTED_VALUE"""),0.958333333333333)</f>
        <v>0.95833333333333304</v>
      </c>
      <c r="U1386" s="5">
        <f ca="1">IFERROR(__xludf.DUMMYFUNCTION("""COMPUTED_VALUE"""),1)</f>
        <v>1</v>
      </c>
      <c r="V1386" s="5" t="str">
        <f ca="1">IFERROR(__xludf.DUMMYFUNCTION("""COMPUTED_VALUE"""),"Janitor shot outside of school, no suspects")</f>
        <v>Janitor shot outside of school, no suspects</v>
      </c>
      <c r="W1386"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X1386" s="5" t="str">
        <f ca="1">IFERROR(__xludf.DUMMYFUNCTION("""COMPUTED_VALUE"""),"Unknown")</f>
        <v>Unknown</v>
      </c>
      <c r="Y1386" s="5"/>
      <c r="Z1386" s="5" t="str">
        <f ca="1">IFERROR(__xludf.DUMMYFUNCTION("""COMPUTED_VALUE"""),"Unknown")</f>
        <v>Unknown</v>
      </c>
      <c r="AA1386" s="5"/>
      <c r="AB1386" s="5" t="str">
        <f ca="1">IFERROR(__xludf.DUMMYFUNCTION("""COMPUTED_VALUE"""),"No")</f>
        <v>No</v>
      </c>
      <c r="AC1386" s="5" t="str">
        <f ca="1">IFERROR(__xludf.DUMMYFUNCTION("""COMPUTED_VALUE"""),"No")</f>
        <v>No</v>
      </c>
      <c r="AD1386" s="5" t="str">
        <f ca="1">IFERROR(__xludf.DUMMYFUNCTION("""COMPUTED_VALUE"""),"No")</f>
        <v>No</v>
      </c>
      <c r="AE1386" s="5" t="str">
        <f ca="1">IFERROR(__xludf.DUMMYFUNCTION("""COMPUTED_VALUE"""),"No")</f>
        <v>No</v>
      </c>
      <c r="AF1386" s="5" t="str">
        <f ca="1">IFERROR(__xludf.DUMMYFUNCTION("""COMPUTED_VALUE"""),"No")</f>
        <v>No</v>
      </c>
      <c r="AG1386" s="5"/>
      <c r="AH1386" s="5"/>
    </row>
    <row r="1387" spans="1:34" ht="12.75">
      <c r="A1387" s="5" t="str">
        <f ca="1">IFERROR(__xludf.DUMMYFUNCTION("""COMPUTED_VALUE"""),"20010420LAMOM")</f>
        <v>20010420LAMOM</v>
      </c>
      <c r="B1387" s="8">
        <f ca="1">IFERROR(__xludf.DUMMYFUNCTION("""COMPUTED_VALUE"""),37001)</f>
        <v>37001</v>
      </c>
      <c r="C1387" s="5" t="str">
        <f ca="1">IFERROR(__xludf.DUMMYFUNCTION("""COMPUTED_VALUE"""),"Monroe City Alternative Center")</f>
        <v>Monroe City Alternative Center</v>
      </c>
      <c r="D1387" s="5">
        <f ca="1">IFERROR(__xludf.DUMMYFUNCTION("""COMPUTED_VALUE"""),0)</f>
        <v>0</v>
      </c>
      <c r="E1387" s="5">
        <f ca="1">IFERROR(__xludf.DUMMYFUNCTION("""COMPUTED_VALUE"""),0)</f>
        <v>0</v>
      </c>
      <c r="F1387" s="5">
        <f ca="1">IFERROR(__xludf.DUMMYFUNCTION("""COMPUTED_VALUE"""),0)</f>
        <v>0</v>
      </c>
      <c r="G1387" s="5">
        <f ca="1">IFERROR(__xludf.DUMMYFUNCTION("""COMPUTED_VALUE"""),0)</f>
        <v>0</v>
      </c>
      <c r="H1387" s="9" t="str">
        <f ca="1">IFERROR(__xludf.DUMMYFUNCTION("""COMPUTED_VALUE"""),"https://products.kitsapsun.com/archive/2001/04-21/0043_in_the_headlines.html")</f>
        <v>https://products.kitsapsun.com/archive/2001/04-21/0043_in_the_headlines.html</v>
      </c>
      <c r="I1387" s="5"/>
      <c r="J1387" s="5"/>
      <c r="K1387" s="5">
        <f ca="1">IFERROR(__xludf.DUMMYFUNCTION("""COMPUTED_VALUE"""),2)</f>
        <v>2</v>
      </c>
      <c r="L1387" s="5" t="str">
        <f ca="1">IFERROR(__xludf.DUMMYFUNCTION("""COMPUTED_VALUE"""),"Spring")</f>
        <v>Spring</v>
      </c>
      <c r="M1387" s="5" t="str">
        <f ca="1">IFERROR(__xludf.DUMMYFUNCTION("""COMPUTED_VALUE"""),"Monroe")</f>
        <v>Monroe</v>
      </c>
      <c r="N1387" s="5" t="str">
        <f ca="1">IFERROR(__xludf.DUMMYFUNCTION("""COMPUTED_VALUE"""),"LA")</f>
        <v>LA</v>
      </c>
      <c r="O1387" s="5" t="str">
        <f ca="1">IFERROR(__xludf.DUMMYFUNCTION("""COMPUTED_VALUE"""),"High")</f>
        <v>High</v>
      </c>
      <c r="P1387" s="5" t="str">
        <f ca="1">IFERROR(__xludf.DUMMYFUNCTION("""COMPUTED_VALUE"""),"Hallway; Beside Building")</f>
        <v>Hallway; Beside Building</v>
      </c>
      <c r="Q1387" s="5" t="str">
        <f ca="1">IFERROR(__xludf.DUMMYFUNCTION("""COMPUTED_VALUE"""),"Both Inside/Outside")</f>
        <v>Both Inside/Outside</v>
      </c>
      <c r="R1387" s="5" t="str">
        <f ca="1">IFERROR(__xludf.DUMMYFUNCTION("""COMPUTED_VALUE"""),"Yes")</f>
        <v>Yes</v>
      </c>
      <c r="S1387" s="5" t="str">
        <f ca="1">IFERROR(__xludf.DUMMYFUNCTION("""COMPUTED_VALUE"""),"School Start")</f>
        <v>School Start</v>
      </c>
      <c r="T1387" s="10">
        <f ca="1">IFERROR(__xludf.DUMMYFUNCTION("""COMPUTED_VALUE"""),0.305555555555555)</f>
        <v>0.30555555555555503</v>
      </c>
      <c r="U1387" s="5"/>
      <c r="V1387" s="5" t="str">
        <f ca="1">IFERROR(__xludf.DUMMYFUNCTION("""COMPUTED_VALUE"""),"Student fired 5 shots that missed, students were able to block doors until police arrived")</f>
        <v>Student fired 5 shots that missed, students were able to block doors until police arrived</v>
      </c>
      <c r="W1387"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X1387" s="5" t="str">
        <f ca="1">IFERROR(__xludf.DUMMYFUNCTION("""COMPUTED_VALUE"""),"Anger Over Grade/Suspension/Discipline")</f>
        <v>Anger Over Grade/Suspension/Discipline</v>
      </c>
      <c r="Y1387" s="5"/>
      <c r="Z1387" s="5" t="str">
        <f ca="1">IFERROR(__xludf.DUMMYFUNCTION("""COMPUTED_VALUE"""),"No")</f>
        <v>No</v>
      </c>
      <c r="AA1387" s="5"/>
      <c r="AB1387" s="5" t="str">
        <f ca="1">IFERROR(__xludf.DUMMYFUNCTION("""COMPUTED_VALUE"""),"No")</f>
        <v>No</v>
      </c>
      <c r="AC1387" s="5" t="str">
        <f ca="1">IFERROR(__xludf.DUMMYFUNCTION("""COMPUTED_VALUE"""),"No")</f>
        <v>No</v>
      </c>
      <c r="AD1387" s="5" t="str">
        <f ca="1">IFERROR(__xludf.DUMMYFUNCTION("""COMPUTED_VALUE"""),"No")</f>
        <v>No</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IFERROR(__xludf.DUMMYFUNCTION("""COMPUTED_VALUE"""),"Yes")</f>
        <v>Yes</v>
      </c>
    </row>
    <row r="1388" spans="1:34" ht="12.75">
      <c r="A1388" s="5" t="str">
        <f ca="1">IFERROR(__xludf.DUMMYFUNCTION("""COMPUTED_VALUE"""),"20010410WAWAM")</f>
        <v>20010410WAWAM</v>
      </c>
      <c r="B1388" s="8">
        <f ca="1">IFERROR(__xludf.DUMMYFUNCTION("""COMPUTED_VALUE"""),36991)</f>
        <v>36991</v>
      </c>
      <c r="C1388" s="5" t="str">
        <f ca="1">IFERROR(__xludf.DUMMYFUNCTION("""COMPUTED_VALUE"""),"Wahluke High School")</f>
        <v>Wahluke High School</v>
      </c>
      <c r="D1388" s="5">
        <f ca="1">IFERROR(__xludf.DUMMYFUNCTION("""COMPUTED_VALUE"""),0)</f>
        <v>0</v>
      </c>
      <c r="E1388" s="5">
        <f ca="1">IFERROR(__xludf.DUMMYFUNCTION("""COMPUTED_VALUE"""),0)</f>
        <v>0</v>
      </c>
      <c r="F1388" s="5">
        <f ca="1">IFERROR(__xludf.DUMMYFUNCTION("""COMPUTED_VALUE"""),0)</f>
        <v>0</v>
      </c>
      <c r="G1388" s="5">
        <f ca="1">IFERROR(__xludf.DUMMYFUNCTION("""COMPUTED_VALUE"""),0)</f>
        <v>0</v>
      </c>
      <c r="H1388" s="5" t="str">
        <f ca="1">IFERROR(__xludf.DUMMYFUNCTION("""COMPUTED_VALUE"""),"http://articles.latimes.com/2004/mar/21/nation/na-violent21 http://www.thehealthjournals.com/dark-side-antidepressants/")</f>
        <v>http://articles.latimes.com/2004/mar/21/nation/na-violent21 http://www.thehealthjournals.com/dark-side-antidepressants/</v>
      </c>
      <c r="I1388" s="5"/>
      <c r="J1388" s="5"/>
      <c r="K1388" s="5">
        <f ca="1">IFERROR(__xludf.DUMMYFUNCTION("""COMPUTED_VALUE"""),3)</f>
        <v>3</v>
      </c>
      <c r="L1388" s="5" t="str">
        <f ca="1">IFERROR(__xludf.DUMMYFUNCTION("""COMPUTED_VALUE"""),"Spring")</f>
        <v>Spring</v>
      </c>
      <c r="M1388" s="5" t="str">
        <f ca="1">IFERROR(__xludf.DUMMYFUNCTION("""COMPUTED_VALUE"""),"Mattawa")</f>
        <v>Mattawa</v>
      </c>
      <c r="N1388" s="5" t="str">
        <f ca="1">IFERROR(__xludf.DUMMYFUNCTION("""COMPUTED_VALUE"""),"WA")</f>
        <v>WA</v>
      </c>
      <c r="O1388" s="5" t="str">
        <f ca="1">IFERROR(__xludf.DUMMYFUNCTION("""COMPUTED_VALUE"""),"High")</f>
        <v>High</v>
      </c>
      <c r="P1388" s="5" t="str">
        <f ca="1">IFERROR(__xludf.DUMMYFUNCTION("""COMPUTED_VALUE"""),"Classroom")</f>
        <v>Classroom</v>
      </c>
      <c r="Q1388" s="5" t="str">
        <f ca="1">IFERROR(__xludf.DUMMYFUNCTION("""COMPUTED_VALUE"""),"Inside School Building")</f>
        <v>Inside School Building</v>
      </c>
      <c r="R1388" s="5" t="str">
        <f ca="1">IFERROR(__xludf.DUMMYFUNCTION("""COMPUTED_VALUE"""),"Yes")</f>
        <v>Yes</v>
      </c>
      <c r="S1388" s="5"/>
      <c r="T1388" s="5"/>
      <c r="U1388" s="5">
        <f ca="1">IFERROR(__xludf.DUMMYFUNCTION("""COMPUTED_VALUE"""),45)</f>
        <v>45</v>
      </c>
      <c r="V1388" s="5" t="str">
        <f ca="1">IFERROR(__xludf.DUMMYFUNCTION("""COMPUTED_VALUE"""),"Held class hostage, recent change in medication")</f>
        <v>Held class hostage, recent change in medication</v>
      </c>
      <c r="W1388"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X1388" s="5" t="str">
        <f ca="1">IFERROR(__xludf.DUMMYFUNCTION("""COMPUTED_VALUE"""),"Hostage/Standoff")</f>
        <v>Hostage/Standoff</v>
      </c>
      <c r="Y1388" s="5" t="str">
        <f ca="1">IFERROR(__xludf.DUMMYFUNCTION("""COMPUTED_VALUE"""),"Neither")</f>
        <v>Neither</v>
      </c>
      <c r="Z1388" s="5" t="str">
        <f ca="1">IFERROR(__xludf.DUMMYFUNCTION("""COMPUTED_VALUE"""),"No")</f>
        <v>No</v>
      </c>
      <c r="AA1388" s="5"/>
      <c r="AB1388" s="5" t="str">
        <f ca="1">IFERROR(__xludf.DUMMYFUNCTION("""COMPUTED_VALUE"""),"Yes")</f>
        <v>Yes</v>
      </c>
      <c r="AC1388" s="5" t="str">
        <f ca="1">IFERROR(__xludf.DUMMYFUNCTION("""COMPUTED_VALUE"""),"No")</f>
        <v>No</v>
      </c>
      <c r="AD1388" s="5" t="str">
        <f ca="1">IFERROR(__xludf.DUMMYFUNCTION("""COMPUTED_VALUE"""),"No")</f>
        <v>No</v>
      </c>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IFERROR(__xludf.DUMMYFUNCTION("""COMPUTED_VALUE"""),"Yes")</f>
        <v>Yes</v>
      </c>
    </row>
    <row r="1389" spans="1:34" ht="12.75">
      <c r="A1389" s="5" t="str">
        <f ca="1">IFERROR(__xludf.DUMMYFUNCTION("""COMPUTED_VALUE"""),"20010402TXKLH")</f>
        <v>20010402TXKLH</v>
      </c>
      <c r="B1389" s="8">
        <f ca="1">IFERROR(__xludf.DUMMYFUNCTION("""COMPUTED_VALUE"""),36983)</f>
        <v>36983</v>
      </c>
      <c r="C1389" s="5" t="str">
        <f ca="1">IFERROR(__xludf.DUMMYFUNCTION("""COMPUTED_VALUE"""),"Kleb Intermediate School")</f>
        <v>Kleb Intermediate School</v>
      </c>
      <c r="D1389" s="5">
        <f ca="1">IFERROR(__xludf.DUMMYFUNCTION("""COMPUTED_VALUE"""),0)</f>
        <v>0</v>
      </c>
      <c r="E1389" s="5">
        <f ca="1">IFERROR(__xludf.DUMMYFUNCTION("""COMPUTED_VALUE"""),0)</f>
        <v>0</v>
      </c>
      <c r="F1389" s="5">
        <f ca="1">IFERROR(__xludf.DUMMYFUNCTION("""COMPUTED_VALUE"""),0)</f>
        <v>0</v>
      </c>
      <c r="G1389" s="5">
        <f ca="1">IFERROR(__xludf.DUMMYFUNCTION("""COMPUTED_VALUE"""),1)</f>
        <v>1</v>
      </c>
      <c r="H1389" s="9" t="str">
        <f ca="1">IFERROR(__xludf.DUMMYFUNCTION("""COMPUTED_VALUE"""),"https://www.chron.com/news/houston-texas/article/Eighth-grade-girl-dies-after-shooting-herself-at-2012069.php")</f>
        <v>https://www.chron.com/news/houston-texas/article/Eighth-grade-girl-dies-after-shooting-herself-at-2012069.php</v>
      </c>
      <c r="I1389" s="5"/>
      <c r="J1389" s="5"/>
      <c r="K1389" s="5">
        <f ca="1">IFERROR(__xludf.DUMMYFUNCTION("""COMPUTED_VALUE"""),2)</f>
        <v>2</v>
      </c>
      <c r="L1389" s="5" t="str">
        <f ca="1">IFERROR(__xludf.DUMMYFUNCTION("""COMPUTED_VALUE"""),"Spring")</f>
        <v>Spring</v>
      </c>
      <c r="M1389" s="5" t="str">
        <f ca="1">IFERROR(__xludf.DUMMYFUNCTION("""COMPUTED_VALUE"""),"Houston")</f>
        <v>Houston</v>
      </c>
      <c r="N1389" s="5" t="str">
        <f ca="1">IFERROR(__xludf.DUMMYFUNCTION("""COMPUTED_VALUE"""),"TX")</f>
        <v>TX</v>
      </c>
      <c r="O1389" s="5" t="str">
        <f ca="1">IFERROR(__xludf.DUMMYFUNCTION("""COMPUTED_VALUE"""),"High")</f>
        <v>High</v>
      </c>
      <c r="P1389" s="5" t="str">
        <f ca="1">IFERROR(__xludf.DUMMYFUNCTION("""COMPUTED_VALUE"""),"Bathroom")</f>
        <v>Bathroom</v>
      </c>
      <c r="Q1389" s="5" t="str">
        <f ca="1">IFERROR(__xludf.DUMMYFUNCTION("""COMPUTED_VALUE"""),"Inside School Building")</f>
        <v>Inside School Building</v>
      </c>
      <c r="R1389" s="5" t="str">
        <f ca="1">IFERROR(__xludf.DUMMYFUNCTION("""COMPUTED_VALUE"""),"Yes")</f>
        <v>Yes</v>
      </c>
      <c r="S1389" s="5" t="str">
        <f ca="1">IFERROR(__xludf.DUMMYFUNCTION("""COMPUTED_VALUE"""),"Morning Classes")</f>
        <v>Morning Classes</v>
      </c>
      <c r="T1389" s="10">
        <f ca="1">IFERROR(__xludf.DUMMYFUNCTION("""COMPUTED_VALUE"""),0.4375)</f>
        <v>0.4375</v>
      </c>
      <c r="U1389" s="5">
        <f ca="1">IFERROR(__xludf.DUMMYFUNCTION("""COMPUTED_VALUE"""),1)</f>
        <v>1</v>
      </c>
      <c r="V1389" s="5" t="str">
        <f ca="1">IFERROR(__xludf.DUMMYFUNCTION("""COMPUTED_VALUE"""),"Female student shot herself in bathroom")</f>
        <v>Female student shot herself in bathroom</v>
      </c>
      <c r="W1389"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X1389" s="5" t="str">
        <f ca="1">IFERROR(__xludf.DUMMYFUNCTION("""COMPUTED_VALUE"""),"Suicide/Attempted")</f>
        <v>Suicide/Attempted</v>
      </c>
      <c r="Y1389" s="5" t="str">
        <f ca="1">IFERROR(__xludf.DUMMYFUNCTION("""COMPUTED_VALUE"""),"Victims Targeted")</f>
        <v>Victims Targeted</v>
      </c>
      <c r="Z1389" s="5" t="str">
        <f ca="1">IFERROR(__xludf.DUMMYFUNCTION("""COMPUTED_VALUE"""),"No")</f>
        <v>No</v>
      </c>
      <c r="AA1389" s="5"/>
      <c r="AB1389" s="5" t="str">
        <f ca="1">IFERROR(__xludf.DUMMYFUNCTION("""COMPUTED_VALUE"""),"No")</f>
        <v>No</v>
      </c>
      <c r="AC1389" s="5" t="str">
        <f ca="1">IFERROR(__xludf.DUMMYFUNCTION("""COMPUTED_VALUE"""),"No")</f>
        <v>No</v>
      </c>
      <c r="AD1389" s="5" t="str">
        <f ca="1">IFERROR(__xludf.DUMMYFUNCTION("""COMPUTED_VALUE"""),"No")</f>
        <v>No</v>
      </c>
      <c r="AE1389" s="5" t="str">
        <f ca="1">IFERROR(__xludf.DUMMYFUNCTION("""COMPUTED_VALUE"""),"No")</f>
        <v>No</v>
      </c>
      <c r="AF1389" s="5" t="str">
        <f ca="1">IFERROR(__xludf.DUMMYFUNCTION("""COMPUTED_VALUE"""),"No")</f>
        <v>No</v>
      </c>
      <c r="AG1389" s="5" t="str">
        <f ca="1">IFERROR(__xludf.DUMMYFUNCTION("""COMPUTED_VALUE"""),"No")</f>
        <v>No</v>
      </c>
      <c r="AH1389" s="5"/>
    </row>
    <row r="1390" spans="1:34" ht="12.75">
      <c r="A1390" s="5" t="str">
        <f ca="1">IFERROR(__xludf.DUMMYFUNCTION("""COMPUTED_VALUE"""),"20010330INLEG")</f>
        <v>20010330INLEG</v>
      </c>
      <c r="B1390" s="8">
        <f ca="1">IFERROR(__xludf.DUMMYFUNCTION("""COMPUTED_VALUE"""),36980)</f>
        <v>36980</v>
      </c>
      <c r="C1390" s="5" t="str">
        <f ca="1">IFERROR(__xludf.DUMMYFUNCTION("""COMPUTED_VALUE"""),"Lew Wallace High School")</f>
        <v>Lew Wallace High School</v>
      </c>
      <c r="D1390" s="5">
        <f ca="1">IFERROR(__xludf.DUMMYFUNCTION("""COMPUTED_VALUE"""),1)</f>
        <v>1</v>
      </c>
      <c r="E1390" s="5">
        <f ca="1">IFERROR(__xludf.DUMMYFUNCTION("""COMPUTED_VALUE"""),0)</f>
        <v>0</v>
      </c>
      <c r="F1390" s="5">
        <f ca="1">IFERROR(__xludf.DUMMYFUNCTION("""COMPUTED_VALUE"""),1)</f>
        <v>1</v>
      </c>
      <c r="G1390" s="5">
        <f ca="1">IFERROR(__xludf.DUMMYFUNCTION("""COMPUTED_VALUE"""),0)</f>
        <v>0</v>
      </c>
      <c r="H1390" s="9" t="str">
        <f ca="1">IFERROR(__xludf.DUMMYFUNCTION("""COMPUTED_VALUE"""),"http://edition.cnn.com/2001/US/03/31/school.shooting/")</f>
        <v>http://edition.cnn.com/2001/US/03/31/school.shooting/</v>
      </c>
      <c r="I1390" s="5"/>
      <c r="J1390" s="5"/>
      <c r="K1390" s="5">
        <f ca="1">IFERROR(__xludf.DUMMYFUNCTION("""COMPUTED_VALUE"""),2)</f>
        <v>2</v>
      </c>
      <c r="L1390" s="5" t="str">
        <f ca="1">IFERROR(__xludf.DUMMYFUNCTION("""COMPUTED_VALUE"""),"Spring")</f>
        <v>Spring</v>
      </c>
      <c r="M1390" s="5" t="str">
        <f ca="1">IFERROR(__xludf.DUMMYFUNCTION("""COMPUTED_VALUE"""),"Gary")</f>
        <v>Gary</v>
      </c>
      <c r="N1390" s="5" t="str">
        <f ca="1">IFERROR(__xludf.DUMMYFUNCTION("""COMPUTED_VALUE"""),"IN")</f>
        <v>IN</v>
      </c>
      <c r="O1390" s="5" t="str">
        <f ca="1">IFERROR(__xludf.DUMMYFUNCTION("""COMPUTED_VALUE"""),"High")</f>
        <v>High</v>
      </c>
      <c r="P1390" s="5" t="str">
        <f ca="1">IFERROR(__xludf.DUMMYFUNCTION("""COMPUTED_VALUE"""),"Parking Lot")</f>
        <v>Parking Lot</v>
      </c>
      <c r="Q1390" s="5" t="str">
        <f ca="1">IFERROR(__xludf.DUMMYFUNCTION("""COMPUTED_VALUE"""),"Outside on School Property")</f>
        <v>Outside on School Property</v>
      </c>
      <c r="R1390" s="5" t="str">
        <f ca="1">IFERROR(__xludf.DUMMYFUNCTION("""COMPUTED_VALUE"""),"No")</f>
        <v>No</v>
      </c>
      <c r="S1390" s="5" t="str">
        <f ca="1">IFERROR(__xludf.DUMMYFUNCTION("""COMPUTED_VALUE"""),"School Start")</f>
        <v>School Start</v>
      </c>
      <c r="T1390" s="10">
        <f ca="1">IFERROR(__xludf.DUMMYFUNCTION("""COMPUTED_VALUE"""),0.34375)</f>
        <v>0.34375</v>
      </c>
      <c r="U1390" s="5">
        <f ca="1">IFERROR(__xludf.DUMMYFUNCTION("""COMPUTED_VALUE"""),1)</f>
        <v>1</v>
      </c>
      <c r="V1390" s="5" t="str">
        <f ca="1">IFERROR(__xludf.DUMMYFUNCTION("""COMPUTED_VALUE"""),"Ongoing fight relating to both bullying and gangs")</f>
        <v>Ongoing fight relating to both bullying and gangs</v>
      </c>
      <c r="W1390"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X1390" s="5" t="str">
        <f ca="1">IFERROR(__xludf.DUMMYFUNCTION("""COMPUTED_VALUE"""),"Escalation of Dispute")</f>
        <v>Escalation of Dispute</v>
      </c>
      <c r="Y1390" s="5" t="str">
        <f ca="1">IFERROR(__xludf.DUMMYFUNCTION("""COMPUTED_VALUE"""),"Victims Targeted")</f>
        <v>Victims Targeted</v>
      </c>
      <c r="Z1390" s="5" t="str">
        <f ca="1">IFERROR(__xludf.DUMMYFUNCTION("""COMPUTED_VALUE"""),"No")</f>
        <v>No</v>
      </c>
      <c r="AA1390" s="5"/>
      <c r="AB1390" s="5" t="str">
        <f ca="1">IFERROR(__xludf.DUMMYFUNCTION("""COMPUTED_VALUE"""),"No")</f>
        <v>No</v>
      </c>
      <c r="AC1390" s="5" t="str">
        <f ca="1">IFERROR(__xludf.DUMMYFUNCTION("""COMPUTED_VALUE"""),"No")</f>
        <v>No</v>
      </c>
      <c r="AD1390" s="5" t="str">
        <f ca="1">IFERROR(__xludf.DUMMYFUNCTION("""COMPUTED_VALUE"""),"No")</f>
        <v>No</v>
      </c>
      <c r="AE1390" s="5" t="str">
        <f ca="1">IFERROR(__xludf.DUMMYFUNCTION("""COMPUTED_VALUE"""),"Yes")</f>
        <v>Yes</v>
      </c>
      <c r="AF1390" s="5" t="str">
        <f ca="1">IFERROR(__xludf.DUMMYFUNCTION("""COMPUTED_VALUE"""),"No")</f>
        <v>No</v>
      </c>
      <c r="AG1390" s="5" t="str">
        <f ca="1">IFERROR(__xludf.DUMMYFUNCTION("""COMPUTED_VALUE"""),"Yes")</f>
        <v>Yes</v>
      </c>
      <c r="AH1390" s="5"/>
    </row>
    <row r="1391" spans="1:34" ht="12.75">
      <c r="A1391" s="5" t="str">
        <f ca="1">IFERROR(__xludf.DUMMYFUNCTION("""COMPUTED_VALUE"""),"20010322CAGRE")</f>
        <v>20010322CAGRE</v>
      </c>
      <c r="B1391" s="8">
        <f ca="1">IFERROR(__xludf.DUMMYFUNCTION("""COMPUTED_VALUE"""),36972)</f>
        <v>36972</v>
      </c>
      <c r="C1391" s="5" t="str">
        <f ca="1">IFERROR(__xludf.DUMMYFUNCTION("""COMPUTED_VALUE"""),"Granite Hills High School")</f>
        <v>Granite Hills High School</v>
      </c>
      <c r="D1391" s="5">
        <f ca="1">IFERROR(__xludf.DUMMYFUNCTION("""COMPUTED_VALUE"""),0)</f>
        <v>0</v>
      </c>
      <c r="E1391" s="5">
        <f ca="1">IFERROR(__xludf.DUMMYFUNCTION("""COMPUTED_VALUE"""),5)</f>
        <v>5</v>
      </c>
      <c r="F1391" s="5">
        <f ca="1">IFERROR(__xludf.DUMMYFUNCTION("""COMPUTED_VALUE"""),5)</f>
        <v>5</v>
      </c>
      <c r="G1391" s="5">
        <f ca="1">IFERROR(__xludf.DUMMYFUNCTION("""COMPUTED_VALUE"""),1)</f>
        <v>1</v>
      </c>
      <c r="H1391"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I1391" s="5"/>
      <c r="J1391" s="5"/>
      <c r="K1391" s="5">
        <f ca="1">IFERROR(__xludf.DUMMYFUNCTION("""COMPUTED_VALUE"""),5)</f>
        <v>5</v>
      </c>
      <c r="L1391" s="5" t="str">
        <f ca="1">IFERROR(__xludf.DUMMYFUNCTION("""COMPUTED_VALUE"""),"Spring")</f>
        <v>Spring</v>
      </c>
      <c r="M1391" s="5" t="str">
        <f ca="1">IFERROR(__xludf.DUMMYFUNCTION("""COMPUTED_VALUE"""),"El Cajon")</f>
        <v>El Cajon</v>
      </c>
      <c r="N1391" s="5" t="str">
        <f ca="1">IFERROR(__xludf.DUMMYFUNCTION("""COMPUTED_VALUE"""),"CA")</f>
        <v>CA</v>
      </c>
      <c r="O1391" s="5" t="str">
        <f ca="1">IFERROR(__xludf.DUMMYFUNCTION("""COMPUTED_VALUE"""),"High")</f>
        <v>High</v>
      </c>
      <c r="P1391" s="5" t="str">
        <f ca="1">IFERROR(__xludf.DUMMYFUNCTION("""COMPUTED_VALUE"""),"Beside Building")</f>
        <v>Beside Building</v>
      </c>
      <c r="Q1391" s="5" t="str">
        <f ca="1">IFERROR(__xludf.DUMMYFUNCTION("""COMPUTED_VALUE"""),"Outside on School Property")</f>
        <v>Outside on School Property</v>
      </c>
      <c r="R1391" s="5" t="str">
        <f ca="1">IFERROR(__xludf.DUMMYFUNCTION("""COMPUTED_VALUE"""),"Yes")</f>
        <v>Yes</v>
      </c>
      <c r="S1391" s="5" t="str">
        <f ca="1">IFERROR(__xludf.DUMMYFUNCTION("""COMPUTED_VALUE"""),"Lunch")</f>
        <v>Lunch</v>
      </c>
      <c r="T1391" s="10">
        <f ca="1">IFERROR(__xludf.DUMMYFUNCTION("""COMPUTED_VALUE"""),0.5375)</f>
        <v>0.53749999999999998</v>
      </c>
      <c r="U1391" s="5"/>
      <c r="V1391" s="5" t="str">
        <f ca="1">IFERROR(__xludf.DUMMYFUNCTION("""COMPUTED_VALUE"""),"Planned attack, SRO at school shot at shooter and detained him")</f>
        <v>Planned attack, SRO at school shot at shooter and detained him</v>
      </c>
      <c r="W1391"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X1391" s="5" t="str">
        <f ca="1">IFERROR(__xludf.DUMMYFUNCTION("""COMPUTED_VALUE"""),"Indiscriminate Shooting")</f>
        <v>Indiscriminate Shooting</v>
      </c>
      <c r="Y1391" s="5" t="str">
        <f ca="1">IFERROR(__xludf.DUMMYFUNCTION("""COMPUTED_VALUE"""),"Random Shooting")</f>
        <v>Random Shooting</v>
      </c>
      <c r="Z1391" s="5" t="str">
        <f ca="1">IFERROR(__xludf.DUMMYFUNCTION("""COMPUTED_VALUE"""),"No")</f>
        <v>No</v>
      </c>
      <c r="AA1391" s="5"/>
      <c r="AB1391" s="5" t="str">
        <f ca="1">IFERROR(__xludf.DUMMYFUNCTION("""COMPUTED_VALUE"""),"No")</f>
        <v>No</v>
      </c>
      <c r="AC1391" s="5" t="str">
        <f ca="1">IFERROR(__xludf.DUMMYFUNCTION("""COMPUTED_VALUE"""),"No")</f>
        <v>No</v>
      </c>
      <c r="AD1391" s="5" t="str">
        <f ca="1">IFERROR(__xludf.DUMMYFUNCTION("""COMPUTED_VALUE"""),"No")</f>
        <v>No</v>
      </c>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IFERROR(__xludf.DUMMYFUNCTION("""COMPUTED_VALUE"""),"Yes")</f>
        <v>Yes</v>
      </c>
    </row>
    <row r="1392" spans="1:34" ht="12.75">
      <c r="A1392" s="5" t="str">
        <f ca="1">IFERROR(__xludf.DUMMYFUNCTION("""COMPUTED_VALUE"""),"20010307WAKEC")</f>
        <v>20010307WAKEC</v>
      </c>
      <c r="B1392" s="8">
        <f ca="1">IFERROR(__xludf.DUMMYFUNCTION("""COMPUTED_VALUE"""),36957)</f>
        <v>36957</v>
      </c>
      <c r="C1392" s="5" t="str">
        <f ca="1">IFERROR(__xludf.DUMMYFUNCTION("""COMPUTED_VALUE"""),"Kentwood High School")</f>
        <v>Kentwood High School</v>
      </c>
      <c r="D1392" s="5">
        <f ca="1">IFERROR(__xludf.DUMMYFUNCTION("""COMPUTED_VALUE"""),0)</f>
        <v>0</v>
      </c>
      <c r="E1392" s="5">
        <f ca="1">IFERROR(__xludf.DUMMYFUNCTION("""COMPUTED_VALUE"""),0)</f>
        <v>0</v>
      </c>
      <c r="F1392" s="5">
        <f ca="1">IFERROR(__xludf.DUMMYFUNCTION("""COMPUTED_VALUE"""),0)</f>
        <v>0</v>
      </c>
      <c r="G1392" s="5">
        <f ca="1">IFERROR(__xludf.DUMMYFUNCTION("""COMPUTED_VALUE"""),0)</f>
        <v>0</v>
      </c>
      <c r="H1392" s="9" t="str">
        <f ca="1">IFERROR(__xludf.DUMMYFUNCTION("""COMPUTED_VALUE"""),"http://community.seattletimes.nwsource.com/archive/?date=20010308&amp;slug=kent08m0")</f>
        <v>http://community.seattletimes.nwsource.com/archive/?date=20010308&amp;slug=kent08m0</v>
      </c>
      <c r="I1392" s="5"/>
      <c r="J1392" s="5"/>
      <c r="K1392" s="5">
        <f ca="1">IFERROR(__xludf.DUMMYFUNCTION("""COMPUTED_VALUE"""),2)</f>
        <v>2</v>
      </c>
      <c r="L1392" s="5" t="str">
        <f ca="1">IFERROR(__xludf.DUMMYFUNCTION("""COMPUTED_VALUE"""),"Spring")</f>
        <v>Spring</v>
      </c>
      <c r="M1392" s="5" t="str">
        <f ca="1">IFERROR(__xludf.DUMMYFUNCTION("""COMPUTED_VALUE"""),"Covington")</f>
        <v>Covington</v>
      </c>
      <c r="N1392" s="5" t="str">
        <f ca="1">IFERROR(__xludf.DUMMYFUNCTION("""COMPUTED_VALUE"""),"WA")</f>
        <v>WA</v>
      </c>
      <c r="O1392" s="5" t="str">
        <f ca="1">IFERROR(__xludf.DUMMYFUNCTION("""COMPUTED_VALUE"""),"High")</f>
        <v>High</v>
      </c>
      <c r="P1392" s="5" t="str">
        <f ca="1">IFERROR(__xludf.DUMMYFUNCTION("""COMPUTED_VALUE"""),"Classroom")</f>
        <v>Classroom</v>
      </c>
      <c r="Q1392" s="5" t="str">
        <f ca="1">IFERROR(__xludf.DUMMYFUNCTION("""COMPUTED_VALUE"""),"Inside School Building")</f>
        <v>Inside School Building</v>
      </c>
      <c r="R1392" s="5" t="str">
        <f ca="1">IFERROR(__xludf.DUMMYFUNCTION("""COMPUTED_VALUE"""),"Yes")</f>
        <v>Yes</v>
      </c>
      <c r="S1392" s="5"/>
      <c r="T1392" s="5"/>
      <c r="U1392" s="5"/>
      <c r="V1392" s="5" t="str">
        <f ca="1">IFERROR(__xludf.DUMMYFUNCTION("""COMPUTED_VALUE"""),"Student pulled gun in class, talked about suicide, talked into surrendering by two other students")</f>
        <v>Student pulled gun in class, talked about suicide, talked into surrendering by two other students</v>
      </c>
      <c r="W1392"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X1392" s="5" t="str">
        <f ca="1">IFERROR(__xludf.DUMMYFUNCTION("""COMPUTED_VALUE"""),"Suicide/Attempted")</f>
        <v>Suicide/Attempted</v>
      </c>
      <c r="Y1392" s="5" t="str">
        <f ca="1">IFERROR(__xludf.DUMMYFUNCTION("""COMPUTED_VALUE"""),"Neither")</f>
        <v>Neither</v>
      </c>
      <c r="Z1392" s="5" t="str">
        <f ca="1">IFERROR(__xludf.DUMMYFUNCTION("""COMPUTED_VALUE"""),"No")</f>
        <v>No</v>
      </c>
      <c r="AA1392" s="5"/>
      <c r="AB1392" s="5" t="str">
        <f ca="1">IFERROR(__xludf.DUMMYFUNCTION("""COMPUTED_VALUE"""),"No")</f>
        <v>No</v>
      </c>
      <c r="AC1392" s="5" t="str">
        <f ca="1">IFERROR(__xludf.DUMMYFUNCTION("""COMPUTED_VALUE"""),"No")</f>
        <v>No</v>
      </c>
      <c r="AD1392" s="5" t="str">
        <f ca="1">IFERROR(__xludf.DUMMYFUNCTION("""COMPUTED_VALUE"""),"No")</f>
        <v>No</v>
      </c>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IFERROR(__xludf.DUMMYFUNCTION("""COMPUTED_VALUE"""),"Yes")</f>
        <v>Yes</v>
      </c>
    </row>
    <row r="1393" spans="1:34" ht="12.75">
      <c r="A1393" s="5" t="str">
        <f ca="1">IFERROR(__xludf.DUMMYFUNCTION("""COMPUTED_VALUE"""),"20010307PABIW")</f>
        <v>20010307PABIW</v>
      </c>
      <c r="B1393" s="8">
        <f ca="1">IFERROR(__xludf.DUMMYFUNCTION("""COMPUTED_VALUE"""),36957)</f>
        <v>36957</v>
      </c>
      <c r="C1393" s="5" t="str">
        <f ca="1">IFERROR(__xludf.DUMMYFUNCTION("""COMPUTED_VALUE"""),"Bishop Neumann High School")</f>
        <v>Bishop Neumann High School</v>
      </c>
      <c r="D1393" s="5">
        <f ca="1">IFERROR(__xludf.DUMMYFUNCTION("""COMPUTED_VALUE"""),0)</f>
        <v>0</v>
      </c>
      <c r="E1393" s="5">
        <f ca="1">IFERROR(__xludf.DUMMYFUNCTION("""COMPUTED_VALUE"""),1)</f>
        <v>1</v>
      </c>
      <c r="F1393" s="5">
        <f ca="1">IFERROR(__xludf.DUMMYFUNCTION("""COMPUTED_VALUE"""),1)</f>
        <v>1</v>
      </c>
      <c r="G1393" s="5">
        <f ca="1">IFERROR(__xludf.DUMMYFUNCTION("""COMPUTED_VALUE"""),0)</f>
        <v>0</v>
      </c>
      <c r="H1393"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I1393" s="5"/>
      <c r="J1393" s="5"/>
      <c r="K1393" s="5">
        <f ca="1">IFERROR(__xludf.DUMMYFUNCTION("""COMPUTED_VALUE"""),3)</f>
        <v>3</v>
      </c>
      <c r="L1393" s="5" t="str">
        <f ca="1">IFERROR(__xludf.DUMMYFUNCTION("""COMPUTED_VALUE"""),"Spring")</f>
        <v>Spring</v>
      </c>
      <c r="M1393" s="5" t="str">
        <f ca="1">IFERROR(__xludf.DUMMYFUNCTION("""COMPUTED_VALUE"""),"Williamsport")</f>
        <v>Williamsport</v>
      </c>
      <c r="N1393" s="5" t="str">
        <f ca="1">IFERROR(__xludf.DUMMYFUNCTION("""COMPUTED_VALUE"""),"PA")</f>
        <v>PA</v>
      </c>
      <c r="O1393" s="5" t="str">
        <f ca="1">IFERROR(__xludf.DUMMYFUNCTION("""COMPUTED_VALUE"""),"High")</f>
        <v>High</v>
      </c>
      <c r="P1393" s="5" t="str">
        <f ca="1">IFERROR(__xludf.DUMMYFUNCTION("""COMPUTED_VALUE"""),"Cafeteria")</f>
        <v>Cafeteria</v>
      </c>
      <c r="Q1393" s="5" t="str">
        <f ca="1">IFERROR(__xludf.DUMMYFUNCTION("""COMPUTED_VALUE"""),"Inside School Building")</f>
        <v>Inside School Building</v>
      </c>
      <c r="R1393" s="5" t="str">
        <f ca="1">IFERROR(__xludf.DUMMYFUNCTION("""COMPUTED_VALUE"""),"Yes")</f>
        <v>Yes</v>
      </c>
      <c r="S1393" s="5" t="str">
        <f ca="1">IFERROR(__xludf.DUMMYFUNCTION("""COMPUTED_VALUE"""),"Lunch")</f>
        <v>Lunch</v>
      </c>
      <c r="T1393" s="10">
        <f ca="1">IFERROR(__xludf.DUMMYFUNCTION("""COMPUTED_VALUE"""),0.5)</f>
        <v>0.5</v>
      </c>
      <c r="U1393" s="5">
        <f ca="1">IFERROR(__xludf.DUMMYFUNCTION("""COMPUTED_VALUE"""),1)</f>
        <v>1</v>
      </c>
      <c r="V1393" s="5" t="str">
        <f ca="1">IFERROR(__xludf.DUMMYFUNCTION("""COMPUTED_VALUE"""),"Bullied student shot head cheerleader")</f>
        <v>Bullied student shot head cheerleader</v>
      </c>
      <c r="W1393"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X1393" s="5" t="str">
        <f ca="1">IFERROR(__xludf.DUMMYFUNCTION("""COMPUTED_VALUE"""),"Bullying")</f>
        <v>Bullying</v>
      </c>
      <c r="Y1393" s="5" t="str">
        <f ca="1">IFERROR(__xludf.DUMMYFUNCTION("""COMPUTED_VALUE"""),"Victims Targeted")</f>
        <v>Victims Targeted</v>
      </c>
      <c r="Z1393" s="5" t="str">
        <f ca="1">IFERROR(__xludf.DUMMYFUNCTION("""COMPUTED_VALUE"""),"No")</f>
        <v>No</v>
      </c>
      <c r="AA1393" s="5"/>
      <c r="AB1393" s="5" t="str">
        <f ca="1">IFERROR(__xludf.DUMMYFUNCTION("""COMPUTED_VALUE"""),"No")</f>
        <v>No</v>
      </c>
      <c r="AC1393" s="5" t="str">
        <f ca="1">IFERROR(__xludf.DUMMYFUNCTION("""COMPUTED_VALUE"""),"No")</f>
        <v>No</v>
      </c>
      <c r="AD1393" s="5" t="str">
        <f ca="1">IFERROR(__xludf.DUMMYFUNCTION("""COMPUTED_VALUE"""),"No")</f>
        <v>No</v>
      </c>
      <c r="AE1393" s="5" t="str">
        <f ca="1">IFERROR(__xludf.DUMMYFUNCTION("""COMPUTED_VALUE"""),"Yes")</f>
        <v>Yes</v>
      </c>
      <c r="AF1393" s="5" t="str">
        <f ca="1">IFERROR(__xludf.DUMMYFUNCTION("""COMPUTED_VALUE"""),"No")</f>
        <v>No</v>
      </c>
      <c r="AG1393" s="5" t="str">
        <f ca="1">IFERROR(__xludf.DUMMYFUNCTION("""COMPUTED_VALUE"""),"No")</f>
        <v>No</v>
      </c>
      <c r="AH1393" s="5"/>
    </row>
    <row r="1394" spans="1:34" ht="12.75">
      <c r="A1394" s="5" t="str">
        <f ca="1">IFERROR(__xludf.DUMMYFUNCTION("""COMPUTED_VALUE"""),"20010306MDLAL")</f>
        <v>20010306MDLAL</v>
      </c>
      <c r="B1394" s="8">
        <f ca="1">IFERROR(__xludf.DUMMYFUNCTION("""COMPUTED_VALUE"""),36956)</f>
        <v>36956</v>
      </c>
      <c r="C1394" s="5" t="str">
        <f ca="1">IFERROR(__xludf.DUMMYFUNCTION("""COMPUTED_VALUE"""),"Largo High School")</f>
        <v>Largo High School</v>
      </c>
      <c r="D1394" s="5">
        <f ca="1">IFERROR(__xludf.DUMMYFUNCTION("""COMPUTED_VALUE"""),0)</f>
        <v>0</v>
      </c>
      <c r="E1394" s="5">
        <f ca="1">IFERROR(__xludf.DUMMYFUNCTION("""COMPUTED_VALUE"""),1)</f>
        <v>1</v>
      </c>
      <c r="F1394" s="5">
        <f ca="1">IFERROR(__xludf.DUMMYFUNCTION("""COMPUTED_VALUE"""),1)</f>
        <v>1</v>
      </c>
      <c r="G1394" s="5">
        <f ca="1">IFERROR(__xludf.DUMMYFUNCTION("""COMPUTED_VALUE"""),0)</f>
        <v>0</v>
      </c>
      <c r="H1394" s="9" t="str">
        <f ca="1">IFERROR(__xludf.DUMMYFUNCTION("""COMPUTED_VALUE"""),"https://www.washingtontimes.com/news/2001/mar/8/20010308-021529-7742r/")</f>
        <v>https://www.washingtontimes.com/news/2001/mar/8/20010308-021529-7742r/</v>
      </c>
      <c r="I1394" s="5"/>
      <c r="J1394" s="5"/>
      <c r="K1394" s="5">
        <f ca="1">IFERROR(__xludf.DUMMYFUNCTION("""COMPUTED_VALUE"""),2)</f>
        <v>2</v>
      </c>
      <c r="L1394" s="5" t="str">
        <f ca="1">IFERROR(__xludf.DUMMYFUNCTION("""COMPUTED_VALUE"""),"Spring")</f>
        <v>Spring</v>
      </c>
      <c r="M1394" s="5" t="str">
        <f ca="1">IFERROR(__xludf.DUMMYFUNCTION("""COMPUTED_VALUE"""),"Largo")</f>
        <v>Largo</v>
      </c>
      <c r="N1394" s="5" t="str">
        <f ca="1">IFERROR(__xludf.DUMMYFUNCTION("""COMPUTED_VALUE"""),"MD")</f>
        <v>MD</v>
      </c>
      <c r="O1394" s="5" t="str">
        <f ca="1">IFERROR(__xludf.DUMMYFUNCTION("""COMPUTED_VALUE"""),"High")</f>
        <v>High</v>
      </c>
      <c r="P1394" s="5" t="str">
        <f ca="1">IFERROR(__xludf.DUMMYFUNCTION("""COMPUTED_VALUE"""),"Cafeteria")</f>
        <v>Cafeteria</v>
      </c>
      <c r="Q1394" s="5" t="str">
        <f ca="1">IFERROR(__xludf.DUMMYFUNCTION("""COMPUTED_VALUE"""),"Inside School Building")</f>
        <v>Inside School Building</v>
      </c>
      <c r="R1394" s="5" t="str">
        <f ca="1">IFERROR(__xludf.DUMMYFUNCTION("""COMPUTED_VALUE"""),"No")</f>
        <v>No</v>
      </c>
      <c r="S1394" s="5" t="str">
        <f ca="1">IFERROR(__xludf.DUMMYFUNCTION("""COMPUTED_VALUE"""),"After School")</f>
        <v>After School</v>
      </c>
      <c r="T1394" s="10">
        <f ca="1">IFERROR(__xludf.DUMMYFUNCTION("""COMPUTED_VALUE"""),0.708333333333333)</f>
        <v>0.70833333333333304</v>
      </c>
      <c r="U1394" s="5">
        <f ca="1">IFERROR(__xludf.DUMMYFUNCTION("""COMPUTED_VALUE"""),1)</f>
        <v>1</v>
      </c>
      <c r="V1394" s="5" t="str">
        <f ca="1">IFERROR(__xludf.DUMMYFUNCTION("""COMPUTED_VALUE"""),"Two teens went into school looking for student they had conflict with, fired shots")</f>
        <v>Two teens went into school looking for student they had conflict with, fired shots</v>
      </c>
      <c r="W1394"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X1394" s="5" t="str">
        <f ca="1">IFERROR(__xludf.DUMMYFUNCTION("""COMPUTED_VALUE"""),"Escalation of Dispute")</f>
        <v>Escalation of Dispute</v>
      </c>
      <c r="Y1394" s="5" t="str">
        <f ca="1">IFERROR(__xludf.DUMMYFUNCTION("""COMPUTED_VALUE"""),"Victims Targeted")</f>
        <v>Victims Targeted</v>
      </c>
      <c r="Z1394" s="5" t="str">
        <f ca="1">IFERROR(__xludf.DUMMYFUNCTION("""COMPUTED_VALUE"""),"Yes")</f>
        <v>Yes</v>
      </c>
      <c r="AA1394" s="5" t="str">
        <f ca="1">IFERROR(__xludf.DUMMYFUNCTION("""COMPUTED_VALUE"""),"15 YOM was with the shooter and involved in fight")</f>
        <v>15 YOM was with the shooter and involved in fight</v>
      </c>
      <c r="AB1394" s="5" t="str">
        <f ca="1">IFERROR(__xludf.DUMMYFUNCTION("""COMPUTED_VALUE"""),"No")</f>
        <v>No</v>
      </c>
      <c r="AC1394" s="5" t="str">
        <f ca="1">IFERROR(__xludf.DUMMYFUNCTION("""COMPUTED_VALUE"""),"No")</f>
        <v>No</v>
      </c>
      <c r="AD1394" s="5" t="str">
        <f ca="1">IFERROR(__xludf.DUMMYFUNCTION("""COMPUTED_VALUE"""),"No")</f>
        <v>No</v>
      </c>
      <c r="AE1394" s="5" t="str">
        <f ca="1">IFERROR(__xludf.DUMMYFUNCTION("""COMPUTED_VALUE"""),"No")</f>
        <v>No</v>
      </c>
      <c r="AF1394" s="5" t="str">
        <f ca="1">IFERROR(__xludf.DUMMYFUNCTION("""COMPUTED_VALUE"""),"No")</f>
        <v>No</v>
      </c>
      <c r="AG1394" s="5" t="str">
        <f ca="1">IFERROR(__xludf.DUMMYFUNCTION("""COMPUTED_VALUE"""),"No")</f>
        <v>No</v>
      </c>
      <c r="AH1394" s="5"/>
    </row>
    <row r="1395" spans="1:34" ht="12.75">
      <c r="A1395" s="5" t="str">
        <f ca="1">IFERROR(__xludf.DUMMYFUNCTION("""COMPUTED_VALUE"""),"20010305CASAS")</f>
        <v>20010305CASAS</v>
      </c>
      <c r="B1395" s="8">
        <f ca="1">IFERROR(__xludf.DUMMYFUNCTION("""COMPUTED_VALUE"""),36955)</f>
        <v>36955</v>
      </c>
      <c r="C1395" s="5" t="str">
        <f ca="1">IFERROR(__xludf.DUMMYFUNCTION("""COMPUTED_VALUE"""),"Santana High School")</f>
        <v>Santana High School</v>
      </c>
      <c r="D1395" s="5">
        <f ca="1">IFERROR(__xludf.DUMMYFUNCTION("""COMPUTED_VALUE"""),2)</f>
        <v>2</v>
      </c>
      <c r="E1395" s="5">
        <f ca="1">IFERROR(__xludf.DUMMYFUNCTION("""COMPUTED_VALUE"""),13)</f>
        <v>13</v>
      </c>
      <c r="F1395" s="5">
        <f ca="1">IFERROR(__xludf.DUMMYFUNCTION("""COMPUTED_VALUE"""),15)</f>
        <v>15</v>
      </c>
      <c r="G1395" s="5">
        <f ca="1">IFERROR(__xludf.DUMMYFUNCTION("""COMPUTED_VALUE"""),0)</f>
        <v>0</v>
      </c>
      <c r="H1395"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I1395" s="5"/>
      <c r="J1395" s="5"/>
      <c r="K1395" s="5">
        <f ca="1">IFERROR(__xludf.DUMMYFUNCTION("""COMPUTED_VALUE"""),3)</f>
        <v>3</v>
      </c>
      <c r="L1395" s="5" t="str">
        <f ca="1">IFERROR(__xludf.DUMMYFUNCTION("""COMPUTED_VALUE"""),"Spring")</f>
        <v>Spring</v>
      </c>
      <c r="M1395" s="5" t="str">
        <f ca="1">IFERROR(__xludf.DUMMYFUNCTION("""COMPUTED_VALUE"""),"Santee")</f>
        <v>Santee</v>
      </c>
      <c r="N1395" s="5" t="str">
        <f ca="1">IFERROR(__xludf.DUMMYFUNCTION("""COMPUTED_VALUE"""),"CA")</f>
        <v>CA</v>
      </c>
      <c r="O1395" s="5" t="str">
        <f ca="1">IFERROR(__xludf.DUMMYFUNCTION("""COMPUTED_VALUE"""),"High")</f>
        <v>High</v>
      </c>
      <c r="P1395" s="5" t="str">
        <f ca="1">IFERROR(__xludf.DUMMYFUNCTION("""COMPUTED_VALUE"""),"Bathroom")</f>
        <v>Bathroom</v>
      </c>
      <c r="Q1395" s="5" t="str">
        <f ca="1">IFERROR(__xludf.DUMMYFUNCTION("""COMPUTED_VALUE"""),"Inside School Building")</f>
        <v>Inside School Building</v>
      </c>
      <c r="R1395" s="5" t="str">
        <f ca="1">IFERROR(__xludf.DUMMYFUNCTION("""COMPUTED_VALUE"""),"Yes")</f>
        <v>Yes</v>
      </c>
      <c r="S1395" s="5" t="str">
        <f ca="1">IFERROR(__xludf.DUMMYFUNCTION("""COMPUTED_VALUE"""),"Morning Classes")</f>
        <v>Morning Classes</v>
      </c>
      <c r="T1395" s="10">
        <f ca="1">IFERROR(__xludf.DUMMYFUNCTION("""COMPUTED_VALUE"""),0.388888888888888)</f>
        <v>0.38888888888888801</v>
      </c>
      <c r="U1395" s="5"/>
      <c r="V1395" s="5" t="str">
        <f ca="1">IFERROR(__xludf.DUMMYFUNCTION("""COMPUTED_VALUE"""),"Bullying, planned attack, planned suicide by cop")</f>
        <v>Bullying, planned attack, planned suicide by cop</v>
      </c>
      <c r="W1395"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X1395" s="5" t="str">
        <f ca="1">IFERROR(__xludf.DUMMYFUNCTION("""COMPUTED_VALUE"""),"Bullying")</f>
        <v>Bullying</v>
      </c>
      <c r="Y1395" s="5" t="str">
        <f ca="1">IFERROR(__xludf.DUMMYFUNCTION("""COMPUTED_VALUE"""),"Random Shooting")</f>
        <v>Random Shooting</v>
      </c>
      <c r="Z1395" s="5" t="str">
        <f ca="1">IFERROR(__xludf.DUMMYFUNCTION("""COMPUTED_VALUE"""),"No")</f>
        <v>No</v>
      </c>
      <c r="AA1395" s="5"/>
      <c r="AB1395" s="5" t="str">
        <f ca="1">IFERROR(__xludf.DUMMYFUNCTION("""COMPUTED_VALUE"""),"No")</f>
        <v>No</v>
      </c>
      <c r="AC1395" s="5" t="str">
        <f ca="1">IFERROR(__xludf.DUMMYFUNCTION("""COMPUTED_VALUE"""),"No")</f>
        <v>No</v>
      </c>
      <c r="AD1395" s="5" t="str">
        <f ca="1">IFERROR(__xludf.DUMMYFUNCTION("""COMPUTED_VALUE"""),"No")</f>
        <v>No</v>
      </c>
      <c r="AE1395" s="5" t="str">
        <f ca="1">IFERROR(__xludf.DUMMYFUNCTION("""COMPUTED_VALUE"""),"Yes")</f>
        <v>Yes</v>
      </c>
      <c r="AF1395" s="5" t="str">
        <f ca="1">IFERROR(__xludf.DUMMYFUNCTION("""COMPUTED_VALUE"""),"No")</f>
        <v>No</v>
      </c>
      <c r="AG1395" s="5" t="str">
        <f ca="1">IFERROR(__xludf.DUMMYFUNCTION("""COMPUTED_VALUE"""),"No")</f>
        <v>No</v>
      </c>
      <c r="AH1395" s="5" t="str">
        <f ca="1">IFERROR(__xludf.DUMMYFUNCTION("""COMPUTED_VALUE"""),"Yes")</f>
        <v>Yes</v>
      </c>
    </row>
    <row r="1396" spans="1:34" ht="12.75">
      <c r="A1396" s="5" t="str">
        <f ca="1">IFERROR(__xludf.DUMMYFUNCTION("""COMPUTED_VALUE"""),"20010302CAHOS")</f>
        <v>20010302CAHOS</v>
      </c>
      <c r="B1396" s="8">
        <f ca="1">IFERROR(__xludf.DUMMYFUNCTION("""COMPUTED_VALUE"""),36952)</f>
        <v>36952</v>
      </c>
      <c r="C1396" s="5" t="str">
        <f ca="1">IFERROR(__xludf.DUMMYFUNCTION("""COMPUTED_VALUE"""),"Hoover High School")</f>
        <v>Hoover High School</v>
      </c>
      <c r="D1396" s="5">
        <f ca="1">IFERROR(__xludf.DUMMYFUNCTION("""COMPUTED_VALUE"""),0)</f>
        <v>0</v>
      </c>
      <c r="E1396" s="5">
        <f ca="1">IFERROR(__xludf.DUMMYFUNCTION("""COMPUTED_VALUE"""),0)</f>
        <v>0</v>
      </c>
      <c r="F1396" s="5">
        <f ca="1">IFERROR(__xludf.DUMMYFUNCTION("""COMPUTED_VALUE"""),0)</f>
        <v>0</v>
      </c>
      <c r="G1396" s="5">
        <f ca="1">IFERROR(__xludf.DUMMYFUNCTION("""COMPUTED_VALUE"""),1)</f>
        <v>1</v>
      </c>
      <c r="H1396" s="9" t="str">
        <f ca="1">IFERROR(__xludf.DUMMYFUNCTION("""COMPUTED_VALUE"""),"https://www.deseretnews.com/article/831817/School-hopes-suicide-doesnt-put-it-in-spotlight.html")</f>
        <v>https://www.deseretnews.com/article/831817/School-hopes-suicide-doesnt-put-it-in-spotlight.html</v>
      </c>
      <c r="I1396" s="5"/>
      <c r="J1396" s="5"/>
      <c r="K1396" s="5">
        <f ca="1">IFERROR(__xludf.DUMMYFUNCTION("""COMPUTED_VALUE"""),2)</f>
        <v>2</v>
      </c>
      <c r="L1396" s="5" t="str">
        <f ca="1">IFERROR(__xludf.DUMMYFUNCTION("""COMPUTED_VALUE"""),"Spring")</f>
        <v>Spring</v>
      </c>
      <c r="M1396" s="5" t="str">
        <f ca="1">IFERROR(__xludf.DUMMYFUNCTION("""COMPUTED_VALUE"""),"San Diego")</f>
        <v>San Diego</v>
      </c>
      <c r="N1396" s="5" t="str">
        <f ca="1">IFERROR(__xludf.DUMMYFUNCTION("""COMPUTED_VALUE"""),"CA")</f>
        <v>CA</v>
      </c>
      <c r="O1396" s="5" t="str">
        <f ca="1">IFERROR(__xludf.DUMMYFUNCTION("""COMPUTED_VALUE"""),"High")</f>
        <v>High</v>
      </c>
      <c r="P1396" s="5" t="str">
        <f ca="1">IFERROR(__xludf.DUMMYFUNCTION("""COMPUTED_VALUE"""),"Parking Lot")</f>
        <v>Parking Lot</v>
      </c>
      <c r="Q1396" s="5" t="str">
        <f ca="1">IFERROR(__xludf.DUMMYFUNCTION("""COMPUTED_VALUE"""),"Outside on School Property")</f>
        <v>Outside on School Property</v>
      </c>
      <c r="R1396" s="5" t="str">
        <f ca="1">IFERROR(__xludf.DUMMYFUNCTION("""COMPUTED_VALUE"""),"Yes")</f>
        <v>Yes</v>
      </c>
      <c r="S1396" s="5" t="str">
        <f ca="1">IFERROR(__xludf.DUMMYFUNCTION("""COMPUTED_VALUE"""),"Afternoon Classes")</f>
        <v>Afternoon Classes</v>
      </c>
      <c r="T1396" s="5"/>
      <c r="U1396" s="5"/>
      <c r="V1396" s="5" t="str">
        <f ca="1">IFERROR(__xludf.DUMMYFUNCTION("""COMPUTED_VALUE"""),"Student shot himself in parking lot, upset about breakup")</f>
        <v>Student shot himself in parking lot, upset about breakup</v>
      </c>
      <c r="W1396"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X1396" s="5" t="str">
        <f ca="1">IFERROR(__xludf.DUMMYFUNCTION("""COMPUTED_VALUE"""),"Suicide/Attempted")</f>
        <v>Suicide/Attempted</v>
      </c>
      <c r="Y1396" s="5" t="str">
        <f ca="1">IFERROR(__xludf.DUMMYFUNCTION("""COMPUTED_VALUE"""),"Victims Targeted")</f>
        <v>Victims Targeted</v>
      </c>
      <c r="Z1396" s="5" t="str">
        <f ca="1">IFERROR(__xludf.DUMMYFUNCTION("""COMPUTED_VALUE"""),"No")</f>
        <v>No</v>
      </c>
      <c r="AA1396" s="5"/>
      <c r="AB1396" s="5" t="str">
        <f ca="1">IFERROR(__xludf.DUMMYFUNCTION("""COMPUTED_VALUE"""),"No")</f>
        <v>No</v>
      </c>
      <c r="AC1396" s="5" t="str">
        <f ca="1">IFERROR(__xludf.DUMMYFUNCTION("""COMPUTED_VALUE"""),"No")</f>
        <v>No</v>
      </c>
      <c r="AD1396" s="5" t="str">
        <f ca="1">IFERROR(__xludf.DUMMYFUNCTION("""COMPUTED_VALUE"""),"No")</f>
        <v>No</v>
      </c>
      <c r="AE1396" s="5" t="str">
        <f ca="1">IFERROR(__xludf.DUMMYFUNCTION("""COMPUTED_VALUE"""),"No")</f>
        <v>No</v>
      </c>
      <c r="AF1396" s="5" t="str">
        <f ca="1">IFERROR(__xludf.DUMMYFUNCTION("""COMPUTED_VALUE"""),"No")</f>
        <v>No</v>
      </c>
      <c r="AG1396" s="5" t="str">
        <f ca="1">IFERROR(__xludf.DUMMYFUNCTION("""COMPUTED_VALUE"""),"No")</f>
        <v>No</v>
      </c>
      <c r="AH1396" s="5"/>
    </row>
    <row r="1397" spans="1:34" ht="12.75">
      <c r="A1397" s="5" t="str">
        <f ca="1">IFERROR(__xludf.DUMMYFUNCTION("""COMPUTED_VALUE"""),"20010202MIOSD")</f>
        <v>20010202MIOSD</v>
      </c>
      <c r="B1397" s="8">
        <f ca="1">IFERROR(__xludf.DUMMYFUNCTION("""COMPUTED_VALUE"""),36924)</f>
        <v>36924</v>
      </c>
      <c r="C1397" s="5" t="str">
        <f ca="1">IFERROR(__xludf.DUMMYFUNCTION("""COMPUTED_VALUE"""),"Osborn High School")</f>
        <v>Osborn High School</v>
      </c>
      <c r="D1397" s="5">
        <f ca="1">IFERROR(__xludf.DUMMYFUNCTION("""COMPUTED_VALUE"""),0)</f>
        <v>0</v>
      </c>
      <c r="E1397" s="5">
        <f ca="1">IFERROR(__xludf.DUMMYFUNCTION("""COMPUTED_VALUE"""),3)</f>
        <v>3</v>
      </c>
      <c r="F1397" s="5">
        <f ca="1">IFERROR(__xludf.DUMMYFUNCTION("""COMPUTED_VALUE"""),3)</f>
        <v>3</v>
      </c>
      <c r="G1397" s="5">
        <f ca="1">IFERROR(__xludf.DUMMYFUNCTION("""COMPUTED_VALUE"""),0)</f>
        <v>0</v>
      </c>
      <c r="H1397" s="9" t="str">
        <f ca="1">IFERROR(__xludf.DUMMYFUNCTION("""COMPUTED_VALUE"""),"http://edition.cnn.com/2001/US/02/02/detroit.shooting/index.html")</f>
        <v>http://edition.cnn.com/2001/US/02/02/detroit.shooting/index.html</v>
      </c>
      <c r="I1397" s="5"/>
      <c r="J1397" s="5"/>
      <c r="K1397" s="5">
        <f ca="1">IFERROR(__xludf.DUMMYFUNCTION("""COMPUTED_VALUE"""),2)</f>
        <v>2</v>
      </c>
      <c r="L1397" s="5" t="str">
        <f ca="1">IFERROR(__xludf.DUMMYFUNCTION("""COMPUTED_VALUE"""),"Winter")</f>
        <v>Winter</v>
      </c>
      <c r="M1397" s="5" t="str">
        <f ca="1">IFERROR(__xludf.DUMMYFUNCTION("""COMPUTED_VALUE"""),"Detroit")</f>
        <v>Detroit</v>
      </c>
      <c r="N1397" s="5" t="str">
        <f ca="1">IFERROR(__xludf.DUMMYFUNCTION("""COMPUTED_VALUE"""),"MI")</f>
        <v>MI</v>
      </c>
      <c r="O1397" s="5" t="str">
        <f ca="1">IFERROR(__xludf.DUMMYFUNCTION("""COMPUTED_VALUE"""),"High")</f>
        <v>High</v>
      </c>
      <c r="P1397" s="5" t="str">
        <f ca="1">IFERROR(__xludf.DUMMYFUNCTION("""COMPUTED_VALUE"""),"Classroom")</f>
        <v>Classroom</v>
      </c>
      <c r="Q1397" s="5" t="str">
        <f ca="1">IFERROR(__xludf.DUMMYFUNCTION("""COMPUTED_VALUE"""),"Inside School Building")</f>
        <v>Inside School Building</v>
      </c>
      <c r="R1397" s="5" t="str">
        <f ca="1">IFERROR(__xludf.DUMMYFUNCTION("""COMPUTED_VALUE"""),"Yes")</f>
        <v>Yes</v>
      </c>
      <c r="S1397" s="5"/>
      <c r="T1397" s="5"/>
      <c r="U1397" s="5"/>
      <c r="V1397" s="5" t="str">
        <f ca="1">IFERROR(__xludf.DUMMYFUNCTION("""COMPUTED_VALUE"""),"2 students and 1 teacher shot in bandroom by unknown student, possible to get class dismissed early")</f>
        <v>2 students and 1 teacher shot in bandroom by unknown student, possible to get class dismissed early</v>
      </c>
      <c r="W1397"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X1397" s="5" t="str">
        <f ca="1">IFERROR(__xludf.DUMMYFUNCTION("""COMPUTED_VALUE"""),"Unknown")</f>
        <v>Unknown</v>
      </c>
      <c r="Y1397" s="5"/>
      <c r="Z1397" s="5" t="str">
        <f ca="1">IFERROR(__xludf.DUMMYFUNCTION("""COMPUTED_VALUE"""),"No")</f>
        <v>No</v>
      </c>
      <c r="AA1397" s="5"/>
      <c r="AB1397" s="5" t="str">
        <f ca="1">IFERROR(__xludf.DUMMYFUNCTION("""COMPUTED_VALUE"""),"No")</f>
        <v>No</v>
      </c>
      <c r="AC1397" s="5" t="str">
        <f ca="1">IFERROR(__xludf.DUMMYFUNCTION("""COMPUTED_VALUE"""),"No")</f>
        <v>No</v>
      </c>
      <c r="AD1397" s="5" t="str">
        <f ca="1">IFERROR(__xludf.DUMMYFUNCTION("""COMPUTED_VALUE"""),"No")</f>
        <v>No</v>
      </c>
      <c r="AE1397" s="5" t="str">
        <f ca="1">IFERROR(__xludf.DUMMYFUNCTION("""COMPUTED_VALUE"""),"No")</f>
        <v>No</v>
      </c>
      <c r="AF1397" s="5" t="str">
        <f ca="1">IFERROR(__xludf.DUMMYFUNCTION("""COMPUTED_VALUE"""),"No")</f>
        <v>No</v>
      </c>
      <c r="AG1397" s="5" t="str">
        <f ca="1">IFERROR(__xludf.DUMMYFUNCTION("""COMPUTED_VALUE"""),"No")</f>
        <v>No</v>
      </c>
      <c r="AH1397" s="5" t="str">
        <f ca="1">IFERROR(__xludf.DUMMYFUNCTION("""COMPUTED_VALUE"""),"Yes")</f>
        <v>Yes</v>
      </c>
    </row>
    <row r="1398" spans="1:34" ht="12.75">
      <c r="A1398" s="5" t="str">
        <f ca="1">IFERROR(__xludf.DUMMYFUNCTION("""COMPUTED_VALUE"""),"20010117MDLAB")</f>
        <v>20010117MDLAB</v>
      </c>
      <c r="B1398" s="8">
        <f ca="1">IFERROR(__xludf.DUMMYFUNCTION("""COMPUTED_VALUE"""),36908)</f>
        <v>36908</v>
      </c>
      <c r="C1398" s="5" t="str">
        <f ca="1">IFERROR(__xludf.DUMMYFUNCTION("""COMPUTED_VALUE"""),"Lake Clifton Eastern High School")</f>
        <v>Lake Clifton Eastern High School</v>
      </c>
      <c r="D1398" s="5">
        <f ca="1">IFERROR(__xludf.DUMMYFUNCTION("""COMPUTED_VALUE"""),1)</f>
        <v>1</v>
      </c>
      <c r="E1398" s="5">
        <f ca="1">IFERROR(__xludf.DUMMYFUNCTION("""COMPUTED_VALUE"""),0)</f>
        <v>0</v>
      </c>
      <c r="F1398" s="5">
        <f ca="1">IFERROR(__xludf.DUMMYFUNCTION("""COMPUTED_VALUE"""),1)</f>
        <v>1</v>
      </c>
      <c r="G1398" s="5">
        <f ca="1">IFERROR(__xludf.DUMMYFUNCTION("""COMPUTED_VALUE"""),0)</f>
        <v>0</v>
      </c>
      <c r="H1398" s="9" t="str">
        <f ca="1">IFERROR(__xludf.DUMMYFUNCTION("""COMPUTED_VALUE"""),"http://articles.baltimoresun.com/2001-01-19/news/0101190243_1_sanders-inside-the-school-school-shooting")</f>
        <v>http://articles.baltimoresun.com/2001-01-19/news/0101190243_1_sanders-inside-the-school-school-shooting</v>
      </c>
      <c r="I1398" s="5"/>
      <c r="J1398" s="5"/>
      <c r="K1398" s="5">
        <f ca="1">IFERROR(__xludf.DUMMYFUNCTION("""COMPUTED_VALUE"""),2)</f>
        <v>2</v>
      </c>
      <c r="L1398" s="5" t="str">
        <f ca="1">IFERROR(__xludf.DUMMYFUNCTION("""COMPUTED_VALUE"""),"Winter")</f>
        <v>Winter</v>
      </c>
      <c r="M1398" s="5" t="str">
        <f ca="1">IFERROR(__xludf.DUMMYFUNCTION("""COMPUTED_VALUE"""),"Baltimore")</f>
        <v>Baltimore</v>
      </c>
      <c r="N1398" s="5" t="str">
        <f ca="1">IFERROR(__xludf.DUMMYFUNCTION("""COMPUTED_VALUE"""),"MD")</f>
        <v>MD</v>
      </c>
      <c r="O1398" s="5" t="str">
        <f ca="1">IFERROR(__xludf.DUMMYFUNCTION("""COMPUTED_VALUE"""),"High")</f>
        <v>High</v>
      </c>
      <c r="P1398" s="5" t="str">
        <f ca="1">IFERROR(__xludf.DUMMYFUNCTION("""COMPUTED_VALUE"""),"Front of School")</f>
        <v>Front of School</v>
      </c>
      <c r="Q1398" s="5" t="str">
        <f ca="1">IFERROR(__xludf.DUMMYFUNCTION("""COMPUTED_VALUE"""),"Outside on School Property")</f>
        <v>Outside on School Property</v>
      </c>
      <c r="R1398" s="5" t="str">
        <f ca="1">IFERROR(__xludf.DUMMYFUNCTION("""COMPUTED_VALUE"""),"Yes")</f>
        <v>Yes</v>
      </c>
      <c r="S1398" s="5" t="str">
        <f ca="1">IFERROR(__xludf.DUMMYFUNCTION("""COMPUTED_VALUE"""),"Before School")</f>
        <v>Before School</v>
      </c>
      <c r="T1398" s="10">
        <f ca="1">IFERROR(__xludf.DUMMYFUNCTION("""COMPUTED_VALUE"""),0.364583333333333)</f>
        <v>0.36458333333333298</v>
      </c>
      <c r="U1398" s="5">
        <f ca="1">IFERROR(__xludf.DUMMYFUNCTION("""COMPUTED_VALUE"""),1)</f>
        <v>1</v>
      </c>
      <c r="V1398" s="5" t="str">
        <f ca="1">IFERROR(__xludf.DUMMYFUNCTION("""COMPUTED_VALUE"""),"Shooting stemmed from a fight that occurred a month prior")</f>
        <v>Shooting stemmed from a fight that occurred a month prior</v>
      </c>
      <c r="W1398"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X1398" s="5" t="str">
        <f ca="1">IFERROR(__xludf.DUMMYFUNCTION("""COMPUTED_VALUE"""),"Escalation of Dispute")</f>
        <v>Escalation of Dispute</v>
      </c>
      <c r="Y1398" s="5" t="str">
        <f ca="1">IFERROR(__xludf.DUMMYFUNCTION("""COMPUTED_VALUE"""),"Victims Targeted")</f>
        <v>Victims Targeted</v>
      </c>
      <c r="Z1398" s="5" t="str">
        <f ca="1">IFERROR(__xludf.DUMMYFUNCTION("""COMPUTED_VALUE"""),"No")</f>
        <v>No</v>
      </c>
      <c r="AA1398" s="5"/>
      <c r="AB1398" s="5" t="str">
        <f ca="1">IFERROR(__xludf.DUMMYFUNCTION("""COMPUTED_VALUE"""),"No")</f>
        <v>No</v>
      </c>
      <c r="AC1398" s="5" t="str">
        <f ca="1">IFERROR(__xludf.DUMMYFUNCTION("""COMPUTED_VALUE"""),"No")</f>
        <v>No</v>
      </c>
      <c r="AD1398" s="5" t="str">
        <f ca="1">IFERROR(__xludf.DUMMYFUNCTION("""COMPUTED_VALUE"""),"No")</f>
        <v>No</v>
      </c>
      <c r="AE1398" s="5" t="str">
        <f ca="1">IFERROR(__xludf.DUMMYFUNCTION("""COMPUTED_VALUE"""),"No")</f>
        <v>No</v>
      </c>
      <c r="AF1398" s="5" t="str">
        <f ca="1">IFERROR(__xludf.DUMMYFUNCTION("""COMPUTED_VALUE"""),"No")</f>
        <v>No</v>
      </c>
      <c r="AG1398" s="5" t="str">
        <f ca="1">IFERROR(__xludf.DUMMYFUNCTION("""COMPUTED_VALUE"""),"No")</f>
        <v>No</v>
      </c>
      <c r="AH1398" s="5"/>
    </row>
    <row r="1399" spans="1:34" ht="12.75">
      <c r="A1399" s="5" t="str">
        <f ca="1">IFERROR(__xludf.DUMMYFUNCTION("""COMPUTED_VALUE"""),"20010110CAHUO")</f>
        <v>20010110CAHUO</v>
      </c>
      <c r="B1399" s="8">
        <f ca="1">IFERROR(__xludf.DUMMYFUNCTION("""COMPUTED_VALUE"""),36901)</f>
        <v>36901</v>
      </c>
      <c r="C1399" s="5" t="str">
        <f ca="1">IFERROR(__xludf.DUMMYFUNCTION("""COMPUTED_VALUE"""),"Hueneme High School")</f>
        <v>Hueneme High School</v>
      </c>
      <c r="D1399" s="5">
        <f ca="1">IFERROR(__xludf.DUMMYFUNCTION("""COMPUTED_VALUE"""),0)</f>
        <v>0</v>
      </c>
      <c r="E1399" s="5">
        <f ca="1">IFERROR(__xludf.DUMMYFUNCTION("""COMPUTED_VALUE"""),0)</f>
        <v>0</v>
      </c>
      <c r="F1399" s="5">
        <f ca="1">IFERROR(__xludf.DUMMYFUNCTION("""COMPUTED_VALUE"""),0)</f>
        <v>0</v>
      </c>
      <c r="G1399" s="5">
        <f ca="1">IFERROR(__xludf.DUMMYFUNCTION("""COMPUTED_VALUE"""),1)</f>
        <v>1</v>
      </c>
      <c r="H1399" s="9" t="str">
        <f ca="1">IFERROR(__xludf.DUMMYFUNCTION("""COMPUTED_VALUE"""),"http://articles.latimes.com/2001/jan/11/local/me-11081")</f>
        <v>http://articles.latimes.com/2001/jan/11/local/me-11081</v>
      </c>
      <c r="I1399" s="5"/>
      <c r="J1399" s="5"/>
      <c r="K1399" s="5">
        <f ca="1">IFERROR(__xludf.DUMMYFUNCTION("""COMPUTED_VALUE"""),2)</f>
        <v>2</v>
      </c>
      <c r="L1399" s="5" t="str">
        <f ca="1">IFERROR(__xludf.DUMMYFUNCTION("""COMPUTED_VALUE"""),"Winter")</f>
        <v>Winter</v>
      </c>
      <c r="M1399" s="5" t="str">
        <f ca="1">IFERROR(__xludf.DUMMYFUNCTION("""COMPUTED_VALUE"""),"Oxnard")</f>
        <v>Oxnard</v>
      </c>
      <c r="N1399" s="5" t="str">
        <f ca="1">IFERROR(__xludf.DUMMYFUNCTION("""COMPUTED_VALUE"""),"CA")</f>
        <v>CA</v>
      </c>
      <c r="O1399" s="5" t="str">
        <f ca="1">IFERROR(__xludf.DUMMYFUNCTION("""COMPUTED_VALUE"""),"High")</f>
        <v>High</v>
      </c>
      <c r="P1399" s="5" t="str">
        <f ca="1">IFERROR(__xludf.DUMMYFUNCTION("""COMPUTED_VALUE"""),"Parking Lot")</f>
        <v>Parking Lot</v>
      </c>
      <c r="Q1399" s="5" t="str">
        <f ca="1">IFERROR(__xludf.DUMMYFUNCTION("""COMPUTED_VALUE"""),"Outside on School Property")</f>
        <v>Outside on School Property</v>
      </c>
      <c r="R1399" s="5" t="str">
        <f ca="1">IFERROR(__xludf.DUMMYFUNCTION("""COMPUTED_VALUE"""),"Yes")</f>
        <v>Yes</v>
      </c>
      <c r="S1399" s="5" t="str">
        <f ca="1">IFERROR(__xludf.DUMMYFUNCTION("""COMPUTED_VALUE"""),"Lunch")</f>
        <v>Lunch</v>
      </c>
      <c r="T1399" s="10">
        <f ca="1">IFERROR(__xludf.DUMMYFUNCTION("""COMPUTED_VALUE"""),0.534722222222222)</f>
        <v>0.53472222222222199</v>
      </c>
      <c r="U1399" s="5"/>
      <c r="V1399" s="5" t="str">
        <f ca="1">IFERROR(__xludf.DUMMYFUNCTION("""COMPUTED_VALUE"""),"Distraught over family issues - wanted to die at the hands of police - took hostage in school")</f>
        <v>Distraught over family issues - wanted to die at the hands of police - took hostage in school</v>
      </c>
      <c r="W1399"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X1399" s="5" t="str">
        <f ca="1">IFERROR(__xludf.DUMMYFUNCTION("""COMPUTED_VALUE"""),"Hostage/Standoff")</f>
        <v>Hostage/Standoff</v>
      </c>
      <c r="Y1399" s="5" t="str">
        <f ca="1">IFERROR(__xludf.DUMMYFUNCTION("""COMPUTED_VALUE"""),"Random Shooting")</f>
        <v>Random Shooting</v>
      </c>
      <c r="Z1399" s="5" t="str">
        <f ca="1">IFERROR(__xludf.DUMMYFUNCTION("""COMPUTED_VALUE"""),"No")</f>
        <v>No</v>
      </c>
      <c r="AA1399" s="5"/>
      <c r="AB1399" s="5" t="str">
        <f ca="1">IFERROR(__xludf.DUMMYFUNCTION("""COMPUTED_VALUE"""),"Yes")</f>
        <v>Yes</v>
      </c>
      <c r="AC1399" s="5" t="str">
        <f ca="1">IFERROR(__xludf.DUMMYFUNCTION("""COMPUTED_VALUE"""),"No")</f>
        <v>No</v>
      </c>
      <c r="AD1399" s="5" t="str">
        <f ca="1">IFERROR(__xludf.DUMMYFUNCTION("""COMPUTED_VALUE"""),"No")</f>
        <v>No</v>
      </c>
      <c r="AE1399" s="5" t="str">
        <f ca="1">IFERROR(__xludf.DUMMYFUNCTION("""COMPUTED_VALUE"""),"No")</f>
        <v>No</v>
      </c>
      <c r="AF1399" s="5" t="str">
        <f ca="1">IFERROR(__xludf.DUMMYFUNCTION("""COMPUTED_VALUE"""),"No")</f>
        <v>No</v>
      </c>
      <c r="AG1399" s="5" t="str">
        <f ca="1">IFERROR(__xludf.DUMMYFUNCTION("""COMPUTED_VALUE"""),"Yes")</f>
        <v>Yes</v>
      </c>
      <c r="AH1399" s="5" t="str">
        <f ca="1">IFERROR(__xludf.DUMMYFUNCTION("""COMPUTED_VALUE"""),"Yes")</f>
        <v>Yes</v>
      </c>
    </row>
    <row r="1400" spans="1:34" ht="12.75">
      <c r="A1400" s="5" t="str">
        <f ca="1">IFERROR(__xludf.DUMMYFUNCTION("""COMPUTED_VALUE"""),"20010103CABAS")</f>
        <v>20010103CABAS</v>
      </c>
      <c r="B1400" s="8">
        <f ca="1">IFERROR(__xludf.DUMMYFUNCTION("""COMPUTED_VALUE"""),36894)</f>
        <v>36894</v>
      </c>
      <c r="C1400" s="5" t="str">
        <f ca="1">IFERROR(__xludf.DUMMYFUNCTION("""COMPUTED_VALUE"""),"Balboa High School")</f>
        <v>Balboa High School</v>
      </c>
      <c r="D1400" s="5">
        <f ca="1">IFERROR(__xludf.DUMMYFUNCTION("""COMPUTED_VALUE"""),0)</f>
        <v>0</v>
      </c>
      <c r="E1400" s="5">
        <f ca="1">IFERROR(__xludf.DUMMYFUNCTION("""COMPUTED_VALUE"""),0)</f>
        <v>0</v>
      </c>
      <c r="F1400" s="5">
        <f ca="1">IFERROR(__xludf.DUMMYFUNCTION("""COMPUTED_VALUE"""),0)</f>
        <v>0</v>
      </c>
      <c r="G1400" s="5">
        <f ca="1">IFERROR(__xludf.DUMMYFUNCTION("""COMPUTED_VALUE"""),0)</f>
        <v>0</v>
      </c>
      <c r="H1400" s="9" t="str">
        <f ca="1">IFERROR(__xludf.DUMMYFUNCTION("""COMPUTED_VALUE"""),"https://www.sfgate.com/news/article/Security-Review-After-Accident-Student-shot-2968986.php")</f>
        <v>https://www.sfgate.com/news/article/Security-Review-After-Accident-Student-shot-2968986.php</v>
      </c>
      <c r="I1400" s="5"/>
      <c r="J1400" s="5"/>
      <c r="K1400" s="5">
        <f ca="1">IFERROR(__xludf.DUMMYFUNCTION("""COMPUTED_VALUE"""),2)</f>
        <v>2</v>
      </c>
      <c r="L1400" s="5" t="str">
        <f ca="1">IFERROR(__xludf.DUMMYFUNCTION("""COMPUTED_VALUE"""),"Winter")</f>
        <v>Winter</v>
      </c>
      <c r="M1400" s="5" t="str">
        <f ca="1">IFERROR(__xludf.DUMMYFUNCTION("""COMPUTED_VALUE"""),"San Francisco")</f>
        <v>San Francisco</v>
      </c>
      <c r="N1400" s="5" t="str">
        <f ca="1">IFERROR(__xludf.DUMMYFUNCTION("""COMPUTED_VALUE"""),"CA")</f>
        <v>CA</v>
      </c>
      <c r="O1400" s="5" t="str">
        <f ca="1">IFERROR(__xludf.DUMMYFUNCTION("""COMPUTED_VALUE"""),"High")</f>
        <v>High</v>
      </c>
      <c r="P1400" s="5" t="str">
        <f ca="1">IFERROR(__xludf.DUMMYFUNCTION("""COMPUTED_VALUE"""),"Classroom")</f>
        <v>Classroom</v>
      </c>
      <c r="Q1400" s="5" t="str">
        <f ca="1">IFERROR(__xludf.DUMMYFUNCTION("""COMPUTED_VALUE"""),"Inside School Building")</f>
        <v>Inside School Building</v>
      </c>
      <c r="R1400" s="5" t="str">
        <f ca="1">IFERROR(__xludf.DUMMYFUNCTION("""COMPUTED_VALUE"""),"Yes")</f>
        <v>Yes</v>
      </c>
      <c r="S1400" s="5" t="str">
        <f ca="1">IFERROR(__xludf.DUMMYFUNCTION("""COMPUTED_VALUE"""),"Morning Classes")</f>
        <v>Morning Classes</v>
      </c>
      <c r="T1400" s="10">
        <f ca="1">IFERROR(__xludf.DUMMYFUNCTION("""COMPUTED_VALUE"""),0.395833333333333)</f>
        <v>0.39583333333333298</v>
      </c>
      <c r="U1400" s="5">
        <f ca="1">IFERROR(__xludf.DUMMYFUNCTION("""COMPUTED_VALUE"""),1)</f>
        <v>1</v>
      </c>
      <c r="V1400" s="5" t="str">
        <f ca="1">IFERROR(__xludf.DUMMYFUNCTION("""COMPUTED_VALUE"""),"Shot himself in leg during class, fled, ditched gun, then went to nurses office")</f>
        <v>Shot himself in leg during class, fled, ditched gun, then went to nurses office</v>
      </c>
      <c r="W1400"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X1400" s="5" t="str">
        <f ca="1">IFERROR(__xludf.DUMMYFUNCTION("""COMPUTED_VALUE"""),"Accidental")</f>
        <v>Accidental</v>
      </c>
      <c r="Y1400" s="5" t="str">
        <f ca="1">IFERROR(__xludf.DUMMYFUNCTION("""COMPUTED_VALUE"""),"Neither")</f>
        <v>Neither</v>
      </c>
      <c r="Z1400" s="5" t="str">
        <f ca="1">IFERROR(__xludf.DUMMYFUNCTION("""COMPUTED_VALUE"""),"No")</f>
        <v>No</v>
      </c>
      <c r="AA1400" s="5"/>
      <c r="AB1400" s="5" t="str">
        <f ca="1">IFERROR(__xludf.DUMMYFUNCTION("""COMPUTED_VALUE"""),"No")</f>
        <v>No</v>
      </c>
      <c r="AC1400" s="5" t="str">
        <f ca="1">IFERROR(__xludf.DUMMYFUNCTION("""COMPUTED_VALUE"""),"No")</f>
        <v>No</v>
      </c>
      <c r="AD1400" s="5" t="str">
        <f ca="1">IFERROR(__xludf.DUMMYFUNCTION("""COMPUTED_VALUE"""),"No")</f>
        <v>No</v>
      </c>
      <c r="AE1400" s="5" t="str">
        <f ca="1">IFERROR(__xludf.DUMMYFUNCTION("""COMPUTED_VALUE"""),"No")</f>
        <v>No</v>
      </c>
      <c r="AF1400" s="5" t="str">
        <f ca="1">IFERROR(__xludf.DUMMYFUNCTION("""COMPUTED_VALUE"""),"No")</f>
        <v>No</v>
      </c>
      <c r="AG1400" s="5" t="str">
        <f ca="1">IFERROR(__xludf.DUMMYFUNCTION("""COMPUTED_VALUE"""),"No")</f>
        <v>No</v>
      </c>
      <c r="AH1400" s="5"/>
    </row>
    <row r="1401" spans="1:34" ht="12.75">
      <c r="A1401" s="5" t="str">
        <f ca="1">IFERROR(__xludf.DUMMYFUNCTION("""COMPUTED_VALUE"""),"20001221FLNOM")</f>
        <v>20001221FLNOM</v>
      </c>
      <c r="B1401" s="8">
        <f ca="1">IFERROR(__xludf.DUMMYFUNCTION("""COMPUTED_VALUE"""),36881)</f>
        <v>36881</v>
      </c>
      <c r="C1401" s="5" t="str">
        <f ca="1">IFERROR(__xludf.DUMMYFUNCTION("""COMPUTED_VALUE"""),"Norland Elementary School")</f>
        <v>Norland Elementary School</v>
      </c>
      <c r="D1401" s="5">
        <f ca="1">IFERROR(__xludf.DUMMYFUNCTION("""COMPUTED_VALUE"""),1)</f>
        <v>1</v>
      </c>
      <c r="E1401" s="5">
        <f ca="1">IFERROR(__xludf.DUMMYFUNCTION("""COMPUTED_VALUE"""),0)</f>
        <v>0</v>
      </c>
      <c r="F1401" s="5">
        <f ca="1">IFERROR(__xludf.DUMMYFUNCTION("""COMPUTED_VALUE"""),1)</f>
        <v>1</v>
      </c>
      <c r="G1401" s="5">
        <f ca="1">IFERROR(__xludf.DUMMYFUNCTION("""COMPUTED_VALUE"""),0)</f>
        <v>0</v>
      </c>
      <c r="H1401" s="9" t="str">
        <f ca="1">IFERROR(__xludf.DUMMYFUNCTION("""COMPUTED_VALUE"""),"http://articles.sun-sentinel.com/2000-12-21/news/0012210472_1_armored-car-armored-guard-routine-pickup")</f>
        <v>http://articles.sun-sentinel.com/2000-12-21/news/0012210472_1_armored-car-armored-guard-routine-pickup</v>
      </c>
      <c r="I1401" s="5"/>
      <c r="J1401" s="5"/>
      <c r="K1401" s="5">
        <f ca="1">IFERROR(__xludf.DUMMYFUNCTION("""COMPUTED_VALUE"""),2)</f>
        <v>2</v>
      </c>
      <c r="L1401" s="5" t="str">
        <f ca="1">IFERROR(__xludf.DUMMYFUNCTION("""COMPUTED_VALUE"""),"Winter")</f>
        <v>Winter</v>
      </c>
      <c r="M1401" s="5" t="str">
        <f ca="1">IFERROR(__xludf.DUMMYFUNCTION("""COMPUTED_VALUE"""),"Miami")</f>
        <v>Miami</v>
      </c>
      <c r="N1401" s="5" t="str">
        <f ca="1">IFERROR(__xludf.DUMMYFUNCTION("""COMPUTED_VALUE"""),"FL")</f>
        <v>FL</v>
      </c>
      <c r="O1401" s="5" t="str">
        <f ca="1">IFERROR(__xludf.DUMMYFUNCTION("""COMPUTED_VALUE"""),"Elementary")</f>
        <v>Elementary</v>
      </c>
      <c r="P1401" s="5" t="str">
        <f ca="1">IFERROR(__xludf.DUMMYFUNCTION("""COMPUTED_VALUE"""),"Parking Lot")</f>
        <v>Parking Lot</v>
      </c>
      <c r="Q1401" s="5" t="str">
        <f ca="1">IFERROR(__xludf.DUMMYFUNCTION("""COMPUTED_VALUE"""),"Outside on School Property")</f>
        <v>Outside on School Property</v>
      </c>
      <c r="R1401" s="5" t="str">
        <f ca="1">IFERROR(__xludf.DUMMYFUNCTION("""COMPUTED_VALUE"""),"Yes")</f>
        <v>Yes</v>
      </c>
      <c r="S1401" s="5" t="str">
        <f ca="1">IFERROR(__xludf.DUMMYFUNCTION("""COMPUTED_VALUE"""),"After School")</f>
        <v>After School</v>
      </c>
      <c r="T1401" s="10">
        <f ca="1">IFERROR(__xludf.DUMMYFUNCTION("""COMPUTED_VALUE"""),0.65625)</f>
        <v>0.65625</v>
      </c>
      <c r="U1401" s="5">
        <f ca="1">IFERROR(__xludf.DUMMYFUNCTION("""COMPUTED_VALUE"""),1)</f>
        <v>1</v>
      </c>
      <c r="V1401" s="5" t="str">
        <f ca="1">IFERROR(__xludf.DUMMYFUNCTION("""COMPUTED_VALUE"""),"Teens shot armored car guard picking up money from the school")</f>
        <v>Teens shot armored car guard picking up money from the school</v>
      </c>
      <c r="W1401"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X1401" s="5" t="str">
        <f ca="1">IFERROR(__xludf.DUMMYFUNCTION("""COMPUTED_VALUE"""),"Illegal Activity")</f>
        <v>Illegal Activity</v>
      </c>
      <c r="Y1401" s="5" t="str">
        <f ca="1">IFERROR(__xludf.DUMMYFUNCTION("""COMPUTED_VALUE"""),"Victims Targeted")</f>
        <v>Victims Targeted</v>
      </c>
      <c r="Z1401" s="5" t="str">
        <f ca="1">IFERROR(__xludf.DUMMYFUNCTION("""COMPUTED_VALUE"""),"Yes")</f>
        <v>Yes</v>
      </c>
      <c r="AA1401" s="5" t="str">
        <f ca="1">IFERROR(__xludf.DUMMYFUNCTION("""COMPUTED_VALUE"""),"2 teens")</f>
        <v>2 teens</v>
      </c>
      <c r="AB1401" s="5" t="str">
        <f ca="1">IFERROR(__xludf.DUMMYFUNCTION("""COMPUTED_VALUE"""),"No")</f>
        <v>No</v>
      </c>
      <c r="AC1401" s="5" t="str">
        <f ca="1">IFERROR(__xludf.DUMMYFUNCTION("""COMPUTED_VALUE"""),"No")</f>
        <v>No</v>
      </c>
      <c r="AD1401" s="5" t="str">
        <f ca="1">IFERROR(__xludf.DUMMYFUNCTION("""COMPUTED_VALUE"""),"No")</f>
        <v>No</v>
      </c>
      <c r="AE1401" s="5" t="str">
        <f ca="1">IFERROR(__xludf.DUMMYFUNCTION("""COMPUTED_VALUE"""),"No")</f>
        <v>No</v>
      </c>
      <c r="AF1401" s="5" t="str">
        <f ca="1">IFERROR(__xludf.DUMMYFUNCTION("""COMPUTED_VALUE"""),"No")</f>
        <v>No</v>
      </c>
      <c r="AG1401" s="5" t="str">
        <f ca="1">IFERROR(__xludf.DUMMYFUNCTION("""COMPUTED_VALUE"""),"No")</f>
        <v>No</v>
      </c>
      <c r="AH1401" s="5"/>
    </row>
    <row r="1402" spans="1:34" ht="12.75">
      <c r="A1402" s="5" t="str">
        <f ca="1">IFERROR(__xludf.DUMMYFUNCTION("""COMPUTED_VALUE"""),"20001207CARIR")</f>
        <v>20001207CARIR</v>
      </c>
      <c r="B1402" s="8">
        <f ca="1">IFERROR(__xludf.DUMMYFUNCTION("""COMPUTED_VALUE"""),36867)</f>
        <v>36867</v>
      </c>
      <c r="C1402" s="5" t="str">
        <f ca="1">IFERROR(__xludf.DUMMYFUNCTION("""COMPUTED_VALUE"""),"Richmond High School")</f>
        <v>Richmond High School</v>
      </c>
      <c r="D1402" s="5">
        <f ca="1">IFERROR(__xludf.DUMMYFUNCTION("""COMPUTED_VALUE"""),1)</f>
        <v>1</v>
      </c>
      <c r="E1402" s="5">
        <f ca="1">IFERROR(__xludf.DUMMYFUNCTION("""COMPUTED_VALUE"""),0)</f>
        <v>0</v>
      </c>
      <c r="F1402" s="5">
        <f ca="1">IFERROR(__xludf.DUMMYFUNCTION("""COMPUTED_VALUE"""),1)</f>
        <v>1</v>
      </c>
      <c r="G1402" s="5">
        <f ca="1">IFERROR(__xludf.DUMMYFUNCTION("""COMPUTED_VALUE"""),0)</f>
        <v>0</v>
      </c>
      <c r="H1402" s="9" t="str">
        <f ca="1">IFERROR(__xludf.DUMMYFUNCTION("""COMPUTED_VALUE"""),"https://www.sfgate.com/bayarea/article/Drive-by-Shooter-Kills-Teen-2692458.php")</f>
        <v>https://www.sfgate.com/bayarea/article/Drive-by-Shooter-Kills-Teen-2692458.php</v>
      </c>
      <c r="I1402" s="5"/>
      <c r="J1402" s="5"/>
      <c r="K1402" s="5">
        <f ca="1">IFERROR(__xludf.DUMMYFUNCTION("""COMPUTED_VALUE"""),2)</f>
        <v>2</v>
      </c>
      <c r="L1402" s="5" t="str">
        <f ca="1">IFERROR(__xludf.DUMMYFUNCTION("""COMPUTED_VALUE"""),"Winter")</f>
        <v>Winter</v>
      </c>
      <c r="M1402" s="5" t="str">
        <f ca="1">IFERROR(__xludf.DUMMYFUNCTION("""COMPUTED_VALUE"""),"Richmond")</f>
        <v>Richmond</v>
      </c>
      <c r="N1402" s="5" t="str">
        <f ca="1">IFERROR(__xludf.DUMMYFUNCTION("""COMPUTED_VALUE"""),"CA")</f>
        <v>CA</v>
      </c>
      <c r="O1402" s="5" t="str">
        <f ca="1">IFERROR(__xludf.DUMMYFUNCTION("""COMPUTED_VALUE"""),"High")</f>
        <v>High</v>
      </c>
      <c r="P1402" s="5" t="str">
        <f ca="1">IFERROR(__xludf.DUMMYFUNCTION("""COMPUTED_VALUE"""),"Front of School")</f>
        <v>Front of School</v>
      </c>
      <c r="Q1402" s="5" t="str">
        <f ca="1">IFERROR(__xludf.DUMMYFUNCTION("""COMPUTED_VALUE"""),"Outside on School Property")</f>
        <v>Outside on School Property</v>
      </c>
      <c r="R1402" s="5" t="str">
        <f ca="1">IFERROR(__xludf.DUMMYFUNCTION("""COMPUTED_VALUE"""),"Yes")</f>
        <v>Yes</v>
      </c>
      <c r="S1402" s="5" t="str">
        <f ca="1">IFERROR(__xludf.DUMMYFUNCTION("""COMPUTED_VALUE"""),"Lunch")</f>
        <v>Lunch</v>
      </c>
      <c r="T1402" s="10">
        <f ca="1">IFERROR(__xludf.DUMMYFUNCTION("""COMPUTED_VALUE"""),0.53125)</f>
        <v>0.53125</v>
      </c>
      <c r="U1402" s="5">
        <f ca="1">IFERROR(__xludf.DUMMYFUNCTION("""COMPUTED_VALUE"""),1)</f>
        <v>1</v>
      </c>
      <c r="V1402" s="5" t="str">
        <f ca="1">IFERROR(__xludf.DUMMYFUNCTION("""COMPUTED_VALUE"""),"Special education student shot outside school in drive by")</f>
        <v>Special education student shot outside school in drive by</v>
      </c>
      <c r="W1402"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X1402" s="5" t="str">
        <f ca="1">IFERROR(__xludf.DUMMYFUNCTION("""COMPUTED_VALUE"""),"Drive-by Shooting")</f>
        <v>Drive-by Shooting</v>
      </c>
      <c r="Y1402" s="5"/>
      <c r="Z1402" s="5" t="str">
        <f ca="1">IFERROR(__xludf.DUMMYFUNCTION("""COMPUTED_VALUE"""),"Unknown")</f>
        <v>Unknown</v>
      </c>
      <c r="AA1402" s="5"/>
      <c r="AB1402" s="5" t="str">
        <f ca="1">IFERROR(__xludf.DUMMYFUNCTION("""COMPUTED_VALUE"""),"No")</f>
        <v>No</v>
      </c>
      <c r="AC1402" s="5" t="str">
        <f ca="1">IFERROR(__xludf.DUMMYFUNCTION("""COMPUTED_VALUE"""),"No")</f>
        <v>No</v>
      </c>
      <c r="AD1402" s="5" t="str">
        <f ca="1">IFERROR(__xludf.DUMMYFUNCTION("""COMPUTED_VALUE"""),"No")</f>
        <v>No</v>
      </c>
      <c r="AE1402" s="5" t="str">
        <f ca="1">IFERROR(__xludf.DUMMYFUNCTION("""COMPUTED_VALUE"""),"No")</f>
        <v>No</v>
      </c>
      <c r="AF1402" s="5" t="str">
        <f ca="1">IFERROR(__xludf.DUMMYFUNCTION("""COMPUTED_VALUE"""),"No")</f>
        <v>No</v>
      </c>
      <c r="AG1402" s="5" t="str">
        <f ca="1">IFERROR(__xludf.DUMMYFUNCTION("""COMPUTED_VALUE"""),"Yes")</f>
        <v>Yes</v>
      </c>
      <c r="AH1402" s="5"/>
    </row>
    <row r="1403" spans="1:34" ht="12.75">
      <c r="A1403" s="5" t="str">
        <f ca="1">IFERROR(__xludf.DUMMYFUNCTION("""COMPUTED_VALUE"""),"20001201CAJUS")</f>
        <v>20001201CAJUS</v>
      </c>
      <c r="B1403" s="8">
        <f ca="1">IFERROR(__xludf.DUMMYFUNCTION("""COMPUTED_VALUE"""),36861)</f>
        <v>36861</v>
      </c>
      <c r="C1403" s="5" t="str">
        <f ca="1">IFERROR(__xludf.DUMMYFUNCTION("""COMPUTED_VALUE"""),"Junipero Serra High School")</f>
        <v>Junipero Serra High School</v>
      </c>
      <c r="D1403" s="5">
        <f ca="1">IFERROR(__xludf.DUMMYFUNCTION("""COMPUTED_VALUE"""),0)</f>
        <v>0</v>
      </c>
      <c r="E1403" s="5">
        <f ca="1">IFERROR(__xludf.DUMMYFUNCTION("""COMPUTED_VALUE"""),0)</f>
        <v>0</v>
      </c>
      <c r="F1403" s="5">
        <f ca="1">IFERROR(__xludf.DUMMYFUNCTION("""COMPUTED_VALUE"""),0)</f>
        <v>0</v>
      </c>
      <c r="G1403" s="5">
        <f ca="1">IFERROR(__xludf.DUMMYFUNCTION("""COMPUTED_VALUE"""),0)</f>
        <v>0</v>
      </c>
      <c r="H1403" s="9" t="str">
        <f ca="1">IFERROR(__xludf.DUMMYFUNCTION("""COMPUTED_VALUE"""),"http://www.berkeleydailyplanet.com/issue/2000-12-06/article/2518")</f>
        <v>http://www.berkeleydailyplanet.com/issue/2000-12-06/article/2518</v>
      </c>
      <c r="I1403" s="5"/>
      <c r="J1403" s="5"/>
      <c r="K1403" s="5">
        <f ca="1">IFERROR(__xludf.DUMMYFUNCTION("""COMPUTED_VALUE"""),2)</f>
        <v>2</v>
      </c>
      <c r="L1403" s="5" t="str">
        <f ca="1">IFERROR(__xludf.DUMMYFUNCTION("""COMPUTED_VALUE"""),"Winter")</f>
        <v>Winter</v>
      </c>
      <c r="M1403" s="5" t="str">
        <f ca="1">IFERROR(__xludf.DUMMYFUNCTION("""COMPUTED_VALUE"""),"San Diego")</f>
        <v>San Diego</v>
      </c>
      <c r="N1403" s="5" t="str">
        <f ca="1">IFERROR(__xludf.DUMMYFUNCTION("""COMPUTED_VALUE"""),"CA")</f>
        <v>CA</v>
      </c>
      <c r="O1403" s="5" t="str">
        <f ca="1">IFERROR(__xludf.DUMMYFUNCTION("""COMPUTED_VALUE"""),"High")</f>
        <v>High</v>
      </c>
      <c r="P1403" s="5" t="str">
        <f ca="1">IFERROR(__xludf.DUMMYFUNCTION("""COMPUTED_VALUE"""),"Inside School Building")</f>
        <v>Inside School Building</v>
      </c>
      <c r="Q1403" s="5" t="str">
        <f ca="1">IFERROR(__xludf.DUMMYFUNCTION("""COMPUTED_VALUE"""),"Inside School Building")</f>
        <v>Inside School Building</v>
      </c>
      <c r="R1403" s="5" t="str">
        <f ca="1">IFERROR(__xludf.DUMMYFUNCTION("""COMPUTED_VALUE"""),"Yes")</f>
        <v>Yes</v>
      </c>
      <c r="S1403" s="5" t="str">
        <f ca="1">IFERROR(__xludf.DUMMYFUNCTION("""COMPUTED_VALUE"""),"Unknown")</f>
        <v>Unknown</v>
      </c>
      <c r="T1403" s="5"/>
      <c r="U1403" s="5"/>
      <c r="V1403" s="5" t="str">
        <f ca="1">IFERROR(__xludf.DUMMYFUNCTION("""COMPUTED_VALUE"""),"Accidental discharge, shot self showing off gun")</f>
        <v>Accidental discharge, shot self showing off gun</v>
      </c>
      <c r="W1403"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X1403" s="5" t="str">
        <f ca="1">IFERROR(__xludf.DUMMYFUNCTION("""COMPUTED_VALUE"""),"Accidental")</f>
        <v>Accidental</v>
      </c>
      <c r="Y1403" s="5" t="str">
        <f ca="1">IFERROR(__xludf.DUMMYFUNCTION("""COMPUTED_VALUE"""),"Victims Targeted")</f>
        <v>Victims Targeted</v>
      </c>
      <c r="Z1403" s="5"/>
      <c r="AA1403" s="5"/>
      <c r="AB1403" s="5" t="str">
        <f ca="1">IFERROR(__xludf.DUMMYFUNCTION("""COMPUTED_VALUE"""),"No")</f>
        <v>No</v>
      </c>
      <c r="AC1403" s="5" t="str">
        <f ca="1">IFERROR(__xludf.DUMMYFUNCTION("""COMPUTED_VALUE"""),"No")</f>
        <v>No</v>
      </c>
      <c r="AD1403" s="5" t="str">
        <f ca="1">IFERROR(__xludf.DUMMYFUNCTION("""COMPUTED_VALUE"""),"No")</f>
        <v>No</v>
      </c>
      <c r="AE1403" s="5" t="str">
        <f ca="1">IFERROR(__xludf.DUMMYFUNCTION("""COMPUTED_VALUE"""),"No")</f>
        <v>No</v>
      </c>
      <c r="AF1403" s="5" t="str">
        <f ca="1">IFERROR(__xludf.DUMMYFUNCTION("""COMPUTED_VALUE"""),"No")</f>
        <v>No</v>
      </c>
      <c r="AG1403" s="5" t="str">
        <f ca="1">IFERROR(__xludf.DUMMYFUNCTION("""COMPUTED_VALUE"""),"No")</f>
        <v>No</v>
      </c>
      <c r="AH1403" s="5"/>
    </row>
    <row r="1404" spans="1:34" ht="12.75">
      <c r="A1404" s="5" t="str">
        <f ca="1">IFERROR(__xludf.DUMMYFUNCTION("""COMPUTED_VALUE"""),"20001201CAGRL")</f>
        <v>20001201CAGRL</v>
      </c>
      <c r="B1404" s="8">
        <f ca="1">IFERROR(__xludf.DUMMYFUNCTION("""COMPUTED_VALUE"""),36861)</f>
        <v>36861</v>
      </c>
      <c r="C1404" s="5" t="str">
        <f ca="1">IFERROR(__xludf.DUMMYFUNCTION("""COMPUTED_VALUE"""),"Granada Hills High School")</f>
        <v>Granada Hills High School</v>
      </c>
      <c r="D1404" s="5">
        <f ca="1">IFERROR(__xludf.DUMMYFUNCTION("""COMPUTED_VALUE"""),0)</f>
        <v>0</v>
      </c>
      <c r="E1404" s="5">
        <f ca="1">IFERROR(__xludf.DUMMYFUNCTION("""COMPUTED_VALUE"""),0)</f>
        <v>0</v>
      </c>
      <c r="F1404" s="5">
        <f ca="1">IFERROR(__xludf.DUMMYFUNCTION("""COMPUTED_VALUE"""),0)</f>
        <v>0</v>
      </c>
      <c r="G1404" s="5">
        <f ca="1">IFERROR(__xludf.DUMMYFUNCTION("""COMPUTED_VALUE"""),1)</f>
        <v>1</v>
      </c>
      <c r="H1404" s="9" t="str">
        <f ca="1">IFERROR(__xludf.DUMMYFUNCTION("""COMPUTED_VALUE"""),"http://articles.latimes.com/2000/dec/02/local/me-60380")</f>
        <v>http://articles.latimes.com/2000/dec/02/local/me-60380</v>
      </c>
      <c r="I1404" s="5"/>
      <c r="J1404" s="5"/>
      <c r="K1404" s="5">
        <f ca="1">IFERROR(__xludf.DUMMYFUNCTION("""COMPUTED_VALUE"""),2)</f>
        <v>2</v>
      </c>
      <c r="L1404" s="5" t="str">
        <f ca="1">IFERROR(__xludf.DUMMYFUNCTION("""COMPUTED_VALUE"""),"Winter")</f>
        <v>Winter</v>
      </c>
      <c r="M1404" s="5" t="str">
        <f ca="1">IFERROR(__xludf.DUMMYFUNCTION("""COMPUTED_VALUE"""),"Los Angeles")</f>
        <v>Los Angeles</v>
      </c>
      <c r="N1404" s="5" t="str">
        <f ca="1">IFERROR(__xludf.DUMMYFUNCTION("""COMPUTED_VALUE"""),"CA")</f>
        <v>CA</v>
      </c>
      <c r="O1404" s="5" t="str">
        <f ca="1">IFERROR(__xludf.DUMMYFUNCTION("""COMPUTED_VALUE"""),"High")</f>
        <v>High</v>
      </c>
      <c r="P1404" s="5" t="str">
        <f ca="1">IFERROR(__xludf.DUMMYFUNCTION("""COMPUTED_VALUE"""),"Parking Lot")</f>
        <v>Parking Lot</v>
      </c>
      <c r="Q1404" s="5" t="str">
        <f ca="1">IFERROR(__xludf.DUMMYFUNCTION("""COMPUTED_VALUE"""),"Outside on School Property")</f>
        <v>Outside on School Property</v>
      </c>
      <c r="R1404" s="5" t="str">
        <f ca="1">IFERROR(__xludf.DUMMYFUNCTION("""COMPUTED_VALUE"""),"No")</f>
        <v>No</v>
      </c>
      <c r="S1404" s="5" t="str">
        <f ca="1">IFERROR(__xludf.DUMMYFUNCTION("""COMPUTED_VALUE"""),"Before School")</f>
        <v>Before School</v>
      </c>
      <c r="T1404" s="10">
        <f ca="1">IFERROR(__xludf.DUMMYFUNCTION("""COMPUTED_VALUE"""),0.291666666666666)</f>
        <v>0.29166666666666602</v>
      </c>
      <c r="U1404" s="5">
        <f ca="1">IFERROR(__xludf.DUMMYFUNCTION("""COMPUTED_VALUE"""),1)</f>
        <v>1</v>
      </c>
      <c r="V1404" s="5" t="str">
        <f ca="1">IFERROR(__xludf.DUMMYFUNCTION("""COMPUTED_VALUE"""),"Setup camera and shot self in parking lot in front of school")</f>
        <v>Setup camera and shot self in parking lot in front of school</v>
      </c>
      <c r="W1404"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X1404" s="5" t="str">
        <f ca="1">IFERROR(__xludf.DUMMYFUNCTION("""COMPUTED_VALUE"""),"Suicide/Attempted")</f>
        <v>Suicide/Attempted</v>
      </c>
      <c r="Y1404" s="5" t="str">
        <f ca="1">IFERROR(__xludf.DUMMYFUNCTION("""COMPUTED_VALUE"""),"Victims Targeted")</f>
        <v>Victims Targeted</v>
      </c>
      <c r="Z1404" s="5" t="str">
        <f ca="1">IFERROR(__xludf.DUMMYFUNCTION("""COMPUTED_VALUE"""),"No")</f>
        <v>No</v>
      </c>
      <c r="AA1404" s="5"/>
      <c r="AB1404" s="5" t="str">
        <f ca="1">IFERROR(__xludf.DUMMYFUNCTION("""COMPUTED_VALUE"""),"No")</f>
        <v>No</v>
      </c>
      <c r="AC1404" s="5" t="str">
        <f ca="1">IFERROR(__xludf.DUMMYFUNCTION("""COMPUTED_VALUE"""),"No")</f>
        <v>No</v>
      </c>
      <c r="AD1404" s="5" t="str">
        <f ca="1">IFERROR(__xludf.DUMMYFUNCTION("""COMPUTED_VALUE"""),"No")</f>
        <v>No</v>
      </c>
      <c r="AE1404" s="5" t="str">
        <f ca="1">IFERROR(__xludf.DUMMYFUNCTION("""COMPUTED_VALUE"""),"No")</f>
        <v>No</v>
      </c>
      <c r="AF1404" s="5" t="str">
        <f ca="1">IFERROR(__xludf.DUMMYFUNCTION("""COMPUTED_VALUE"""),"No")</f>
        <v>No</v>
      </c>
      <c r="AG1404" s="5" t="str">
        <f ca="1">IFERROR(__xludf.DUMMYFUNCTION("""COMPUTED_VALUE"""),"No")</f>
        <v>No</v>
      </c>
      <c r="AH1404" s="5"/>
    </row>
    <row r="1405" spans="1:34" ht="12.75">
      <c r="A1405" s="5" t="str">
        <f ca="1">IFERROR(__xludf.DUMMYFUNCTION("""COMPUTED_VALUE"""),"20001101TXNEC")</f>
        <v>20001101TXNEC</v>
      </c>
      <c r="B1405" s="8">
        <f ca="1">IFERROR(__xludf.DUMMYFUNCTION("""COMPUTED_VALUE"""),36831)</f>
        <v>36831</v>
      </c>
      <c r="C1405" s="5" t="str">
        <f ca="1">IFERROR(__xludf.DUMMYFUNCTION("""COMPUTED_VALUE"""),"Newman Smith High School")</f>
        <v>Newman Smith High School</v>
      </c>
      <c r="D1405" s="5">
        <f ca="1">IFERROR(__xludf.DUMMYFUNCTION("""COMPUTED_VALUE"""),0)</f>
        <v>0</v>
      </c>
      <c r="E1405" s="5">
        <f ca="1">IFERROR(__xludf.DUMMYFUNCTION("""COMPUTED_VALUE"""),0)</f>
        <v>0</v>
      </c>
      <c r="F1405" s="5">
        <f ca="1">IFERROR(__xludf.DUMMYFUNCTION("""COMPUTED_VALUE"""),0)</f>
        <v>0</v>
      </c>
      <c r="G1405" s="5">
        <f ca="1">IFERROR(__xludf.DUMMYFUNCTION("""COMPUTED_VALUE"""),0)</f>
        <v>0</v>
      </c>
      <c r="H1405" s="9" t="str">
        <f ca="1">IFERROR(__xludf.DUMMYFUNCTION("""COMPUTED_VALUE"""),"https://www.deseretnews.com/article/791173/Student-takes-class-hostage.html")</f>
        <v>https://www.deseretnews.com/article/791173/Student-takes-class-hostage.html</v>
      </c>
      <c r="I1405" s="5"/>
      <c r="J1405" s="5"/>
      <c r="K1405" s="5">
        <f ca="1">IFERROR(__xludf.DUMMYFUNCTION("""COMPUTED_VALUE"""),2)</f>
        <v>2</v>
      </c>
      <c r="L1405" s="5" t="str">
        <f ca="1">IFERROR(__xludf.DUMMYFUNCTION("""COMPUTED_VALUE"""),"Fall")</f>
        <v>Fall</v>
      </c>
      <c r="M1405" s="5" t="str">
        <f ca="1">IFERROR(__xludf.DUMMYFUNCTION("""COMPUTED_VALUE"""),"Carrollton")</f>
        <v>Carrollton</v>
      </c>
      <c r="N1405" s="5" t="str">
        <f ca="1">IFERROR(__xludf.DUMMYFUNCTION("""COMPUTED_VALUE"""),"TX")</f>
        <v>TX</v>
      </c>
      <c r="O1405" s="5" t="str">
        <f ca="1">IFERROR(__xludf.DUMMYFUNCTION("""COMPUTED_VALUE"""),"High")</f>
        <v>High</v>
      </c>
      <c r="P1405" s="5" t="str">
        <f ca="1">IFERROR(__xludf.DUMMYFUNCTION("""COMPUTED_VALUE"""),"Classroom")</f>
        <v>Classroom</v>
      </c>
      <c r="Q1405" s="5" t="str">
        <f ca="1">IFERROR(__xludf.DUMMYFUNCTION("""COMPUTED_VALUE"""),"Inside School Building")</f>
        <v>Inside School Building</v>
      </c>
      <c r="R1405" s="5" t="str">
        <f ca="1">IFERROR(__xludf.DUMMYFUNCTION("""COMPUTED_VALUE"""),"Yes")</f>
        <v>Yes</v>
      </c>
      <c r="S1405" s="5" t="str">
        <f ca="1">IFERROR(__xludf.DUMMYFUNCTION("""COMPUTED_VALUE"""),"Morning Classes")</f>
        <v>Morning Classes</v>
      </c>
      <c r="T1405" s="10">
        <f ca="1">IFERROR(__xludf.DUMMYFUNCTION("""COMPUTED_VALUE"""),0.34375)</f>
        <v>0.34375</v>
      </c>
      <c r="U1405" s="5">
        <f ca="1">IFERROR(__xludf.DUMMYFUNCTION("""COMPUTED_VALUE"""),25)</f>
        <v>25</v>
      </c>
      <c r="V1405" s="5" t="str">
        <f ca="1">IFERROR(__xludf.DUMMYFUNCTION("""COMPUTED_VALUE"""),"Held 19 students and teacher hostage for 30 minutes")</f>
        <v>Held 19 students and teacher hostage for 30 minutes</v>
      </c>
      <c r="W1405"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X1405" s="5" t="str">
        <f ca="1">IFERROR(__xludf.DUMMYFUNCTION("""COMPUTED_VALUE"""),"Hostage/Standoff")</f>
        <v>Hostage/Standoff</v>
      </c>
      <c r="Y1405" s="5"/>
      <c r="Z1405" s="5" t="str">
        <f ca="1">IFERROR(__xludf.DUMMYFUNCTION("""COMPUTED_VALUE"""),"No")</f>
        <v>No</v>
      </c>
      <c r="AA1405" s="5"/>
      <c r="AB1405" s="5" t="str">
        <f ca="1">IFERROR(__xludf.DUMMYFUNCTION("""COMPUTED_VALUE"""),"Yes")</f>
        <v>Yes</v>
      </c>
      <c r="AC1405" s="5" t="str">
        <f ca="1">IFERROR(__xludf.DUMMYFUNCTION("""COMPUTED_VALUE"""),"Yes")</f>
        <v>Yes</v>
      </c>
      <c r="AD1405" s="5" t="str">
        <f ca="1">IFERROR(__xludf.DUMMYFUNCTION("""COMPUTED_VALUE"""),"No")</f>
        <v>No</v>
      </c>
      <c r="AE1405" s="5" t="str">
        <f ca="1">IFERROR(__xludf.DUMMYFUNCTION("""COMPUTED_VALUE"""),"No")</f>
        <v>No</v>
      </c>
      <c r="AF1405" s="5" t="str">
        <f ca="1">IFERROR(__xludf.DUMMYFUNCTION("""COMPUTED_VALUE"""),"No")</f>
        <v>No</v>
      </c>
      <c r="AG1405" s="5" t="str">
        <f ca="1">IFERROR(__xludf.DUMMYFUNCTION("""COMPUTED_VALUE"""),"No")</f>
        <v>No</v>
      </c>
      <c r="AH1405" s="5" t="str">
        <f ca="1">IFERROR(__xludf.DUMMYFUNCTION("""COMPUTED_VALUE"""),"Yes")</f>
        <v>Yes</v>
      </c>
    </row>
    <row r="1406" spans="1:34" ht="12.75">
      <c r="A1406" s="5" t="str">
        <f ca="1">IFERROR(__xludf.DUMMYFUNCTION("""COMPUTED_VALUE"""),"20001024AZPIG")</f>
        <v>20001024AZPIG</v>
      </c>
      <c r="B1406" s="8">
        <f ca="1">IFERROR(__xludf.DUMMYFUNCTION("""COMPUTED_VALUE"""),36823)</f>
        <v>36823</v>
      </c>
      <c r="C1406" s="5" t="str">
        <f ca="1">IFERROR(__xludf.DUMMYFUNCTION("""COMPUTED_VALUE"""),"Pioneer Elementary School")</f>
        <v>Pioneer Elementary School</v>
      </c>
      <c r="D1406" s="5">
        <f ca="1">IFERROR(__xludf.DUMMYFUNCTION("""COMPUTED_VALUE"""),0)</f>
        <v>0</v>
      </c>
      <c r="E1406" s="5">
        <f ca="1">IFERROR(__xludf.DUMMYFUNCTION("""COMPUTED_VALUE"""),0)</f>
        <v>0</v>
      </c>
      <c r="F1406" s="5">
        <f ca="1">IFERROR(__xludf.DUMMYFUNCTION("""COMPUTED_VALUE"""),0)</f>
        <v>0</v>
      </c>
      <c r="G1406" s="5">
        <f ca="1">IFERROR(__xludf.DUMMYFUNCTION("""COMPUTED_VALUE"""),0)</f>
        <v>0</v>
      </c>
      <c r="H1406" s="9" t="str">
        <f ca="1">IFERROR(__xludf.DUMMYFUNCTION("""COMPUTED_VALUE"""),"http://tucsoncitizen.com/morgue2/2000/10/25/84611-teen-holds-class-teacher-hostage-at-his-former-glendale-school/")</f>
        <v>http://tucsoncitizen.com/morgue2/2000/10/25/84611-teen-holds-class-teacher-hostage-at-his-former-glendale-school/</v>
      </c>
      <c r="I1406" s="5"/>
      <c r="J1406" s="5"/>
      <c r="K1406" s="5">
        <f ca="1">IFERROR(__xludf.DUMMYFUNCTION("""COMPUTED_VALUE"""),2)</f>
        <v>2</v>
      </c>
      <c r="L1406" s="5" t="str">
        <f ca="1">IFERROR(__xludf.DUMMYFUNCTION("""COMPUTED_VALUE"""),"Fall")</f>
        <v>Fall</v>
      </c>
      <c r="M1406" s="5" t="str">
        <f ca="1">IFERROR(__xludf.DUMMYFUNCTION("""COMPUTED_VALUE"""),"Glendale")</f>
        <v>Glendale</v>
      </c>
      <c r="N1406" s="5" t="str">
        <f ca="1">IFERROR(__xludf.DUMMYFUNCTION("""COMPUTED_VALUE"""),"AZ")</f>
        <v>AZ</v>
      </c>
      <c r="O1406" s="5" t="str">
        <f ca="1">IFERROR(__xludf.DUMMYFUNCTION("""COMPUTED_VALUE"""),"Elementary")</f>
        <v>Elementary</v>
      </c>
      <c r="P1406" s="5" t="str">
        <f ca="1">IFERROR(__xludf.DUMMYFUNCTION("""COMPUTED_VALUE"""),"Classroom")</f>
        <v>Classroom</v>
      </c>
      <c r="Q1406" s="5" t="str">
        <f ca="1">IFERROR(__xludf.DUMMYFUNCTION("""COMPUTED_VALUE"""),"Inside School Building")</f>
        <v>Inside School Building</v>
      </c>
      <c r="R1406" s="5" t="str">
        <f ca="1">IFERROR(__xludf.DUMMYFUNCTION("""COMPUTED_VALUE"""),"Yes")</f>
        <v>Yes</v>
      </c>
      <c r="S1406" s="5" t="str">
        <f ca="1">IFERROR(__xludf.DUMMYFUNCTION("""COMPUTED_VALUE"""),"Morning Classes")</f>
        <v>Morning Classes</v>
      </c>
      <c r="T1406" s="10">
        <f ca="1">IFERROR(__xludf.DUMMYFUNCTION("""COMPUTED_VALUE"""),0.46875)</f>
        <v>0.46875</v>
      </c>
      <c r="U1406" s="5"/>
      <c r="V1406" s="5" t="str">
        <f ca="1">IFERROR(__xludf.DUMMYFUNCTION("""COMPUTED_VALUE"""),"Held elementary school class hostage until surrendering")</f>
        <v>Held elementary school class hostage until surrendering</v>
      </c>
      <c r="W1406"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X1406" s="5" t="str">
        <f ca="1">IFERROR(__xludf.DUMMYFUNCTION("""COMPUTED_VALUE"""),"Hostage/Standoff")</f>
        <v>Hostage/Standoff</v>
      </c>
      <c r="Y1406" s="5" t="str">
        <f ca="1">IFERROR(__xludf.DUMMYFUNCTION("""COMPUTED_VALUE"""),"Random Shooting")</f>
        <v>Random Shooting</v>
      </c>
      <c r="Z1406" s="5" t="str">
        <f ca="1">IFERROR(__xludf.DUMMYFUNCTION("""COMPUTED_VALUE"""),"No")</f>
        <v>No</v>
      </c>
      <c r="AA1406" s="5"/>
      <c r="AB1406" s="5" t="str">
        <f ca="1">IFERROR(__xludf.DUMMYFUNCTION("""COMPUTED_VALUE"""),"Yes")</f>
        <v>Yes</v>
      </c>
      <c r="AC1406" s="5" t="str">
        <f ca="1">IFERROR(__xludf.DUMMYFUNCTION("""COMPUTED_VALUE"""),"No")</f>
        <v>No</v>
      </c>
      <c r="AD1406" s="5" t="str">
        <f ca="1">IFERROR(__xludf.DUMMYFUNCTION("""COMPUTED_VALUE"""),"No")</f>
        <v>No</v>
      </c>
      <c r="AE1406" s="5" t="str">
        <f ca="1">IFERROR(__xludf.DUMMYFUNCTION("""COMPUTED_VALUE"""),"No")</f>
        <v>No</v>
      </c>
      <c r="AF1406" s="5" t="str">
        <f ca="1">IFERROR(__xludf.DUMMYFUNCTION("""COMPUTED_VALUE"""),"No")</f>
        <v>No</v>
      </c>
      <c r="AG1406" s="5" t="str">
        <f ca="1">IFERROR(__xludf.DUMMYFUNCTION("""COMPUTED_VALUE"""),"No")</f>
        <v>No</v>
      </c>
      <c r="AH1406" s="5" t="str">
        <f ca="1">IFERROR(__xludf.DUMMYFUNCTION("""COMPUTED_VALUE"""),"Yes")</f>
        <v>Yes</v>
      </c>
    </row>
    <row r="1407" spans="1:34" ht="12.75">
      <c r="A1407" s="5" t="str">
        <f ca="1">IFERROR(__xludf.DUMMYFUNCTION("""COMPUTED_VALUE"""),"20001005MNMIM")</f>
        <v>20001005MNMIM</v>
      </c>
      <c r="B1407" s="8">
        <f ca="1">IFERROR(__xludf.DUMMYFUNCTION("""COMPUTED_VALUE"""),36804)</f>
        <v>36804</v>
      </c>
      <c r="C1407" s="5" t="str">
        <f ca="1">IFERROR(__xludf.DUMMYFUNCTION("""COMPUTED_VALUE"""),"Minneapolis North High School")</f>
        <v>Minneapolis North High School</v>
      </c>
      <c r="D1407" s="5">
        <f ca="1">IFERROR(__xludf.DUMMYFUNCTION("""COMPUTED_VALUE"""),0)</f>
        <v>0</v>
      </c>
      <c r="E1407" s="5">
        <f ca="1">IFERROR(__xludf.DUMMYFUNCTION("""COMPUTED_VALUE"""),2)</f>
        <v>2</v>
      </c>
      <c r="F1407" s="5">
        <f ca="1">IFERROR(__xludf.DUMMYFUNCTION("""COMPUTED_VALUE"""),2)</f>
        <v>2</v>
      </c>
      <c r="G1407" s="5">
        <f ca="1">IFERROR(__xludf.DUMMYFUNCTION("""COMPUTED_VALUE"""),0)</f>
        <v>0</v>
      </c>
      <c r="H1407" s="9" t="str">
        <f ca="1">IFERROR(__xludf.DUMMYFUNCTION("""COMPUTED_VALUE"""),"https://www.newspapers.com/image/195721847/?terms=shooting%2Bhomecoming%2BMinneapolis")</f>
        <v>https://www.newspapers.com/image/195721847/?terms=shooting%2Bhomecoming%2BMinneapolis</v>
      </c>
      <c r="I1407" s="5"/>
      <c r="J1407" s="5"/>
      <c r="K1407" s="5">
        <f ca="1">IFERROR(__xludf.DUMMYFUNCTION("""COMPUTED_VALUE"""),2)</f>
        <v>2</v>
      </c>
      <c r="L1407" s="5" t="str">
        <f ca="1">IFERROR(__xludf.DUMMYFUNCTION("""COMPUTED_VALUE"""),"Fall")</f>
        <v>Fall</v>
      </c>
      <c r="M1407" s="5" t="str">
        <f ca="1">IFERROR(__xludf.DUMMYFUNCTION("""COMPUTED_VALUE"""),"Minneapolis")</f>
        <v>Minneapolis</v>
      </c>
      <c r="N1407" s="5" t="str">
        <f ca="1">IFERROR(__xludf.DUMMYFUNCTION("""COMPUTED_VALUE"""),"MN")</f>
        <v>MN</v>
      </c>
      <c r="O1407" s="5" t="str">
        <f ca="1">IFERROR(__xludf.DUMMYFUNCTION("""COMPUTED_VALUE"""),"High")</f>
        <v>High</v>
      </c>
      <c r="P1407" s="5" t="str">
        <f ca="1">IFERROR(__xludf.DUMMYFUNCTION("""COMPUTED_VALUE"""),"Beside Building")</f>
        <v>Beside Building</v>
      </c>
      <c r="Q1407" s="5" t="str">
        <f ca="1">IFERROR(__xludf.DUMMYFUNCTION("""COMPUTED_VALUE"""),"Outside on School Property")</f>
        <v>Outside on School Property</v>
      </c>
      <c r="R1407" s="5" t="str">
        <f ca="1">IFERROR(__xludf.DUMMYFUNCTION("""COMPUTED_VALUE"""),"No")</f>
        <v>No</v>
      </c>
      <c r="S1407" s="5" t="str">
        <f ca="1">IFERROR(__xludf.DUMMYFUNCTION("""COMPUTED_VALUE"""),"Night")</f>
        <v>Night</v>
      </c>
      <c r="T1407" s="10">
        <f ca="1">IFERROR(__xludf.DUMMYFUNCTION("""COMPUTED_VALUE"""),0.958333333333333)</f>
        <v>0.95833333333333304</v>
      </c>
      <c r="U1407" s="5">
        <f ca="1">IFERROR(__xludf.DUMMYFUNCTION("""COMPUTED_VALUE"""),1)</f>
        <v>1</v>
      </c>
      <c r="V1407" s="5" t="str">
        <f ca="1">IFERROR(__xludf.DUMMYFUNCTION("""COMPUTED_VALUE"""),"Two non-student shot outside school, likely gang related")</f>
        <v>Two non-student shot outside school, likely gang related</v>
      </c>
      <c r="W1407"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X1407" s="5" t="str">
        <f ca="1">IFERROR(__xludf.DUMMYFUNCTION("""COMPUTED_VALUE"""),"Illegal Activity")</f>
        <v>Illegal Activity</v>
      </c>
      <c r="Y1407" s="5"/>
      <c r="Z1407" s="5" t="str">
        <f ca="1">IFERROR(__xludf.DUMMYFUNCTION("""COMPUTED_VALUE"""),"No")</f>
        <v>No</v>
      </c>
      <c r="AA1407" s="5"/>
      <c r="AB1407" s="5" t="str">
        <f ca="1">IFERROR(__xludf.DUMMYFUNCTION("""COMPUTED_VALUE"""),"No")</f>
        <v>No</v>
      </c>
      <c r="AC1407" s="5" t="str">
        <f ca="1">IFERROR(__xludf.DUMMYFUNCTION("""COMPUTED_VALUE"""),"No")</f>
        <v>No</v>
      </c>
      <c r="AD1407" s="5" t="str">
        <f ca="1">IFERROR(__xludf.DUMMYFUNCTION("""COMPUTED_VALUE"""),"No")</f>
        <v>No</v>
      </c>
      <c r="AE1407" s="5" t="str">
        <f ca="1">IFERROR(__xludf.DUMMYFUNCTION("""COMPUTED_VALUE"""),"No")</f>
        <v>No</v>
      </c>
      <c r="AF1407" s="5" t="str">
        <f ca="1">IFERROR(__xludf.DUMMYFUNCTION("""COMPUTED_VALUE"""),"No")</f>
        <v>No</v>
      </c>
      <c r="AG1407" s="5" t="str">
        <f ca="1">IFERROR(__xludf.DUMMYFUNCTION("""COMPUTED_VALUE"""),"Yes")</f>
        <v>Yes</v>
      </c>
      <c r="AH1407" s="5"/>
    </row>
    <row r="1408" spans="1:34" ht="12.75">
      <c r="A1408" s="5" t="str">
        <f ca="1">IFERROR(__xludf.DUMMYFUNCTION("""COMPUTED_VALUE"""),"20000926LACAN")</f>
        <v>20000926LACAN</v>
      </c>
      <c r="B1408" s="8">
        <f ca="1">IFERROR(__xludf.DUMMYFUNCTION("""COMPUTED_VALUE"""),36795)</f>
        <v>36795</v>
      </c>
      <c r="C1408" s="5" t="str">
        <f ca="1">IFERROR(__xludf.DUMMYFUNCTION("""COMPUTED_VALUE"""),"Carter G. Woodson Middle School")</f>
        <v>Carter G. Woodson Middle School</v>
      </c>
      <c r="D1408" s="5">
        <f ca="1">IFERROR(__xludf.DUMMYFUNCTION("""COMPUTED_VALUE"""),0)</f>
        <v>0</v>
      </c>
      <c r="E1408" s="5">
        <f ca="1">IFERROR(__xludf.DUMMYFUNCTION("""COMPUTED_VALUE"""),2)</f>
        <v>2</v>
      </c>
      <c r="F1408" s="5">
        <f ca="1">IFERROR(__xludf.DUMMYFUNCTION("""COMPUTED_VALUE"""),2)</f>
        <v>2</v>
      </c>
      <c r="G1408" s="5">
        <f ca="1">IFERROR(__xludf.DUMMYFUNCTION("""COMPUTED_VALUE"""),0)</f>
        <v>0</v>
      </c>
      <c r="H1408" s="9" t="str">
        <f ca="1">IFERROR(__xludf.DUMMYFUNCTION("""COMPUTED_VALUE"""),"http://abcnews.go.com/US/story?id=95621&amp;page=1")</f>
        <v>http://abcnews.go.com/US/story?id=95621&amp;page=1</v>
      </c>
      <c r="I1408" s="5"/>
      <c r="J1408" s="5"/>
      <c r="K1408" s="5">
        <f ca="1">IFERROR(__xludf.DUMMYFUNCTION("""COMPUTED_VALUE"""),2)</f>
        <v>2</v>
      </c>
      <c r="L1408" s="5" t="str">
        <f ca="1">IFERROR(__xludf.DUMMYFUNCTION("""COMPUTED_VALUE"""),"Fall")</f>
        <v>Fall</v>
      </c>
      <c r="M1408" s="5" t="str">
        <f ca="1">IFERROR(__xludf.DUMMYFUNCTION("""COMPUTED_VALUE"""),"New Orleans")</f>
        <v>New Orleans</v>
      </c>
      <c r="N1408" s="5" t="str">
        <f ca="1">IFERROR(__xludf.DUMMYFUNCTION("""COMPUTED_VALUE"""),"LA")</f>
        <v>LA</v>
      </c>
      <c r="O1408" s="5" t="str">
        <f ca="1">IFERROR(__xludf.DUMMYFUNCTION("""COMPUTED_VALUE"""),"Middle")</f>
        <v>Middle</v>
      </c>
      <c r="P1408" s="5" t="str">
        <f ca="1">IFERROR(__xludf.DUMMYFUNCTION("""COMPUTED_VALUE"""),"Field (General)")</f>
        <v>Field (General)</v>
      </c>
      <c r="Q1408" s="5" t="str">
        <f ca="1">IFERROR(__xludf.DUMMYFUNCTION("""COMPUTED_VALUE"""),"Outside on School Property")</f>
        <v>Outside on School Property</v>
      </c>
      <c r="R1408" s="5" t="str">
        <f ca="1">IFERROR(__xludf.DUMMYFUNCTION("""COMPUTED_VALUE"""),"Yes")</f>
        <v>Yes</v>
      </c>
      <c r="S1408" s="5" t="str">
        <f ca="1">IFERROR(__xludf.DUMMYFUNCTION("""COMPUTED_VALUE"""),"Lunch")</f>
        <v>Lunch</v>
      </c>
      <c r="T1408" s="10">
        <f ca="1">IFERROR(__xludf.DUMMYFUNCTION("""COMPUTED_VALUE"""),0.5)</f>
        <v>0.5</v>
      </c>
      <c r="U1408" s="5">
        <f ca="1">IFERROR(__xludf.DUMMYFUNCTION("""COMPUTED_VALUE"""),1)</f>
        <v>1</v>
      </c>
      <c r="V1408" s="5" t="str">
        <f ca="1">IFERROR(__xludf.DUMMYFUNCTION("""COMPUTED_VALUE"""),"Multiple prior fights between shooter and victim")</f>
        <v>Multiple prior fights between shooter and victim</v>
      </c>
      <c r="W1408"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X1408" s="5" t="str">
        <f ca="1">IFERROR(__xludf.DUMMYFUNCTION("""COMPUTED_VALUE"""),"Escalation of Dispute")</f>
        <v>Escalation of Dispute</v>
      </c>
      <c r="Y1408" s="5" t="str">
        <f ca="1">IFERROR(__xludf.DUMMYFUNCTION("""COMPUTED_VALUE"""),"Victims Targeted")</f>
        <v>Victims Targeted</v>
      </c>
      <c r="Z1408" s="5" t="str">
        <f ca="1">IFERROR(__xludf.DUMMYFUNCTION("""COMPUTED_VALUE"""),"Yes")</f>
        <v>Yes</v>
      </c>
      <c r="AA1408" s="5" t="str">
        <f ca="1">IFERROR(__xludf.DUMMYFUNCTION("""COMPUTED_VALUE"""),"13YOM who was expelled provided the gun")</f>
        <v>13YOM who was expelled provided the gun</v>
      </c>
      <c r="AB1408" s="5" t="str">
        <f ca="1">IFERROR(__xludf.DUMMYFUNCTION("""COMPUTED_VALUE"""),"No")</f>
        <v>No</v>
      </c>
      <c r="AC1408" s="5" t="str">
        <f ca="1">IFERROR(__xludf.DUMMYFUNCTION("""COMPUTED_VALUE"""),"No")</f>
        <v>No</v>
      </c>
      <c r="AD1408" s="5" t="str">
        <f ca="1">IFERROR(__xludf.DUMMYFUNCTION("""COMPUTED_VALUE"""),"No")</f>
        <v>No</v>
      </c>
      <c r="AE1408" s="5" t="str">
        <f ca="1">IFERROR(__xludf.DUMMYFUNCTION("""COMPUTED_VALUE"""),"No")</f>
        <v>No</v>
      </c>
      <c r="AF1408" s="5" t="str">
        <f ca="1">IFERROR(__xludf.DUMMYFUNCTION("""COMPUTED_VALUE"""),"No")</f>
        <v>No</v>
      </c>
      <c r="AG1408" s="5" t="str">
        <f ca="1">IFERROR(__xludf.DUMMYFUNCTION("""COMPUTED_VALUE"""),"No")</f>
        <v>No</v>
      </c>
      <c r="AH1408" s="5"/>
    </row>
    <row r="1409" spans="1:34" ht="12.75">
      <c r="A1409" s="5" t="str">
        <f ca="1">IFERROR(__xludf.DUMMYFUNCTION("""COMPUTED_VALUE"""),"20000918OHMOM")</f>
        <v>20000918OHMOM</v>
      </c>
      <c r="B1409" s="8">
        <f ca="1">IFERROR(__xludf.DUMMYFUNCTION("""COMPUTED_VALUE"""),36787)</f>
        <v>36787</v>
      </c>
      <c r="C1409" s="5" t="str">
        <f ca="1">IFERROR(__xludf.DUMMYFUNCTION("""COMPUTED_VALUE"""),"Mount Healthy North Junior High")</f>
        <v>Mount Healthy North Junior High</v>
      </c>
      <c r="D1409" s="5">
        <f ca="1">IFERROR(__xludf.DUMMYFUNCTION("""COMPUTED_VALUE"""),0)</f>
        <v>0</v>
      </c>
      <c r="E1409" s="5">
        <f ca="1">IFERROR(__xludf.DUMMYFUNCTION("""COMPUTED_VALUE"""),0)</f>
        <v>0</v>
      </c>
      <c r="F1409" s="5">
        <f ca="1">IFERROR(__xludf.DUMMYFUNCTION("""COMPUTED_VALUE"""),0)</f>
        <v>0</v>
      </c>
      <c r="G1409" s="5">
        <f ca="1">IFERROR(__xludf.DUMMYFUNCTION("""COMPUTED_VALUE"""),0)</f>
        <v>0</v>
      </c>
      <c r="H1409" s="9" t="str">
        <f ca="1">IFERROR(__xludf.DUMMYFUNCTION("""COMPUTED_VALUE"""),"https://www.newspapers.com/image/324100036/?terms=Mount%2BHealthy%2C%2BOhio%2Bschool%2Bgun")</f>
        <v>https://www.newspapers.com/image/324100036/?terms=Mount%2BHealthy%2C%2BOhio%2Bschool%2Bgun</v>
      </c>
      <c r="I1409" s="5"/>
      <c r="J1409" s="5"/>
      <c r="K1409" s="5">
        <f ca="1">IFERROR(__xludf.DUMMYFUNCTION("""COMPUTED_VALUE"""),2)</f>
        <v>2</v>
      </c>
      <c r="L1409" s="5" t="str">
        <f ca="1">IFERROR(__xludf.DUMMYFUNCTION("""COMPUTED_VALUE"""),"Fall")</f>
        <v>Fall</v>
      </c>
      <c r="M1409" s="5" t="str">
        <f ca="1">IFERROR(__xludf.DUMMYFUNCTION("""COMPUTED_VALUE"""),"Mount Healthy")</f>
        <v>Mount Healthy</v>
      </c>
      <c r="N1409" s="5" t="str">
        <f ca="1">IFERROR(__xludf.DUMMYFUNCTION("""COMPUTED_VALUE"""),"OH")</f>
        <v>OH</v>
      </c>
      <c r="O1409" s="5" t="str">
        <f ca="1">IFERROR(__xludf.DUMMYFUNCTION("""COMPUTED_VALUE"""),"Junior High")</f>
        <v>Junior High</v>
      </c>
      <c r="P1409" s="5" t="str">
        <f ca="1">IFERROR(__xludf.DUMMYFUNCTION("""COMPUTED_VALUE"""),"Classroom")</f>
        <v>Classroom</v>
      </c>
      <c r="Q1409" s="5" t="str">
        <f ca="1">IFERROR(__xludf.DUMMYFUNCTION("""COMPUTED_VALUE"""),"Inside School Building")</f>
        <v>Inside School Building</v>
      </c>
      <c r="R1409" s="5" t="str">
        <f ca="1">IFERROR(__xludf.DUMMYFUNCTION("""COMPUTED_VALUE"""),"Yes")</f>
        <v>Yes</v>
      </c>
      <c r="S1409" s="5"/>
      <c r="T1409" s="5"/>
      <c r="U1409" s="5">
        <f ca="1">IFERROR(__xludf.DUMMYFUNCTION("""COMPUTED_VALUE"""),25)</f>
        <v>25</v>
      </c>
      <c r="V1409" s="5" t="str">
        <f ca="1">IFERROR(__xludf.DUMMYFUNCTION("""COMPUTED_VALUE"""),"Fired shot into classroom ceiling, surrendered gun to SRO after 25 minutes, motive unclear")</f>
        <v>Fired shot into classroom ceiling, surrendered gun to SRO after 25 minutes, motive unclear</v>
      </c>
      <c r="W1409"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X1409" s="5" t="str">
        <f ca="1">IFERROR(__xludf.DUMMYFUNCTION("""COMPUTED_VALUE"""),"Hostage/Standoff")</f>
        <v>Hostage/Standoff</v>
      </c>
      <c r="Y1409" s="5" t="str">
        <f ca="1">IFERROR(__xludf.DUMMYFUNCTION("""COMPUTED_VALUE"""),"Neither")</f>
        <v>Neither</v>
      </c>
      <c r="Z1409" s="5"/>
      <c r="AA1409" s="5"/>
      <c r="AB1409" s="5" t="str">
        <f ca="1">IFERROR(__xludf.DUMMYFUNCTION("""COMPUTED_VALUE"""),"No")</f>
        <v>No</v>
      </c>
      <c r="AC1409" s="5" t="str">
        <f ca="1">IFERROR(__xludf.DUMMYFUNCTION("""COMPUTED_VALUE"""),"No")</f>
        <v>No</v>
      </c>
      <c r="AD1409" s="5" t="str">
        <f ca="1">IFERROR(__xludf.DUMMYFUNCTION("""COMPUTED_VALUE"""),"No")</f>
        <v>No</v>
      </c>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IFERROR(__xludf.DUMMYFUNCTION("""COMPUTED_VALUE"""),"Yes")</f>
        <v>Yes</v>
      </c>
    </row>
    <row r="1410" spans="1:34" ht="12.75">
      <c r="A1410" s="5" t="str">
        <f ca="1">IFERROR(__xludf.DUMMYFUNCTION("""COMPUTED_VALUE"""),"20000907ILLOR")</f>
        <v>20000907ILLOR</v>
      </c>
      <c r="B1410" s="8">
        <f ca="1">IFERROR(__xludf.DUMMYFUNCTION("""COMPUTED_VALUE"""),36776)</f>
        <v>36776</v>
      </c>
      <c r="C1410" s="5" t="str">
        <f ca="1">IFERROR(__xludf.DUMMYFUNCTION("""COMPUTED_VALUE"""),"Longfellow Elementary School")</f>
        <v>Longfellow Elementary School</v>
      </c>
      <c r="D1410" s="5">
        <f ca="1">IFERROR(__xludf.DUMMYFUNCTION("""COMPUTED_VALUE"""),1)</f>
        <v>1</v>
      </c>
      <c r="E1410" s="5">
        <f ca="1">IFERROR(__xludf.DUMMYFUNCTION("""COMPUTED_VALUE"""),0)</f>
        <v>0</v>
      </c>
      <c r="F1410" s="5">
        <f ca="1">IFERROR(__xludf.DUMMYFUNCTION("""COMPUTED_VALUE"""),1)</f>
        <v>1</v>
      </c>
      <c r="G1410" s="5">
        <f ca="1">IFERROR(__xludf.DUMMYFUNCTION("""COMPUTED_VALUE"""),0)</f>
        <v>0</v>
      </c>
      <c r="H1410"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I1410" s="5"/>
      <c r="J1410" s="5"/>
      <c r="K1410" s="5">
        <f ca="1">IFERROR(__xludf.DUMMYFUNCTION("""COMPUTED_VALUE"""),4)</f>
        <v>4</v>
      </c>
      <c r="L1410" s="5" t="str">
        <f ca="1">IFERROR(__xludf.DUMMYFUNCTION("""COMPUTED_VALUE"""),"Fall")</f>
        <v>Fall</v>
      </c>
      <c r="M1410" s="5" t="str">
        <f ca="1">IFERROR(__xludf.DUMMYFUNCTION("""COMPUTED_VALUE"""),"Rock Island")</f>
        <v>Rock Island</v>
      </c>
      <c r="N1410" s="5" t="str">
        <f ca="1">IFERROR(__xludf.DUMMYFUNCTION("""COMPUTED_VALUE"""),"IL")</f>
        <v>IL</v>
      </c>
      <c r="O1410" s="5" t="str">
        <f ca="1">IFERROR(__xludf.DUMMYFUNCTION("""COMPUTED_VALUE"""),"Elementary")</f>
        <v>Elementary</v>
      </c>
      <c r="P1410" s="5" t="str">
        <f ca="1">IFERROR(__xludf.DUMMYFUNCTION("""COMPUTED_VALUE"""),"Parking Lot")</f>
        <v>Parking Lot</v>
      </c>
      <c r="Q1410" s="5" t="str">
        <f ca="1">IFERROR(__xludf.DUMMYFUNCTION("""COMPUTED_VALUE"""),"Outside on School Property")</f>
        <v>Outside on School Property</v>
      </c>
      <c r="R1410" s="5" t="str">
        <f ca="1">IFERROR(__xludf.DUMMYFUNCTION("""COMPUTED_VALUE"""),"No")</f>
        <v>No</v>
      </c>
      <c r="S1410" s="5" t="str">
        <f ca="1">IFERROR(__xludf.DUMMYFUNCTION("""COMPUTED_VALUE"""),"Evening")</f>
        <v>Evening</v>
      </c>
      <c r="T1410" s="10">
        <f ca="1">IFERROR(__xludf.DUMMYFUNCTION("""COMPUTED_VALUE"""),0.790277777777777)</f>
        <v>0.79027777777777697</v>
      </c>
      <c r="U1410" s="5">
        <f ca="1">IFERROR(__xludf.DUMMYFUNCTION("""COMPUTED_VALUE"""),1)</f>
        <v>1</v>
      </c>
      <c r="V1410" s="5" t="str">
        <f ca="1">IFERROR(__xludf.DUMMYFUNCTION("""COMPUTED_VALUE"""),"Robbery")</f>
        <v>Robbery</v>
      </c>
      <c r="W1410"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X1410" s="5" t="str">
        <f ca="1">IFERROR(__xludf.DUMMYFUNCTION("""COMPUTED_VALUE"""),"Illegal Activity")</f>
        <v>Illegal Activity</v>
      </c>
      <c r="Y1410" s="5" t="str">
        <f ca="1">IFERROR(__xludf.DUMMYFUNCTION("""COMPUTED_VALUE"""),"Victims Targeted")</f>
        <v>Victims Targeted</v>
      </c>
      <c r="Z1410" s="5" t="str">
        <f ca="1">IFERROR(__xludf.DUMMYFUNCTION("""COMPUTED_VALUE"""),"No")</f>
        <v>No</v>
      </c>
      <c r="AA1410" s="5"/>
      <c r="AB1410" s="5" t="str">
        <f ca="1">IFERROR(__xludf.DUMMYFUNCTION("""COMPUTED_VALUE"""),"No")</f>
        <v>No</v>
      </c>
      <c r="AC1410" s="5" t="str">
        <f ca="1">IFERROR(__xludf.DUMMYFUNCTION("""COMPUTED_VALUE"""),"No")</f>
        <v>No</v>
      </c>
      <c r="AD1410" s="5" t="str">
        <f ca="1">IFERROR(__xludf.DUMMYFUNCTION("""COMPUTED_VALUE"""),"No")</f>
        <v>No</v>
      </c>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row>
    <row r="1411" spans="1:34" ht="12.75">
      <c r="A1411" s="5" t="str">
        <f ca="1">IFERROR(__xludf.DUMMYFUNCTION("""COMPUTED_VALUE"""),"20000905OHBIB")</f>
        <v>20000905OHBIB</v>
      </c>
      <c r="B1411" s="8">
        <f ca="1">IFERROR(__xludf.DUMMYFUNCTION("""COMPUTED_VALUE"""),36774)</f>
        <v>36774</v>
      </c>
      <c r="C1411" s="5" t="str">
        <f ca="1">IFERROR(__xludf.DUMMYFUNCTION("""COMPUTED_VALUE"""),"Bidwell Porter Elementary School")</f>
        <v>Bidwell Porter Elementary School</v>
      </c>
      <c r="D1411" s="5">
        <f ca="1">IFERROR(__xludf.DUMMYFUNCTION("""COMPUTED_VALUE"""),1)</f>
        <v>1</v>
      </c>
      <c r="E1411" s="5">
        <f ca="1">IFERROR(__xludf.DUMMYFUNCTION("""COMPUTED_VALUE"""),0)</f>
        <v>0</v>
      </c>
      <c r="F1411" s="5">
        <f ca="1">IFERROR(__xludf.DUMMYFUNCTION("""COMPUTED_VALUE"""),1)</f>
        <v>1</v>
      </c>
      <c r="G1411" s="5">
        <f ca="1">IFERROR(__xludf.DUMMYFUNCTION("""COMPUTED_VALUE"""),1)</f>
        <v>1</v>
      </c>
      <c r="H1411" s="5" t="str">
        <f ca="1">IFERROR(__xludf.DUMMYFUNCTION("""COMPUTED_VALUE"""),"https://www.cbsnews.com/news/school-cook-shot-killed-in-ohio/ https://abcnews.go.com/US/story?id=95885&amp;page=1")</f>
        <v>https://www.cbsnews.com/news/school-cook-shot-killed-in-ohio/ https://abcnews.go.com/US/story?id=95885&amp;page=1</v>
      </c>
      <c r="I1411" s="5"/>
      <c r="J1411" s="5"/>
      <c r="K1411" s="5">
        <f ca="1">IFERROR(__xludf.DUMMYFUNCTION("""COMPUTED_VALUE"""),3)</f>
        <v>3</v>
      </c>
      <c r="L1411" s="5" t="str">
        <f ca="1">IFERROR(__xludf.DUMMYFUNCTION("""COMPUTED_VALUE"""),"Fall")</f>
        <v>Fall</v>
      </c>
      <c r="M1411" s="5" t="str">
        <f ca="1">IFERROR(__xludf.DUMMYFUNCTION("""COMPUTED_VALUE"""),"Bidwell")</f>
        <v>Bidwell</v>
      </c>
      <c r="N1411" s="5" t="str">
        <f ca="1">IFERROR(__xludf.DUMMYFUNCTION("""COMPUTED_VALUE"""),"OH")</f>
        <v>OH</v>
      </c>
      <c r="O1411" s="5" t="str">
        <f ca="1">IFERROR(__xludf.DUMMYFUNCTION("""COMPUTED_VALUE"""),"Elementary")</f>
        <v>Elementary</v>
      </c>
      <c r="P1411" s="5" t="str">
        <f ca="1">IFERROR(__xludf.DUMMYFUNCTION("""COMPUTED_VALUE"""),"Parking Lot")</f>
        <v>Parking Lot</v>
      </c>
      <c r="Q1411" s="5" t="str">
        <f ca="1">IFERROR(__xludf.DUMMYFUNCTION("""COMPUTED_VALUE"""),"Outside on School Property")</f>
        <v>Outside on School Property</v>
      </c>
      <c r="R1411" s="5" t="str">
        <f ca="1">IFERROR(__xludf.DUMMYFUNCTION("""COMPUTED_VALUE"""),"No")</f>
        <v>No</v>
      </c>
      <c r="S1411" s="5" t="str">
        <f ca="1">IFERROR(__xludf.DUMMYFUNCTION("""COMPUTED_VALUE"""),"Before School")</f>
        <v>Before School</v>
      </c>
      <c r="T1411" s="10">
        <f ca="1">IFERROR(__xludf.DUMMYFUNCTION("""COMPUTED_VALUE"""),0.270833333333333)</f>
        <v>0.27083333333333298</v>
      </c>
      <c r="U1411" s="5">
        <f ca="1">IFERROR(__xludf.DUMMYFUNCTION("""COMPUTED_VALUE"""),1)</f>
        <v>1</v>
      </c>
      <c r="V1411" s="5" t="str">
        <f ca="1">IFERROR(__xludf.DUMMYFUNCTION("""COMPUTED_VALUE"""),"Cafeteria worker shot by estranged husband, fled, later commit suicide at home")</f>
        <v>Cafeteria worker shot by estranged husband, fled, later commit suicide at home</v>
      </c>
      <c r="W1411"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X1411" s="5" t="str">
        <f ca="1">IFERROR(__xludf.DUMMYFUNCTION("""COMPUTED_VALUE"""),"Murder/Suicide")</f>
        <v>Murder/Suicide</v>
      </c>
      <c r="Y1411" s="5" t="str">
        <f ca="1">IFERROR(__xludf.DUMMYFUNCTION("""COMPUTED_VALUE"""),"Victims Targeted")</f>
        <v>Victims Targeted</v>
      </c>
      <c r="Z1411" s="5" t="str">
        <f ca="1">IFERROR(__xludf.DUMMYFUNCTION("""COMPUTED_VALUE"""),"No")</f>
        <v>No</v>
      </c>
      <c r="AA1411" s="5"/>
      <c r="AB1411" s="5" t="str">
        <f ca="1">IFERROR(__xludf.DUMMYFUNCTION("""COMPUTED_VALUE"""),"No")</f>
        <v>No</v>
      </c>
      <c r="AC1411" s="5" t="str">
        <f ca="1">IFERROR(__xludf.DUMMYFUNCTION("""COMPUTED_VALUE"""),"No")</f>
        <v>No</v>
      </c>
      <c r="AD1411" s="5" t="str">
        <f ca="1">IFERROR(__xludf.DUMMYFUNCTION("""COMPUTED_VALUE"""),"No")</f>
        <v>No</v>
      </c>
      <c r="AE1411" s="5" t="str">
        <f ca="1">IFERROR(__xludf.DUMMYFUNCTION("""COMPUTED_VALUE"""),"No")</f>
        <v>No</v>
      </c>
      <c r="AF1411" s="5" t="str">
        <f ca="1">IFERROR(__xludf.DUMMYFUNCTION("""COMPUTED_VALUE"""),"Yes")</f>
        <v>Yes</v>
      </c>
      <c r="AG1411" s="5" t="str">
        <f ca="1">IFERROR(__xludf.DUMMYFUNCTION("""COMPUTED_VALUE"""),"No")</f>
        <v>No</v>
      </c>
      <c r="AH1411" s="5"/>
    </row>
    <row r="1412" spans="1:34" ht="12.75">
      <c r="A1412" s="5" t="str">
        <f ca="1">IFERROR(__xludf.DUMMYFUNCTION("""COMPUTED_VALUE"""),"20000726OHTIC")</f>
        <v>20000726OHTIC</v>
      </c>
      <c r="B1412" s="8">
        <f ca="1">IFERROR(__xludf.DUMMYFUNCTION("""COMPUTED_VALUE"""),36733)</f>
        <v>36733</v>
      </c>
      <c r="C1412" s="5" t="str">
        <f ca="1">IFERROR(__xludf.DUMMYFUNCTION("""COMPUTED_VALUE"""),"Timken Senior High School")</f>
        <v>Timken Senior High School</v>
      </c>
      <c r="D1412" s="5">
        <f ca="1">IFERROR(__xludf.DUMMYFUNCTION("""COMPUTED_VALUE"""),1)</f>
        <v>1</v>
      </c>
      <c r="E1412" s="5">
        <f ca="1">IFERROR(__xludf.DUMMYFUNCTION("""COMPUTED_VALUE"""),0)</f>
        <v>0</v>
      </c>
      <c r="F1412" s="5">
        <f ca="1">IFERROR(__xludf.DUMMYFUNCTION("""COMPUTED_VALUE"""),1)</f>
        <v>1</v>
      </c>
      <c r="G1412" s="5">
        <f ca="1">IFERROR(__xludf.DUMMYFUNCTION("""COMPUTED_VALUE"""),0)</f>
        <v>0</v>
      </c>
      <c r="H1412" s="9" t="str">
        <f ca="1">IFERROR(__xludf.DUMMYFUNCTION("""COMPUTED_VALUE"""),"http://enquirer.com/editions/2000/11/14/loc_driver_in_fatal.html")</f>
        <v>http://enquirer.com/editions/2000/11/14/loc_driver_in_fatal.html</v>
      </c>
      <c r="I1412" s="5"/>
      <c r="J1412" s="5"/>
      <c r="K1412" s="5">
        <f ca="1">IFERROR(__xludf.DUMMYFUNCTION("""COMPUTED_VALUE"""),2)</f>
        <v>2</v>
      </c>
      <c r="L1412" s="5" t="str">
        <f ca="1">IFERROR(__xludf.DUMMYFUNCTION("""COMPUTED_VALUE"""),"Summer")</f>
        <v>Summer</v>
      </c>
      <c r="M1412" s="5" t="str">
        <f ca="1">IFERROR(__xludf.DUMMYFUNCTION("""COMPUTED_VALUE"""),"Canton")</f>
        <v>Canton</v>
      </c>
      <c r="N1412" s="5" t="str">
        <f ca="1">IFERROR(__xludf.DUMMYFUNCTION("""COMPUTED_VALUE"""),"OH")</f>
        <v>OH</v>
      </c>
      <c r="O1412" s="5" t="str">
        <f ca="1">IFERROR(__xludf.DUMMYFUNCTION("""COMPUTED_VALUE"""),"High")</f>
        <v>High</v>
      </c>
      <c r="P1412" s="5" t="str">
        <f ca="1">IFERROR(__xludf.DUMMYFUNCTION("""COMPUTED_VALUE"""),"Parking Lot")</f>
        <v>Parking Lot</v>
      </c>
      <c r="Q1412" s="5" t="str">
        <f ca="1">IFERROR(__xludf.DUMMYFUNCTION("""COMPUTED_VALUE"""),"Outside on School Property")</f>
        <v>Outside on School Property</v>
      </c>
      <c r="R1412" s="5" t="str">
        <f ca="1">IFERROR(__xludf.DUMMYFUNCTION("""COMPUTED_VALUE"""),"Yes")</f>
        <v>Yes</v>
      </c>
      <c r="S1412" s="5" t="str">
        <f ca="1">IFERROR(__xludf.DUMMYFUNCTION("""COMPUTED_VALUE"""),"Dismissal")</f>
        <v>Dismissal</v>
      </c>
      <c r="T1412" s="5"/>
      <c r="U1412" s="5">
        <f ca="1">IFERROR(__xludf.DUMMYFUNCTION("""COMPUTED_VALUE"""),1)</f>
        <v>1</v>
      </c>
      <c r="V1412" s="5" t="str">
        <f ca="1">IFERROR(__xludf.DUMMYFUNCTION("""COMPUTED_VALUE"""),"Ongoing feud with victim, shot him in parking lot of school")</f>
        <v>Ongoing feud with victim, shot him in parking lot of school</v>
      </c>
      <c r="W1412"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X1412" s="5" t="str">
        <f ca="1">IFERROR(__xludf.DUMMYFUNCTION("""COMPUTED_VALUE"""),"Escalation of Dispute")</f>
        <v>Escalation of Dispute</v>
      </c>
      <c r="Y1412" s="5" t="str">
        <f ca="1">IFERROR(__xludf.DUMMYFUNCTION("""COMPUTED_VALUE"""),"Victims Targeted")</f>
        <v>Victims Targeted</v>
      </c>
      <c r="Z1412" s="5" t="str">
        <f ca="1">IFERROR(__xludf.DUMMYFUNCTION("""COMPUTED_VALUE"""),"Yes")</f>
        <v>Yes</v>
      </c>
      <c r="AA1412" s="5" t="str">
        <f ca="1">IFERROR(__xludf.DUMMYFUNCTION("""COMPUTED_VALUE"""),"19YOM drove shooter to school and aided him fleeing")</f>
        <v>19YOM drove shooter to school and aided him fleeing</v>
      </c>
      <c r="AB1412" s="5" t="str">
        <f ca="1">IFERROR(__xludf.DUMMYFUNCTION("""COMPUTED_VALUE"""),"No")</f>
        <v>No</v>
      </c>
      <c r="AC1412" s="5" t="str">
        <f ca="1">IFERROR(__xludf.DUMMYFUNCTION("""COMPUTED_VALUE"""),"No")</f>
        <v>No</v>
      </c>
      <c r="AD1412" s="5" t="str">
        <f ca="1">IFERROR(__xludf.DUMMYFUNCTION("""COMPUTED_VALUE"""),"No")</f>
        <v>No</v>
      </c>
      <c r="AE1412" s="5" t="str">
        <f ca="1">IFERROR(__xludf.DUMMYFUNCTION("""COMPUTED_VALUE"""),"No")</f>
        <v>No</v>
      </c>
      <c r="AF1412" s="5" t="str">
        <f ca="1">IFERROR(__xludf.DUMMYFUNCTION("""COMPUTED_VALUE"""),"No")</f>
        <v>No</v>
      </c>
      <c r="AG1412" s="5" t="str">
        <f ca="1">IFERROR(__xludf.DUMMYFUNCTION("""COMPUTED_VALUE"""),"No")</f>
        <v>No</v>
      </c>
      <c r="AH1412" s="5"/>
    </row>
    <row r="1413" spans="1:34" ht="12.75">
      <c r="A1413" s="5" t="str">
        <f ca="1">IFERROR(__xludf.DUMMYFUNCTION("""COMPUTED_VALUE"""),"20000717WADIR")</f>
        <v>20000717WADIR</v>
      </c>
      <c r="B1413" s="8">
        <f ca="1">IFERROR(__xludf.DUMMYFUNCTION("""COMPUTED_VALUE"""),36724)</f>
        <v>36724</v>
      </c>
      <c r="C1413" s="5" t="str">
        <f ca="1">IFERROR(__xludf.DUMMYFUNCTION("""COMPUTED_VALUE"""),"Dimmitt Middle School")</f>
        <v>Dimmitt Middle School</v>
      </c>
      <c r="D1413" s="5">
        <f ca="1">IFERROR(__xludf.DUMMYFUNCTION("""COMPUTED_VALUE"""),0)</f>
        <v>0</v>
      </c>
      <c r="E1413" s="5">
        <f ca="1">IFERROR(__xludf.DUMMYFUNCTION("""COMPUTED_VALUE"""),0)</f>
        <v>0</v>
      </c>
      <c r="F1413" s="5">
        <f ca="1">IFERROR(__xludf.DUMMYFUNCTION("""COMPUTED_VALUE"""),0)</f>
        <v>0</v>
      </c>
      <c r="G1413" s="5">
        <f ca="1">IFERROR(__xludf.DUMMYFUNCTION("""COMPUTED_VALUE"""),0)</f>
        <v>0</v>
      </c>
      <c r="H1413" s="9" t="str">
        <f ca="1">IFERROR(__xludf.DUMMYFUNCTION("""COMPUTED_VALUE"""),"https://products.kitsapsun.com/archive/2000/10-19/0036_cafeteria__teen_pleads_guilty_to_.html")</f>
        <v>https://products.kitsapsun.com/archive/2000/10-19/0036_cafeteria__teen_pleads_guilty_to_.html</v>
      </c>
      <c r="I1413" s="5"/>
      <c r="J1413" s="5"/>
      <c r="K1413" s="5">
        <f ca="1">IFERROR(__xludf.DUMMYFUNCTION("""COMPUTED_VALUE"""),2)</f>
        <v>2</v>
      </c>
      <c r="L1413" s="5" t="str">
        <f ca="1">IFERROR(__xludf.DUMMYFUNCTION("""COMPUTED_VALUE"""),"Summer")</f>
        <v>Summer</v>
      </c>
      <c r="M1413" s="5" t="str">
        <f ca="1">IFERROR(__xludf.DUMMYFUNCTION("""COMPUTED_VALUE"""),"Renton")</f>
        <v>Renton</v>
      </c>
      <c r="N1413" s="5" t="str">
        <f ca="1">IFERROR(__xludf.DUMMYFUNCTION("""COMPUTED_VALUE"""),"WA")</f>
        <v>WA</v>
      </c>
      <c r="O1413" s="5" t="str">
        <f ca="1">IFERROR(__xludf.DUMMYFUNCTION("""COMPUTED_VALUE"""),"Middle")</f>
        <v>Middle</v>
      </c>
      <c r="P1413" s="5" t="str">
        <f ca="1">IFERROR(__xludf.DUMMYFUNCTION("""COMPUTED_VALUE"""),"Cafeteria")</f>
        <v>Cafeteria</v>
      </c>
      <c r="Q1413" s="5" t="str">
        <f ca="1">IFERROR(__xludf.DUMMYFUNCTION("""COMPUTED_VALUE"""),"Inside School Building")</f>
        <v>Inside School Building</v>
      </c>
      <c r="R1413" s="5" t="str">
        <f ca="1">IFERROR(__xludf.DUMMYFUNCTION("""COMPUTED_VALUE"""),"Yes")</f>
        <v>Yes</v>
      </c>
      <c r="S1413" s="5" t="str">
        <f ca="1">IFERROR(__xludf.DUMMYFUNCTION("""COMPUTED_VALUE"""),"Lunch")</f>
        <v>Lunch</v>
      </c>
      <c r="T1413" s="10">
        <f ca="1">IFERROR(__xludf.DUMMYFUNCTION("""COMPUTED_VALUE"""),0.4375)</f>
        <v>0.4375</v>
      </c>
      <c r="U1413" s="5">
        <f ca="1">IFERROR(__xludf.DUMMYFUNCTION("""COMPUTED_VALUE"""),1)</f>
        <v>1</v>
      </c>
      <c r="V1413"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W1413"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X1413" s="5" t="str">
        <f ca="1">IFERROR(__xludf.DUMMYFUNCTION("""COMPUTED_VALUE"""),"Hostage/Standoff")</f>
        <v>Hostage/Standoff</v>
      </c>
      <c r="Y1413" s="5" t="str">
        <f ca="1">IFERROR(__xludf.DUMMYFUNCTION("""COMPUTED_VALUE"""),"Neither")</f>
        <v>Neither</v>
      </c>
      <c r="Z1413" s="5" t="str">
        <f ca="1">IFERROR(__xludf.DUMMYFUNCTION("""COMPUTED_VALUE"""),"Yes")</f>
        <v>Yes</v>
      </c>
      <c r="AA1413" s="5" t="str">
        <f ca="1">IFERROR(__xludf.DUMMYFUNCTION("""COMPUTED_VALUE"""),"12YOM planned and practiced shooting")</f>
        <v>12YOM planned and practiced shooting</v>
      </c>
      <c r="AB1413" s="5" t="str">
        <f ca="1">IFERROR(__xludf.DUMMYFUNCTION("""COMPUTED_VALUE"""),"Yes")</f>
        <v>Yes</v>
      </c>
      <c r="AC1413" s="5" t="str">
        <f ca="1">IFERROR(__xludf.DUMMYFUNCTION("""COMPUTED_VALUE"""),"No")</f>
        <v>No</v>
      </c>
      <c r="AD1413" s="5" t="str">
        <f ca="1">IFERROR(__xludf.DUMMYFUNCTION("""COMPUTED_VALUE"""),"No")</f>
        <v>No</v>
      </c>
      <c r="AE1413" s="5"/>
      <c r="AF1413" s="5" t="str">
        <f ca="1">IFERROR(__xludf.DUMMYFUNCTION("""COMPUTED_VALUE"""),"No")</f>
        <v>No</v>
      </c>
      <c r="AG1413" s="5" t="str">
        <f ca="1">IFERROR(__xludf.DUMMYFUNCTION("""COMPUTED_VALUE"""),"No")</f>
        <v>No</v>
      </c>
      <c r="AH1413" s="5" t="str">
        <f ca="1">IFERROR(__xludf.DUMMYFUNCTION("""COMPUTED_VALUE"""),"Yes")</f>
        <v>Yes</v>
      </c>
    </row>
    <row r="1414" spans="1:34" ht="12.75">
      <c r="A1414" s="5" t="str">
        <f ca="1">IFERROR(__xludf.DUMMYFUNCTION("""COMPUTED_VALUE"""),"20000526FLLAL")</f>
        <v>20000526FLLAL</v>
      </c>
      <c r="B1414" s="8">
        <f ca="1">IFERROR(__xludf.DUMMYFUNCTION("""COMPUTED_VALUE"""),36672)</f>
        <v>36672</v>
      </c>
      <c r="C1414" s="5" t="str">
        <f ca="1">IFERROR(__xludf.DUMMYFUNCTION("""COMPUTED_VALUE"""),"Lake Worth Middle School")</f>
        <v>Lake Worth Middle School</v>
      </c>
      <c r="D1414" s="5">
        <f ca="1">IFERROR(__xludf.DUMMYFUNCTION("""COMPUTED_VALUE"""),1)</f>
        <v>1</v>
      </c>
      <c r="E1414" s="5">
        <f ca="1">IFERROR(__xludf.DUMMYFUNCTION("""COMPUTED_VALUE"""),0)</f>
        <v>0</v>
      </c>
      <c r="F1414" s="5">
        <f ca="1">IFERROR(__xludf.DUMMYFUNCTION("""COMPUTED_VALUE"""),1)</f>
        <v>1</v>
      </c>
      <c r="G1414" s="5">
        <f ca="1">IFERROR(__xludf.DUMMYFUNCTION("""COMPUTED_VALUE"""),0)</f>
        <v>0</v>
      </c>
      <c r="H1414"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I1414" s="5"/>
      <c r="J1414" s="5"/>
      <c r="K1414" s="5">
        <f ca="1">IFERROR(__xludf.DUMMYFUNCTION("""COMPUTED_VALUE"""),5)</f>
        <v>5</v>
      </c>
      <c r="L1414" s="5" t="str">
        <f ca="1">IFERROR(__xludf.DUMMYFUNCTION("""COMPUTED_VALUE"""),"Spring")</f>
        <v>Spring</v>
      </c>
      <c r="M1414" s="5" t="str">
        <f ca="1">IFERROR(__xludf.DUMMYFUNCTION("""COMPUTED_VALUE"""),"Lake Worth")</f>
        <v>Lake Worth</v>
      </c>
      <c r="N1414" s="5" t="str">
        <f ca="1">IFERROR(__xludf.DUMMYFUNCTION("""COMPUTED_VALUE"""),"FL")</f>
        <v>FL</v>
      </c>
      <c r="O1414" s="5" t="str">
        <f ca="1">IFERROR(__xludf.DUMMYFUNCTION("""COMPUTED_VALUE"""),"Middle")</f>
        <v>Middle</v>
      </c>
      <c r="P1414" s="5" t="str">
        <f ca="1">IFERROR(__xludf.DUMMYFUNCTION("""COMPUTED_VALUE"""),"Classroom")</f>
        <v>Classroom</v>
      </c>
      <c r="Q1414" s="5" t="str">
        <f ca="1">IFERROR(__xludf.DUMMYFUNCTION("""COMPUTED_VALUE"""),"Inside School Building")</f>
        <v>Inside School Building</v>
      </c>
      <c r="R1414" s="5" t="str">
        <f ca="1">IFERROR(__xludf.DUMMYFUNCTION("""COMPUTED_VALUE"""),"Yes")</f>
        <v>Yes</v>
      </c>
      <c r="S1414" s="5" t="str">
        <f ca="1">IFERROR(__xludf.DUMMYFUNCTION("""COMPUTED_VALUE"""),"After School")</f>
        <v>After School</v>
      </c>
      <c r="T1414" s="10">
        <f ca="1">IFERROR(__xludf.DUMMYFUNCTION("""COMPUTED_VALUE"""),0.625)</f>
        <v>0.625</v>
      </c>
      <c r="U1414" s="5">
        <f ca="1">IFERROR(__xludf.DUMMYFUNCTION("""COMPUTED_VALUE"""),1)</f>
        <v>1</v>
      </c>
      <c r="V1414" s="5" t="str">
        <f ca="1">IFERROR(__xludf.DUMMYFUNCTION("""COMPUTED_VALUE"""),"Teacher had given F on assignment (possibly throwing water balloons)")</f>
        <v>Teacher had given F on assignment (possibly throwing water balloons)</v>
      </c>
      <c r="W1414"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X1414" s="5" t="str">
        <f ca="1">IFERROR(__xludf.DUMMYFUNCTION("""COMPUTED_VALUE"""),"Anger Over Grade/Suspension/Discipline")</f>
        <v>Anger Over Grade/Suspension/Discipline</v>
      </c>
      <c r="Y1414" s="5" t="str">
        <f ca="1">IFERROR(__xludf.DUMMYFUNCTION("""COMPUTED_VALUE"""),"Victims Targeted")</f>
        <v>Victims Targeted</v>
      </c>
      <c r="Z1414" s="5" t="str">
        <f ca="1">IFERROR(__xludf.DUMMYFUNCTION("""COMPUTED_VALUE"""),"No")</f>
        <v>No</v>
      </c>
      <c r="AA1414" s="5"/>
      <c r="AB1414" s="5" t="str">
        <f ca="1">IFERROR(__xludf.DUMMYFUNCTION("""COMPUTED_VALUE"""),"No")</f>
        <v>No</v>
      </c>
      <c r="AC1414" s="5" t="str">
        <f ca="1">IFERROR(__xludf.DUMMYFUNCTION("""COMPUTED_VALUE"""),"No")</f>
        <v>No</v>
      </c>
      <c r="AD1414" s="5" t="str">
        <f ca="1">IFERROR(__xludf.DUMMYFUNCTION("""COMPUTED_VALUE"""),"No")</f>
        <v>No</v>
      </c>
      <c r="AE1414" s="5" t="str">
        <f ca="1">IFERROR(__xludf.DUMMYFUNCTION("""COMPUTED_VALUE"""),"No")</f>
        <v>No</v>
      </c>
      <c r="AF1414" s="5" t="str">
        <f ca="1">IFERROR(__xludf.DUMMYFUNCTION("""COMPUTED_VALUE"""),"No")</f>
        <v>No</v>
      </c>
      <c r="AG1414" s="5" t="str">
        <f ca="1">IFERROR(__xludf.DUMMYFUNCTION("""COMPUTED_VALUE"""),"No")</f>
        <v>No</v>
      </c>
      <c r="AH1414" s="5"/>
    </row>
    <row r="1415" spans="1:34" ht="12.75">
      <c r="A1415" s="5" t="str">
        <f ca="1">IFERROR(__xludf.DUMMYFUNCTION("""COMPUTED_VALUE"""),"20000510AZCAS")</f>
        <v>20000510AZCAS</v>
      </c>
      <c r="B1415" s="8">
        <f ca="1">IFERROR(__xludf.DUMMYFUNCTION("""COMPUTED_VALUE"""),36656)</f>
        <v>36656</v>
      </c>
      <c r="C1415" s="5" t="str">
        <f ca="1">IFERROR(__xludf.DUMMYFUNCTION("""COMPUTED_VALUE"""),"Carmichael Elementary School")</f>
        <v>Carmichael Elementary School</v>
      </c>
      <c r="D1415" s="5">
        <f ca="1">IFERROR(__xludf.DUMMYFUNCTION("""COMPUTED_VALUE"""),1)</f>
        <v>1</v>
      </c>
      <c r="E1415" s="5">
        <f ca="1">IFERROR(__xludf.DUMMYFUNCTION("""COMPUTED_VALUE"""),0)</f>
        <v>0</v>
      </c>
      <c r="F1415" s="5">
        <f ca="1">IFERROR(__xludf.DUMMYFUNCTION("""COMPUTED_VALUE"""),1)</f>
        <v>1</v>
      </c>
      <c r="G1415" s="5">
        <f ca="1">IFERROR(__xludf.DUMMYFUNCTION("""COMPUTED_VALUE"""),1)</f>
        <v>1</v>
      </c>
      <c r="H1415" s="9" t="str">
        <f ca="1">IFERROR(__xludf.DUMMYFUNCTION("""COMPUTED_VALUE"""),"http://tucsoncitizen.com/morgue2/2000/05/11/58653-sierra-vista-shootings-prompt-safety-review/")</f>
        <v>http://tucsoncitizen.com/morgue2/2000/05/11/58653-sierra-vista-shootings-prompt-safety-review/</v>
      </c>
      <c r="I1415" s="5"/>
      <c r="J1415" s="5"/>
      <c r="K1415" s="5">
        <f ca="1">IFERROR(__xludf.DUMMYFUNCTION("""COMPUTED_VALUE"""),2)</f>
        <v>2</v>
      </c>
      <c r="L1415" s="5" t="str">
        <f ca="1">IFERROR(__xludf.DUMMYFUNCTION("""COMPUTED_VALUE"""),"Spring")</f>
        <v>Spring</v>
      </c>
      <c r="M1415" s="5" t="str">
        <f ca="1">IFERROR(__xludf.DUMMYFUNCTION("""COMPUTED_VALUE"""),"Sierra Vista")</f>
        <v>Sierra Vista</v>
      </c>
      <c r="N1415" s="5" t="str">
        <f ca="1">IFERROR(__xludf.DUMMYFUNCTION("""COMPUTED_VALUE"""),"AZ")</f>
        <v>AZ</v>
      </c>
      <c r="O1415" s="5" t="str">
        <f ca="1">IFERROR(__xludf.DUMMYFUNCTION("""COMPUTED_VALUE"""),"Elementary")</f>
        <v>Elementary</v>
      </c>
      <c r="P1415" s="5" t="str">
        <f ca="1">IFERROR(__xludf.DUMMYFUNCTION("""COMPUTED_VALUE"""),"Classroom")</f>
        <v>Classroom</v>
      </c>
      <c r="Q1415" s="5" t="str">
        <f ca="1">IFERROR(__xludf.DUMMYFUNCTION("""COMPUTED_VALUE"""),"Inside School Building")</f>
        <v>Inside School Building</v>
      </c>
      <c r="R1415" s="5" t="str">
        <f ca="1">IFERROR(__xludf.DUMMYFUNCTION("""COMPUTED_VALUE"""),"Yes")</f>
        <v>Yes</v>
      </c>
      <c r="S1415" s="5" t="str">
        <f ca="1">IFERROR(__xludf.DUMMYFUNCTION("""COMPUTED_VALUE"""),"Afternoon Classes")</f>
        <v>Afternoon Classes</v>
      </c>
      <c r="T1415" s="10">
        <f ca="1">IFERROR(__xludf.DUMMYFUNCTION("""COMPUTED_VALUE"""),0.5625)</f>
        <v>0.5625</v>
      </c>
      <c r="U1415" s="5">
        <f ca="1">IFERROR(__xludf.DUMMYFUNCTION("""COMPUTED_VALUE"""),1)</f>
        <v>1</v>
      </c>
      <c r="V1415" s="5" t="str">
        <f ca="1">IFERROR(__xludf.DUMMYFUNCTION("""COMPUTED_VALUE"""),"Killed estranged wife in preschool classroom, students were present")</f>
        <v>Killed estranged wife in preschool classroom, students were present</v>
      </c>
      <c r="W1415"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X1415" s="5" t="str">
        <f ca="1">IFERROR(__xludf.DUMMYFUNCTION("""COMPUTED_VALUE"""),"Murder/Suicide")</f>
        <v>Murder/Suicide</v>
      </c>
      <c r="Y1415" s="5" t="str">
        <f ca="1">IFERROR(__xludf.DUMMYFUNCTION("""COMPUTED_VALUE"""),"Victims Targeted")</f>
        <v>Victims Targeted</v>
      </c>
      <c r="Z1415" s="5" t="str">
        <f ca="1">IFERROR(__xludf.DUMMYFUNCTION("""COMPUTED_VALUE"""),"No")</f>
        <v>No</v>
      </c>
      <c r="AA1415" s="5"/>
      <c r="AB1415" s="5" t="str">
        <f ca="1">IFERROR(__xludf.DUMMYFUNCTION("""COMPUTED_VALUE"""),"No")</f>
        <v>No</v>
      </c>
      <c r="AC1415" s="5" t="str">
        <f ca="1">IFERROR(__xludf.DUMMYFUNCTION("""COMPUTED_VALUE"""),"No")</f>
        <v>No</v>
      </c>
      <c r="AD1415" s="5" t="str">
        <f ca="1">IFERROR(__xludf.DUMMYFUNCTION("""COMPUTED_VALUE"""),"No")</f>
        <v>No</v>
      </c>
      <c r="AE1415" s="5" t="str">
        <f ca="1">IFERROR(__xludf.DUMMYFUNCTION("""COMPUTED_VALUE"""),"No")</f>
        <v>No</v>
      </c>
      <c r="AF1415" s="5" t="str">
        <f ca="1">IFERROR(__xludf.DUMMYFUNCTION("""COMPUTED_VALUE"""),"Yes")</f>
        <v>Yes</v>
      </c>
      <c r="AG1415" s="5" t="str">
        <f ca="1">IFERROR(__xludf.DUMMYFUNCTION("""COMPUTED_VALUE"""),"No")</f>
        <v>No</v>
      </c>
      <c r="AH1415" s="5"/>
    </row>
    <row r="1416" spans="1:34" ht="12.75">
      <c r="A1416" s="5" t="str">
        <f ca="1">IFERROR(__xludf.DUMMYFUNCTION("""COMPUTED_VALUE"""),"20000502COTHD")</f>
        <v>20000502COTHD</v>
      </c>
      <c r="B1416" s="8">
        <f ca="1">IFERROR(__xludf.DUMMYFUNCTION("""COMPUTED_VALUE"""),36648)</f>
        <v>36648</v>
      </c>
      <c r="C1416" s="5" t="str">
        <f ca="1">IFERROR(__xludf.DUMMYFUNCTION("""COMPUTED_VALUE"""),"Thomas Jefferson High School")</f>
        <v>Thomas Jefferson High School</v>
      </c>
      <c r="D1416" s="5">
        <f ca="1">IFERROR(__xludf.DUMMYFUNCTION("""COMPUTED_VALUE"""),0)</f>
        <v>0</v>
      </c>
      <c r="E1416" s="5">
        <f ca="1">IFERROR(__xludf.DUMMYFUNCTION("""COMPUTED_VALUE"""),0)</f>
        <v>0</v>
      </c>
      <c r="F1416" s="5">
        <f ca="1">IFERROR(__xludf.DUMMYFUNCTION("""COMPUTED_VALUE"""),0)</f>
        <v>0</v>
      </c>
      <c r="G1416" s="5">
        <f ca="1">IFERROR(__xludf.DUMMYFUNCTION("""COMPUTED_VALUE"""),0)</f>
        <v>0</v>
      </c>
      <c r="H1416" s="9" t="str">
        <f ca="1">IFERROR(__xludf.DUMMYFUNCTION("""COMPUTED_VALUE"""),"https://www.newspapers.com/image/340040843/?terms=high%2Bschool%2Bsuicide%2Bdenver")</f>
        <v>https://www.newspapers.com/image/340040843/?terms=high%2Bschool%2Bsuicide%2Bdenver</v>
      </c>
      <c r="I1416" s="5"/>
      <c r="J1416" s="5"/>
      <c r="K1416" s="5">
        <f ca="1">IFERROR(__xludf.DUMMYFUNCTION("""COMPUTED_VALUE"""),2)</f>
        <v>2</v>
      </c>
      <c r="L1416" s="5" t="str">
        <f ca="1">IFERROR(__xludf.DUMMYFUNCTION("""COMPUTED_VALUE"""),"Spring")</f>
        <v>Spring</v>
      </c>
      <c r="M1416" s="5" t="str">
        <f ca="1">IFERROR(__xludf.DUMMYFUNCTION("""COMPUTED_VALUE"""),"Denver")</f>
        <v>Denver</v>
      </c>
      <c r="N1416" s="5" t="str">
        <f ca="1">IFERROR(__xludf.DUMMYFUNCTION("""COMPUTED_VALUE"""),"CO")</f>
        <v>CO</v>
      </c>
      <c r="O1416" s="5" t="str">
        <f ca="1">IFERROR(__xludf.DUMMYFUNCTION("""COMPUTED_VALUE"""),"High")</f>
        <v>High</v>
      </c>
      <c r="P1416" s="5" t="str">
        <f ca="1">IFERROR(__xludf.DUMMYFUNCTION("""COMPUTED_VALUE"""),"Parking Lot")</f>
        <v>Parking Lot</v>
      </c>
      <c r="Q1416" s="5" t="str">
        <f ca="1">IFERROR(__xludf.DUMMYFUNCTION("""COMPUTED_VALUE"""),"Outside on School Property")</f>
        <v>Outside on School Property</v>
      </c>
      <c r="R1416" s="5" t="str">
        <f ca="1">IFERROR(__xludf.DUMMYFUNCTION("""COMPUTED_VALUE"""),"Yes")</f>
        <v>Yes</v>
      </c>
      <c r="S1416" s="5"/>
      <c r="T1416" s="5"/>
      <c r="U1416" s="5">
        <f ca="1">IFERROR(__xludf.DUMMYFUNCTION("""COMPUTED_VALUE"""),1)</f>
        <v>1</v>
      </c>
      <c r="V1416" s="5" t="str">
        <f ca="1">IFERROR(__xludf.DUMMYFUNCTION("""COMPUTED_VALUE"""),"Shot self in parking lot")</f>
        <v>Shot self in parking lot</v>
      </c>
      <c r="W1416" s="5" t="str">
        <f ca="1">IFERROR(__xludf.DUMMYFUNCTION("""COMPUTED_VALUE"""),"16YOM student shot himself in his car in the school parking lot. In critical condition.")</f>
        <v>16YOM student shot himself in his car in the school parking lot. In critical condition.</v>
      </c>
      <c r="X1416" s="5" t="str">
        <f ca="1">IFERROR(__xludf.DUMMYFUNCTION("""COMPUTED_VALUE"""),"Murder/Suicide")</f>
        <v>Murder/Suicide</v>
      </c>
      <c r="Y1416" s="5" t="str">
        <f ca="1">IFERROR(__xludf.DUMMYFUNCTION("""COMPUTED_VALUE"""),"Victims Targeted")</f>
        <v>Victims Targeted</v>
      </c>
      <c r="Z1416" s="5" t="str">
        <f ca="1">IFERROR(__xludf.DUMMYFUNCTION("""COMPUTED_VALUE"""),"No")</f>
        <v>No</v>
      </c>
      <c r="AA1416" s="5"/>
      <c r="AB1416" s="5" t="str">
        <f ca="1">IFERROR(__xludf.DUMMYFUNCTION("""COMPUTED_VALUE"""),"No")</f>
        <v>No</v>
      </c>
      <c r="AC1416" s="5" t="str">
        <f ca="1">IFERROR(__xludf.DUMMYFUNCTION("""COMPUTED_VALUE"""),"No")</f>
        <v>No</v>
      </c>
      <c r="AD1416" s="5" t="str">
        <f ca="1">IFERROR(__xludf.DUMMYFUNCTION("""COMPUTED_VALUE"""),"No")</f>
        <v>No</v>
      </c>
      <c r="AE1416" s="5" t="str">
        <f ca="1">IFERROR(__xludf.DUMMYFUNCTION("""COMPUTED_VALUE"""),"No")</f>
        <v>No</v>
      </c>
      <c r="AF1416" s="5" t="str">
        <f ca="1">IFERROR(__xludf.DUMMYFUNCTION("""COMPUTED_VALUE"""),"No")</f>
        <v>No</v>
      </c>
      <c r="AG1416" s="5" t="str">
        <f ca="1">IFERROR(__xludf.DUMMYFUNCTION("""COMPUTED_VALUE"""),"No")</f>
        <v>No</v>
      </c>
      <c r="AH1416" s="5"/>
    </row>
    <row r="1417" spans="1:34" ht="12.75">
      <c r="A1417" s="5" t="str">
        <f ca="1">IFERROR(__xludf.DUMMYFUNCTION("""COMPUTED_VALUE"""),"20000410AZLAT")</f>
        <v>20000410AZLAT</v>
      </c>
      <c r="B1417" s="8">
        <f ca="1">IFERROR(__xludf.DUMMYFUNCTION("""COMPUTED_VALUE"""),36626)</f>
        <v>36626</v>
      </c>
      <c r="C1417" s="5" t="str">
        <f ca="1">IFERROR(__xludf.DUMMYFUNCTION("""COMPUTED_VALUE"""),"La Cima Middle School")</f>
        <v>La Cima Middle School</v>
      </c>
      <c r="D1417" s="5">
        <f ca="1">IFERROR(__xludf.DUMMYFUNCTION("""COMPUTED_VALUE"""),0)</f>
        <v>0</v>
      </c>
      <c r="E1417" s="5">
        <f ca="1">IFERROR(__xludf.DUMMYFUNCTION("""COMPUTED_VALUE"""),0)</f>
        <v>0</v>
      </c>
      <c r="F1417" s="5">
        <f ca="1">IFERROR(__xludf.DUMMYFUNCTION("""COMPUTED_VALUE"""),0)</f>
        <v>0</v>
      </c>
      <c r="G1417" s="5">
        <f ca="1">IFERROR(__xludf.DUMMYFUNCTION("""COMPUTED_VALUE"""),0)</f>
        <v>0</v>
      </c>
      <c r="H1417" s="9" t="str">
        <f ca="1">IFERROR(__xludf.DUMMYFUNCTION("""COMPUTED_VALUE"""),"https://www.cbsnews.com/news/fear-turns-to-outrage-at-tucson-school/")</f>
        <v>https://www.cbsnews.com/news/fear-turns-to-outrage-at-tucson-school/</v>
      </c>
      <c r="I1417" s="5"/>
      <c r="J1417" s="5"/>
      <c r="K1417" s="5">
        <f ca="1">IFERROR(__xludf.DUMMYFUNCTION("""COMPUTED_VALUE"""),2)</f>
        <v>2</v>
      </c>
      <c r="L1417" s="5" t="str">
        <f ca="1">IFERROR(__xludf.DUMMYFUNCTION("""COMPUTED_VALUE"""),"Spring")</f>
        <v>Spring</v>
      </c>
      <c r="M1417" s="5" t="str">
        <f ca="1">IFERROR(__xludf.DUMMYFUNCTION("""COMPUTED_VALUE"""),"Tucson")</f>
        <v>Tucson</v>
      </c>
      <c r="N1417" s="5" t="str">
        <f ca="1">IFERROR(__xludf.DUMMYFUNCTION("""COMPUTED_VALUE"""),"AZ")</f>
        <v>AZ</v>
      </c>
      <c r="O1417" s="5" t="str">
        <f ca="1">IFERROR(__xludf.DUMMYFUNCTION("""COMPUTED_VALUE"""),"Middle")</f>
        <v>Middle</v>
      </c>
      <c r="P1417" s="5" t="str">
        <f ca="1">IFERROR(__xludf.DUMMYFUNCTION("""COMPUTED_VALUE"""),"Classroom")</f>
        <v>Classroom</v>
      </c>
      <c r="Q1417" s="5" t="str">
        <f ca="1">IFERROR(__xludf.DUMMYFUNCTION("""COMPUTED_VALUE"""),"Inside School Building")</f>
        <v>Inside School Building</v>
      </c>
      <c r="R1417" s="5" t="str">
        <f ca="1">IFERROR(__xludf.DUMMYFUNCTION("""COMPUTED_VALUE"""),"No")</f>
        <v>No</v>
      </c>
      <c r="S1417" s="5" t="str">
        <f ca="1">IFERROR(__xludf.DUMMYFUNCTION("""COMPUTED_VALUE"""),"Before School")</f>
        <v>Before School</v>
      </c>
      <c r="T1417" s="5"/>
      <c r="U1417" s="5">
        <f ca="1">IFERROR(__xludf.DUMMYFUNCTION("""COMPUTED_VALUE"""),1)</f>
        <v>1</v>
      </c>
      <c r="V1417" s="5" t="str">
        <f ca="1">IFERROR(__xludf.DUMMYFUNCTION("""COMPUTED_VALUE"""),"Teacher shot herself and made up story about being shot by unknown student")</f>
        <v>Teacher shot herself and made up story about being shot by unknown student</v>
      </c>
      <c r="W1417"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X1417" s="5" t="str">
        <f ca="1">IFERROR(__xludf.DUMMYFUNCTION("""COMPUTED_VALUE"""),"Psychosis")</f>
        <v>Psychosis</v>
      </c>
      <c r="Y1417" s="5" t="str">
        <f ca="1">IFERROR(__xludf.DUMMYFUNCTION("""COMPUTED_VALUE"""),"Victims Targeted")</f>
        <v>Victims Targeted</v>
      </c>
      <c r="Z1417" s="5"/>
      <c r="AA1417" s="5"/>
      <c r="AB1417" s="5" t="str">
        <f ca="1">IFERROR(__xludf.DUMMYFUNCTION("""COMPUTED_VALUE"""),"No")</f>
        <v>No</v>
      </c>
      <c r="AC1417" s="5" t="str">
        <f ca="1">IFERROR(__xludf.DUMMYFUNCTION("""COMPUTED_VALUE"""),"No")</f>
        <v>No</v>
      </c>
      <c r="AD1417" s="5" t="str">
        <f ca="1">IFERROR(__xludf.DUMMYFUNCTION("""COMPUTED_VALUE"""),"No")</f>
        <v>No</v>
      </c>
      <c r="AE1417" s="5" t="str">
        <f ca="1">IFERROR(__xludf.DUMMYFUNCTION("""COMPUTED_VALUE"""),"No")</f>
        <v>No</v>
      </c>
      <c r="AF1417" s="5" t="str">
        <f ca="1">IFERROR(__xludf.DUMMYFUNCTION("""COMPUTED_VALUE"""),"No")</f>
        <v>No</v>
      </c>
      <c r="AG1417" s="5" t="str">
        <f ca="1">IFERROR(__xludf.DUMMYFUNCTION("""COMPUTED_VALUE"""),"No")</f>
        <v>No</v>
      </c>
      <c r="AH1417" s="5"/>
    </row>
    <row r="1418" spans="1:34" ht="12.75">
      <c r="A1418" s="5" t="str">
        <f ca="1">IFERROR(__xludf.DUMMYFUNCTION("""COMPUTED_VALUE"""),"20000406OKHUH")</f>
        <v>20000406OKHUH</v>
      </c>
      <c r="B1418" s="8">
        <f ca="1">IFERROR(__xludf.DUMMYFUNCTION("""COMPUTED_VALUE"""),36622)</f>
        <v>36622</v>
      </c>
      <c r="C1418" s="5" t="str">
        <f ca="1">IFERROR(__xludf.DUMMYFUNCTION("""COMPUTED_VALUE"""),"Hugo High School")</f>
        <v>Hugo High School</v>
      </c>
      <c r="D1418" s="5">
        <f ca="1">IFERROR(__xludf.DUMMYFUNCTION("""COMPUTED_VALUE"""),0)</f>
        <v>0</v>
      </c>
      <c r="E1418" s="5">
        <f ca="1">IFERROR(__xludf.DUMMYFUNCTION("""COMPUTED_VALUE"""),1)</f>
        <v>1</v>
      </c>
      <c r="F1418" s="5">
        <f ca="1">IFERROR(__xludf.DUMMYFUNCTION("""COMPUTED_VALUE"""),1)</f>
        <v>1</v>
      </c>
      <c r="G1418" s="5">
        <f ca="1">IFERROR(__xludf.DUMMYFUNCTION("""COMPUTED_VALUE"""),0)</f>
        <v>0</v>
      </c>
      <c r="H1418" s="9" t="str">
        <f ca="1">IFERROR(__xludf.DUMMYFUNCTION("""COMPUTED_VALUE"""),"https://www.newspapers.com/image/454563845/?terms=Hugo%2BHigh%2BSchool%2Bshooting")</f>
        <v>https://www.newspapers.com/image/454563845/?terms=Hugo%2BHigh%2BSchool%2Bshooting</v>
      </c>
      <c r="I1418" s="5"/>
      <c r="J1418" s="5"/>
      <c r="K1418" s="5">
        <f ca="1">IFERROR(__xludf.DUMMYFUNCTION("""COMPUTED_VALUE"""),2)</f>
        <v>2</v>
      </c>
      <c r="L1418" s="5" t="str">
        <f ca="1">IFERROR(__xludf.DUMMYFUNCTION("""COMPUTED_VALUE"""),"Spring")</f>
        <v>Spring</v>
      </c>
      <c r="M1418" s="5" t="str">
        <f ca="1">IFERROR(__xludf.DUMMYFUNCTION("""COMPUTED_VALUE"""),"Hugo")</f>
        <v>Hugo</v>
      </c>
      <c r="N1418" s="5" t="str">
        <f ca="1">IFERROR(__xludf.DUMMYFUNCTION("""COMPUTED_VALUE"""),"OK")</f>
        <v>OK</v>
      </c>
      <c r="O1418" s="5" t="str">
        <f ca="1">IFERROR(__xludf.DUMMYFUNCTION("""COMPUTED_VALUE"""),"High")</f>
        <v>High</v>
      </c>
      <c r="P1418" s="5" t="str">
        <f ca="1">IFERROR(__xludf.DUMMYFUNCTION("""COMPUTED_VALUE"""),"Football Field/Track")</f>
        <v>Football Field/Track</v>
      </c>
      <c r="Q1418" s="5" t="str">
        <f ca="1">IFERROR(__xludf.DUMMYFUNCTION("""COMPUTED_VALUE"""),"Outside on School Property")</f>
        <v>Outside on School Property</v>
      </c>
      <c r="R1418" s="5" t="str">
        <f ca="1">IFERROR(__xludf.DUMMYFUNCTION("""COMPUTED_VALUE"""),"Yes")</f>
        <v>Yes</v>
      </c>
      <c r="S1418" s="5" t="str">
        <f ca="1">IFERROR(__xludf.DUMMYFUNCTION("""COMPUTED_VALUE"""),"Sport Event")</f>
        <v>Sport Event</v>
      </c>
      <c r="T1418" s="10">
        <f ca="1">IFERROR(__xludf.DUMMYFUNCTION("""COMPUTED_VALUE"""),0.5)</f>
        <v>0.5</v>
      </c>
      <c r="U1418" s="5">
        <f ca="1">IFERROR(__xludf.DUMMYFUNCTION("""COMPUTED_VALUE"""),1)</f>
        <v>1</v>
      </c>
      <c r="V1418" s="5" t="str">
        <f ca="1">IFERROR(__xludf.DUMMYFUNCTION("""COMPUTED_VALUE"""),"Feud between parents turned into shooting at track meet.")</f>
        <v>Feud between parents turned into shooting at track meet.</v>
      </c>
      <c r="W1418"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X1418" s="5" t="str">
        <f ca="1">IFERROR(__xludf.DUMMYFUNCTION("""COMPUTED_VALUE"""),"Escalation of Dispute")</f>
        <v>Escalation of Dispute</v>
      </c>
      <c r="Y1418" s="5" t="str">
        <f ca="1">IFERROR(__xludf.DUMMYFUNCTION("""COMPUTED_VALUE"""),"Victims Targeted")</f>
        <v>Victims Targeted</v>
      </c>
      <c r="Z1418" s="5" t="str">
        <f ca="1">IFERROR(__xludf.DUMMYFUNCTION("""COMPUTED_VALUE"""),"No")</f>
        <v>No</v>
      </c>
      <c r="AA1418" s="5"/>
      <c r="AB1418" s="5" t="str">
        <f ca="1">IFERROR(__xludf.DUMMYFUNCTION("""COMPUTED_VALUE"""),"No")</f>
        <v>No</v>
      </c>
      <c r="AC1418" s="5" t="str">
        <f ca="1">IFERROR(__xludf.DUMMYFUNCTION("""COMPUTED_VALUE"""),"No")</f>
        <v>No</v>
      </c>
      <c r="AD1418" s="5" t="str">
        <f ca="1">IFERROR(__xludf.DUMMYFUNCTION("""COMPUTED_VALUE"""),"No")</f>
        <v>No</v>
      </c>
      <c r="AE1418" s="5" t="str">
        <f ca="1">IFERROR(__xludf.DUMMYFUNCTION("""COMPUTED_VALUE"""),"No")</f>
        <v>No</v>
      </c>
      <c r="AF1418" s="5" t="str">
        <f ca="1">IFERROR(__xludf.DUMMYFUNCTION("""COMPUTED_VALUE"""),"No")</f>
        <v>No</v>
      </c>
      <c r="AG1418" s="5" t="str">
        <f ca="1">IFERROR(__xludf.DUMMYFUNCTION("""COMPUTED_VALUE"""),"No")</f>
        <v>No</v>
      </c>
      <c r="AH1418" s="5"/>
    </row>
    <row r="1419" spans="1:34" ht="12.75">
      <c r="A1419" s="5" t="str">
        <f ca="1">IFERROR(__xludf.DUMMYFUNCTION("""COMPUTED_VALUE"""),"20000323OHMCL")</f>
        <v>20000323OHMCL</v>
      </c>
      <c r="B1419" s="8">
        <f ca="1">IFERROR(__xludf.DUMMYFUNCTION("""COMPUTED_VALUE"""),36608)</f>
        <v>36608</v>
      </c>
      <c r="C1419" s="5" t="str">
        <f ca="1">IFERROR(__xludf.DUMMYFUNCTION("""COMPUTED_VALUE"""),"McKinley Elementary School")</f>
        <v>McKinley Elementary School</v>
      </c>
      <c r="D1419" s="5">
        <f ca="1">IFERROR(__xludf.DUMMYFUNCTION("""COMPUTED_VALUE"""),0)</f>
        <v>0</v>
      </c>
      <c r="E1419" s="5">
        <f ca="1">IFERROR(__xludf.DUMMYFUNCTION("""COMPUTED_VALUE"""),0)</f>
        <v>0</v>
      </c>
      <c r="F1419" s="5">
        <f ca="1">IFERROR(__xludf.DUMMYFUNCTION("""COMPUTED_VALUE"""),0)</f>
        <v>0</v>
      </c>
      <c r="G1419" s="5">
        <f ca="1">IFERROR(__xludf.DUMMYFUNCTION("""COMPUTED_VALUE"""),0)</f>
        <v>0</v>
      </c>
      <c r="H1419" s="9" t="str">
        <f ca="1">IFERROR(__xludf.DUMMYFUNCTION("""COMPUTED_VALUE"""),"https://www.cbsnews.com/news/boy-charged-in-school-gun-scare/")</f>
        <v>https://www.cbsnews.com/news/boy-charged-in-school-gun-scare/</v>
      </c>
      <c r="I1419" s="5"/>
      <c r="J1419" s="5"/>
      <c r="K1419" s="5">
        <f ca="1">IFERROR(__xludf.DUMMYFUNCTION("""COMPUTED_VALUE"""),2)</f>
        <v>2</v>
      </c>
      <c r="L1419" s="5" t="str">
        <f ca="1">IFERROR(__xludf.DUMMYFUNCTION("""COMPUTED_VALUE"""),"Spring")</f>
        <v>Spring</v>
      </c>
      <c r="M1419" s="5" t="str">
        <f ca="1">IFERROR(__xludf.DUMMYFUNCTION("""COMPUTED_VALUE"""),"Lisbon")</f>
        <v>Lisbon</v>
      </c>
      <c r="N1419" s="5" t="str">
        <f ca="1">IFERROR(__xludf.DUMMYFUNCTION("""COMPUTED_VALUE"""),"OH")</f>
        <v>OH</v>
      </c>
      <c r="O1419" s="5" t="str">
        <f ca="1">IFERROR(__xludf.DUMMYFUNCTION("""COMPUTED_VALUE"""),"Elementary")</f>
        <v>Elementary</v>
      </c>
      <c r="P1419" s="5" t="str">
        <f ca="1">IFERROR(__xludf.DUMMYFUNCTION("""COMPUTED_VALUE"""),"Classroom")</f>
        <v>Classroom</v>
      </c>
      <c r="Q1419" s="5" t="str">
        <f ca="1">IFERROR(__xludf.DUMMYFUNCTION("""COMPUTED_VALUE"""),"Inside School Building")</f>
        <v>Inside School Building</v>
      </c>
      <c r="R1419" s="5" t="str">
        <f ca="1">IFERROR(__xludf.DUMMYFUNCTION("""COMPUTED_VALUE"""),"Yes")</f>
        <v>Yes</v>
      </c>
      <c r="S1419" s="5" t="str">
        <f ca="1">IFERROR(__xludf.DUMMYFUNCTION("""COMPUTED_VALUE"""),"Morning Classes")</f>
        <v>Morning Classes</v>
      </c>
      <c r="T1419" s="10">
        <f ca="1">IFERROR(__xludf.DUMMYFUNCTION("""COMPUTED_VALUE"""),0.364583333333333)</f>
        <v>0.36458333333333298</v>
      </c>
      <c r="U1419" s="5">
        <f ca="1">IFERROR(__xludf.DUMMYFUNCTION("""COMPUTED_VALUE"""),5)</f>
        <v>5</v>
      </c>
      <c r="V1419" s="5" t="str">
        <f ca="1">IFERROR(__xludf.DUMMYFUNCTION("""COMPUTED_VALUE"""),"Took class hostage, wanted to go to jail to be with mother")</f>
        <v>Took class hostage, wanted to go to jail to be with mother</v>
      </c>
      <c r="W1419"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X1419" s="5" t="str">
        <f ca="1">IFERROR(__xludf.DUMMYFUNCTION("""COMPUTED_VALUE"""),"Hostage/Standoff")</f>
        <v>Hostage/Standoff</v>
      </c>
      <c r="Y1419" s="5"/>
      <c r="Z1419" s="5" t="str">
        <f ca="1">IFERROR(__xludf.DUMMYFUNCTION("""COMPUTED_VALUE"""),"No")</f>
        <v>No</v>
      </c>
      <c r="AA1419" s="5"/>
      <c r="AB1419" s="5" t="str">
        <f ca="1">IFERROR(__xludf.DUMMYFUNCTION("""COMPUTED_VALUE"""),"Yes")</f>
        <v>Yes</v>
      </c>
      <c r="AC1419" s="5" t="str">
        <f ca="1">IFERROR(__xludf.DUMMYFUNCTION("""COMPUTED_VALUE"""),"No")</f>
        <v>No</v>
      </c>
      <c r="AD1419" s="5" t="str">
        <f ca="1">IFERROR(__xludf.DUMMYFUNCTION("""COMPUTED_VALUE"""),"No")</f>
        <v>No</v>
      </c>
      <c r="AE1419" s="5"/>
      <c r="AF1419" s="5" t="str">
        <f ca="1">IFERROR(__xludf.DUMMYFUNCTION("""COMPUTED_VALUE"""),"No")</f>
        <v>No</v>
      </c>
      <c r="AG1419" s="5" t="str">
        <f ca="1">IFERROR(__xludf.DUMMYFUNCTION("""COMPUTED_VALUE"""),"No")</f>
        <v>No</v>
      </c>
      <c r="AH1419" s="5" t="str">
        <f ca="1">IFERROR(__xludf.DUMMYFUNCTION("""COMPUTED_VALUE"""),"Yes")</f>
        <v>Yes</v>
      </c>
    </row>
    <row r="1420" spans="1:34" ht="12.75">
      <c r="A1420" s="5" t="str">
        <f ca="1">IFERROR(__xludf.DUMMYFUNCTION("""COMPUTED_VALUE"""),"20000310GABES")</f>
        <v>20000310GABES</v>
      </c>
      <c r="B1420" s="8">
        <f ca="1">IFERROR(__xludf.DUMMYFUNCTION("""COMPUTED_VALUE"""),36595)</f>
        <v>36595</v>
      </c>
      <c r="C1420" s="5" t="str">
        <f ca="1">IFERROR(__xludf.DUMMYFUNCTION("""COMPUTED_VALUE"""),"Beach High School")</f>
        <v>Beach High School</v>
      </c>
      <c r="D1420" s="5">
        <f ca="1">IFERROR(__xludf.DUMMYFUNCTION("""COMPUTED_VALUE"""),2)</f>
        <v>2</v>
      </c>
      <c r="E1420" s="5">
        <f ca="1">IFERROR(__xludf.DUMMYFUNCTION("""COMPUTED_VALUE"""),1)</f>
        <v>1</v>
      </c>
      <c r="F1420" s="5">
        <f ca="1">IFERROR(__xludf.DUMMYFUNCTION("""COMPUTED_VALUE"""),3)</f>
        <v>3</v>
      </c>
      <c r="G1420" s="5">
        <f ca="1">IFERROR(__xludf.DUMMYFUNCTION("""COMPUTED_VALUE"""),0)</f>
        <v>0</v>
      </c>
      <c r="H1420"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I1420" s="5"/>
      <c r="J1420" s="5"/>
      <c r="K1420" s="5">
        <f ca="1">IFERROR(__xludf.DUMMYFUNCTION("""COMPUTED_VALUE"""),2)</f>
        <v>2</v>
      </c>
      <c r="L1420" s="5" t="str">
        <f ca="1">IFERROR(__xludf.DUMMYFUNCTION("""COMPUTED_VALUE"""),"Spring")</f>
        <v>Spring</v>
      </c>
      <c r="M1420" s="5" t="str">
        <f ca="1">IFERROR(__xludf.DUMMYFUNCTION("""COMPUTED_VALUE"""),"Savannah")</f>
        <v>Savannah</v>
      </c>
      <c r="N1420" s="5" t="str">
        <f ca="1">IFERROR(__xludf.DUMMYFUNCTION("""COMPUTED_VALUE"""),"GA")</f>
        <v>GA</v>
      </c>
      <c r="O1420" s="5" t="str">
        <f ca="1">IFERROR(__xludf.DUMMYFUNCTION("""COMPUTED_VALUE"""),"High")</f>
        <v>High</v>
      </c>
      <c r="P1420" s="5" t="str">
        <f ca="1">IFERROR(__xludf.DUMMYFUNCTION("""COMPUTED_VALUE"""),"Gym")</f>
        <v>Gym</v>
      </c>
      <c r="Q1420" s="5" t="str">
        <f ca="1">IFERROR(__xludf.DUMMYFUNCTION("""COMPUTED_VALUE"""),"Inside School Building")</f>
        <v>Inside School Building</v>
      </c>
      <c r="R1420" s="5" t="str">
        <f ca="1">IFERROR(__xludf.DUMMYFUNCTION("""COMPUTED_VALUE"""),"No")</f>
        <v>No</v>
      </c>
      <c r="S1420" s="5" t="str">
        <f ca="1">IFERROR(__xludf.DUMMYFUNCTION("""COMPUTED_VALUE"""),"School Event")</f>
        <v>School Event</v>
      </c>
      <c r="T1420" s="10">
        <f ca="1">IFERROR(__xludf.DUMMYFUNCTION("""COMPUTED_VALUE"""),0.96875)</f>
        <v>0.96875</v>
      </c>
      <c r="U1420" s="5">
        <f ca="1">IFERROR(__xludf.DUMMYFUNCTION("""COMPUTED_VALUE"""),1)</f>
        <v>1</v>
      </c>
      <c r="V1420" s="5" t="str">
        <f ca="1">IFERROR(__xludf.DUMMYFUNCTION("""COMPUTED_VALUE"""),"Shots fired during fight at school dance")</f>
        <v>Shots fired during fight at school dance</v>
      </c>
      <c r="W1420" s="5" t="str">
        <f ca="1">IFERROR(__xludf.DUMMYFUNCTION("""COMPUTED_VALUE"""),"Argument between two teenage groups during high school dance to celebrate championship game.")</f>
        <v>Argument between two teenage groups during high school dance to celebrate championship game.</v>
      </c>
      <c r="X1420" s="5" t="str">
        <f ca="1">IFERROR(__xludf.DUMMYFUNCTION("""COMPUTED_VALUE"""),"Escalation of Dispute")</f>
        <v>Escalation of Dispute</v>
      </c>
      <c r="Y1420" s="5"/>
      <c r="Z1420" s="5" t="str">
        <f ca="1">IFERROR(__xludf.DUMMYFUNCTION("""COMPUTED_VALUE"""),"No")</f>
        <v>No</v>
      </c>
      <c r="AA1420" s="5"/>
      <c r="AB1420" s="5" t="str">
        <f ca="1">IFERROR(__xludf.DUMMYFUNCTION("""COMPUTED_VALUE"""),"No")</f>
        <v>No</v>
      </c>
      <c r="AC1420" s="5" t="str">
        <f ca="1">IFERROR(__xludf.DUMMYFUNCTION("""COMPUTED_VALUE"""),"No")</f>
        <v>No</v>
      </c>
      <c r="AD1420" s="5" t="str">
        <f ca="1">IFERROR(__xludf.DUMMYFUNCTION("""COMPUTED_VALUE"""),"No")</f>
        <v>No</v>
      </c>
      <c r="AE1420" s="5"/>
      <c r="AF1420" s="5" t="str">
        <f ca="1">IFERROR(__xludf.DUMMYFUNCTION("""COMPUTED_VALUE"""),"No")</f>
        <v>No</v>
      </c>
      <c r="AG1420" s="5" t="str">
        <f ca="1">IFERROR(__xludf.DUMMYFUNCTION("""COMPUTED_VALUE"""),"No")</f>
        <v>No</v>
      </c>
      <c r="AH1420" s="5"/>
    </row>
    <row r="1421" spans="1:34" ht="12.75">
      <c r="A1421" s="5" t="str">
        <f ca="1">IFERROR(__xludf.DUMMYFUNCTION("""COMPUTED_VALUE"""),"20000229MIBUF")</f>
        <v>20000229MIBUF</v>
      </c>
      <c r="B1421" s="8">
        <f ca="1">IFERROR(__xludf.DUMMYFUNCTION("""COMPUTED_VALUE"""),36585)</f>
        <v>36585</v>
      </c>
      <c r="C1421" s="5" t="str">
        <f ca="1">IFERROR(__xludf.DUMMYFUNCTION("""COMPUTED_VALUE"""),"Buell Elementary School")</f>
        <v>Buell Elementary School</v>
      </c>
      <c r="D1421" s="5">
        <f ca="1">IFERROR(__xludf.DUMMYFUNCTION("""COMPUTED_VALUE"""),1)</f>
        <v>1</v>
      </c>
      <c r="E1421" s="5">
        <f ca="1">IFERROR(__xludf.DUMMYFUNCTION("""COMPUTED_VALUE"""),0)</f>
        <v>0</v>
      </c>
      <c r="F1421" s="5">
        <f ca="1">IFERROR(__xludf.DUMMYFUNCTION("""COMPUTED_VALUE"""),1)</f>
        <v>1</v>
      </c>
      <c r="G1421" s="5">
        <f ca="1">IFERROR(__xludf.DUMMYFUNCTION("""COMPUTED_VALUE"""),0)</f>
        <v>0</v>
      </c>
      <c r="H1421"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I1421" s="5">
        <f ca="1">IFERROR(__xludf.DUMMYFUNCTION("""COMPUTED_VALUE"""),100)</f>
        <v>100</v>
      </c>
      <c r="J1421" s="5" t="str">
        <f ca="1">IFERROR(__xludf.DUMMYFUNCTION("""COMPUTED_VALUE"""),"National")</f>
        <v>National</v>
      </c>
      <c r="K1421" s="5">
        <f ca="1">IFERROR(__xludf.DUMMYFUNCTION("""COMPUTED_VALUE"""),4)</f>
        <v>4</v>
      </c>
      <c r="L1421" s="5" t="str">
        <f ca="1">IFERROR(__xludf.DUMMYFUNCTION("""COMPUTED_VALUE"""),"Winter")</f>
        <v>Winter</v>
      </c>
      <c r="M1421" s="5" t="str">
        <f ca="1">IFERROR(__xludf.DUMMYFUNCTION("""COMPUTED_VALUE"""),"Flint")</f>
        <v>Flint</v>
      </c>
      <c r="N1421" s="5" t="str">
        <f ca="1">IFERROR(__xludf.DUMMYFUNCTION("""COMPUTED_VALUE"""),"MI")</f>
        <v>MI</v>
      </c>
      <c r="O1421" s="5" t="str">
        <f ca="1">IFERROR(__xludf.DUMMYFUNCTION("""COMPUTED_VALUE"""),"Elementary")</f>
        <v>Elementary</v>
      </c>
      <c r="P1421" s="5" t="str">
        <f ca="1">IFERROR(__xludf.DUMMYFUNCTION("""COMPUTED_VALUE"""),"Classroom")</f>
        <v>Classroom</v>
      </c>
      <c r="Q1421" s="5" t="str">
        <f ca="1">IFERROR(__xludf.DUMMYFUNCTION("""COMPUTED_VALUE"""),"Inside School Building")</f>
        <v>Inside School Building</v>
      </c>
      <c r="R1421" s="5" t="str">
        <f ca="1">IFERROR(__xludf.DUMMYFUNCTION("""COMPUTED_VALUE"""),"Yes")</f>
        <v>Yes</v>
      </c>
      <c r="S1421" s="5" t="str">
        <f ca="1">IFERROR(__xludf.DUMMYFUNCTION("""COMPUTED_VALUE"""),"Morning Classes")</f>
        <v>Morning Classes</v>
      </c>
      <c r="T1421" s="10">
        <f ca="1">IFERROR(__xludf.DUMMYFUNCTION("""COMPUTED_VALUE"""),0.416666666666666)</f>
        <v>0.41666666666666602</v>
      </c>
      <c r="U1421" s="5">
        <f ca="1">IFERROR(__xludf.DUMMYFUNCTION("""COMPUTED_VALUE"""),1)</f>
        <v>1</v>
      </c>
      <c r="V1421" s="5" t="str">
        <f ca="1">IFERROR(__xludf.DUMMYFUNCTION("""COMPUTED_VALUE"""),"1st grader shot classmate inside school")</f>
        <v>1st grader shot classmate inside school</v>
      </c>
      <c r="W1421"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X1421" s="5" t="str">
        <f ca="1">IFERROR(__xludf.DUMMYFUNCTION("""COMPUTED_VALUE"""),"Escalation of Dispute")</f>
        <v>Escalation of Dispute</v>
      </c>
      <c r="Y1421" s="5" t="str">
        <f ca="1">IFERROR(__xludf.DUMMYFUNCTION("""COMPUTED_VALUE"""),"Victims Targeted")</f>
        <v>Victims Targeted</v>
      </c>
      <c r="Z1421" s="5" t="str">
        <f ca="1">IFERROR(__xludf.DUMMYFUNCTION("""COMPUTED_VALUE"""),"No")</f>
        <v>No</v>
      </c>
      <c r="AA1421" s="5"/>
      <c r="AB1421" s="5" t="str">
        <f ca="1">IFERROR(__xludf.DUMMYFUNCTION("""COMPUTED_VALUE"""),"No")</f>
        <v>No</v>
      </c>
      <c r="AC1421" s="5" t="str">
        <f ca="1">IFERROR(__xludf.DUMMYFUNCTION("""COMPUTED_VALUE"""),"No")</f>
        <v>No</v>
      </c>
      <c r="AD1421" s="5" t="str">
        <f ca="1">IFERROR(__xludf.DUMMYFUNCTION("""COMPUTED_VALUE"""),"No")</f>
        <v>No</v>
      </c>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row>
    <row r="1422" spans="1:34" ht="12.75">
      <c r="A1422" s="5" t="str">
        <f ca="1">IFERROR(__xludf.DUMMYFUNCTION("""COMPUTED_VALUE"""),"20000214ILDUC")</f>
        <v>20000214ILDUC</v>
      </c>
      <c r="B1422" s="8">
        <f ca="1">IFERROR(__xludf.DUMMYFUNCTION("""COMPUTED_VALUE"""),36570)</f>
        <v>36570</v>
      </c>
      <c r="C1422" s="5" t="str">
        <f ca="1">IFERROR(__xludf.DUMMYFUNCTION("""COMPUTED_VALUE"""),"Duke Ellington Elementary School")</f>
        <v>Duke Ellington Elementary School</v>
      </c>
      <c r="D1422" s="5">
        <f ca="1">IFERROR(__xludf.DUMMYFUNCTION("""COMPUTED_VALUE"""),0)</f>
        <v>0</v>
      </c>
      <c r="E1422" s="5">
        <f ca="1">IFERROR(__xludf.DUMMYFUNCTION("""COMPUTED_VALUE"""),1)</f>
        <v>1</v>
      </c>
      <c r="F1422" s="5">
        <f ca="1">IFERROR(__xludf.DUMMYFUNCTION("""COMPUTED_VALUE"""),1)</f>
        <v>1</v>
      </c>
      <c r="G1422" s="5">
        <f ca="1">IFERROR(__xludf.DUMMYFUNCTION("""COMPUTED_VALUE"""),0)</f>
        <v>0</v>
      </c>
      <c r="H1422" s="9" t="str">
        <f ca="1">IFERROR(__xludf.DUMMYFUNCTION("""COMPUTED_VALUE"""),"http://articles.chicagotribune.com/2000-03-30/news/0003300274_1_metal-detectors-elementary-schools-west-side-school")</f>
        <v>http://articles.chicagotribune.com/2000-03-30/news/0003300274_1_metal-detectors-elementary-schools-west-side-school</v>
      </c>
      <c r="I1422" s="5">
        <f ca="1">IFERROR(__xludf.DUMMYFUNCTION("""COMPUTED_VALUE"""),2)</f>
        <v>2</v>
      </c>
      <c r="J1422" s="5" t="str">
        <f ca="1">IFERROR(__xludf.DUMMYFUNCTION("""COMPUTED_VALUE"""),"Local")</f>
        <v>Local</v>
      </c>
      <c r="K1422" s="5">
        <f ca="1">IFERROR(__xludf.DUMMYFUNCTION("""COMPUTED_VALUE"""),2)</f>
        <v>2</v>
      </c>
      <c r="L1422" s="5" t="str">
        <f ca="1">IFERROR(__xludf.DUMMYFUNCTION("""COMPUTED_VALUE"""),"Winter")</f>
        <v>Winter</v>
      </c>
      <c r="M1422" s="5" t="str">
        <f ca="1">IFERROR(__xludf.DUMMYFUNCTION("""COMPUTED_VALUE"""),"Chicago")</f>
        <v>Chicago</v>
      </c>
      <c r="N1422" s="5" t="str">
        <f ca="1">IFERROR(__xludf.DUMMYFUNCTION("""COMPUTED_VALUE"""),"IL")</f>
        <v>IL</v>
      </c>
      <c r="O1422" s="5" t="str">
        <f ca="1">IFERROR(__xludf.DUMMYFUNCTION("""COMPUTED_VALUE"""),"Elementary")</f>
        <v>Elementary</v>
      </c>
      <c r="P1422" s="5" t="str">
        <f ca="1">IFERROR(__xludf.DUMMYFUNCTION("""COMPUTED_VALUE"""),"Bathroom")</f>
        <v>Bathroom</v>
      </c>
      <c r="Q1422" s="5" t="str">
        <f ca="1">IFERROR(__xludf.DUMMYFUNCTION("""COMPUTED_VALUE"""),"Inside School Building")</f>
        <v>Inside School Building</v>
      </c>
      <c r="R1422" s="5" t="str">
        <f ca="1">IFERROR(__xludf.DUMMYFUNCTION("""COMPUTED_VALUE"""),"Yes")</f>
        <v>Yes</v>
      </c>
      <c r="S1422" s="5" t="str">
        <f ca="1">IFERROR(__xludf.DUMMYFUNCTION("""COMPUTED_VALUE"""),"Afternoon Classes")</f>
        <v>Afternoon Classes</v>
      </c>
      <c r="T1422" s="10">
        <f ca="1">IFERROR(__xludf.DUMMYFUNCTION("""COMPUTED_VALUE"""),0.625)</f>
        <v>0.625</v>
      </c>
      <c r="U1422" s="5">
        <f ca="1">IFERROR(__xludf.DUMMYFUNCTION("""COMPUTED_VALUE"""),1)</f>
        <v>1</v>
      </c>
      <c r="V1422" s="5" t="str">
        <f ca="1">IFERROR(__xludf.DUMMYFUNCTION("""COMPUTED_VALUE"""),"Accident discharge in bathroom, round went through wall and struck student in a classroom")</f>
        <v>Accident discharge in bathroom, round went through wall and struck student in a classroom</v>
      </c>
      <c r="W1422"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X1422" s="5" t="str">
        <f ca="1">IFERROR(__xludf.DUMMYFUNCTION("""COMPUTED_VALUE"""),"Accidental")</f>
        <v>Accidental</v>
      </c>
      <c r="Y1422" s="5" t="str">
        <f ca="1">IFERROR(__xludf.DUMMYFUNCTION("""COMPUTED_VALUE"""),"Random Shooting")</f>
        <v>Random Shooting</v>
      </c>
      <c r="Z1422" s="5" t="str">
        <f ca="1">IFERROR(__xludf.DUMMYFUNCTION("""COMPUTED_VALUE"""),"No")</f>
        <v>No</v>
      </c>
      <c r="AA1422" s="5"/>
      <c r="AB1422" s="5" t="str">
        <f ca="1">IFERROR(__xludf.DUMMYFUNCTION("""COMPUTED_VALUE"""),"No")</f>
        <v>No</v>
      </c>
      <c r="AC1422" s="5" t="str">
        <f ca="1">IFERROR(__xludf.DUMMYFUNCTION("""COMPUTED_VALUE"""),"No")</f>
        <v>No</v>
      </c>
      <c r="AD1422" s="5" t="str">
        <f ca="1">IFERROR(__xludf.DUMMYFUNCTION("""COMPUTED_VALUE"""),"No")</f>
        <v>No</v>
      </c>
      <c r="AE1422" s="5" t="str">
        <f ca="1">IFERROR(__xludf.DUMMYFUNCTION("""COMPUTED_VALUE"""),"No")</f>
        <v>No</v>
      </c>
      <c r="AF1422" s="5" t="str">
        <f ca="1">IFERROR(__xludf.DUMMYFUNCTION("""COMPUTED_VALUE"""),"No")</f>
        <v>No</v>
      </c>
      <c r="AG1422" s="5" t="str">
        <f ca="1">IFERROR(__xludf.DUMMYFUNCTION("""COMPUTED_VALUE"""),"No")</f>
        <v>No</v>
      </c>
      <c r="AH1422" s="5"/>
    </row>
    <row r="1423" spans="1:34" ht="12.75">
      <c r="A1423" s="5" t="str">
        <f ca="1">IFERROR(__xludf.DUMMYFUNCTION("""COMPUTED_VALUE"""),"20000210PAPEY")</f>
        <v>20000210PAPEY</v>
      </c>
      <c r="B1423" s="8">
        <f ca="1">IFERROR(__xludf.DUMMYFUNCTION("""COMPUTED_VALUE"""),36566)</f>
        <v>36566</v>
      </c>
      <c r="C1423" s="5" t="str">
        <f ca="1">IFERROR(__xludf.DUMMYFUNCTION("""COMPUTED_VALUE"""),"Penn Wood East Junior High School")</f>
        <v>Penn Wood East Junior High School</v>
      </c>
      <c r="D1423" s="5">
        <f ca="1">IFERROR(__xludf.DUMMYFUNCTION("""COMPUTED_VALUE"""),0)</f>
        <v>0</v>
      </c>
      <c r="E1423" s="5">
        <f ca="1">IFERROR(__xludf.DUMMYFUNCTION("""COMPUTED_VALUE"""),0)</f>
        <v>0</v>
      </c>
      <c r="F1423" s="5">
        <f ca="1">IFERROR(__xludf.DUMMYFUNCTION("""COMPUTED_VALUE"""),0)</f>
        <v>0</v>
      </c>
      <c r="G1423" s="5">
        <f ca="1">IFERROR(__xludf.DUMMYFUNCTION("""COMPUTED_VALUE"""),0)</f>
        <v>0</v>
      </c>
      <c r="H1423"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I1423" s="5"/>
      <c r="J1423" s="5"/>
      <c r="K1423" s="5">
        <f ca="1">IFERROR(__xludf.DUMMYFUNCTION("""COMPUTED_VALUE"""),1)</f>
        <v>1</v>
      </c>
      <c r="L1423" s="5" t="str">
        <f ca="1">IFERROR(__xludf.DUMMYFUNCTION("""COMPUTED_VALUE"""),"Winter")</f>
        <v>Winter</v>
      </c>
      <c r="M1423" s="5" t="str">
        <f ca="1">IFERROR(__xludf.DUMMYFUNCTION("""COMPUTED_VALUE"""),"Yeadon")</f>
        <v>Yeadon</v>
      </c>
      <c r="N1423" s="5" t="str">
        <f ca="1">IFERROR(__xludf.DUMMYFUNCTION("""COMPUTED_VALUE"""),"PA")</f>
        <v>PA</v>
      </c>
      <c r="O1423" s="5" t="str">
        <f ca="1">IFERROR(__xludf.DUMMYFUNCTION("""COMPUTED_VALUE"""),"Junior High")</f>
        <v>Junior High</v>
      </c>
      <c r="P1423" s="5" t="str">
        <f ca="1">IFERROR(__xludf.DUMMYFUNCTION("""COMPUTED_VALUE"""),"Beside Building")</f>
        <v>Beside Building</v>
      </c>
      <c r="Q1423" s="5" t="str">
        <f ca="1">IFERROR(__xludf.DUMMYFUNCTION("""COMPUTED_VALUE"""),"Outside on School Property")</f>
        <v>Outside on School Property</v>
      </c>
      <c r="R1423" s="5" t="str">
        <f ca="1">IFERROR(__xludf.DUMMYFUNCTION("""COMPUTED_VALUE"""),"Yes")</f>
        <v>Yes</v>
      </c>
      <c r="S1423" s="5" t="str">
        <f ca="1">IFERROR(__xludf.DUMMYFUNCTION("""COMPUTED_VALUE"""),"Dismissal")</f>
        <v>Dismissal</v>
      </c>
      <c r="T1423" s="10">
        <f ca="1">IFERROR(__xludf.DUMMYFUNCTION("""COMPUTED_VALUE"""),0.59375)</f>
        <v>0.59375</v>
      </c>
      <c r="U1423" s="5">
        <f ca="1">IFERROR(__xludf.DUMMYFUNCTION("""COMPUTED_VALUE"""),1)</f>
        <v>1</v>
      </c>
      <c r="V1423" s="5" t="str">
        <f ca="1">IFERROR(__xludf.DUMMYFUNCTION("""COMPUTED_VALUE"""),"Ongoing fight, fired gun and missed, pointed at principal and misfired")</f>
        <v>Ongoing fight, fired gun and missed, pointed at principal and misfired</v>
      </c>
      <c r="W1423"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X1423" s="5" t="str">
        <f ca="1">IFERROR(__xludf.DUMMYFUNCTION("""COMPUTED_VALUE"""),"Escalation of Dispute")</f>
        <v>Escalation of Dispute</v>
      </c>
      <c r="Y1423" s="5" t="str">
        <f ca="1">IFERROR(__xludf.DUMMYFUNCTION("""COMPUTED_VALUE"""),"Victims Targeted")</f>
        <v>Victims Targeted</v>
      </c>
      <c r="Z1423" s="5" t="str">
        <f ca="1">IFERROR(__xludf.DUMMYFUNCTION("""COMPUTED_VALUE"""),"Yes")</f>
        <v>Yes</v>
      </c>
      <c r="AA1423" s="5" t="str">
        <f ca="1">IFERROR(__xludf.DUMMYFUNCTION("""COMPUTED_VALUE"""),"25 YOM provided gun")</f>
        <v>25 YOM provided gun</v>
      </c>
      <c r="AB1423" s="5" t="str">
        <f ca="1">IFERROR(__xludf.DUMMYFUNCTION("""COMPUTED_VALUE"""),"No")</f>
        <v>No</v>
      </c>
      <c r="AC1423" s="5" t="str">
        <f ca="1">IFERROR(__xludf.DUMMYFUNCTION("""COMPUTED_VALUE"""),"No")</f>
        <v>No</v>
      </c>
      <c r="AD1423" s="5" t="str">
        <f ca="1">IFERROR(__xludf.DUMMYFUNCTION("""COMPUTED_VALUE"""),"No")</f>
        <v>No</v>
      </c>
      <c r="AE1423" s="5" t="str">
        <f ca="1">IFERROR(__xludf.DUMMYFUNCTION("""COMPUTED_VALUE"""),"No")</f>
        <v>No</v>
      </c>
      <c r="AF1423" s="5" t="str">
        <f ca="1">IFERROR(__xludf.DUMMYFUNCTION("""COMPUTED_VALUE"""),"No")</f>
        <v>No</v>
      </c>
      <c r="AG1423" s="5" t="str">
        <f ca="1">IFERROR(__xludf.DUMMYFUNCTION("""COMPUTED_VALUE"""),"No")</f>
        <v>No</v>
      </c>
      <c r="AH1423" s="5"/>
    </row>
    <row r="1424" spans="1:34" ht="12.75">
      <c r="A1424" s="5" t="str">
        <f ca="1">IFERROR(__xludf.DUMMYFUNCTION("""COMPUTED_VALUE"""),"20000126NESOO")</f>
        <v>20000126NESOO</v>
      </c>
      <c r="B1424" s="8">
        <f ca="1">IFERROR(__xludf.DUMMYFUNCTION("""COMPUTED_VALUE"""),36551)</f>
        <v>36551</v>
      </c>
      <c r="C1424" s="5" t="str">
        <f ca="1">IFERROR(__xludf.DUMMYFUNCTION("""COMPUTED_VALUE"""),"South High School")</f>
        <v>South High School</v>
      </c>
      <c r="D1424" s="5">
        <f ca="1">IFERROR(__xludf.DUMMYFUNCTION("""COMPUTED_VALUE"""),0)</f>
        <v>0</v>
      </c>
      <c r="E1424" s="5">
        <f ca="1">IFERROR(__xludf.DUMMYFUNCTION("""COMPUTED_VALUE"""),1)</f>
        <v>1</v>
      </c>
      <c r="F1424" s="5">
        <f ca="1">IFERROR(__xludf.DUMMYFUNCTION("""COMPUTED_VALUE"""),1)</f>
        <v>1</v>
      </c>
      <c r="G1424" s="5">
        <f ca="1">IFERROR(__xludf.DUMMYFUNCTION("""COMPUTED_VALUE"""),0)</f>
        <v>0</v>
      </c>
      <c r="H1424"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I1424" s="5"/>
      <c r="J1424" s="5"/>
      <c r="K1424" s="5">
        <f ca="1">IFERROR(__xludf.DUMMYFUNCTION("""COMPUTED_VALUE"""),1)</f>
        <v>1</v>
      </c>
      <c r="L1424" s="5" t="str">
        <f ca="1">IFERROR(__xludf.DUMMYFUNCTION("""COMPUTED_VALUE"""),"Winter")</f>
        <v>Winter</v>
      </c>
      <c r="M1424" s="5" t="str">
        <f ca="1">IFERROR(__xludf.DUMMYFUNCTION("""COMPUTED_VALUE"""),"Omaha")</f>
        <v>Omaha</v>
      </c>
      <c r="N1424" s="5" t="str">
        <f ca="1">IFERROR(__xludf.DUMMYFUNCTION("""COMPUTED_VALUE"""),"NE")</f>
        <v>NE</v>
      </c>
      <c r="O1424" s="5" t="str">
        <f ca="1">IFERROR(__xludf.DUMMYFUNCTION("""COMPUTED_VALUE"""),"High")</f>
        <v>High</v>
      </c>
      <c r="P1424" s="5" t="str">
        <f ca="1">IFERROR(__xludf.DUMMYFUNCTION("""COMPUTED_VALUE"""),"Front of School")</f>
        <v>Front of School</v>
      </c>
      <c r="Q1424" s="5" t="str">
        <f ca="1">IFERROR(__xludf.DUMMYFUNCTION("""COMPUTED_VALUE"""),"Outside on School Property")</f>
        <v>Outside on School Property</v>
      </c>
      <c r="R1424" s="5" t="str">
        <f ca="1">IFERROR(__xludf.DUMMYFUNCTION("""COMPUTED_VALUE"""),"Yes")</f>
        <v>Yes</v>
      </c>
      <c r="S1424" s="5" t="str">
        <f ca="1">IFERROR(__xludf.DUMMYFUNCTION("""COMPUTED_VALUE"""),"Dismissal")</f>
        <v>Dismissal</v>
      </c>
      <c r="T1424" s="5"/>
      <c r="U1424" s="5">
        <f ca="1">IFERROR(__xludf.DUMMYFUNCTION("""COMPUTED_VALUE"""),1)</f>
        <v>1</v>
      </c>
      <c r="V1424" s="5" t="str">
        <f ca="1">IFERROR(__xludf.DUMMYFUNCTION("""COMPUTED_VALUE"""),"Shooter targeted victim he was fighting with, missed and hit female student")</f>
        <v>Shooter targeted victim he was fighting with, missed and hit female student</v>
      </c>
      <c r="W1424"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X1424" s="5" t="str">
        <f ca="1">IFERROR(__xludf.DUMMYFUNCTION("""COMPUTED_VALUE"""),"Escalation of Dispute")</f>
        <v>Escalation of Dispute</v>
      </c>
      <c r="Y1424" s="5" t="str">
        <f ca="1">IFERROR(__xludf.DUMMYFUNCTION("""COMPUTED_VALUE"""),"Both")</f>
        <v>Both</v>
      </c>
      <c r="Z1424" s="5" t="str">
        <f ca="1">IFERROR(__xludf.DUMMYFUNCTION("""COMPUTED_VALUE"""),"No")</f>
        <v>No</v>
      </c>
      <c r="AA1424" s="5"/>
      <c r="AB1424" s="5" t="str">
        <f ca="1">IFERROR(__xludf.DUMMYFUNCTION("""COMPUTED_VALUE"""),"No")</f>
        <v>No</v>
      </c>
      <c r="AC1424" s="5" t="str">
        <f ca="1">IFERROR(__xludf.DUMMYFUNCTION("""COMPUTED_VALUE"""),"No")</f>
        <v>No</v>
      </c>
      <c r="AD1424" s="5" t="str">
        <f ca="1">IFERROR(__xludf.DUMMYFUNCTION("""COMPUTED_VALUE"""),"No")</f>
        <v>No</v>
      </c>
      <c r="AE1424" s="5" t="str">
        <f ca="1">IFERROR(__xludf.DUMMYFUNCTION("""COMPUTED_VALUE"""),"No")</f>
        <v>No</v>
      </c>
      <c r="AF1424" s="5" t="str">
        <f ca="1">IFERROR(__xludf.DUMMYFUNCTION("""COMPUTED_VALUE"""),"No")</f>
        <v>No</v>
      </c>
      <c r="AG1424" s="5" t="str">
        <f ca="1">IFERROR(__xludf.DUMMYFUNCTION("""COMPUTED_VALUE"""),"No")</f>
        <v>No</v>
      </c>
      <c r="AH1424" s="5"/>
    </row>
    <row r="1425" spans="1:34" ht="12.75">
      <c r="A1425" s="5" t="str">
        <f ca="1">IFERROR(__xludf.DUMMYFUNCTION("""COMPUTED_VALUE"""),"20000126CAALM")</f>
        <v>20000126CAALM</v>
      </c>
      <c r="B1425" s="8">
        <f ca="1">IFERROR(__xludf.DUMMYFUNCTION("""COMPUTED_VALUE"""),36551)</f>
        <v>36551</v>
      </c>
      <c r="C1425" s="5" t="str">
        <f ca="1">IFERROR(__xludf.DUMMYFUNCTION("""COMPUTED_VALUE"""),"Alicia Reyes Elementary School")</f>
        <v>Alicia Reyes Elementary School</v>
      </c>
      <c r="D1425" s="5">
        <f ca="1">IFERROR(__xludf.DUMMYFUNCTION("""COMPUTED_VALUE"""),0)</f>
        <v>0</v>
      </c>
      <c r="E1425" s="5">
        <f ca="1">IFERROR(__xludf.DUMMYFUNCTION("""COMPUTED_VALUE"""),0)</f>
        <v>0</v>
      </c>
      <c r="F1425" s="5">
        <f ca="1">IFERROR(__xludf.DUMMYFUNCTION("""COMPUTED_VALUE"""),0)</f>
        <v>0</v>
      </c>
      <c r="G1425" s="5">
        <f ca="1">IFERROR(__xludf.DUMMYFUNCTION("""COMPUTED_VALUE"""),0)</f>
        <v>0</v>
      </c>
      <c r="H1425"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I1425" s="5"/>
      <c r="J1425" s="5" t="str">
        <f ca="1">IFERROR(__xludf.DUMMYFUNCTION("""COMPUTED_VALUE"""),"Local")</f>
        <v>Local</v>
      </c>
      <c r="K1425" s="5">
        <f ca="1">IFERROR(__xludf.DUMMYFUNCTION("""COMPUTED_VALUE"""),1)</f>
        <v>1</v>
      </c>
      <c r="L1425" s="5" t="str">
        <f ca="1">IFERROR(__xludf.DUMMYFUNCTION("""COMPUTED_VALUE"""),"Winter")</f>
        <v>Winter</v>
      </c>
      <c r="M1425" s="5" t="str">
        <f ca="1">IFERROR(__xludf.DUMMYFUNCTION("""COMPUTED_VALUE"""),"Merced")</f>
        <v>Merced</v>
      </c>
      <c r="N1425" s="5" t="str">
        <f ca="1">IFERROR(__xludf.DUMMYFUNCTION("""COMPUTED_VALUE"""),"CA")</f>
        <v>CA</v>
      </c>
      <c r="O1425" s="5" t="str">
        <f ca="1">IFERROR(__xludf.DUMMYFUNCTION("""COMPUTED_VALUE"""),"Elementary")</f>
        <v>Elementary</v>
      </c>
      <c r="P1425" s="5" t="str">
        <f ca="1">IFERROR(__xludf.DUMMYFUNCTION("""COMPUTED_VALUE"""),"Parking Lot")</f>
        <v>Parking Lot</v>
      </c>
      <c r="Q1425" s="5" t="str">
        <f ca="1">IFERROR(__xludf.DUMMYFUNCTION("""COMPUTED_VALUE"""),"Outside on School Property")</f>
        <v>Outside on School Property</v>
      </c>
      <c r="R1425" s="5" t="str">
        <f ca="1">IFERROR(__xludf.DUMMYFUNCTION("""COMPUTED_VALUE"""),"Yes")</f>
        <v>Yes</v>
      </c>
      <c r="S1425" s="5" t="str">
        <f ca="1">IFERROR(__xludf.DUMMYFUNCTION("""COMPUTED_VALUE"""),"School Start")</f>
        <v>School Start</v>
      </c>
      <c r="T1425" s="10">
        <f ca="1">IFERROR(__xludf.DUMMYFUNCTION("""COMPUTED_VALUE"""),0.356944444444444)</f>
        <v>0.35694444444444401</v>
      </c>
      <c r="U1425" s="5">
        <f ca="1">IFERROR(__xludf.DUMMYFUNCTION("""COMPUTED_VALUE"""),1)</f>
        <v>1</v>
      </c>
      <c r="V1425" s="5" t="str">
        <f ca="1">IFERROR(__xludf.DUMMYFUNCTION("""COMPUTED_VALUE"""),"Ongoing dispute that escalated")</f>
        <v>Ongoing dispute that escalated</v>
      </c>
      <c r="W1425"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X1425" s="5" t="str">
        <f ca="1">IFERROR(__xludf.DUMMYFUNCTION("""COMPUTED_VALUE"""),"Escalation of Dispute")</f>
        <v>Escalation of Dispute</v>
      </c>
      <c r="Y1425" s="5" t="str">
        <f ca="1">IFERROR(__xludf.DUMMYFUNCTION("""COMPUTED_VALUE"""),"Victims Targeted")</f>
        <v>Victims Targeted</v>
      </c>
      <c r="Z1425" s="5" t="str">
        <f ca="1">IFERROR(__xludf.DUMMYFUNCTION("""COMPUTED_VALUE"""),"No")</f>
        <v>No</v>
      </c>
      <c r="AA1425" s="5"/>
      <c r="AB1425" s="5" t="str">
        <f ca="1">IFERROR(__xludf.DUMMYFUNCTION("""COMPUTED_VALUE"""),"No")</f>
        <v>No</v>
      </c>
      <c r="AC1425" s="5" t="str">
        <f ca="1">IFERROR(__xludf.DUMMYFUNCTION("""COMPUTED_VALUE"""),"No")</f>
        <v>No</v>
      </c>
      <c r="AD1425" s="5" t="str">
        <f ca="1">IFERROR(__xludf.DUMMYFUNCTION("""COMPUTED_VALUE"""),"No")</f>
        <v>No</v>
      </c>
      <c r="AE1425" s="5" t="str">
        <f ca="1">IFERROR(__xludf.DUMMYFUNCTION("""COMPUTED_VALUE"""),"Yes")</f>
        <v>Yes</v>
      </c>
      <c r="AF1425" s="5" t="str">
        <f ca="1">IFERROR(__xludf.DUMMYFUNCTION("""COMPUTED_VALUE"""),"No")</f>
        <v>No</v>
      </c>
      <c r="AG1425" s="5" t="str">
        <f ca="1">IFERROR(__xludf.DUMMYFUNCTION("""COMPUTED_VALUE"""),"No")</f>
        <v>No</v>
      </c>
      <c r="AH1425" s="5"/>
    </row>
    <row r="1426" spans="1:34" ht="12.75">
      <c r="A1426" s="5" t="str">
        <f ca="1">IFERROR(__xludf.DUMMYFUNCTION("""COMPUTED_VALUE"""),"20000120NCERA")</f>
        <v>20000120NCERA</v>
      </c>
      <c r="B1426" s="8">
        <f ca="1">IFERROR(__xludf.DUMMYFUNCTION("""COMPUTED_VALUE"""),36545)</f>
        <v>36545</v>
      </c>
      <c r="C1426" s="5" t="str">
        <f ca="1">IFERROR(__xludf.DUMMYFUNCTION("""COMPUTED_VALUE"""),"Erwin High School")</f>
        <v>Erwin High School</v>
      </c>
      <c r="D1426" s="5">
        <f ca="1">IFERROR(__xludf.DUMMYFUNCTION("""COMPUTED_VALUE"""),0)</f>
        <v>0</v>
      </c>
      <c r="E1426" s="5">
        <f ca="1">IFERROR(__xludf.DUMMYFUNCTION("""COMPUTED_VALUE"""),0)</f>
        <v>0</v>
      </c>
      <c r="F1426" s="5">
        <f ca="1">IFERROR(__xludf.DUMMYFUNCTION("""COMPUTED_VALUE"""),0)</f>
        <v>0</v>
      </c>
      <c r="G1426" s="5">
        <f ca="1">IFERROR(__xludf.DUMMYFUNCTION("""COMPUTED_VALUE"""),0)</f>
        <v>0</v>
      </c>
      <c r="H1426" s="9" t="str">
        <f ca="1">IFERROR(__xludf.DUMMYFUNCTION("""COMPUTED_VALUE"""),"https://www.newspapers.com/image/197812875/?terms=Erwin%2BHigh%2BSchool%2Bshooting")</f>
        <v>https://www.newspapers.com/image/197812875/?terms=Erwin%2BHigh%2BSchool%2Bshooting</v>
      </c>
      <c r="I1426" s="5"/>
      <c r="J1426" s="5"/>
      <c r="K1426" s="5">
        <f ca="1">IFERROR(__xludf.DUMMYFUNCTION("""COMPUTED_VALUE"""),2)</f>
        <v>2</v>
      </c>
      <c r="L1426" s="5" t="str">
        <f ca="1">IFERROR(__xludf.DUMMYFUNCTION("""COMPUTED_VALUE"""),"Winter")</f>
        <v>Winter</v>
      </c>
      <c r="M1426" s="5" t="str">
        <f ca="1">IFERROR(__xludf.DUMMYFUNCTION("""COMPUTED_VALUE"""),"Asheville")</f>
        <v>Asheville</v>
      </c>
      <c r="N1426" s="5" t="str">
        <f ca="1">IFERROR(__xludf.DUMMYFUNCTION("""COMPUTED_VALUE"""),"NC")</f>
        <v>NC</v>
      </c>
      <c r="O1426" s="5" t="str">
        <f ca="1">IFERROR(__xludf.DUMMYFUNCTION("""COMPUTED_VALUE"""),"High")</f>
        <v>High</v>
      </c>
      <c r="P1426" s="5" t="str">
        <f ca="1">IFERROR(__xludf.DUMMYFUNCTION("""COMPUTED_VALUE"""),"Gym")</f>
        <v>Gym</v>
      </c>
      <c r="Q1426" s="5" t="str">
        <f ca="1">IFERROR(__xludf.DUMMYFUNCTION("""COMPUTED_VALUE"""),"Inside School Building")</f>
        <v>Inside School Building</v>
      </c>
      <c r="R1426" s="5" t="str">
        <f ca="1">IFERROR(__xludf.DUMMYFUNCTION("""COMPUTED_VALUE"""),"No")</f>
        <v>No</v>
      </c>
      <c r="S1426" s="5" t="str">
        <f ca="1">IFERROR(__xludf.DUMMYFUNCTION("""COMPUTED_VALUE"""),"Evening")</f>
        <v>Evening</v>
      </c>
      <c r="T1426" s="5"/>
      <c r="U1426" s="5"/>
      <c r="V1426" s="5" t="str">
        <f ca="1">IFERROR(__xludf.DUMMYFUNCTION("""COMPUTED_VALUE"""),"Fired rifle into school building, made bomb threat")</f>
        <v>Fired rifle into school building, made bomb threat</v>
      </c>
      <c r="W1426"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X1426" s="5" t="str">
        <f ca="1">IFERROR(__xludf.DUMMYFUNCTION("""COMPUTED_VALUE"""),"Indiscriminate Shooting")</f>
        <v>Indiscriminate Shooting</v>
      </c>
      <c r="Y1426" s="5" t="str">
        <f ca="1">IFERROR(__xludf.DUMMYFUNCTION("""COMPUTED_VALUE"""),"Random Shooting")</f>
        <v>Random Shooting</v>
      </c>
      <c r="Z1426" s="5" t="str">
        <f ca="1">IFERROR(__xludf.DUMMYFUNCTION("""COMPUTED_VALUE"""),"Yes")</f>
        <v>Yes</v>
      </c>
      <c r="AA1426" s="5" t="str">
        <f ca="1">IFERROR(__xludf.DUMMYFUNCTION("""COMPUTED_VALUE"""),"Three other teens charged with conspiracy")</f>
        <v>Three other teens charged with conspiracy</v>
      </c>
      <c r="AB1426" s="5" t="str">
        <f ca="1">IFERROR(__xludf.DUMMYFUNCTION("""COMPUTED_VALUE"""),"No")</f>
        <v>No</v>
      </c>
      <c r="AC1426" s="5" t="str">
        <f ca="1">IFERROR(__xludf.DUMMYFUNCTION("""COMPUTED_VALUE"""),"No")</f>
        <v>No</v>
      </c>
      <c r="AD1426" s="5" t="str">
        <f ca="1">IFERROR(__xludf.DUMMYFUNCTION("""COMPUTED_VALUE"""),"No")</f>
        <v>No</v>
      </c>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IFERROR(__xludf.DUMMYFUNCTION("""COMPUTED_VALUE"""),"Yes")</f>
        <v>Yes</v>
      </c>
    </row>
    <row r="1427" spans="1:34" ht="12.75">
      <c r="A1427" s="5" t="str">
        <f ca="1">IFERROR(__xludf.DUMMYFUNCTION("""COMPUTED_VALUE"""),"20000119FLRIN")</f>
        <v>20000119FLRIN</v>
      </c>
      <c r="B1427" s="8">
        <f ca="1">IFERROR(__xludf.DUMMYFUNCTION("""COMPUTED_VALUE"""),36544)</f>
        <v>36544</v>
      </c>
      <c r="C1427" s="5" t="str">
        <f ca="1">IFERROR(__xludf.DUMMYFUNCTION("""COMPUTED_VALUE"""),"Ridgewood High School")</f>
        <v>Ridgewood High School</v>
      </c>
      <c r="D1427" s="5">
        <f ca="1">IFERROR(__xludf.DUMMYFUNCTION("""COMPUTED_VALUE"""),1)</f>
        <v>1</v>
      </c>
      <c r="E1427" s="5">
        <f ca="1">IFERROR(__xludf.DUMMYFUNCTION("""COMPUTED_VALUE"""),0)</f>
        <v>0</v>
      </c>
      <c r="F1427" s="5">
        <f ca="1">IFERROR(__xludf.DUMMYFUNCTION("""COMPUTED_VALUE"""),1)</f>
        <v>1</v>
      </c>
      <c r="G1427" s="5">
        <f ca="1">IFERROR(__xludf.DUMMYFUNCTION("""COMPUTED_VALUE"""),0)</f>
        <v>0</v>
      </c>
      <c r="H1427" s="9" t="str">
        <f ca="1">IFERROR(__xludf.DUMMYFUNCTION("""COMPUTED_VALUE"""),"http://www.tbo.com/pasco-county/teen-who-accidentally-shot-friend-lands-in-jail-as-adult-87255")</f>
        <v>http://www.tbo.com/pasco-county/teen-who-accidentally-shot-friend-lands-in-jail-as-adult-87255</v>
      </c>
      <c r="I1427" s="5"/>
      <c r="J1427" s="5"/>
      <c r="K1427" s="5">
        <f ca="1">IFERROR(__xludf.DUMMYFUNCTION("""COMPUTED_VALUE"""),2)</f>
        <v>2</v>
      </c>
      <c r="L1427" s="5" t="str">
        <f ca="1">IFERROR(__xludf.DUMMYFUNCTION("""COMPUTED_VALUE"""),"Winter")</f>
        <v>Winter</v>
      </c>
      <c r="M1427" s="5" t="str">
        <f ca="1">IFERROR(__xludf.DUMMYFUNCTION("""COMPUTED_VALUE"""),"New Port Richey")</f>
        <v>New Port Richey</v>
      </c>
      <c r="N1427" s="5" t="str">
        <f ca="1">IFERROR(__xludf.DUMMYFUNCTION("""COMPUTED_VALUE"""),"FL")</f>
        <v>FL</v>
      </c>
      <c r="O1427" s="5" t="str">
        <f ca="1">IFERROR(__xludf.DUMMYFUNCTION("""COMPUTED_VALUE"""),"High")</f>
        <v>High</v>
      </c>
      <c r="P1427" s="5" t="str">
        <f ca="1">IFERROR(__xludf.DUMMYFUNCTION("""COMPUTED_VALUE"""),"Outside on School Property")</f>
        <v>Outside on School Property</v>
      </c>
      <c r="Q1427" s="5" t="str">
        <f ca="1">IFERROR(__xludf.DUMMYFUNCTION("""COMPUTED_VALUE"""),"Outside on School Property")</f>
        <v>Outside on School Property</v>
      </c>
      <c r="R1427" s="5" t="str">
        <f ca="1">IFERROR(__xludf.DUMMYFUNCTION("""COMPUTED_VALUE"""),"Yes")</f>
        <v>Yes</v>
      </c>
      <c r="S1427" s="5" t="str">
        <f ca="1">IFERROR(__xludf.DUMMYFUNCTION("""COMPUTED_VALUE"""),"After School")</f>
        <v>After School</v>
      </c>
      <c r="T1427" s="10">
        <f ca="1">IFERROR(__xludf.DUMMYFUNCTION("""COMPUTED_VALUE"""),0.625)</f>
        <v>0.625</v>
      </c>
      <c r="U1427" s="5">
        <f ca="1">IFERROR(__xludf.DUMMYFUNCTION("""COMPUTED_VALUE"""),1)</f>
        <v>1</v>
      </c>
      <c r="V1427" s="5" t="str">
        <f ca="1">IFERROR(__xludf.DUMMYFUNCTION("""COMPUTED_VALUE"""),"Accidental discharge while passing pistol to friend in parking lot")</f>
        <v>Accidental discharge while passing pistol to friend in parking lot</v>
      </c>
      <c r="W1427"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X1427" s="5" t="str">
        <f ca="1">IFERROR(__xludf.DUMMYFUNCTION("""COMPUTED_VALUE"""),"Accidental")</f>
        <v>Accidental</v>
      </c>
      <c r="Y1427" s="5" t="str">
        <f ca="1">IFERROR(__xludf.DUMMYFUNCTION("""COMPUTED_VALUE"""),"Random Shooting")</f>
        <v>Random Shooting</v>
      </c>
      <c r="Z1427" s="5" t="str">
        <f ca="1">IFERROR(__xludf.DUMMYFUNCTION("""COMPUTED_VALUE"""),"No")</f>
        <v>No</v>
      </c>
      <c r="AA1427" s="5"/>
      <c r="AB1427" s="5" t="str">
        <f ca="1">IFERROR(__xludf.DUMMYFUNCTION("""COMPUTED_VALUE"""),"No")</f>
        <v>No</v>
      </c>
      <c r="AC1427" s="5" t="str">
        <f ca="1">IFERROR(__xludf.DUMMYFUNCTION("""COMPUTED_VALUE"""),"No")</f>
        <v>No</v>
      </c>
      <c r="AD1427" s="5" t="str">
        <f ca="1">IFERROR(__xludf.DUMMYFUNCTION("""COMPUTED_VALUE"""),"No")</f>
        <v>No</v>
      </c>
      <c r="AE1427" s="5" t="str">
        <f ca="1">IFERROR(__xludf.DUMMYFUNCTION("""COMPUTED_VALUE"""),"No")</f>
        <v>No</v>
      </c>
      <c r="AF1427" s="5" t="str">
        <f ca="1">IFERROR(__xludf.DUMMYFUNCTION("""COMPUTED_VALUE"""),"No")</f>
        <v>No</v>
      </c>
      <c r="AG1427" s="5" t="str">
        <f ca="1">IFERROR(__xludf.DUMMYFUNCTION("""COMPUTED_VALUE"""),"No")</f>
        <v>No</v>
      </c>
      <c r="AH1427" s="5"/>
    </row>
    <row r="1428" spans="1:34" ht="12.75">
      <c r="A1428" s="5" t="str">
        <f ca="1">IFERROR(__xludf.DUMMYFUNCTION("""COMPUTED_VALUE"""),"20000113NMALA")</f>
        <v>20000113NMALA</v>
      </c>
      <c r="B1428" s="8">
        <f ca="1">IFERROR(__xludf.DUMMYFUNCTION("""COMPUTED_VALUE"""),36538)</f>
        <v>36538</v>
      </c>
      <c r="C1428" s="5" t="str">
        <f ca="1">IFERROR(__xludf.DUMMYFUNCTION("""COMPUTED_VALUE"""),"Albuquerque High School")</f>
        <v>Albuquerque High School</v>
      </c>
      <c r="D1428" s="5">
        <f ca="1">IFERROR(__xludf.DUMMYFUNCTION("""COMPUTED_VALUE"""),0)</f>
        <v>0</v>
      </c>
      <c r="E1428" s="5">
        <f ca="1">IFERROR(__xludf.DUMMYFUNCTION("""COMPUTED_VALUE"""),0)</f>
        <v>0</v>
      </c>
      <c r="F1428" s="5">
        <f ca="1">IFERROR(__xludf.DUMMYFUNCTION("""COMPUTED_VALUE"""),0)</f>
        <v>0</v>
      </c>
      <c r="G1428" s="5">
        <f ca="1">IFERROR(__xludf.DUMMYFUNCTION("""COMPUTED_VALUE"""),0)</f>
        <v>0</v>
      </c>
      <c r="H1428" s="9" t="str">
        <f ca="1">IFERROR(__xludf.DUMMYFUNCTION("""COMPUTED_VALUE"""),"https://www.newspapers.com/image/342081991/?terms=Albuquerque%2BHigh%2BSchool%2Bshooting")</f>
        <v>https://www.newspapers.com/image/342081991/?terms=Albuquerque%2BHigh%2BSchool%2Bshooting</v>
      </c>
      <c r="I1428" s="5"/>
      <c r="J1428" s="5"/>
      <c r="K1428" s="5">
        <f ca="1">IFERROR(__xludf.DUMMYFUNCTION("""COMPUTED_VALUE"""),2)</f>
        <v>2</v>
      </c>
      <c r="L1428" s="5" t="str">
        <f ca="1">IFERROR(__xludf.DUMMYFUNCTION("""COMPUTED_VALUE"""),"Winter")</f>
        <v>Winter</v>
      </c>
      <c r="M1428" s="5" t="str">
        <f ca="1">IFERROR(__xludf.DUMMYFUNCTION("""COMPUTED_VALUE"""),"Albuquerque")</f>
        <v>Albuquerque</v>
      </c>
      <c r="N1428" s="5" t="str">
        <f ca="1">IFERROR(__xludf.DUMMYFUNCTION("""COMPUTED_VALUE"""),"NM")</f>
        <v>NM</v>
      </c>
      <c r="O1428" s="5" t="str">
        <f ca="1">IFERROR(__xludf.DUMMYFUNCTION("""COMPUTED_VALUE"""),"High")</f>
        <v>High</v>
      </c>
      <c r="P1428" s="5" t="str">
        <f ca="1">IFERROR(__xludf.DUMMYFUNCTION("""COMPUTED_VALUE"""),"Parking Lot")</f>
        <v>Parking Lot</v>
      </c>
      <c r="Q1428" s="5" t="str">
        <f ca="1">IFERROR(__xludf.DUMMYFUNCTION("""COMPUTED_VALUE"""),"Outside on School Property")</f>
        <v>Outside on School Property</v>
      </c>
      <c r="R1428" s="5" t="str">
        <f ca="1">IFERROR(__xludf.DUMMYFUNCTION("""COMPUTED_VALUE"""),"Yes")</f>
        <v>Yes</v>
      </c>
      <c r="S1428" s="5" t="str">
        <f ca="1">IFERROR(__xludf.DUMMYFUNCTION("""COMPUTED_VALUE"""),"Lunch")</f>
        <v>Lunch</v>
      </c>
      <c r="T1428" s="10">
        <f ca="1">IFERROR(__xludf.DUMMYFUNCTION("""COMPUTED_VALUE"""),0.520833333333333)</f>
        <v>0.52083333333333304</v>
      </c>
      <c r="U1428" s="5">
        <f ca="1">IFERROR(__xludf.DUMMYFUNCTION("""COMPUTED_VALUE"""),1)</f>
        <v>1</v>
      </c>
      <c r="V1428" s="5" t="str">
        <f ca="1">IFERROR(__xludf.DUMMYFUNCTION("""COMPUTED_VALUE"""),"Four students from another high school involved in fight in parking lot, shots fired")</f>
        <v>Four students from another high school involved in fight in parking lot, shots fired</v>
      </c>
      <c r="W1428"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X1428" s="5" t="str">
        <f ca="1">IFERROR(__xludf.DUMMYFUNCTION("""COMPUTED_VALUE"""),"Escalation of Dispute")</f>
        <v>Escalation of Dispute</v>
      </c>
      <c r="Y1428" s="5" t="str">
        <f ca="1">IFERROR(__xludf.DUMMYFUNCTION("""COMPUTED_VALUE"""),"Victims Targeted")</f>
        <v>Victims Targeted</v>
      </c>
      <c r="Z1428" s="5" t="str">
        <f ca="1">IFERROR(__xludf.DUMMYFUNCTION("""COMPUTED_VALUE"""),"Yes")</f>
        <v>Yes</v>
      </c>
      <c r="AA1428" s="5" t="str">
        <f ca="1">IFERROR(__xludf.DUMMYFUNCTION("""COMPUTED_VALUE"""),"Four youths involved, unclear who was shooter (16, 16, 15, UNK)")</f>
        <v>Four youths involved, unclear who was shooter (16, 16, 15, UNK)</v>
      </c>
      <c r="AB1428" s="5" t="str">
        <f ca="1">IFERROR(__xludf.DUMMYFUNCTION("""COMPUTED_VALUE"""),"No")</f>
        <v>No</v>
      </c>
      <c r="AC1428" s="5" t="str">
        <f ca="1">IFERROR(__xludf.DUMMYFUNCTION("""COMPUTED_VALUE"""),"No")</f>
        <v>No</v>
      </c>
      <c r="AD1428" s="5" t="str">
        <f ca="1">IFERROR(__xludf.DUMMYFUNCTION("""COMPUTED_VALUE"""),"No")</f>
        <v>No</v>
      </c>
      <c r="AE1428" s="5" t="str">
        <f ca="1">IFERROR(__xludf.DUMMYFUNCTION("""COMPUTED_VALUE"""),"No")</f>
        <v>No</v>
      </c>
      <c r="AF1428" s="5" t="str">
        <f ca="1">IFERROR(__xludf.DUMMYFUNCTION("""COMPUTED_VALUE"""),"No")</f>
        <v>No</v>
      </c>
      <c r="AG1428" s="5" t="str">
        <f ca="1">IFERROR(__xludf.DUMMYFUNCTION("""COMPUTED_VALUE"""),"Yes")</f>
        <v>Yes</v>
      </c>
      <c r="AH1428" s="5"/>
    </row>
    <row r="1429" spans="1:34" ht="12.75">
      <c r="A1429" s="5" t="str">
        <f ca="1">IFERROR(__xludf.DUMMYFUNCTION("""COMPUTED_VALUE"""),"20000110AKBAA")</f>
        <v>20000110AKBAA</v>
      </c>
      <c r="B1429" s="8">
        <f ca="1">IFERROR(__xludf.DUMMYFUNCTION("""COMPUTED_VALUE"""),36535)</f>
        <v>36535</v>
      </c>
      <c r="C1429" s="5" t="str">
        <f ca="1">IFERROR(__xludf.DUMMYFUNCTION("""COMPUTED_VALUE"""),"Bartlett High School")</f>
        <v>Bartlett High School</v>
      </c>
      <c r="D1429" s="5">
        <f ca="1">IFERROR(__xludf.DUMMYFUNCTION("""COMPUTED_VALUE"""),0)</f>
        <v>0</v>
      </c>
      <c r="E1429" s="5">
        <f ca="1">IFERROR(__xludf.DUMMYFUNCTION("""COMPUTED_VALUE"""),0)</f>
        <v>0</v>
      </c>
      <c r="F1429" s="5">
        <f ca="1">IFERROR(__xludf.DUMMYFUNCTION("""COMPUTED_VALUE"""),0)</f>
        <v>0</v>
      </c>
      <c r="G1429" s="5">
        <f ca="1">IFERROR(__xludf.DUMMYFUNCTION("""COMPUTED_VALUE"""),0)</f>
        <v>0</v>
      </c>
      <c r="H1429"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I1429" s="5"/>
      <c r="J1429" s="5"/>
      <c r="K1429" s="5">
        <f ca="1">IFERROR(__xludf.DUMMYFUNCTION("""COMPUTED_VALUE"""),1)</f>
        <v>1</v>
      </c>
      <c r="L1429" s="5" t="str">
        <f ca="1">IFERROR(__xludf.DUMMYFUNCTION("""COMPUTED_VALUE"""),"Winter")</f>
        <v>Winter</v>
      </c>
      <c r="M1429" s="5" t="str">
        <f ca="1">IFERROR(__xludf.DUMMYFUNCTION("""COMPUTED_VALUE"""),"Anchorage")</f>
        <v>Anchorage</v>
      </c>
      <c r="N1429" s="5" t="str">
        <f ca="1">IFERROR(__xludf.DUMMYFUNCTION("""COMPUTED_VALUE"""),"AK")</f>
        <v>AK</v>
      </c>
      <c r="O1429" s="5" t="str">
        <f ca="1">IFERROR(__xludf.DUMMYFUNCTION("""COMPUTED_VALUE"""),"High")</f>
        <v>High</v>
      </c>
      <c r="P1429" s="5" t="str">
        <f ca="1">IFERROR(__xludf.DUMMYFUNCTION("""COMPUTED_VALUE"""),"Beside Building")</f>
        <v>Beside Building</v>
      </c>
      <c r="Q1429" s="5" t="str">
        <f ca="1">IFERROR(__xludf.DUMMYFUNCTION("""COMPUTED_VALUE"""),"Outside on School Property")</f>
        <v>Outside on School Property</v>
      </c>
      <c r="R1429" s="5" t="str">
        <f ca="1">IFERROR(__xludf.DUMMYFUNCTION("""COMPUTED_VALUE"""),"No")</f>
        <v>No</v>
      </c>
      <c r="S1429" s="5" t="str">
        <f ca="1">IFERROR(__xludf.DUMMYFUNCTION("""COMPUTED_VALUE"""),"After School")</f>
        <v>After School</v>
      </c>
      <c r="T1429" s="5"/>
      <c r="U1429" s="5">
        <f ca="1">IFERROR(__xludf.DUMMYFUNCTION("""COMPUTED_VALUE"""),1)</f>
        <v>1</v>
      </c>
      <c r="V1429" s="5" t="str">
        <f ca="1">IFERROR(__xludf.DUMMYFUNCTION("""COMPUTED_VALUE"""),"Fight between students, shooter fired two shots that missed target and fled")</f>
        <v>Fight between students, shooter fired two shots that missed target and fled</v>
      </c>
      <c r="W1429"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X1429" s="5" t="str">
        <f ca="1">IFERROR(__xludf.DUMMYFUNCTION("""COMPUTED_VALUE"""),"Escalation of Dispute")</f>
        <v>Escalation of Dispute</v>
      </c>
      <c r="Y1429" s="5" t="str">
        <f ca="1">IFERROR(__xludf.DUMMYFUNCTION("""COMPUTED_VALUE"""),"Victims Targeted")</f>
        <v>Victims Targeted</v>
      </c>
      <c r="Z1429" s="5" t="str">
        <f ca="1">IFERROR(__xludf.DUMMYFUNCTION("""COMPUTED_VALUE"""),"No")</f>
        <v>No</v>
      </c>
      <c r="AA1429" s="5"/>
      <c r="AB1429" s="5" t="str">
        <f ca="1">IFERROR(__xludf.DUMMYFUNCTION("""COMPUTED_VALUE"""),"No")</f>
        <v>No</v>
      </c>
      <c r="AC1429" s="5" t="str">
        <f ca="1">IFERROR(__xludf.DUMMYFUNCTION("""COMPUTED_VALUE"""),"No")</f>
        <v>No</v>
      </c>
      <c r="AD1429" s="5" t="str">
        <f ca="1">IFERROR(__xludf.DUMMYFUNCTION("""COMPUTED_VALUE"""),"No")</f>
        <v>No</v>
      </c>
      <c r="AE1429" s="5" t="str">
        <f ca="1">IFERROR(__xludf.DUMMYFUNCTION("""COMPUTED_VALUE"""),"No")</f>
        <v>No</v>
      </c>
      <c r="AF1429" s="5" t="str">
        <f ca="1">IFERROR(__xludf.DUMMYFUNCTION("""COMPUTED_VALUE"""),"No")</f>
        <v>No</v>
      </c>
      <c r="AG1429" s="5" t="str">
        <f ca="1">IFERROR(__xludf.DUMMYFUNCTION("""COMPUTED_VALUE"""),"No")</f>
        <v>No</v>
      </c>
      <c r="AH1429" s="5"/>
    </row>
    <row r="1430" spans="1:34" ht="12.75">
      <c r="A1430" s="5" t="str">
        <f ca="1">IFERROR(__xludf.DUMMYFUNCTION("""COMPUTED_VALUE"""),"19991206OKFOF")</f>
        <v>19991206OKFOF</v>
      </c>
      <c r="B1430" s="8">
        <f ca="1">IFERROR(__xludf.DUMMYFUNCTION("""COMPUTED_VALUE"""),36500)</f>
        <v>36500</v>
      </c>
      <c r="C1430" s="5" t="str">
        <f ca="1">IFERROR(__xludf.DUMMYFUNCTION("""COMPUTED_VALUE"""),"Fort Gibson Middle School")</f>
        <v>Fort Gibson Middle School</v>
      </c>
      <c r="D1430" s="5">
        <f ca="1">IFERROR(__xludf.DUMMYFUNCTION("""COMPUTED_VALUE"""),0)</f>
        <v>0</v>
      </c>
      <c r="E1430" s="5">
        <f ca="1">IFERROR(__xludf.DUMMYFUNCTION("""COMPUTED_VALUE"""),5)</f>
        <v>5</v>
      </c>
      <c r="F1430" s="5">
        <f ca="1">IFERROR(__xludf.DUMMYFUNCTION("""COMPUTED_VALUE"""),5)</f>
        <v>5</v>
      </c>
      <c r="G1430" s="5">
        <f ca="1">IFERROR(__xludf.DUMMYFUNCTION("""COMPUTED_VALUE"""),0)</f>
        <v>0</v>
      </c>
      <c r="H1430"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I1430" s="5"/>
      <c r="J1430" s="5"/>
      <c r="K1430" s="5">
        <f ca="1">IFERROR(__xludf.DUMMYFUNCTION("""COMPUTED_VALUE"""),5)</f>
        <v>5</v>
      </c>
      <c r="L1430" s="5" t="str">
        <f ca="1">IFERROR(__xludf.DUMMYFUNCTION("""COMPUTED_VALUE"""),"Winter")</f>
        <v>Winter</v>
      </c>
      <c r="M1430" s="5" t="str">
        <f ca="1">IFERROR(__xludf.DUMMYFUNCTION("""COMPUTED_VALUE"""),"Fort Gibson")</f>
        <v>Fort Gibson</v>
      </c>
      <c r="N1430" s="5" t="str">
        <f ca="1">IFERROR(__xludf.DUMMYFUNCTION("""COMPUTED_VALUE"""),"OK")</f>
        <v>OK</v>
      </c>
      <c r="O1430" s="5" t="str">
        <f ca="1">IFERROR(__xludf.DUMMYFUNCTION("""COMPUTED_VALUE"""),"Middle")</f>
        <v>Middle</v>
      </c>
      <c r="P1430" s="5" t="str">
        <f ca="1">IFERROR(__xludf.DUMMYFUNCTION("""COMPUTED_VALUE"""),"Front of School")</f>
        <v>Front of School</v>
      </c>
      <c r="Q1430" s="5" t="str">
        <f ca="1">IFERROR(__xludf.DUMMYFUNCTION("""COMPUTED_VALUE"""),"Outside on School Property")</f>
        <v>Outside on School Property</v>
      </c>
      <c r="R1430" s="5" t="str">
        <f ca="1">IFERROR(__xludf.DUMMYFUNCTION("""COMPUTED_VALUE"""),"Yes")</f>
        <v>Yes</v>
      </c>
      <c r="S1430" s="5" t="str">
        <f ca="1">IFERROR(__xludf.DUMMYFUNCTION("""COMPUTED_VALUE"""),"School Start")</f>
        <v>School Start</v>
      </c>
      <c r="T1430" s="10">
        <f ca="1">IFERROR(__xludf.DUMMYFUNCTION("""COMPUTED_VALUE"""),0.322916666666666)</f>
        <v>0.32291666666666602</v>
      </c>
      <c r="U1430" s="5">
        <f ca="1">IFERROR(__xludf.DUMMYFUNCTION("""COMPUTED_VALUE"""),1)</f>
        <v>1</v>
      </c>
      <c r="V1430" s="5" t="str">
        <f ca="1">IFERROR(__xludf.DUMMYFUNCTION("""COMPUTED_VALUE"""),"Fired shots at the crowd outside of the school, tackled by SRO and teacher, inspired by Columbine")</f>
        <v>Fired shots at the crowd outside of the school, tackled by SRO and teacher, inspired by Columbine</v>
      </c>
      <c r="W1430"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X1430" s="5" t="str">
        <f ca="1">IFERROR(__xludf.DUMMYFUNCTION("""COMPUTED_VALUE"""),"Indiscriminate Shooting")</f>
        <v>Indiscriminate Shooting</v>
      </c>
      <c r="Y1430" s="5" t="str">
        <f ca="1">IFERROR(__xludf.DUMMYFUNCTION("""COMPUTED_VALUE"""),"Random Shooting")</f>
        <v>Random Shooting</v>
      </c>
      <c r="Z1430" s="5" t="str">
        <f ca="1">IFERROR(__xludf.DUMMYFUNCTION("""COMPUTED_VALUE"""),"No")</f>
        <v>No</v>
      </c>
      <c r="AA1430" s="5"/>
      <c r="AB1430" s="5" t="str">
        <f ca="1">IFERROR(__xludf.DUMMYFUNCTION("""COMPUTED_VALUE"""),"No")</f>
        <v>No</v>
      </c>
      <c r="AC1430" s="5" t="str">
        <f ca="1">IFERROR(__xludf.DUMMYFUNCTION("""COMPUTED_VALUE"""),"No")</f>
        <v>No</v>
      </c>
      <c r="AD1430" s="5" t="str">
        <f ca="1">IFERROR(__xludf.DUMMYFUNCTION("""COMPUTED_VALUE"""),"No")</f>
        <v>No</v>
      </c>
      <c r="AE1430" s="5" t="str">
        <f ca="1">IFERROR(__xludf.DUMMYFUNCTION("""COMPUTED_VALUE"""),"No")</f>
        <v>No</v>
      </c>
      <c r="AF1430" s="5" t="str">
        <f ca="1">IFERROR(__xludf.DUMMYFUNCTION("""COMPUTED_VALUE"""),"No")</f>
        <v>No</v>
      </c>
      <c r="AG1430" s="5" t="str">
        <f ca="1">IFERROR(__xludf.DUMMYFUNCTION("""COMPUTED_VALUE"""),"No")</f>
        <v>No</v>
      </c>
      <c r="AH1430" s="5" t="str">
        <f ca="1">IFERROR(__xludf.DUMMYFUNCTION("""COMPUTED_VALUE"""),"Yes")</f>
        <v>Yes</v>
      </c>
    </row>
    <row r="1431" spans="1:34" ht="12.75">
      <c r="A1431" s="5" t="str">
        <f ca="1">IFERROR(__xludf.DUMMYFUNCTION("""COMPUTED_VALUE"""),"19991119NMDED")</f>
        <v>19991119NMDED</v>
      </c>
      <c r="B1431" s="8">
        <f ca="1">IFERROR(__xludf.DUMMYFUNCTION("""COMPUTED_VALUE"""),36483)</f>
        <v>36483</v>
      </c>
      <c r="C1431" s="5" t="str">
        <f ca="1">IFERROR(__xludf.DUMMYFUNCTION("""COMPUTED_VALUE"""),"Deming Middle School")</f>
        <v>Deming Middle School</v>
      </c>
      <c r="D1431" s="5">
        <f ca="1">IFERROR(__xludf.DUMMYFUNCTION("""COMPUTED_VALUE"""),1)</f>
        <v>1</v>
      </c>
      <c r="E1431" s="5">
        <f ca="1">IFERROR(__xludf.DUMMYFUNCTION("""COMPUTED_VALUE"""),0)</f>
        <v>0</v>
      </c>
      <c r="F1431" s="5">
        <f ca="1">IFERROR(__xludf.DUMMYFUNCTION("""COMPUTED_VALUE"""),1)</f>
        <v>1</v>
      </c>
      <c r="G1431" s="5">
        <f ca="1">IFERROR(__xludf.DUMMYFUNCTION("""COMPUTED_VALUE"""),0)</f>
        <v>0</v>
      </c>
      <c r="H1431" s="9" t="str">
        <f ca="1">IFERROR(__xludf.DUMMYFUNCTION("""COMPUTED_VALUE"""),"https://www.abqjournal.com/news/state/apteen10-12-04.htm")</f>
        <v>https://www.abqjournal.com/news/state/apteen10-12-04.htm</v>
      </c>
      <c r="I1431" s="5"/>
      <c r="J1431" s="5"/>
      <c r="K1431" s="5">
        <f ca="1">IFERROR(__xludf.DUMMYFUNCTION("""COMPUTED_VALUE"""),2)</f>
        <v>2</v>
      </c>
      <c r="L1431" s="5" t="str">
        <f ca="1">IFERROR(__xludf.DUMMYFUNCTION("""COMPUTED_VALUE"""),"Fall")</f>
        <v>Fall</v>
      </c>
      <c r="M1431" s="5" t="str">
        <f ca="1">IFERROR(__xludf.DUMMYFUNCTION("""COMPUTED_VALUE"""),"Deming")</f>
        <v>Deming</v>
      </c>
      <c r="N1431" s="5" t="str">
        <f ca="1">IFERROR(__xludf.DUMMYFUNCTION("""COMPUTED_VALUE"""),"NM")</f>
        <v>NM</v>
      </c>
      <c r="O1431" s="5" t="str">
        <f ca="1">IFERROR(__xludf.DUMMYFUNCTION("""COMPUTED_VALUE"""),"Middle")</f>
        <v>Middle</v>
      </c>
      <c r="P1431" s="5" t="str">
        <f ca="1">IFERROR(__xludf.DUMMYFUNCTION("""COMPUTED_VALUE"""),"Outside on School Property")</f>
        <v>Outside on School Property</v>
      </c>
      <c r="Q1431" s="5" t="str">
        <f ca="1">IFERROR(__xludf.DUMMYFUNCTION("""COMPUTED_VALUE"""),"Outside on School Property")</f>
        <v>Outside on School Property</v>
      </c>
      <c r="R1431" s="5" t="str">
        <f ca="1">IFERROR(__xludf.DUMMYFUNCTION("""COMPUTED_VALUE"""),"Yes")</f>
        <v>Yes</v>
      </c>
      <c r="S1431" s="5" t="str">
        <f ca="1">IFERROR(__xludf.DUMMYFUNCTION("""COMPUTED_VALUE"""),"Lunch")</f>
        <v>Lunch</v>
      </c>
      <c r="T1431" s="10">
        <f ca="1">IFERROR(__xludf.DUMMYFUNCTION("""COMPUTED_VALUE"""),0.53125)</f>
        <v>0.53125</v>
      </c>
      <c r="U1431" s="5">
        <f ca="1">IFERROR(__xludf.DUMMYFUNCTION("""COMPUTED_VALUE"""),1)</f>
        <v>1</v>
      </c>
      <c r="V1431" s="5" t="str">
        <f ca="1">IFERROR(__xludf.DUMMYFUNCTION("""COMPUTED_VALUE"""),"Fired shot and then surrendered to school officials")</f>
        <v>Fired shot and then surrendered to school officials</v>
      </c>
      <c r="W1431"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X1431" s="5" t="str">
        <f ca="1">IFERROR(__xludf.DUMMYFUNCTION("""COMPUTED_VALUE"""),"Unknown")</f>
        <v>Unknown</v>
      </c>
      <c r="Y1431" s="5" t="str">
        <f ca="1">IFERROR(__xludf.DUMMYFUNCTION("""COMPUTED_VALUE"""),"Victims Targeted")</f>
        <v>Victims Targeted</v>
      </c>
      <c r="Z1431" s="5"/>
      <c r="AA1431" s="5"/>
      <c r="AB1431" s="5" t="str">
        <f ca="1">IFERROR(__xludf.DUMMYFUNCTION("""COMPUTED_VALUE"""),"No")</f>
        <v>No</v>
      </c>
      <c r="AC1431" s="5" t="str">
        <f ca="1">IFERROR(__xludf.DUMMYFUNCTION("""COMPUTED_VALUE"""),"No")</f>
        <v>No</v>
      </c>
      <c r="AD1431" s="5" t="str">
        <f ca="1">IFERROR(__xludf.DUMMYFUNCTION("""COMPUTED_VALUE"""),"No")</f>
        <v>No</v>
      </c>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IFERROR(__xludf.DUMMYFUNCTION("""COMPUTED_VALUE"""),"Yes")</f>
        <v>Yes</v>
      </c>
    </row>
    <row r="1432" spans="1:34" ht="12.75">
      <c r="A1432" s="5" t="str">
        <f ca="1">IFERROR(__xludf.DUMMYFUNCTION("""COMPUTED_VALUE"""),"19991117TXDID")</f>
        <v>19991117TXDID</v>
      </c>
      <c r="B1432" s="8">
        <f ca="1">IFERROR(__xludf.DUMMYFUNCTION("""COMPUTED_VALUE"""),36481)</f>
        <v>36481</v>
      </c>
      <c r="C1432" s="5" t="str">
        <f ca="1">IFERROR(__xludf.DUMMYFUNCTION("""COMPUTED_VALUE"""),"Dickinson High School")</f>
        <v>Dickinson High School</v>
      </c>
      <c r="D1432" s="5">
        <f ca="1">IFERROR(__xludf.DUMMYFUNCTION("""COMPUTED_VALUE"""),0)</f>
        <v>0</v>
      </c>
      <c r="E1432" s="5">
        <f ca="1">IFERROR(__xludf.DUMMYFUNCTION("""COMPUTED_VALUE"""),1)</f>
        <v>1</v>
      </c>
      <c r="F1432" s="5">
        <f ca="1">IFERROR(__xludf.DUMMYFUNCTION("""COMPUTED_VALUE"""),1)</f>
        <v>1</v>
      </c>
      <c r="G1432" s="5">
        <f ca="1">IFERROR(__xludf.DUMMYFUNCTION("""COMPUTED_VALUE"""),0)</f>
        <v>0</v>
      </c>
      <c r="H1432" s="9" t="str">
        <f ca="1">IFERROR(__xludf.DUMMYFUNCTION("""COMPUTED_VALUE"""),"https://www.newspapers.com/image/13325920/?terms=Dickinson%2BHigh%2BSchool%2Bshooting")</f>
        <v>https://www.newspapers.com/image/13325920/?terms=Dickinson%2BHigh%2BSchool%2Bshooting</v>
      </c>
      <c r="I1432" s="5"/>
      <c r="J1432" s="5"/>
      <c r="K1432" s="5">
        <f ca="1">IFERROR(__xludf.DUMMYFUNCTION("""COMPUTED_VALUE"""),2)</f>
        <v>2</v>
      </c>
      <c r="L1432" s="5" t="str">
        <f ca="1">IFERROR(__xludf.DUMMYFUNCTION("""COMPUTED_VALUE"""),"Fall")</f>
        <v>Fall</v>
      </c>
      <c r="M1432" s="5" t="str">
        <f ca="1">IFERROR(__xludf.DUMMYFUNCTION("""COMPUTED_VALUE"""),"Dickinson")</f>
        <v>Dickinson</v>
      </c>
      <c r="N1432" s="5" t="str">
        <f ca="1">IFERROR(__xludf.DUMMYFUNCTION("""COMPUTED_VALUE"""),"TX")</f>
        <v>TX</v>
      </c>
      <c r="O1432" s="5" t="str">
        <f ca="1">IFERROR(__xludf.DUMMYFUNCTION("""COMPUTED_VALUE"""),"High")</f>
        <v>High</v>
      </c>
      <c r="P1432" s="5" t="str">
        <f ca="1">IFERROR(__xludf.DUMMYFUNCTION("""COMPUTED_VALUE"""),"Bathroom")</f>
        <v>Bathroom</v>
      </c>
      <c r="Q1432" s="5" t="str">
        <f ca="1">IFERROR(__xludf.DUMMYFUNCTION("""COMPUTED_VALUE"""),"Inside School Building")</f>
        <v>Inside School Building</v>
      </c>
      <c r="R1432" s="5" t="str">
        <f ca="1">IFERROR(__xludf.DUMMYFUNCTION("""COMPUTED_VALUE"""),"Yes")</f>
        <v>Yes</v>
      </c>
      <c r="S1432" s="5" t="str">
        <f ca="1">IFERROR(__xludf.DUMMYFUNCTION("""COMPUTED_VALUE"""),"Before School")</f>
        <v>Before School</v>
      </c>
      <c r="T1432" s="10">
        <f ca="1">IFERROR(__xludf.DUMMYFUNCTION("""COMPUTED_VALUE"""),0.333333333333333)</f>
        <v>0.33333333333333298</v>
      </c>
      <c r="U1432" s="5">
        <f ca="1">IFERROR(__xludf.DUMMYFUNCTION("""COMPUTED_VALUE"""),1)</f>
        <v>1</v>
      </c>
      <c r="V1432" s="5" t="str">
        <f ca="1">IFERROR(__xludf.DUMMYFUNCTION("""COMPUTED_VALUE"""),"Showing off gun in bathroom, accidental discharge")</f>
        <v>Showing off gun in bathroom, accidental discharge</v>
      </c>
      <c r="W1432"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X1432" s="5" t="str">
        <f ca="1">IFERROR(__xludf.DUMMYFUNCTION("""COMPUTED_VALUE"""),"Accidental")</f>
        <v>Accidental</v>
      </c>
      <c r="Y1432" s="5" t="str">
        <f ca="1">IFERROR(__xludf.DUMMYFUNCTION("""COMPUTED_VALUE"""),"Random Shooting")</f>
        <v>Random Shooting</v>
      </c>
      <c r="Z1432" s="5" t="str">
        <f ca="1">IFERROR(__xludf.DUMMYFUNCTION("""COMPUTED_VALUE"""),"Yes")</f>
        <v>Yes</v>
      </c>
      <c r="AA1432" s="5" t="str">
        <f ca="1">IFERROR(__xludf.DUMMYFUNCTION("""COMPUTED_VALUE"""),"14YOM also arrested")</f>
        <v>14YOM also arrested</v>
      </c>
      <c r="AB1432" s="5" t="str">
        <f ca="1">IFERROR(__xludf.DUMMYFUNCTION("""COMPUTED_VALUE"""),"No")</f>
        <v>No</v>
      </c>
      <c r="AC1432" s="5" t="str">
        <f ca="1">IFERROR(__xludf.DUMMYFUNCTION("""COMPUTED_VALUE"""),"No")</f>
        <v>No</v>
      </c>
      <c r="AD1432" s="5" t="str">
        <f ca="1">IFERROR(__xludf.DUMMYFUNCTION("""COMPUTED_VALUE"""),"No")</f>
        <v>No</v>
      </c>
      <c r="AE1432" s="5" t="str">
        <f ca="1">IFERROR(__xludf.DUMMYFUNCTION("""COMPUTED_VALUE"""),"No")</f>
        <v>No</v>
      </c>
      <c r="AF1432" s="5" t="str">
        <f ca="1">IFERROR(__xludf.DUMMYFUNCTION("""COMPUTED_VALUE"""),"No")</f>
        <v>No</v>
      </c>
      <c r="AG1432" s="5" t="str">
        <f ca="1">IFERROR(__xludf.DUMMYFUNCTION("""COMPUTED_VALUE"""),"No")</f>
        <v>No</v>
      </c>
      <c r="AH1432" s="5"/>
    </row>
    <row r="1433" spans="1:34" ht="12.75">
      <c r="A1433" s="5" t="str">
        <f ca="1">IFERROR(__xludf.DUMMYFUNCTION("""COMPUTED_VALUE"""),"19991026WVGUB")</f>
        <v>19991026WVGUB</v>
      </c>
      <c r="B1433" s="8">
        <f ca="1">IFERROR(__xludf.DUMMYFUNCTION("""COMPUTED_VALUE"""),36459)</f>
        <v>36459</v>
      </c>
      <c r="C1433" s="5" t="str">
        <f ca="1">IFERROR(__xludf.DUMMYFUNCTION("""COMPUTED_VALUE"""),"Guyan Valley High School")</f>
        <v>Guyan Valley High School</v>
      </c>
      <c r="D1433" s="5">
        <f ca="1">IFERROR(__xludf.DUMMYFUNCTION("""COMPUTED_VALUE"""),1)</f>
        <v>1</v>
      </c>
      <c r="E1433" s="5">
        <f ca="1">IFERROR(__xludf.DUMMYFUNCTION("""COMPUTED_VALUE"""),0)</f>
        <v>0</v>
      </c>
      <c r="F1433" s="5">
        <f ca="1">IFERROR(__xludf.DUMMYFUNCTION("""COMPUTED_VALUE"""),1)</f>
        <v>1</v>
      </c>
      <c r="G1433" s="5">
        <f ca="1">IFERROR(__xludf.DUMMYFUNCTION("""COMPUTED_VALUE"""),1)</f>
        <v>1</v>
      </c>
      <c r="H1433" s="9" t="str">
        <f ca="1">IFERROR(__xludf.DUMMYFUNCTION("""COMPUTED_VALUE"""),"https://www.newspapers.com/image/220395374/?terms=Guyan%2BValley%2BHigh%2BSchool")</f>
        <v>https://www.newspapers.com/image/220395374/?terms=Guyan%2BValley%2BHigh%2BSchool</v>
      </c>
      <c r="I1433" s="5"/>
      <c r="J1433" s="5"/>
      <c r="K1433" s="5">
        <f ca="1">IFERROR(__xludf.DUMMYFUNCTION("""COMPUTED_VALUE"""),2)</f>
        <v>2</v>
      </c>
      <c r="L1433" s="5" t="str">
        <f ca="1">IFERROR(__xludf.DUMMYFUNCTION("""COMPUTED_VALUE"""),"Fall")</f>
        <v>Fall</v>
      </c>
      <c r="M1433" s="5" t="str">
        <f ca="1">IFERROR(__xludf.DUMMYFUNCTION("""COMPUTED_VALUE"""),"Branchland")</f>
        <v>Branchland</v>
      </c>
      <c r="N1433" s="5" t="str">
        <f ca="1">IFERROR(__xludf.DUMMYFUNCTION("""COMPUTED_VALUE"""),"WV")</f>
        <v>WV</v>
      </c>
      <c r="O1433" s="5" t="str">
        <f ca="1">IFERROR(__xludf.DUMMYFUNCTION("""COMPUTED_VALUE"""),"High")</f>
        <v>High</v>
      </c>
      <c r="P1433" s="5" t="str">
        <f ca="1">IFERROR(__xludf.DUMMYFUNCTION("""COMPUTED_VALUE"""),"Outside on School Property")</f>
        <v>Outside on School Property</v>
      </c>
      <c r="Q1433" s="5" t="str">
        <f ca="1">IFERROR(__xludf.DUMMYFUNCTION("""COMPUTED_VALUE"""),"Outside on School Property")</f>
        <v>Outside on School Property</v>
      </c>
      <c r="R1433" s="5" t="str">
        <f ca="1">IFERROR(__xludf.DUMMYFUNCTION("""COMPUTED_VALUE"""),"No")</f>
        <v>No</v>
      </c>
      <c r="S1433" s="5" t="str">
        <f ca="1">IFERROR(__xludf.DUMMYFUNCTION("""COMPUTED_VALUE"""),"Before School")</f>
        <v>Before School</v>
      </c>
      <c r="T1433" s="10">
        <f ca="1">IFERROR(__xludf.DUMMYFUNCTION("""COMPUTED_VALUE"""),0.256944444444444)</f>
        <v>0.25694444444444398</v>
      </c>
      <c r="U1433" s="5"/>
      <c r="V1433" s="5" t="str">
        <f ca="1">IFERROR(__xludf.DUMMYFUNCTION("""COMPUTED_VALUE"""),"Bus driver killed janitor then self (believed wife was having affair)")</f>
        <v>Bus driver killed janitor then self (believed wife was having affair)</v>
      </c>
      <c r="W1433"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X1433" s="5" t="str">
        <f ca="1">IFERROR(__xludf.DUMMYFUNCTION("""COMPUTED_VALUE"""),"Domestic w/ Targeted Victim")</f>
        <v>Domestic w/ Targeted Victim</v>
      </c>
      <c r="Y1433" s="5" t="str">
        <f ca="1">IFERROR(__xludf.DUMMYFUNCTION("""COMPUTED_VALUE"""),"Victims Targeted")</f>
        <v>Victims Targeted</v>
      </c>
      <c r="Z1433" s="5" t="str">
        <f ca="1">IFERROR(__xludf.DUMMYFUNCTION("""COMPUTED_VALUE"""),"No")</f>
        <v>No</v>
      </c>
      <c r="AA1433" s="5"/>
      <c r="AB1433" s="5" t="str">
        <f ca="1">IFERROR(__xludf.DUMMYFUNCTION("""COMPUTED_VALUE"""),"No")</f>
        <v>No</v>
      </c>
      <c r="AC1433" s="5" t="str">
        <f ca="1">IFERROR(__xludf.DUMMYFUNCTION("""COMPUTED_VALUE"""),"No")</f>
        <v>No</v>
      </c>
      <c r="AD1433" s="5" t="str">
        <f ca="1">IFERROR(__xludf.DUMMYFUNCTION("""COMPUTED_VALUE"""),"No")</f>
        <v>No</v>
      </c>
      <c r="AE1433" s="5" t="str">
        <f ca="1">IFERROR(__xludf.DUMMYFUNCTION("""COMPUTED_VALUE"""),"No")</f>
        <v>No</v>
      </c>
      <c r="AF1433" s="5" t="str">
        <f ca="1">IFERROR(__xludf.DUMMYFUNCTION("""COMPUTED_VALUE"""),"Yes")</f>
        <v>Yes</v>
      </c>
      <c r="AG1433" s="5" t="str">
        <f ca="1">IFERROR(__xludf.DUMMYFUNCTION("""COMPUTED_VALUE"""),"No")</f>
        <v>No</v>
      </c>
      <c r="AH1433" s="5"/>
    </row>
    <row r="1434" spans="1:34" ht="12.75">
      <c r="A1434" s="5" t="str">
        <f ca="1">IFERROR(__xludf.DUMMYFUNCTION("""COMPUTED_VALUE"""),"19991026PAMAP")</f>
        <v>19991026PAMAP</v>
      </c>
      <c r="B1434" s="8">
        <f ca="1">IFERROR(__xludf.DUMMYFUNCTION("""COMPUTED_VALUE"""),36459)</f>
        <v>36459</v>
      </c>
      <c r="C1434" s="5" t="str">
        <f ca="1">IFERROR(__xludf.DUMMYFUNCTION("""COMPUTED_VALUE"""),"Martin Luther King High School")</f>
        <v>Martin Luther King High School</v>
      </c>
      <c r="D1434" s="5">
        <f ca="1">IFERROR(__xludf.DUMMYFUNCTION("""COMPUTED_VALUE"""),1)</f>
        <v>1</v>
      </c>
      <c r="E1434" s="5">
        <f ca="1">IFERROR(__xludf.DUMMYFUNCTION("""COMPUTED_VALUE"""),0)</f>
        <v>0</v>
      </c>
      <c r="F1434" s="5">
        <f ca="1">IFERROR(__xludf.DUMMYFUNCTION("""COMPUTED_VALUE"""),1)</f>
        <v>1</v>
      </c>
      <c r="G1434" s="5">
        <f ca="1">IFERROR(__xludf.DUMMYFUNCTION("""COMPUTED_VALUE"""),0)</f>
        <v>0</v>
      </c>
      <c r="H1434" s="9" t="str">
        <f ca="1">IFERROR(__xludf.DUMMYFUNCTION("""COMPUTED_VALUE"""),"https://www.newspapers.com/image/184629441/?terms=shooting%2BDonald%2BMcNeil")</f>
        <v>https://www.newspapers.com/image/184629441/?terms=shooting%2BDonald%2BMcNeil</v>
      </c>
      <c r="I1434" s="5"/>
      <c r="J1434" s="5"/>
      <c r="K1434" s="5">
        <f ca="1">IFERROR(__xludf.DUMMYFUNCTION("""COMPUTED_VALUE"""),2)</f>
        <v>2</v>
      </c>
      <c r="L1434" s="5" t="str">
        <f ca="1">IFERROR(__xludf.DUMMYFUNCTION("""COMPUTED_VALUE"""),"Fall")</f>
        <v>Fall</v>
      </c>
      <c r="M1434" s="5" t="str">
        <f ca="1">IFERROR(__xludf.DUMMYFUNCTION("""COMPUTED_VALUE"""),"Philadelphia")</f>
        <v>Philadelphia</v>
      </c>
      <c r="N1434" s="5" t="str">
        <f ca="1">IFERROR(__xludf.DUMMYFUNCTION("""COMPUTED_VALUE"""),"PA")</f>
        <v>PA</v>
      </c>
      <c r="O1434" s="5" t="str">
        <f ca="1">IFERROR(__xludf.DUMMYFUNCTION("""COMPUTED_VALUE"""),"High")</f>
        <v>High</v>
      </c>
      <c r="P1434" s="5" t="str">
        <f ca="1">IFERROR(__xludf.DUMMYFUNCTION("""COMPUTED_VALUE"""),"Beside Building")</f>
        <v>Beside Building</v>
      </c>
      <c r="Q1434" s="5" t="str">
        <f ca="1">IFERROR(__xludf.DUMMYFUNCTION("""COMPUTED_VALUE"""),"Outside on School Property")</f>
        <v>Outside on School Property</v>
      </c>
      <c r="R1434" s="5" t="str">
        <f ca="1">IFERROR(__xludf.DUMMYFUNCTION("""COMPUTED_VALUE"""),"Yes")</f>
        <v>Yes</v>
      </c>
      <c r="S1434" s="5" t="str">
        <f ca="1">IFERROR(__xludf.DUMMYFUNCTION("""COMPUTED_VALUE"""),"Afternoon Classes")</f>
        <v>Afternoon Classes</v>
      </c>
      <c r="T1434" s="10">
        <f ca="1">IFERROR(__xludf.DUMMYFUNCTION("""COMPUTED_VALUE"""),0.5625)</f>
        <v>0.5625</v>
      </c>
      <c r="U1434" s="5">
        <f ca="1">IFERROR(__xludf.DUMMYFUNCTION("""COMPUTED_VALUE"""),1)</f>
        <v>1</v>
      </c>
      <c r="V1434" s="5" t="str">
        <f ca="1">IFERROR(__xludf.DUMMYFUNCTION("""COMPUTED_VALUE"""),"Shooter thought victim had insulted his girlfriend")</f>
        <v>Shooter thought victim had insulted his girlfriend</v>
      </c>
      <c r="W1434"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X1434" s="5" t="str">
        <f ca="1">IFERROR(__xludf.DUMMYFUNCTION("""COMPUTED_VALUE"""),"Escalation of Dispute")</f>
        <v>Escalation of Dispute</v>
      </c>
      <c r="Y1434" s="5" t="str">
        <f ca="1">IFERROR(__xludf.DUMMYFUNCTION("""COMPUTED_VALUE"""),"Victims Targeted")</f>
        <v>Victims Targeted</v>
      </c>
      <c r="Z1434" s="5" t="str">
        <f ca="1">IFERROR(__xludf.DUMMYFUNCTION("""COMPUTED_VALUE"""),"Yes")</f>
        <v>Yes</v>
      </c>
      <c r="AA1434" s="5" t="str">
        <f ca="1">IFERROR(__xludf.DUMMYFUNCTION("""COMPUTED_VALUE"""),"17YOM arrested to helping plan murder")</f>
        <v>17YOM arrested to helping plan murder</v>
      </c>
      <c r="AB1434" s="5" t="str">
        <f ca="1">IFERROR(__xludf.DUMMYFUNCTION("""COMPUTED_VALUE"""),"No")</f>
        <v>No</v>
      </c>
      <c r="AC1434" s="5" t="str">
        <f ca="1">IFERROR(__xludf.DUMMYFUNCTION("""COMPUTED_VALUE"""),"No")</f>
        <v>No</v>
      </c>
      <c r="AD1434" s="5" t="str">
        <f ca="1">IFERROR(__xludf.DUMMYFUNCTION("""COMPUTED_VALUE"""),"No")</f>
        <v>No</v>
      </c>
      <c r="AE1434" s="5" t="str">
        <f ca="1">IFERROR(__xludf.DUMMYFUNCTION("""COMPUTED_VALUE"""),"No")</f>
        <v>No</v>
      </c>
      <c r="AF1434" s="5" t="str">
        <f ca="1">IFERROR(__xludf.DUMMYFUNCTION("""COMPUTED_VALUE"""),"No")</f>
        <v>No</v>
      </c>
      <c r="AG1434" s="5" t="str">
        <f ca="1">IFERROR(__xludf.DUMMYFUNCTION("""COMPUTED_VALUE"""),"No")</f>
        <v>No</v>
      </c>
      <c r="AH1434" s="5"/>
    </row>
    <row r="1435" spans="1:34" ht="12.75">
      <c r="A1435" s="5" t="str">
        <f ca="1">IFERROR(__xludf.DUMMYFUNCTION("""COMPUTED_VALUE"""),"19991021CASAP")</f>
        <v>19991021CASAP</v>
      </c>
      <c r="B1435" s="8">
        <f ca="1">IFERROR(__xludf.DUMMYFUNCTION("""COMPUTED_VALUE"""),36454)</f>
        <v>36454</v>
      </c>
      <c r="C1435" s="5" t="str">
        <f ca="1">IFERROR(__xludf.DUMMYFUNCTION("""COMPUTED_VALUE"""),"San Fernando High School")</f>
        <v>San Fernando High School</v>
      </c>
      <c r="D1435" s="5">
        <f ca="1">IFERROR(__xludf.DUMMYFUNCTION("""COMPUTED_VALUE"""),0)</f>
        <v>0</v>
      </c>
      <c r="E1435" s="5">
        <f ca="1">IFERROR(__xludf.DUMMYFUNCTION("""COMPUTED_VALUE"""),1)</f>
        <v>1</v>
      </c>
      <c r="F1435" s="5">
        <f ca="1">IFERROR(__xludf.DUMMYFUNCTION("""COMPUTED_VALUE"""),1)</f>
        <v>1</v>
      </c>
      <c r="G1435" s="5">
        <f ca="1">IFERROR(__xludf.DUMMYFUNCTION("""COMPUTED_VALUE"""),0)</f>
        <v>0</v>
      </c>
      <c r="H1435" s="9" t="str">
        <f ca="1">IFERROR(__xludf.DUMMYFUNCTION("""COMPUTED_VALUE"""),"http://articles.latimes.com/1999/oct/22/local/me-24932")</f>
        <v>http://articles.latimes.com/1999/oct/22/local/me-24932</v>
      </c>
      <c r="I1435" s="5"/>
      <c r="J1435" s="5"/>
      <c r="K1435" s="5">
        <f ca="1">IFERROR(__xludf.DUMMYFUNCTION("""COMPUTED_VALUE"""),2)</f>
        <v>2</v>
      </c>
      <c r="L1435" s="5" t="str">
        <f ca="1">IFERROR(__xludf.DUMMYFUNCTION("""COMPUTED_VALUE"""),"Fall")</f>
        <v>Fall</v>
      </c>
      <c r="M1435" s="5" t="str">
        <f ca="1">IFERROR(__xludf.DUMMYFUNCTION("""COMPUTED_VALUE"""),"Pacoima")</f>
        <v>Pacoima</v>
      </c>
      <c r="N1435" s="5" t="str">
        <f ca="1">IFERROR(__xludf.DUMMYFUNCTION("""COMPUTED_VALUE"""),"CA")</f>
        <v>CA</v>
      </c>
      <c r="O1435" s="5" t="str">
        <f ca="1">IFERROR(__xludf.DUMMYFUNCTION("""COMPUTED_VALUE"""),"High")</f>
        <v>High</v>
      </c>
      <c r="P1435" s="5" t="str">
        <f ca="1">IFERROR(__xludf.DUMMYFUNCTION("""COMPUTED_VALUE"""),"Beside Building")</f>
        <v>Beside Building</v>
      </c>
      <c r="Q1435" s="5" t="str">
        <f ca="1">IFERROR(__xludf.DUMMYFUNCTION("""COMPUTED_VALUE"""),"Outside on School Property")</f>
        <v>Outside on School Property</v>
      </c>
      <c r="R1435" s="5" t="str">
        <f ca="1">IFERROR(__xludf.DUMMYFUNCTION("""COMPUTED_VALUE"""),"No")</f>
        <v>No</v>
      </c>
      <c r="S1435" s="5" t="str">
        <f ca="1">IFERROR(__xludf.DUMMYFUNCTION("""COMPUTED_VALUE"""),"After School")</f>
        <v>After School</v>
      </c>
      <c r="T1435" s="10">
        <f ca="1">IFERROR(__xludf.DUMMYFUNCTION("""COMPUTED_VALUE"""),0.611111111111111)</f>
        <v>0.61111111111111105</v>
      </c>
      <c r="U1435" s="5">
        <f ca="1">IFERROR(__xludf.DUMMYFUNCTION("""COMPUTED_VALUE"""),1)</f>
        <v>1</v>
      </c>
      <c r="V1435" s="5" t="str">
        <f ca="1">IFERROR(__xludf.DUMMYFUNCTION("""COMPUTED_VALUE"""),"Student shot by group of multiple students outside of school")</f>
        <v>Student shot by group of multiple students outside of school</v>
      </c>
      <c r="W1435"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X1435" s="5" t="str">
        <f ca="1">IFERROR(__xludf.DUMMYFUNCTION("""COMPUTED_VALUE"""),"Escalation of Dispute")</f>
        <v>Escalation of Dispute</v>
      </c>
      <c r="Y1435" s="5" t="str">
        <f ca="1">IFERROR(__xludf.DUMMYFUNCTION("""COMPUTED_VALUE"""),"Victims Targeted")</f>
        <v>Victims Targeted</v>
      </c>
      <c r="Z1435" s="5" t="str">
        <f ca="1">IFERROR(__xludf.DUMMYFUNCTION("""COMPUTED_VALUE"""),"Yes")</f>
        <v>Yes</v>
      </c>
      <c r="AA1435" s="5" t="str">
        <f ca="1">IFERROR(__xludf.DUMMYFUNCTION("""COMPUTED_VALUE"""),"Group of teens")</f>
        <v>Group of teens</v>
      </c>
      <c r="AB1435" s="5" t="str">
        <f ca="1">IFERROR(__xludf.DUMMYFUNCTION("""COMPUTED_VALUE"""),"No")</f>
        <v>No</v>
      </c>
      <c r="AC1435" s="5" t="str">
        <f ca="1">IFERROR(__xludf.DUMMYFUNCTION("""COMPUTED_VALUE"""),"No")</f>
        <v>No</v>
      </c>
      <c r="AD1435" s="5" t="str">
        <f ca="1">IFERROR(__xludf.DUMMYFUNCTION("""COMPUTED_VALUE"""),"No")</f>
        <v>No</v>
      </c>
      <c r="AE1435" s="5" t="str">
        <f ca="1">IFERROR(__xludf.DUMMYFUNCTION("""COMPUTED_VALUE"""),"No")</f>
        <v>No</v>
      </c>
      <c r="AF1435" s="5" t="str">
        <f ca="1">IFERROR(__xludf.DUMMYFUNCTION("""COMPUTED_VALUE"""),"No")</f>
        <v>No</v>
      </c>
      <c r="AG1435" s="5"/>
      <c r="AH1435" s="5"/>
    </row>
    <row r="1436" spans="1:34" ht="12.75">
      <c r="A1436" s="5" t="str">
        <f ca="1">IFERROR(__xludf.DUMMYFUNCTION("""COMPUTED_VALUE"""),"19991011NVCLL")</f>
        <v>19991011NVCLL</v>
      </c>
      <c r="B1436" s="8">
        <f ca="1">IFERROR(__xludf.DUMMYFUNCTION("""COMPUTED_VALUE"""),36444)</f>
        <v>36444</v>
      </c>
      <c r="C1436" s="5" t="str">
        <f ca="1">IFERROR(__xludf.DUMMYFUNCTION("""COMPUTED_VALUE"""),"Clark High School")</f>
        <v>Clark High School</v>
      </c>
      <c r="D1436" s="5">
        <f ca="1">IFERROR(__xludf.DUMMYFUNCTION("""COMPUTED_VALUE"""),0)</f>
        <v>0</v>
      </c>
      <c r="E1436" s="5">
        <f ca="1">IFERROR(__xludf.DUMMYFUNCTION("""COMPUTED_VALUE"""),2)</f>
        <v>2</v>
      </c>
      <c r="F1436" s="5">
        <f ca="1">IFERROR(__xludf.DUMMYFUNCTION("""COMPUTED_VALUE"""),2)</f>
        <v>2</v>
      </c>
      <c r="G1436" s="5">
        <f ca="1">IFERROR(__xludf.DUMMYFUNCTION("""COMPUTED_VALUE"""),0)</f>
        <v>0</v>
      </c>
      <c r="H1436" s="9" t="str">
        <f ca="1">IFERROR(__xludf.DUMMYFUNCTION("""COMPUTED_VALUE"""),"https://lasvegassun.com/news/1999/oct/12/security-increased-after-shooting-at-clark-high/")</f>
        <v>https://lasvegassun.com/news/1999/oct/12/security-increased-after-shooting-at-clark-high/</v>
      </c>
      <c r="I1436" s="5"/>
      <c r="J1436" s="5"/>
      <c r="K1436" s="5">
        <f ca="1">IFERROR(__xludf.DUMMYFUNCTION("""COMPUTED_VALUE"""),2)</f>
        <v>2</v>
      </c>
      <c r="L1436" s="5" t="str">
        <f ca="1">IFERROR(__xludf.DUMMYFUNCTION("""COMPUTED_VALUE"""),"Fall")</f>
        <v>Fall</v>
      </c>
      <c r="M1436" s="5" t="str">
        <f ca="1">IFERROR(__xludf.DUMMYFUNCTION("""COMPUTED_VALUE"""),"Las Vegas")</f>
        <v>Las Vegas</v>
      </c>
      <c r="N1436" s="5" t="str">
        <f ca="1">IFERROR(__xludf.DUMMYFUNCTION("""COMPUTED_VALUE"""),"NV")</f>
        <v>NV</v>
      </c>
      <c r="O1436" s="5" t="str">
        <f ca="1">IFERROR(__xludf.DUMMYFUNCTION("""COMPUTED_VALUE"""),"High")</f>
        <v>High</v>
      </c>
      <c r="P1436" s="5" t="str">
        <f ca="1">IFERROR(__xludf.DUMMYFUNCTION("""COMPUTED_VALUE"""),"Beside Building")</f>
        <v>Beside Building</v>
      </c>
      <c r="Q1436" s="5" t="str">
        <f ca="1">IFERROR(__xludf.DUMMYFUNCTION("""COMPUTED_VALUE"""),"Outside on School Property")</f>
        <v>Outside on School Property</v>
      </c>
      <c r="R1436" s="5" t="str">
        <f ca="1">IFERROR(__xludf.DUMMYFUNCTION("""COMPUTED_VALUE"""),"No")</f>
        <v>No</v>
      </c>
      <c r="S1436" s="5" t="str">
        <f ca="1">IFERROR(__xludf.DUMMYFUNCTION("""COMPUTED_VALUE"""),"After School")</f>
        <v>After School</v>
      </c>
      <c r="T1436" s="10">
        <f ca="1">IFERROR(__xludf.DUMMYFUNCTION("""COMPUTED_VALUE"""),0.611111111111111)</f>
        <v>0.61111111111111105</v>
      </c>
      <c r="U1436" s="5">
        <f ca="1">IFERROR(__xludf.DUMMYFUNCTION("""COMPUTED_VALUE"""),1)</f>
        <v>1</v>
      </c>
      <c r="V1436" s="5" t="str">
        <f ca="1">IFERROR(__xludf.DUMMYFUNCTION("""COMPUTED_VALUE"""),"Gang related shooting outside of school")</f>
        <v>Gang related shooting outside of school</v>
      </c>
      <c r="W1436"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X1436" s="5" t="str">
        <f ca="1">IFERROR(__xludf.DUMMYFUNCTION("""COMPUTED_VALUE"""),"Illegal Activity")</f>
        <v>Illegal Activity</v>
      </c>
      <c r="Y1436" s="5" t="str">
        <f ca="1">IFERROR(__xludf.DUMMYFUNCTION("""COMPUTED_VALUE"""),"Both")</f>
        <v>Both</v>
      </c>
      <c r="Z1436" s="5" t="str">
        <f ca="1">IFERROR(__xludf.DUMMYFUNCTION("""COMPUTED_VALUE"""),"Yes")</f>
        <v>Yes</v>
      </c>
      <c r="AA1436" s="5" t="str">
        <f ca="1">IFERROR(__xludf.DUMMYFUNCTION("""COMPUTED_VALUE"""),"14 YOM with the shooter, arrested")</f>
        <v>14 YOM with the shooter, arrested</v>
      </c>
      <c r="AB1436" s="5" t="str">
        <f ca="1">IFERROR(__xludf.DUMMYFUNCTION("""COMPUTED_VALUE"""),"No")</f>
        <v>No</v>
      </c>
      <c r="AC1436" s="5" t="str">
        <f ca="1">IFERROR(__xludf.DUMMYFUNCTION("""COMPUTED_VALUE"""),"No")</f>
        <v>No</v>
      </c>
      <c r="AD1436" s="5" t="str">
        <f ca="1">IFERROR(__xludf.DUMMYFUNCTION("""COMPUTED_VALUE"""),"No")</f>
        <v>No</v>
      </c>
      <c r="AE1436" s="5" t="str">
        <f ca="1">IFERROR(__xludf.DUMMYFUNCTION("""COMPUTED_VALUE"""),"No")</f>
        <v>No</v>
      </c>
      <c r="AF1436" s="5" t="str">
        <f ca="1">IFERROR(__xludf.DUMMYFUNCTION("""COMPUTED_VALUE"""),"No")</f>
        <v>No</v>
      </c>
      <c r="AG1436" s="5" t="str">
        <f ca="1">IFERROR(__xludf.DUMMYFUNCTION("""COMPUTED_VALUE"""),"Yes")</f>
        <v>Yes</v>
      </c>
      <c r="AH1436" s="5"/>
    </row>
    <row r="1437" spans="1:34" ht="12.75">
      <c r="A1437" s="5" t="str">
        <f ca="1">IFERROR(__xludf.DUMMYFUNCTION("""COMPUTED_VALUE"""),"19991004SDJOP")</f>
        <v>19991004SDJOP</v>
      </c>
      <c r="B1437" s="8">
        <f ca="1">IFERROR(__xludf.DUMMYFUNCTION("""COMPUTED_VALUE"""),36437)</f>
        <v>36437</v>
      </c>
      <c r="C1437" s="5" t="str">
        <f ca="1">IFERROR(__xludf.DUMMYFUNCTION("""COMPUTED_VALUE"""),"John Bartram High School")</f>
        <v>John Bartram High School</v>
      </c>
      <c r="D1437" s="5">
        <f ca="1">IFERROR(__xludf.DUMMYFUNCTION("""COMPUTED_VALUE"""),0)</f>
        <v>0</v>
      </c>
      <c r="E1437" s="5">
        <f ca="1">IFERROR(__xludf.DUMMYFUNCTION("""COMPUTED_VALUE"""),1)</f>
        <v>1</v>
      </c>
      <c r="F1437" s="5">
        <f ca="1">IFERROR(__xludf.DUMMYFUNCTION("""COMPUTED_VALUE"""),1)</f>
        <v>1</v>
      </c>
      <c r="G1437" s="5">
        <f ca="1">IFERROR(__xludf.DUMMYFUNCTION("""COMPUTED_VALUE"""),0)</f>
        <v>0</v>
      </c>
      <c r="H1437" s="9" t="str">
        <f ca="1">IFERROR(__xludf.DUMMYFUNCTION("""COMPUTED_VALUE"""),"https://www.cbsnews.com/news/vice-principal-shot-in-scuffle/")</f>
        <v>https://www.cbsnews.com/news/vice-principal-shot-in-scuffle/</v>
      </c>
      <c r="I1437" s="5"/>
      <c r="J1437" s="5"/>
      <c r="K1437" s="5">
        <f ca="1">IFERROR(__xludf.DUMMYFUNCTION("""COMPUTED_VALUE"""),2)</f>
        <v>2</v>
      </c>
      <c r="L1437" s="5" t="str">
        <f ca="1">IFERROR(__xludf.DUMMYFUNCTION("""COMPUTED_VALUE"""),"Fall")</f>
        <v>Fall</v>
      </c>
      <c r="M1437" s="5" t="str">
        <f ca="1">IFERROR(__xludf.DUMMYFUNCTION("""COMPUTED_VALUE"""),"Philadelphia City")</f>
        <v>Philadelphia City</v>
      </c>
      <c r="N1437" s="5" t="str">
        <f ca="1">IFERROR(__xludf.DUMMYFUNCTION("""COMPUTED_VALUE"""),"SD")</f>
        <v>SD</v>
      </c>
      <c r="O1437" s="5" t="str">
        <f ca="1">IFERROR(__xludf.DUMMYFUNCTION("""COMPUTED_VALUE"""),"High")</f>
        <v>High</v>
      </c>
      <c r="P1437" s="5" t="str">
        <f ca="1">IFERROR(__xludf.DUMMYFUNCTION("""COMPUTED_VALUE"""),"Hallway")</f>
        <v>Hallway</v>
      </c>
      <c r="Q1437" s="5" t="str">
        <f ca="1">IFERROR(__xludf.DUMMYFUNCTION("""COMPUTED_VALUE"""),"Inside School Building")</f>
        <v>Inside School Building</v>
      </c>
      <c r="R1437" s="5" t="str">
        <f ca="1">IFERROR(__xludf.DUMMYFUNCTION("""COMPUTED_VALUE"""),"Yes")</f>
        <v>Yes</v>
      </c>
      <c r="S1437" s="5" t="str">
        <f ca="1">IFERROR(__xludf.DUMMYFUNCTION("""COMPUTED_VALUE"""),"Morning Classes")</f>
        <v>Morning Classes</v>
      </c>
      <c r="T1437" s="10">
        <f ca="1">IFERROR(__xludf.DUMMYFUNCTION("""COMPUTED_VALUE"""),0.416666666666666)</f>
        <v>0.41666666666666602</v>
      </c>
      <c r="U1437" s="5">
        <f ca="1">IFERROR(__xludf.DUMMYFUNCTION("""COMPUTED_VALUE"""),1)</f>
        <v>1</v>
      </c>
      <c r="V1437" s="5" t="str">
        <f ca="1">IFERROR(__xludf.DUMMYFUNCTION("""COMPUTED_VALUE"""),"Principal grabbed gun during fight between student, shot in foot")</f>
        <v>Principal grabbed gun during fight between student, shot in foot</v>
      </c>
      <c r="W1437"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X1437" s="5" t="str">
        <f ca="1">IFERROR(__xludf.DUMMYFUNCTION("""COMPUTED_VALUE"""),"Escalation of Dispute")</f>
        <v>Escalation of Dispute</v>
      </c>
      <c r="Y1437" s="5" t="str">
        <f ca="1">IFERROR(__xludf.DUMMYFUNCTION("""COMPUTED_VALUE"""),"Random Shooting")</f>
        <v>Random Shooting</v>
      </c>
      <c r="Z1437" s="5" t="str">
        <f ca="1">IFERROR(__xludf.DUMMYFUNCTION("""COMPUTED_VALUE"""),"No")</f>
        <v>No</v>
      </c>
      <c r="AA1437" s="5"/>
      <c r="AB1437" s="5" t="str">
        <f ca="1">IFERROR(__xludf.DUMMYFUNCTION("""COMPUTED_VALUE"""),"No")</f>
        <v>No</v>
      </c>
      <c r="AC1437" s="5" t="str">
        <f ca="1">IFERROR(__xludf.DUMMYFUNCTION("""COMPUTED_VALUE"""),"No")</f>
        <v>No</v>
      </c>
      <c r="AD1437" s="5" t="str">
        <f ca="1">IFERROR(__xludf.DUMMYFUNCTION("""COMPUTED_VALUE"""),"No")</f>
        <v>No</v>
      </c>
      <c r="AE1437" s="5" t="str">
        <f ca="1">IFERROR(__xludf.DUMMYFUNCTION("""COMPUTED_VALUE"""),"No")</f>
        <v>No</v>
      </c>
      <c r="AF1437" s="5" t="str">
        <f ca="1">IFERROR(__xludf.DUMMYFUNCTION("""COMPUTED_VALUE"""),"No")</f>
        <v>No</v>
      </c>
      <c r="AG1437" s="5" t="str">
        <f ca="1">IFERROR(__xludf.DUMMYFUNCTION("""COMPUTED_VALUE"""),"No")</f>
        <v>No</v>
      </c>
      <c r="AH1437" s="5"/>
    </row>
    <row r="1438" spans="1:34" ht="12.75">
      <c r="A1438" s="5" t="str">
        <f ca="1">IFERROR(__xludf.DUMMYFUNCTION("""COMPUTED_VALUE"""),"19990927FLEGT")</f>
        <v>19990927FLEGT</v>
      </c>
      <c r="B1438" s="8">
        <f ca="1">IFERROR(__xludf.DUMMYFUNCTION("""COMPUTED_VALUE"""),36430)</f>
        <v>36430</v>
      </c>
      <c r="C1438" s="5" t="str">
        <f ca="1">IFERROR(__xludf.DUMMYFUNCTION("""COMPUTED_VALUE"""),"Egypt Lake Elementary School")</f>
        <v>Egypt Lake Elementary School</v>
      </c>
      <c r="D1438" s="5">
        <f ca="1">IFERROR(__xludf.DUMMYFUNCTION("""COMPUTED_VALUE"""),0)</f>
        <v>0</v>
      </c>
      <c r="E1438" s="5">
        <f ca="1">IFERROR(__xludf.DUMMYFUNCTION("""COMPUTED_VALUE"""),1)</f>
        <v>1</v>
      </c>
      <c r="F1438" s="5">
        <f ca="1">IFERROR(__xludf.DUMMYFUNCTION("""COMPUTED_VALUE"""),1)</f>
        <v>1</v>
      </c>
      <c r="G1438" s="5">
        <f ca="1">IFERROR(__xludf.DUMMYFUNCTION("""COMPUTED_VALUE"""),0)</f>
        <v>0</v>
      </c>
      <c r="H1438" s="9" t="str">
        <f ca="1">IFERROR(__xludf.DUMMYFUNCTION("""COMPUTED_VALUE"""),"https://www.newspapers.com/image/327236803/?terms=Lauren%2BKlingensmith")</f>
        <v>https://www.newspapers.com/image/327236803/?terms=Lauren%2BKlingensmith</v>
      </c>
      <c r="I1438" s="5"/>
      <c r="J1438" s="5"/>
      <c r="K1438" s="5">
        <f ca="1">IFERROR(__xludf.DUMMYFUNCTION("""COMPUTED_VALUE"""),2)</f>
        <v>2</v>
      </c>
      <c r="L1438" s="5" t="str">
        <f ca="1">IFERROR(__xludf.DUMMYFUNCTION("""COMPUTED_VALUE"""),"Fall")</f>
        <v>Fall</v>
      </c>
      <c r="M1438" s="5" t="str">
        <f ca="1">IFERROR(__xludf.DUMMYFUNCTION("""COMPUTED_VALUE"""),"Tampa")</f>
        <v>Tampa</v>
      </c>
      <c r="N1438" s="5" t="str">
        <f ca="1">IFERROR(__xludf.DUMMYFUNCTION("""COMPUTED_VALUE"""),"FL")</f>
        <v>FL</v>
      </c>
      <c r="O1438" s="5" t="str">
        <f ca="1">IFERROR(__xludf.DUMMYFUNCTION("""COMPUTED_VALUE"""),"Elementary")</f>
        <v>Elementary</v>
      </c>
      <c r="P1438" s="5" t="str">
        <f ca="1">IFERROR(__xludf.DUMMYFUNCTION("""COMPUTED_VALUE"""),"Beside Building")</f>
        <v>Beside Building</v>
      </c>
      <c r="Q1438" s="5" t="str">
        <f ca="1">IFERROR(__xludf.DUMMYFUNCTION("""COMPUTED_VALUE"""),"Outside on School Property")</f>
        <v>Outside on School Property</v>
      </c>
      <c r="R1438" s="5" t="str">
        <f ca="1">IFERROR(__xludf.DUMMYFUNCTION("""COMPUTED_VALUE"""),"Yes")</f>
        <v>Yes</v>
      </c>
      <c r="S1438" s="5" t="str">
        <f ca="1">IFERROR(__xludf.DUMMYFUNCTION("""COMPUTED_VALUE"""),"Before School")</f>
        <v>Before School</v>
      </c>
      <c r="T1438" s="10">
        <f ca="1">IFERROR(__xludf.DUMMYFUNCTION("""COMPUTED_VALUE"""),0.3125)</f>
        <v>0.3125</v>
      </c>
      <c r="U1438" s="5">
        <f ca="1">IFERROR(__xludf.DUMMYFUNCTION("""COMPUTED_VALUE"""),1)</f>
        <v>1</v>
      </c>
      <c r="V1438" s="5" t="str">
        <f ca="1">IFERROR(__xludf.DUMMYFUNCTION("""COMPUTED_VALUE"""),"Girl shot in head outside of school, long range shot")</f>
        <v>Girl shot in head outside of school, long range shot</v>
      </c>
      <c r="W1438"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X1438" s="5" t="str">
        <f ca="1">IFERROR(__xludf.DUMMYFUNCTION("""COMPUTED_VALUE"""),"Accidental")</f>
        <v>Accidental</v>
      </c>
      <c r="Y1438" s="5" t="str">
        <f ca="1">IFERROR(__xludf.DUMMYFUNCTION("""COMPUTED_VALUE"""),"Random Shooting")</f>
        <v>Random Shooting</v>
      </c>
      <c r="Z1438" s="5" t="str">
        <f ca="1">IFERROR(__xludf.DUMMYFUNCTION("""COMPUTED_VALUE"""),"No")</f>
        <v>No</v>
      </c>
      <c r="AA1438" s="5"/>
      <c r="AB1438" s="5" t="str">
        <f ca="1">IFERROR(__xludf.DUMMYFUNCTION("""COMPUTED_VALUE"""),"No")</f>
        <v>No</v>
      </c>
      <c r="AC1438" s="5" t="str">
        <f ca="1">IFERROR(__xludf.DUMMYFUNCTION("""COMPUTED_VALUE"""),"No")</f>
        <v>No</v>
      </c>
      <c r="AD1438" s="5" t="str">
        <f ca="1">IFERROR(__xludf.DUMMYFUNCTION("""COMPUTED_VALUE"""),"No")</f>
        <v>No</v>
      </c>
      <c r="AE1438" s="5" t="str">
        <f ca="1">IFERROR(__xludf.DUMMYFUNCTION("""COMPUTED_VALUE"""),"No")</f>
        <v>No</v>
      </c>
      <c r="AF1438" s="5" t="str">
        <f ca="1">IFERROR(__xludf.DUMMYFUNCTION("""COMPUTED_VALUE"""),"No")</f>
        <v>No</v>
      </c>
      <c r="AG1438" s="5" t="str">
        <f ca="1">IFERROR(__xludf.DUMMYFUNCTION("""COMPUTED_VALUE"""),"No")</f>
        <v>No</v>
      </c>
      <c r="AH1438" s="5"/>
    </row>
    <row r="1439" spans="1:34" ht="12.75">
      <c r="A1439" s="5" t="str">
        <f ca="1">IFERROR(__xludf.DUMMYFUNCTION("""COMPUTED_VALUE"""),"19990909CASAS")</f>
        <v>19990909CASAS</v>
      </c>
      <c r="B1439" s="8">
        <f ca="1">IFERROR(__xludf.DUMMYFUNCTION("""COMPUTED_VALUE"""),36412)</f>
        <v>36412</v>
      </c>
      <c r="C1439" s="5" t="str">
        <f ca="1">IFERROR(__xludf.DUMMYFUNCTION("""COMPUTED_VALUE"""),"Santa Teresa High School")</f>
        <v>Santa Teresa High School</v>
      </c>
      <c r="D1439" s="5">
        <f ca="1">IFERROR(__xludf.DUMMYFUNCTION("""COMPUTED_VALUE"""),0)</f>
        <v>0</v>
      </c>
      <c r="E1439" s="5">
        <f ca="1">IFERROR(__xludf.DUMMYFUNCTION("""COMPUTED_VALUE"""),0)</f>
        <v>0</v>
      </c>
      <c r="F1439" s="5">
        <f ca="1">IFERROR(__xludf.DUMMYFUNCTION("""COMPUTED_VALUE"""),0)</f>
        <v>0</v>
      </c>
      <c r="G1439" s="5">
        <f ca="1">IFERROR(__xludf.DUMMYFUNCTION("""COMPUTED_VALUE"""),1)</f>
        <v>1</v>
      </c>
      <c r="H1439" s="9" t="str">
        <f ca="1">IFERROR(__xludf.DUMMYFUNCTION("""COMPUTED_VALUE"""),"https://www.sfgate.com/bayarea/article/San-Jose-Boy-16-Fatally-Shoots-Himself-at-High-2909269.php")</f>
        <v>https://www.sfgate.com/bayarea/article/San-Jose-Boy-16-Fatally-Shoots-Himself-at-High-2909269.php</v>
      </c>
      <c r="I1439" s="5"/>
      <c r="J1439" s="5"/>
      <c r="K1439" s="5">
        <f ca="1">IFERROR(__xludf.DUMMYFUNCTION("""COMPUTED_VALUE"""),2)</f>
        <v>2</v>
      </c>
      <c r="L1439" s="5" t="str">
        <f ca="1">IFERROR(__xludf.DUMMYFUNCTION("""COMPUTED_VALUE"""),"Fall")</f>
        <v>Fall</v>
      </c>
      <c r="M1439" s="5" t="str">
        <f ca="1">IFERROR(__xludf.DUMMYFUNCTION("""COMPUTED_VALUE"""),"San Jose")</f>
        <v>San Jose</v>
      </c>
      <c r="N1439" s="5" t="str">
        <f ca="1">IFERROR(__xludf.DUMMYFUNCTION("""COMPUTED_VALUE"""),"CA")</f>
        <v>CA</v>
      </c>
      <c r="O1439" s="5" t="str">
        <f ca="1">IFERROR(__xludf.DUMMYFUNCTION("""COMPUTED_VALUE"""),"High")</f>
        <v>High</v>
      </c>
      <c r="P1439" s="5" t="str">
        <f ca="1">IFERROR(__xludf.DUMMYFUNCTION("""COMPUTED_VALUE"""),"Bathroom")</f>
        <v>Bathroom</v>
      </c>
      <c r="Q1439" s="5" t="str">
        <f ca="1">IFERROR(__xludf.DUMMYFUNCTION("""COMPUTED_VALUE"""),"Inside School Building")</f>
        <v>Inside School Building</v>
      </c>
      <c r="R1439" s="5" t="str">
        <f ca="1">IFERROR(__xludf.DUMMYFUNCTION("""COMPUTED_VALUE"""),"Yes")</f>
        <v>Yes</v>
      </c>
      <c r="S1439" s="5" t="str">
        <f ca="1">IFERROR(__xludf.DUMMYFUNCTION("""COMPUTED_VALUE"""),"Morning Classes")</f>
        <v>Morning Classes</v>
      </c>
      <c r="T1439" s="10">
        <f ca="1">IFERROR(__xludf.DUMMYFUNCTION("""COMPUTED_VALUE"""),0.354166666666666)</f>
        <v>0.35416666666666602</v>
      </c>
      <c r="U1439" s="5">
        <f ca="1">IFERROR(__xludf.DUMMYFUNCTION("""COMPUTED_VALUE"""),1)</f>
        <v>1</v>
      </c>
      <c r="V1439" s="5" t="str">
        <f ca="1">IFERROR(__xludf.DUMMYFUNCTION("""COMPUTED_VALUE"""),"Shot self in school bathroom")</f>
        <v>Shot self in school bathroom</v>
      </c>
      <c r="W1439" s="5" t="str">
        <f ca="1">IFERROR(__xludf.DUMMYFUNCTION("""COMPUTED_VALUE"""),"Well liked student shot himself in the chest in the bathroom.")</f>
        <v>Well liked student shot himself in the chest in the bathroom.</v>
      </c>
      <c r="X1439" s="5" t="str">
        <f ca="1">IFERROR(__xludf.DUMMYFUNCTION("""COMPUTED_VALUE"""),"Suicide/Attempted")</f>
        <v>Suicide/Attempted</v>
      </c>
      <c r="Y1439" s="5" t="str">
        <f ca="1">IFERROR(__xludf.DUMMYFUNCTION("""COMPUTED_VALUE"""),"Victims Targeted")</f>
        <v>Victims Targeted</v>
      </c>
      <c r="Z1439" s="5" t="str">
        <f ca="1">IFERROR(__xludf.DUMMYFUNCTION("""COMPUTED_VALUE"""),"No")</f>
        <v>No</v>
      </c>
      <c r="AA1439" s="5"/>
      <c r="AB1439" s="5" t="str">
        <f ca="1">IFERROR(__xludf.DUMMYFUNCTION("""COMPUTED_VALUE"""),"No")</f>
        <v>No</v>
      </c>
      <c r="AC1439" s="5" t="str">
        <f ca="1">IFERROR(__xludf.DUMMYFUNCTION("""COMPUTED_VALUE"""),"No")</f>
        <v>No</v>
      </c>
      <c r="AD1439" s="5" t="str">
        <f ca="1">IFERROR(__xludf.DUMMYFUNCTION("""COMPUTED_VALUE"""),"No")</f>
        <v>No</v>
      </c>
      <c r="AE1439" s="5" t="str">
        <f ca="1">IFERROR(__xludf.DUMMYFUNCTION("""COMPUTED_VALUE"""),"No")</f>
        <v>No</v>
      </c>
      <c r="AF1439" s="5" t="str">
        <f ca="1">IFERROR(__xludf.DUMMYFUNCTION("""COMPUTED_VALUE"""),"No")</f>
        <v>No</v>
      </c>
      <c r="AG1439" s="5" t="str">
        <f ca="1">IFERROR(__xludf.DUMMYFUNCTION("""COMPUTED_VALUE"""),"No")</f>
        <v>No</v>
      </c>
      <c r="AH1439" s="5"/>
    </row>
    <row r="1440" spans="1:34" ht="12.75">
      <c r="A1440" s="5" t="str">
        <f ca="1">IFERROR(__xludf.DUMMYFUNCTION("""COMPUTED_VALUE"""),"19990825GAJAM")</f>
        <v>19990825GAJAM</v>
      </c>
      <c r="B1440" s="8">
        <f ca="1">IFERROR(__xludf.DUMMYFUNCTION("""COMPUTED_VALUE"""),36397)</f>
        <v>36397</v>
      </c>
      <c r="C1440" s="5" t="str">
        <f ca="1">IFERROR(__xludf.DUMMYFUNCTION("""COMPUTED_VALUE"""),"Jasper County High School")</f>
        <v>Jasper County High School</v>
      </c>
      <c r="D1440" s="5">
        <f ca="1">IFERROR(__xludf.DUMMYFUNCTION("""COMPUTED_VALUE"""),0)</f>
        <v>0</v>
      </c>
      <c r="E1440" s="5">
        <f ca="1">IFERROR(__xludf.DUMMYFUNCTION("""COMPUTED_VALUE"""),0)</f>
        <v>0</v>
      </c>
      <c r="F1440" s="5">
        <f ca="1">IFERROR(__xludf.DUMMYFUNCTION("""COMPUTED_VALUE"""),0)</f>
        <v>0</v>
      </c>
      <c r="G1440" s="5">
        <f ca="1">IFERROR(__xludf.DUMMYFUNCTION("""COMPUTED_VALUE"""),1)</f>
        <v>1</v>
      </c>
      <c r="H1440" s="9" t="str">
        <f ca="1">IFERROR(__xludf.DUMMYFUNCTION("""COMPUTED_VALUE"""),"https://www.cbsnews.com/news/ga-teen-found-dead-in-truck/")</f>
        <v>https://www.cbsnews.com/news/ga-teen-found-dead-in-truck/</v>
      </c>
      <c r="I1440" s="5"/>
      <c r="J1440" s="5"/>
      <c r="K1440" s="5">
        <f ca="1">IFERROR(__xludf.DUMMYFUNCTION("""COMPUTED_VALUE"""),2)</f>
        <v>2</v>
      </c>
      <c r="L1440" s="5" t="str">
        <f ca="1">IFERROR(__xludf.DUMMYFUNCTION("""COMPUTED_VALUE"""),"Summer")</f>
        <v>Summer</v>
      </c>
      <c r="M1440" s="5" t="str">
        <f ca="1">IFERROR(__xludf.DUMMYFUNCTION("""COMPUTED_VALUE"""),"Monticello")</f>
        <v>Monticello</v>
      </c>
      <c r="N1440" s="5" t="str">
        <f ca="1">IFERROR(__xludf.DUMMYFUNCTION("""COMPUTED_VALUE"""),"GA")</f>
        <v>GA</v>
      </c>
      <c r="O1440" s="5" t="str">
        <f ca="1">IFERROR(__xludf.DUMMYFUNCTION("""COMPUTED_VALUE"""),"High")</f>
        <v>High</v>
      </c>
      <c r="P1440" s="5" t="str">
        <f ca="1">IFERROR(__xludf.DUMMYFUNCTION("""COMPUTED_VALUE"""),"Parking Lot")</f>
        <v>Parking Lot</v>
      </c>
      <c r="Q1440" s="5" t="str">
        <f ca="1">IFERROR(__xludf.DUMMYFUNCTION("""COMPUTED_VALUE"""),"Outside on School Property")</f>
        <v>Outside on School Property</v>
      </c>
      <c r="R1440" s="5" t="str">
        <f ca="1">IFERROR(__xludf.DUMMYFUNCTION("""COMPUTED_VALUE"""),"Yes")</f>
        <v>Yes</v>
      </c>
      <c r="S1440" s="5" t="str">
        <f ca="1">IFERROR(__xludf.DUMMYFUNCTION("""COMPUTED_VALUE"""),"Morning Classes")</f>
        <v>Morning Classes</v>
      </c>
      <c r="T1440" s="5"/>
      <c r="U1440" s="5">
        <f ca="1">IFERROR(__xludf.DUMMYFUNCTION("""COMPUTED_VALUE"""),1)</f>
        <v>1</v>
      </c>
      <c r="V1440" s="5" t="str">
        <f ca="1">IFERROR(__xludf.DUMMYFUNCTION("""COMPUTED_VALUE"""),"Suicide in parking lot of school")</f>
        <v>Suicide in parking lot of school</v>
      </c>
      <c r="W1440" s="5" t="str">
        <f ca="1">IFERROR(__xludf.DUMMYFUNCTION("""COMPUTED_VALUE"""),"16YOF shot herself in the parking lot of the school.")</f>
        <v>16YOF shot herself in the parking lot of the school.</v>
      </c>
      <c r="X1440" s="5" t="str">
        <f ca="1">IFERROR(__xludf.DUMMYFUNCTION("""COMPUTED_VALUE"""),"Suicide/Attempted")</f>
        <v>Suicide/Attempted</v>
      </c>
      <c r="Y1440" s="5" t="str">
        <f ca="1">IFERROR(__xludf.DUMMYFUNCTION("""COMPUTED_VALUE"""),"Victims Targeted")</f>
        <v>Victims Targeted</v>
      </c>
      <c r="Z1440" s="5" t="str">
        <f ca="1">IFERROR(__xludf.DUMMYFUNCTION("""COMPUTED_VALUE"""),"No")</f>
        <v>No</v>
      </c>
      <c r="AA1440" s="5"/>
      <c r="AB1440" s="5" t="str">
        <f ca="1">IFERROR(__xludf.DUMMYFUNCTION("""COMPUTED_VALUE"""),"No")</f>
        <v>No</v>
      </c>
      <c r="AC1440" s="5" t="str">
        <f ca="1">IFERROR(__xludf.DUMMYFUNCTION("""COMPUTED_VALUE"""),"No")</f>
        <v>No</v>
      </c>
      <c r="AD1440" s="5" t="str">
        <f ca="1">IFERROR(__xludf.DUMMYFUNCTION("""COMPUTED_VALUE"""),"No")</f>
        <v>No</v>
      </c>
      <c r="AE1440" s="5" t="str">
        <f ca="1">IFERROR(__xludf.DUMMYFUNCTION("""COMPUTED_VALUE"""),"No")</f>
        <v>No</v>
      </c>
      <c r="AF1440" s="5" t="str">
        <f ca="1">IFERROR(__xludf.DUMMYFUNCTION("""COMPUTED_VALUE"""),"No")</f>
        <v>No</v>
      </c>
      <c r="AG1440" s="5" t="str">
        <f ca="1">IFERROR(__xludf.DUMMYFUNCTION("""COMPUTED_VALUE"""),"No")</f>
        <v>No</v>
      </c>
      <c r="AH1440" s="5"/>
    </row>
    <row r="1441" spans="1:34" ht="12.75">
      <c r="A1441" s="5" t="str">
        <f ca="1">IFERROR(__xludf.DUMMYFUNCTION("""COMPUTED_VALUE"""),"19990520GAHEC")</f>
        <v>19990520GAHEC</v>
      </c>
      <c r="B1441" s="8">
        <f ca="1">IFERROR(__xludf.DUMMYFUNCTION("""COMPUTED_VALUE"""),36300)</f>
        <v>36300</v>
      </c>
      <c r="C1441" s="5" t="str">
        <f ca="1">IFERROR(__xludf.DUMMYFUNCTION("""COMPUTED_VALUE"""),"Heritage High School")</f>
        <v>Heritage High School</v>
      </c>
      <c r="D1441" s="5">
        <f ca="1">IFERROR(__xludf.DUMMYFUNCTION("""COMPUTED_VALUE"""),0)</f>
        <v>0</v>
      </c>
      <c r="E1441" s="5">
        <f ca="1">IFERROR(__xludf.DUMMYFUNCTION("""COMPUTED_VALUE"""),6)</f>
        <v>6</v>
      </c>
      <c r="F1441" s="5">
        <f ca="1">IFERROR(__xludf.DUMMYFUNCTION("""COMPUTED_VALUE"""),6)</f>
        <v>6</v>
      </c>
      <c r="G1441" s="5">
        <f ca="1">IFERROR(__xludf.DUMMYFUNCTION("""COMPUTED_VALUE"""),0)</f>
        <v>0</v>
      </c>
      <c r="H1441"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I1441" s="5"/>
      <c r="J1441" s="5"/>
      <c r="K1441" s="5">
        <f ca="1">IFERROR(__xludf.DUMMYFUNCTION("""COMPUTED_VALUE"""),5)</f>
        <v>5</v>
      </c>
      <c r="L1441" s="5" t="str">
        <f ca="1">IFERROR(__xludf.DUMMYFUNCTION("""COMPUTED_VALUE"""),"Spring")</f>
        <v>Spring</v>
      </c>
      <c r="M1441" s="5" t="str">
        <f ca="1">IFERROR(__xludf.DUMMYFUNCTION("""COMPUTED_VALUE"""),"Conyers")</f>
        <v>Conyers</v>
      </c>
      <c r="N1441" s="5" t="str">
        <f ca="1">IFERROR(__xludf.DUMMYFUNCTION("""COMPUTED_VALUE"""),"GA")</f>
        <v>GA</v>
      </c>
      <c r="O1441" s="5" t="str">
        <f ca="1">IFERROR(__xludf.DUMMYFUNCTION("""COMPUTED_VALUE"""),"High")</f>
        <v>High</v>
      </c>
      <c r="P1441" s="5" t="str">
        <f ca="1">IFERROR(__xludf.DUMMYFUNCTION("""COMPUTED_VALUE"""),"Hallway")</f>
        <v>Hallway</v>
      </c>
      <c r="Q1441" s="5" t="str">
        <f ca="1">IFERROR(__xludf.DUMMYFUNCTION("""COMPUTED_VALUE"""),"Inside School Building")</f>
        <v>Inside School Building</v>
      </c>
      <c r="R1441" s="5" t="str">
        <f ca="1">IFERROR(__xludf.DUMMYFUNCTION("""COMPUTED_VALUE"""),"Yes")</f>
        <v>Yes</v>
      </c>
      <c r="S1441" s="5" t="str">
        <f ca="1">IFERROR(__xludf.DUMMYFUNCTION("""COMPUTED_VALUE"""),"Morning Classes")</f>
        <v>Morning Classes</v>
      </c>
      <c r="T1441" s="10">
        <f ca="1">IFERROR(__xludf.DUMMYFUNCTION("""COMPUTED_VALUE"""),0.335416666666666)</f>
        <v>0.33541666666666597</v>
      </c>
      <c r="U1441" s="5">
        <f ca="1">IFERROR(__xludf.DUMMYFUNCTION("""COMPUTED_VALUE"""),2)</f>
        <v>2</v>
      </c>
      <c r="V1441" s="5" t="str">
        <f ca="1">IFERROR(__xludf.DUMMYFUNCTION("""COMPUTED_VALUE"""),"Columbine inspired, depressed, told other students about desire to commit school shooting")</f>
        <v>Columbine inspired, depressed, told other students about desire to commit school shooting</v>
      </c>
      <c r="W1441"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X1441" s="5" t="str">
        <f ca="1">IFERROR(__xludf.DUMMYFUNCTION("""COMPUTED_VALUE"""),"Indiscriminate Shooting")</f>
        <v>Indiscriminate Shooting</v>
      </c>
      <c r="Y1441" s="5" t="str">
        <f ca="1">IFERROR(__xludf.DUMMYFUNCTION("""COMPUTED_VALUE"""),"Random Shooting")</f>
        <v>Random Shooting</v>
      </c>
      <c r="Z1441" s="5" t="str">
        <f ca="1">IFERROR(__xludf.DUMMYFUNCTION("""COMPUTED_VALUE"""),"No")</f>
        <v>No</v>
      </c>
      <c r="AA1441" s="5"/>
      <c r="AB1441" s="5" t="str">
        <f ca="1">IFERROR(__xludf.DUMMYFUNCTION("""COMPUTED_VALUE"""),"No")</f>
        <v>No</v>
      </c>
      <c r="AC1441" s="5" t="str">
        <f ca="1">IFERROR(__xludf.DUMMYFUNCTION("""COMPUTED_VALUE"""),"No")</f>
        <v>No</v>
      </c>
      <c r="AD1441" s="5" t="str">
        <f ca="1">IFERROR(__xludf.DUMMYFUNCTION("""COMPUTED_VALUE"""),"No")</f>
        <v>No</v>
      </c>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IFERROR(__xludf.DUMMYFUNCTION("""COMPUTED_VALUE"""),"Yes")</f>
        <v>Yes</v>
      </c>
    </row>
    <row r="1442" spans="1:34" ht="12.75">
      <c r="A1442" s="5" t="str">
        <f ca="1">IFERROR(__xludf.DUMMYFUNCTION("""COMPUTED_VALUE"""),"19990422LASCB")</f>
        <v>19990422LASCB</v>
      </c>
      <c r="B1442" s="8">
        <f ca="1">IFERROR(__xludf.DUMMYFUNCTION("""COMPUTED_VALUE"""),36272)</f>
        <v>36272</v>
      </c>
      <c r="C1442" s="5" t="str">
        <f ca="1">IFERROR(__xludf.DUMMYFUNCTION("""COMPUTED_VALUE"""),"Scotlandville Middle School")</f>
        <v>Scotlandville Middle School</v>
      </c>
      <c r="D1442" s="5">
        <f ca="1">IFERROR(__xludf.DUMMYFUNCTION("""COMPUTED_VALUE"""),0)</f>
        <v>0</v>
      </c>
      <c r="E1442" s="5">
        <f ca="1">IFERROR(__xludf.DUMMYFUNCTION("""COMPUTED_VALUE"""),1)</f>
        <v>1</v>
      </c>
      <c r="F1442" s="5">
        <f ca="1">IFERROR(__xludf.DUMMYFUNCTION("""COMPUTED_VALUE"""),1)</f>
        <v>1</v>
      </c>
      <c r="G1442" s="5">
        <f ca="1">IFERROR(__xludf.DUMMYFUNCTION("""COMPUTED_VALUE"""),0)</f>
        <v>0</v>
      </c>
      <c r="H1442"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I1442" s="5"/>
      <c r="J1442" s="5"/>
      <c r="K1442" s="5">
        <f ca="1">IFERROR(__xludf.DUMMYFUNCTION("""COMPUTED_VALUE"""),1)</f>
        <v>1</v>
      </c>
      <c r="L1442" s="5" t="str">
        <f ca="1">IFERROR(__xludf.DUMMYFUNCTION("""COMPUTED_VALUE"""),"Spring")</f>
        <v>Spring</v>
      </c>
      <c r="M1442" s="5" t="str">
        <f ca="1">IFERROR(__xludf.DUMMYFUNCTION("""COMPUTED_VALUE"""),"Baton Rouge")</f>
        <v>Baton Rouge</v>
      </c>
      <c r="N1442" s="5" t="str">
        <f ca="1">IFERROR(__xludf.DUMMYFUNCTION("""COMPUTED_VALUE"""),"LA")</f>
        <v>LA</v>
      </c>
      <c r="O1442" s="5" t="str">
        <f ca="1">IFERROR(__xludf.DUMMYFUNCTION("""COMPUTED_VALUE"""),"Middle")</f>
        <v>Middle</v>
      </c>
      <c r="P1442" s="5" t="str">
        <f ca="1">IFERROR(__xludf.DUMMYFUNCTION("""COMPUTED_VALUE"""),"Beside Building")</f>
        <v>Beside Building</v>
      </c>
      <c r="Q1442" s="5" t="str">
        <f ca="1">IFERROR(__xludf.DUMMYFUNCTION("""COMPUTED_VALUE"""),"Outside on School Property")</f>
        <v>Outside on School Property</v>
      </c>
      <c r="R1442" s="5" t="str">
        <f ca="1">IFERROR(__xludf.DUMMYFUNCTION("""COMPUTED_VALUE"""),"Yes")</f>
        <v>Yes</v>
      </c>
      <c r="S1442" s="5" t="str">
        <f ca="1">IFERROR(__xludf.DUMMYFUNCTION("""COMPUTED_VALUE"""),"Lunch")</f>
        <v>Lunch</v>
      </c>
      <c r="T1442" s="10">
        <f ca="1">IFERROR(__xludf.DUMMYFUNCTION("""COMPUTED_VALUE"""),0.520833333333333)</f>
        <v>0.52083333333333304</v>
      </c>
      <c r="U1442" s="5">
        <f ca="1">IFERROR(__xludf.DUMMYFUNCTION("""COMPUTED_VALUE"""),1)</f>
        <v>1</v>
      </c>
      <c r="V1442" s="5" t="str">
        <f ca="1">IFERROR(__xludf.DUMMYFUNCTION("""COMPUTED_VALUE"""),"Shooter targeted victim due to prior fight, hit the girl the target was walking with")</f>
        <v>Shooter targeted victim due to prior fight, hit the girl the target was walking with</v>
      </c>
      <c r="W1442"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X1442" s="5" t="str">
        <f ca="1">IFERROR(__xludf.DUMMYFUNCTION("""COMPUTED_VALUE"""),"Escalation of Dispute")</f>
        <v>Escalation of Dispute</v>
      </c>
      <c r="Y1442" s="5" t="str">
        <f ca="1">IFERROR(__xludf.DUMMYFUNCTION("""COMPUTED_VALUE"""),"Both")</f>
        <v>Both</v>
      </c>
      <c r="Z1442" s="5" t="str">
        <f ca="1">IFERROR(__xludf.DUMMYFUNCTION("""COMPUTED_VALUE"""),"No")</f>
        <v>No</v>
      </c>
      <c r="AA1442" s="5"/>
      <c r="AB1442" s="5" t="str">
        <f ca="1">IFERROR(__xludf.DUMMYFUNCTION("""COMPUTED_VALUE"""),"No")</f>
        <v>No</v>
      </c>
      <c r="AC1442" s="5" t="str">
        <f ca="1">IFERROR(__xludf.DUMMYFUNCTION("""COMPUTED_VALUE"""),"No")</f>
        <v>No</v>
      </c>
      <c r="AD1442" s="5" t="str">
        <f ca="1">IFERROR(__xludf.DUMMYFUNCTION("""COMPUTED_VALUE"""),"No")</f>
        <v>No</v>
      </c>
      <c r="AE1442" s="5" t="str">
        <f ca="1">IFERROR(__xludf.DUMMYFUNCTION("""COMPUTED_VALUE"""),"No")</f>
        <v>No</v>
      </c>
      <c r="AF1442" s="5" t="str">
        <f ca="1">IFERROR(__xludf.DUMMYFUNCTION("""COMPUTED_VALUE"""),"No")</f>
        <v>No</v>
      </c>
      <c r="AG1442" s="5" t="str">
        <f ca="1">IFERROR(__xludf.DUMMYFUNCTION("""COMPUTED_VALUE"""),"No")</f>
        <v>No</v>
      </c>
      <c r="AH1442" s="5"/>
    </row>
    <row r="1443" spans="1:34" ht="12.75">
      <c r="A1443" s="5" t="str">
        <f ca="1">IFERROR(__xludf.DUMMYFUNCTION("""COMPUTED_VALUE"""),"19990422GAMAA")</f>
        <v>19990422GAMAA</v>
      </c>
      <c r="B1443" s="8">
        <f ca="1">IFERROR(__xludf.DUMMYFUNCTION("""COMPUTED_VALUE"""),36272)</f>
        <v>36272</v>
      </c>
      <c r="C1443" s="5" t="str">
        <f ca="1">IFERROR(__xludf.DUMMYFUNCTION("""COMPUTED_VALUE"""),"Martin Luther King Jr. Middle School")</f>
        <v>Martin Luther King Jr. Middle School</v>
      </c>
      <c r="D1443" s="5">
        <f ca="1">IFERROR(__xludf.DUMMYFUNCTION("""COMPUTED_VALUE"""),1)</f>
        <v>1</v>
      </c>
      <c r="E1443" s="5">
        <f ca="1">IFERROR(__xludf.DUMMYFUNCTION("""COMPUTED_VALUE"""),0)</f>
        <v>0</v>
      </c>
      <c r="F1443" s="5">
        <f ca="1">IFERROR(__xludf.DUMMYFUNCTION("""COMPUTED_VALUE"""),1)</f>
        <v>1</v>
      </c>
      <c r="G1443" s="5">
        <f ca="1">IFERROR(__xludf.DUMMYFUNCTION("""COMPUTED_VALUE"""),0)</f>
        <v>0</v>
      </c>
      <c r="H1443" s="9" t="str">
        <f ca="1">IFERROR(__xludf.DUMMYFUNCTION("""COMPUTED_VALUE"""),"https://www.newspapers.com/image/403219735/?terms=Geno%2BThomas%2Bshooting")</f>
        <v>https://www.newspapers.com/image/403219735/?terms=Geno%2BThomas%2Bshooting</v>
      </c>
      <c r="I1443" s="5"/>
      <c r="J1443" s="5"/>
      <c r="K1443" s="5">
        <f ca="1">IFERROR(__xludf.DUMMYFUNCTION("""COMPUTED_VALUE"""),2)</f>
        <v>2</v>
      </c>
      <c r="L1443" s="5" t="str">
        <f ca="1">IFERROR(__xludf.DUMMYFUNCTION("""COMPUTED_VALUE"""),"Spring")</f>
        <v>Spring</v>
      </c>
      <c r="M1443" s="5" t="str">
        <f ca="1">IFERROR(__xludf.DUMMYFUNCTION("""COMPUTED_VALUE"""),"Atlanta")</f>
        <v>Atlanta</v>
      </c>
      <c r="N1443" s="5" t="str">
        <f ca="1">IFERROR(__xludf.DUMMYFUNCTION("""COMPUTED_VALUE"""),"GA")</f>
        <v>GA</v>
      </c>
      <c r="O1443" s="5" t="str">
        <f ca="1">IFERROR(__xludf.DUMMYFUNCTION("""COMPUTED_VALUE"""),"Middle")</f>
        <v>Middle</v>
      </c>
      <c r="P1443" s="5" t="str">
        <f ca="1">IFERROR(__xludf.DUMMYFUNCTION("""COMPUTED_VALUE"""),"Parking Lot")</f>
        <v>Parking Lot</v>
      </c>
      <c r="Q1443" s="5" t="str">
        <f ca="1">IFERROR(__xludf.DUMMYFUNCTION("""COMPUTED_VALUE"""),"Outside on School Property")</f>
        <v>Outside on School Property</v>
      </c>
      <c r="R1443" s="5" t="str">
        <f ca="1">IFERROR(__xludf.DUMMYFUNCTION("""COMPUTED_VALUE"""),"No")</f>
        <v>No</v>
      </c>
      <c r="S1443" s="5" t="str">
        <f ca="1">IFERROR(__xludf.DUMMYFUNCTION("""COMPUTED_VALUE"""),"Evening")</f>
        <v>Evening</v>
      </c>
      <c r="T1443" s="10">
        <f ca="1">IFERROR(__xludf.DUMMYFUNCTION("""COMPUTED_VALUE"""),0.90625)</f>
        <v>0.90625</v>
      </c>
      <c r="U1443" s="5">
        <f ca="1">IFERROR(__xludf.DUMMYFUNCTION("""COMPUTED_VALUE"""),1)</f>
        <v>1</v>
      </c>
      <c r="V1443" s="5" t="str">
        <f ca="1">IFERROR(__xludf.DUMMYFUNCTION("""COMPUTED_VALUE"""),"Victim shot in back outside school, shooter and victim had Ongoing dispute")</f>
        <v>Victim shot in back outside school, shooter and victim had Ongoing dispute</v>
      </c>
      <c r="W1443"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X1443" s="5" t="str">
        <f ca="1">IFERROR(__xludf.DUMMYFUNCTION("""COMPUTED_VALUE"""),"Escalation of Dispute")</f>
        <v>Escalation of Dispute</v>
      </c>
      <c r="Y1443" s="5" t="str">
        <f ca="1">IFERROR(__xludf.DUMMYFUNCTION("""COMPUTED_VALUE"""),"Victims Targeted")</f>
        <v>Victims Targeted</v>
      </c>
      <c r="Z1443" s="5" t="str">
        <f ca="1">IFERROR(__xludf.DUMMYFUNCTION("""COMPUTED_VALUE"""),"Yes")</f>
        <v>Yes</v>
      </c>
      <c r="AA1443" s="5" t="str">
        <f ca="1">IFERROR(__xludf.DUMMYFUNCTION("""COMPUTED_VALUE"""),"Shooter was with another teenager")</f>
        <v>Shooter was with another teenager</v>
      </c>
      <c r="AB1443" s="5" t="str">
        <f ca="1">IFERROR(__xludf.DUMMYFUNCTION("""COMPUTED_VALUE"""),"No")</f>
        <v>No</v>
      </c>
      <c r="AC1443" s="5" t="str">
        <f ca="1">IFERROR(__xludf.DUMMYFUNCTION("""COMPUTED_VALUE"""),"No")</f>
        <v>No</v>
      </c>
      <c r="AD1443" s="5" t="str">
        <f ca="1">IFERROR(__xludf.DUMMYFUNCTION("""COMPUTED_VALUE"""),"No")</f>
        <v>No</v>
      </c>
      <c r="AE1443" s="5" t="str">
        <f ca="1">IFERROR(__xludf.DUMMYFUNCTION("""COMPUTED_VALUE"""),"No")</f>
        <v>No</v>
      </c>
      <c r="AF1443" s="5" t="str">
        <f ca="1">IFERROR(__xludf.DUMMYFUNCTION("""COMPUTED_VALUE"""),"No")</f>
        <v>No</v>
      </c>
      <c r="AG1443" s="5" t="str">
        <f ca="1">IFERROR(__xludf.DUMMYFUNCTION("""COMPUTED_VALUE"""),"No")</f>
        <v>No</v>
      </c>
      <c r="AH1443" s="5"/>
    </row>
    <row r="1444" spans="1:34" ht="12.75">
      <c r="A1444" s="5" t="str">
        <f ca="1">IFERROR(__xludf.DUMMYFUNCTION("""COMPUTED_VALUE"""),"19990420COCOL")</f>
        <v>19990420COCOL</v>
      </c>
      <c r="B1444" s="8">
        <f ca="1">IFERROR(__xludf.DUMMYFUNCTION("""COMPUTED_VALUE"""),36270)</f>
        <v>36270</v>
      </c>
      <c r="C1444" s="5" t="str">
        <f ca="1">IFERROR(__xludf.DUMMYFUNCTION("""COMPUTED_VALUE"""),"Columbine High School")</f>
        <v>Columbine High School</v>
      </c>
      <c r="D1444" s="5">
        <f ca="1">IFERROR(__xludf.DUMMYFUNCTION("""COMPUTED_VALUE"""),13)</f>
        <v>13</v>
      </c>
      <c r="E1444" s="5">
        <f ca="1">IFERROR(__xludf.DUMMYFUNCTION("""COMPUTED_VALUE"""),24)</f>
        <v>24</v>
      </c>
      <c r="F1444" s="5">
        <f ca="1">IFERROR(__xludf.DUMMYFUNCTION("""COMPUTED_VALUE"""),37)</f>
        <v>37</v>
      </c>
      <c r="G1444" s="5">
        <f ca="1">IFERROR(__xludf.DUMMYFUNCTION("""COMPUTED_VALUE"""),2)</f>
        <v>2</v>
      </c>
      <c r="H1444" s="9" t="str">
        <f ca="1">IFERROR(__xludf.DUMMYFUNCTION("""COMPUTED_VALUE"""),"https://www.history.com/topics/columbine-high-school-shootings")</f>
        <v>https://www.history.com/topics/columbine-high-school-shootings</v>
      </c>
      <c r="I1444" s="5"/>
      <c r="J1444" s="5"/>
      <c r="K1444" s="5">
        <f ca="1">IFERROR(__xludf.DUMMYFUNCTION("""COMPUTED_VALUE"""),5)</f>
        <v>5</v>
      </c>
      <c r="L1444" s="5" t="str">
        <f ca="1">IFERROR(__xludf.DUMMYFUNCTION("""COMPUTED_VALUE"""),"Spring")</f>
        <v>Spring</v>
      </c>
      <c r="M1444" s="5" t="str">
        <f ca="1">IFERROR(__xludf.DUMMYFUNCTION("""COMPUTED_VALUE"""),"Littleton")</f>
        <v>Littleton</v>
      </c>
      <c r="N1444" s="5" t="str">
        <f ca="1">IFERROR(__xludf.DUMMYFUNCTION("""COMPUTED_VALUE"""),"CO")</f>
        <v>CO</v>
      </c>
      <c r="O1444" s="5" t="str">
        <f ca="1">IFERROR(__xludf.DUMMYFUNCTION("""COMPUTED_VALUE"""),"High")</f>
        <v>High</v>
      </c>
      <c r="P1444" s="5" t="str">
        <f ca="1">IFERROR(__xludf.DUMMYFUNCTION("""COMPUTED_VALUE"""),"Cafeteria")</f>
        <v>Cafeteria</v>
      </c>
      <c r="Q1444" s="5" t="str">
        <f ca="1">IFERROR(__xludf.DUMMYFUNCTION("""COMPUTED_VALUE"""),"Inside School Building")</f>
        <v>Inside School Building</v>
      </c>
      <c r="R1444" s="5" t="str">
        <f ca="1">IFERROR(__xludf.DUMMYFUNCTION("""COMPUTED_VALUE"""),"Yes")</f>
        <v>Yes</v>
      </c>
      <c r="S1444" s="5" t="str">
        <f ca="1">IFERROR(__xludf.DUMMYFUNCTION("""COMPUTED_VALUE"""),"Morning Classes")</f>
        <v>Morning Classes</v>
      </c>
      <c r="T1444" s="10">
        <f ca="1">IFERROR(__xludf.DUMMYFUNCTION("""COMPUTED_VALUE"""),0.471527777777777)</f>
        <v>0.47152777777777699</v>
      </c>
      <c r="U1444" s="5">
        <f ca="1">IFERROR(__xludf.DUMMYFUNCTION("""COMPUTED_VALUE"""),49)</f>
        <v>49</v>
      </c>
      <c r="V1444" s="5" t="str">
        <f ca="1">IFERROR(__xludf.DUMMYFUNCTION("""COMPUTED_VALUE"""),"Planned attack and bombing of school")</f>
        <v>Planned attack and bombing of school</v>
      </c>
      <c r="W1444"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X1444" s="5" t="str">
        <f ca="1">IFERROR(__xludf.DUMMYFUNCTION("""COMPUTED_VALUE"""),"Indiscriminate Shooting")</f>
        <v>Indiscriminate Shooting</v>
      </c>
      <c r="Y1444" s="5" t="str">
        <f ca="1">IFERROR(__xludf.DUMMYFUNCTION("""COMPUTED_VALUE"""),"Both")</f>
        <v>Both</v>
      </c>
      <c r="Z1444" s="5" t="str">
        <f ca="1">IFERROR(__xludf.DUMMYFUNCTION("""COMPUTED_VALUE"""),"Yes")</f>
        <v>Yes</v>
      </c>
      <c r="AA1444" s="5" t="str">
        <f ca="1">IFERROR(__xludf.DUMMYFUNCTION("""COMPUTED_VALUE"""),"Two shooters")</f>
        <v>Two shooters</v>
      </c>
      <c r="AB1444" s="5" t="str">
        <f ca="1">IFERROR(__xludf.DUMMYFUNCTION("""COMPUTED_VALUE"""),"No")</f>
        <v>No</v>
      </c>
      <c r="AC1444" s="5" t="str">
        <f ca="1">IFERROR(__xludf.DUMMYFUNCTION("""COMPUTED_VALUE"""),"No")</f>
        <v>No</v>
      </c>
      <c r="AD1444" s="5" t="str">
        <f ca="1">IFERROR(__xludf.DUMMYFUNCTION("""COMPUTED_VALUE"""),"No")</f>
        <v>No</v>
      </c>
      <c r="AE1444" s="5" t="str">
        <f ca="1">IFERROR(__xludf.DUMMYFUNCTION("""COMPUTED_VALUE"""),"Yes")</f>
        <v>Yes</v>
      </c>
      <c r="AF1444" s="5" t="str">
        <f ca="1">IFERROR(__xludf.DUMMYFUNCTION("""COMPUTED_VALUE"""),"No")</f>
        <v>No</v>
      </c>
      <c r="AG1444" s="5" t="str">
        <f ca="1">IFERROR(__xludf.DUMMYFUNCTION("""COMPUTED_VALUE"""),"No")</f>
        <v>No</v>
      </c>
      <c r="AH1444" s="5" t="str">
        <f ca="1">IFERROR(__xludf.DUMMYFUNCTION("""COMPUTED_VALUE"""),"Yes")</f>
        <v>Yes</v>
      </c>
    </row>
    <row r="1445" spans="1:34" ht="12.75">
      <c r="A1445" s="5" t="str">
        <f ca="1">IFERROR(__xludf.DUMMYFUNCTION("""COMPUTED_VALUE"""),"19990416IDNON")</f>
        <v>19990416IDNON</v>
      </c>
      <c r="B1445" s="8">
        <f ca="1">IFERROR(__xludf.DUMMYFUNCTION("""COMPUTED_VALUE"""),36266)</f>
        <v>36266</v>
      </c>
      <c r="C1445" s="5" t="str">
        <f ca="1">IFERROR(__xludf.DUMMYFUNCTION("""COMPUTED_VALUE"""),"Notus Jr. Sr. High School")</f>
        <v>Notus Jr. Sr. High School</v>
      </c>
      <c r="D1445" s="5">
        <f ca="1">IFERROR(__xludf.DUMMYFUNCTION("""COMPUTED_VALUE"""),0)</f>
        <v>0</v>
      </c>
      <c r="E1445" s="5">
        <f ca="1">IFERROR(__xludf.DUMMYFUNCTION("""COMPUTED_VALUE"""),0)</f>
        <v>0</v>
      </c>
      <c r="F1445" s="5">
        <f ca="1">IFERROR(__xludf.DUMMYFUNCTION("""COMPUTED_VALUE"""),0)</f>
        <v>0</v>
      </c>
      <c r="G1445" s="5">
        <f ca="1">IFERROR(__xludf.DUMMYFUNCTION("""COMPUTED_VALUE"""),0)</f>
        <v>0</v>
      </c>
      <c r="H1445" s="9" t="str">
        <f ca="1">IFERROR(__xludf.DUMMYFUNCTION("""COMPUTED_VALUE"""),"https://www.deseretnews.com/article/691987/Did-teen-in-school-shooting-have-hit-list.html")</f>
        <v>https://www.deseretnews.com/article/691987/Did-teen-in-school-shooting-have-hit-list.html</v>
      </c>
      <c r="I1445" s="5"/>
      <c r="J1445" s="5"/>
      <c r="K1445" s="5">
        <f ca="1">IFERROR(__xludf.DUMMYFUNCTION("""COMPUTED_VALUE"""),2)</f>
        <v>2</v>
      </c>
      <c r="L1445" s="5" t="str">
        <f ca="1">IFERROR(__xludf.DUMMYFUNCTION("""COMPUTED_VALUE"""),"Spring")</f>
        <v>Spring</v>
      </c>
      <c r="M1445" s="5" t="str">
        <f ca="1">IFERROR(__xludf.DUMMYFUNCTION("""COMPUTED_VALUE"""),"Notus")</f>
        <v>Notus</v>
      </c>
      <c r="N1445" s="5" t="str">
        <f ca="1">IFERROR(__xludf.DUMMYFUNCTION("""COMPUTED_VALUE"""),"ID")</f>
        <v>ID</v>
      </c>
      <c r="O1445" s="11">
        <f ca="1">IFERROR(__xludf.DUMMYFUNCTION("""COMPUTED_VALUE"""),44724)</f>
        <v>44724</v>
      </c>
      <c r="P1445" s="5" t="str">
        <f ca="1">IFERROR(__xludf.DUMMYFUNCTION("""COMPUTED_VALUE"""),"Gym")</f>
        <v>Gym</v>
      </c>
      <c r="Q1445" s="5" t="str">
        <f ca="1">IFERROR(__xludf.DUMMYFUNCTION("""COMPUTED_VALUE"""),"Inside School Building")</f>
        <v>Inside School Building</v>
      </c>
      <c r="R1445" s="5" t="str">
        <f ca="1">IFERROR(__xludf.DUMMYFUNCTION("""COMPUTED_VALUE"""),"Yes")</f>
        <v>Yes</v>
      </c>
      <c r="S1445" s="5" t="str">
        <f ca="1">IFERROR(__xludf.DUMMYFUNCTION("""COMPUTED_VALUE"""),"Unknown")</f>
        <v>Unknown</v>
      </c>
      <c r="T1445" s="5"/>
      <c r="U1445" s="5"/>
      <c r="V1445" s="5" t="str">
        <f ca="1">IFERROR(__xludf.DUMMYFUNCTION("""COMPUTED_VALUE"""),"Fired two shots inside school and surrendered when confronted by police")</f>
        <v>Fired two shots inside school and surrendered when confronted by police</v>
      </c>
      <c r="W1445"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X1445" s="5" t="str">
        <f ca="1">IFERROR(__xludf.DUMMYFUNCTION("""COMPUTED_VALUE"""),"Psychosis")</f>
        <v>Psychosis</v>
      </c>
      <c r="Y1445" s="5" t="str">
        <f ca="1">IFERROR(__xludf.DUMMYFUNCTION("""COMPUTED_VALUE"""),"Random Shooting")</f>
        <v>Random Shooting</v>
      </c>
      <c r="Z1445" s="5"/>
      <c r="AA1445" s="5"/>
      <c r="AB1445" s="5" t="str">
        <f ca="1">IFERROR(__xludf.DUMMYFUNCTION("""COMPUTED_VALUE"""),"No")</f>
        <v>No</v>
      </c>
      <c r="AC1445" s="5" t="str">
        <f ca="1">IFERROR(__xludf.DUMMYFUNCTION("""COMPUTED_VALUE"""),"No")</f>
        <v>No</v>
      </c>
      <c r="AD1445" s="5" t="str">
        <f ca="1">IFERROR(__xludf.DUMMYFUNCTION("""COMPUTED_VALUE"""),"No")</f>
        <v>No</v>
      </c>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IFERROR(__xludf.DUMMYFUNCTION("""COMPUTED_VALUE"""),"Yes")</f>
        <v>Yes</v>
      </c>
    </row>
    <row r="1446" spans="1:34" ht="12.75">
      <c r="A1446" s="5" t="str">
        <f ca="1">IFERROR(__xludf.DUMMYFUNCTION("""COMPUTED_VALUE"""),"19990304ILNIS")</f>
        <v>19990304ILNIS</v>
      </c>
      <c r="B1446" s="8">
        <f ca="1">IFERROR(__xludf.DUMMYFUNCTION("""COMPUTED_VALUE"""),36223)</f>
        <v>36223</v>
      </c>
      <c r="C1446" s="5" t="str">
        <f ca="1">IFERROR(__xludf.DUMMYFUNCTION("""COMPUTED_VALUE"""),"Niles West High School")</f>
        <v>Niles West High School</v>
      </c>
      <c r="D1446" s="5">
        <f ca="1">IFERROR(__xludf.DUMMYFUNCTION("""COMPUTED_VALUE"""),0)</f>
        <v>0</v>
      </c>
      <c r="E1446" s="5">
        <f ca="1">IFERROR(__xludf.DUMMYFUNCTION("""COMPUTED_VALUE"""),1)</f>
        <v>1</v>
      </c>
      <c r="F1446" s="5">
        <f ca="1">IFERROR(__xludf.DUMMYFUNCTION("""COMPUTED_VALUE"""),1)</f>
        <v>1</v>
      </c>
      <c r="G1446" s="5">
        <f ca="1">IFERROR(__xludf.DUMMYFUNCTION("""COMPUTED_VALUE"""),1)</f>
        <v>1</v>
      </c>
      <c r="H1446" s="9" t="str">
        <f ca="1">IFERROR(__xludf.DUMMYFUNCTION("""COMPUTED_VALUE"""),"http://articles.chicagotribune.com/1999-03-06/news/9903060113_1_hennessy-police-skokie")</f>
        <v>http://articles.chicagotribune.com/1999-03-06/news/9903060113_1_hennessy-police-skokie</v>
      </c>
      <c r="I1446" s="5"/>
      <c r="J1446" s="5"/>
      <c r="K1446" s="5">
        <f ca="1">IFERROR(__xludf.DUMMYFUNCTION("""COMPUTED_VALUE"""),2)</f>
        <v>2</v>
      </c>
      <c r="L1446" s="5" t="str">
        <f ca="1">IFERROR(__xludf.DUMMYFUNCTION("""COMPUTED_VALUE"""),"Spring")</f>
        <v>Spring</v>
      </c>
      <c r="M1446" s="5" t="str">
        <f ca="1">IFERROR(__xludf.DUMMYFUNCTION("""COMPUTED_VALUE"""),"Skokie")</f>
        <v>Skokie</v>
      </c>
      <c r="N1446" s="5" t="str">
        <f ca="1">IFERROR(__xludf.DUMMYFUNCTION("""COMPUTED_VALUE"""),"IL")</f>
        <v>IL</v>
      </c>
      <c r="O1446" s="5" t="str">
        <f ca="1">IFERROR(__xludf.DUMMYFUNCTION("""COMPUTED_VALUE"""),"High")</f>
        <v>High</v>
      </c>
      <c r="P1446" s="5" t="str">
        <f ca="1">IFERROR(__xludf.DUMMYFUNCTION("""COMPUTED_VALUE"""),"Gym")</f>
        <v>Gym</v>
      </c>
      <c r="Q1446" s="5" t="str">
        <f ca="1">IFERROR(__xludf.DUMMYFUNCTION("""COMPUTED_VALUE"""),"Inside School Building")</f>
        <v>Inside School Building</v>
      </c>
      <c r="R1446" s="5" t="str">
        <f ca="1">IFERROR(__xludf.DUMMYFUNCTION("""COMPUTED_VALUE"""),"No")</f>
        <v>No</v>
      </c>
      <c r="S1446" s="5" t="str">
        <f ca="1">IFERROR(__xludf.DUMMYFUNCTION("""COMPUTED_VALUE"""),"Sport Event")</f>
        <v>Sport Event</v>
      </c>
      <c r="T1446" s="10">
        <f ca="1">IFERROR(__xludf.DUMMYFUNCTION("""COMPUTED_VALUE"""),0.916666666666666)</f>
        <v>0.91666666666666596</v>
      </c>
      <c r="U1446" s="5">
        <f ca="1">IFERROR(__xludf.DUMMYFUNCTION("""COMPUTED_VALUE"""),2)</f>
        <v>2</v>
      </c>
      <c r="V1446" s="5" t="str">
        <f ca="1">IFERROR(__xludf.DUMMYFUNCTION("""COMPUTED_VALUE"""),"Shot security guard in targeted shooting")</f>
        <v>Shot security guard in targeted shooting</v>
      </c>
      <c r="W1446"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X1446" s="5" t="str">
        <f ca="1">IFERROR(__xludf.DUMMYFUNCTION("""COMPUTED_VALUE"""),"Domestic w/ Targeted Victim")</f>
        <v>Domestic w/ Targeted Victim</v>
      </c>
      <c r="Y1446" s="5" t="str">
        <f ca="1">IFERROR(__xludf.DUMMYFUNCTION("""COMPUTED_VALUE"""),"Victims Targeted")</f>
        <v>Victims Targeted</v>
      </c>
      <c r="Z1446" s="5" t="str">
        <f ca="1">IFERROR(__xludf.DUMMYFUNCTION("""COMPUTED_VALUE"""),"No")</f>
        <v>No</v>
      </c>
      <c r="AA1446" s="5"/>
      <c r="AB1446" s="5" t="str">
        <f ca="1">IFERROR(__xludf.DUMMYFUNCTION("""COMPUTED_VALUE"""),"No")</f>
        <v>No</v>
      </c>
      <c r="AC1446" s="5" t="str">
        <f ca="1">IFERROR(__xludf.DUMMYFUNCTION("""COMPUTED_VALUE"""),"No")</f>
        <v>No</v>
      </c>
      <c r="AD1446" s="5" t="str">
        <f ca="1">IFERROR(__xludf.DUMMYFUNCTION("""COMPUTED_VALUE"""),"No")</f>
        <v>No</v>
      </c>
      <c r="AE1446" s="5" t="str">
        <f ca="1">IFERROR(__xludf.DUMMYFUNCTION("""COMPUTED_VALUE"""),"No")</f>
        <v>No</v>
      </c>
      <c r="AF1446" s="5" t="str">
        <f ca="1">IFERROR(__xludf.DUMMYFUNCTION("""COMPUTED_VALUE"""),"Yes")</f>
        <v>Yes</v>
      </c>
      <c r="AG1446" s="5" t="str">
        <f ca="1">IFERROR(__xludf.DUMMYFUNCTION("""COMPUTED_VALUE"""),"No")</f>
        <v>No</v>
      </c>
      <c r="AH1446" s="5"/>
    </row>
    <row r="1447" spans="1:34" ht="12.75">
      <c r="A1447" s="5" t="str">
        <f ca="1">IFERROR(__xludf.DUMMYFUNCTION("""COMPUTED_VALUE"""),"19990211MSJEP")</f>
        <v>19990211MSJEP</v>
      </c>
      <c r="B1447" s="8">
        <f ca="1">IFERROR(__xludf.DUMMYFUNCTION("""COMPUTED_VALUE"""),36202)</f>
        <v>36202</v>
      </c>
      <c r="C1447" s="5" t="str">
        <f ca="1">IFERROR(__xludf.DUMMYFUNCTION("""COMPUTED_VALUE"""),"Jefferson-Todd Educational Center")</f>
        <v>Jefferson-Todd Educational Center</v>
      </c>
      <c r="D1447" s="5">
        <f ca="1">IFERROR(__xludf.DUMMYFUNCTION("""COMPUTED_VALUE"""),0)</f>
        <v>0</v>
      </c>
      <c r="E1447" s="5">
        <f ca="1">IFERROR(__xludf.DUMMYFUNCTION("""COMPUTED_VALUE"""),0)</f>
        <v>0</v>
      </c>
      <c r="F1447" s="5">
        <f ca="1">IFERROR(__xludf.DUMMYFUNCTION("""COMPUTED_VALUE"""),0)</f>
        <v>0</v>
      </c>
      <c r="G1447" s="5">
        <f ca="1">IFERROR(__xludf.DUMMYFUNCTION("""COMPUTED_VALUE"""),0)</f>
        <v>0</v>
      </c>
      <c r="H1447" s="9" t="str">
        <f ca="1">IFERROR(__xludf.DUMMYFUNCTION("""COMPUTED_VALUE"""),"https://www.deseretnews.com/article/679792/News-capsules.html")</f>
        <v>https://www.deseretnews.com/article/679792/News-capsules.html</v>
      </c>
      <c r="I1447" s="5"/>
      <c r="J1447" s="5"/>
      <c r="K1447" s="5">
        <f ca="1">IFERROR(__xludf.DUMMYFUNCTION("""COMPUTED_VALUE"""),2)</f>
        <v>2</v>
      </c>
      <c r="L1447" s="5" t="str">
        <f ca="1">IFERROR(__xludf.DUMMYFUNCTION("""COMPUTED_VALUE"""),"Winter")</f>
        <v>Winter</v>
      </c>
      <c r="M1447" s="5" t="str">
        <f ca="1">IFERROR(__xludf.DUMMYFUNCTION("""COMPUTED_VALUE"""),"Purvis")</f>
        <v>Purvis</v>
      </c>
      <c r="N1447" s="5" t="str">
        <f ca="1">IFERROR(__xludf.DUMMYFUNCTION("""COMPUTED_VALUE"""),"MS")</f>
        <v>MS</v>
      </c>
      <c r="O1447" s="5" t="str">
        <f ca="1">IFERROR(__xludf.DUMMYFUNCTION("""COMPUTED_VALUE"""),"Other")</f>
        <v>Other</v>
      </c>
      <c r="P1447" s="5" t="str">
        <f ca="1">IFERROR(__xludf.DUMMYFUNCTION("""COMPUTED_VALUE"""),"Office")</f>
        <v>Office</v>
      </c>
      <c r="Q1447" s="5" t="str">
        <f ca="1">IFERROR(__xludf.DUMMYFUNCTION("""COMPUTED_VALUE"""),"Inside School Building")</f>
        <v>Inside School Building</v>
      </c>
      <c r="R1447" s="5" t="str">
        <f ca="1">IFERROR(__xludf.DUMMYFUNCTION("""COMPUTED_VALUE"""),"Yes")</f>
        <v>Yes</v>
      </c>
      <c r="S1447" s="5"/>
      <c r="T1447" s="5"/>
      <c r="U1447" s="5">
        <f ca="1">IFERROR(__xludf.DUMMYFUNCTION("""COMPUTED_VALUE"""),720)</f>
        <v>720</v>
      </c>
      <c r="V1447" s="5" t="str">
        <f ca="1">IFERROR(__xludf.DUMMYFUNCTION("""COMPUTED_VALUE"""),"Held 4 teachers hostage for 12 hours, angry about lack of black teachers")</f>
        <v>Held 4 teachers hostage for 12 hours, angry about lack of black teachers</v>
      </c>
      <c r="W1447"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X1447" s="5" t="str">
        <f ca="1">IFERROR(__xludf.DUMMYFUNCTION("""COMPUTED_VALUE"""),"Hostage/Standoff")</f>
        <v>Hostage/Standoff</v>
      </c>
      <c r="Y1447" s="5" t="str">
        <f ca="1">IFERROR(__xludf.DUMMYFUNCTION("""COMPUTED_VALUE"""),"Random Shooting")</f>
        <v>Random Shooting</v>
      </c>
      <c r="Z1447" s="5" t="str">
        <f ca="1">IFERROR(__xludf.DUMMYFUNCTION("""COMPUTED_VALUE"""),"No")</f>
        <v>No</v>
      </c>
      <c r="AA1447" s="5"/>
      <c r="AB1447" s="5" t="str">
        <f ca="1">IFERROR(__xludf.DUMMYFUNCTION("""COMPUTED_VALUE"""),"Yes")</f>
        <v>Yes</v>
      </c>
      <c r="AC1447" s="5" t="str">
        <f ca="1">IFERROR(__xludf.DUMMYFUNCTION("""COMPUTED_VALUE"""),"Yes")</f>
        <v>Yes</v>
      </c>
      <c r="AD1447" s="5" t="str">
        <f ca="1">IFERROR(__xludf.DUMMYFUNCTION("""COMPUTED_VALUE"""),"No")</f>
        <v>No</v>
      </c>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IFERROR(__xludf.DUMMYFUNCTION("""COMPUTED_VALUE"""),"Yes")</f>
        <v>Yes</v>
      </c>
    </row>
    <row r="1448" spans="1:34" ht="12.75">
      <c r="A1448" s="5" t="str">
        <f ca="1">IFERROR(__xludf.DUMMYFUNCTION("""COMPUTED_VALUE"""),"19990211ILOME")</f>
        <v>19990211ILOME</v>
      </c>
      <c r="B1448" s="8">
        <f ca="1">IFERROR(__xludf.DUMMYFUNCTION("""COMPUTED_VALUE"""),36202)</f>
        <v>36202</v>
      </c>
      <c r="C1448" s="5" t="str">
        <f ca="1">IFERROR(__xludf.DUMMYFUNCTION("""COMPUTED_VALUE"""),"Ombudsman Educational Service Center")</f>
        <v>Ombudsman Educational Service Center</v>
      </c>
      <c r="D1448" s="5">
        <f ca="1">IFERROR(__xludf.DUMMYFUNCTION("""COMPUTED_VALUE"""),1)</f>
        <v>1</v>
      </c>
      <c r="E1448" s="5">
        <f ca="1">IFERROR(__xludf.DUMMYFUNCTION("""COMPUTED_VALUE"""),0)</f>
        <v>0</v>
      </c>
      <c r="F1448" s="5">
        <f ca="1">IFERROR(__xludf.DUMMYFUNCTION("""COMPUTED_VALUE"""),1)</f>
        <v>1</v>
      </c>
      <c r="G1448" s="5">
        <f ca="1">IFERROR(__xludf.DUMMYFUNCTION("""COMPUTED_VALUE"""),0)</f>
        <v>0</v>
      </c>
      <c r="H1448" s="9" t="str">
        <f ca="1">IFERROR(__xludf.DUMMYFUNCTION("""COMPUTED_VALUE"""),"http://articles.chicagotribune.com/1999-02-12/news/9902120139_1_shooting-gunman-gang")</f>
        <v>http://articles.chicagotribune.com/1999-02-12/news/9902120139_1_shooting-gunman-gang</v>
      </c>
      <c r="I1448" s="5"/>
      <c r="J1448" s="5"/>
      <c r="K1448" s="5">
        <f ca="1">IFERROR(__xludf.DUMMYFUNCTION("""COMPUTED_VALUE"""),2)</f>
        <v>2</v>
      </c>
      <c r="L1448" s="5" t="str">
        <f ca="1">IFERROR(__xludf.DUMMYFUNCTION("""COMPUTED_VALUE"""),"Winter")</f>
        <v>Winter</v>
      </c>
      <c r="M1448" s="5" t="str">
        <f ca="1">IFERROR(__xludf.DUMMYFUNCTION("""COMPUTED_VALUE"""),"Elgin")</f>
        <v>Elgin</v>
      </c>
      <c r="N1448" s="5" t="str">
        <f ca="1">IFERROR(__xludf.DUMMYFUNCTION("""COMPUTED_VALUE"""),"IL")</f>
        <v>IL</v>
      </c>
      <c r="O1448" s="5" t="str">
        <f ca="1">IFERROR(__xludf.DUMMYFUNCTION("""COMPUTED_VALUE"""),"High")</f>
        <v>High</v>
      </c>
      <c r="P1448" s="5" t="str">
        <f ca="1">IFERROR(__xludf.DUMMYFUNCTION("""COMPUTED_VALUE"""),"Classroom")</f>
        <v>Classroom</v>
      </c>
      <c r="Q1448" s="5" t="str">
        <f ca="1">IFERROR(__xludf.DUMMYFUNCTION("""COMPUTED_VALUE"""),"Inside School Building")</f>
        <v>Inside School Building</v>
      </c>
      <c r="R1448" s="5" t="str">
        <f ca="1">IFERROR(__xludf.DUMMYFUNCTION("""COMPUTED_VALUE"""),"Yes")</f>
        <v>Yes</v>
      </c>
      <c r="S1448" s="5" t="str">
        <f ca="1">IFERROR(__xludf.DUMMYFUNCTION("""COMPUTED_VALUE"""),"Afternoon Classes")</f>
        <v>Afternoon Classes</v>
      </c>
      <c r="T1448" s="10">
        <f ca="1">IFERROR(__xludf.DUMMYFUNCTION("""COMPUTED_VALUE"""),0.520833333333333)</f>
        <v>0.52083333333333304</v>
      </c>
      <c r="U1448" s="5">
        <f ca="1">IFERROR(__xludf.DUMMYFUNCTION("""COMPUTED_VALUE"""),1)</f>
        <v>1</v>
      </c>
      <c r="V1448" s="5" t="str">
        <f ca="1">IFERROR(__xludf.DUMMYFUNCTION("""COMPUTED_VALUE"""),"Masked shooter entered classroom and fired multiple shots at student")</f>
        <v>Masked shooter entered classroom and fired multiple shots at student</v>
      </c>
      <c r="W1448"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X1448" s="5" t="str">
        <f ca="1">IFERROR(__xludf.DUMMYFUNCTION("""COMPUTED_VALUE"""),"Escalation of Dispute")</f>
        <v>Escalation of Dispute</v>
      </c>
      <c r="Y1448" s="5" t="str">
        <f ca="1">IFERROR(__xludf.DUMMYFUNCTION("""COMPUTED_VALUE"""),"Victims Targeted")</f>
        <v>Victims Targeted</v>
      </c>
      <c r="Z1448" s="5" t="str">
        <f ca="1">IFERROR(__xludf.DUMMYFUNCTION("""COMPUTED_VALUE"""),"Yes")</f>
        <v>Yes</v>
      </c>
      <c r="AA1448" s="5" t="str">
        <f ca="1">IFERROR(__xludf.DUMMYFUNCTION("""COMPUTED_VALUE"""),"Getaway car driver")</f>
        <v>Getaway car driver</v>
      </c>
      <c r="AB1448" s="5" t="str">
        <f ca="1">IFERROR(__xludf.DUMMYFUNCTION("""COMPUTED_VALUE"""),"No")</f>
        <v>No</v>
      </c>
      <c r="AC1448" s="5" t="str">
        <f ca="1">IFERROR(__xludf.DUMMYFUNCTION("""COMPUTED_VALUE"""),"No")</f>
        <v>No</v>
      </c>
      <c r="AD1448" s="5" t="str">
        <f ca="1">IFERROR(__xludf.DUMMYFUNCTION("""COMPUTED_VALUE"""),"No")</f>
        <v>No</v>
      </c>
      <c r="AE1448" s="5" t="str">
        <f ca="1">IFERROR(__xludf.DUMMYFUNCTION("""COMPUTED_VALUE"""),"No")</f>
        <v>No</v>
      </c>
      <c r="AF1448" s="5" t="str">
        <f ca="1">IFERROR(__xludf.DUMMYFUNCTION("""COMPUTED_VALUE"""),"No")</f>
        <v>No</v>
      </c>
      <c r="AG1448" s="5" t="str">
        <f ca="1">IFERROR(__xludf.DUMMYFUNCTION("""COMPUTED_VALUE"""),"Yes")</f>
        <v>Yes</v>
      </c>
      <c r="AH1448" s="5"/>
    </row>
    <row r="1449" spans="1:34" ht="12.75">
      <c r="A1449" s="5" t="str">
        <f ca="1">IFERROR(__xludf.DUMMYFUNCTION("""COMPUTED_VALUE"""),"19990121TXRIN")</f>
        <v>19990121TXRIN</v>
      </c>
      <c r="B1449" s="8">
        <f ca="1">IFERROR(__xludf.DUMMYFUNCTION("""COMPUTED_VALUE"""),36181)</f>
        <v>36181</v>
      </c>
      <c r="C1449" s="5" t="str">
        <f ca="1">IFERROR(__xludf.DUMMYFUNCTION("""COMPUTED_VALUE"""),"Richland High School")</f>
        <v>Richland High School</v>
      </c>
      <c r="D1449" s="5">
        <f ca="1">IFERROR(__xludf.DUMMYFUNCTION("""COMPUTED_VALUE"""),0)</f>
        <v>0</v>
      </c>
      <c r="E1449" s="5">
        <f ca="1">IFERROR(__xludf.DUMMYFUNCTION("""COMPUTED_VALUE"""),0)</f>
        <v>0</v>
      </c>
      <c r="F1449" s="5">
        <f ca="1">IFERROR(__xludf.DUMMYFUNCTION("""COMPUTED_VALUE"""),0)</f>
        <v>0</v>
      </c>
      <c r="G1449" s="5">
        <f ca="1">IFERROR(__xludf.DUMMYFUNCTION("""COMPUTED_VALUE"""),1)</f>
        <v>1</v>
      </c>
      <c r="H1449" s="9" t="str">
        <f ca="1">IFERROR(__xludf.DUMMYFUNCTION("""COMPUTED_VALUE"""),"https://www.newspapers.com/image/13671024/")</f>
        <v>https://www.newspapers.com/image/13671024/</v>
      </c>
      <c r="I1449" s="5"/>
      <c r="J1449" s="5"/>
      <c r="K1449" s="5">
        <f ca="1">IFERROR(__xludf.DUMMYFUNCTION("""COMPUTED_VALUE"""),2)</f>
        <v>2</v>
      </c>
      <c r="L1449" s="5" t="str">
        <f ca="1">IFERROR(__xludf.DUMMYFUNCTION("""COMPUTED_VALUE"""),"Winter")</f>
        <v>Winter</v>
      </c>
      <c r="M1449" s="5" t="str">
        <f ca="1">IFERROR(__xludf.DUMMYFUNCTION("""COMPUTED_VALUE"""),"North Richland Hills")</f>
        <v>North Richland Hills</v>
      </c>
      <c r="N1449" s="5" t="str">
        <f ca="1">IFERROR(__xludf.DUMMYFUNCTION("""COMPUTED_VALUE"""),"TX")</f>
        <v>TX</v>
      </c>
      <c r="O1449" s="5" t="str">
        <f ca="1">IFERROR(__xludf.DUMMYFUNCTION("""COMPUTED_VALUE"""),"High")</f>
        <v>High</v>
      </c>
      <c r="P1449" s="5" t="str">
        <f ca="1">IFERROR(__xludf.DUMMYFUNCTION("""COMPUTED_VALUE"""),"Bathroom")</f>
        <v>Bathroom</v>
      </c>
      <c r="Q1449" s="5" t="str">
        <f ca="1">IFERROR(__xludf.DUMMYFUNCTION("""COMPUTED_VALUE"""),"Inside School Building")</f>
        <v>Inside School Building</v>
      </c>
      <c r="R1449" s="5" t="str">
        <f ca="1">IFERROR(__xludf.DUMMYFUNCTION("""COMPUTED_VALUE"""),"Yes")</f>
        <v>Yes</v>
      </c>
      <c r="S1449" s="5" t="str">
        <f ca="1">IFERROR(__xludf.DUMMYFUNCTION("""COMPUTED_VALUE"""),"Morning Classes")</f>
        <v>Morning Classes</v>
      </c>
      <c r="T1449" s="5"/>
      <c r="U1449" s="5">
        <f ca="1">IFERROR(__xludf.DUMMYFUNCTION("""COMPUTED_VALUE"""),1)</f>
        <v>1</v>
      </c>
      <c r="V1449" s="5" t="str">
        <f ca="1">IFERROR(__xludf.DUMMYFUNCTION("""COMPUTED_VALUE"""),"Shot self in school bathroom")</f>
        <v>Shot self in school bathroom</v>
      </c>
      <c r="W1449" s="5" t="str">
        <f ca="1">IFERROR(__xludf.DUMMYFUNCTION("""COMPUTED_VALUE"""),"15YOM student shot himself in the school bathroom.")</f>
        <v>15YOM student shot himself in the school bathroom.</v>
      </c>
      <c r="X1449" s="5" t="str">
        <f ca="1">IFERROR(__xludf.DUMMYFUNCTION("""COMPUTED_VALUE"""),"Suicide/Attempted")</f>
        <v>Suicide/Attempted</v>
      </c>
      <c r="Y1449" s="5" t="str">
        <f ca="1">IFERROR(__xludf.DUMMYFUNCTION("""COMPUTED_VALUE"""),"Victims Targeted")</f>
        <v>Victims Targeted</v>
      </c>
      <c r="Z1449" s="5" t="str">
        <f ca="1">IFERROR(__xludf.DUMMYFUNCTION("""COMPUTED_VALUE"""),"No")</f>
        <v>No</v>
      </c>
      <c r="AA1449" s="5"/>
      <c r="AB1449" s="5" t="str">
        <f ca="1">IFERROR(__xludf.DUMMYFUNCTION("""COMPUTED_VALUE"""),"No")</f>
        <v>No</v>
      </c>
      <c r="AC1449" s="5" t="str">
        <f ca="1">IFERROR(__xludf.DUMMYFUNCTION("""COMPUTED_VALUE"""),"No")</f>
        <v>No</v>
      </c>
      <c r="AD1449" s="5" t="str">
        <f ca="1">IFERROR(__xludf.DUMMYFUNCTION("""COMPUTED_VALUE"""),"No")</f>
        <v>No</v>
      </c>
      <c r="AE1449" s="5"/>
      <c r="AF1449" s="5" t="str">
        <f ca="1">IFERROR(__xludf.DUMMYFUNCTION("""COMPUTED_VALUE"""),"No")</f>
        <v>No</v>
      </c>
      <c r="AG1449" s="5" t="str">
        <f ca="1">IFERROR(__xludf.DUMMYFUNCTION("""COMPUTED_VALUE"""),"No")</f>
        <v>No</v>
      </c>
      <c r="AH1449" s="5"/>
    </row>
    <row r="1450" spans="1:34" ht="12.75">
      <c r="A1450" s="5" t="str">
        <f ca="1">IFERROR(__xludf.DUMMYFUNCTION("""COMPUTED_VALUE"""),"19990114NYHAN")</f>
        <v>19990114NYHAN</v>
      </c>
      <c r="B1450" s="8">
        <f ca="1">IFERROR(__xludf.DUMMYFUNCTION("""COMPUTED_VALUE"""),36174)</f>
        <v>36174</v>
      </c>
      <c r="C1450" s="5" t="str">
        <f ca="1">IFERROR(__xludf.DUMMYFUNCTION("""COMPUTED_VALUE"""),"Harry S. Truman High School")</f>
        <v>Harry S. Truman High School</v>
      </c>
      <c r="D1450" s="5">
        <f ca="1">IFERROR(__xludf.DUMMYFUNCTION("""COMPUTED_VALUE"""),0)</f>
        <v>0</v>
      </c>
      <c r="E1450" s="5">
        <f ca="1">IFERROR(__xludf.DUMMYFUNCTION("""COMPUTED_VALUE"""),2)</f>
        <v>2</v>
      </c>
      <c r="F1450" s="5">
        <f ca="1">IFERROR(__xludf.DUMMYFUNCTION("""COMPUTED_VALUE"""),2)</f>
        <v>2</v>
      </c>
      <c r="G1450" s="5">
        <f ca="1">IFERROR(__xludf.DUMMYFUNCTION("""COMPUTED_VALUE"""),0)</f>
        <v>0</v>
      </c>
      <c r="H1450" s="9" t="str">
        <f ca="1">IFERROR(__xludf.DUMMYFUNCTION("""COMPUTED_VALUE"""),"https://www.nytimes.com/1999/01/15/nyregion/2-students-shot-outside-bronx-high-school.html")</f>
        <v>https://www.nytimes.com/1999/01/15/nyregion/2-students-shot-outside-bronx-high-school.html</v>
      </c>
      <c r="I1450" s="5"/>
      <c r="J1450" s="5"/>
      <c r="K1450" s="5">
        <f ca="1">IFERROR(__xludf.DUMMYFUNCTION("""COMPUTED_VALUE"""),2)</f>
        <v>2</v>
      </c>
      <c r="L1450" s="5" t="str">
        <f ca="1">IFERROR(__xludf.DUMMYFUNCTION("""COMPUTED_VALUE"""),"Winter")</f>
        <v>Winter</v>
      </c>
      <c r="M1450" s="5" t="str">
        <f ca="1">IFERROR(__xludf.DUMMYFUNCTION("""COMPUTED_VALUE"""),"New York")</f>
        <v>New York</v>
      </c>
      <c r="N1450" s="5" t="str">
        <f ca="1">IFERROR(__xludf.DUMMYFUNCTION("""COMPUTED_VALUE"""),"NY")</f>
        <v>NY</v>
      </c>
      <c r="O1450" s="5" t="str">
        <f ca="1">IFERROR(__xludf.DUMMYFUNCTION("""COMPUTED_VALUE"""),"High")</f>
        <v>High</v>
      </c>
      <c r="P1450" s="5" t="str">
        <f ca="1">IFERROR(__xludf.DUMMYFUNCTION("""COMPUTED_VALUE"""),"Front of School")</f>
        <v>Front of School</v>
      </c>
      <c r="Q1450" s="5" t="str">
        <f ca="1">IFERROR(__xludf.DUMMYFUNCTION("""COMPUTED_VALUE"""),"Outside on School Property")</f>
        <v>Outside on School Property</v>
      </c>
      <c r="R1450" s="5" t="str">
        <f ca="1">IFERROR(__xludf.DUMMYFUNCTION("""COMPUTED_VALUE"""),"Yes")</f>
        <v>Yes</v>
      </c>
      <c r="S1450" s="5" t="str">
        <f ca="1">IFERROR(__xludf.DUMMYFUNCTION("""COMPUTED_VALUE"""),"Morning Classes")</f>
        <v>Morning Classes</v>
      </c>
      <c r="T1450" s="10">
        <f ca="1">IFERROR(__xludf.DUMMYFUNCTION("""COMPUTED_VALUE"""),0.375)</f>
        <v>0.375</v>
      </c>
      <c r="U1450" s="5">
        <f ca="1">IFERROR(__xludf.DUMMYFUNCTION("""COMPUTED_VALUE"""),1)</f>
        <v>1</v>
      </c>
      <c r="V1450" s="5" t="str">
        <f ca="1">IFERROR(__xludf.DUMMYFUNCTION("""COMPUTED_VALUE"""),"Retaliation for stabbing the prior day")</f>
        <v>Retaliation for stabbing the prior day</v>
      </c>
      <c r="W1450"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X1450" s="5" t="str">
        <f ca="1">IFERROR(__xludf.DUMMYFUNCTION("""COMPUTED_VALUE"""),"Escalation of Dispute")</f>
        <v>Escalation of Dispute</v>
      </c>
      <c r="Y1450" s="5" t="str">
        <f ca="1">IFERROR(__xludf.DUMMYFUNCTION("""COMPUTED_VALUE"""),"Victims Targeted")</f>
        <v>Victims Targeted</v>
      </c>
      <c r="Z1450" s="5" t="str">
        <f ca="1">IFERROR(__xludf.DUMMYFUNCTION("""COMPUTED_VALUE"""),"No")</f>
        <v>No</v>
      </c>
      <c r="AA1450" s="5"/>
      <c r="AB1450" s="5" t="str">
        <f ca="1">IFERROR(__xludf.DUMMYFUNCTION("""COMPUTED_VALUE"""),"No")</f>
        <v>No</v>
      </c>
      <c r="AC1450" s="5" t="str">
        <f ca="1">IFERROR(__xludf.DUMMYFUNCTION("""COMPUTED_VALUE"""),"No")</f>
        <v>No</v>
      </c>
      <c r="AD1450" s="5" t="str">
        <f ca="1">IFERROR(__xludf.DUMMYFUNCTION("""COMPUTED_VALUE"""),"No")</f>
        <v>No</v>
      </c>
      <c r="AE1450" s="5" t="str">
        <f ca="1">IFERROR(__xludf.DUMMYFUNCTION("""COMPUTED_VALUE"""),"No")</f>
        <v>No</v>
      </c>
      <c r="AF1450" s="5" t="str">
        <f ca="1">IFERROR(__xludf.DUMMYFUNCTION("""COMPUTED_VALUE"""),"No")</f>
        <v>No</v>
      </c>
      <c r="AG1450" s="5" t="str">
        <f ca="1">IFERROR(__xludf.DUMMYFUNCTION("""COMPUTED_VALUE"""),"No")</f>
        <v>No</v>
      </c>
      <c r="AH1450" s="5"/>
    </row>
    <row r="1451" spans="1:34" ht="12.75">
      <c r="A1451" s="5" t="str">
        <f ca="1">IFERROR(__xludf.DUMMYFUNCTION("""COMPUTED_VALUE"""),"19990108GACEC")</f>
        <v>19990108GACEC</v>
      </c>
      <c r="B1451" s="8">
        <f ca="1">IFERROR(__xludf.DUMMYFUNCTION("""COMPUTED_VALUE"""),36168)</f>
        <v>36168</v>
      </c>
      <c r="C1451" s="5" t="str">
        <f ca="1">IFERROR(__xludf.DUMMYFUNCTION("""COMPUTED_VALUE"""),"Central High School")</f>
        <v>Central High School</v>
      </c>
      <c r="D1451" s="5">
        <f ca="1">IFERROR(__xludf.DUMMYFUNCTION("""COMPUTED_VALUE"""),0)</f>
        <v>0</v>
      </c>
      <c r="E1451" s="5">
        <f ca="1">IFERROR(__xludf.DUMMYFUNCTION("""COMPUTED_VALUE"""),0)</f>
        <v>0</v>
      </c>
      <c r="F1451" s="5">
        <f ca="1">IFERROR(__xludf.DUMMYFUNCTION("""COMPUTED_VALUE"""),0)</f>
        <v>0</v>
      </c>
      <c r="G1451" s="5">
        <f ca="1">IFERROR(__xludf.DUMMYFUNCTION("""COMPUTED_VALUE"""),2)</f>
        <v>2</v>
      </c>
      <c r="H1451" s="9" t="str">
        <f ca="1">IFERROR(__xludf.DUMMYFUNCTION("""COMPUTED_VALUE"""),"https://www.cbsnews.com/news/2-teens-shot-at-georgia-school/")</f>
        <v>https://www.cbsnews.com/news/2-teens-shot-at-georgia-school/</v>
      </c>
      <c r="I1451" s="5"/>
      <c r="J1451" s="5"/>
      <c r="K1451" s="5">
        <f ca="1">IFERROR(__xludf.DUMMYFUNCTION("""COMPUTED_VALUE"""),2)</f>
        <v>2</v>
      </c>
      <c r="L1451" s="5" t="str">
        <f ca="1">IFERROR(__xludf.DUMMYFUNCTION("""COMPUTED_VALUE"""),"Winter")</f>
        <v>Winter</v>
      </c>
      <c r="M1451" s="5" t="str">
        <f ca="1">IFERROR(__xludf.DUMMYFUNCTION("""COMPUTED_VALUE"""),"Carrollton")</f>
        <v>Carrollton</v>
      </c>
      <c r="N1451" s="5" t="str">
        <f ca="1">IFERROR(__xludf.DUMMYFUNCTION("""COMPUTED_VALUE"""),"GA")</f>
        <v>GA</v>
      </c>
      <c r="O1451" s="5" t="str">
        <f ca="1">IFERROR(__xludf.DUMMYFUNCTION("""COMPUTED_VALUE"""),"High")</f>
        <v>High</v>
      </c>
      <c r="P1451" s="5" t="str">
        <f ca="1">IFERROR(__xludf.DUMMYFUNCTION("""COMPUTED_VALUE"""),"Bathroom")</f>
        <v>Bathroom</v>
      </c>
      <c r="Q1451" s="5" t="str">
        <f ca="1">IFERROR(__xludf.DUMMYFUNCTION("""COMPUTED_VALUE"""),"Inside School Building")</f>
        <v>Inside School Building</v>
      </c>
      <c r="R1451" s="5" t="str">
        <f ca="1">IFERROR(__xludf.DUMMYFUNCTION("""COMPUTED_VALUE"""),"Yes")</f>
        <v>Yes</v>
      </c>
      <c r="S1451" s="5" t="str">
        <f ca="1">IFERROR(__xludf.DUMMYFUNCTION("""COMPUTED_VALUE"""),"Morning Classes")</f>
        <v>Morning Classes</v>
      </c>
      <c r="T1451" s="5"/>
      <c r="U1451" s="5">
        <f ca="1">IFERROR(__xludf.DUMMYFUNCTION("""COMPUTED_VALUE"""),1)</f>
        <v>1</v>
      </c>
      <c r="V1451" s="5" t="str">
        <f ca="1">IFERROR(__xludf.DUMMYFUNCTION("""COMPUTED_VALUE"""),"Planned murder/suicide pact")</f>
        <v>Planned murder/suicide pact</v>
      </c>
      <c r="W1451" s="5" t="str">
        <f ca="1">IFERROR(__xludf.DUMMYFUNCTION("""COMPUTED_VALUE"""),"Male and female students in romantic relationship found shot in school bathroom. Murder-suicide pact.")</f>
        <v>Male and female students in romantic relationship found shot in school bathroom. Murder-suicide pact.</v>
      </c>
      <c r="X1451" s="5" t="str">
        <f ca="1">IFERROR(__xludf.DUMMYFUNCTION("""COMPUTED_VALUE"""),"Murder/Suicide")</f>
        <v>Murder/Suicide</v>
      </c>
      <c r="Y1451" s="5" t="str">
        <f ca="1">IFERROR(__xludf.DUMMYFUNCTION("""COMPUTED_VALUE"""),"Victims Targeted")</f>
        <v>Victims Targeted</v>
      </c>
      <c r="Z1451" s="5" t="str">
        <f ca="1">IFERROR(__xludf.DUMMYFUNCTION("""COMPUTED_VALUE"""),"Yes")</f>
        <v>Yes</v>
      </c>
      <c r="AA1451" s="5" t="str">
        <f ca="1">IFERROR(__xludf.DUMMYFUNCTION("""COMPUTED_VALUE"""),"suicide pact")</f>
        <v>suicide pact</v>
      </c>
      <c r="AB1451" s="5" t="str">
        <f ca="1">IFERROR(__xludf.DUMMYFUNCTION("""COMPUTED_VALUE"""),"No")</f>
        <v>No</v>
      </c>
      <c r="AC1451" s="5" t="str">
        <f ca="1">IFERROR(__xludf.DUMMYFUNCTION("""COMPUTED_VALUE"""),"No")</f>
        <v>No</v>
      </c>
      <c r="AD1451" s="5" t="str">
        <f ca="1">IFERROR(__xludf.DUMMYFUNCTION("""COMPUTED_VALUE"""),"No")</f>
        <v>No</v>
      </c>
      <c r="AE1451" s="5" t="str">
        <f ca="1">IFERROR(__xludf.DUMMYFUNCTION("""COMPUTED_VALUE"""),"No")</f>
        <v>No</v>
      </c>
      <c r="AF1451" s="5" t="str">
        <f ca="1">IFERROR(__xludf.DUMMYFUNCTION("""COMPUTED_VALUE"""),"Yes")</f>
        <v>Yes</v>
      </c>
      <c r="AG1451" s="5" t="str">
        <f ca="1">IFERROR(__xludf.DUMMYFUNCTION("""COMPUTED_VALUE"""),"No")</f>
        <v>No</v>
      </c>
      <c r="AH1451" s="5"/>
    </row>
    <row r="1452" spans="1:34" ht="12.75">
      <c r="A1452" s="5" t="str">
        <f ca="1">IFERROR(__xludf.DUMMYFUNCTION("""COMPUTED_VALUE"""),"19981211INBEI")</f>
        <v>19981211INBEI</v>
      </c>
      <c r="B1452" s="8">
        <f ca="1">IFERROR(__xludf.DUMMYFUNCTION("""COMPUTED_VALUE"""),36140)</f>
        <v>36140</v>
      </c>
      <c r="C1452" s="5" t="str">
        <f ca="1">IFERROR(__xludf.DUMMYFUNCTION("""COMPUTED_VALUE"""),"Ben Davis Junior High School")</f>
        <v>Ben Davis Junior High School</v>
      </c>
      <c r="D1452" s="5">
        <f ca="1">IFERROR(__xludf.DUMMYFUNCTION("""COMPUTED_VALUE"""),0)</f>
        <v>0</v>
      </c>
      <c r="E1452" s="5">
        <f ca="1">IFERROR(__xludf.DUMMYFUNCTION("""COMPUTED_VALUE"""),1)</f>
        <v>1</v>
      </c>
      <c r="F1452" s="5">
        <f ca="1">IFERROR(__xludf.DUMMYFUNCTION("""COMPUTED_VALUE"""),1)</f>
        <v>1</v>
      </c>
      <c r="G1452" s="5">
        <f ca="1">IFERROR(__xludf.DUMMYFUNCTION("""COMPUTED_VALUE"""),0)</f>
        <v>0</v>
      </c>
      <c r="H1452" s="9" t="str">
        <f ca="1">IFERROR(__xludf.DUMMYFUNCTION("""COMPUTED_VALUE"""),"https://www.newspapers.com/image/156830644/?terms=student%2Bshot")</f>
        <v>https://www.newspapers.com/image/156830644/?terms=student%2Bshot</v>
      </c>
      <c r="I1452" s="5"/>
      <c r="J1452" s="5"/>
      <c r="K1452" s="5">
        <f ca="1">IFERROR(__xludf.DUMMYFUNCTION("""COMPUTED_VALUE"""),2)</f>
        <v>2</v>
      </c>
      <c r="L1452" s="5" t="str">
        <f ca="1">IFERROR(__xludf.DUMMYFUNCTION("""COMPUTED_VALUE"""),"Winter")</f>
        <v>Winter</v>
      </c>
      <c r="M1452" s="5" t="str">
        <f ca="1">IFERROR(__xludf.DUMMYFUNCTION("""COMPUTED_VALUE"""),"Indianapolis")</f>
        <v>Indianapolis</v>
      </c>
      <c r="N1452" s="5" t="str">
        <f ca="1">IFERROR(__xludf.DUMMYFUNCTION("""COMPUTED_VALUE"""),"IN")</f>
        <v>IN</v>
      </c>
      <c r="O1452" s="5" t="str">
        <f ca="1">IFERROR(__xludf.DUMMYFUNCTION("""COMPUTED_VALUE"""),"Junior High")</f>
        <v>Junior High</v>
      </c>
      <c r="P1452" s="5" t="str">
        <f ca="1">IFERROR(__xludf.DUMMYFUNCTION("""COMPUTED_VALUE"""),"School Bus")</f>
        <v>School Bus</v>
      </c>
      <c r="Q1452" s="5" t="str">
        <f ca="1">IFERROR(__xludf.DUMMYFUNCTION("""COMPUTED_VALUE"""),"School Bus")</f>
        <v>School Bus</v>
      </c>
      <c r="R1452" s="5" t="str">
        <f ca="1">IFERROR(__xludf.DUMMYFUNCTION("""COMPUTED_VALUE"""),"Yes")</f>
        <v>Yes</v>
      </c>
      <c r="S1452" s="5" t="str">
        <f ca="1">IFERROR(__xludf.DUMMYFUNCTION("""COMPUTED_VALUE"""),"After School")</f>
        <v>After School</v>
      </c>
      <c r="T1452" s="5"/>
      <c r="U1452" s="5">
        <f ca="1">IFERROR(__xludf.DUMMYFUNCTION("""COMPUTED_VALUE"""),1)</f>
        <v>1</v>
      </c>
      <c r="V1452" s="5" t="str">
        <f ca="1">IFERROR(__xludf.DUMMYFUNCTION("""COMPUTED_VALUE"""),"Playing with gun on school bus")</f>
        <v>Playing with gun on school bus</v>
      </c>
      <c r="W1452"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X1452" s="5" t="str">
        <f ca="1">IFERROR(__xludf.DUMMYFUNCTION("""COMPUTED_VALUE"""),"Accidental")</f>
        <v>Accidental</v>
      </c>
      <c r="Y1452" s="5" t="str">
        <f ca="1">IFERROR(__xludf.DUMMYFUNCTION("""COMPUTED_VALUE"""),"Random Shooting")</f>
        <v>Random Shooting</v>
      </c>
      <c r="Z1452" s="5" t="str">
        <f ca="1">IFERROR(__xludf.DUMMYFUNCTION("""COMPUTED_VALUE"""),"No")</f>
        <v>No</v>
      </c>
      <c r="AA1452" s="5"/>
      <c r="AB1452" s="5" t="str">
        <f ca="1">IFERROR(__xludf.DUMMYFUNCTION("""COMPUTED_VALUE"""),"No")</f>
        <v>No</v>
      </c>
      <c r="AC1452" s="5" t="str">
        <f ca="1">IFERROR(__xludf.DUMMYFUNCTION("""COMPUTED_VALUE"""),"No")</f>
        <v>No</v>
      </c>
      <c r="AD1452" s="5" t="str">
        <f ca="1">IFERROR(__xludf.DUMMYFUNCTION("""COMPUTED_VALUE"""),"No")</f>
        <v>No</v>
      </c>
      <c r="AE1452" s="5" t="str">
        <f ca="1">IFERROR(__xludf.DUMMYFUNCTION("""COMPUTED_VALUE"""),"No")</f>
        <v>No</v>
      </c>
      <c r="AF1452" s="5" t="str">
        <f ca="1">IFERROR(__xludf.DUMMYFUNCTION("""COMPUTED_VALUE"""),"No")</f>
        <v>No</v>
      </c>
      <c r="AG1452" s="5" t="str">
        <f ca="1">IFERROR(__xludf.DUMMYFUNCTION("""COMPUTED_VALUE"""),"No")</f>
        <v>No</v>
      </c>
      <c r="AH1452" s="5"/>
    </row>
    <row r="1453" spans="1:34" ht="12.75">
      <c r="A1453" s="5" t="str">
        <f ca="1">IFERROR(__xludf.DUMMYFUNCTION("""COMPUTED_VALUE"""),"19981203INERG")</f>
        <v>19981203INERG</v>
      </c>
      <c r="B1453" s="8">
        <f ca="1">IFERROR(__xludf.DUMMYFUNCTION("""COMPUTED_VALUE"""),36132)</f>
        <v>36132</v>
      </c>
      <c r="C1453" s="5" t="str">
        <f ca="1">IFERROR(__xludf.DUMMYFUNCTION("""COMPUTED_VALUE"""),"Ernie Elementary School")</f>
        <v>Ernie Elementary School</v>
      </c>
      <c r="D1453" s="5">
        <f ca="1">IFERROR(__xludf.DUMMYFUNCTION("""COMPUTED_VALUE"""),0)</f>
        <v>0</v>
      </c>
      <c r="E1453" s="5">
        <f ca="1">IFERROR(__xludf.DUMMYFUNCTION("""COMPUTED_VALUE"""),1)</f>
        <v>1</v>
      </c>
      <c r="F1453" s="5">
        <f ca="1">IFERROR(__xludf.DUMMYFUNCTION("""COMPUTED_VALUE"""),1)</f>
        <v>1</v>
      </c>
      <c r="G1453" s="5">
        <f ca="1">IFERROR(__xludf.DUMMYFUNCTION("""COMPUTED_VALUE"""),0)</f>
        <v>0</v>
      </c>
      <c r="H1453"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I1453" s="5"/>
      <c r="J1453" s="5"/>
      <c r="K1453" s="5">
        <f ca="1">IFERROR(__xludf.DUMMYFUNCTION("""COMPUTED_VALUE"""),3)</f>
        <v>3</v>
      </c>
      <c r="L1453" s="5" t="str">
        <f ca="1">IFERROR(__xludf.DUMMYFUNCTION("""COMPUTED_VALUE"""),"Winter")</f>
        <v>Winter</v>
      </c>
      <c r="M1453" s="5" t="str">
        <f ca="1">IFERROR(__xludf.DUMMYFUNCTION("""COMPUTED_VALUE"""),"Gary")</f>
        <v>Gary</v>
      </c>
      <c r="N1453" s="5" t="str">
        <f ca="1">IFERROR(__xludf.DUMMYFUNCTION("""COMPUTED_VALUE"""),"IN")</f>
        <v>IN</v>
      </c>
      <c r="O1453" s="5" t="str">
        <f ca="1">IFERROR(__xludf.DUMMYFUNCTION("""COMPUTED_VALUE"""),"Elementary")</f>
        <v>Elementary</v>
      </c>
      <c r="P1453" s="5" t="str">
        <f ca="1">IFERROR(__xludf.DUMMYFUNCTION("""COMPUTED_VALUE"""),"Gym")</f>
        <v>Gym</v>
      </c>
      <c r="Q1453" s="5" t="str">
        <f ca="1">IFERROR(__xludf.DUMMYFUNCTION("""COMPUTED_VALUE"""),"Inside School Building")</f>
        <v>Inside School Building</v>
      </c>
      <c r="R1453" s="5" t="str">
        <f ca="1">IFERROR(__xludf.DUMMYFUNCTION("""COMPUTED_VALUE"""),"No")</f>
        <v>No</v>
      </c>
      <c r="S1453" s="5" t="str">
        <f ca="1">IFERROR(__xludf.DUMMYFUNCTION("""COMPUTED_VALUE"""),"Evening")</f>
        <v>Evening</v>
      </c>
      <c r="T1453" s="5"/>
      <c r="U1453" s="5">
        <f ca="1">IFERROR(__xludf.DUMMYFUNCTION("""COMPUTED_VALUE"""),1)</f>
        <v>1</v>
      </c>
      <c r="V1453" s="5" t="str">
        <f ca="1">IFERROR(__xludf.DUMMYFUNCTION("""COMPUTED_VALUE"""),"Parent shot teacher during argument at parent-teacher conference")</f>
        <v>Parent shot teacher during argument at parent-teacher conference</v>
      </c>
      <c r="W1453"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X1453" s="5" t="str">
        <f ca="1">IFERROR(__xludf.DUMMYFUNCTION("""COMPUTED_VALUE"""),"Escalation of Dispute")</f>
        <v>Escalation of Dispute</v>
      </c>
      <c r="Y1453" s="5" t="str">
        <f ca="1">IFERROR(__xludf.DUMMYFUNCTION("""COMPUTED_VALUE"""),"Victims Targeted")</f>
        <v>Victims Targeted</v>
      </c>
      <c r="Z1453" s="5" t="str">
        <f ca="1">IFERROR(__xludf.DUMMYFUNCTION("""COMPUTED_VALUE"""),"No")</f>
        <v>No</v>
      </c>
      <c r="AA1453" s="5"/>
      <c r="AB1453" s="5" t="str">
        <f ca="1">IFERROR(__xludf.DUMMYFUNCTION("""COMPUTED_VALUE"""),"No")</f>
        <v>No</v>
      </c>
      <c r="AC1453" s="5" t="str">
        <f ca="1">IFERROR(__xludf.DUMMYFUNCTION("""COMPUTED_VALUE"""),"No")</f>
        <v>No</v>
      </c>
      <c r="AD1453" s="5" t="str">
        <f ca="1">IFERROR(__xludf.DUMMYFUNCTION("""COMPUTED_VALUE"""),"No")</f>
        <v>No</v>
      </c>
      <c r="AE1453" s="5" t="str">
        <f ca="1">IFERROR(__xludf.DUMMYFUNCTION("""COMPUTED_VALUE"""),"No")</f>
        <v>No</v>
      </c>
      <c r="AF1453" s="5" t="str">
        <f ca="1">IFERROR(__xludf.DUMMYFUNCTION("""COMPUTED_VALUE"""),"No")</f>
        <v>No</v>
      </c>
      <c r="AG1453" s="5" t="str">
        <f ca="1">IFERROR(__xludf.DUMMYFUNCTION("""COMPUTED_VALUE"""),"No")</f>
        <v>No</v>
      </c>
      <c r="AH1453" s="5"/>
    </row>
    <row r="1454" spans="1:34" ht="12.75">
      <c r="A1454" s="5" t="str">
        <f ca="1">IFERROR(__xludf.DUMMYFUNCTION("""COMPUTED_VALUE"""),"19981130NYHAH")</f>
        <v>19981130NYHAH</v>
      </c>
      <c r="B1454" s="8">
        <f ca="1">IFERROR(__xludf.DUMMYFUNCTION("""COMPUTED_VALUE"""),36129)</f>
        <v>36129</v>
      </c>
      <c r="C1454" s="5" t="str">
        <f ca="1">IFERROR(__xludf.DUMMYFUNCTION("""COMPUTED_VALUE"""),"Hancock Middle High School")</f>
        <v>Hancock Middle High School</v>
      </c>
      <c r="D1454" s="5">
        <f ca="1">IFERROR(__xludf.DUMMYFUNCTION("""COMPUTED_VALUE"""),0)</f>
        <v>0</v>
      </c>
      <c r="E1454" s="5">
        <f ca="1">IFERROR(__xludf.DUMMYFUNCTION("""COMPUTED_VALUE"""),0)</f>
        <v>0</v>
      </c>
      <c r="F1454" s="5">
        <f ca="1">IFERROR(__xludf.DUMMYFUNCTION("""COMPUTED_VALUE"""),0)</f>
        <v>0</v>
      </c>
      <c r="G1454" s="5">
        <f ca="1">IFERROR(__xludf.DUMMYFUNCTION("""COMPUTED_VALUE"""),1)</f>
        <v>1</v>
      </c>
      <c r="H1454"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I1454" s="5"/>
      <c r="J1454" s="5"/>
      <c r="K1454" s="5">
        <f ca="1">IFERROR(__xludf.DUMMYFUNCTION("""COMPUTED_VALUE"""),3)</f>
        <v>3</v>
      </c>
      <c r="L1454" s="5" t="str">
        <f ca="1">IFERROR(__xludf.DUMMYFUNCTION("""COMPUTED_VALUE"""),"Fall")</f>
        <v>Fall</v>
      </c>
      <c r="M1454" s="5" t="str">
        <f ca="1">IFERROR(__xludf.DUMMYFUNCTION("""COMPUTED_VALUE"""),"Hancock")</f>
        <v>Hancock</v>
      </c>
      <c r="N1454" s="5" t="str">
        <f ca="1">IFERROR(__xludf.DUMMYFUNCTION("""COMPUTED_VALUE"""),"NY")</f>
        <v>NY</v>
      </c>
      <c r="O1454" s="5" t="str">
        <f ca="1">IFERROR(__xludf.DUMMYFUNCTION("""COMPUTED_VALUE"""),"Middle")</f>
        <v>Middle</v>
      </c>
      <c r="P1454" s="5" t="str">
        <f ca="1">IFERROR(__xludf.DUMMYFUNCTION("""COMPUTED_VALUE"""),"Bathroom")</f>
        <v>Bathroom</v>
      </c>
      <c r="Q1454" s="5" t="str">
        <f ca="1">IFERROR(__xludf.DUMMYFUNCTION("""COMPUTED_VALUE"""),"Inside School Building")</f>
        <v>Inside School Building</v>
      </c>
      <c r="R1454" s="5" t="str">
        <f ca="1">IFERROR(__xludf.DUMMYFUNCTION("""COMPUTED_VALUE"""),"Yes")</f>
        <v>Yes</v>
      </c>
      <c r="S1454" s="5" t="str">
        <f ca="1">IFERROR(__xludf.DUMMYFUNCTION("""COMPUTED_VALUE"""),"Morning Classes")</f>
        <v>Morning Classes</v>
      </c>
      <c r="T1454" s="10">
        <f ca="1">IFERROR(__xludf.DUMMYFUNCTION("""COMPUTED_VALUE"""),0.388888888888888)</f>
        <v>0.38888888888888801</v>
      </c>
      <c r="U1454" s="5">
        <f ca="1">IFERROR(__xludf.DUMMYFUNCTION("""COMPUTED_VALUE"""),1)</f>
        <v>1</v>
      </c>
      <c r="V1454" s="5" t="str">
        <f ca="1">IFERROR(__xludf.DUMMYFUNCTION("""COMPUTED_VALUE"""),"Suicide in school bathroom")</f>
        <v>Suicide in school bathroom</v>
      </c>
      <c r="W1454"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X1454" s="5" t="str">
        <f ca="1">IFERROR(__xludf.DUMMYFUNCTION("""COMPUTED_VALUE"""),"Suicide/Attempted")</f>
        <v>Suicide/Attempted</v>
      </c>
      <c r="Y1454" s="5" t="str">
        <f ca="1">IFERROR(__xludf.DUMMYFUNCTION("""COMPUTED_VALUE"""),"Victims Targeted")</f>
        <v>Victims Targeted</v>
      </c>
      <c r="Z1454" s="5" t="str">
        <f ca="1">IFERROR(__xludf.DUMMYFUNCTION("""COMPUTED_VALUE"""),"No")</f>
        <v>No</v>
      </c>
      <c r="AA1454" s="5"/>
      <c r="AB1454" s="5" t="str">
        <f ca="1">IFERROR(__xludf.DUMMYFUNCTION("""COMPUTED_VALUE"""),"No")</f>
        <v>No</v>
      </c>
      <c r="AC1454" s="5" t="str">
        <f ca="1">IFERROR(__xludf.DUMMYFUNCTION("""COMPUTED_VALUE"""),"No")</f>
        <v>No</v>
      </c>
      <c r="AD1454" s="5" t="str">
        <f ca="1">IFERROR(__xludf.DUMMYFUNCTION("""COMPUTED_VALUE"""),"No")</f>
        <v>No</v>
      </c>
      <c r="AE1454" s="5"/>
      <c r="AF1454" s="5"/>
      <c r="AG1454" s="5" t="str">
        <f ca="1">IFERROR(__xludf.DUMMYFUNCTION("""COMPUTED_VALUE"""),"No")</f>
        <v>No</v>
      </c>
      <c r="AH1454" s="5"/>
    </row>
    <row r="1455" spans="1:34" ht="12.75">
      <c r="A1455" s="5" t="str">
        <f ca="1">IFERROR(__xludf.DUMMYFUNCTION("""COMPUTED_VALUE"""),"19981103PAMAP")</f>
        <v>19981103PAMAP</v>
      </c>
      <c r="B1455" s="8">
        <f ca="1">IFERROR(__xludf.DUMMYFUNCTION("""COMPUTED_VALUE"""),36102)</f>
        <v>36102</v>
      </c>
      <c r="C1455" s="5" t="str">
        <f ca="1">IFERROR(__xludf.DUMMYFUNCTION("""COMPUTED_VALUE"""),"Martin Luther King High School")</f>
        <v>Martin Luther King High School</v>
      </c>
      <c r="D1455" s="5">
        <f ca="1">IFERROR(__xludf.DUMMYFUNCTION("""COMPUTED_VALUE"""),1)</f>
        <v>1</v>
      </c>
      <c r="E1455" s="5">
        <f ca="1">IFERROR(__xludf.DUMMYFUNCTION("""COMPUTED_VALUE"""),0)</f>
        <v>0</v>
      </c>
      <c r="F1455" s="5">
        <f ca="1">IFERROR(__xludf.DUMMYFUNCTION("""COMPUTED_VALUE"""),1)</f>
        <v>1</v>
      </c>
      <c r="G1455" s="5">
        <f ca="1">IFERROR(__xludf.DUMMYFUNCTION("""COMPUTED_VALUE"""),0)</f>
        <v>0</v>
      </c>
      <c r="H1455"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I1455" s="5"/>
      <c r="J1455" s="5"/>
      <c r="K1455" s="5">
        <f ca="1">IFERROR(__xludf.DUMMYFUNCTION("""COMPUTED_VALUE"""),3)</f>
        <v>3</v>
      </c>
      <c r="L1455" s="5" t="str">
        <f ca="1">IFERROR(__xludf.DUMMYFUNCTION("""COMPUTED_VALUE"""),"Fall")</f>
        <v>Fall</v>
      </c>
      <c r="M1455" s="5" t="str">
        <f ca="1">IFERROR(__xludf.DUMMYFUNCTION("""COMPUTED_VALUE"""),"Philadelphia")</f>
        <v>Philadelphia</v>
      </c>
      <c r="N1455" s="5" t="str">
        <f ca="1">IFERROR(__xludf.DUMMYFUNCTION("""COMPUTED_VALUE"""),"PA")</f>
        <v>PA</v>
      </c>
      <c r="O1455" s="5" t="str">
        <f ca="1">IFERROR(__xludf.DUMMYFUNCTION("""COMPUTED_VALUE"""),"High")</f>
        <v>High</v>
      </c>
      <c r="P1455" s="5" t="str">
        <f ca="1">IFERROR(__xludf.DUMMYFUNCTION("""COMPUTED_VALUE"""),"Beside Building")</f>
        <v>Beside Building</v>
      </c>
      <c r="Q1455" s="5" t="str">
        <f ca="1">IFERROR(__xludf.DUMMYFUNCTION("""COMPUTED_VALUE"""),"Outside on School Property")</f>
        <v>Outside on School Property</v>
      </c>
      <c r="R1455" s="5" t="str">
        <f ca="1">IFERROR(__xludf.DUMMYFUNCTION("""COMPUTED_VALUE"""),"Yes")</f>
        <v>Yes</v>
      </c>
      <c r="S1455" s="5" t="str">
        <f ca="1">IFERROR(__xludf.DUMMYFUNCTION("""COMPUTED_VALUE"""),"Dismissal")</f>
        <v>Dismissal</v>
      </c>
      <c r="T1455" s="10">
        <f ca="1">IFERROR(__xludf.DUMMYFUNCTION("""COMPUTED_VALUE"""),0.572916666666666)</f>
        <v>0.57291666666666596</v>
      </c>
      <c r="U1455" s="5">
        <f ca="1">IFERROR(__xludf.DUMMYFUNCTION("""COMPUTED_VALUE"""),1)</f>
        <v>1</v>
      </c>
      <c r="V1455" s="5" t="str">
        <f ca="1">IFERROR(__xludf.DUMMYFUNCTION("""COMPUTED_VALUE"""),"Dispute over a girl at end of school day")</f>
        <v>Dispute over a girl at end of school day</v>
      </c>
      <c r="W1455"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X1455" s="5" t="str">
        <f ca="1">IFERROR(__xludf.DUMMYFUNCTION("""COMPUTED_VALUE"""),"Escalation of Dispute")</f>
        <v>Escalation of Dispute</v>
      </c>
      <c r="Y1455" s="5" t="str">
        <f ca="1">IFERROR(__xludf.DUMMYFUNCTION("""COMPUTED_VALUE"""),"Victims Targeted")</f>
        <v>Victims Targeted</v>
      </c>
      <c r="Z1455" s="5" t="str">
        <f ca="1">IFERROR(__xludf.DUMMYFUNCTION("""COMPUTED_VALUE"""),"Yes")</f>
        <v>Yes</v>
      </c>
      <c r="AA1455" s="5" t="str">
        <f ca="1">IFERROR(__xludf.DUMMYFUNCTION("""COMPUTED_VALUE"""),"Two suspects taken into custody - not sure who was shooter.")</f>
        <v>Two suspects taken into custody - not sure who was shooter.</v>
      </c>
      <c r="AB1455" s="5" t="str">
        <f ca="1">IFERROR(__xludf.DUMMYFUNCTION("""COMPUTED_VALUE"""),"No")</f>
        <v>No</v>
      </c>
      <c r="AC1455" s="5" t="str">
        <f ca="1">IFERROR(__xludf.DUMMYFUNCTION("""COMPUTED_VALUE"""),"No")</f>
        <v>No</v>
      </c>
      <c r="AD1455" s="5" t="str">
        <f ca="1">IFERROR(__xludf.DUMMYFUNCTION("""COMPUTED_VALUE"""),"No")</f>
        <v>No</v>
      </c>
      <c r="AE1455" s="5" t="str">
        <f ca="1">IFERROR(__xludf.DUMMYFUNCTION("""COMPUTED_VALUE"""),"No")</f>
        <v>No</v>
      </c>
      <c r="AF1455" s="5" t="str">
        <f ca="1">IFERROR(__xludf.DUMMYFUNCTION("""COMPUTED_VALUE"""),"No")</f>
        <v>No</v>
      </c>
      <c r="AG1455" s="5" t="str">
        <f ca="1">IFERROR(__xludf.DUMMYFUNCTION("""COMPUTED_VALUE"""),"No")</f>
        <v>No</v>
      </c>
      <c r="AH1455" s="5"/>
    </row>
    <row r="1456" spans="1:34" ht="12.75">
      <c r="A1456" s="5" t="str">
        <f ca="1">IFERROR(__xludf.DUMMYFUNCTION("""COMPUTED_VALUE"""),"19980930FLNOM")</f>
        <v>19980930FLNOM</v>
      </c>
      <c r="B1456" s="8">
        <f ca="1">IFERROR(__xludf.DUMMYFUNCTION("""COMPUTED_VALUE"""),36068)</f>
        <v>36068</v>
      </c>
      <c r="C1456" s="5" t="str">
        <f ca="1">IFERROR(__xludf.DUMMYFUNCTION("""COMPUTED_VALUE"""),"North Miami High School")</f>
        <v>North Miami High School</v>
      </c>
      <c r="D1456" s="5">
        <f ca="1">IFERROR(__xludf.DUMMYFUNCTION("""COMPUTED_VALUE"""),0)</f>
        <v>0</v>
      </c>
      <c r="E1456" s="5">
        <f ca="1">IFERROR(__xludf.DUMMYFUNCTION("""COMPUTED_VALUE"""),3)</f>
        <v>3</v>
      </c>
      <c r="F1456" s="5">
        <f ca="1">IFERROR(__xludf.DUMMYFUNCTION("""COMPUTED_VALUE"""),3)</f>
        <v>3</v>
      </c>
      <c r="G1456" s="5">
        <f ca="1">IFERROR(__xludf.DUMMYFUNCTION("""COMPUTED_VALUE"""),0)</f>
        <v>0</v>
      </c>
      <c r="H1456"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I1456" s="5"/>
      <c r="J1456" s="5"/>
      <c r="K1456" s="5">
        <f ca="1">IFERROR(__xludf.DUMMYFUNCTION("""COMPUTED_VALUE"""),2)</f>
        <v>2</v>
      </c>
      <c r="L1456" s="5" t="str">
        <f ca="1">IFERROR(__xludf.DUMMYFUNCTION("""COMPUTED_VALUE"""),"Fall")</f>
        <v>Fall</v>
      </c>
      <c r="M1456" s="5" t="str">
        <f ca="1">IFERROR(__xludf.DUMMYFUNCTION("""COMPUTED_VALUE"""),"Miami")</f>
        <v>Miami</v>
      </c>
      <c r="N1456" s="5" t="str">
        <f ca="1">IFERROR(__xludf.DUMMYFUNCTION("""COMPUTED_VALUE"""),"FL")</f>
        <v>FL</v>
      </c>
      <c r="O1456" s="5" t="str">
        <f ca="1">IFERROR(__xludf.DUMMYFUNCTION("""COMPUTED_VALUE"""),"High")</f>
        <v>High</v>
      </c>
      <c r="P1456" s="5" t="str">
        <f ca="1">IFERROR(__xludf.DUMMYFUNCTION("""COMPUTED_VALUE"""),"Hallway")</f>
        <v>Hallway</v>
      </c>
      <c r="Q1456" s="5" t="str">
        <f ca="1">IFERROR(__xludf.DUMMYFUNCTION("""COMPUTED_VALUE"""),"Inside School Building")</f>
        <v>Inside School Building</v>
      </c>
      <c r="R1456" s="5" t="str">
        <f ca="1">IFERROR(__xludf.DUMMYFUNCTION("""COMPUTED_VALUE"""),"Yes")</f>
        <v>Yes</v>
      </c>
      <c r="S1456" s="5" t="str">
        <f ca="1">IFERROR(__xludf.DUMMYFUNCTION("""COMPUTED_VALUE"""),"Lunch")</f>
        <v>Lunch</v>
      </c>
      <c r="T1456" s="10">
        <f ca="1">IFERROR(__xludf.DUMMYFUNCTION("""COMPUTED_VALUE"""),0.522222222222222)</f>
        <v>0.52222222222222203</v>
      </c>
      <c r="U1456" s="5">
        <f ca="1">IFERROR(__xludf.DUMMYFUNCTION("""COMPUTED_VALUE"""),1)</f>
        <v>1</v>
      </c>
      <c r="V1456" s="5" t="str">
        <f ca="1">IFERROR(__xludf.DUMMYFUNCTION("""COMPUTED_VALUE"""),"Gang related shooting following prior fight")</f>
        <v>Gang related shooting following prior fight</v>
      </c>
      <c r="W1456"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X1456" s="5" t="str">
        <f ca="1">IFERROR(__xludf.DUMMYFUNCTION("""COMPUTED_VALUE"""),"Escalation of Dispute")</f>
        <v>Escalation of Dispute</v>
      </c>
      <c r="Y1456" s="5" t="str">
        <f ca="1">IFERROR(__xludf.DUMMYFUNCTION("""COMPUTED_VALUE"""),"Both")</f>
        <v>Both</v>
      </c>
      <c r="Z1456" s="5" t="str">
        <f ca="1">IFERROR(__xludf.DUMMYFUNCTION("""COMPUTED_VALUE"""),"Yes")</f>
        <v>Yes</v>
      </c>
      <c r="AA1456" s="5" t="str">
        <f ca="1">IFERROR(__xludf.DUMMYFUNCTION("""COMPUTED_VALUE"""),"Occi Eliezer, 18, fellow gang member chasing down rival gang member with Petit-Frere.")</f>
        <v>Occi Eliezer, 18, fellow gang member chasing down rival gang member with Petit-Frere.</v>
      </c>
      <c r="AB1456" s="5" t="str">
        <f ca="1">IFERROR(__xludf.DUMMYFUNCTION("""COMPUTED_VALUE"""),"No")</f>
        <v>No</v>
      </c>
      <c r="AC1456" s="5" t="str">
        <f ca="1">IFERROR(__xludf.DUMMYFUNCTION("""COMPUTED_VALUE"""),"No")</f>
        <v>No</v>
      </c>
      <c r="AD1456" s="5" t="str">
        <f ca="1">IFERROR(__xludf.DUMMYFUNCTION("""COMPUTED_VALUE"""),"No")</f>
        <v>No</v>
      </c>
      <c r="AE1456" s="5" t="str">
        <f ca="1">IFERROR(__xludf.DUMMYFUNCTION("""COMPUTED_VALUE"""),"No")</f>
        <v>No</v>
      </c>
      <c r="AF1456" s="5" t="str">
        <f ca="1">IFERROR(__xludf.DUMMYFUNCTION("""COMPUTED_VALUE"""),"No")</f>
        <v>No</v>
      </c>
      <c r="AG1456" s="5" t="str">
        <f ca="1">IFERROR(__xludf.DUMMYFUNCTION("""COMPUTED_VALUE"""),"Yes")</f>
        <v>Yes</v>
      </c>
      <c r="AH1456" s="5"/>
    </row>
    <row r="1457" spans="1:34" ht="12.75">
      <c r="A1457" s="5" t="str">
        <f ca="1">IFERROR(__xludf.DUMMYFUNCTION("""COMPUTED_VALUE"""),"19980930FLLEL")</f>
        <v>19980930FLLEL</v>
      </c>
      <c r="B1457" s="8">
        <f ca="1">IFERROR(__xludf.DUMMYFUNCTION("""COMPUTED_VALUE"""),36068)</f>
        <v>36068</v>
      </c>
      <c r="C1457" s="5" t="str">
        <f ca="1">IFERROR(__xludf.DUMMYFUNCTION("""COMPUTED_VALUE"""),"Leesburg High School")</f>
        <v>Leesburg High School</v>
      </c>
      <c r="D1457" s="5">
        <f ca="1">IFERROR(__xludf.DUMMYFUNCTION("""COMPUTED_VALUE"""),0)</f>
        <v>0</v>
      </c>
      <c r="E1457" s="5">
        <f ca="1">IFERROR(__xludf.DUMMYFUNCTION("""COMPUTED_VALUE"""),0)</f>
        <v>0</v>
      </c>
      <c r="F1457" s="5">
        <f ca="1">IFERROR(__xludf.DUMMYFUNCTION("""COMPUTED_VALUE"""),0)</f>
        <v>0</v>
      </c>
      <c r="G1457" s="5">
        <f ca="1">IFERROR(__xludf.DUMMYFUNCTION("""COMPUTED_VALUE"""),0)</f>
        <v>0</v>
      </c>
      <c r="H1457"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I1457" s="5"/>
      <c r="J1457" s="5"/>
      <c r="K1457" s="5">
        <f ca="1">IFERROR(__xludf.DUMMYFUNCTION("""COMPUTED_VALUE"""),2)</f>
        <v>2</v>
      </c>
      <c r="L1457" s="5" t="str">
        <f ca="1">IFERROR(__xludf.DUMMYFUNCTION("""COMPUTED_VALUE"""),"Fall")</f>
        <v>Fall</v>
      </c>
      <c r="M1457" s="5" t="str">
        <f ca="1">IFERROR(__xludf.DUMMYFUNCTION("""COMPUTED_VALUE"""),"Leesburg")</f>
        <v>Leesburg</v>
      </c>
      <c r="N1457" s="5" t="str">
        <f ca="1">IFERROR(__xludf.DUMMYFUNCTION("""COMPUTED_VALUE"""),"FL")</f>
        <v>FL</v>
      </c>
      <c r="O1457" s="5" t="str">
        <f ca="1">IFERROR(__xludf.DUMMYFUNCTION("""COMPUTED_VALUE"""),"High")</f>
        <v>High</v>
      </c>
      <c r="P1457" s="5" t="str">
        <f ca="1">IFERROR(__xludf.DUMMYFUNCTION("""COMPUTED_VALUE"""),"Outside on School Property")</f>
        <v>Outside on School Property</v>
      </c>
      <c r="Q1457" s="5" t="str">
        <f ca="1">IFERROR(__xludf.DUMMYFUNCTION("""COMPUTED_VALUE"""),"Outside on School Property")</f>
        <v>Outside on School Property</v>
      </c>
      <c r="R1457" s="5" t="str">
        <f ca="1">IFERROR(__xludf.DUMMYFUNCTION("""COMPUTED_VALUE"""),"Yes")</f>
        <v>Yes</v>
      </c>
      <c r="S1457" s="5"/>
      <c r="T1457" s="5"/>
      <c r="U1457" s="5">
        <f ca="1">IFERROR(__xludf.DUMMYFUNCTION("""COMPUTED_VALUE"""),1)</f>
        <v>1</v>
      </c>
      <c r="V1457" s="5" t="str">
        <f ca="1">IFERROR(__xludf.DUMMYFUNCTION("""COMPUTED_VALUE"""),"Teen shot himself in the arm")</f>
        <v>Teen shot himself in the arm</v>
      </c>
      <c r="W1457"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X1457" s="5" t="str">
        <f ca="1">IFERROR(__xludf.DUMMYFUNCTION("""COMPUTED_VALUE"""),"Accidental")</f>
        <v>Accidental</v>
      </c>
      <c r="Y1457" s="5" t="str">
        <f ca="1">IFERROR(__xludf.DUMMYFUNCTION("""COMPUTED_VALUE"""),"Victims Targeted")</f>
        <v>Victims Targeted</v>
      </c>
      <c r="Z1457" s="5" t="str">
        <f ca="1">IFERROR(__xludf.DUMMYFUNCTION("""COMPUTED_VALUE"""),"No")</f>
        <v>No</v>
      </c>
      <c r="AA1457" s="5"/>
      <c r="AB1457" s="5" t="str">
        <f ca="1">IFERROR(__xludf.DUMMYFUNCTION("""COMPUTED_VALUE"""),"No")</f>
        <v>No</v>
      </c>
      <c r="AC1457" s="5" t="str">
        <f ca="1">IFERROR(__xludf.DUMMYFUNCTION("""COMPUTED_VALUE"""),"No")</f>
        <v>No</v>
      </c>
      <c r="AD1457" s="5" t="str">
        <f ca="1">IFERROR(__xludf.DUMMYFUNCTION("""COMPUTED_VALUE"""),"No")</f>
        <v>No</v>
      </c>
      <c r="AE1457" s="5" t="str">
        <f ca="1">IFERROR(__xludf.DUMMYFUNCTION("""COMPUTED_VALUE"""),"No")</f>
        <v>No</v>
      </c>
      <c r="AF1457" s="5" t="str">
        <f ca="1">IFERROR(__xludf.DUMMYFUNCTION("""COMPUTED_VALUE"""),"No")</f>
        <v>No</v>
      </c>
      <c r="AG1457" s="5" t="str">
        <f ca="1">IFERROR(__xludf.DUMMYFUNCTION("""COMPUTED_VALUE"""),"No")</f>
        <v>No</v>
      </c>
      <c r="AH1457" s="5"/>
    </row>
    <row r="1458" spans="1:34" ht="12.75">
      <c r="A1458" s="5" t="str">
        <f ca="1">IFERROR(__xludf.DUMMYFUNCTION("""COMPUTED_VALUE"""),"19980911CAHEG")</f>
        <v>19980911CAHEG</v>
      </c>
      <c r="B1458" s="8">
        <f ca="1">IFERROR(__xludf.DUMMYFUNCTION("""COMPUTED_VALUE"""),36049)</f>
        <v>36049</v>
      </c>
      <c r="C1458" s="5" t="str">
        <f ca="1">IFERROR(__xludf.DUMMYFUNCTION("""COMPUTED_VALUE"""),"Herbert Hoover High School")</f>
        <v>Herbert Hoover High School</v>
      </c>
      <c r="D1458" s="5">
        <f ca="1">IFERROR(__xludf.DUMMYFUNCTION("""COMPUTED_VALUE"""),0)</f>
        <v>0</v>
      </c>
      <c r="E1458" s="5">
        <f ca="1">IFERROR(__xludf.DUMMYFUNCTION("""COMPUTED_VALUE"""),1)</f>
        <v>1</v>
      </c>
      <c r="F1458" s="5">
        <f ca="1">IFERROR(__xludf.DUMMYFUNCTION("""COMPUTED_VALUE"""),1)</f>
        <v>1</v>
      </c>
      <c r="G1458" s="5">
        <f ca="1">IFERROR(__xludf.DUMMYFUNCTION("""COMPUTED_VALUE"""),0)</f>
        <v>0</v>
      </c>
      <c r="H1458"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I1458" s="5"/>
      <c r="J1458" s="5"/>
      <c r="K1458" s="5">
        <f ca="1">IFERROR(__xludf.DUMMYFUNCTION("""COMPUTED_VALUE"""),2)</f>
        <v>2</v>
      </c>
      <c r="L1458" s="5" t="str">
        <f ca="1">IFERROR(__xludf.DUMMYFUNCTION("""COMPUTED_VALUE"""),"Fall")</f>
        <v>Fall</v>
      </c>
      <c r="M1458" s="5" t="str">
        <f ca="1">IFERROR(__xludf.DUMMYFUNCTION("""COMPUTED_VALUE"""),"Glendale")</f>
        <v>Glendale</v>
      </c>
      <c r="N1458" s="5" t="str">
        <f ca="1">IFERROR(__xludf.DUMMYFUNCTION("""COMPUTED_VALUE"""),"CA")</f>
        <v>CA</v>
      </c>
      <c r="O1458" s="5" t="str">
        <f ca="1">IFERROR(__xludf.DUMMYFUNCTION("""COMPUTED_VALUE"""),"High")</f>
        <v>High</v>
      </c>
      <c r="P1458" s="5" t="str">
        <f ca="1">IFERROR(__xludf.DUMMYFUNCTION("""COMPUTED_VALUE"""),"Parking Lot")</f>
        <v>Parking Lot</v>
      </c>
      <c r="Q1458" s="5" t="str">
        <f ca="1">IFERROR(__xludf.DUMMYFUNCTION("""COMPUTED_VALUE"""),"Outside on School Property")</f>
        <v>Outside on School Property</v>
      </c>
      <c r="R1458" s="5" t="str">
        <f ca="1">IFERROR(__xludf.DUMMYFUNCTION("""COMPUTED_VALUE"""),"No")</f>
        <v>No</v>
      </c>
      <c r="S1458" s="5" t="str">
        <f ca="1">IFERROR(__xludf.DUMMYFUNCTION("""COMPUTED_VALUE"""),"After School")</f>
        <v>After School</v>
      </c>
      <c r="T1458" s="5"/>
      <c r="U1458" s="5">
        <f ca="1">IFERROR(__xludf.DUMMYFUNCTION("""COMPUTED_VALUE"""),1)</f>
        <v>1</v>
      </c>
      <c r="V1458" s="5" t="str">
        <f ca="1">IFERROR(__xludf.DUMMYFUNCTION("""COMPUTED_VALUE"""),"Gang fight in parking lot, one shot (student involved in fight)")</f>
        <v>Gang fight in parking lot, one shot (student involved in fight)</v>
      </c>
      <c r="W1458"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X1458" s="5" t="str">
        <f ca="1">IFERROR(__xludf.DUMMYFUNCTION("""COMPUTED_VALUE"""),"Escalation of Dispute")</f>
        <v>Escalation of Dispute</v>
      </c>
      <c r="Y1458" s="5" t="str">
        <f ca="1">IFERROR(__xludf.DUMMYFUNCTION("""COMPUTED_VALUE"""),"Victims Targeted")</f>
        <v>Victims Targeted</v>
      </c>
      <c r="Z1458" s="5" t="str">
        <f ca="1">IFERROR(__xludf.DUMMYFUNCTION("""COMPUTED_VALUE"""),"No")</f>
        <v>No</v>
      </c>
      <c r="AA1458" s="5"/>
      <c r="AB1458" s="5" t="str">
        <f ca="1">IFERROR(__xludf.DUMMYFUNCTION("""COMPUTED_VALUE"""),"No")</f>
        <v>No</v>
      </c>
      <c r="AC1458" s="5" t="str">
        <f ca="1">IFERROR(__xludf.DUMMYFUNCTION("""COMPUTED_VALUE"""),"No")</f>
        <v>No</v>
      </c>
      <c r="AD1458" s="5" t="str">
        <f ca="1">IFERROR(__xludf.DUMMYFUNCTION("""COMPUTED_VALUE"""),"No")</f>
        <v>No</v>
      </c>
      <c r="AE1458" s="5" t="str">
        <f ca="1">IFERROR(__xludf.DUMMYFUNCTION("""COMPUTED_VALUE"""),"No")</f>
        <v>No</v>
      </c>
      <c r="AF1458" s="5" t="str">
        <f ca="1">IFERROR(__xludf.DUMMYFUNCTION("""COMPUTED_VALUE"""),"No")</f>
        <v>No</v>
      </c>
      <c r="AG1458" s="5" t="str">
        <f ca="1">IFERROR(__xludf.DUMMYFUNCTION("""COMPUTED_VALUE"""),"Yes")</f>
        <v>Yes</v>
      </c>
      <c r="AH1458" s="5"/>
    </row>
    <row r="1459" spans="1:34" ht="12.75">
      <c r="A1459" s="5" t="str">
        <f ca="1">IFERROR(__xludf.DUMMYFUNCTION("""COMPUTED_VALUE"""),"19980615VAARR")</f>
        <v>19980615VAARR</v>
      </c>
      <c r="B1459" s="8">
        <f ca="1">IFERROR(__xludf.DUMMYFUNCTION("""COMPUTED_VALUE"""),35961)</f>
        <v>35961</v>
      </c>
      <c r="C1459" s="5" t="str">
        <f ca="1">IFERROR(__xludf.DUMMYFUNCTION("""COMPUTED_VALUE"""),"Armstrong High School")</f>
        <v>Armstrong High School</v>
      </c>
      <c r="D1459" s="5">
        <f ca="1">IFERROR(__xludf.DUMMYFUNCTION("""COMPUTED_VALUE"""),0)</f>
        <v>0</v>
      </c>
      <c r="E1459" s="5">
        <f ca="1">IFERROR(__xludf.DUMMYFUNCTION("""COMPUTED_VALUE"""),2)</f>
        <v>2</v>
      </c>
      <c r="F1459" s="5">
        <f ca="1">IFERROR(__xludf.DUMMYFUNCTION("""COMPUTED_VALUE"""),2)</f>
        <v>2</v>
      </c>
      <c r="G1459" s="5">
        <f ca="1">IFERROR(__xludf.DUMMYFUNCTION("""COMPUTED_VALUE"""),0)</f>
        <v>0</v>
      </c>
      <c r="H1459"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I1459" s="5"/>
      <c r="J1459" s="5"/>
      <c r="K1459" s="5">
        <f ca="1">IFERROR(__xludf.DUMMYFUNCTION("""COMPUTED_VALUE"""),2)</f>
        <v>2</v>
      </c>
      <c r="L1459" s="5" t="str">
        <f ca="1">IFERROR(__xludf.DUMMYFUNCTION("""COMPUTED_VALUE"""),"Summer")</f>
        <v>Summer</v>
      </c>
      <c r="M1459" s="5" t="str">
        <f ca="1">IFERROR(__xludf.DUMMYFUNCTION("""COMPUTED_VALUE"""),"Richmond")</f>
        <v>Richmond</v>
      </c>
      <c r="N1459" s="5" t="str">
        <f ca="1">IFERROR(__xludf.DUMMYFUNCTION("""COMPUTED_VALUE"""),"VA")</f>
        <v>VA</v>
      </c>
      <c r="O1459" s="5" t="str">
        <f ca="1">IFERROR(__xludf.DUMMYFUNCTION("""COMPUTED_VALUE"""),"High")</f>
        <v>High</v>
      </c>
      <c r="P1459" s="5" t="str">
        <f ca="1">IFERROR(__xludf.DUMMYFUNCTION("""COMPUTED_VALUE"""),"Hallway")</f>
        <v>Hallway</v>
      </c>
      <c r="Q1459" s="5" t="str">
        <f ca="1">IFERROR(__xludf.DUMMYFUNCTION("""COMPUTED_VALUE"""),"Inside School Building")</f>
        <v>Inside School Building</v>
      </c>
      <c r="R1459" s="5" t="str">
        <f ca="1">IFERROR(__xludf.DUMMYFUNCTION("""COMPUTED_VALUE"""),"Yes")</f>
        <v>Yes</v>
      </c>
      <c r="S1459" s="5" t="str">
        <f ca="1">IFERROR(__xludf.DUMMYFUNCTION("""COMPUTED_VALUE"""),"Morning Classes")</f>
        <v>Morning Classes</v>
      </c>
      <c r="T1459" s="10">
        <f ca="1">IFERROR(__xludf.DUMMYFUNCTION("""COMPUTED_VALUE"""),0.416666666666666)</f>
        <v>0.41666666666666602</v>
      </c>
      <c r="U1459" s="5">
        <f ca="1">IFERROR(__xludf.DUMMYFUNCTION("""COMPUTED_VALUE"""),1)</f>
        <v>1</v>
      </c>
      <c r="V1459" s="5" t="str">
        <f ca="1">IFERROR(__xludf.DUMMYFUNCTION("""COMPUTED_VALUE"""),"Fight (escalated) between juveniles, two teachers struck")</f>
        <v>Fight (escalated) between juveniles, two teachers struck</v>
      </c>
      <c r="W1459"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X1459" s="5" t="str">
        <f ca="1">IFERROR(__xludf.DUMMYFUNCTION("""COMPUTED_VALUE"""),"Escalation of Dispute")</f>
        <v>Escalation of Dispute</v>
      </c>
      <c r="Y1459" s="5" t="str">
        <f ca="1">IFERROR(__xludf.DUMMYFUNCTION("""COMPUTED_VALUE"""),"Both")</f>
        <v>Both</v>
      </c>
      <c r="Z1459" s="5" t="str">
        <f ca="1">IFERROR(__xludf.DUMMYFUNCTION("""COMPUTED_VALUE"""),"No")</f>
        <v>No</v>
      </c>
      <c r="AA1459" s="5"/>
      <c r="AB1459" s="5" t="str">
        <f ca="1">IFERROR(__xludf.DUMMYFUNCTION("""COMPUTED_VALUE"""),"No")</f>
        <v>No</v>
      </c>
      <c r="AC1459" s="5" t="str">
        <f ca="1">IFERROR(__xludf.DUMMYFUNCTION("""COMPUTED_VALUE"""),"No")</f>
        <v>No</v>
      </c>
      <c r="AD1459" s="5" t="str">
        <f ca="1">IFERROR(__xludf.DUMMYFUNCTION("""COMPUTED_VALUE"""),"No")</f>
        <v>No</v>
      </c>
      <c r="AE1459" s="5"/>
      <c r="AF1459" s="5" t="str">
        <f ca="1">IFERROR(__xludf.DUMMYFUNCTION("""COMPUTED_VALUE"""),"No")</f>
        <v>No</v>
      </c>
      <c r="AG1459" s="5" t="str">
        <f ca="1">IFERROR(__xludf.DUMMYFUNCTION("""COMPUTED_VALUE"""),"Yes")</f>
        <v>Yes</v>
      </c>
      <c r="AH1459" s="5"/>
    </row>
    <row r="1460" spans="1:34" ht="12.75">
      <c r="A1460" s="5" t="str">
        <f ca="1">IFERROR(__xludf.DUMMYFUNCTION("""COMPUTED_VALUE"""),"19980529FLSTF")</f>
        <v>19980529FLSTF</v>
      </c>
      <c r="B1460" s="8">
        <f ca="1">IFERROR(__xludf.DUMMYFUNCTION("""COMPUTED_VALUE"""),35944)</f>
        <v>35944</v>
      </c>
      <c r="C1460" s="5" t="str">
        <f ca="1">IFERROR(__xludf.DUMMYFUNCTION("""COMPUTED_VALUE"""),"Stranahan High School")</f>
        <v>Stranahan High School</v>
      </c>
      <c r="D1460" s="5">
        <f ca="1">IFERROR(__xludf.DUMMYFUNCTION("""COMPUTED_VALUE"""),1)</f>
        <v>1</v>
      </c>
      <c r="E1460" s="5">
        <f ca="1">IFERROR(__xludf.DUMMYFUNCTION("""COMPUTED_VALUE"""),0)</f>
        <v>0</v>
      </c>
      <c r="F1460" s="5">
        <f ca="1">IFERROR(__xludf.DUMMYFUNCTION("""COMPUTED_VALUE"""),1)</f>
        <v>1</v>
      </c>
      <c r="G1460" s="5">
        <f ca="1">IFERROR(__xludf.DUMMYFUNCTION("""COMPUTED_VALUE"""),1)</f>
        <v>1</v>
      </c>
      <c r="H1460"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I1460" s="5"/>
      <c r="J1460" s="5"/>
      <c r="K1460" s="5">
        <f ca="1">IFERROR(__xludf.DUMMYFUNCTION("""COMPUTED_VALUE"""),2)</f>
        <v>2</v>
      </c>
      <c r="L1460" s="5" t="str">
        <f ca="1">IFERROR(__xludf.DUMMYFUNCTION("""COMPUTED_VALUE"""),"Spring")</f>
        <v>Spring</v>
      </c>
      <c r="M1460" s="5" t="str">
        <f ca="1">IFERROR(__xludf.DUMMYFUNCTION("""COMPUTED_VALUE"""),"Ft. Lauderdale")</f>
        <v>Ft. Lauderdale</v>
      </c>
      <c r="N1460" s="5" t="str">
        <f ca="1">IFERROR(__xludf.DUMMYFUNCTION("""COMPUTED_VALUE"""),"FL")</f>
        <v>FL</v>
      </c>
      <c r="O1460" s="5" t="str">
        <f ca="1">IFERROR(__xludf.DUMMYFUNCTION("""COMPUTED_VALUE"""),"High")</f>
        <v>High</v>
      </c>
      <c r="P1460" s="5" t="str">
        <f ca="1">IFERROR(__xludf.DUMMYFUNCTION("""COMPUTED_VALUE"""),"Parking Lot")</f>
        <v>Parking Lot</v>
      </c>
      <c r="Q1460" s="5" t="str">
        <f ca="1">IFERROR(__xludf.DUMMYFUNCTION("""COMPUTED_VALUE"""),"Outside on School Property")</f>
        <v>Outside on School Property</v>
      </c>
      <c r="R1460" s="5" t="str">
        <f ca="1">IFERROR(__xludf.DUMMYFUNCTION("""COMPUTED_VALUE"""),"Yes")</f>
        <v>Yes</v>
      </c>
      <c r="S1460" s="5" t="str">
        <f ca="1">IFERROR(__xludf.DUMMYFUNCTION("""COMPUTED_VALUE"""),"School Start")</f>
        <v>School Start</v>
      </c>
      <c r="T1460" s="10">
        <f ca="1">IFERROR(__xludf.DUMMYFUNCTION("""COMPUTED_VALUE"""),0.313888888888888)</f>
        <v>0.313888888888888</v>
      </c>
      <c r="U1460" s="5">
        <f ca="1">IFERROR(__xludf.DUMMYFUNCTION("""COMPUTED_VALUE"""),1)</f>
        <v>1</v>
      </c>
      <c r="V1460" s="5" t="str">
        <f ca="1">IFERROR(__xludf.DUMMYFUNCTION("""COMPUTED_VALUE"""),"Murder suicide after breakup, victim was teacher")</f>
        <v>Murder suicide after breakup, victim was teacher</v>
      </c>
      <c r="W1460"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X1460" s="5" t="str">
        <f ca="1">IFERROR(__xludf.DUMMYFUNCTION("""COMPUTED_VALUE"""),"Murder/Suicide")</f>
        <v>Murder/Suicide</v>
      </c>
      <c r="Y1460" s="5" t="str">
        <f ca="1">IFERROR(__xludf.DUMMYFUNCTION("""COMPUTED_VALUE"""),"Victims Targeted")</f>
        <v>Victims Targeted</v>
      </c>
      <c r="Z1460" s="5" t="str">
        <f ca="1">IFERROR(__xludf.DUMMYFUNCTION("""COMPUTED_VALUE"""),"No")</f>
        <v>No</v>
      </c>
      <c r="AA1460" s="5"/>
      <c r="AB1460" s="5" t="str">
        <f ca="1">IFERROR(__xludf.DUMMYFUNCTION("""COMPUTED_VALUE"""),"No")</f>
        <v>No</v>
      </c>
      <c r="AC1460" s="5" t="str">
        <f ca="1">IFERROR(__xludf.DUMMYFUNCTION("""COMPUTED_VALUE"""),"No")</f>
        <v>No</v>
      </c>
      <c r="AD1460" s="5" t="str">
        <f ca="1">IFERROR(__xludf.DUMMYFUNCTION("""COMPUTED_VALUE"""),"No")</f>
        <v>No</v>
      </c>
      <c r="AE1460" s="5" t="str">
        <f ca="1">IFERROR(__xludf.DUMMYFUNCTION("""COMPUTED_VALUE"""),"No")</f>
        <v>No</v>
      </c>
      <c r="AF1460" s="5" t="str">
        <f ca="1">IFERROR(__xludf.DUMMYFUNCTION("""COMPUTED_VALUE"""),"Yes")</f>
        <v>Yes</v>
      </c>
      <c r="AG1460" s="5" t="str">
        <f ca="1">IFERROR(__xludf.DUMMYFUNCTION("""COMPUTED_VALUE"""),"No")</f>
        <v>No</v>
      </c>
      <c r="AH1460" s="5" t="str">
        <f ca="1">IFERROR(__xludf.DUMMYFUNCTION("""COMPUTED_VALUE"""),"No")</f>
        <v>No</v>
      </c>
    </row>
    <row r="1461" spans="1:34" ht="12.75">
      <c r="A1461" s="5" t="str">
        <f ca="1">IFERROR(__xludf.DUMMYFUNCTION("""COMPUTED_VALUE"""),"19980527CAWAP")</f>
        <v>19980527CAWAP</v>
      </c>
      <c r="B1461" s="8">
        <f ca="1">IFERROR(__xludf.DUMMYFUNCTION("""COMPUTED_VALUE"""),35942)</f>
        <v>35942</v>
      </c>
      <c r="C1461" s="5" t="str">
        <f ca="1">IFERROR(__xludf.DUMMYFUNCTION("""COMPUTED_VALUE"""),"Washington Middle School")</f>
        <v>Washington Middle School</v>
      </c>
      <c r="D1461" s="5">
        <f ca="1">IFERROR(__xludf.DUMMYFUNCTION("""COMPUTED_VALUE"""),2)</f>
        <v>2</v>
      </c>
      <c r="E1461" s="5">
        <f ca="1">IFERROR(__xludf.DUMMYFUNCTION("""COMPUTED_VALUE"""),0)</f>
        <v>0</v>
      </c>
      <c r="F1461" s="5">
        <f ca="1">IFERROR(__xludf.DUMMYFUNCTION("""COMPUTED_VALUE"""),2)</f>
        <v>2</v>
      </c>
      <c r="G1461" s="5">
        <f ca="1">IFERROR(__xludf.DUMMYFUNCTION("""COMPUTED_VALUE"""),0)</f>
        <v>0</v>
      </c>
      <c r="H1461"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I1461" s="5"/>
      <c r="J1461" s="5"/>
      <c r="K1461" s="5">
        <f ca="1">IFERROR(__xludf.DUMMYFUNCTION("""COMPUTED_VALUE"""),1)</f>
        <v>1</v>
      </c>
      <c r="L1461" s="5" t="str">
        <f ca="1">IFERROR(__xludf.DUMMYFUNCTION("""COMPUTED_VALUE"""),"Spring")</f>
        <v>Spring</v>
      </c>
      <c r="M1461" s="5" t="str">
        <f ca="1">IFERROR(__xludf.DUMMYFUNCTION("""COMPUTED_VALUE"""),"Pasadena")</f>
        <v>Pasadena</v>
      </c>
      <c r="N1461" s="5" t="str">
        <f ca="1">IFERROR(__xludf.DUMMYFUNCTION("""COMPUTED_VALUE"""),"CA")</f>
        <v>CA</v>
      </c>
      <c r="O1461" s="5" t="str">
        <f ca="1">IFERROR(__xludf.DUMMYFUNCTION("""COMPUTED_VALUE"""),"Middle")</f>
        <v>Middle</v>
      </c>
      <c r="P1461" s="5" t="str">
        <f ca="1">IFERROR(__xludf.DUMMYFUNCTION("""COMPUTED_VALUE"""),"Beside Building")</f>
        <v>Beside Building</v>
      </c>
      <c r="Q1461" s="5" t="str">
        <f ca="1">IFERROR(__xludf.DUMMYFUNCTION("""COMPUTED_VALUE"""),"Outside on School Property")</f>
        <v>Outside on School Property</v>
      </c>
      <c r="R1461" s="5" t="str">
        <f ca="1">IFERROR(__xludf.DUMMYFUNCTION("""COMPUTED_VALUE"""),"No")</f>
        <v>No</v>
      </c>
      <c r="S1461" s="5" t="str">
        <f ca="1">IFERROR(__xludf.DUMMYFUNCTION("""COMPUTED_VALUE"""),"Evening")</f>
        <v>Evening</v>
      </c>
      <c r="T1461" s="10">
        <f ca="1">IFERROR(__xludf.DUMMYFUNCTION("""COMPUTED_VALUE"""),0.760416666666666)</f>
        <v>0.76041666666666596</v>
      </c>
      <c r="U1461" s="5">
        <f ca="1">IFERROR(__xludf.DUMMYFUNCTION("""COMPUTED_VALUE"""),1)</f>
        <v>1</v>
      </c>
      <c r="V1461" s="5" t="str">
        <f ca="1">IFERROR(__xludf.DUMMYFUNCTION("""COMPUTED_VALUE"""),"Gang related shooting outside of school")</f>
        <v>Gang related shooting outside of school</v>
      </c>
      <c r="W1461"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X1461" s="5" t="str">
        <f ca="1">IFERROR(__xludf.DUMMYFUNCTION("""COMPUTED_VALUE"""),"Escalation of Dispute")</f>
        <v>Escalation of Dispute</v>
      </c>
      <c r="Y1461" s="5" t="str">
        <f ca="1">IFERROR(__xludf.DUMMYFUNCTION("""COMPUTED_VALUE"""),"Victims Targeted")</f>
        <v>Victims Targeted</v>
      </c>
      <c r="Z1461" s="5" t="str">
        <f ca="1">IFERROR(__xludf.DUMMYFUNCTION("""COMPUTED_VALUE"""),"No")</f>
        <v>No</v>
      </c>
      <c r="AA1461" s="5"/>
      <c r="AB1461" s="5" t="str">
        <f ca="1">IFERROR(__xludf.DUMMYFUNCTION("""COMPUTED_VALUE"""),"No")</f>
        <v>No</v>
      </c>
      <c r="AC1461" s="5" t="str">
        <f ca="1">IFERROR(__xludf.DUMMYFUNCTION("""COMPUTED_VALUE"""),"No")</f>
        <v>No</v>
      </c>
      <c r="AD1461" s="5" t="str">
        <f ca="1">IFERROR(__xludf.DUMMYFUNCTION("""COMPUTED_VALUE"""),"No")</f>
        <v>No</v>
      </c>
      <c r="AE1461" s="5" t="str">
        <f ca="1">IFERROR(__xludf.DUMMYFUNCTION("""COMPUTED_VALUE"""),"No")</f>
        <v>No</v>
      </c>
      <c r="AF1461" s="5" t="str">
        <f ca="1">IFERROR(__xludf.DUMMYFUNCTION("""COMPUTED_VALUE"""),"No")</f>
        <v>No</v>
      </c>
      <c r="AG1461" s="5" t="str">
        <f ca="1">IFERROR(__xludf.DUMMYFUNCTION("""COMPUTED_VALUE"""),"Yes")</f>
        <v>Yes</v>
      </c>
      <c r="AH1461" s="5"/>
    </row>
    <row r="1462" spans="1:34" ht="12.75">
      <c r="A1462" s="5" t="str">
        <f ca="1">IFERROR(__xludf.DUMMYFUNCTION("""COMPUTED_VALUE"""),"19980521WAONO")</f>
        <v>19980521WAONO</v>
      </c>
      <c r="B1462" s="8">
        <f ca="1">IFERROR(__xludf.DUMMYFUNCTION("""COMPUTED_VALUE"""),35936)</f>
        <v>35936</v>
      </c>
      <c r="C1462" s="5" t="str">
        <f ca="1">IFERROR(__xludf.DUMMYFUNCTION("""COMPUTED_VALUE"""),"Onalaska High School")</f>
        <v>Onalaska High School</v>
      </c>
      <c r="D1462" s="5">
        <f ca="1">IFERROR(__xludf.DUMMYFUNCTION("""COMPUTED_VALUE"""),0)</f>
        <v>0</v>
      </c>
      <c r="E1462" s="5">
        <f ca="1">IFERROR(__xludf.DUMMYFUNCTION("""COMPUTED_VALUE"""),0)</f>
        <v>0</v>
      </c>
      <c r="F1462" s="5">
        <f ca="1">IFERROR(__xludf.DUMMYFUNCTION("""COMPUTED_VALUE"""),0)</f>
        <v>0</v>
      </c>
      <c r="G1462" s="5">
        <f ca="1">IFERROR(__xludf.DUMMYFUNCTION("""COMPUTED_VALUE"""),1)</f>
        <v>1</v>
      </c>
      <c r="H1462"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I1462" s="5"/>
      <c r="J1462" s="5"/>
      <c r="K1462" s="5">
        <f ca="1">IFERROR(__xludf.DUMMYFUNCTION("""COMPUTED_VALUE"""),2)</f>
        <v>2</v>
      </c>
      <c r="L1462" s="5" t="str">
        <f ca="1">IFERROR(__xludf.DUMMYFUNCTION("""COMPUTED_VALUE"""),"Spring")</f>
        <v>Spring</v>
      </c>
      <c r="M1462" s="5" t="str">
        <f ca="1">IFERROR(__xludf.DUMMYFUNCTION("""COMPUTED_VALUE"""),"Onalaska")</f>
        <v>Onalaska</v>
      </c>
      <c r="N1462" s="5" t="str">
        <f ca="1">IFERROR(__xludf.DUMMYFUNCTION("""COMPUTED_VALUE"""),"WA")</f>
        <v>WA</v>
      </c>
      <c r="O1462" s="5" t="str">
        <f ca="1">IFERROR(__xludf.DUMMYFUNCTION("""COMPUTED_VALUE"""),"High")</f>
        <v>High</v>
      </c>
      <c r="P1462" s="5" t="str">
        <f ca="1">IFERROR(__xludf.DUMMYFUNCTION("""COMPUTED_VALUE"""),"School Bus")</f>
        <v>School Bus</v>
      </c>
      <c r="Q1462" s="5" t="str">
        <f ca="1">IFERROR(__xludf.DUMMYFUNCTION("""COMPUTED_VALUE"""),"School Bus")</f>
        <v>School Bus</v>
      </c>
      <c r="R1462" s="5" t="str">
        <f ca="1">IFERROR(__xludf.DUMMYFUNCTION("""COMPUTED_VALUE"""),"No")</f>
        <v>No</v>
      </c>
      <c r="S1462" s="5" t="str">
        <f ca="1">IFERROR(__xludf.DUMMYFUNCTION("""COMPUTED_VALUE"""),"Before School")</f>
        <v>Before School</v>
      </c>
      <c r="T1462" s="5"/>
      <c r="U1462" s="5"/>
      <c r="V1462" s="5" t="str">
        <f ca="1">IFERROR(__xludf.DUMMYFUNCTION("""COMPUTED_VALUE"""),"Pulled gun on bus, ordered girlfriend to get off then shot himself")</f>
        <v>Pulled gun on bus, ordered girlfriend to get off then shot himself</v>
      </c>
      <c r="W1462"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X1462" s="5" t="str">
        <f ca="1">IFERROR(__xludf.DUMMYFUNCTION("""COMPUTED_VALUE"""),"Suicide/Attempted")</f>
        <v>Suicide/Attempted</v>
      </c>
      <c r="Y1462" s="5" t="str">
        <f ca="1">IFERROR(__xludf.DUMMYFUNCTION("""COMPUTED_VALUE"""),"Victims Targeted")</f>
        <v>Victims Targeted</v>
      </c>
      <c r="Z1462" s="5" t="str">
        <f ca="1">IFERROR(__xludf.DUMMYFUNCTION("""COMPUTED_VALUE"""),"No")</f>
        <v>No</v>
      </c>
      <c r="AA1462" s="5"/>
      <c r="AB1462" s="5" t="str">
        <f ca="1">IFERROR(__xludf.DUMMYFUNCTION("""COMPUTED_VALUE"""),"No")</f>
        <v>No</v>
      </c>
      <c r="AC1462" s="5" t="str">
        <f ca="1">IFERROR(__xludf.DUMMYFUNCTION("""COMPUTED_VALUE"""),"No")</f>
        <v>No</v>
      </c>
      <c r="AD1462" s="5" t="str">
        <f ca="1">IFERROR(__xludf.DUMMYFUNCTION("""COMPUTED_VALUE"""),"No")</f>
        <v>No</v>
      </c>
      <c r="AE1462" s="5" t="str">
        <f ca="1">IFERROR(__xludf.DUMMYFUNCTION("""COMPUTED_VALUE"""),"No")</f>
        <v>No</v>
      </c>
      <c r="AF1462" s="5" t="str">
        <f ca="1">IFERROR(__xludf.DUMMYFUNCTION("""COMPUTED_VALUE"""),"Yes")</f>
        <v>Yes</v>
      </c>
      <c r="AG1462" s="5" t="str">
        <f ca="1">IFERROR(__xludf.DUMMYFUNCTION("""COMPUTED_VALUE"""),"No")</f>
        <v>No</v>
      </c>
      <c r="AH1462" s="5"/>
    </row>
    <row r="1463" spans="1:34" ht="12.75">
      <c r="A1463" s="5" t="str">
        <f ca="1">IFERROR(__xludf.DUMMYFUNCTION("""COMPUTED_VALUE"""),"19980521ORTHS")</f>
        <v>19980521ORTHS</v>
      </c>
      <c r="B1463" s="8">
        <f ca="1">IFERROR(__xludf.DUMMYFUNCTION("""COMPUTED_VALUE"""),35936)</f>
        <v>35936</v>
      </c>
      <c r="C1463" s="5" t="str">
        <f ca="1">IFERROR(__xludf.DUMMYFUNCTION("""COMPUTED_VALUE"""),"Thurston High School")</f>
        <v>Thurston High School</v>
      </c>
      <c r="D1463" s="5">
        <f ca="1">IFERROR(__xludf.DUMMYFUNCTION("""COMPUTED_VALUE"""),2)</f>
        <v>2</v>
      </c>
      <c r="E1463" s="5">
        <f ca="1">IFERROR(__xludf.DUMMYFUNCTION("""COMPUTED_VALUE"""),25)</f>
        <v>25</v>
      </c>
      <c r="F1463" s="5">
        <f ca="1">IFERROR(__xludf.DUMMYFUNCTION("""COMPUTED_VALUE"""),27)</f>
        <v>27</v>
      </c>
      <c r="G1463" s="5">
        <f ca="1">IFERROR(__xludf.DUMMYFUNCTION("""COMPUTED_VALUE"""),0)</f>
        <v>0</v>
      </c>
      <c r="H1463"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I1463" s="5"/>
      <c r="J1463" s="5"/>
      <c r="K1463" s="5">
        <f ca="1">IFERROR(__xludf.DUMMYFUNCTION("""COMPUTED_VALUE"""),3)</f>
        <v>3</v>
      </c>
      <c r="L1463" s="5" t="str">
        <f ca="1">IFERROR(__xludf.DUMMYFUNCTION("""COMPUTED_VALUE"""),"Spring")</f>
        <v>Spring</v>
      </c>
      <c r="M1463" s="5" t="str">
        <f ca="1">IFERROR(__xludf.DUMMYFUNCTION("""COMPUTED_VALUE"""),"Springfield")</f>
        <v>Springfield</v>
      </c>
      <c r="N1463" s="5" t="str">
        <f ca="1">IFERROR(__xludf.DUMMYFUNCTION("""COMPUTED_VALUE"""),"OR")</f>
        <v>OR</v>
      </c>
      <c r="O1463" s="5" t="str">
        <f ca="1">IFERROR(__xludf.DUMMYFUNCTION("""COMPUTED_VALUE"""),"High")</f>
        <v>High</v>
      </c>
      <c r="P1463" s="5" t="str">
        <f ca="1">IFERROR(__xludf.DUMMYFUNCTION("""COMPUTED_VALUE"""),"Cafeteria")</f>
        <v>Cafeteria</v>
      </c>
      <c r="Q1463" s="5" t="str">
        <f ca="1">IFERROR(__xludf.DUMMYFUNCTION("""COMPUTED_VALUE"""),"Inside School Building")</f>
        <v>Inside School Building</v>
      </c>
      <c r="R1463" s="5" t="str">
        <f ca="1">IFERROR(__xludf.DUMMYFUNCTION("""COMPUTED_VALUE"""),"Yes")</f>
        <v>Yes</v>
      </c>
      <c r="S1463" s="5" t="str">
        <f ca="1">IFERROR(__xludf.DUMMYFUNCTION("""COMPUTED_VALUE"""),"Before School")</f>
        <v>Before School</v>
      </c>
      <c r="T1463" s="10">
        <f ca="1">IFERROR(__xludf.DUMMYFUNCTION("""COMPUTED_VALUE"""),0.326388888888888)</f>
        <v>0.32638888888888801</v>
      </c>
      <c r="U1463" s="5">
        <f ca="1">IFERROR(__xludf.DUMMYFUNCTION("""COMPUTED_VALUE"""),13)</f>
        <v>13</v>
      </c>
      <c r="V1463" s="5" t="str">
        <f ca="1">IFERROR(__xludf.DUMMYFUNCTION("""COMPUTED_VALUE"""),"Angry over being arrested and facing expulsion for bringing gun to school earlier that day")</f>
        <v>Angry over being arrested and facing expulsion for bringing gun to school earlier that day</v>
      </c>
      <c r="W1463"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X1463" s="5" t="str">
        <f ca="1">IFERROR(__xludf.DUMMYFUNCTION("""COMPUTED_VALUE"""),"Anger Over Grade/Suspension/Discipline")</f>
        <v>Anger Over Grade/Suspension/Discipline</v>
      </c>
      <c r="Y1463" s="5" t="str">
        <f ca="1">IFERROR(__xludf.DUMMYFUNCTION("""COMPUTED_VALUE"""),"Random Shooting")</f>
        <v>Random Shooting</v>
      </c>
      <c r="Z1463" s="5" t="str">
        <f ca="1">IFERROR(__xludf.DUMMYFUNCTION("""COMPUTED_VALUE"""),"No")</f>
        <v>No</v>
      </c>
      <c r="AA1463" s="5"/>
      <c r="AB1463" s="5" t="str">
        <f ca="1">IFERROR(__xludf.DUMMYFUNCTION("""COMPUTED_VALUE"""),"No")</f>
        <v>No</v>
      </c>
      <c r="AC1463" s="5" t="str">
        <f ca="1">IFERROR(__xludf.DUMMYFUNCTION("""COMPUTED_VALUE"""),"No")</f>
        <v>No</v>
      </c>
      <c r="AD1463" s="5" t="str">
        <f ca="1">IFERROR(__xludf.DUMMYFUNCTION("""COMPUTED_VALUE"""),"No")</f>
        <v>No</v>
      </c>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IFERROR(__xludf.DUMMYFUNCTION("""COMPUTED_VALUE"""),"Yes")</f>
        <v>Yes</v>
      </c>
    </row>
    <row r="1464" spans="1:34" ht="12.75">
      <c r="A1464" s="5" t="str">
        <f ca="1">IFERROR(__xludf.DUMMYFUNCTION("""COMPUTED_VALUE"""),"19980521CARIR")</f>
        <v>19980521CARIR</v>
      </c>
      <c r="B1464" s="8">
        <f ca="1">IFERROR(__xludf.DUMMYFUNCTION("""COMPUTED_VALUE"""),35936)</f>
        <v>35936</v>
      </c>
      <c r="C1464" s="5" t="str">
        <f ca="1">IFERROR(__xludf.DUMMYFUNCTION("""COMPUTED_VALUE"""),"Rialta High School")</f>
        <v>Rialta High School</v>
      </c>
      <c r="D1464" s="5">
        <f ca="1">IFERROR(__xludf.DUMMYFUNCTION("""COMPUTED_VALUE"""),0)</f>
        <v>0</v>
      </c>
      <c r="E1464" s="5">
        <f ca="1">IFERROR(__xludf.DUMMYFUNCTION("""COMPUTED_VALUE"""),0)</f>
        <v>0</v>
      </c>
      <c r="F1464" s="5">
        <f ca="1">IFERROR(__xludf.DUMMYFUNCTION("""COMPUTED_VALUE"""),0)</f>
        <v>0</v>
      </c>
      <c r="G1464" s="5">
        <f ca="1">IFERROR(__xludf.DUMMYFUNCTION("""COMPUTED_VALUE"""),1)</f>
        <v>1</v>
      </c>
      <c r="H1464"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I1464" s="5"/>
      <c r="J1464" s="5"/>
      <c r="K1464" s="5">
        <f ca="1">IFERROR(__xludf.DUMMYFUNCTION("""COMPUTED_VALUE"""),2)</f>
        <v>2</v>
      </c>
      <c r="L1464" s="5" t="str">
        <f ca="1">IFERROR(__xludf.DUMMYFUNCTION("""COMPUTED_VALUE"""),"Spring")</f>
        <v>Spring</v>
      </c>
      <c r="M1464" s="5" t="str">
        <f ca="1">IFERROR(__xludf.DUMMYFUNCTION("""COMPUTED_VALUE"""),"Rialto")</f>
        <v>Rialto</v>
      </c>
      <c r="N1464" s="5" t="str">
        <f ca="1">IFERROR(__xludf.DUMMYFUNCTION("""COMPUTED_VALUE"""),"CA")</f>
        <v>CA</v>
      </c>
      <c r="O1464" s="5" t="str">
        <f ca="1">IFERROR(__xludf.DUMMYFUNCTION("""COMPUTED_VALUE"""),"High")</f>
        <v>High</v>
      </c>
      <c r="P1464" s="5" t="str">
        <f ca="1">IFERROR(__xludf.DUMMYFUNCTION("""COMPUTED_VALUE"""),"Courtyard")</f>
        <v>Courtyard</v>
      </c>
      <c r="Q1464" s="5" t="str">
        <f ca="1">IFERROR(__xludf.DUMMYFUNCTION("""COMPUTED_VALUE"""),"Outside on School Property")</f>
        <v>Outside on School Property</v>
      </c>
      <c r="R1464" s="5" t="str">
        <f ca="1">IFERROR(__xludf.DUMMYFUNCTION("""COMPUTED_VALUE"""),"Yes")</f>
        <v>Yes</v>
      </c>
      <c r="S1464" s="5" t="str">
        <f ca="1">IFERROR(__xludf.DUMMYFUNCTION("""COMPUTED_VALUE"""),"School Start")</f>
        <v>School Start</v>
      </c>
      <c r="T1464" s="5"/>
      <c r="U1464" s="5">
        <f ca="1">IFERROR(__xludf.DUMMYFUNCTION("""COMPUTED_VALUE"""),1)</f>
        <v>1</v>
      </c>
      <c r="V1464" s="5" t="str">
        <f ca="1">IFERROR(__xludf.DUMMYFUNCTION("""COMPUTED_VALUE"""),"Bullied, told he would need to repeat 9th grade, killed himself")</f>
        <v>Bullied, told he would need to repeat 9th grade, killed himself</v>
      </c>
      <c r="W1464"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X1464" s="5" t="str">
        <f ca="1">IFERROR(__xludf.DUMMYFUNCTION("""COMPUTED_VALUE"""),"Suicide/Attempted")</f>
        <v>Suicide/Attempted</v>
      </c>
      <c r="Y1464" s="5" t="str">
        <f ca="1">IFERROR(__xludf.DUMMYFUNCTION("""COMPUTED_VALUE"""),"Victims Targeted")</f>
        <v>Victims Targeted</v>
      </c>
      <c r="Z1464" s="5" t="str">
        <f ca="1">IFERROR(__xludf.DUMMYFUNCTION("""COMPUTED_VALUE"""),"No")</f>
        <v>No</v>
      </c>
      <c r="AA1464" s="5"/>
      <c r="AB1464" s="5" t="str">
        <f ca="1">IFERROR(__xludf.DUMMYFUNCTION("""COMPUTED_VALUE"""),"No")</f>
        <v>No</v>
      </c>
      <c r="AC1464" s="5" t="str">
        <f ca="1">IFERROR(__xludf.DUMMYFUNCTION("""COMPUTED_VALUE"""),"No")</f>
        <v>No</v>
      </c>
      <c r="AD1464" s="5" t="str">
        <f ca="1">IFERROR(__xludf.DUMMYFUNCTION("""COMPUTED_VALUE"""),"No")</f>
        <v>No</v>
      </c>
      <c r="AE1464" s="5" t="str">
        <f ca="1">IFERROR(__xludf.DUMMYFUNCTION("""COMPUTED_VALUE"""),"Yes")</f>
        <v>Yes</v>
      </c>
      <c r="AF1464" s="5" t="str">
        <f ca="1">IFERROR(__xludf.DUMMYFUNCTION("""COMPUTED_VALUE"""),"No")</f>
        <v>No</v>
      </c>
      <c r="AG1464" s="5" t="str">
        <f ca="1">IFERROR(__xludf.DUMMYFUNCTION("""COMPUTED_VALUE"""),"No")</f>
        <v>No</v>
      </c>
      <c r="AH1464" s="5"/>
    </row>
    <row r="1465" spans="1:34" ht="12.75">
      <c r="A1465" s="5" t="str">
        <f ca="1">IFERROR(__xludf.DUMMYFUNCTION("""COMPUTED_VALUE"""),"19980519TNLIF")</f>
        <v>19980519TNLIF</v>
      </c>
      <c r="B1465" s="8">
        <f ca="1">IFERROR(__xludf.DUMMYFUNCTION("""COMPUTED_VALUE"""),35934)</f>
        <v>35934</v>
      </c>
      <c r="C1465" s="5" t="str">
        <f ca="1">IFERROR(__xludf.DUMMYFUNCTION("""COMPUTED_VALUE"""),"Lincoln County High School")</f>
        <v>Lincoln County High School</v>
      </c>
      <c r="D1465" s="5">
        <f ca="1">IFERROR(__xludf.DUMMYFUNCTION("""COMPUTED_VALUE"""),1)</f>
        <v>1</v>
      </c>
      <c r="E1465" s="5">
        <f ca="1">IFERROR(__xludf.DUMMYFUNCTION("""COMPUTED_VALUE"""),0)</f>
        <v>0</v>
      </c>
      <c r="F1465" s="5">
        <f ca="1">IFERROR(__xludf.DUMMYFUNCTION("""COMPUTED_VALUE"""),1)</f>
        <v>1</v>
      </c>
      <c r="G1465" s="5">
        <f ca="1">IFERROR(__xludf.DUMMYFUNCTION("""COMPUTED_VALUE"""),0)</f>
        <v>0</v>
      </c>
      <c r="H1465" s="5" t="str">
        <f ca="1">IFERROR(__xludf.DUMMYFUNCTION("""COMPUTED_VALUE"""),"https://www.cbsnews.com/news/another-fatal-school-shooting/ https://murderpedia.org/male.D/d/davis-jacob-lee.htm")</f>
        <v>https://www.cbsnews.com/news/another-fatal-school-shooting/ https://murderpedia.org/male.D/d/davis-jacob-lee.htm</v>
      </c>
      <c r="I1465" s="5"/>
      <c r="J1465" s="5"/>
      <c r="K1465" s="5">
        <f ca="1">IFERROR(__xludf.DUMMYFUNCTION("""COMPUTED_VALUE"""),2)</f>
        <v>2</v>
      </c>
      <c r="L1465" s="5" t="str">
        <f ca="1">IFERROR(__xludf.DUMMYFUNCTION("""COMPUTED_VALUE"""),"Spring")</f>
        <v>Spring</v>
      </c>
      <c r="M1465" s="5" t="str">
        <f ca="1">IFERROR(__xludf.DUMMYFUNCTION("""COMPUTED_VALUE"""),"Fayetteville")</f>
        <v>Fayetteville</v>
      </c>
      <c r="N1465" s="5" t="str">
        <f ca="1">IFERROR(__xludf.DUMMYFUNCTION("""COMPUTED_VALUE"""),"TN")</f>
        <v>TN</v>
      </c>
      <c r="O1465" s="5" t="str">
        <f ca="1">IFERROR(__xludf.DUMMYFUNCTION("""COMPUTED_VALUE"""),"High")</f>
        <v>High</v>
      </c>
      <c r="P1465" s="5" t="str">
        <f ca="1">IFERROR(__xludf.DUMMYFUNCTION("""COMPUTED_VALUE"""),"Beside Building")</f>
        <v>Beside Building</v>
      </c>
      <c r="Q1465" s="5" t="str">
        <f ca="1">IFERROR(__xludf.DUMMYFUNCTION("""COMPUTED_VALUE"""),"Outside on School Property")</f>
        <v>Outside on School Property</v>
      </c>
      <c r="R1465" s="5" t="str">
        <f ca="1">IFERROR(__xludf.DUMMYFUNCTION("""COMPUTED_VALUE"""),"Yes")</f>
        <v>Yes</v>
      </c>
      <c r="S1465" s="5" t="str">
        <f ca="1">IFERROR(__xludf.DUMMYFUNCTION("""COMPUTED_VALUE"""),"Dismissal")</f>
        <v>Dismissal</v>
      </c>
      <c r="T1465" s="10">
        <f ca="1">IFERROR(__xludf.DUMMYFUNCTION("""COMPUTED_VALUE"""),0.583333333333333)</f>
        <v>0.58333333333333304</v>
      </c>
      <c r="U1465" s="5">
        <f ca="1">IFERROR(__xludf.DUMMYFUNCTION("""COMPUTED_VALUE"""),1)</f>
        <v>1</v>
      </c>
      <c r="V1465" s="5" t="str">
        <f ca="1">IFERROR(__xludf.DUMMYFUNCTION("""COMPUTED_VALUE"""),"Fight over girl outside of school")</f>
        <v>Fight over girl outside of school</v>
      </c>
      <c r="W1465"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X1465" s="5" t="str">
        <f ca="1">IFERROR(__xludf.DUMMYFUNCTION("""COMPUTED_VALUE"""),"Escalation of Dispute")</f>
        <v>Escalation of Dispute</v>
      </c>
      <c r="Y1465" s="5" t="str">
        <f ca="1">IFERROR(__xludf.DUMMYFUNCTION("""COMPUTED_VALUE"""),"Victims Targeted")</f>
        <v>Victims Targeted</v>
      </c>
      <c r="Z1465" s="5" t="str">
        <f ca="1">IFERROR(__xludf.DUMMYFUNCTION("""COMPUTED_VALUE"""),"No")</f>
        <v>No</v>
      </c>
      <c r="AA1465" s="5"/>
      <c r="AB1465" s="5" t="str">
        <f ca="1">IFERROR(__xludf.DUMMYFUNCTION("""COMPUTED_VALUE"""),"No")</f>
        <v>No</v>
      </c>
      <c r="AC1465" s="5" t="str">
        <f ca="1">IFERROR(__xludf.DUMMYFUNCTION("""COMPUTED_VALUE"""),"No")</f>
        <v>No</v>
      </c>
      <c r="AD1465" s="5" t="str">
        <f ca="1">IFERROR(__xludf.DUMMYFUNCTION("""COMPUTED_VALUE"""),"No")</f>
        <v>No</v>
      </c>
      <c r="AE1465" s="5" t="str">
        <f ca="1">IFERROR(__xludf.DUMMYFUNCTION("""COMPUTED_VALUE"""),"No")</f>
        <v>No</v>
      </c>
      <c r="AF1465" s="5" t="str">
        <f ca="1">IFERROR(__xludf.DUMMYFUNCTION("""COMPUTED_VALUE"""),"Yes")</f>
        <v>Yes</v>
      </c>
      <c r="AG1465" s="5" t="str">
        <f ca="1">IFERROR(__xludf.DUMMYFUNCTION("""COMPUTED_VALUE"""),"No")</f>
        <v>No</v>
      </c>
      <c r="AH1465" s="5"/>
    </row>
    <row r="1466" spans="1:34" ht="12.75">
      <c r="A1466" s="5" t="str">
        <f ca="1">IFERROR(__xludf.DUMMYFUNCTION("""COMPUTED_VALUE"""),"19980501NYPUB")</f>
        <v>19980501NYPUB</v>
      </c>
      <c r="B1466" s="8">
        <f ca="1">IFERROR(__xludf.DUMMYFUNCTION("""COMPUTED_VALUE"""),35916)</f>
        <v>35916</v>
      </c>
      <c r="C1466" s="5" t="str">
        <f ca="1">IFERROR(__xludf.DUMMYFUNCTION("""COMPUTED_VALUE"""),"Public School 18")</f>
        <v>Public School 18</v>
      </c>
      <c r="D1466" s="5">
        <f ca="1">IFERROR(__xludf.DUMMYFUNCTION("""COMPUTED_VALUE"""),1)</f>
        <v>1</v>
      </c>
      <c r="E1466" s="5">
        <f ca="1">IFERROR(__xludf.DUMMYFUNCTION("""COMPUTED_VALUE"""),1)</f>
        <v>1</v>
      </c>
      <c r="F1466" s="5">
        <f ca="1">IFERROR(__xludf.DUMMYFUNCTION("""COMPUTED_VALUE"""),2)</f>
        <v>2</v>
      </c>
      <c r="G1466" s="5">
        <f ca="1">IFERROR(__xludf.DUMMYFUNCTION("""COMPUTED_VALUE"""),0)</f>
        <v>0</v>
      </c>
      <c r="H1466"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I1466" s="5"/>
      <c r="J1466" s="5"/>
      <c r="K1466" s="5">
        <f ca="1">IFERROR(__xludf.DUMMYFUNCTION("""COMPUTED_VALUE"""),2)</f>
        <v>2</v>
      </c>
      <c r="L1466" s="5" t="str">
        <f ca="1">IFERROR(__xludf.DUMMYFUNCTION("""COMPUTED_VALUE"""),"Spring")</f>
        <v>Spring</v>
      </c>
      <c r="M1466" s="5" t="str">
        <f ca="1">IFERROR(__xludf.DUMMYFUNCTION("""COMPUTED_VALUE"""),"Buffalo")</f>
        <v>Buffalo</v>
      </c>
      <c r="N1466" s="5" t="str">
        <f ca="1">IFERROR(__xludf.DUMMYFUNCTION("""COMPUTED_VALUE"""),"NY")</f>
        <v>NY</v>
      </c>
      <c r="O1466" s="5" t="str">
        <f ca="1">IFERROR(__xludf.DUMMYFUNCTION("""COMPUTED_VALUE"""),"Elementary")</f>
        <v>Elementary</v>
      </c>
      <c r="P1466" s="5" t="str">
        <f ca="1">IFERROR(__xludf.DUMMYFUNCTION("""COMPUTED_VALUE"""),"Office")</f>
        <v>Office</v>
      </c>
      <c r="Q1466" s="5" t="str">
        <f ca="1">IFERROR(__xludf.DUMMYFUNCTION("""COMPUTED_VALUE"""),"Inside School Building")</f>
        <v>Inside School Building</v>
      </c>
      <c r="R1466" s="5" t="str">
        <f ca="1">IFERROR(__xludf.DUMMYFUNCTION("""COMPUTED_VALUE"""),"Yes")</f>
        <v>Yes</v>
      </c>
      <c r="S1466" s="5" t="str">
        <f ca="1">IFERROR(__xludf.DUMMYFUNCTION("""COMPUTED_VALUE"""),"Morning Classes")</f>
        <v>Morning Classes</v>
      </c>
      <c r="T1466" s="10">
        <f ca="1">IFERROR(__xludf.DUMMYFUNCTION("""COMPUTED_VALUE"""),0.388888888888888)</f>
        <v>0.38888888888888801</v>
      </c>
      <c r="U1466" s="5">
        <f ca="1">IFERROR(__xludf.DUMMYFUNCTION("""COMPUTED_VALUE"""),1)</f>
        <v>1</v>
      </c>
      <c r="V1466" s="5" t="str">
        <f ca="1">IFERROR(__xludf.DUMMYFUNCTION("""COMPUTED_VALUE"""),"Went into school to kill estranged wife, school aid wounded")</f>
        <v>Went into school to kill estranged wife, school aid wounded</v>
      </c>
      <c r="W1466"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X1466" s="5" t="str">
        <f ca="1">IFERROR(__xludf.DUMMYFUNCTION("""COMPUTED_VALUE"""),"Domestic w/ Targeted Victim")</f>
        <v>Domestic w/ Targeted Victim</v>
      </c>
      <c r="Y1466" s="5" t="str">
        <f ca="1">IFERROR(__xludf.DUMMYFUNCTION("""COMPUTED_VALUE"""),"Victims Targeted")</f>
        <v>Victims Targeted</v>
      </c>
      <c r="Z1466" s="5" t="str">
        <f ca="1">IFERROR(__xludf.DUMMYFUNCTION("""COMPUTED_VALUE"""),"No")</f>
        <v>No</v>
      </c>
      <c r="AA1466" s="5"/>
      <c r="AB1466" s="5" t="str">
        <f ca="1">IFERROR(__xludf.DUMMYFUNCTION("""COMPUTED_VALUE"""),"No")</f>
        <v>No</v>
      </c>
      <c r="AC1466" s="5" t="str">
        <f ca="1">IFERROR(__xludf.DUMMYFUNCTION("""COMPUTED_VALUE"""),"No")</f>
        <v>No</v>
      </c>
      <c r="AD1466" s="5" t="str">
        <f ca="1">IFERROR(__xludf.DUMMYFUNCTION("""COMPUTED_VALUE"""),"Yes")</f>
        <v>Yes</v>
      </c>
      <c r="AE1466" s="5" t="str">
        <f ca="1">IFERROR(__xludf.DUMMYFUNCTION("""COMPUTED_VALUE"""),"No")</f>
        <v>No</v>
      </c>
      <c r="AF1466" s="5" t="str">
        <f ca="1">IFERROR(__xludf.DUMMYFUNCTION("""COMPUTED_VALUE"""),"Yes")</f>
        <v>Yes</v>
      </c>
      <c r="AG1466" s="5" t="str">
        <f ca="1">IFERROR(__xludf.DUMMYFUNCTION("""COMPUTED_VALUE"""),"No")</f>
        <v>No</v>
      </c>
      <c r="AH1466" s="5"/>
    </row>
    <row r="1467" spans="1:34" ht="12.75">
      <c r="A1467" s="5" t="str">
        <f ca="1">IFERROR(__xludf.DUMMYFUNCTION("""COMPUTED_VALUE"""),"19980501FLNOM")</f>
        <v>19980501FLNOM</v>
      </c>
      <c r="B1467" s="8">
        <f ca="1">IFERROR(__xludf.DUMMYFUNCTION("""COMPUTED_VALUE"""),35916)</f>
        <v>35916</v>
      </c>
      <c r="C1467" s="5" t="str">
        <f ca="1">IFERROR(__xludf.DUMMYFUNCTION("""COMPUTED_VALUE"""),"North Miami Senior High School")</f>
        <v>North Miami Senior High School</v>
      </c>
      <c r="D1467" s="5">
        <f ca="1">IFERROR(__xludf.DUMMYFUNCTION("""COMPUTED_VALUE"""),0)</f>
        <v>0</v>
      </c>
      <c r="E1467" s="5">
        <f ca="1">IFERROR(__xludf.DUMMYFUNCTION("""COMPUTED_VALUE"""),1)</f>
        <v>1</v>
      </c>
      <c r="F1467" s="5">
        <f ca="1">IFERROR(__xludf.DUMMYFUNCTION("""COMPUTED_VALUE"""),1)</f>
        <v>1</v>
      </c>
      <c r="G1467" s="5">
        <f ca="1">IFERROR(__xludf.DUMMYFUNCTION("""COMPUTED_VALUE"""),0)</f>
        <v>0</v>
      </c>
      <c r="H1467" s="9" t="str">
        <f ca="1">IFERROR(__xludf.DUMMYFUNCTION("""COMPUTED_VALUE"""),"http://articles.sun-sentinel.com/1998-09-30/news/9809300032_1_school-cafeteria-school-officials-high-school")</f>
        <v>http://articles.sun-sentinel.com/1998-09-30/news/9809300032_1_school-cafeteria-school-officials-high-school</v>
      </c>
      <c r="I1467" s="5"/>
      <c r="J1467" s="5"/>
      <c r="K1467" s="5">
        <f ca="1">IFERROR(__xludf.DUMMYFUNCTION("""COMPUTED_VALUE"""),2)</f>
        <v>2</v>
      </c>
      <c r="L1467" s="5" t="str">
        <f ca="1">IFERROR(__xludf.DUMMYFUNCTION("""COMPUTED_VALUE"""),"Spring")</f>
        <v>Spring</v>
      </c>
      <c r="M1467" s="5" t="str">
        <f ca="1">IFERROR(__xludf.DUMMYFUNCTION("""COMPUTED_VALUE"""),"Miami")</f>
        <v>Miami</v>
      </c>
      <c r="N1467" s="5" t="str">
        <f ca="1">IFERROR(__xludf.DUMMYFUNCTION("""COMPUTED_VALUE"""),"FL")</f>
        <v>FL</v>
      </c>
      <c r="O1467" s="5" t="str">
        <f ca="1">IFERROR(__xludf.DUMMYFUNCTION("""COMPUTED_VALUE"""),"High")</f>
        <v>High</v>
      </c>
      <c r="P1467" s="5" t="str">
        <f ca="1">IFERROR(__xludf.DUMMYFUNCTION("""COMPUTED_VALUE"""),"Beside Building")</f>
        <v>Beside Building</v>
      </c>
      <c r="Q1467" s="5" t="str">
        <f ca="1">IFERROR(__xludf.DUMMYFUNCTION("""COMPUTED_VALUE"""),"Outside on School Property")</f>
        <v>Outside on School Property</v>
      </c>
      <c r="R1467" s="5" t="str">
        <f ca="1">IFERROR(__xludf.DUMMYFUNCTION("""COMPUTED_VALUE"""),"No")</f>
        <v>No</v>
      </c>
      <c r="S1467" s="5" t="str">
        <f ca="1">IFERROR(__xludf.DUMMYFUNCTION("""COMPUTED_VALUE"""),"Evening")</f>
        <v>Evening</v>
      </c>
      <c r="T1467" s="5"/>
      <c r="U1467" s="5">
        <f ca="1">IFERROR(__xludf.DUMMYFUNCTION("""COMPUTED_VALUE"""),1)</f>
        <v>1</v>
      </c>
      <c r="V1467" s="5" t="str">
        <f ca="1">IFERROR(__xludf.DUMMYFUNCTION("""COMPUTED_VALUE"""),"Gang related shooting when student was exiting school at night")</f>
        <v>Gang related shooting when student was exiting school at night</v>
      </c>
      <c r="W1467"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X1467" s="5" t="str">
        <f ca="1">IFERROR(__xludf.DUMMYFUNCTION("""COMPUTED_VALUE"""),"Escalation of Dispute")</f>
        <v>Escalation of Dispute</v>
      </c>
      <c r="Y1467" s="5" t="str">
        <f ca="1">IFERROR(__xludf.DUMMYFUNCTION("""COMPUTED_VALUE"""),"Victims Targeted")</f>
        <v>Victims Targeted</v>
      </c>
      <c r="Z1467" s="5" t="str">
        <f ca="1">IFERROR(__xludf.DUMMYFUNCTION("""COMPUTED_VALUE"""),"No")</f>
        <v>No</v>
      </c>
      <c r="AA1467" s="5"/>
      <c r="AB1467" s="5" t="str">
        <f ca="1">IFERROR(__xludf.DUMMYFUNCTION("""COMPUTED_VALUE"""),"No")</f>
        <v>No</v>
      </c>
      <c r="AC1467" s="5" t="str">
        <f ca="1">IFERROR(__xludf.DUMMYFUNCTION("""COMPUTED_VALUE"""),"No")</f>
        <v>No</v>
      </c>
      <c r="AD1467" s="5" t="str">
        <f ca="1">IFERROR(__xludf.DUMMYFUNCTION("""COMPUTED_VALUE"""),"No")</f>
        <v>No</v>
      </c>
      <c r="AE1467" s="5" t="str">
        <f ca="1">IFERROR(__xludf.DUMMYFUNCTION("""COMPUTED_VALUE"""),"No")</f>
        <v>No</v>
      </c>
      <c r="AF1467" s="5" t="str">
        <f ca="1">IFERROR(__xludf.DUMMYFUNCTION("""COMPUTED_VALUE"""),"No")</f>
        <v>No</v>
      </c>
      <c r="AG1467" s="5" t="str">
        <f ca="1">IFERROR(__xludf.DUMMYFUNCTION("""COMPUTED_VALUE"""),"Yes")</f>
        <v>Yes</v>
      </c>
      <c r="AH1467" s="5"/>
    </row>
    <row r="1468" spans="1:34" ht="12.75">
      <c r="A1468" s="5" t="str">
        <f ca="1">IFERROR(__xludf.DUMMYFUNCTION("""COMPUTED_VALUE"""),"19980428WIPAP")</f>
        <v>19980428WIPAP</v>
      </c>
      <c r="B1468" s="8">
        <f ca="1">IFERROR(__xludf.DUMMYFUNCTION("""COMPUTED_VALUE"""),35913)</f>
        <v>35913</v>
      </c>
      <c r="C1468" s="5" t="str">
        <f ca="1">IFERROR(__xludf.DUMMYFUNCTION("""COMPUTED_VALUE"""),"Pardeeville Elementary School")</f>
        <v>Pardeeville Elementary School</v>
      </c>
      <c r="D1468" s="5">
        <f ca="1">IFERROR(__xludf.DUMMYFUNCTION("""COMPUTED_VALUE"""),0)</f>
        <v>0</v>
      </c>
      <c r="E1468" s="5">
        <f ca="1">IFERROR(__xludf.DUMMYFUNCTION("""COMPUTED_VALUE"""),1)</f>
        <v>1</v>
      </c>
      <c r="F1468" s="5">
        <f ca="1">IFERROR(__xludf.DUMMYFUNCTION("""COMPUTED_VALUE"""),1)</f>
        <v>1</v>
      </c>
      <c r="G1468" s="5">
        <f ca="1">IFERROR(__xludf.DUMMYFUNCTION("""COMPUTED_VALUE"""),0)</f>
        <v>0</v>
      </c>
      <c r="H1468"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I1468" s="5"/>
      <c r="J1468" s="5"/>
      <c r="K1468" s="5">
        <f ca="1">IFERROR(__xludf.DUMMYFUNCTION("""COMPUTED_VALUE"""),2)</f>
        <v>2</v>
      </c>
      <c r="L1468" s="5" t="str">
        <f ca="1">IFERROR(__xludf.DUMMYFUNCTION("""COMPUTED_VALUE"""),"Spring")</f>
        <v>Spring</v>
      </c>
      <c r="M1468" s="5" t="str">
        <f ca="1">IFERROR(__xludf.DUMMYFUNCTION("""COMPUTED_VALUE"""),"Pardeeville")</f>
        <v>Pardeeville</v>
      </c>
      <c r="N1468" s="5" t="str">
        <f ca="1">IFERROR(__xludf.DUMMYFUNCTION("""COMPUTED_VALUE"""),"WI")</f>
        <v>WI</v>
      </c>
      <c r="O1468" s="5" t="str">
        <f ca="1">IFERROR(__xludf.DUMMYFUNCTION("""COMPUTED_VALUE"""),"Elementary")</f>
        <v>Elementary</v>
      </c>
      <c r="P1468" s="5" t="str">
        <f ca="1">IFERROR(__xludf.DUMMYFUNCTION("""COMPUTED_VALUE"""),"Parking Lot")</f>
        <v>Parking Lot</v>
      </c>
      <c r="Q1468" s="5" t="str">
        <f ca="1">IFERROR(__xludf.DUMMYFUNCTION("""COMPUTED_VALUE"""),"Outside on School Property")</f>
        <v>Outside on School Property</v>
      </c>
      <c r="R1468" s="5" t="str">
        <f ca="1">IFERROR(__xludf.DUMMYFUNCTION("""COMPUTED_VALUE"""),"No")</f>
        <v>No</v>
      </c>
      <c r="S1468" s="5" t="str">
        <f ca="1">IFERROR(__xludf.DUMMYFUNCTION("""COMPUTED_VALUE"""),"After School")</f>
        <v>After School</v>
      </c>
      <c r="T1468" s="10">
        <f ca="1">IFERROR(__xludf.DUMMYFUNCTION("""COMPUTED_VALUE"""),0.875)</f>
        <v>0.875</v>
      </c>
      <c r="U1468" s="5">
        <f ca="1">IFERROR(__xludf.DUMMYFUNCTION("""COMPUTED_VALUE"""),1)</f>
        <v>1</v>
      </c>
      <c r="V1468" s="5" t="str">
        <f ca="1">IFERROR(__xludf.DUMMYFUNCTION("""COMPUTED_VALUE"""),"Carjacking of janitor, shot him")</f>
        <v>Carjacking of janitor, shot him</v>
      </c>
      <c r="W1468"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X1468" s="5" t="str">
        <f ca="1">IFERROR(__xludf.DUMMYFUNCTION("""COMPUTED_VALUE"""),"Illegal Activity")</f>
        <v>Illegal Activity</v>
      </c>
      <c r="Y1468" s="5" t="str">
        <f ca="1">IFERROR(__xludf.DUMMYFUNCTION("""COMPUTED_VALUE"""),"Victims Targeted")</f>
        <v>Victims Targeted</v>
      </c>
      <c r="Z1468" s="5" t="str">
        <f ca="1">IFERROR(__xludf.DUMMYFUNCTION("""COMPUTED_VALUE"""),"Yes")</f>
        <v>Yes</v>
      </c>
      <c r="AA1468" s="5" t="str">
        <f ca="1">IFERROR(__xludf.DUMMYFUNCTION("""COMPUTED_VALUE"""),"4 teens arrested")</f>
        <v>4 teens arrested</v>
      </c>
      <c r="AB1468" s="5" t="str">
        <f ca="1">IFERROR(__xludf.DUMMYFUNCTION("""COMPUTED_VALUE"""),"No")</f>
        <v>No</v>
      </c>
      <c r="AC1468" s="5" t="str">
        <f ca="1">IFERROR(__xludf.DUMMYFUNCTION("""COMPUTED_VALUE"""),"No")</f>
        <v>No</v>
      </c>
      <c r="AD1468" s="5" t="str">
        <f ca="1">IFERROR(__xludf.DUMMYFUNCTION("""COMPUTED_VALUE"""),"No")</f>
        <v>No</v>
      </c>
      <c r="AE1468" s="5" t="str">
        <f ca="1">IFERROR(__xludf.DUMMYFUNCTION("""COMPUTED_VALUE"""),"No")</f>
        <v>No</v>
      </c>
      <c r="AF1468" s="5" t="str">
        <f ca="1">IFERROR(__xludf.DUMMYFUNCTION("""COMPUTED_VALUE"""),"No")</f>
        <v>No</v>
      </c>
      <c r="AG1468" s="5" t="str">
        <f ca="1">IFERROR(__xludf.DUMMYFUNCTION("""COMPUTED_VALUE"""),"No")</f>
        <v>No</v>
      </c>
      <c r="AH1468" s="5"/>
    </row>
    <row r="1469" spans="1:34" ht="12.75">
      <c r="A1469" s="5" t="str">
        <f ca="1">IFERROR(__xludf.DUMMYFUNCTION("""COMPUTED_VALUE"""),"19980428CAPHP")</f>
        <v>19980428CAPHP</v>
      </c>
      <c r="B1469" s="8">
        <f ca="1">IFERROR(__xludf.DUMMYFUNCTION("""COMPUTED_VALUE"""),35913)</f>
        <v>35913</v>
      </c>
      <c r="C1469" s="5" t="str">
        <f ca="1">IFERROR(__xludf.DUMMYFUNCTION("""COMPUTED_VALUE"""),"Philadelphia Elementary School")</f>
        <v>Philadelphia Elementary School</v>
      </c>
      <c r="D1469" s="5">
        <f ca="1">IFERROR(__xludf.DUMMYFUNCTION("""COMPUTED_VALUE"""),1)</f>
        <v>1</v>
      </c>
      <c r="E1469" s="5">
        <f ca="1">IFERROR(__xludf.DUMMYFUNCTION("""COMPUTED_VALUE"""),2)</f>
        <v>2</v>
      </c>
      <c r="F1469" s="5">
        <f ca="1">IFERROR(__xludf.DUMMYFUNCTION("""COMPUTED_VALUE"""),3)</f>
        <v>3</v>
      </c>
      <c r="G1469" s="5">
        <f ca="1">IFERROR(__xludf.DUMMYFUNCTION("""COMPUTED_VALUE"""),0)</f>
        <v>0</v>
      </c>
      <c r="H1469"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I1469" s="5"/>
      <c r="J1469" s="5"/>
      <c r="K1469" s="5">
        <f ca="1">IFERROR(__xludf.DUMMYFUNCTION("""COMPUTED_VALUE"""),2)</f>
        <v>2</v>
      </c>
      <c r="L1469" s="5" t="str">
        <f ca="1">IFERROR(__xludf.DUMMYFUNCTION("""COMPUTED_VALUE"""),"Spring")</f>
        <v>Spring</v>
      </c>
      <c r="M1469" s="5" t="str">
        <f ca="1">IFERROR(__xludf.DUMMYFUNCTION("""COMPUTED_VALUE"""),"Pomona")</f>
        <v>Pomona</v>
      </c>
      <c r="N1469" s="5" t="str">
        <f ca="1">IFERROR(__xludf.DUMMYFUNCTION("""COMPUTED_VALUE"""),"CA")</f>
        <v>CA</v>
      </c>
      <c r="O1469" s="5" t="str">
        <f ca="1">IFERROR(__xludf.DUMMYFUNCTION("""COMPUTED_VALUE"""),"Elementary")</f>
        <v>Elementary</v>
      </c>
      <c r="P1469" s="5" t="str">
        <f ca="1">IFERROR(__xludf.DUMMYFUNCTION("""COMPUTED_VALUE"""),"Beside Building")</f>
        <v>Beside Building</v>
      </c>
      <c r="Q1469" s="5" t="str">
        <f ca="1">IFERROR(__xludf.DUMMYFUNCTION("""COMPUTED_VALUE"""),"Outside on School Property")</f>
        <v>Outside on School Property</v>
      </c>
      <c r="R1469" s="5" t="str">
        <f ca="1">IFERROR(__xludf.DUMMYFUNCTION("""COMPUTED_VALUE"""),"No")</f>
        <v>No</v>
      </c>
      <c r="S1469" s="5" t="str">
        <f ca="1">IFERROR(__xludf.DUMMYFUNCTION("""COMPUTED_VALUE"""),"After School")</f>
        <v>After School</v>
      </c>
      <c r="T1469" s="5"/>
      <c r="U1469" s="5">
        <f ca="1">IFERROR(__xludf.DUMMYFUNCTION("""COMPUTED_VALUE"""),1)</f>
        <v>1</v>
      </c>
      <c r="V1469" s="5" t="str">
        <f ca="1">IFERROR(__xludf.DUMMYFUNCTION("""COMPUTED_VALUE"""),"Disagreement between rival gang members")</f>
        <v>Disagreement between rival gang members</v>
      </c>
      <c r="W1469"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X1469" s="5" t="str">
        <f ca="1">IFERROR(__xludf.DUMMYFUNCTION("""COMPUTED_VALUE"""),"Escalation of Dispute")</f>
        <v>Escalation of Dispute</v>
      </c>
      <c r="Y1469" s="5" t="str">
        <f ca="1">IFERROR(__xludf.DUMMYFUNCTION("""COMPUTED_VALUE"""),"Victims Targeted")</f>
        <v>Victims Targeted</v>
      </c>
      <c r="Z1469" s="5" t="str">
        <f ca="1">IFERROR(__xludf.DUMMYFUNCTION("""COMPUTED_VALUE"""),"No")</f>
        <v>No</v>
      </c>
      <c r="AA1469" s="5"/>
      <c r="AB1469" s="5" t="str">
        <f ca="1">IFERROR(__xludf.DUMMYFUNCTION("""COMPUTED_VALUE"""),"No")</f>
        <v>No</v>
      </c>
      <c r="AC1469" s="5" t="str">
        <f ca="1">IFERROR(__xludf.DUMMYFUNCTION("""COMPUTED_VALUE"""),"No")</f>
        <v>No</v>
      </c>
      <c r="AD1469" s="5" t="str">
        <f ca="1">IFERROR(__xludf.DUMMYFUNCTION("""COMPUTED_VALUE"""),"No")</f>
        <v>No</v>
      </c>
      <c r="AE1469" s="5" t="str">
        <f ca="1">IFERROR(__xludf.DUMMYFUNCTION("""COMPUTED_VALUE"""),"No")</f>
        <v>No</v>
      </c>
      <c r="AF1469" s="5" t="str">
        <f ca="1">IFERROR(__xludf.DUMMYFUNCTION("""COMPUTED_VALUE"""),"No")</f>
        <v>No</v>
      </c>
      <c r="AG1469" s="5" t="str">
        <f ca="1">IFERROR(__xludf.DUMMYFUNCTION("""COMPUTED_VALUE"""),"Yes")</f>
        <v>Yes</v>
      </c>
      <c r="AH1469" s="5"/>
    </row>
    <row r="1470" spans="1:34" ht="12.75">
      <c r="A1470" s="5" t="str">
        <f ca="1">IFERROR(__xludf.DUMMYFUNCTION("""COMPUTED_VALUE"""),"19980424PAPAE")</f>
        <v>19980424PAPAE</v>
      </c>
      <c r="B1470" s="8">
        <f ca="1">IFERROR(__xludf.DUMMYFUNCTION("""COMPUTED_VALUE"""),35909)</f>
        <v>35909</v>
      </c>
      <c r="C1470" s="5" t="str">
        <f ca="1">IFERROR(__xludf.DUMMYFUNCTION("""COMPUTED_VALUE"""),"Parker Middle School")</f>
        <v>Parker Middle School</v>
      </c>
      <c r="D1470" s="5">
        <f ca="1">IFERROR(__xludf.DUMMYFUNCTION("""COMPUTED_VALUE"""),1)</f>
        <v>1</v>
      </c>
      <c r="E1470" s="5">
        <f ca="1">IFERROR(__xludf.DUMMYFUNCTION("""COMPUTED_VALUE"""),3)</f>
        <v>3</v>
      </c>
      <c r="F1470" s="5">
        <f ca="1">IFERROR(__xludf.DUMMYFUNCTION("""COMPUTED_VALUE"""),4)</f>
        <v>4</v>
      </c>
      <c r="G1470" s="5">
        <f ca="1">IFERROR(__xludf.DUMMYFUNCTION("""COMPUTED_VALUE"""),0)</f>
        <v>0</v>
      </c>
      <c r="H1470"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I1470" s="5"/>
      <c r="J1470" s="5"/>
      <c r="K1470" s="5">
        <f ca="1">IFERROR(__xludf.DUMMYFUNCTION("""COMPUTED_VALUE"""),2)</f>
        <v>2</v>
      </c>
      <c r="L1470" s="5" t="str">
        <f ca="1">IFERROR(__xludf.DUMMYFUNCTION("""COMPUTED_VALUE"""),"Spring")</f>
        <v>Spring</v>
      </c>
      <c r="M1470" s="5" t="str">
        <f ca="1">IFERROR(__xludf.DUMMYFUNCTION("""COMPUTED_VALUE"""),"Edinboro")</f>
        <v>Edinboro</v>
      </c>
      <c r="N1470" s="5" t="str">
        <f ca="1">IFERROR(__xludf.DUMMYFUNCTION("""COMPUTED_VALUE"""),"PA")</f>
        <v>PA</v>
      </c>
      <c r="O1470" s="5" t="str">
        <f ca="1">IFERROR(__xludf.DUMMYFUNCTION("""COMPUTED_VALUE"""),"Middle")</f>
        <v>Middle</v>
      </c>
      <c r="P1470" s="5" t="str">
        <f ca="1">IFERROR(__xludf.DUMMYFUNCTION("""COMPUTED_VALUE"""),"Off School Property")</f>
        <v>Off School Property</v>
      </c>
      <c r="Q1470" s="5" t="str">
        <f ca="1">IFERROR(__xludf.DUMMYFUNCTION("""COMPUTED_VALUE"""),"Off School Property")</f>
        <v>Off School Property</v>
      </c>
      <c r="R1470" s="5" t="str">
        <f ca="1">IFERROR(__xludf.DUMMYFUNCTION("""COMPUTED_VALUE"""),"No")</f>
        <v>No</v>
      </c>
      <c r="S1470" s="5" t="str">
        <f ca="1">IFERROR(__xludf.DUMMYFUNCTION("""COMPUTED_VALUE"""),"School Event")</f>
        <v>School Event</v>
      </c>
      <c r="T1470" s="10">
        <f ca="1">IFERROR(__xludf.DUMMYFUNCTION("""COMPUTED_VALUE"""),0.916666666666666)</f>
        <v>0.91666666666666596</v>
      </c>
      <c r="U1470" s="5">
        <f ca="1">IFERROR(__xludf.DUMMYFUNCTION("""COMPUTED_VALUE"""),1)</f>
        <v>1</v>
      </c>
      <c r="V1470" s="5" t="str">
        <f ca="1">IFERROR(__xludf.DUMMYFUNCTION("""COMPUTED_VALUE"""),"Planned attack at school dance")</f>
        <v>Planned attack at school dance</v>
      </c>
      <c r="W1470"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X1470" s="5" t="str">
        <f ca="1">IFERROR(__xludf.DUMMYFUNCTION("""COMPUTED_VALUE"""),"Indiscriminate Shooting")</f>
        <v>Indiscriminate Shooting</v>
      </c>
      <c r="Y1470" s="5" t="str">
        <f ca="1">IFERROR(__xludf.DUMMYFUNCTION("""COMPUTED_VALUE"""),"Random Shooting")</f>
        <v>Random Shooting</v>
      </c>
      <c r="Z1470" s="5" t="str">
        <f ca="1">IFERROR(__xludf.DUMMYFUNCTION("""COMPUTED_VALUE"""),"No")</f>
        <v>No</v>
      </c>
      <c r="AA1470" s="5"/>
      <c r="AB1470" s="5" t="str">
        <f ca="1">IFERROR(__xludf.DUMMYFUNCTION("""COMPUTED_VALUE"""),"No")</f>
        <v>No</v>
      </c>
      <c r="AC1470" s="5" t="str">
        <f ca="1">IFERROR(__xludf.DUMMYFUNCTION("""COMPUTED_VALUE"""),"No")</f>
        <v>No</v>
      </c>
      <c r="AD1470" s="5" t="str">
        <f ca="1">IFERROR(__xludf.DUMMYFUNCTION("""COMPUTED_VALUE"""),"No")</f>
        <v>No</v>
      </c>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IFERROR(__xludf.DUMMYFUNCTION("""COMPUTED_VALUE"""),"Yes")</f>
        <v>Yes</v>
      </c>
    </row>
    <row r="1471" spans="1:34" ht="12.75">
      <c r="A1471" s="5" t="str">
        <f ca="1">IFERROR(__xludf.DUMMYFUNCTION("""COMPUTED_VALUE"""),"19980423CACUL")</f>
        <v>19980423CACUL</v>
      </c>
      <c r="B1471" s="8">
        <f ca="1">IFERROR(__xludf.DUMMYFUNCTION("""COMPUTED_VALUE"""),35908)</f>
        <v>35908</v>
      </c>
      <c r="C1471" s="5" t="str">
        <f ca="1">IFERROR(__xludf.DUMMYFUNCTION("""COMPUTED_VALUE"""),"Culver City High School")</f>
        <v>Culver City High School</v>
      </c>
      <c r="D1471" s="5">
        <f ca="1">IFERROR(__xludf.DUMMYFUNCTION("""COMPUTED_VALUE"""),0)</f>
        <v>0</v>
      </c>
      <c r="E1471" s="5">
        <f ca="1">IFERROR(__xludf.DUMMYFUNCTION("""COMPUTED_VALUE"""),2)</f>
        <v>2</v>
      </c>
      <c r="F1471" s="5">
        <f ca="1">IFERROR(__xludf.DUMMYFUNCTION("""COMPUTED_VALUE"""),2)</f>
        <v>2</v>
      </c>
      <c r="G1471" s="5">
        <f ca="1">IFERROR(__xludf.DUMMYFUNCTION("""COMPUTED_VALUE"""),0)</f>
        <v>0</v>
      </c>
      <c r="H1471"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I1471" s="5"/>
      <c r="J1471" s="5"/>
      <c r="K1471" s="5">
        <f ca="1">IFERROR(__xludf.DUMMYFUNCTION("""COMPUTED_VALUE"""),2)</f>
        <v>2</v>
      </c>
      <c r="L1471" s="5" t="str">
        <f ca="1">IFERROR(__xludf.DUMMYFUNCTION("""COMPUTED_VALUE"""),"Spring")</f>
        <v>Spring</v>
      </c>
      <c r="M1471" s="5" t="str">
        <f ca="1">IFERROR(__xludf.DUMMYFUNCTION("""COMPUTED_VALUE"""),"Los Angeles")</f>
        <v>Los Angeles</v>
      </c>
      <c r="N1471" s="5" t="str">
        <f ca="1">IFERROR(__xludf.DUMMYFUNCTION("""COMPUTED_VALUE"""),"CA")</f>
        <v>CA</v>
      </c>
      <c r="O1471" s="5" t="str">
        <f ca="1">IFERROR(__xludf.DUMMYFUNCTION("""COMPUTED_VALUE"""),"High")</f>
        <v>High</v>
      </c>
      <c r="P1471" s="5" t="str">
        <f ca="1">IFERROR(__xludf.DUMMYFUNCTION("""COMPUTED_VALUE"""),"Front of School")</f>
        <v>Front of School</v>
      </c>
      <c r="Q1471" s="5" t="str">
        <f ca="1">IFERROR(__xludf.DUMMYFUNCTION("""COMPUTED_VALUE"""),"Outside on School Property")</f>
        <v>Outside on School Property</v>
      </c>
      <c r="R1471" s="5" t="str">
        <f ca="1">IFERROR(__xludf.DUMMYFUNCTION("""COMPUTED_VALUE"""),"Yes")</f>
        <v>Yes</v>
      </c>
      <c r="S1471" s="5" t="str">
        <f ca="1">IFERROR(__xludf.DUMMYFUNCTION("""COMPUTED_VALUE"""),"Afternoon Classes")</f>
        <v>Afternoon Classes</v>
      </c>
      <c r="T1471" s="10">
        <f ca="1">IFERROR(__xludf.DUMMYFUNCTION("""COMPUTED_VALUE"""),0.583333333333333)</f>
        <v>0.58333333333333304</v>
      </c>
      <c r="U1471" s="5">
        <f ca="1">IFERROR(__xludf.DUMMYFUNCTION("""COMPUTED_VALUE"""),1)</f>
        <v>1</v>
      </c>
      <c r="V1471" s="5" t="str">
        <f ca="1">IFERROR(__xludf.DUMMYFUNCTION("""COMPUTED_VALUE"""),"Drive by shooting outside of school")</f>
        <v>Drive by shooting outside of school</v>
      </c>
      <c r="W1471"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X1471" s="5" t="str">
        <f ca="1">IFERROR(__xludf.DUMMYFUNCTION("""COMPUTED_VALUE"""),"Drive-by Shooting")</f>
        <v>Drive-by Shooting</v>
      </c>
      <c r="Y1471" s="5"/>
      <c r="Z1471" s="5" t="str">
        <f ca="1">IFERROR(__xludf.DUMMYFUNCTION("""COMPUTED_VALUE"""),"Unknown")</f>
        <v>Unknown</v>
      </c>
      <c r="AA1471" s="5"/>
      <c r="AB1471" s="5" t="str">
        <f ca="1">IFERROR(__xludf.DUMMYFUNCTION("""COMPUTED_VALUE"""),"No")</f>
        <v>No</v>
      </c>
      <c r="AC1471" s="5" t="str">
        <f ca="1">IFERROR(__xludf.DUMMYFUNCTION("""COMPUTED_VALUE"""),"No")</f>
        <v>No</v>
      </c>
      <c r="AD1471" s="5" t="str">
        <f ca="1">IFERROR(__xludf.DUMMYFUNCTION("""COMPUTED_VALUE"""),"No")</f>
        <v>No</v>
      </c>
      <c r="AE1471" s="5" t="str">
        <f ca="1">IFERROR(__xludf.DUMMYFUNCTION("""COMPUTED_VALUE"""),"No")</f>
        <v>No</v>
      </c>
      <c r="AF1471" s="5" t="str">
        <f ca="1">IFERROR(__xludf.DUMMYFUNCTION("""COMPUTED_VALUE"""),"No")</f>
        <v>No</v>
      </c>
      <c r="AG1471" s="5" t="str">
        <f ca="1">IFERROR(__xludf.DUMMYFUNCTION("""COMPUTED_VALUE"""),"Yes")</f>
        <v>Yes</v>
      </c>
      <c r="AH1471" s="5"/>
    </row>
    <row r="1472" spans="1:34" ht="12.75">
      <c r="A1472" s="5" t="str">
        <f ca="1">IFERROR(__xludf.DUMMYFUNCTION("""COMPUTED_VALUE"""),"19980331WIOAO")</f>
        <v>19980331WIOAO</v>
      </c>
      <c r="B1472" s="8">
        <f ca="1">IFERROR(__xludf.DUMMYFUNCTION("""COMPUTED_VALUE"""),35885)</f>
        <v>35885</v>
      </c>
      <c r="C1472" s="5" t="str">
        <f ca="1">IFERROR(__xludf.DUMMYFUNCTION("""COMPUTED_VALUE"""),"Oakfield Middle School")</f>
        <v>Oakfield Middle School</v>
      </c>
      <c r="D1472" s="5">
        <f ca="1">IFERROR(__xludf.DUMMYFUNCTION("""COMPUTED_VALUE"""),0)</f>
        <v>0</v>
      </c>
      <c r="E1472" s="5">
        <f ca="1">IFERROR(__xludf.DUMMYFUNCTION("""COMPUTED_VALUE"""),0)</f>
        <v>0</v>
      </c>
      <c r="F1472" s="5">
        <f ca="1">IFERROR(__xludf.DUMMYFUNCTION("""COMPUTED_VALUE"""),0)</f>
        <v>0</v>
      </c>
      <c r="G1472" s="5">
        <f ca="1">IFERROR(__xludf.DUMMYFUNCTION("""COMPUTED_VALUE"""),0)</f>
        <v>0</v>
      </c>
      <c r="H1472"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I1472" s="5"/>
      <c r="J1472" s="5"/>
      <c r="K1472" s="5">
        <f ca="1">IFERROR(__xludf.DUMMYFUNCTION("""COMPUTED_VALUE"""),2)</f>
        <v>2</v>
      </c>
      <c r="L1472" s="5" t="str">
        <f ca="1">IFERROR(__xludf.DUMMYFUNCTION("""COMPUTED_VALUE"""),"Spring")</f>
        <v>Spring</v>
      </c>
      <c r="M1472" s="5" t="str">
        <f ca="1">IFERROR(__xludf.DUMMYFUNCTION("""COMPUTED_VALUE"""),"Oakfield")</f>
        <v>Oakfield</v>
      </c>
      <c r="N1472" s="5" t="str">
        <f ca="1">IFERROR(__xludf.DUMMYFUNCTION("""COMPUTED_VALUE"""),"WI")</f>
        <v>WI</v>
      </c>
      <c r="O1472" s="5" t="str">
        <f ca="1">IFERROR(__xludf.DUMMYFUNCTION("""COMPUTED_VALUE"""),"Middle")</f>
        <v>Middle</v>
      </c>
      <c r="P1472" s="5" t="str">
        <f ca="1">IFERROR(__xludf.DUMMYFUNCTION("""COMPUTED_VALUE"""),"Front of School")</f>
        <v>Front of School</v>
      </c>
      <c r="Q1472" s="5" t="str">
        <f ca="1">IFERROR(__xludf.DUMMYFUNCTION("""COMPUTED_VALUE"""),"Outside on School Property")</f>
        <v>Outside on School Property</v>
      </c>
      <c r="R1472" s="5" t="str">
        <f ca="1">IFERROR(__xludf.DUMMYFUNCTION("""COMPUTED_VALUE"""),"Yes")</f>
        <v>Yes</v>
      </c>
      <c r="S1472" s="5"/>
      <c r="T1472" s="5"/>
      <c r="U1472" s="5">
        <f ca="1">IFERROR(__xludf.DUMMYFUNCTION("""COMPUTED_VALUE"""),1)</f>
        <v>1</v>
      </c>
      <c r="V1472" s="5" t="str">
        <f ca="1">IFERROR(__xludf.DUMMYFUNCTION("""COMPUTED_VALUE"""),"Angry about grade, fired 5 shots into the school's front door")</f>
        <v>Angry about grade, fired 5 shots into the school's front door</v>
      </c>
      <c r="W1472"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X1472" s="5" t="str">
        <f ca="1">IFERROR(__xludf.DUMMYFUNCTION("""COMPUTED_VALUE"""),"Anger Over Grade/Suspension/Discipline")</f>
        <v>Anger Over Grade/Suspension/Discipline</v>
      </c>
      <c r="Y1472" s="5" t="str">
        <f ca="1">IFERROR(__xludf.DUMMYFUNCTION("""COMPUTED_VALUE"""),"Random Shooting")</f>
        <v>Random Shooting</v>
      </c>
      <c r="Z1472" s="5" t="str">
        <f ca="1">IFERROR(__xludf.DUMMYFUNCTION("""COMPUTED_VALUE"""),"No")</f>
        <v>No</v>
      </c>
      <c r="AA1472" s="5"/>
      <c r="AB1472" s="5" t="str">
        <f ca="1">IFERROR(__xludf.DUMMYFUNCTION("""COMPUTED_VALUE"""),"No")</f>
        <v>No</v>
      </c>
      <c r="AC1472" s="5" t="str">
        <f ca="1">IFERROR(__xludf.DUMMYFUNCTION("""COMPUTED_VALUE"""),"No")</f>
        <v>No</v>
      </c>
      <c r="AD1472" s="5" t="str">
        <f ca="1">IFERROR(__xludf.DUMMYFUNCTION("""COMPUTED_VALUE"""),"No")</f>
        <v>No</v>
      </c>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IFERROR(__xludf.DUMMYFUNCTION("""COMPUTED_VALUE"""),"Yes")</f>
        <v>Yes</v>
      </c>
    </row>
    <row r="1473" spans="1:34" ht="12.75">
      <c r="A1473" s="5" t="str">
        <f ca="1">IFERROR(__xludf.DUMMYFUNCTION("""COMPUTED_VALUE"""),"19980330NCGRC")</f>
        <v>19980330NCGRC</v>
      </c>
      <c r="B1473" s="8">
        <f ca="1">IFERROR(__xludf.DUMMYFUNCTION("""COMPUTED_VALUE"""),35884)</f>
        <v>35884</v>
      </c>
      <c r="C1473" s="5" t="str">
        <f ca="1">IFERROR(__xludf.DUMMYFUNCTION("""COMPUTED_VALUE"""),"Grey Culbreth Middle School")</f>
        <v>Grey Culbreth Middle School</v>
      </c>
      <c r="D1473" s="5">
        <f ca="1">IFERROR(__xludf.DUMMYFUNCTION("""COMPUTED_VALUE"""),0)</f>
        <v>0</v>
      </c>
      <c r="E1473" s="5">
        <f ca="1">IFERROR(__xludf.DUMMYFUNCTION("""COMPUTED_VALUE"""),0)</f>
        <v>0</v>
      </c>
      <c r="F1473" s="5">
        <f ca="1">IFERROR(__xludf.DUMMYFUNCTION("""COMPUTED_VALUE"""),0)</f>
        <v>0</v>
      </c>
      <c r="G1473" s="5">
        <f ca="1">IFERROR(__xludf.DUMMYFUNCTION("""COMPUTED_VALUE"""),1)</f>
        <v>1</v>
      </c>
      <c r="H1473"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I1473" s="5"/>
      <c r="J1473" s="5"/>
      <c r="K1473" s="5">
        <f ca="1">IFERROR(__xludf.DUMMYFUNCTION("""COMPUTED_VALUE"""),2)</f>
        <v>2</v>
      </c>
      <c r="L1473" s="5" t="str">
        <f ca="1">IFERROR(__xludf.DUMMYFUNCTION("""COMPUTED_VALUE"""),"Spring")</f>
        <v>Spring</v>
      </c>
      <c r="M1473" s="5" t="str">
        <f ca="1">IFERROR(__xludf.DUMMYFUNCTION("""COMPUTED_VALUE"""),"Chapel Hill")</f>
        <v>Chapel Hill</v>
      </c>
      <c r="N1473" s="5" t="str">
        <f ca="1">IFERROR(__xludf.DUMMYFUNCTION("""COMPUTED_VALUE"""),"NC")</f>
        <v>NC</v>
      </c>
      <c r="O1473" s="5" t="str">
        <f ca="1">IFERROR(__xludf.DUMMYFUNCTION("""COMPUTED_VALUE"""),"Middle")</f>
        <v>Middle</v>
      </c>
      <c r="P1473" s="5" t="str">
        <f ca="1">IFERROR(__xludf.DUMMYFUNCTION("""COMPUTED_VALUE"""),"Bathroom")</f>
        <v>Bathroom</v>
      </c>
      <c r="Q1473" s="5" t="str">
        <f ca="1">IFERROR(__xludf.DUMMYFUNCTION("""COMPUTED_VALUE"""),"Inside School Building")</f>
        <v>Inside School Building</v>
      </c>
      <c r="R1473" s="5" t="str">
        <f ca="1">IFERROR(__xludf.DUMMYFUNCTION("""COMPUTED_VALUE"""),"Yes")</f>
        <v>Yes</v>
      </c>
      <c r="S1473" s="5"/>
      <c r="T1473" s="10">
        <f ca="1">IFERROR(__xludf.DUMMYFUNCTION("""COMPUTED_VALUE"""),0.458333333333333)</f>
        <v>0.45833333333333298</v>
      </c>
      <c r="U1473" s="5">
        <f ca="1">IFERROR(__xludf.DUMMYFUNCTION("""COMPUTED_VALUE"""),1)</f>
        <v>1</v>
      </c>
      <c r="V1473" s="5" t="str">
        <f ca="1">IFERROR(__xludf.DUMMYFUNCTION("""COMPUTED_VALUE"""),"Shot herself in bathroom")</f>
        <v>Shot herself in bathroom</v>
      </c>
      <c r="W1473" s="5" t="str">
        <f ca="1">IFERROR(__xludf.DUMMYFUNCTION("""COMPUTED_VALUE"""),"13 year-old female student shot herself in the school bathroom. She was a new student and had trouble at home.")</f>
        <v>13 year-old female student shot herself in the school bathroom. She was a new student and had trouble at home.</v>
      </c>
      <c r="X1473" s="5" t="str">
        <f ca="1">IFERROR(__xludf.DUMMYFUNCTION("""COMPUTED_VALUE"""),"Suicide/Attempted")</f>
        <v>Suicide/Attempted</v>
      </c>
      <c r="Y1473" s="5" t="str">
        <f ca="1">IFERROR(__xludf.DUMMYFUNCTION("""COMPUTED_VALUE"""),"Victims Targeted")</f>
        <v>Victims Targeted</v>
      </c>
      <c r="Z1473" s="5" t="str">
        <f ca="1">IFERROR(__xludf.DUMMYFUNCTION("""COMPUTED_VALUE"""),"No")</f>
        <v>No</v>
      </c>
      <c r="AA1473" s="5"/>
      <c r="AB1473" s="5" t="str">
        <f ca="1">IFERROR(__xludf.DUMMYFUNCTION("""COMPUTED_VALUE"""),"No")</f>
        <v>No</v>
      </c>
      <c r="AC1473" s="5" t="str">
        <f ca="1">IFERROR(__xludf.DUMMYFUNCTION("""COMPUTED_VALUE"""),"No")</f>
        <v>No</v>
      </c>
      <c r="AD1473" s="5" t="str">
        <f ca="1">IFERROR(__xludf.DUMMYFUNCTION("""COMPUTED_VALUE"""),"No")</f>
        <v>No</v>
      </c>
      <c r="AE1473" s="5" t="str">
        <f ca="1">IFERROR(__xludf.DUMMYFUNCTION("""COMPUTED_VALUE"""),"No")</f>
        <v>No</v>
      </c>
      <c r="AF1473" s="5" t="str">
        <f ca="1">IFERROR(__xludf.DUMMYFUNCTION("""COMPUTED_VALUE"""),"No")</f>
        <v>No</v>
      </c>
      <c r="AG1473" s="5" t="str">
        <f ca="1">IFERROR(__xludf.DUMMYFUNCTION("""COMPUTED_VALUE"""),"No")</f>
        <v>No</v>
      </c>
      <c r="AH1473" s="5"/>
    </row>
    <row r="1474" spans="1:34" ht="12.75">
      <c r="A1474" s="5" t="str">
        <f ca="1">IFERROR(__xludf.DUMMYFUNCTION("""COMPUTED_VALUE"""),"19980325MICOC")</f>
        <v>19980325MICOC</v>
      </c>
      <c r="B1474" s="8">
        <f ca="1">IFERROR(__xludf.DUMMYFUNCTION("""COMPUTED_VALUE"""),35879)</f>
        <v>35879</v>
      </c>
      <c r="C1474" s="5" t="str">
        <f ca="1">IFERROR(__xludf.DUMMYFUNCTION("""COMPUTED_VALUE"""),"Coldwater High School")</f>
        <v>Coldwater High School</v>
      </c>
      <c r="D1474" s="5">
        <f ca="1">IFERROR(__xludf.DUMMYFUNCTION("""COMPUTED_VALUE"""),0)</f>
        <v>0</v>
      </c>
      <c r="E1474" s="5">
        <f ca="1">IFERROR(__xludf.DUMMYFUNCTION("""COMPUTED_VALUE"""),0)</f>
        <v>0</v>
      </c>
      <c r="F1474" s="5">
        <f ca="1">IFERROR(__xludf.DUMMYFUNCTION("""COMPUTED_VALUE"""),0)</f>
        <v>0</v>
      </c>
      <c r="G1474" s="5">
        <f ca="1">IFERROR(__xludf.DUMMYFUNCTION("""COMPUTED_VALUE"""),1)</f>
        <v>1</v>
      </c>
      <c r="H1474"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I1474" s="5"/>
      <c r="J1474" s="5"/>
      <c r="K1474" s="5">
        <f ca="1">IFERROR(__xludf.DUMMYFUNCTION("""COMPUTED_VALUE"""),2)</f>
        <v>2</v>
      </c>
      <c r="L1474" s="5" t="str">
        <f ca="1">IFERROR(__xludf.DUMMYFUNCTION("""COMPUTED_VALUE"""),"Spring")</f>
        <v>Spring</v>
      </c>
      <c r="M1474" s="5" t="str">
        <f ca="1">IFERROR(__xludf.DUMMYFUNCTION("""COMPUTED_VALUE"""),"Coldwater")</f>
        <v>Coldwater</v>
      </c>
      <c r="N1474" s="5" t="str">
        <f ca="1">IFERROR(__xludf.DUMMYFUNCTION("""COMPUTED_VALUE"""),"MI")</f>
        <v>MI</v>
      </c>
      <c r="O1474" s="5" t="str">
        <f ca="1">IFERROR(__xludf.DUMMYFUNCTION("""COMPUTED_VALUE"""),"High")</f>
        <v>High</v>
      </c>
      <c r="P1474" s="5" t="str">
        <f ca="1">IFERROR(__xludf.DUMMYFUNCTION("""COMPUTED_VALUE"""),"Parking Lot")</f>
        <v>Parking Lot</v>
      </c>
      <c r="Q1474" s="5" t="str">
        <f ca="1">IFERROR(__xludf.DUMMYFUNCTION("""COMPUTED_VALUE"""),"Outside on School Property")</f>
        <v>Outside on School Property</v>
      </c>
      <c r="R1474" s="5" t="str">
        <f ca="1">IFERROR(__xludf.DUMMYFUNCTION("""COMPUTED_VALUE"""),"Yes")</f>
        <v>Yes</v>
      </c>
      <c r="S1474" s="5" t="str">
        <f ca="1">IFERROR(__xludf.DUMMYFUNCTION("""COMPUTED_VALUE"""),"School Start")</f>
        <v>School Start</v>
      </c>
      <c r="T1474" s="10">
        <f ca="1">IFERROR(__xludf.DUMMYFUNCTION("""COMPUTED_VALUE"""),0.333333333333333)</f>
        <v>0.33333333333333298</v>
      </c>
      <c r="U1474" s="5">
        <f ca="1">IFERROR(__xludf.DUMMYFUNCTION("""COMPUTED_VALUE"""),1)</f>
        <v>1</v>
      </c>
      <c r="V1474" s="5" t="str">
        <f ca="1">IFERROR(__xludf.DUMMYFUNCTION("""COMPUTED_VALUE"""),"Commit suicide in car in parking lot")</f>
        <v>Commit suicide in car in parking lot</v>
      </c>
      <c r="W1474"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X1474" s="5" t="str">
        <f ca="1">IFERROR(__xludf.DUMMYFUNCTION("""COMPUTED_VALUE"""),"Suicide/Attempted")</f>
        <v>Suicide/Attempted</v>
      </c>
      <c r="Y1474" s="5" t="str">
        <f ca="1">IFERROR(__xludf.DUMMYFUNCTION("""COMPUTED_VALUE"""),"Victims Targeted")</f>
        <v>Victims Targeted</v>
      </c>
      <c r="Z1474" s="5" t="str">
        <f ca="1">IFERROR(__xludf.DUMMYFUNCTION("""COMPUTED_VALUE"""),"No")</f>
        <v>No</v>
      </c>
      <c r="AA1474" s="5"/>
      <c r="AB1474" s="5" t="str">
        <f ca="1">IFERROR(__xludf.DUMMYFUNCTION("""COMPUTED_VALUE"""),"No")</f>
        <v>No</v>
      </c>
      <c r="AC1474" s="5" t="str">
        <f ca="1">IFERROR(__xludf.DUMMYFUNCTION("""COMPUTED_VALUE"""),"No")</f>
        <v>No</v>
      </c>
      <c r="AD1474" s="5" t="str">
        <f ca="1">IFERROR(__xludf.DUMMYFUNCTION("""COMPUTED_VALUE"""),"No")</f>
        <v>No</v>
      </c>
      <c r="AE1474" s="5" t="str">
        <f ca="1">IFERROR(__xludf.DUMMYFUNCTION("""COMPUTED_VALUE"""),"No")</f>
        <v>No</v>
      </c>
      <c r="AF1474" s="5" t="str">
        <f ca="1">IFERROR(__xludf.DUMMYFUNCTION("""COMPUTED_VALUE"""),"No")</f>
        <v>No</v>
      </c>
      <c r="AG1474" s="5" t="str">
        <f ca="1">IFERROR(__xludf.DUMMYFUNCTION("""COMPUTED_VALUE"""),"No")</f>
        <v>No</v>
      </c>
      <c r="AH1474" s="5"/>
    </row>
    <row r="1475" spans="1:34" ht="12.75">
      <c r="A1475" s="5" t="str">
        <f ca="1">IFERROR(__xludf.DUMMYFUNCTION("""COMPUTED_VALUE"""),"19980325CAFED")</f>
        <v>19980325CAFED</v>
      </c>
      <c r="B1475" s="8">
        <f ca="1">IFERROR(__xludf.DUMMYFUNCTION("""COMPUTED_VALUE"""),35879)</f>
        <v>35879</v>
      </c>
      <c r="C1475" s="5" t="str">
        <f ca="1">IFERROR(__xludf.DUMMYFUNCTION("""COMPUTED_VALUE"""),"Fernando Rivera Middle School")</f>
        <v>Fernando Rivera Middle School</v>
      </c>
      <c r="D1475" s="5">
        <f ca="1">IFERROR(__xludf.DUMMYFUNCTION("""COMPUTED_VALUE"""),0)</f>
        <v>0</v>
      </c>
      <c r="E1475" s="5">
        <f ca="1">IFERROR(__xludf.DUMMYFUNCTION("""COMPUTED_VALUE"""),0)</f>
        <v>0</v>
      </c>
      <c r="F1475" s="5">
        <f ca="1">IFERROR(__xludf.DUMMYFUNCTION("""COMPUTED_VALUE"""),0)</f>
        <v>0</v>
      </c>
      <c r="G1475" s="5">
        <f ca="1">IFERROR(__xludf.DUMMYFUNCTION("""COMPUTED_VALUE"""),0)</f>
        <v>0</v>
      </c>
      <c r="H1475"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I1475" s="5"/>
      <c r="J1475" s="5"/>
      <c r="K1475" s="5">
        <f ca="1">IFERROR(__xludf.DUMMYFUNCTION("""COMPUTED_VALUE"""),2)</f>
        <v>2</v>
      </c>
      <c r="L1475" s="5" t="str">
        <f ca="1">IFERROR(__xludf.DUMMYFUNCTION("""COMPUTED_VALUE"""),"Spring")</f>
        <v>Spring</v>
      </c>
      <c r="M1475" s="5" t="str">
        <f ca="1">IFERROR(__xludf.DUMMYFUNCTION("""COMPUTED_VALUE"""),"Daly City")</f>
        <v>Daly City</v>
      </c>
      <c r="N1475" s="5" t="str">
        <f ca="1">IFERROR(__xludf.DUMMYFUNCTION("""COMPUTED_VALUE"""),"CA")</f>
        <v>CA</v>
      </c>
      <c r="O1475" s="5" t="str">
        <f ca="1">IFERROR(__xludf.DUMMYFUNCTION("""COMPUTED_VALUE"""),"Middle")</f>
        <v>Middle</v>
      </c>
      <c r="P1475" s="5" t="str">
        <f ca="1">IFERROR(__xludf.DUMMYFUNCTION("""COMPUTED_VALUE"""),"Courtyard")</f>
        <v>Courtyard</v>
      </c>
      <c r="Q1475" s="5" t="str">
        <f ca="1">IFERROR(__xludf.DUMMYFUNCTION("""COMPUTED_VALUE"""),"Outside on School Property")</f>
        <v>Outside on School Property</v>
      </c>
      <c r="R1475" s="5" t="str">
        <f ca="1">IFERROR(__xludf.DUMMYFUNCTION("""COMPUTED_VALUE"""),"Yes")</f>
        <v>Yes</v>
      </c>
      <c r="S1475" s="5" t="str">
        <f ca="1">IFERROR(__xludf.DUMMYFUNCTION("""COMPUTED_VALUE"""),"School Start")</f>
        <v>School Start</v>
      </c>
      <c r="T1475" s="10">
        <f ca="1">IFERROR(__xludf.DUMMYFUNCTION("""COMPUTED_VALUE"""),0.34375)</f>
        <v>0.34375</v>
      </c>
      <c r="U1475" s="5">
        <f ca="1">IFERROR(__xludf.DUMMYFUNCTION("""COMPUTED_VALUE"""),1)</f>
        <v>1</v>
      </c>
      <c r="V1475" s="5" t="str">
        <f ca="1">IFERROR(__xludf.DUMMYFUNCTION("""COMPUTED_VALUE"""),"Shot at principal, missed, ditched gun, and fled scene")</f>
        <v>Shot at principal, missed, ditched gun, and fled scene</v>
      </c>
      <c r="W1475"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X1475" s="5" t="str">
        <f ca="1">IFERROR(__xludf.DUMMYFUNCTION("""COMPUTED_VALUE"""),"Anger Over Grade/Suspension/Discipline")</f>
        <v>Anger Over Grade/Suspension/Discipline</v>
      </c>
      <c r="Y1475" s="5" t="str">
        <f ca="1">IFERROR(__xludf.DUMMYFUNCTION("""COMPUTED_VALUE"""),"Victims Targeted")</f>
        <v>Victims Targeted</v>
      </c>
      <c r="Z1475" s="5" t="str">
        <f ca="1">IFERROR(__xludf.DUMMYFUNCTION("""COMPUTED_VALUE"""),"No")</f>
        <v>No</v>
      </c>
      <c r="AA1475" s="5"/>
      <c r="AB1475" s="5" t="str">
        <f ca="1">IFERROR(__xludf.DUMMYFUNCTION("""COMPUTED_VALUE"""),"No")</f>
        <v>No</v>
      </c>
      <c r="AC1475" s="5" t="str">
        <f ca="1">IFERROR(__xludf.DUMMYFUNCTION("""COMPUTED_VALUE"""),"No")</f>
        <v>No</v>
      </c>
      <c r="AD1475" s="5" t="str">
        <f ca="1">IFERROR(__xludf.DUMMYFUNCTION("""COMPUTED_VALUE"""),"No")</f>
        <v>No</v>
      </c>
      <c r="AE1475" s="5" t="str">
        <f ca="1">IFERROR(__xludf.DUMMYFUNCTION("""COMPUTED_VALUE"""),"No")</f>
        <v>No</v>
      </c>
      <c r="AF1475" s="5" t="str">
        <f ca="1">IFERROR(__xludf.DUMMYFUNCTION("""COMPUTED_VALUE"""),"No")</f>
        <v>No</v>
      </c>
      <c r="AG1475" s="5" t="str">
        <f ca="1">IFERROR(__xludf.DUMMYFUNCTION("""COMPUTED_VALUE"""),"No")</f>
        <v>No</v>
      </c>
      <c r="AH1475" s="5"/>
    </row>
    <row r="1476" spans="1:34" ht="12.75">
      <c r="A1476" s="5" t="str">
        <f ca="1">IFERROR(__xludf.DUMMYFUNCTION("""COMPUTED_VALUE"""),"19980324ARWEJ")</f>
        <v>19980324ARWEJ</v>
      </c>
      <c r="B1476" s="8">
        <f ca="1">IFERROR(__xludf.DUMMYFUNCTION("""COMPUTED_VALUE"""),35878)</f>
        <v>35878</v>
      </c>
      <c r="C1476" s="5" t="str">
        <f ca="1">IFERROR(__xludf.DUMMYFUNCTION("""COMPUTED_VALUE"""),"Westside Middle School")</f>
        <v>Westside Middle School</v>
      </c>
      <c r="D1476" s="5">
        <f ca="1">IFERROR(__xludf.DUMMYFUNCTION("""COMPUTED_VALUE"""),5)</f>
        <v>5</v>
      </c>
      <c r="E1476" s="5">
        <f ca="1">IFERROR(__xludf.DUMMYFUNCTION("""COMPUTED_VALUE"""),10)</f>
        <v>10</v>
      </c>
      <c r="F1476" s="5">
        <f ca="1">IFERROR(__xludf.DUMMYFUNCTION("""COMPUTED_VALUE"""),15)</f>
        <v>15</v>
      </c>
      <c r="G1476" s="5">
        <f ca="1">IFERROR(__xludf.DUMMYFUNCTION("""COMPUTED_VALUE"""),0)</f>
        <v>0</v>
      </c>
      <c r="H1476"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I1476" s="5"/>
      <c r="J1476" s="5"/>
      <c r="K1476" s="5">
        <f ca="1">IFERROR(__xludf.DUMMYFUNCTION("""COMPUTED_VALUE"""),2)</f>
        <v>2</v>
      </c>
      <c r="L1476" s="5" t="str">
        <f ca="1">IFERROR(__xludf.DUMMYFUNCTION("""COMPUTED_VALUE"""),"Spring")</f>
        <v>Spring</v>
      </c>
      <c r="M1476" s="5" t="str">
        <f ca="1">IFERROR(__xludf.DUMMYFUNCTION("""COMPUTED_VALUE"""),"Jonesboro")</f>
        <v>Jonesboro</v>
      </c>
      <c r="N1476" s="5" t="str">
        <f ca="1">IFERROR(__xludf.DUMMYFUNCTION("""COMPUTED_VALUE"""),"AR")</f>
        <v>AR</v>
      </c>
      <c r="O1476" s="5" t="str">
        <f ca="1">IFERROR(__xludf.DUMMYFUNCTION("""COMPUTED_VALUE"""),"Middle")</f>
        <v>Middle</v>
      </c>
      <c r="P1476" s="5" t="str">
        <f ca="1">IFERROR(__xludf.DUMMYFUNCTION("""COMPUTED_VALUE"""),"Field (General)")</f>
        <v>Field (General)</v>
      </c>
      <c r="Q1476" s="5" t="str">
        <f ca="1">IFERROR(__xludf.DUMMYFUNCTION("""COMPUTED_VALUE"""),"Outside on School Property")</f>
        <v>Outside on School Property</v>
      </c>
      <c r="R1476" s="5" t="str">
        <f ca="1">IFERROR(__xludf.DUMMYFUNCTION("""COMPUTED_VALUE"""),"Yes")</f>
        <v>Yes</v>
      </c>
      <c r="S1476" s="5" t="str">
        <f ca="1">IFERROR(__xludf.DUMMYFUNCTION("""COMPUTED_VALUE"""),"Afternoon Classes")</f>
        <v>Afternoon Classes</v>
      </c>
      <c r="T1476" s="10">
        <f ca="1">IFERROR(__xludf.DUMMYFUNCTION("""COMPUTED_VALUE"""),0.528472222222222)</f>
        <v>0.52847222222222201</v>
      </c>
      <c r="U1476" s="5"/>
      <c r="V1476" s="5" t="str">
        <f ca="1">IFERROR(__xludf.DUMMYFUNCTION("""COMPUTED_VALUE"""),"Planned attack by two shooter, shot students are pulling fire alarm and fled in stolen vehicle")</f>
        <v>Planned attack by two shooter, shot students are pulling fire alarm and fled in stolen vehicle</v>
      </c>
      <c r="W1476"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X1476" s="5" t="str">
        <f ca="1">IFERROR(__xludf.DUMMYFUNCTION("""COMPUTED_VALUE"""),"Indiscriminate Shooting")</f>
        <v>Indiscriminate Shooting</v>
      </c>
      <c r="Y1476" s="5" t="str">
        <f ca="1">IFERROR(__xludf.DUMMYFUNCTION("""COMPUTED_VALUE"""),"Random Shooting")</f>
        <v>Random Shooting</v>
      </c>
      <c r="Z1476" s="5" t="str">
        <f ca="1">IFERROR(__xludf.DUMMYFUNCTION("""COMPUTED_VALUE"""),"Yes")</f>
        <v>Yes</v>
      </c>
      <c r="AA1476" s="5" t="str">
        <f ca="1">IFERROR(__xludf.DUMMYFUNCTION("""COMPUTED_VALUE"""),"Two shooters planned attack together")</f>
        <v>Two shooters planned attack together</v>
      </c>
      <c r="AB1476" s="5" t="str">
        <f ca="1">IFERROR(__xludf.DUMMYFUNCTION("""COMPUTED_VALUE"""),"No")</f>
        <v>No</v>
      </c>
      <c r="AC1476" s="5" t="str">
        <f ca="1">IFERROR(__xludf.DUMMYFUNCTION("""COMPUTED_VALUE"""),"No")</f>
        <v>No</v>
      </c>
      <c r="AD1476" s="5" t="str">
        <f ca="1">IFERROR(__xludf.DUMMYFUNCTION("""COMPUTED_VALUE"""),"No")</f>
        <v>No</v>
      </c>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IFERROR(__xludf.DUMMYFUNCTION("""COMPUTED_VALUE"""),"Yes")</f>
        <v>Yes</v>
      </c>
    </row>
    <row r="1477" spans="1:34" ht="12.75">
      <c r="A1477" s="5" t="str">
        <f ca="1">IFERROR(__xludf.DUMMYFUNCTION("""COMPUTED_VALUE"""),"19980227VAMAF")</f>
        <v>19980227VAMAF</v>
      </c>
      <c r="B1477" s="8">
        <f ca="1">IFERROR(__xludf.DUMMYFUNCTION("""COMPUTED_VALUE"""),35853)</f>
        <v>35853</v>
      </c>
      <c r="C1477" s="5" t="str">
        <f ca="1">IFERROR(__xludf.DUMMYFUNCTION("""COMPUTED_VALUE"""),"Marshall High School")</f>
        <v>Marshall High School</v>
      </c>
      <c r="D1477" s="5">
        <f ca="1">IFERROR(__xludf.DUMMYFUNCTION("""COMPUTED_VALUE"""),1)</f>
        <v>1</v>
      </c>
      <c r="E1477" s="5">
        <f ca="1">IFERROR(__xludf.DUMMYFUNCTION("""COMPUTED_VALUE"""),0)</f>
        <v>0</v>
      </c>
      <c r="F1477" s="5">
        <f ca="1">IFERROR(__xludf.DUMMYFUNCTION("""COMPUTED_VALUE"""),1)</f>
        <v>1</v>
      </c>
      <c r="G1477" s="5">
        <f ca="1">IFERROR(__xludf.DUMMYFUNCTION("""COMPUTED_VALUE"""),0)</f>
        <v>0</v>
      </c>
      <c r="H1477"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I1477" s="5"/>
      <c r="J1477" s="5"/>
      <c r="K1477" s="5">
        <f ca="1">IFERROR(__xludf.DUMMYFUNCTION("""COMPUTED_VALUE"""),2)</f>
        <v>2</v>
      </c>
      <c r="L1477" s="5" t="str">
        <f ca="1">IFERROR(__xludf.DUMMYFUNCTION("""COMPUTED_VALUE"""),"Winter")</f>
        <v>Winter</v>
      </c>
      <c r="M1477" s="5" t="str">
        <f ca="1">IFERROR(__xludf.DUMMYFUNCTION("""COMPUTED_VALUE"""),"Fairfax")</f>
        <v>Fairfax</v>
      </c>
      <c r="N1477" s="5" t="str">
        <f ca="1">IFERROR(__xludf.DUMMYFUNCTION("""COMPUTED_VALUE"""),"VA")</f>
        <v>VA</v>
      </c>
      <c r="O1477" s="5" t="str">
        <f ca="1">IFERROR(__xludf.DUMMYFUNCTION("""COMPUTED_VALUE"""),"High")</f>
        <v>High</v>
      </c>
      <c r="P1477" s="5" t="str">
        <f ca="1">IFERROR(__xludf.DUMMYFUNCTION("""COMPUTED_VALUE"""),"Parking Lot")</f>
        <v>Parking Lot</v>
      </c>
      <c r="Q1477" s="5" t="str">
        <f ca="1">IFERROR(__xludf.DUMMYFUNCTION("""COMPUTED_VALUE"""),"Outside on School Property")</f>
        <v>Outside on School Property</v>
      </c>
      <c r="R1477" s="5" t="str">
        <f ca="1">IFERROR(__xludf.DUMMYFUNCTION("""COMPUTED_VALUE"""),"Yes")</f>
        <v>Yes</v>
      </c>
      <c r="S1477" s="5" t="str">
        <f ca="1">IFERROR(__xludf.DUMMYFUNCTION("""COMPUTED_VALUE"""),"Lunch")</f>
        <v>Lunch</v>
      </c>
      <c r="T1477" s="10">
        <f ca="1">IFERROR(__xludf.DUMMYFUNCTION("""COMPUTED_VALUE"""),0.513888888888888)</f>
        <v>0.51388888888888795</v>
      </c>
      <c r="U1477" s="5">
        <f ca="1">IFERROR(__xludf.DUMMYFUNCTION("""COMPUTED_VALUE"""),1)</f>
        <v>1</v>
      </c>
      <c r="V1477" s="5" t="str">
        <f ca="1">IFERROR(__xludf.DUMMYFUNCTION("""COMPUTED_VALUE"""),"Drive by gang shooting in parking lot")</f>
        <v>Drive by gang shooting in parking lot</v>
      </c>
      <c r="W1477"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X1477" s="5" t="str">
        <f ca="1">IFERROR(__xludf.DUMMYFUNCTION("""COMPUTED_VALUE"""),"Drive-by Shooting")</f>
        <v>Drive-by Shooting</v>
      </c>
      <c r="Y1477" s="5" t="str">
        <f ca="1">IFERROR(__xludf.DUMMYFUNCTION("""COMPUTED_VALUE"""),"Victims Targeted")</f>
        <v>Victims Targeted</v>
      </c>
      <c r="Z1477" s="5" t="str">
        <f ca="1">IFERROR(__xludf.DUMMYFUNCTION("""COMPUTED_VALUE"""),"Yes")</f>
        <v>Yes</v>
      </c>
      <c r="AA1477" s="5" t="str">
        <f ca="1">IFERROR(__xludf.DUMMYFUNCTION("""COMPUTED_VALUE"""),"Two 17-year-old males and one 19-year-old male accompanied shooter.")</f>
        <v>Two 17-year-old males and one 19-year-old male accompanied shooter.</v>
      </c>
      <c r="AB1477" s="5" t="str">
        <f ca="1">IFERROR(__xludf.DUMMYFUNCTION("""COMPUTED_VALUE"""),"No")</f>
        <v>No</v>
      </c>
      <c r="AC1477" s="5" t="str">
        <f ca="1">IFERROR(__xludf.DUMMYFUNCTION("""COMPUTED_VALUE"""),"No")</f>
        <v>No</v>
      </c>
      <c r="AD1477" s="5" t="str">
        <f ca="1">IFERROR(__xludf.DUMMYFUNCTION("""COMPUTED_VALUE"""),"No")</f>
        <v>No</v>
      </c>
      <c r="AE1477" s="5" t="str">
        <f ca="1">IFERROR(__xludf.DUMMYFUNCTION("""COMPUTED_VALUE"""),"No")</f>
        <v>No</v>
      </c>
      <c r="AF1477" s="5" t="str">
        <f ca="1">IFERROR(__xludf.DUMMYFUNCTION("""COMPUTED_VALUE"""),"No")</f>
        <v>No</v>
      </c>
      <c r="AG1477" s="5" t="str">
        <f ca="1">IFERROR(__xludf.DUMMYFUNCTION("""COMPUTED_VALUE"""),"Yes")</f>
        <v>Yes</v>
      </c>
      <c r="AH1477" s="5"/>
    </row>
    <row r="1478" spans="1:34" ht="12.75">
      <c r="A1478" s="5" t="str">
        <f ca="1">IFERROR(__xludf.DUMMYFUNCTION("""COMPUTED_VALUE"""),"19980225MIRER")</f>
        <v>19980225MIRER</v>
      </c>
      <c r="B1478" s="8">
        <f ca="1">IFERROR(__xludf.DUMMYFUNCTION("""COMPUTED_VALUE"""),35851)</f>
        <v>35851</v>
      </c>
      <c r="C1478" s="5" t="str">
        <f ca="1">IFERROR(__xludf.DUMMYFUNCTION("""COMPUTED_VALUE"""),"Reed City High School")</f>
        <v>Reed City High School</v>
      </c>
      <c r="D1478" s="5">
        <f ca="1">IFERROR(__xludf.DUMMYFUNCTION("""COMPUTED_VALUE"""),0)</f>
        <v>0</v>
      </c>
      <c r="E1478" s="5">
        <f ca="1">IFERROR(__xludf.DUMMYFUNCTION("""COMPUTED_VALUE"""),0)</f>
        <v>0</v>
      </c>
      <c r="F1478" s="5">
        <f ca="1">IFERROR(__xludf.DUMMYFUNCTION("""COMPUTED_VALUE"""),0)</f>
        <v>0</v>
      </c>
      <c r="G1478" s="5">
        <f ca="1">IFERROR(__xludf.DUMMYFUNCTION("""COMPUTED_VALUE"""),1)</f>
        <v>1</v>
      </c>
      <c r="H1478" s="9" t="str">
        <f ca="1">IFERROR(__xludf.DUMMYFUNCTION("""COMPUTED_VALUE"""),"https://cmuhistory.cmich.edu/?a=d&amp;d=IsabellaCML19980227.1.2&amp;")</f>
        <v>https://cmuhistory.cmich.edu/?a=d&amp;d=IsabellaCML19980227.1.2&amp;</v>
      </c>
      <c r="I1478" s="5"/>
      <c r="J1478" s="5"/>
      <c r="K1478" s="5">
        <f ca="1">IFERROR(__xludf.DUMMYFUNCTION("""COMPUTED_VALUE"""),2)</f>
        <v>2</v>
      </c>
      <c r="L1478" s="5" t="str">
        <f ca="1">IFERROR(__xludf.DUMMYFUNCTION("""COMPUTED_VALUE"""),"Winter")</f>
        <v>Winter</v>
      </c>
      <c r="M1478" s="5" t="str">
        <f ca="1">IFERROR(__xludf.DUMMYFUNCTION("""COMPUTED_VALUE"""),"Reed City")</f>
        <v>Reed City</v>
      </c>
      <c r="N1478" s="5" t="str">
        <f ca="1">IFERROR(__xludf.DUMMYFUNCTION("""COMPUTED_VALUE"""),"MI")</f>
        <v>MI</v>
      </c>
      <c r="O1478" s="5" t="str">
        <f ca="1">IFERROR(__xludf.DUMMYFUNCTION("""COMPUTED_VALUE"""),"High")</f>
        <v>High</v>
      </c>
      <c r="P1478" s="5" t="str">
        <f ca="1">IFERROR(__xludf.DUMMYFUNCTION("""COMPUTED_VALUE"""),"Hallway")</f>
        <v>Hallway</v>
      </c>
      <c r="Q1478" s="5" t="str">
        <f ca="1">IFERROR(__xludf.DUMMYFUNCTION("""COMPUTED_VALUE"""),"Inside School Building")</f>
        <v>Inside School Building</v>
      </c>
      <c r="R1478" s="5" t="str">
        <f ca="1">IFERROR(__xludf.DUMMYFUNCTION("""COMPUTED_VALUE"""),"Yes")</f>
        <v>Yes</v>
      </c>
      <c r="S1478" s="5" t="str">
        <f ca="1">IFERROR(__xludf.DUMMYFUNCTION("""COMPUTED_VALUE"""),"School Start")</f>
        <v>School Start</v>
      </c>
      <c r="T1478" s="10">
        <f ca="1">IFERROR(__xludf.DUMMYFUNCTION("""COMPUTED_VALUE"""),0.333333333333333)</f>
        <v>0.33333333333333298</v>
      </c>
      <c r="U1478" s="5">
        <f ca="1">IFERROR(__xludf.DUMMYFUNCTION("""COMPUTED_VALUE"""),1)</f>
        <v>1</v>
      </c>
      <c r="V1478" s="5" t="str">
        <f ca="1">IFERROR(__xludf.DUMMYFUNCTION("""COMPUTED_VALUE"""),"Commit suicide in school hallway")</f>
        <v>Commit suicide in school hallway</v>
      </c>
      <c r="W1478"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X1478" s="5" t="str">
        <f ca="1">IFERROR(__xludf.DUMMYFUNCTION("""COMPUTED_VALUE"""),"Suicide/Attempted")</f>
        <v>Suicide/Attempted</v>
      </c>
      <c r="Y1478" s="5" t="str">
        <f ca="1">IFERROR(__xludf.DUMMYFUNCTION("""COMPUTED_VALUE"""),"Victims Targeted")</f>
        <v>Victims Targeted</v>
      </c>
      <c r="Z1478" s="5" t="str">
        <f ca="1">IFERROR(__xludf.DUMMYFUNCTION("""COMPUTED_VALUE"""),"No")</f>
        <v>No</v>
      </c>
      <c r="AA1478" s="5"/>
      <c r="AB1478" s="5" t="str">
        <f ca="1">IFERROR(__xludf.DUMMYFUNCTION("""COMPUTED_VALUE"""),"No")</f>
        <v>No</v>
      </c>
      <c r="AC1478" s="5" t="str">
        <f ca="1">IFERROR(__xludf.DUMMYFUNCTION("""COMPUTED_VALUE"""),"No")</f>
        <v>No</v>
      </c>
      <c r="AD1478" s="5" t="str">
        <f ca="1">IFERROR(__xludf.DUMMYFUNCTION("""COMPUTED_VALUE"""),"No")</f>
        <v>No</v>
      </c>
      <c r="AE1478" s="5"/>
      <c r="AF1478" s="5" t="str">
        <f ca="1">IFERROR(__xludf.DUMMYFUNCTION("""COMPUTED_VALUE"""),"No")</f>
        <v>No</v>
      </c>
      <c r="AG1478" s="5" t="str">
        <f ca="1">IFERROR(__xludf.DUMMYFUNCTION("""COMPUTED_VALUE"""),"No")</f>
        <v>No</v>
      </c>
      <c r="AH1478" s="5"/>
    </row>
    <row r="1479" spans="1:34" ht="12.75">
      <c r="A1479" s="5" t="str">
        <f ca="1">IFERROR(__xludf.DUMMYFUNCTION("""COMPUTED_VALUE"""),"19980212NJHOH")</f>
        <v>19980212NJHOH</v>
      </c>
      <c r="B1479" s="8">
        <f ca="1">IFERROR(__xludf.DUMMYFUNCTION("""COMPUTED_VALUE"""),35838)</f>
        <v>35838</v>
      </c>
      <c r="C1479" s="5" t="str">
        <f ca="1">IFERROR(__xludf.DUMMYFUNCTION("""COMPUTED_VALUE"""),"Hoboken High School")</f>
        <v>Hoboken High School</v>
      </c>
      <c r="D1479" s="5">
        <f ca="1">IFERROR(__xludf.DUMMYFUNCTION("""COMPUTED_VALUE"""),1)</f>
        <v>1</v>
      </c>
      <c r="E1479" s="5">
        <f ca="1">IFERROR(__xludf.DUMMYFUNCTION("""COMPUTED_VALUE"""),0)</f>
        <v>0</v>
      </c>
      <c r="F1479" s="5">
        <f ca="1">IFERROR(__xludf.DUMMYFUNCTION("""COMPUTED_VALUE"""),1)</f>
        <v>1</v>
      </c>
      <c r="G1479" s="5">
        <f ca="1">IFERROR(__xludf.DUMMYFUNCTION("""COMPUTED_VALUE"""),1)</f>
        <v>1</v>
      </c>
      <c r="H1479"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I1479" s="5"/>
      <c r="J1479" s="5"/>
      <c r="K1479" s="5">
        <f ca="1">IFERROR(__xludf.DUMMYFUNCTION("""COMPUTED_VALUE"""),3)</f>
        <v>3</v>
      </c>
      <c r="L1479" s="5" t="str">
        <f ca="1">IFERROR(__xludf.DUMMYFUNCTION("""COMPUTED_VALUE"""),"Winter")</f>
        <v>Winter</v>
      </c>
      <c r="M1479" s="5" t="str">
        <f ca="1">IFERROR(__xludf.DUMMYFUNCTION("""COMPUTED_VALUE"""),"Hoboken")</f>
        <v>Hoboken</v>
      </c>
      <c r="N1479" s="5" t="str">
        <f ca="1">IFERROR(__xludf.DUMMYFUNCTION("""COMPUTED_VALUE"""),"NJ")</f>
        <v>NJ</v>
      </c>
      <c r="O1479" s="5" t="str">
        <f ca="1">IFERROR(__xludf.DUMMYFUNCTION("""COMPUTED_VALUE"""),"High")</f>
        <v>High</v>
      </c>
      <c r="P1479" s="5" t="str">
        <f ca="1">IFERROR(__xludf.DUMMYFUNCTION("""COMPUTED_VALUE"""),"Parking Lot")</f>
        <v>Parking Lot</v>
      </c>
      <c r="Q1479" s="5" t="str">
        <f ca="1">IFERROR(__xludf.DUMMYFUNCTION("""COMPUTED_VALUE"""),"Outside on School Property")</f>
        <v>Outside on School Property</v>
      </c>
      <c r="R1479" s="5" t="str">
        <f ca="1">IFERROR(__xludf.DUMMYFUNCTION("""COMPUTED_VALUE"""),"No")</f>
        <v>No</v>
      </c>
      <c r="S1479" s="5" t="str">
        <f ca="1">IFERROR(__xludf.DUMMYFUNCTION("""COMPUTED_VALUE"""),"After School")</f>
        <v>After School</v>
      </c>
      <c r="T1479" s="10">
        <f ca="1">IFERROR(__xludf.DUMMYFUNCTION("""COMPUTED_VALUE"""),0.631944444444444)</f>
        <v>0.63194444444444398</v>
      </c>
      <c r="U1479" s="5">
        <f ca="1">IFERROR(__xludf.DUMMYFUNCTION("""COMPUTED_VALUE"""),1)</f>
        <v>1</v>
      </c>
      <c r="V1479" s="5" t="str">
        <f ca="1">IFERROR(__xludf.DUMMYFUNCTION("""COMPUTED_VALUE"""),"Shooter believed teacher was having affair with his wife, killed teacher and commited suicide.")</f>
        <v>Shooter believed teacher was having affair with his wife, killed teacher and commited suicide.</v>
      </c>
      <c r="W1479"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X1479" s="5" t="str">
        <f ca="1">IFERROR(__xludf.DUMMYFUNCTION("""COMPUTED_VALUE"""),"Domestic w/ Targeted Victim")</f>
        <v>Domestic w/ Targeted Victim</v>
      </c>
      <c r="Y1479" s="5" t="str">
        <f ca="1">IFERROR(__xludf.DUMMYFUNCTION("""COMPUTED_VALUE"""),"Victims Targeted")</f>
        <v>Victims Targeted</v>
      </c>
      <c r="Z1479" s="5" t="str">
        <f ca="1">IFERROR(__xludf.DUMMYFUNCTION("""COMPUTED_VALUE"""),"No")</f>
        <v>No</v>
      </c>
      <c r="AA1479" s="5"/>
      <c r="AB1479" s="5" t="str">
        <f ca="1">IFERROR(__xludf.DUMMYFUNCTION("""COMPUTED_VALUE"""),"No")</f>
        <v>No</v>
      </c>
      <c r="AC1479" s="5" t="str">
        <f ca="1">IFERROR(__xludf.DUMMYFUNCTION("""COMPUTED_VALUE"""),"No")</f>
        <v>No</v>
      </c>
      <c r="AD1479" s="5" t="str">
        <f ca="1">IFERROR(__xludf.DUMMYFUNCTION("""COMPUTED_VALUE"""),"No")</f>
        <v>No</v>
      </c>
      <c r="AE1479" s="5" t="str">
        <f ca="1">IFERROR(__xludf.DUMMYFUNCTION("""COMPUTED_VALUE"""),"No")</f>
        <v>No</v>
      </c>
      <c r="AF1479" s="5" t="str">
        <f ca="1">IFERROR(__xludf.DUMMYFUNCTION("""COMPUTED_VALUE"""),"Yes")</f>
        <v>Yes</v>
      </c>
      <c r="AG1479" s="5" t="str">
        <f ca="1">IFERROR(__xludf.DUMMYFUNCTION("""COMPUTED_VALUE"""),"No")</f>
        <v>No</v>
      </c>
      <c r="AH1479" s="5"/>
    </row>
    <row r="1480" spans="1:34" ht="12.75">
      <c r="A1480" s="5" t="str">
        <f ca="1">IFERROR(__xludf.DUMMYFUNCTION("""COMPUTED_VALUE"""),"19971215ARSTS")</f>
        <v>19971215ARSTS</v>
      </c>
      <c r="B1480" s="8">
        <f ca="1">IFERROR(__xludf.DUMMYFUNCTION("""COMPUTED_VALUE"""),35779)</f>
        <v>35779</v>
      </c>
      <c r="C1480" s="5" t="str">
        <f ca="1">IFERROR(__xludf.DUMMYFUNCTION("""COMPUTED_VALUE"""),"Stamps High School")</f>
        <v>Stamps High School</v>
      </c>
      <c r="D1480" s="5">
        <f ca="1">IFERROR(__xludf.DUMMYFUNCTION("""COMPUTED_VALUE"""),0)</f>
        <v>0</v>
      </c>
      <c r="E1480" s="5">
        <f ca="1">IFERROR(__xludf.DUMMYFUNCTION("""COMPUTED_VALUE"""),2)</f>
        <v>2</v>
      </c>
      <c r="F1480" s="5">
        <f ca="1">IFERROR(__xludf.DUMMYFUNCTION("""COMPUTED_VALUE"""),2)</f>
        <v>2</v>
      </c>
      <c r="G1480" s="5">
        <f ca="1">IFERROR(__xludf.DUMMYFUNCTION("""COMPUTED_VALUE"""),0)</f>
        <v>0</v>
      </c>
      <c r="H1480" s="9" t="str">
        <f ca="1">IFERROR(__xludf.DUMMYFUNCTION("""COMPUTED_VALUE"""),"http://www.cnn.com/US/9712/19/school.shooting/")</f>
        <v>http://www.cnn.com/US/9712/19/school.shooting/</v>
      </c>
      <c r="I1480" s="5"/>
      <c r="J1480" s="5"/>
      <c r="K1480" s="5">
        <f ca="1">IFERROR(__xludf.DUMMYFUNCTION("""COMPUTED_VALUE"""),2)</f>
        <v>2</v>
      </c>
      <c r="L1480" s="5" t="str">
        <f ca="1">IFERROR(__xludf.DUMMYFUNCTION("""COMPUTED_VALUE"""),"Winter")</f>
        <v>Winter</v>
      </c>
      <c r="M1480" s="5" t="str">
        <f ca="1">IFERROR(__xludf.DUMMYFUNCTION("""COMPUTED_VALUE"""),"Stamps")</f>
        <v>Stamps</v>
      </c>
      <c r="N1480" s="5" t="str">
        <f ca="1">IFERROR(__xludf.DUMMYFUNCTION("""COMPUTED_VALUE"""),"AR")</f>
        <v>AR</v>
      </c>
      <c r="O1480" s="5" t="str">
        <f ca="1">IFERROR(__xludf.DUMMYFUNCTION("""COMPUTED_VALUE"""),"High")</f>
        <v>High</v>
      </c>
      <c r="P1480" s="5" t="str">
        <f ca="1">IFERROR(__xludf.DUMMYFUNCTION("""COMPUTED_VALUE"""),"Parking Lot")</f>
        <v>Parking Lot</v>
      </c>
      <c r="Q1480" s="5" t="str">
        <f ca="1">IFERROR(__xludf.DUMMYFUNCTION("""COMPUTED_VALUE"""),"Outside on School Property")</f>
        <v>Outside on School Property</v>
      </c>
      <c r="R1480" s="5" t="str">
        <f ca="1">IFERROR(__xludf.DUMMYFUNCTION("""COMPUTED_VALUE"""),"Yes")</f>
        <v>Yes</v>
      </c>
      <c r="S1480" s="5"/>
      <c r="T1480" s="5"/>
      <c r="U1480" s="5"/>
      <c r="V1480" s="5" t="str">
        <f ca="1">IFERROR(__xludf.DUMMYFUNCTION("""COMPUTED_VALUE"""),"Planned attack, fired at random students from the woods near the school")</f>
        <v>Planned attack, fired at random students from the woods near the school</v>
      </c>
      <c r="W1480"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X1480" s="5" t="str">
        <f ca="1">IFERROR(__xludf.DUMMYFUNCTION("""COMPUTED_VALUE"""),"Indiscriminate Shooting")</f>
        <v>Indiscriminate Shooting</v>
      </c>
      <c r="Y1480" s="5" t="str">
        <f ca="1">IFERROR(__xludf.DUMMYFUNCTION("""COMPUTED_VALUE"""),"Random Shooting")</f>
        <v>Random Shooting</v>
      </c>
      <c r="Z1480" s="5" t="str">
        <f ca="1">IFERROR(__xludf.DUMMYFUNCTION("""COMPUTED_VALUE"""),"No")</f>
        <v>No</v>
      </c>
      <c r="AA1480" s="5"/>
      <c r="AB1480" s="5" t="str">
        <f ca="1">IFERROR(__xludf.DUMMYFUNCTION("""COMPUTED_VALUE"""),"No")</f>
        <v>No</v>
      </c>
      <c r="AC1480" s="5" t="str">
        <f ca="1">IFERROR(__xludf.DUMMYFUNCTION("""COMPUTED_VALUE"""),"No")</f>
        <v>No</v>
      </c>
      <c r="AD1480" s="5" t="str">
        <f ca="1">IFERROR(__xludf.DUMMYFUNCTION("""COMPUTED_VALUE"""),"No")</f>
        <v>No</v>
      </c>
      <c r="AE1480" s="5"/>
      <c r="AF1480" s="5" t="str">
        <f ca="1">IFERROR(__xludf.DUMMYFUNCTION("""COMPUTED_VALUE"""),"No")</f>
        <v>No</v>
      </c>
      <c r="AG1480" s="5" t="str">
        <f ca="1">IFERROR(__xludf.DUMMYFUNCTION("""COMPUTED_VALUE"""),"No")</f>
        <v>No</v>
      </c>
      <c r="AH1480" s="5" t="str">
        <f ca="1">IFERROR(__xludf.DUMMYFUNCTION("""COMPUTED_VALUE"""),"Yes")</f>
        <v>Yes</v>
      </c>
    </row>
    <row r="1481" spans="1:34" ht="12.75">
      <c r="A1481" s="5" t="str">
        <f ca="1">IFERROR(__xludf.DUMMYFUNCTION("""COMPUTED_VALUE"""),"19971201KYHEW")</f>
        <v>19971201KYHEW</v>
      </c>
      <c r="B1481" s="8">
        <f ca="1">IFERROR(__xludf.DUMMYFUNCTION("""COMPUTED_VALUE"""),35765)</f>
        <v>35765</v>
      </c>
      <c r="C1481" s="5" t="str">
        <f ca="1">IFERROR(__xludf.DUMMYFUNCTION("""COMPUTED_VALUE"""),"Heath High School")</f>
        <v>Heath High School</v>
      </c>
      <c r="D1481" s="5">
        <f ca="1">IFERROR(__xludf.DUMMYFUNCTION("""COMPUTED_VALUE"""),3)</f>
        <v>3</v>
      </c>
      <c r="E1481" s="5">
        <f ca="1">IFERROR(__xludf.DUMMYFUNCTION("""COMPUTED_VALUE"""),5)</f>
        <v>5</v>
      </c>
      <c r="F1481" s="5">
        <f ca="1">IFERROR(__xludf.DUMMYFUNCTION("""COMPUTED_VALUE"""),8)</f>
        <v>8</v>
      </c>
      <c r="G1481" s="5">
        <f ca="1">IFERROR(__xludf.DUMMYFUNCTION("""COMPUTED_VALUE"""),0)</f>
        <v>0</v>
      </c>
      <c r="H1481"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I1481" s="5"/>
      <c r="J1481" s="5" t="str">
        <f ca="1">IFERROR(__xludf.DUMMYFUNCTION("""COMPUTED_VALUE"""),"National")</f>
        <v>National</v>
      </c>
      <c r="K1481" s="5">
        <f ca="1">IFERROR(__xludf.DUMMYFUNCTION("""COMPUTED_VALUE"""),4)</f>
        <v>4</v>
      </c>
      <c r="L1481" s="5" t="str">
        <f ca="1">IFERROR(__xludf.DUMMYFUNCTION("""COMPUTED_VALUE"""),"Winter")</f>
        <v>Winter</v>
      </c>
      <c r="M1481" s="5" t="str">
        <f ca="1">IFERROR(__xludf.DUMMYFUNCTION("""COMPUTED_VALUE"""),"West Paducah")</f>
        <v>West Paducah</v>
      </c>
      <c r="N1481" s="5" t="str">
        <f ca="1">IFERROR(__xludf.DUMMYFUNCTION("""COMPUTED_VALUE"""),"KY")</f>
        <v>KY</v>
      </c>
      <c r="O1481" s="5" t="str">
        <f ca="1">IFERROR(__xludf.DUMMYFUNCTION("""COMPUTED_VALUE"""),"High")</f>
        <v>High</v>
      </c>
      <c r="P1481" s="5" t="str">
        <f ca="1">IFERROR(__xludf.DUMMYFUNCTION("""COMPUTED_VALUE"""),"Entryway")</f>
        <v>Entryway</v>
      </c>
      <c r="Q1481" s="5" t="str">
        <f ca="1">IFERROR(__xludf.DUMMYFUNCTION("""COMPUTED_VALUE"""),"Outside on School Property")</f>
        <v>Outside on School Property</v>
      </c>
      <c r="R1481" s="5" t="str">
        <f ca="1">IFERROR(__xludf.DUMMYFUNCTION("""COMPUTED_VALUE"""),"Yes")</f>
        <v>Yes</v>
      </c>
      <c r="S1481" s="5" t="str">
        <f ca="1">IFERROR(__xludf.DUMMYFUNCTION("""COMPUTED_VALUE"""),"Before School")</f>
        <v>Before School</v>
      </c>
      <c r="T1481" s="10">
        <f ca="1">IFERROR(__xludf.DUMMYFUNCTION("""COMPUTED_VALUE"""),0.322916666666666)</f>
        <v>0.32291666666666602</v>
      </c>
      <c r="U1481" s="5"/>
      <c r="V1481" s="5" t="str">
        <f ca="1">IFERROR(__xludf.DUMMYFUNCTION("""COMPUTED_VALUE"""),"Planned attack, fired at multiple students in front of school then sat down and surrendered")</f>
        <v>Planned attack, fired at multiple students in front of school then sat down and surrendered</v>
      </c>
      <c r="W1481"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X1481" s="5" t="str">
        <f ca="1">IFERROR(__xludf.DUMMYFUNCTION("""COMPUTED_VALUE"""),"Indiscriminate Shooting")</f>
        <v>Indiscriminate Shooting</v>
      </c>
      <c r="Y1481" s="5" t="str">
        <f ca="1">IFERROR(__xludf.DUMMYFUNCTION("""COMPUTED_VALUE"""),"Random Shooting")</f>
        <v>Random Shooting</v>
      </c>
      <c r="Z1481" s="5" t="str">
        <f ca="1">IFERROR(__xludf.DUMMYFUNCTION("""COMPUTED_VALUE"""),"No")</f>
        <v>No</v>
      </c>
      <c r="AA1481" s="5"/>
      <c r="AB1481" s="5" t="str">
        <f ca="1">IFERROR(__xludf.DUMMYFUNCTION("""COMPUTED_VALUE"""),"No")</f>
        <v>No</v>
      </c>
      <c r="AC1481" s="5" t="str">
        <f ca="1">IFERROR(__xludf.DUMMYFUNCTION("""COMPUTED_VALUE"""),"No")</f>
        <v>No</v>
      </c>
      <c r="AD1481" s="5" t="str">
        <f ca="1">IFERROR(__xludf.DUMMYFUNCTION("""COMPUTED_VALUE"""),"No")</f>
        <v>No</v>
      </c>
      <c r="AE1481" s="5" t="str">
        <f ca="1">IFERROR(__xludf.DUMMYFUNCTION("""COMPUTED_VALUE"""),"Yes")</f>
        <v>Yes</v>
      </c>
      <c r="AF1481" s="5" t="str">
        <f ca="1">IFERROR(__xludf.DUMMYFUNCTION("""COMPUTED_VALUE"""),"No")</f>
        <v>No</v>
      </c>
      <c r="AG1481" s="5" t="str">
        <f ca="1">IFERROR(__xludf.DUMMYFUNCTION("""COMPUTED_VALUE"""),"No")</f>
        <v>No</v>
      </c>
      <c r="AH1481" s="5" t="str">
        <f ca="1">IFERROR(__xludf.DUMMYFUNCTION("""COMPUTED_VALUE"""),"Yes")</f>
        <v>Yes</v>
      </c>
    </row>
    <row r="1482" spans="1:34" ht="12.75">
      <c r="A1482" s="5" t="str">
        <f ca="1">IFERROR(__xludf.DUMMYFUNCTION("""COMPUTED_VALUE"""),"19971113CACRS")</f>
        <v>19971113CACRS</v>
      </c>
      <c r="B1482" s="8">
        <f ca="1">IFERROR(__xludf.DUMMYFUNCTION("""COMPUTED_VALUE"""),35747)</f>
        <v>35747</v>
      </c>
      <c r="C1482" s="5" t="str">
        <f ca="1">IFERROR(__xludf.DUMMYFUNCTION("""COMPUTED_VALUE"""),"Creekside Elementary School")</f>
        <v>Creekside Elementary School</v>
      </c>
      <c r="D1482" s="5">
        <f ca="1">IFERROR(__xludf.DUMMYFUNCTION("""COMPUTED_VALUE"""),1)</f>
        <v>1</v>
      </c>
      <c r="E1482" s="5">
        <f ca="1">IFERROR(__xludf.DUMMYFUNCTION("""COMPUTED_VALUE"""),0)</f>
        <v>0</v>
      </c>
      <c r="F1482" s="5">
        <f ca="1">IFERROR(__xludf.DUMMYFUNCTION("""COMPUTED_VALUE"""),1)</f>
        <v>1</v>
      </c>
      <c r="G1482" s="5">
        <f ca="1">IFERROR(__xludf.DUMMYFUNCTION("""COMPUTED_VALUE"""),0)</f>
        <v>0</v>
      </c>
      <c r="H1482" s="9" t="str">
        <f ca="1">IFERROR(__xludf.DUMMYFUNCTION("""COMPUTED_VALUE"""),"https://www.apnews.com/4875a8815b27a22d306a61ab83a97d26")</f>
        <v>https://www.apnews.com/4875a8815b27a22d306a61ab83a97d26</v>
      </c>
      <c r="I1482" s="5"/>
      <c r="J1482" s="5"/>
      <c r="K1482" s="5">
        <f ca="1">IFERROR(__xludf.DUMMYFUNCTION("""COMPUTED_VALUE"""),2)</f>
        <v>2</v>
      </c>
      <c r="L1482" s="5" t="str">
        <f ca="1">IFERROR(__xludf.DUMMYFUNCTION("""COMPUTED_VALUE"""),"Fall")</f>
        <v>Fall</v>
      </c>
      <c r="M1482" s="5" t="str">
        <f ca="1">IFERROR(__xludf.DUMMYFUNCTION("""COMPUTED_VALUE"""),"Sacramento")</f>
        <v>Sacramento</v>
      </c>
      <c r="N1482" s="5" t="str">
        <f ca="1">IFERROR(__xludf.DUMMYFUNCTION("""COMPUTED_VALUE"""),"CA")</f>
        <v>CA</v>
      </c>
      <c r="O1482" s="5" t="str">
        <f ca="1">IFERROR(__xludf.DUMMYFUNCTION("""COMPUTED_VALUE"""),"Elementary")</f>
        <v>Elementary</v>
      </c>
      <c r="P1482" s="5" t="str">
        <f ca="1">IFERROR(__xludf.DUMMYFUNCTION("""COMPUTED_VALUE"""),"Parking Lot")</f>
        <v>Parking Lot</v>
      </c>
      <c r="Q1482" s="5" t="str">
        <f ca="1">IFERROR(__xludf.DUMMYFUNCTION("""COMPUTED_VALUE"""),"Outside on School Property")</f>
        <v>Outside on School Property</v>
      </c>
      <c r="R1482" s="5" t="str">
        <f ca="1">IFERROR(__xludf.DUMMYFUNCTION("""COMPUTED_VALUE"""),"Yes")</f>
        <v>Yes</v>
      </c>
      <c r="S1482" s="5" t="str">
        <f ca="1">IFERROR(__xludf.DUMMYFUNCTION("""COMPUTED_VALUE"""),"Dismissal")</f>
        <v>Dismissal</v>
      </c>
      <c r="T1482" s="5"/>
      <c r="U1482" s="5">
        <f ca="1">IFERROR(__xludf.DUMMYFUNCTION("""COMPUTED_VALUE"""),1)</f>
        <v>1</v>
      </c>
      <c r="V1482" s="5" t="str">
        <f ca="1">IFERROR(__xludf.DUMMYFUNCTION("""COMPUTED_VALUE"""),"Parent killed, related to custody battle with ex-wife")</f>
        <v>Parent killed, related to custody battle with ex-wife</v>
      </c>
      <c r="W1482"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X1482" s="5" t="str">
        <f ca="1">IFERROR(__xludf.DUMMYFUNCTION("""COMPUTED_VALUE"""),"Domestic w/ Targeted Victim")</f>
        <v>Domestic w/ Targeted Victim</v>
      </c>
      <c r="Y1482" s="5" t="str">
        <f ca="1">IFERROR(__xludf.DUMMYFUNCTION("""COMPUTED_VALUE"""),"Victims Targeted")</f>
        <v>Victims Targeted</v>
      </c>
      <c r="Z1482" s="5" t="str">
        <f ca="1">IFERROR(__xludf.DUMMYFUNCTION("""COMPUTED_VALUE"""),"Unknown")</f>
        <v>Unknown</v>
      </c>
      <c r="AA1482" s="5"/>
      <c r="AB1482" s="5" t="str">
        <f ca="1">IFERROR(__xludf.DUMMYFUNCTION("""COMPUTED_VALUE"""),"Yes")</f>
        <v>Yes</v>
      </c>
      <c r="AC1482" s="5" t="str">
        <f ca="1">IFERROR(__xludf.DUMMYFUNCTION("""COMPUTED_VALUE"""),"No")</f>
        <v>No</v>
      </c>
      <c r="AD1482" s="5" t="str">
        <f ca="1">IFERROR(__xludf.DUMMYFUNCTION("""COMPUTED_VALUE"""),"No")</f>
        <v>No</v>
      </c>
      <c r="AE1482" s="5" t="str">
        <f ca="1">IFERROR(__xludf.DUMMYFUNCTION("""COMPUTED_VALUE"""),"No")</f>
        <v>No</v>
      </c>
      <c r="AF1482" s="5" t="str">
        <f ca="1">IFERROR(__xludf.DUMMYFUNCTION("""COMPUTED_VALUE"""),"Yes")</f>
        <v>Yes</v>
      </c>
      <c r="AG1482" s="5" t="str">
        <f ca="1">IFERROR(__xludf.DUMMYFUNCTION("""COMPUTED_VALUE"""),"No")</f>
        <v>No</v>
      </c>
      <c r="AH1482" s="5"/>
    </row>
    <row r="1483" spans="1:34" ht="12.75">
      <c r="A1483" s="5" t="str">
        <f ca="1">IFERROR(__xludf.DUMMYFUNCTION("""COMPUTED_VALUE"""),"19971107FLRIJ")</f>
        <v>19971107FLRIJ</v>
      </c>
      <c r="B1483" s="8">
        <f ca="1">IFERROR(__xludf.DUMMYFUNCTION("""COMPUTED_VALUE"""),35741)</f>
        <v>35741</v>
      </c>
      <c r="C1483" s="5" t="str">
        <f ca="1">IFERROR(__xludf.DUMMYFUNCTION("""COMPUTED_VALUE"""),"Ribault High School")</f>
        <v>Ribault High School</v>
      </c>
      <c r="D1483" s="5">
        <f ca="1">IFERROR(__xludf.DUMMYFUNCTION("""COMPUTED_VALUE"""),1)</f>
        <v>1</v>
      </c>
      <c r="E1483" s="5">
        <f ca="1">IFERROR(__xludf.DUMMYFUNCTION("""COMPUTED_VALUE"""),1)</f>
        <v>1</v>
      </c>
      <c r="F1483" s="5">
        <f ca="1">IFERROR(__xludf.DUMMYFUNCTION("""COMPUTED_VALUE"""),2)</f>
        <v>2</v>
      </c>
      <c r="G1483" s="5">
        <f ca="1">IFERROR(__xludf.DUMMYFUNCTION("""COMPUTED_VALUE"""),0)</f>
        <v>0</v>
      </c>
      <c r="H1483" s="9" t="str">
        <f ca="1">IFERROR(__xludf.DUMMYFUNCTION("""COMPUTED_VALUE"""),"https://www.questia.com/newspaper/1G1-57464504/two-students-shot-1-dead-teens-attacked-near-ribault")</f>
        <v>https://www.questia.com/newspaper/1G1-57464504/two-students-shot-1-dead-teens-attacked-near-ribault</v>
      </c>
      <c r="I1483" s="5"/>
      <c r="J1483" s="5"/>
      <c r="K1483" s="5">
        <f ca="1">IFERROR(__xludf.DUMMYFUNCTION("""COMPUTED_VALUE"""),2)</f>
        <v>2</v>
      </c>
      <c r="L1483" s="5" t="str">
        <f ca="1">IFERROR(__xludf.DUMMYFUNCTION("""COMPUTED_VALUE"""),"Fall")</f>
        <v>Fall</v>
      </c>
      <c r="M1483" s="5" t="str">
        <f ca="1">IFERROR(__xludf.DUMMYFUNCTION("""COMPUTED_VALUE"""),"Jacksonville")</f>
        <v>Jacksonville</v>
      </c>
      <c r="N1483" s="5" t="str">
        <f ca="1">IFERROR(__xludf.DUMMYFUNCTION("""COMPUTED_VALUE"""),"FL")</f>
        <v>FL</v>
      </c>
      <c r="O1483" s="5" t="str">
        <f ca="1">IFERROR(__xludf.DUMMYFUNCTION("""COMPUTED_VALUE"""),"High")</f>
        <v>High</v>
      </c>
      <c r="P1483" s="5" t="str">
        <f ca="1">IFERROR(__xludf.DUMMYFUNCTION("""COMPUTED_VALUE"""),"Beside Building")</f>
        <v>Beside Building</v>
      </c>
      <c r="Q1483" s="5" t="str">
        <f ca="1">IFERROR(__xludf.DUMMYFUNCTION("""COMPUTED_VALUE"""),"Outside on School Property")</f>
        <v>Outside on School Property</v>
      </c>
      <c r="R1483" s="5" t="str">
        <f ca="1">IFERROR(__xludf.DUMMYFUNCTION("""COMPUTED_VALUE"""),"Yes")</f>
        <v>Yes</v>
      </c>
      <c r="S1483" s="5" t="str">
        <f ca="1">IFERROR(__xludf.DUMMYFUNCTION("""COMPUTED_VALUE"""),"School Start")</f>
        <v>School Start</v>
      </c>
      <c r="T1483" s="10">
        <f ca="1">IFERROR(__xludf.DUMMYFUNCTION("""COMPUTED_VALUE"""),0.347222222222222)</f>
        <v>0.34722222222222199</v>
      </c>
      <c r="U1483" s="5">
        <f ca="1">IFERROR(__xludf.DUMMYFUNCTION("""COMPUTED_VALUE"""),1)</f>
        <v>1</v>
      </c>
      <c r="V1483" s="5" t="str">
        <f ca="1">IFERROR(__xludf.DUMMYFUNCTION("""COMPUTED_VALUE"""),"Two students chased and shot")</f>
        <v>Two students chased and shot</v>
      </c>
      <c r="W1483"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X1483" s="5" t="str">
        <f ca="1">IFERROR(__xludf.DUMMYFUNCTION("""COMPUTED_VALUE"""),"Escalation of Dispute")</f>
        <v>Escalation of Dispute</v>
      </c>
      <c r="Y1483" s="5" t="str">
        <f ca="1">IFERROR(__xludf.DUMMYFUNCTION("""COMPUTED_VALUE"""),"Victims Targeted")</f>
        <v>Victims Targeted</v>
      </c>
      <c r="Z1483" s="5" t="str">
        <f ca="1">IFERROR(__xludf.DUMMYFUNCTION("""COMPUTED_VALUE"""),"No")</f>
        <v>No</v>
      </c>
      <c r="AA1483" s="5"/>
      <c r="AB1483" s="5" t="str">
        <f ca="1">IFERROR(__xludf.DUMMYFUNCTION("""COMPUTED_VALUE"""),"No")</f>
        <v>No</v>
      </c>
      <c r="AC1483" s="5" t="str">
        <f ca="1">IFERROR(__xludf.DUMMYFUNCTION("""COMPUTED_VALUE"""),"No")</f>
        <v>No</v>
      </c>
      <c r="AD1483" s="5" t="str">
        <f ca="1">IFERROR(__xludf.DUMMYFUNCTION("""COMPUTED_VALUE"""),"No")</f>
        <v>No</v>
      </c>
      <c r="AE1483" s="5" t="str">
        <f ca="1">IFERROR(__xludf.DUMMYFUNCTION("""COMPUTED_VALUE"""),"No")</f>
        <v>No</v>
      </c>
      <c r="AF1483" s="5" t="str">
        <f ca="1">IFERROR(__xludf.DUMMYFUNCTION("""COMPUTED_VALUE"""),"No")</f>
        <v>No</v>
      </c>
      <c r="AG1483" s="5" t="str">
        <f ca="1">IFERROR(__xludf.DUMMYFUNCTION("""COMPUTED_VALUE"""),"No")</f>
        <v>No</v>
      </c>
      <c r="AH1483" s="5"/>
    </row>
    <row r="1484" spans="1:34" ht="12.75">
      <c r="A1484" s="5" t="str">
        <f ca="1">IFERROR(__xludf.DUMMYFUNCTION("""COMPUTED_VALUE"""),"19971022CAJON")</f>
        <v>19971022CAJON</v>
      </c>
      <c r="B1484" s="8">
        <f ca="1">IFERROR(__xludf.DUMMYFUNCTION("""COMPUTED_VALUE"""),35725)</f>
        <v>35725</v>
      </c>
      <c r="C1484" s="5" t="str">
        <f ca="1">IFERROR(__xludf.DUMMYFUNCTION("""COMPUTED_VALUE"""),"John Glenn High School")</f>
        <v>John Glenn High School</v>
      </c>
      <c r="D1484" s="5">
        <f ca="1">IFERROR(__xludf.DUMMYFUNCTION("""COMPUTED_VALUE"""),1)</f>
        <v>1</v>
      </c>
      <c r="E1484" s="5">
        <f ca="1">IFERROR(__xludf.DUMMYFUNCTION("""COMPUTED_VALUE"""),0)</f>
        <v>0</v>
      </c>
      <c r="F1484" s="5">
        <f ca="1">IFERROR(__xludf.DUMMYFUNCTION("""COMPUTED_VALUE"""),1)</f>
        <v>1</v>
      </c>
      <c r="G1484" s="5">
        <f ca="1">IFERROR(__xludf.DUMMYFUNCTION("""COMPUTED_VALUE"""),1)</f>
        <v>1</v>
      </c>
      <c r="H1484" s="5" t="str">
        <f ca="1">IFERROR(__xludf.DUMMYFUNCTION("""COMPUTED_VALUE"""),"http://articles.latimes.com/1997/oct/23/news/mn-45878 http://www.columbine-angels.com/School_Violence_1997-1998.htm")</f>
        <v>http://articles.latimes.com/1997/oct/23/news/mn-45878 http://www.columbine-angels.com/School_Violence_1997-1998.htm</v>
      </c>
      <c r="I1484" s="5"/>
      <c r="J1484" s="5"/>
      <c r="K1484" s="5">
        <f ca="1">IFERROR(__xludf.DUMMYFUNCTION("""COMPUTED_VALUE"""),2)</f>
        <v>2</v>
      </c>
      <c r="L1484" s="5" t="str">
        <f ca="1">IFERROR(__xludf.DUMMYFUNCTION("""COMPUTED_VALUE"""),"Fall")</f>
        <v>Fall</v>
      </c>
      <c r="M1484" s="5" t="str">
        <f ca="1">IFERROR(__xludf.DUMMYFUNCTION("""COMPUTED_VALUE"""),"Norwalk")</f>
        <v>Norwalk</v>
      </c>
      <c r="N1484" s="5" t="str">
        <f ca="1">IFERROR(__xludf.DUMMYFUNCTION("""COMPUTED_VALUE"""),"CA")</f>
        <v>CA</v>
      </c>
      <c r="O1484" s="5" t="str">
        <f ca="1">IFERROR(__xludf.DUMMYFUNCTION("""COMPUTED_VALUE"""),"High")</f>
        <v>High</v>
      </c>
      <c r="P1484" s="5" t="str">
        <f ca="1">IFERROR(__xludf.DUMMYFUNCTION("""COMPUTED_VALUE"""),"Outside on School Property")</f>
        <v>Outside on School Property</v>
      </c>
      <c r="Q1484" s="5" t="str">
        <f ca="1">IFERROR(__xludf.DUMMYFUNCTION("""COMPUTED_VALUE"""),"Outside on School Property")</f>
        <v>Outside on School Property</v>
      </c>
      <c r="R1484" s="5" t="str">
        <f ca="1">IFERROR(__xludf.DUMMYFUNCTION("""COMPUTED_VALUE"""),"Yes")</f>
        <v>Yes</v>
      </c>
      <c r="S1484" s="5" t="str">
        <f ca="1">IFERROR(__xludf.DUMMYFUNCTION("""COMPUTED_VALUE"""),"School Start")</f>
        <v>School Start</v>
      </c>
      <c r="T1484" s="10">
        <f ca="1">IFERROR(__xludf.DUMMYFUNCTION("""COMPUTED_VALUE"""),0.322916666666666)</f>
        <v>0.32291666666666602</v>
      </c>
      <c r="U1484" s="5">
        <f ca="1">IFERROR(__xludf.DUMMYFUNCTION("""COMPUTED_VALUE"""),1)</f>
        <v>1</v>
      </c>
      <c r="V1484" s="5" t="str">
        <f ca="1">IFERROR(__xludf.DUMMYFUNCTION("""COMPUTED_VALUE"""),"Killed ex-girlfriend and self at school")</f>
        <v>Killed ex-girlfriend and self at school</v>
      </c>
      <c r="W1484"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X1484" s="5" t="str">
        <f ca="1">IFERROR(__xludf.DUMMYFUNCTION("""COMPUTED_VALUE"""),"Murder/Suicide")</f>
        <v>Murder/Suicide</v>
      </c>
      <c r="Y1484" s="5" t="str">
        <f ca="1">IFERROR(__xludf.DUMMYFUNCTION("""COMPUTED_VALUE"""),"Victims Targeted")</f>
        <v>Victims Targeted</v>
      </c>
      <c r="Z1484" s="5" t="str">
        <f ca="1">IFERROR(__xludf.DUMMYFUNCTION("""COMPUTED_VALUE"""),"No")</f>
        <v>No</v>
      </c>
      <c r="AA1484" s="5"/>
      <c r="AB1484" s="5" t="str">
        <f ca="1">IFERROR(__xludf.DUMMYFUNCTION("""COMPUTED_VALUE"""),"No")</f>
        <v>No</v>
      </c>
      <c r="AC1484" s="5" t="str">
        <f ca="1">IFERROR(__xludf.DUMMYFUNCTION("""COMPUTED_VALUE"""),"No")</f>
        <v>No</v>
      </c>
      <c r="AD1484" s="5" t="str">
        <f ca="1">IFERROR(__xludf.DUMMYFUNCTION("""COMPUTED_VALUE"""),"No")</f>
        <v>No</v>
      </c>
      <c r="AE1484" s="5" t="str">
        <f ca="1">IFERROR(__xludf.DUMMYFUNCTION("""COMPUTED_VALUE"""),"No")</f>
        <v>No</v>
      </c>
      <c r="AF1484" s="5" t="str">
        <f ca="1">IFERROR(__xludf.DUMMYFUNCTION("""COMPUTED_VALUE"""),"Yes")</f>
        <v>Yes</v>
      </c>
      <c r="AG1484" s="5" t="str">
        <f ca="1">IFERROR(__xludf.DUMMYFUNCTION("""COMPUTED_VALUE"""),"No")</f>
        <v>No</v>
      </c>
      <c r="AH1484" s="5"/>
    </row>
    <row r="1485" spans="1:34" ht="12.75">
      <c r="A1485" s="5" t="str">
        <f ca="1">IFERROR(__xludf.DUMMYFUNCTION("""COMPUTED_VALUE"""),"19971020CAMCO")</f>
        <v>19971020CAMCO</v>
      </c>
      <c r="B1485" s="8">
        <f ca="1">IFERROR(__xludf.DUMMYFUNCTION("""COMPUTED_VALUE"""),35723)</f>
        <v>35723</v>
      </c>
      <c r="C1485" s="5" t="str">
        <f ca="1">IFERROR(__xludf.DUMMYFUNCTION("""COMPUTED_VALUE"""),"McClymonds High School")</f>
        <v>McClymonds High School</v>
      </c>
      <c r="D1485" s="5">
        <f ca="1">IFERROR(__xludf.DUMMYFUNCTION("""COMPUTED_VALUE"""),1)</f>
        <v>1</v>
      </c>
      <c r="E1485" s="5">
        <f ca="1">IFERROR(__xludf.DUMMYFUNCTION("""COMPUTED_VALUE"""),2)</f>
        <v>2</v>
      </c>
      <c r="F1485" s="5">
        <f ca="1">IFERROR(__xludf.DUMMYFUNCTION("""COMPUTED_VALUE"""),3)</f>
        <v>3</v>
      </c>
      <c r="G1485" s="5">
        <f ca="1">IFERROR(__xludf.DUMMYFUNCTION("""COMPUTED_VALUE"""),0)</f>
        <v>0</v>
      </c>
      <c r="H1485"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I1485" s="5"/>
      <c r="J1485" s="5"/>
      <c r="K1485" s="5">
        <f ca="1">IFERROR(__xludf.DUMMYFUNCTION("""COMPUTED_VALUE"""),3)</f>
        <v>3</v>
      </c>
      <c r="L1485" s="5" t="str">
        <f ca="1">IFERROR(__xludf.DUMMYFUNCTION("""COMPUTED_VALUE"""),"Fall")</f>
        <v>Fall</v>
      </c>
      <c r="M1485" s="5" t="str">
        <f ca="1">IFERROR(__xludf.DUMMYFUNCTION("""COMPUTED_VALUE"""),"Oakland")</f>
        <v>Oakland</v>
      </c>
      <c r="N1485" s="5" t="str">
        <f ca="1">IFERROR(__xludf.DUMMYFUNCTION("""COMPUTED_VALUE"""),"CA")</f>
        <v>CA</v>
      </c>
      <c r="O1485" s="5" t="str">
        <f ca="1">IFERROR(__xludf.DUMMYFUNCTION("""COMPUTED_VALUE"""),"High")</f>
        <v>High</v>
      </c>
      <c r="P1485" s="5" t="str">
        <f ca="1">IFERROR(__xludf.DUMMYFUNCTION("""COMPUTED_VALUE"""),"Parking Lot")</f>
        <v>Parking Lot</v>
      </c>
      <c r="Q1485" s="5" t="str">
        <f ca="1">IFERROR(__xludf.DUMMYFUNCTION("""COMPUTED_VALUE"""),"Outside on School Property")</f>
        <v>Outside on School Property</v>
      </c>
      <c r="R1485" s="5" t="str">
        <f ca="1">IFERROR(__xludf.DUMMYFUNCTION("""COMPUTED_VALUE"""),"No")</f>
        <v>No</v>
      </c>
      <c r="S1485" s="5" t="str">
        <f ca="1">IFERROR(__xludf.DUMMYFUNCTION("""COMPUTED_VALUE"""),"Evening")</f>
        <v>Evening</v>
      </c>
      <c r="T1485" s="10">
        <f ca="1">IFERROR(__xludf.DUMMYFUNCTION("""COMPUTED_VALUE"""),0.833333333333333)</f>
        <v>0.83333333333333304</v>
      </c>
      <c r="U1485" s="5">
        <f ca="1">IFERROR(__xludf.DUMMYFUNCTION("""COMPUTED_VALUE"""),1)</f>
        <v>1</v>
      </c>
      <c r="V1485" s="5" t="str">
        <f ca="1">IFERROR(__xludf.DUMMYFUNCTION("""COMPUTED_VALUE"""),"2 students shot in vehicle outside of school")</f>
        <v>2 students shot in vehicle outside of school</v>
      </c>
      <c r="W1485"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X1485" s="5" t="str">
        <f ca="1">IFERROR(__xludf.DUMMYFUNCTION("""COMPUTED_VALUE"""),"Escalation of Dispute")</f>
        <v>Escalation of Dispute</v>
      </c>
      <c r="Y1485" s="5" t="str">
        <f ca="1">IFERROR(__xludf.DUMMYFUNCTION("""COMPUTED_VALUE"""),"Victims Targeted")</f>
        <v>Victims Targeted</v>
      </c>
      <c r="Z1485" s="5" t="str">
        <f ca="1">IFERROR(__xludf.DUMMYFUNCTION("""COMPUTED_VALUE"""),"Unknown")</f>
        <v>Unknown</v>
      </c>
      <c r="AA1485" s="5"/>
      <c r="AB1485" s="5" t="str">
        <f ca="1">IFERROR(__xludf.DUMMYFUNCTION("""COMPUTED_VALUE"""),"No")</f>
        <v>No</v>
      </c>
      <c r="AC1485" s="5" t="str">
        <f ca="1">IFERROR(__xludf.DUMMYFUNCTION("""COMPUTED_VALUE"""),"No")</f>
        <v>No</v>
      </c>
      <c r="AD1485" s="5" t="str">
        <f ca="1">IFERROR(__xludf.DUMMYFUNCTION("""COMPUTED_VALUE"""),"No")</f>
        <v>No</v>
      </c>
      <c r="AE1485" s="5" t="str">
        <f ca="1">IFERROR(__xludf.DUMMYFUNCTION("""COMPUTED_VALUE"""),"No")</f>
        <v>No</v>
      </c>
      <c r="AF1485" s="5"/>
      <c r="AG1485" s="5" t="str">
        <f ca="1">IFERROR(__xludf.DUMMYFUNCTION("""COMPUTED_VALUE"""),"No")</f>
        <v>No</v>
      </c>
      <c r="AH1485" s="5"/>
    </row>
    <row r="1486" spans="1:34" ht="12.75">
      <c r="A1486" s="5" t="str">
        <f ca="1">IFERROR(__xludf.DUMMYFUNCTION("""COMPUTED_VALUE"""),"19971015FLLIP")</f>
        <v>19971015FLLIP</v>
      </c>
      <c r="B1486" s="8">
        <f ca="1">IFERROR(__xludf.DUMMYFUNCTION("""COMPUTED_VALUE"""),35718)</f>
        <v>35718</v>
      </c>
      <c r="C1486" s="5" t="str">
        <f ca="1">IFERROR(__xludf.DUMMYFUNCTION("""COMPUTED_VALUE"""),"Lincoln Middle School")</f>
        <v>Lincoln Middle School</v>
      </c>
      <c r="D1486" s="5">
        <f ca="1">IFERROR(__xludf.DUMMYFUNCTION("""COMPUTED_VALUE"""),0)</f>
        <v>0</v>
      </c>
      <c r="E1486" s="5">
        <f ca="1">IFERROR(__xludf.DUMMYFUNCTION("""COMPUTED_VALUE"""),1)</f>
        <v>1</v>
      </c>
      <c r="F1486" s="5">
        <f ca="1">IFERROR(__xludf.DUMMYFUNCTION("""COMPUTED_VALUE"""),1)</f>
        <v>1</v>
      </c>
      <c r="G1486" s="5">
        <f ca="1">IFERROR(__xludf.DUMMYFUNCTION("""COMPUTED_VALUE"""),0)</f>
        <v>0</v>
      </c>
      <c r="H1486" s="5"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I1486" s="5"/>
      <c r="J1486" s="5"/>
      <c r="K1486" s="5">
        <f ca="1">IFERROR(__xludf.DUMMYFUNCTION("""COMPUTED_VALUE"""),2)</f>
        <v>2</v>
      </c>
      <c r="L1486" s="5" t="str">
        <f ca="1">IFERROR(__xludf.DUMMYFUNCTION("""COMPUTED_VALUE"""),"Fall")</f>
        <v>Fall</v>
      </c>
      <c r="M1486" s="5" t="str">
        <f ca="1">IFERROR(__xludf.DUMMYFUNCTION("""COMPUTED_VALUE"""),"Palmetto")</f>
        <v>Palmetto</v>
      </c>
      <c r="N1486" s="5" t="str">
        <f ca="1">IFERROR(__xludf.DUMMYFUNCTION("""COMPUTED_VALUE"""),"FL")</f>
        <v>FL</v>
      </c>
      <c r="O1486" s="5" t="str">
        <f ca="1">IFERROR(__xludf.DUMMYFUNCTION("""COMPUTED_VALUE"""),"Middle")</f>
        <v>Middle</v>
      </c>
      <c r="P1486" s="5" t="str">
        <f ca="1">IFERROR(__xludf.DUMMYFUNCTION("""COMPUTED_VALUE"""),"Outside on School Property")</f>
        <v>Outside on School Property</v>
      </c>
      <c r="Q1486" s="5" t="str">
        <f ca="1">IFERROR(__xludf.DUMMYFUNCTION("""COMPUTED_VALUE"""),"Outside on School Property")</f>
        <v>Outside on School Property</v>
      </c>
      <c r="R1486" s="5" t="str">
        <f ca="1">IFERROR(__xludf.DUMMYFUNCTION("""COMPUTED_VALUE"""),"Yes")</f>
        <v>Yes</v>
      </c>
      <c r="S1486" s="5" t="str">
        <f ca="1">IFERROR(__xludf.DUMMYFUNCTION("""COMPUTED_VALUE"""),"Unknown")</f>
        <v>Unknown</v>
      </c>
      <c r="T1486" s="5"/>
      <c r="U1486" s="5">
        <f ca="1">IFERROR(__xludf.DUMMYFUNCTION("""COMPUTED_VALUE"""),1)</f>
        <v>1</v>
      </c>
      <c r="V1486" s="5" t="str">
        <f ca="1">IFERROR(__xludf.DUMMYFUNCTION("""COMPUTED_VALUE"""),"Shots fired during fight")</f>
        <v>Shots fired during fight</v>
      </c>
      <c r="W1486"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X1486" s="5" t="str">
        <f ca="1">IFERROR(__xludf.DUMMYFUNCTION("""COMPUTED_VALUE"""),"Escalation of Dispute")</f>
        <v>Escalation of Dispute</v>
      </c>
      <c r="Y1486" s="5"/>
      <c r="Z1486" s="5" t="str">
        <f ca="1">IFERROR(__xludf.DUMMYFUNCTION("""COMPUTED_VALUE"""),"No")</f>
        <v>No</v>
      </c>
      <c r="AA1486" s="5"/>
      <c r="AB1486" s="5" t="str">
        <f ca="1">IFERROR(__xludf.DUMMYFUNCTION("""COMPUTED_VALUE"""),"No")</f>
        <v>No</v>
      </c>
      <c r="AC1486" s="5" t="str">
        <f ca="1">IFERROR(__xludf.DUMMYFUNCTION("""COMPUTED_VALUE"""),"No")</f>
        <v>No</v>
      </c>
      <c r="AD1486" s="5" t="str">
        <f ca="1">IFERROR(__xludf.DUMMYFUNCTION("""COMPUTED_VALUE"""),"No")</f>
        <v>No</v>
      </c>
      <c r="AE1486" s="5"/>
      <c r="AF1486" s="5" t="str">
        <f ca="1">IFERROR(__xludf.DUMMYFUNCTION("""COMPUTED_VALUE"""),"No")</f>
        <v>No</v>
      </c>
      <c r="AG1486" s="5" t="str">
        <f ca="1">IFERROR(__xludf.DUMMYFUNCTION("""COMPUTED_VALUE"""),"No")</f>
        <v>No</v>
      </c>
      <c r="AH1486" s="5"/>
    </row>
    <row r="1487" spans="1:34" ht="12.75">
      <c r="A1487" s="5" t="str">
        <f ca="1">IFERROR(__xludf.DUMMYFUNCTION("""COMPUTED_VALUE"""),"19971014TXLAG")</f>
        <v>19971014TXLAG</v>
      </c>
      <c r="B1487" s="8">
        <f ca="1">IFERROR(__xludf.DUMMYFUNCTION("""COMPUTED_VALUE"""),35717)</f>
        <v>35717</v>
      </c>
      <c r="C1487" s="5" t="str">
        <f ca="1">IFERROR(__xludf.DUMMYFUNCTION("""COMPUTED_VALUE"""),"Lakeview Centennial High School")</f>
        <v>Lakeview Centennial High School</v>
      </c>
      <c r="D1487" s="5">
        <f ca="1">IFERROR(__xludf.DUMMYFUNCTION("""COMPUTED_VALUE"""),0)</f>
        <v>0</v>
      </c>
      <c r="E1487" s="5">
        <f ca="1">IFERROR(__xludf.DUMMYFUNCTION("""COMPUTED_VALUE"""),0)</f>
        <v>0</v>
      </c>
      <c r="F1487" s="5">
        <f ca="1">IFERROR(__xludf.DUMMYFUNCTION("""COMPUTED_VALUE"""),0)</f>
        <v>0</v>
      </c>
      <c r="G1487" s="5">
        <f ca="1">IFERROR(__xludf.DUMMYFUNCTION("""COMPUTED_VALUE"""),1)</f>
        <v>1</v>
      </c>
      <c r="H1487" s="9" t="str">
        <f ca="1">IFERROR(__xludf.DUMMYFUNCTION("""COMPUTED_VALUE"""),"https://ssristories.org/21-year-old-woman-shoots-herself/")</f>
        <v>https://ssristories.org/21-year-old-woman-shoots-herself/</v>
      </c>
      <c r="I1487" s="5"/>
      <c r="J1487" s="5"/>
      <c r="K1487" s="5">
        <f ca="1">IFERROR(__xludf.DUMMYFUNCTION("""COMPUTED_VALUE"""),1)</f>
        <v>1</v>
      </c>
      <c r="L1487" s="5" t="str">
        <f ca="1">IFERROR(__xludf.DUMMYFUNCTION("""COMPUTED_VALUE"""),"Fall")</f>
        <v>Fall</v>
      </c>
      <c r="M1487" s="5" t="str">
        <f ca="1">IFERROR(__xludf.DUMMYFUNCTION("""COMPUTED_VALUE"""),"Garland")</f>
        <v>Garland</v>
      </c>
      <c r="N1487" s="5" t="str">
        <f ca="1">IFERROR(__xludf.DUMMYFUNCTION("""COMPUTED_VALUE"""),"TX")</f>
        <v>TX</v>
      </c>
      <c r="O1487" s="5" t="str">
        <f ca="1">IFERROR(__xludf.DUMMYFUNCTION("""COMPUTED_VALUE"""),"High")</f>
        <v>High</v>
      </c>
      <c r="P1487" s="5" t="str">
        <f ca="1">IFERROR(__xludf.DUMMYFUNCTION("""COMPUTED_VALUE"""),"Bathroom")</f>
        <v>Bathroom</v>
      </c>
      <c r="Q1487" s="5" t="str">
        <f ca="1">IFERROR(__xludf.DUMMYFUNCTION("""COMPUTED_VALUE"""),"Inside School Building")</f>
        <v>Inside School Building</v>
      </c>
      <c r="R1487" s="5" t="str">
        <f ca="1">IFERROR(__xludf.DUMMYFUNCTION("""COMPUTED_VALUE"""),"Yes")</f>
        <v>Yes</v>
      </c>
      <c r="S1487" s="5"/>
      <c r="T1487" s="5"/>
      <c r="U1487" s="5">
        <f ca="1">IFERROR(__xludf.DUMMYFUNCTION("""COMPUTED_VALUE"""),1)</f>
        <v>1</v>
      </c>
      <c r="V1487" s="5" t="str">
        <f ca="1">IFERROR(__xludf.DUMMYFUNCTION("""COMPUTED_VALUE"""),"Shot self in school bathroom")</f>
        <v>Shot self in school bathroom</v>
      </c>
      <c r="W1487" s="5" t="str">
        <f ca="1">IFERROR(__xludf.DUMMYFUNCTION("""COMPUTED_VALUE"""),"19 year-old male committed suicide in school bathroom")</f>
        <v>19 year-old male committed suicide in school bathroom</v>
      </c>
      <c r="X1487" s="5" t="str">
        <f ca="1">IFERROR(__xludf.DUMMYFUNCTION("""COMPUTED_VALUE"""),"Suicide/Attempted")</f>
        <v>Suicide/Attempted</v>
      </c>
      <c r="Y1487" s="5" t="str">
        <f ca="1">IFERROR(__xludf.DUMMYFUNCTION("""COMPUTED_VALUE"""),"Victims Targeted")</f>
        <v>Victims Targeted</v>
      </c>
      <c r="Z1487" s="5" t="str">
        <f ca="1">IFERROR(__xludf.DUMMYFUNCTION("""COMPUTED_VALUE"""),"No")</f>
        <v>No</v>
      </c>
      <c r="AA1487" s="5"/>
      <c r="AB1487" s="5" t="str">
        <f ca="1">IFERROR(__xludf.DUMMYFUNCTION("""COMPUTED_VALUE"""),"No")</f>
        <v>No</v>
      </c>
      <c r="AC1487" s="5" t="str">
        <f ca="1">IFERROR(__xludf.DUMMYFUNCTION("""COMPUTED_VALUE"""),"No")</f>
        <v>No</v>
      </c>
      <c r="AD1487" s="5" t="str">
        <f ca="1">IFERROR(__xludf.DUMMYFUNCTION("""COMPUTED_VALUE"""),"No")</f>
        <v>No</v>
      </c>
      <c r="AE1487" s="5" t="str">
        <f ca="1">IFERROR(__xludf.DUMMYFUNCTION("""COMPUTED_VALUE"""),"No")</f>
        <v>No</v>
      </c>
      <c r="AF1487" s="5" t="str">
        <f ca="1">IFERROR(__xludf.DUMMYFUNCTION("""COMPUTED_VALUE"""),"No")</f>
        <v>No</v>
      </c>
      <c r="AG1487" s="5" t="str">
        <f ca="1">IFERROR(__xludf.DUMMYFUNCTION("""COMPUTED_VALUE"""),"No")</f>
        <v>No</v>
      </c>
      <c r="AH1487" s="5"/>
    </row>
    <row r="1488" spans="1:34" ht="12.75">
      <c r="A1488" s="5" t="str">
        <f ca="1">IFERROR(__xludf.DUMMYFUNCTION("""COMPUTED_VALUE"""),"19971010INWAG")</f>
        <v>19971010INWAG</v>
      </c>
      <c r="B1488" s="8">
        <f ca="1">IFERROR(__xludf.DUMMYFUNCTION("""COMPUTED_VALUE"""),35713)</f>
        <v>35713</v>
      </c>
      <c r="C1488" s="5" t="str">
        <f ca="1">IFERROR(__xludf.DUMMYFUNCTION("""COMPUTED_VALUE"""),"Wallace High School")</f>
        <v>Wallace High School</v>
      </c>
      <c r="D1488" s="5">
        <f ca="1">IFERROR(__xludf.DUMMYFUNCTION("""COMPUTED_VALUE"""),1)</f>
        <v>1</v>
      </c>
      <c r="E1488" s="5">
        <f ca="1">IFERROR(__xludf.DUMMYFUNCTION("""COMPUTED_VALUE"""),2)</f>
        <v>2</v>
      </c>
      <c r="F1488" s="5">
        <f ca="1">IFERROR(__xludf.DUMMYFUNCTION("""COMPUTED_VALUE"""),3)</f>
        <v>3</v>
      </c>
      <c r="G1488" s="5">
        <f ca="1">IFERROR(__xludf.DUMMYFUNCTION("""COMPUTED_VALUE"""),0)</f>
        <v>0</v>
      </c>
      <c r="H1488" s="9" t="str">
        <f ca="1">IFERROR(__xludf.DUMMYFUNCTION("""COMPUTED_VALUE"""),"http://articles.chicagotribune.com/1997-10-12/news/9710120311_1_fatal-shooting-wallace-high-school-police")</f>
        <v>http://articles.chicagotribune.com/1997-10-12/news/9710120311_1_fatal-shooting-wallace-high-school-police</v>
      </c>
      <c r="I1488" s="5"/>
      <c r="J1488" s="5"/>
      <c r="K1488" s="5">
        <f ca="1">IFERROR(__xludf.DUMMYFUNCTION("""COMPUTED_VALUE"""),2)</f>
        <v>2</v>
      </c>
      <c r="L1488" s="5" t="str">
        <f ca="1">IFERROR(__xludf.DUMMYFUNCTION("""COMPUTED_VALUE"""),"Fall")</f>
        <v>Fall</v>
      </c>
      <c r="M1488" s="5" t="str">
        <f ca="1">IFERROR(__xludf.DUMMYFUNCTION("""COMPUTED_VALUE"""),"Gary")</f>
        <v>Gary</v>
      </c>
      <c r="N1488" s="5" t="str">
        <f ca="1">IFERROR(__xludf.DUMMYFUNCTION("""COMPUTED_VALUE"""),"IN")</f>
        <v>IN</v>
      </c>
      <c r="O1488" s="5" t="str">
        <f ca="1">IFERROR(__xludf.DUMMYFUNCTION("""COMPUTED_VALUE"""),"High")</f>
        <v>High</v>
      </c>
      <c r="P1488" s="5" t="str">
        <f ca="1">IFERROR(__xludf.DUMMYFUNCTION("""COMPUTED_VALUE"""),"Football Field/Track")</f>
        <v>Football Field/Track</v>
      </c>
      <c r="Q1488" s="5" t="str">
        <f ca="1">IFERROR(__xludf.DUMMYFUNCTION("""COMPUTED_VALUE"""),"Outside on School Property")</f>
        <v>Outside on School Property</v>
      </c>
      <c r="R1488" s="5" t="str">
        <f ca="1">IFERROR(__xludf.DUMMYFUNCTION("""COMPUTED_VALUE"""),"No")</f>
        <v>No</v>
      </c>
      <c r="S1488" s="5" t="str">
        <f ca="1">IFERROR(__xludf.DUMMYFUNCTION("""COMPUTED_VALUE"""),"Not a School Day")</f>
        <v>Not a School Day</v>
      </c>
      <c r="T1488" s="5"/>
      <c r="U1488" s="5">
        <f ca="1">IFERROR(__xludf.DUMMYFUNCTION("""COMPUTED_VALUE"""),1)</f>
        <v>1</v>
      </c>
      <c r="V1488" s="5" t="str">
        <f ca="1">IFERROR(__xludf.DUMMYFUNCTION("""COMPUTED_VALUE"""),"Dispute between rival gang members at football game")</f>
        <v>Dispute between rival gang members at football game</v>
      </c>
      <c r="W1488"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X1488" s="5" t="str">
        <f ca="1">IFERROR(__xludf.DUMMYFUNCTION("""COMPUTED_VALUE"""),"Indiscriminate Shooting")</f>
        <v>Indiscriminate Shooting</v>
      </c>
      <c r="Y1488" s="5" t="str">
        <f ca="1">IFERROR(__xludf.DUMMYFUNCTION("""COMPUTED_VALUE"""),"Both")</f>
        <v>Both</v>
      </c>
      <c r="Z1488" s="5" t="str">
        <f ca="1">IFERROR(__xludf.DUMMYFUNCTION("""COMPUTED_VALUE"""),"No")</f>
        <v>No</v>
      </c>
      <c r="AA1488" s="5"/>
      <c r="AB1488" s="5" t="str">
        <f ca="1">IFERROR(__xludf.DUMMYFUNCTION("""COMPUTED_VALUE"""),"No")</f>
        <v>No</v>
      </c>
      <c r="AC1488" s="5" t="str">
        <f ca="1">IFERROR(__xludf.DUMMYFUNCTION("""COMPUTED_VALUE"""),"No")</f>
        <v>No</v>
      </c>
      <c r="AD1488" s="5" t="str">
        <f ca="1">IFERROR(__xludf.DUMMYFUNCTION("""COMPUTED_VALUE"""),"No")</f>
        <v>No</v>
      </c>
      <c r="AE1488" s="5" t="str">
        <f ca="1">IFERROR(__xludf.DUMMYFUNCTION("""COMPUTED_VALUE"""),"No")</f>
        <v>No</v>
      </c>
      <c r="AF1488" s="5" t="str">
        <f ca="1">IFERROR(__xludf.DUMMYFUNCTION("""COMPUTED_VALUE"""),"No")</f>
        <v>No</v>
      </c>
      <c r="AG1488" s="5" t="str">
        <f ca="1">IFERROR(__xludf.DUMMYFUNCTION("""COMPUTED_VALUE"""),"Yes")</f>
        <v>Yes</v>
      </c>
      <c r="AH1488" s="5"/>
    </row>
    <row r="1489" spans="1:34" ht="12.75">
      <c r="A1489" s="5" t="str">
        <f ca="1">IFERROR(__xludf.DUMMYFUNCTION("""COMPUTED_VALUE"""),"19971005OKMOO")</f>
        <v>19971005OKMOO</v>
      </c>
      <c r="B1489" s="8">
        <f ca="1">IFERROR(__xludf.DUMMYFUNCTION("""COMPUTED_VALUE"""),35708)</f>
        <v>35708</v>
      </c>
      <c r="C1489" s="5" t="str">
        <f ca="1">IFERROR(__xludf.DUMMYFUNCTION("""COMPUTED_VALUE"""),"Moore West Junior High School")</f>
        <v>Moore West Junior High School</v>
      </c>
      <c r="D1489" s="5">
        <f ca="1">IFERROR(__xludf.DUMMYFUNCTION("""COMPUTED_VALUE"""),0)</f>
        <v>0</v>
      </c>
      <c r="E1489" s="5">
        <f ca="1">IFERROR(__xludf.DUMMYFUNCTION("""COMPUTED_VALUE"""),1)</f>
        <v>1</v>
      </c>
      <c r="F1489" s="5">
        <f ca="1">IFERROR(__xludf.DUMMYFUNCTION("""COMPUTED_VALUE"""),1)</f>
        <v>1</v>
      </c>
      <c r="G1489" s="5">
        <f ca="1">IFERROR(__xludf.DUMMYFUNCTION("""COMPUTED_VALUE"""),0)</f>
        <v>0</v>
      </c>
      <c r="H1489" s="9" t="str">
        <f ca="1">IFERROR(__xludf.DUMMYFUNCTION("""COMPUTED_VALUE"""),"https://www.newspapers.com/image/455228173/?terms=shot%2Bin%2Bschool%2Bparking%2Blot")</f>
        <v>https://www.newspapers.com/image/455228173/?terms=shot%2Bin%2Bschool%2Bparking%2Blot</v>
      </c>
      <c r="I1489" s="5"/>
      <c r="J1489" s="5"/>
      <c r="K1489" s="5">
        <f ca="1">IFERROR(__xludf.DUMMYFUNCTION("""COMPUTED_VALUE"""),2)</f>
        <v>2</v>
      </c>
      <c r="L1489" s="5" t="str">
        <f ca="1">IFERROR(__xludf.DUMMYFUNCTION("""COMPUTED_VALUE"""),"Fall")</f>
        <v>Fall</v>
      </c>
      <c r="M1489" s="5" t="str">
        <f ca="1">IFERROR(__xludf.DUMMYFUNCTION("""COMPUTED_VALUE"""),"Oklahoma City")</f>
        <v>Oklahoma City</v>
      </c>
      <c r="N1489" s="5" t="str">
        <f ca="1">IFERROR(__xludf.DUMMYFUNCTION("""COMPUTED_VALUE"""),"OK")</f>
        <v>OK</v>
      </c>
      <c r="O1489" s="5" t="str">
        <f ca="1">IFERROR(__xludf.DUMMYFUNCTION("""COMPUTED_VALUE"""),"Junior High")</f>
        <v>Junior High</v>
      </c>
      <c r="P1489" s="5" t="str">
        <f ca="1">IFERROR(__xludf.DUMMYFUNCTION("""COMPUTED_VALUE"""),"Parking Lot")</f>
        <v>Parking Lot</v>
      </c>
      <c r="Q1489" s="5" t="str">
        <f ca="1">IFERROR(__xludf.DUMMYFUNCTION("""COMPUTED_VALUE"""),"Outside on School Property")</f>
        <v>Outside on School Property</v>
      </c>
      <c r="R1489" s="5" t="str">
        <f ca="1">IFERROR(__xludf.DUMMYFUNCTION("""COMPUTED_VALUE"""),"No")</f>
        <v>No</v>
      </c>
      <c r="S1489" s="5" t="str">
        <f ca="1">IFERROR(__xludf.DUMMYFUNCTION("""COMPUTED_VALUE"""),"Not a School Day")</f>
        <v>Not a School Day</v>
      </c>
      <c r="T1489" s="10">
        <f ca="1">IFERROR(__xludf.DUMMYFUNCTION("""COMPUTED_VALUE"""),0.621527777777777)</f>
        <v>0.62152777777777701</v>
      </c>
      <c r="U1489" s="5">
        <f ca="1">IFERROR(__xludf.DUMMYFUNCTION("""COMPUTED_VALUE"""),1)</f>
        <v>1</v>
      </c>
      <c r="V1489" s="5" t="str">
        <f ca="1">IFERROR(__xludf.DUMMYFUNCTION("""COMPUTED_VALUE"""),"Escalation of argument")</f>
        <v>Escalation of argument</v>
      </c>
      <c r="W1489"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X1489" s="5" t="str">
        <f ca="1">IFERROR(__xludf.DUMMYFUNCTION("""COMPUTED_VALUE"""),"Escalation of Dispute")</f>
        <v>Escalation of Dispute</v>
      </c>
      <c r="Y1489" s="5" t="str">
        <f ca="1">IFERROR(__xludf.DUMMYFUNCTION("""COMPUTED_VALUE"""),"Victims Targeted")</f>
        <v>Victims Targeted</v>
      </c>
      <c r="Z1489" s="5" t="str">
        <f ca="1">IFERROR(__xludf.DUMMYFUNCTION("""COMPUTED_VALUE"""),"No")</f>
        <v>No</v>
      </c>
      <c r="AA1489" s="5"/>
      <c r="AB1489" s="5" t="str">
        <f ca="1">IFERROR(__xludf.DUMMYFUNCTION("""COMPUTED_VALUE"""),"No")</f>
        <v>No</v>
      </c>
      <c r="AC1489" s="5" t="str">
        <f ca="1">IFERROR(__xludf.DUMMYFUNCTION("""COMPUTED_VALUE"""),"No")</f>
        <v>No</v>
      </c>
      <c r="AD1489" s="5" t="str">
        <f ca="1">IFERROR(__xludf.DUMMYFUNCTION("""COMPUTED_VALUE"""),"No")</f>
        <v>No</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row>
    <row r="1490" spans="1:34" ht="12.75">
      <c r="A1490" s="5" t="str">
        <f ca="1">IFERROR(__xludf.DUMMYFUNCTION("""COMPUTED_VALUE"""),"19971001MSPEP")</f>
        <v>19971001MSPEP</v>
      </c>
      <c r="B1490" s="8">
        <f ca="1">IFERROR(__xludf.DUMMYFUNCTION("""COMPUTED_VALUE"""),35704)</f>
        <v>35704</v>
      </c>
      <c r="C1490" s="5" t="str">
        <f ca="1">IFERROR(__xludf.DUMMYFUNCTION("""COMPUTED_VALUE"""),"Pearl High School")</f>
        <v>Pearl High School</v>
      </c>
      <c r="D1490" s="5">
        <f ca="1">IFERROR(__xludf.DUMMYFUNCTION("""COMPUTED_VALUE"""),2)</f>
        <v>2</v>
      </c>
      <c r="E1490" s="5">
        <f ca="1">IFERROR(__xludf.DUMMYFUNCTION("""COMPUTED_VALUE"""),7)</f>
        <v>7</v>
      </c>
      <c r="F1490" s="5">
        <f ca="1">IFERROR(__xludf.DUMMYFUNCTION("""COMPUTED_VALUE"""),9)</f>
        <v>9</v>
      </c>
      <c r="G1490" s="5">
        <f ca="1">IFERROR(__xludf.DUMMYFUNCTION("""COMPUTED_VALUE"""),0)</f>
        <v>0</v>
      </c>
      <c r="H1490" s="5" t="str">
        <f ca="1">IFERROR(__xludf.DUMMYFUNCTION("""COMPUTED_VALUE"""),"http://www.cnn.com/US/9710/02/miss.shooting.folo/ http://www.cnn.com/US/9710/01/shooting.update/index.html")</f>
        <v>http://www.cnn.com/US/9710/02/miss.shooting.folo/ http://www.cnn.com/US/9710/01/shooting.update/index.html</v>
      </c>
      <c r="I1490" s="5"/>
      <c r="J1490" s="5"/>
      <c r="K1490" s="5">
        <f ca="1">IFERROR(__xludf.DUMMYFUNCTION("""COMPUTED_VALUE"""),2)</f>
        <v>2</v>
      </c>
      <c r="L1490" s="5" t="str">
        <f ca="1">IFERROR(__xludf.DUMMYFUNCTION("""COMPUTED_VALUE"""),"Fall")</f>
        <v>Fall</v>
      </c>
      <c r="M1490" s="5" t="str">
        <f ca="1">IFERROR(__xludf.DUMMYFUNCTION("""COMPUTED_VALUE"""),"Pearl")</f>
        <v>Pearl</v>
      </c>
      <c r="N1490" s="5" t="str">
        <f ca="1">IFERROR(__xludf.DUMMYFUNCTION("""COMPUTED_VALUE"""),"MS")</f>
        <v>MS</v>
      </c>
      <c r="O1490" s="5" t="str">
        <f ca="1">IFERROR(__xludf.DUMMYFUNCTION("""COMPUTED_VALUE"""),"High")</f>
        <v>High</v>
      </c>
      <c r="P1490" s="5" t="str">
        <f ca="1">IFERROR(__xludf.DUMMYFUNCTION("""COMPUTED_VALUE"""),"Hallway")</f>
        <v>Hallway</v>
      </c>
      <c r="Q1490" s="5" t="str">
        <f ca="1">IFERROR(__xludf.DUMMYFUNCTION("""COMPUTED_VALUE"""),"Inside School Building")</f>
        <v>Inside School Building</v>
      </c>
      <c r="R1490" s="5" t="str">
        <f ca="1">IFERROR(__xludf.DUMMYFUNCTION("""COMPUTED_VALUE"""),"Yes")</f>
        <v>Yes</v>
      </c>
      <c r="S1490" s="5" t="str">
        <f ca="1">IFERROR(__xludf.DUMMYFUNCTION("""COMPUTED_VALUE"""),"Morning Classes")</f>
        <v>Morning Classes</v>
      </c>
      <c r="T1490" s="5"/>
      <c r="U1490" s="5"/>
      <c r="V1490" s="5" t="str">
        <f ca="1">IFERROR(__xludf.DUMMYFUNCTION("""COMPUTED_VALUE"""),"Planned attack including ex-girlfriend as target")</f>
        <v>Planned attack including ex-girlfriend as target</v>
      </c>
      <c r="W1490"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X1490" s="5" t="str">
        <f ca="1">IFERROR(__xludf.DUMMYFUNCTION("""COMPUTED_VALUE"""),"Domestic w/ Targeted Victim")</f>
        <v>Domestic w/ Targeted Victim</v>
      </c>
      <c r="Y1490" s="5" t="str">
        <f ca="1">IFERROR(__xludf.DUMMYFUNCTION("""COMPUTED_VALUE"""),"Both")</f>
        <v>Both</v>
      </c>
      <c r="Z1490" s="5" t="str">
        <f ca="1">IFERROR(__xludf.DUMMYFUNCTION("""COMPUTED_VALUE"""),"No")</f>
        <v>No</v>
      </c>
      <c r="AA1490" s="5"/>
      <c r="AB1490" s="5" t="str">
        <f ca="1">IFERROR(__xludf.DUMMYFUNCTION("""COMPUTED_VALUE"""),"No")</f>
        <v>No</v>
      </c>
      <c r="AC1490" s="5" t="str">
        <f ca="1">IFERROR(__xludf.DUMMYFUNCTION("""COMPUTED_VALUE"""),"No")</f>
        <v>No</v>
      </c>
      <c r="AD1490" s="5" t="str">
        <f ca="1">IFERROR(__xludf.DUMMYFUNCTION("""COMPUTED_VALUE"""),"No")</f>
        <v>No</v>
      </c>
      <c r="AE1490" s="5" t="str">
        <f ca="1">IFERROR(__xludf.DUMMYFUNCTION("""COMPUTED_VALUE"""),"Yes")</f>
        <v>Yes</v>
      </c>
      <c r="AF1490" s="5" t="str">
        <f ca="1">IFERROR(__xludf.DUMMYFUNCTION("""COMPUTED_VALUE"""),"Yes")</f>
        <v>Yes</v>
      </c>
      <c r="AG1490" s="5" t="str">
        <f ca="1">IFERROR(__xludf.DUMMYFUNCTION("""COMPUTED_VALUE"""),"No")</f>
        <v>No</v>
      </c>
      <c r="AH1490" s="5" t="str">
        <f ca="1">IFERROR(__xludf.DUMMYFUNCTION("""COMPUTED_VALUE"""),"Yes")</f>
        <v>Yes</v>
      </c>
    </row>
    <row r="1491" spans="1:34" ht="12.75">
      <c r="A1491" s="5" t="str">
        <f ca="1">IFERROR(__xludf.DUMMYFUNCTION("""COMPUTED_VALUE"""),"19970624ALJEM")</f>
        <v>19970624ALJEM</v>
      </c>
      <c r="B1491" s="8">
        <f ca="1">IFERROR(__xludf.DUMMYFUNCTION("""COMPUTED_VALUE"""),35605)</f>
        <v>35605</v>
      </c>
      <c r="C1491" s="5" t="str">
        <f ca="1">IFERROR(__xludf.DUMMYFUNCTION("""COMPUTED_VALUE"""),"Jefferson Davis High School")</f>
        <v>Jefferson Davis High School</v>
      </c>
      <c r="D1491" s="5">
        <f ca="1">IFERROR(__xludf.DUMMYFUNCTION("""COMPUTED_VALUE"""),1)</f>
        <v>1</v>
      </c>
      <c r="E1491" s="5">
        <f ca="1">IFERROR(__xludf.DUMMYFUNCTION("""COMPUTED_VALUE"""),0)</f>
        <v>0</v>
      </c>
      <c r="F1491" s="5">
        <f ca="1">IFERROR(__xludf.DUMMYFUNCTION("""COMPUTED_VALUE"""),1)</f>
        <v>1</v>
      </c>
      <c r="G1491" s="5">
        <f ca="1">IFERROR(__xludf.DUMMYFUNCTION("""COMPUTED_VALUE"""),0)</f>
        <v>0</v>
      </c>
      <c r="H1491"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I1491" s="5"/>
      <c r="J1491" s="5"/>
      <c r="K1491" s="5">
        <f ca="1">IFERROR(__xludf.DUMMYFUNCTION("""COMPUTED_VALUE"""),3)</f>
        <v>3</v>
      </c>
      <c r="L1491" s="5" t="str">
        <f ca="1">IFERROR(__xludf.DUMMYFUNCTION("""COMPUTED_VALUE"""),"Summer")</f>
        <v>Summer</v>
      </c>
      <c r="M1491" s="5" t="str">
        <f ca="1">IFERROR(__xludf.DUMMYFUNCTION("""COMPUTED_VALUE"""),"Montgomery")</f>
        <v>Montgomery</v>
      </c>
      <c r="N1491" s="5" t="str">
        <f ca="1">IFERROR(__xludf.DUMMYFUNCTION("""COMPUTED_VALUE"""),"AL")</f>
        <v>AL</v>
      </c>
      <c r="O1491" s="5" t="str">
        <f ca="1">IFERROR(__xludf.DUMMYFUNCTION("""COMPUTED_VALUE"""),"High")</f>
        <v>High</v>
      </c>
      <c r="P1491" s="5" t="str">
        <f ca="1">IFERROR(__xludf.DUMMYFUNCTION("""COMPUTED_VALUE"""),"Parking Lot")</f>
        <v>Parking Lot</v>
      </c>
      <c r="Q1491" s="5" t="str">
        <f ca="1">IFERROR(__xludf.DUMMYFUNCTION("""COMPUTED_VALUE"""),"Outside on School Property")</f>
        <v>Outside on School Property</v>
      </c>
      <c r="R1491" s="5" t="str">
        <f ca="1">IFERROR(__xludf.DUMMYFUNCTION("""COMPUTED_VALUE"""),"Yes")</f>
        <v>Yes</v>
      </c>
      <c r="S1491" s="5" t="str">
        <f ca="1">IFERROR(__xludf.DUMMYFUNCTION("""COMPUTED_VALUE"""),"Lunch")</f>
        <v>Lunch</v>
      </c>
      <c r="T1491" s="10">
        <f ca="1">IFERROR(__xludf.DUMMYFUNCTION("""COMPUTED_VALUE"""),0.529861111111111)</f>
        <v>0.52986111111111101</v>
      </c>
      <c r="U1491" s="5">
        <f ca="1">IFERROR(__xludf.DUMMYFUNCTION("""COMPUTED_VALUE"""),1)</f>
        <v>1</v>
      </c>
      <c r="V1491" s="5" t="str">
        <f ca="1">IFERROR(__xludf.DUMMYFUNCTION("""COMPUTED_VALUE"""),"Escalation of argument")</f>
        <v>Escalation of argument</v>
      </c>
      <c r="W1491"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X1491" s="5" t="str">
        <f ca="1">IFERROR(__xludf.DUMMYFUNCTION("""COMPUTED_VALUE"""),"Escalation of Dispute")</f>
        <v>Escalation of Dispute</v>
      </c>
      <c r="Y1491" s="5" t="str">
        <f ca="1">IFERROR(__xludf.DUMMYFUNCTION("""COMPUTED_VALUE"""),"Victims Targeted")</f>
        <v>Victims Targeted</v>
      </c>
      <c r="Z1491" s="5" t="str">
        <f ca="1">IFERROR(__xludf.DUMMYFUNCTION("""COMPUTED_VALUE"""),"No")</f>
        <v>No</v>
      </c>
      <c r="AA1491" s="5"/>
      <c r="AB1491" s="5" t="str">
        <f ca="1">IFERROR(__xludf.DUMMYFUNCTION("""COMPUTED_VALUE"""),"No")</f>
        <v>No</v>
      </c>
      <c r="AC1491" s="5" t="str">
        <f ca="1">IFERROR(__xludf.DUMMYFUNCTION("""COMPUTED_VALUE"""),"No")</f>
        <v>No</v>
      </c>
      <c r="AD1491" s="5" t="str">
        <f ca="1">IFERROR(__xludf.DUMMYFUNCTION("""COMPUTED_VALUE"""),"No")</f>
        <v>No</v>
      </c>
      <c r="AE1491" s="5"/>
      <c r="AF1491" s="5" t="str">
        <f ca="1">IFERROR(__xludf.DUMMYFUNCTION("""COMPUTED_VALUE"""),"No")</f>
        <v>No</v>
      </c>
      <c r="AG1491" s="5" t="str">
        <f ca="1">IFERROR(__xludf.DUMMYFUNCTION("""COMPUTED_VALUE"""),"No")</f>
        <v>No</v>
      </c>
      <c r="AH1491" s="5" t="str">
        <f ca="1">IFERROR(__xludf.DUMMYFUNCTION("""COMPUTED_VALUE"""),"No")</f>
        <v>No</v>
      </c>
    </row>
    <row r="1492" spans="1:34" ht="12.75">
      <c r="A1492" s="5" t="str">
        <f ca="1">IFERROR(__xludf.DUMMYFUNCTION("""COMPUTED_VALUE"""),"19970520OHDUD")</f>
        <v>19970520OHDUD</v>
      </c>
      <c r="B1492" s="8">
        <f ca="1">IFERROR(__xludf.DUMMYFUNCTION("""COMPUTED_VALUE"""),35570)</f>
        <v>35570</v>
      </c>
      <c r="C1492" s="5" t="str">
        <f ca="1">IFERROR(__xludf.DUMMYFUNCTION("""COMPUTED_VALUE"""),"Dunbar High School")</f>
        <v>Dunbar High School</v>
      </c>
      <c r="D1492" s="5">
        <f ca="1">IFERROR(__xludf.DUMMYFUNCTION("""COMPUTED_VALUE"""),0)</f>
        <v>0</v>
      </c>
      <c r="E1492" s="5">
        <f ca="1">IFERROR(__xludf.DUMMYFUNCTION("""COMPUTED_VALUE"""),1)</f>
        <v>1</v>
      </c>
      <c r="F1492" s="5">
        <f ca="1">IFERROR(__xludf.DUMMYFUNCTION("""COMPUTED_VALUE"""),1)</f>
        <v>1</v>
      </c>
      <c r="G1492" s="5">
        <f ca="1">IFERROR(__xludf.DUMMYFUNCTION("""COMPUTED_VALUE"""),0)</f>
        <v>0</v>
      </c>
      <c r="H1492" s="9" t="str">
        <f ca="1">IFERROR(__xludf.DUMMYFUNCTION("""COMPUTED_VALUE"""),"https://www.newspapers.com/image/295695332/?terms=student%2Bshoots")</f>
        <v>https://www.newspapers.com/image/295695332/?terms=student%2Bshoots</v>
      </c>
      <c r="I1492" s="5"/>
      <c r="J1492" s="5"/>
      <c r="K1492" s="5">
        <f ca="1">IFERROR(__xludf.DUMMYFUNCTION("""COMPUTED_VALUE"""),2)</f>
        <v>2</v>
      </c>
      <c r="L1492" s="5" t="str">
        <f ca="1">IFERROR(__xludf.DUMMYFUNCTION("""COMPUTED_VALUE"""),"Spring")</f>
        <v>Spring</v>
      </c>
      <c r="M1492" s="5" t="str">
        <f ca="1">IFERROR(__xludf.DUMMYFUNCTION("""COMPUTED_VALUE"""),"Dayton")</f>
        <v>Dayton</v>
      </c>
      <c r="N1492" s="5" t="str">
        <f ca="1">IFERROR(__xludf.DUMMYFUNCTION("""COMPUTED_VALUE"""),"OH")</f>
        <v>OH</v>
      </c>
      <c r="O1492" s="5" t="str">
        <f ca="1">IFERROR(__xludf.DUMMYFUNCTION("""COMPUTED_VALUE"""),"High")</f>
        <v>High</v>
      </c>
      <c r="P1492" s="5" t="str">
        <f ca="1">IFERROR(__xludf.DUMMYFUNCTION("""COMPUTED_VALUE"""),"Cafeteria")</f>
        <v>Cafeteria</v>
      </c>
      <c r="Q1492" s="5" t="str">
        <f ca="1">IFERROR(__xludf.DUMMYFUNCTION("""COMPUTED_VALUE"""),"Inside School Building")</f>
        <v>Inside School Building</v>
      </c>
      <c r="R1492" s="5" t="str">
        <f ca="1">IFERROR(__xludf.DUMMYFUNCTION("""COMPUTED_VALUE"""),"Yes")</f>
        <v>Yes</v>
      </c>
      <c r="S1492" s="5" t="str">
        <f ca="1">IFERROR(__xludf.DUMMYFUNCTION("""COMPUTED_VALUE"""),"Lunch")</f>
        <v>Lunch</v>
      </c>
      <c r="T1492" s="5"/>
      <c r="U1492" s="5">
        <f ca="1">IFERROR(__xludf.DUMMYFUNCTION("""COMPUTED_VALUE"""),1)</f>
        <v>1</v>
      </c>
      <c r="V1492" s="5" t="str">
        <f ca="1">IFERROR(__xludf.DUMMYFUNCTION("""COMPUTED_VALUE"""),"Showing off gun at lunch")</f>
        <v>Showing off gun at lunch</v>
      </c>
      <c r="W1492"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X1492" s="5" t="str">
        <f ca="1">IFERROR(__xludf.DUMMYFUNCTION("""COMPUTED_VALUE"""),"Accidental")</f>
        <v>Accidental</v>
      </c>
      <c r="Y1492" s="5" t="str">
        <f ca="1">IFERROR(__xludf.DUMMYFUNCTION("""COMPUTED_VALUE"""),"Random Shooting")</f>
        <v>Random Shooting</v>
      </c>
      <c r="Z1492" s="5" t="str">
        <f ca="1">IFERROR(__xludf.DUMMYFUNCTION("""COMPUTED_VALUE"""),"No")</f>
        <v>No</v>
      </c>
      <c r="AA1492" s="5"/>
      <c r="AB1492" s="5" t="str">
        <f ca="1">IFERROR(__xludf.DUMMYFUNCTION("""COMPUTED_VALUE"""),"No")</f>
        <v>No</v>
      </c>
      <c r="AC1492" s="5" t="str">
        <f ca="1">IFERROR(__xludf.DUMMYFUNCTION("""COMPUTED_VALUE"""),"No")</f>
        <v>No</v>
      </c>
      <c r="AD1492" s="5" t="str">
        <f ca="1">IFERROR(__xludf.DUMMYFUNCTION("""COMPUTED_VALUE"""),"No")</f>
        <v>No</v>
      </c>
      <c r="AE1492" s="5" t="str">
        <f ca="1">IFERROR(__xludf.DUMMYFUNCTION("""COMPUTED_VALUE"""),"No")</f>
        <v>No</v>
      </c>
      <c r="AF1492" s="5" t="str">
        <f ca="1">IFERROR(__xludf.DUMMYFUNCTION("""COMPUTED_VALUE"""),"No")</f>
        <v>No</v>
      </c>
      <c r="AG1492" s="5" t="str">
        <f ca="1">IFERROR(__xludf.DUMMYFUNCTION("""COMPUTED_VALUE"""),"No")</f>
        <v>No</v>
      </c>
      <c r="AH1492" s="5"/>
    </row>
    <row r="1493" spans="1:34" ht="12.75">
      <c r="A1493" s="5" t="str">
        <f ca="1">IFERROR(__xludf.DUMMYFUNCTION("""COMPUTED_VALUE"""),"19970513FLNOM")</f>
        <v>19970513FLNOM</v>
      </c>
      <c r="B1493" s="8">
        <f ca="1">IFERROR(__xludf.DUMMYFUNCTION("""COMPUTED_VALUE"""),35563)</f>
        <v>35563</v>
      </c>
      <c r="C1493" s="5" t="str">
        <f ca="1">IFERROR(__xludf.DUMMYFUNCTION("""COMPUTED_VALUE"""),"Northwestern High School")</f>
        <v>Northwestern High School</v>
      </c>
      <c r="D1493" s="5">
        <f ca="1">IFERROR(__xludf.DUMMYFUNCTION("""COMPUTED_VALUE"""),0)</f>
        <v>0</v>
      </c>
      <c r="E1493" s="5">
        <f ca="1">IFERROR(__xludf.DUMMYFUNCTION("""COMPUTED_VALUE"""),1)</f>
        <v>1</v>
      </c>
      <c r="F1493" s="5">
        <f ca="1">IFERROR(__xludf.DUMMYFUNCTION("""COMPUTED_VALUE"""),1)</f>
        <v>1</v>
      </c>
      <c r="G1493" s="5">
        <f ca="1">IFERROR(__xludf.DUMMYFUNCTION("""COMPUTED_VALUE"""),0)</f>
        <v>0</v>
      </c>
      <c r="H1493" s="9" t="str">
        <f ca="1">IFERROR(__xludf.DUMMYFUNCTION("""COMPUTED_VALUE"""),"https://www.newspapers.com/image/186768947/?terms=student%2Bshoots")</f>
        <v>https://www.newspapers.com/image/186768947/?terms=student%2Bshoots</v>
      </c>
      <c r="I1493" s="5"/>
      <c r="J1493" s="5"/>
      <c r="K1493" s="5">
        <f ca="1">IFERROR(__xludf.DUMMYFUNCTION("""COMPUTED_VALUE"""),2)</f>
        <v>2</v>
      </c>
      <c r="L1493" s="5" t="str">
        <f ca="1">IFERROR(__xludf.DUMMYFUNCTION("""COMPUTED_VALUE"""),"Spring")</f>
        <v>Spring</v>
      </c>
      <c r="M1493" s="5" t="str">
        <f ca="1">IFERROR(__xludf.DUMMYFUNCTION("""COMPUTED_VALUE"""),"Miami")</f>
        <v>Miami</v>
      </c>
      <c r="N1493" s="5" t="str">
        <f ca="1">IFERROR(__xludf.DUMMYFUNCTION("""COMPUTED_VALUE"""),"FL")</f>
        <v>FL</v>
      </c>
      <c r="O1493" s="5" t="str">
        <f ca="1">IFERROR(__xludf.DUMMYFUNCTION("""COMPUTED_VALUE"""),"High")</f>
        <v>High</v>
      </c>
      <c r="P1493" s="5" t="str">
        <f ca="1">IFERROR(__xludf.DUMMYFUNCTION("""COMPUTED_VALUE"""),"Hallway")</f>
        <v>Hallway</v>
      </c>
      <c r="Q1493" s="5" t="str">
        <f ca="1">IFERROR(__xludf.DUMMYFUNCTION("""COMPUTED_VALUE"""),"Inside School Building")</f>
        <v>Inside School Building</v>
      </c>
      <c r="R1493" s="5" t="str">
        <f ca="1">IFERROR(__xludf.DUMMYFUNCTION("""COMPUTED_VALUE"""),"Yes")</f>
        <v>Yes</v>
      </c>
      <c r="S1493" s="5" t="str">
        <f ca="1">IFERROR(__xludf.DUMMYFUNCTION("""COMPUTED_VALUE"""),"Morning Classes")</f>
        <v>Morning Classes</v>
      </c>
      <c r="T1493" s="10">
        <f ca="1">IFERROR(__xludf.DUMMYFUNCTION("""COMPUTED_VALUE"""),0.354166666666666)</f>
        <v>0.35416666666666602</v>
      </c>
      <c r="U1493" s="5">
        <f ca="1">IFERROR(__xludf.DUMMYFUNCTION("""COMPUTED_VALUE"""),1)</f>
        <v>1</v>
      </c>
      <c r="V1493" s="5" t="str">
        <f ca="1">IFERROR(__xludf.DUMMYFUNCTION("""COMPUTED_VALUE"""),"Shooter lost $20 to victim in poker game at school - shot him in fit of rage")</f>
        <v>Shooter lost $20 to victim in poker game at school - shot him in fit of rage</v>
      </c>
      <c r="W1493"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X1493" s="5" t="str">
        <f ca="1">IFERROR(__xludf.DUMMYFUNCTION("""COMPUTED_VALUE"""),"Escalation of Dispute")</f>
        <v>Escalation of Dispute</v>
      </c>
      <c r="Y1493" s="5" t="str">
        <f ca="1">IFERROR(__xludf.DUMMYFUNCTION("""COMPUTED_VALUE"""),"Victims Targeted")</f>
        <v>Victims Targeted</v>
      </c>
      <c r="Z1493" s="5" t="str">
        <f ca="1">IFERROR(__xludf.DUMMYFUNCTION("""COMPUTED_VALUE"""),"No")</f>
        <v>No</v>
      </c>
      <c r="AA1493" s="5"/>
      <c r="AB1493" s="5" t="str">
        <f ca="1">IFERROR(__xludf.DUMMYFUNCTION("""COMPUTED_VALUE"""),"No")</f>
        <v>No</v>
      </c>
      <c r="AC1493" s="5" t="str">
        <f ca="1">IFERROR(__xludf.DUMMYFUNCTION("""COMPUTED_VALUE"""),"No")</f>
        <v>No</v>
      </c>
      <c r="AD1493" s="5" t="str">
        <f ca="1">IFERROR(__xludf.DUMMYFUNCTION("""COMPUTED_VALUE"""),"No")</f>
        <v>No</v>
      </c>
      <c r="AE1493" s="5" t="str">
        <f ca="1">IFERROR(__xludf.DUMMYFUNCTION("""COMPUTED_VALUE"""),"No")</f>
        <v>No</v>
      </c>
      <c r="AF1493" s="5" t="str">
        <f ca="1">IFERROR(__xludf.DUMMYFUNCTION("""COMPUTED_VALUE"""),"No")</f>
        <v>No</v>
      </c>
      <c r="AG1493" s="5" t="str">
        <f ca="1">IFERROR(__xludf.DUMMYFUNCTION("""COMPUTED_VALUE"""),"No")</f>
        <v>No</v>
      </c>
      <c r="AH1493" s="5"/>
    </row>
    <row r="1494" spans="1:34" ht="12.75">
      <c r="A1494" s="5" t="str">
        <f ca="1">IFERROR(__xludf.DUMMYFUNCTION("""COMPUTED_VALUE"""),"19970430NYCIN")</f>
        <v>19970430NYCIN</v>
      </c>
      <c r="B1494" s="8">
        <f ca="1">IFERROR(__xludf.DUMMYFUNCTION("""COMPUTED_VALUE"""),35550)</f>
        <v>35550</v>
      </c>
      <c r="C1494" s="5" t="str">
        <f ca="1">IFERROR(__xludf.DUMMYFUNCTION("""COMPUTED_VALUE"""),"City-as-School High School")</f>
        <v>City-as-School High School</v>
      </c>
      <c r="D1494" s="5">
        <f ca="1">IFERROR(__xludf.DUMMYFUNCTION("""COMPUTED_VALUE"""),1)</f>
        <v>1</v>
      </c>
      <c r="E1494" s="5">
        <f ca="1">IFERROR(__xludf.DUMMYFUNCTION("""COMPUTED_VALUE"""),0)</f>
        <v>0</v>
      </c>
      <c r="F1494" s="5">
        <f ca="1">IFERROR(__xludf.DUMMYFUNCTION("""COMPUTED_VALUE"""),1)</f>
        <v>1</v>
      </c>
      <c r="G1494" s="5">
        <f ca="1">IFERROR(__xludf.DUMMYFUNCTION("""COMPUTED_VALUE"""),0)</f>
        <v>0</v>
      </c>
      <c r="H1494"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I1494" s="5"/>
      <c r="J1494" s="5"/>
      <c r="K1494" s="5">
        <f ca="1">IFERROR(__xludf.DUMMYFUNCTION("""COMPUTED_VALUE"""),1)</f>
        <v>1</v>
      </c>
      <c r="L1494" s="5" t="str">
        <f ca="1">IFERROR(__xludf.DUMMYFUNCTION("""COMPUTED_VALUE"""),"Spring")</f>
        <v>Spring</v>
      </c>
      <c r="M1494" s="5" t="str">
        <f ca="1">IFERROR(__xludf.DUMMYFUNCTION("""COMPUTED_VALUE"""),"New York")</f>
        <v>New York</v>
      </c>
      <c r="N1494" s="5" t="str">
        <f ca="1">IFERROR(__xludf.DUMMYFUNCTION("""COMPUTED_VALUE"""),"NY")</f>
        <v>NY</v>
      </c>
      <c r="O1494" s="5" t="str">
        <f ca="1">IFERROR(__xludf.DUMMYFUNCTION("""COMPUTED_VALUE"""),"High")</f>
        <v>High</v>
      </c>
      <c r="P1494" s="5" t="str">
        <f ca="1">IFERROR(__xludf.DUMMYFUNCTION("""COMPUTED_VALUE"""),"Front of School")</f>
        <v>Front of School</v>
      </c>
      <c r="Q1494" s="5" t="str">
        <f ca="1">IFERROR(__xludf.DUMMYFUNCTION("""COMPUTED_VALUE"""),"Outside on School Property")</f>
        <v>Outside on School Property</v>
      </c>
      <c r="R1494" s="5" t="str">
        <f ca="1">IFERROR(__xludf.DUMMYFUNCTION("""COMPUTED_VALUE"""),"Yes")</f>
        <v>Yes</v>
      </c>
      <c r="S1494" s="5" t="str">
        <f ca="1">IFERROR(__xludf.DUMMYFUNCTION("""COMPUTED_VALUE"""),"Lunch")</f>
        <v>Lunch</v>
      </c>
      <c r="T1494" s="10">
        <f ca="1">IFERROR(__xludf.DUMMYFUNCTION("""COMPUTED_VALUE"""),0.520833333333333)</f>
        <v>0.52083333333333304</v>
      </c>
      <c r="U1494" s="5">
        <f ca="1">IFERROR(__xludf.DUMMYFUNCTION("""COMPUTED_VALUE"""),1)</f>
        <v>1</v>
      </c>
      <c r="V1494" s="5" t="str">
        <f ca="1">IFERROR(__xludf.DUMMYFUNCTION("""COMPUTED_VALUE"""),"Shot on steps outside of school")</f>
        <v>Shot on steps outside of school</v>
      </c>
      <c r="W1494"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X1494" s="5" t="str">
        <f ca="1">IFERROR(__xludf.DUMMYFUNCTION("""COMPUTED_VALUE"""),"Escalation of Dispute")</f>
        <v>Escalation of Dispute</v>
      </c>
      <c r="Y1494" s="5"/>
      <c r="Z1494" s="5" t="str">
        <f ca="1">IFERROR(__xludf.DUMMYFUNCTION("""COMPUTED_VALUE"""),"No")</f>
        <v>No</v>
      </c>
      <c r="AA1494" s="5"/>
      <c r="AB1494" s="5" t="str">
        <f ca="1">IFERROR(__xludf.DUMMYFUNCTION("""COMPUTED_VALUE"""),"No")</f>
        <v>No</v>
      </c>
      <c r="AC1494" s="5" t="str">
        <f ca="1">IFERROR(__xludf.DUMMYFUNCTION("""COMPUTED_VALUE"""),"No")</f>
        <v>No</v>
      </c>
      <c r="AD1494" s="5" t="str">
        <f ca="1">IFERROR(__xludf.DUMMYFUNCTION("""COMPUTED_VALUE"""),"No")</f>
        <v>No</v>
      </c>
      <c r="AE1494" s="5"/>
      <c r="AF1494" s="5" t="str">
        <f ca="1">IFERROR(__xludf.DUMMYFUNCTION("""COMPUTED_VALUE"""),"No")</f>
        <v>No</v>
      </c>
      <c r="AG1494" s="5"/>
      <c r="AH1494" s="5"/>
    </row>
    <row r="1495" spans="1:34" ht="12.75">
      <c r="A1495" s="5" t="str">
        <f ca="1">IFERROR(__xludf.DUMMYFUNCTION("""COMPUTED_VALUE"""),"19970428CAJOL")</f>
        <v>19970428CAJOL</v>
      </c>
      <c r="B1495" s="8">
        <f ca="1">IFERROR(__xludf.DUMMYFUNCTION("""COMPUTED_VALUE"""),35548)</f>
        <v>35548</v>
      </c>
      <c r="C1495" s="5" t="str">
        <f ca="1">IFERROR(__xludf.DUMMYFUNCTION("""COMPUTED_VALUE"""),"John Marshall High School")</f>
        <v>John Marshall High School</v>
      </c>
      <c r="D1495" s="5">
        <f ca="1">IFERROR(__xludf.DUMMYFUNCTION("""COMPUTED_VALUE"""),1)</f>
        <v>1</v>
      </c>
      <c r="E1495" s="5">
        <f ca="1">IFERROR(__xludf.DUMMYFUNCTION("""COMPUTED_VALUE"""),0)</f>
        <v>0</v>
      </c>
      <c r="F1495" s="5">
        <f ca="1">IFERROR(__xludf.DUMMYFUNCTION("""COMPUTED_VALUE"""),1)</f>
        <v>1</v>
      </c>
      <c r="G1495" s="5">
        <f ca="1">IFERROR(__xludf.DUMMYFUNCTION("""COMPUTED_VALUE"""),0)</f>
        <v>0</v>
      </c>
      <c r="H1495" s="9" t="str">
        <f ca="1">IFERROR(__xludf.DUMMYFUNCTION("""COMPUTED_VALUE"""),"http://www.psychceu.com/school_violence/savd.pdf")</f>
        <v>http://www.psychceu.com/school_violence/savd.pdf</v>
      </c>
      <c r="I1495" s="5"/>
      <c r="J1495" s="5"/>
      <c r="K1495" s="5">
        <f ca="1">IFERROR(__xludf.DUMMYFUNCTION("""COMPUTED_VALUE"""),1)</f>
        <v>1</v>
      </c>
      <c r="L1495" s="5" t="str">
        <f ca="1">IFERROR(__xludf.DUMMYFUNCTION("""COMPUTED_VALUE"""),"Spring")</f>
        <v>Spring</v>
      </c>
      <c r="M1495" s="5" t="str">
        <f ca="1">IFERROR(__xludf.DUMMYFUNCTION("""COMPUTED_VALUE"""),"Los Angeles")</f>
        <v>Los Angeles</v>
      </c>
      <c r="N1495" s="5" t="str">
        <f ca="1">IFERROR(__xludf.DUMMYFUNCTION("""COMPUTED_VALUE"""),"CA")</f>
        <v>CA</v>
      </c>
      <c r="O1495" s="5" t="str">
        <f ca="1">IFERROR(__xludf.DUMMYFUNCTION("""COMPUTED_VALUE"""),"High")</f>
        <v>High</v>
      </c>
      <c r="P1495" s="5" t="str">
        <f ca="1">IFERROR(__xludf.DUMMYFUNCTION("""COMPUTED_VALUE"""),"Beside Building")</f>
        <v>Beside Building</v>
      </c>
      <c r="Q1495" s="5" t="str">
        <f ca="1">IFERROR(__xludf.DUMMYFUNCTION("""COMPUTED_VALUE"""),"Outside on School Property")</f>
        <v>Outside on School Property</v>
      </c>
      <c r="R1495" s="5"/>
      <c r="S1495" s="5"/>
      <c r="T1495" s="5"/>
      <c r="U1495" s="5"/>
      <c r="V1495" s="5" t="str">
        <f ca="1">IFERROR(__xludf.DUMMYFUNCTION("""COMPUTED_VALUE"""),"Student shot by gang members outside of school")</f>
        <v>Student shot by gang members outside of school</v>
      </c>
      <c r="W1495"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X1495" s="5" t="str">
        <f ca="1">IFERROR(__xludf.DUMMYFUNCTION("""COMPUTED_VALUE"""),"Escalation of Dispute")</f>
        <v>Escalation of Dispute</v>
      </c>
      <c r="Y1495" s="5" t="str">
        <f ca="1">IFERROR(__xludf.DUMMYFUNCTION("""COMPUTED_VALUE"""),"Victims Targeted")</f>
        <v>Victims Targeted</v>
      </c>
      <c r="Z1495" s="5" t="str">
        <f ca="1">IFERROR(__xludf.DUMMYFUNCTION("""COMPUTED_VALUE"""),"Yes")</f>
        <v>Yes</v>
      </c>
      <c r="AA1495" s="5" t="str">
        <f ca="1">IFERROR(__xludf.DUMMYFUNCTION("""COMPUTED_VALUE"""),"15YOM and 14YOM male involved, unclear who shot")</f>
        <v>15YOM and 14YOM male involved, unclear who shot</v>
      </c>
      <c r="AB1495" s="5" t="str">
        <f ca="1">IFERROR(__xludf.DUMMYFUNCTION("""COMPUTED_VALUE"""),"No")</f>
        <v>No</v>
      </c>
      <c r="AC1495" s="5" t="str">
        <f ca="1">IFERROR(__xludf.DUMMYFUNCTION("""COMPUTED_VALUE"""),"No")</f>
        <v>No</v>
      </c>
      <c r="AD1495" s="5" t="str">
        <f ca="1">IFERROR(__xludf.DUMMYFUNCTION("""COMPUTED_VALUE"""),"No")</f>
        <v>No</v>
      </c>
      <c r="AE1495" s="5" t="str">
        <f ca="1">IFERROR(__xludf.DUMMYFUNCTION("""COMPUTED_VALUE"""),"No")</f>
        <v>No</v>
      </c>
      <c r="AF1495" s="5" t="str">
        <f ca="1">IFERROR(__xludf.DUMMYFUNCTION("""COMPUTED_VALUE"""),"No")</f>
        <v>No</v>
      </c>
      <c r="AG1495" s="5" t="str">
        <f ca="1">IFERROR(__xludf.DUMMYFUNCTION("""COMPUTED_VALUE"""),"Yes")</f>
        <v>Yes</v>
      </c>
      <c r="AH1495" s="5"/>
    </row>
    <row r="1496" spans="1:34" ht="12.75">
      <c r="A1496" s="5" t="str">
        <f ca="1">IFERROR(__xludf.DUMMYFUNCTION("""COMPUTED_VALUE"""),"19970403CAMAM")</f>
        <v>19970403CAMAM</v>
      </c>
      <c r="B1496" s="8">
        <f ca="1">IFERROR(__xludf.DUMMYFUNCTION("""COMPUTED_VALUE"""),35523)</f>
        <v>35523</v>
      </c>
      <c r="C1496" s="5" t="str">
        <f ca="1">IFERROR(__xludf.DUMMYFUNCTION("""COMPUTED_VALUE"""),"Maria Del Rey Junior High School")</f>
        <v>Maria Del Rey Junior High School</v>
      </c>
      <c r="D1496" s="5">
        <f ca="1">IFERROR(__xludf.DUMMYFUNCTION("""COMPUTED_VALUE"""),1)</f>
        <v>1</v>
      </c>
      <c r="E1496" s="5">
        <f ca="1">IFERROR(__xludf.DUMMYFUNCTION("""COMPUTED_VALUE"""),0)</f>
        <v>0</v>
      </c>
      <c r="F1496" s="5">
        <f ca="1">IFERROR(__xludf.DUMMYFUNCTION("""COMPUTED_VALUE"""),1)</f>
        <v>1</v>
      </c>
      <c r="G1496" s="5">
        <f ca="1">IFERROR(__xludf.DUMMYFUNCTION("""COMPUTED_VALUE"""),0)</f>
        <v>0</v>
      </c>
      <c r="H1496" s="5" t="str">
        <f ca="1">IFERROR(__xludf.DUMMYFUNCTION("""COMPUTED_VALUE"""),"http://www.psychceu.com/school_violence/savd.pdf https://www.latimes.com/archives/la-xpm-1997-04-16-ls-49048-story.html")</f>
        <v>http://www.psychceu.com/school_violence/savd.pdf https://www.latimes.com/archives/la-xpm-1997-04-16-ls-49048-story.html</v>
      </c>
      <c r="I1496" s="5"/>
      <c r="J1496" s="5"/>
      <c r="K1496" s="5">
        <f ca="1">IFERROR(__xludf.DUMMYFUNCTION("""COMPUTED_VALUE"""),1)</f>
        <v>1</v>
      </c>
      <c r="L1496" s="5" t="str">
        <f ca="1">IFERROR(__xludf.DUMMYFUNCTION("""COMPUTED_VALUE"""),"Spring")</f>
        <v>Spring</v>
      </c>
      <c r="M1496" s="5" t="str">
        <f ca="1">IFERROR(__xludf.DUMMYFUNCTION("""COMPUTED_VALUE"""),"Mar Vista")</f>
        <v>Mar Vista</v>
      </c>
      <c r="N1496" s="5" t="str">
        <f ca="1">IFERROR(__xludf.DUMMYFUNCTION("""COMPUTED_VALUE"""),"CA")</f>
        <v>CA</v>
      </c>
      <c r="O1496" s="5" t="str">
        <f ca="1">IFERROR(__xludf.DUMMYFUNCTION("""COMPUTED_VALUE"""),"High")</f>
        <v>High</v>
      </c>
      <c r="P1496" s="5" t="str">
        <f ca="1">IFERROR(__xludf.DUMMYFUNCTION("""COMPUTED_VALUE"""),"Front of School")</f>
        <v>Front of School</v>
      </c>
      <c r="Q1496" s="5" t="str">
        <f ca="1">IFERROR(__xludf.DUMMYFUNCTION("""COMPUTED_VALUE"""),"Outside on School Property")</f>
        <v>Outside on School Property</v>
      </c>
      <c r="R1496" s="5"/>
      <c r="S1496" s="5"/>
      <c r="T1496" s="5"/>
      <c r="U1496" s="5"/>
      <c r="V1496" s="5" t="str">
        <f ca="1">IFERROR(__xludf.DUMMYFUNCTION("""COMPUTED_VALUE"""),"Student shot during drive-by outside of school")</f>
        <v>Student shot during drive-by outside of school</v>
      </c>
      <c r="W1496"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X1496" s="5" t="str">
        <f ca="1">IFERROR(__xludf.DUMMYFUNCTION("""COMPUTED_VALUE"""),"Drive-by Shooting")</f>
        <v>Drive-by Shooting</v>
      </c>
      <c r="Y1496" s="5"/>
      <c r="Z1496" s="5" t="str">
        <f ca="1">IFERROR(__xludf.DUMMYFUNCTION("""COMPUTED_VALUE"""),"Unknown")</f>
        <v>Unknown</v>
      </c>
      <c r="AA1496" s="5"/>
      <c r="AB1496" s="5" t="str">
        <f ca="1">IFERROR(__xludf.DUMMYFUNCTION("""COMPUTED_VALUE"""),"No")</f>
        <v>No</v>
      </c>
      <c r="AC1496" s="5" t="str">
        <f ca="1">IFERROR(__xludf.DUMMYFUNCTION("""COMPUTED_VALUE"""),"No")</f>
        <v>No</v>
      </c>
      <c r="AD1496" s="5" t="str">
        <f ca="1">IFERROR(__xludf.DUMMYFUNCTION("""COMPUTED_VALUE"""),"No")</f>
        <v>No</v>
      </c>
      <c r="AE1496" s="5" t="str">
        <f ca="1">IFERROR(__xludf.DUMMYFUNCTION("""COMPUTED_VALUE"""),"No")</f>
        <v>No</v>
      </c>
      <c r="AF1496" s="5" t="str">
        <f ca="1">IFERROR(__xludf.DUMMYFUNCTION("""COMPUTED_VALUE"""),"No")</f>
        <v>No</v>
      </c>
      <c r="AG1496" s="5" t="str">
        <f ca="1">IFERROR(__xludf.DUMMYFUNCTION("""COMPUTED_VALUE"""),"Yes")</f>
        <v>Yes</v>
      </c>
      <c r="AH1496" s="5"/>
    </row>
    <row r="1497" spans="1:34" ht="12.75">
      <c r="A1497" s="5" t="str">
        <f ca="1">IFERROR(__xludf.DUMMYFUNCTION("""COMPUTED_VALUE"""),"19970317MIPED")</f>
        <v>19970317MIPED</v>
      </c>
      <c r="B1497" s="8">
        <f ca="1">IFERROR(__xludf.DUMMYFUNCTION("""COMPUTED_VALUE"""),35506)</f>
        <v>35506</v>
      </c>
      <c r="C1497" s="5" t="str">
        <f ca="1">IFERROR(__xludf.DUMMYFUNCTION("""COMPUTED_VALUE"""),"Pershing High School")</f>
        <v>Pershing High School</v>
      </c>
      <c r="D1497" s="5">
        <f ca="1">IFERROR(__xludf.DUMMYFUNCTION("""COMPUTED_VALUE"""),1)</f>
        <v>1</v>
      </c>
      <c r="E1497" s="5">
        <f ca="1">IFERROR(__xludf.DUMMYFUNCTION("""COMPUTED_VALUE"""),0)</f>
        <v>0</v>
      </c>
      <c r="F1497" s="5">
        <f ca="1">IFERROR(__xludf.DUMMYFUNCTION("""COMPUTED_VALUE"""),1)</f>
        <v>1</v>
      </c>
      <c r="G1497" s="5">
        <f ca="1">IFERROR(__xludf.DUMMYFUNCTION("""COMPUTED_VALUE"""),0)</f>
        <v>0</v>
      </c>
      <c r="H1497"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I1497" s="5"/>
      <c r="J1497" s="5"/>
      <c r="K1497" s="5">
        <f ca="1">IFERROR(__xludf.DUMMYFUNCTION("""COMPUTED_VALUE"""),2)</f>
        <v>2</v>
      </c>
      <c r="L1497" s="5" t="str">
        <f ca="1">IFERROR(__xludf.DUMMYFUNCTION("""COMPUTED_VALUE"""),"Spring")</f>
        <v>Spring</v>
      </c>
      <c r="M1497" s="5" t="str">
        <f ca="1">IFERROR(__xludf.DUMMYFUNCTION("""COMPUTED_VALUE"""),"Detroit")</f>
        <v>Detroit</v>
      </c>
      <c r="N1497" s="5" t="str">
        <f ca="1">IFERROR(__xludf.DUMMYFUNCTION("""COMPUTED_VALUE"""),"MI")</f>
        <v>MI</v>
      </c>
      <c r="O1497" s="5" t="str">
        <f ca="1">IFERROR(__xludf.DUMMYFUNCTION("""COMPUTED_VALUE"""),"High")</f>
        <v>High</v>
      </c>
      <c r="P1497" s="5" t="str">
        <f ca="1">IFERROR(__xludf.DUMMYFUNCTION("""COMPUTED_VALUE"""),"Parking Lot")</f>
        <v>Parking Lot</v>
      </c>
      <c r="Q1497" s="5" t="str">
        <f ca="1">IFERROR(__xludf.DUMMYFUNCTION("""COMPUTED_VALUE"""),"Outside on School Property")</f>
        <v>Outside on School Property</v>
      </c>
      <c r="R1497" s="5" t="str">
        <f ca="1">IFERROR(__xludf.DUMMYFUNCTION("""COMPUTED_VALUE"""),"Yes")</f>
        <v>Yes</v>
      </c>
      <c r="S1497" s="5" t="str">
        <f ca="1">IFERROR(__xludf.DUMMYFUNCTION("""COMPUTED_VALUE"""),"Dismissal")</f>
        <v>Dismissal</v>
      </c>
      <c r="T1497" s="10">
        <f ca="1">IFERROR(__xludf.DUMMYFUNCTION("""COMPUTED_VALUE"""),0.614583333333333)</f>
        <v>0.61458333333333304</v>
      </c>
      <c r="U1497" s="5">
        <f ca="1">IFERROR(__xludf.DUMMYFUNCTION("""COMPUTED_VALUE"""),1)</f>
        <v>1</v>
      </c>
      <c r="V1497" s="5" t="str">
        <f ca="1">IFERROR(__xludf.DUMMYFUNCTION("""COMPUTED_VALUE"""),"Argument earlier in day, shooter went to get gun and shot victim involved in conflict")</f>
        <v>Argument earlier in day, shooter went to get gun and shot victim involved in conflict</v>
      </c>
      <c r="W1497"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X1497" s="5" t="str">
        <f ca="1">IFERROR(__xludf.DUMMYFUNCTION("""COMPUTED_VALUE"""),"Escalation of Dispute")</f>
        <v>Escalation of Dispute</v>
      </c>
      <c r="Y1497" s="5" t="str">
        <f ca="1">IFERROR(__xludf.DUMMYFUNCTION("""COMPUTED_VALUE"""),"Victims Targeted")</f>
        <v>Victims Targeted</v>
      </c>
      <c r="Z1497" s="5" t="str">
        <f ca="1">IFERROR(__xludf.DUMMYFUNCTION("""COMPUTED_VALUE"""),"Yes")</f>
        <v>Yes</v>
      </c>
      <c r="AA1497" s="5" t="str">
        <f ca="1">IFERROR(__xludf.DUMMYFUNCTION("""COMPUTED_VALUE"""),"3 students arrested in connection with shooting")</f>
        <v>3 students arrested in connection with shooting</v>
      </c>
      <c r="AB1497" s="5" t="str">
        <f ca="1">IFERROR(__xludf.DUMMYFUNCTION("""COMPUTED_VALUE"""),"No")</f>
        <v>No</v>
      </c>
      <c r="AC1497" s="5" t="str">
        <f ca="1">IFERROR(__xludf.DUMMYFUNCTION("""COMPUTED_VALUE"""),"No")</f>
        <v>No</v>
      </c>
      <c r="AD1497" s="5" t="str">
        <f ca="1">IFERROR(__xludf.DUMMYFUNCTION("""COMPUTED_VALUE"""),"No")</f>
        <v>No</v>
      </c>
      <c r="AE1497" s="5" t="str">
        <f ca="1">IFERROR(__xludf.DUMMYFUNCTION("""COMPUTED_VALUE"""),"No")</f>
        <v>No</v>
      </c>
      <c r="AF1497" s="5" t="str">
        <f ca="1">IFERROR(__xludf.DUMMYFUNCTION("""COMPUTED_VALUE"""),"No")</f>
        <v>No</v>
      </c>
      <c r="AG1497" s="5" t="str">
        <f ca="1">IFERROR(__xludf.DUMMYFUNCTION("""COMPUTED_VALUE"""),"No")</f>
        <v>No</v>
      </c>
      <c r="AH1497" s="5"/>
    </row>
    <row r="1498" spans="1:34" ht="12.75">
      <c r="A1498" s="5" t="str">
        <f ca="1">IFERROR(__xludf.DUMMYFUNCTION("""COMPUTED_VALUE"""),"19970221NVRAL")</f>
        <v>19970221NVRAL</v>
      </c>
      <c r="B1498" s="8">
        <f ca="1">IFERROR(__xludf.DUMMYFUNCTION("""COMPUTED_VALUE"""),35482)</f>
        <v>35482</v>
      </c>
      <c r="C1498" s="5" t="str">
        <f ca="1">IFERROR(__xludf.DUMMYFUNCTION("""COMPUTED_VALUE"""),"Rancho High School")</f>
        <v>Rancho High School</v>
      </c>
      <c r="D1498" s="5">
        <f ca="1">IFERROR(__xludf.DUMMYFUNCTION("""COMPUTED_VALUE"""),0)</f>
        <v>0</v>
      </c>
      <c r="E1498" s="5">
        <f ca="1">IFERROR(__xludf.DUMMYFUNCTION("""COMPUTED_VALUE"""),1)</f>
        <v>1</v>
      </c>
      <c r="F1498" s="5">
        <f ca="1">IFERROR(__xludf.DUMMYFUNCTION("""COMPUTED_VALUE"""),1)</f>
        <v>1</v>
      </c>
      <c r="G1498" s="5">
        <f ca="1">IFERROR(__xludf.DUMMYFUNCTION("""COMPUTED_VALUE"""),0)</f>
        <v>0</v>
      </c>
      <c r="H1498" s="9" t="str">
        <f ca="1">IFERROR(__xludf.DUMMYFUNCTION("""COMPUTED_VALUE"""),"https://m.lasvegassun.com/news/1997/feb/21/rival-gangs-blamed-in-rancho-shooting/")</f>
        <v>https://m.lasvegassun.com/news/1997/feb/21/rival-gangs-blamed-in-rancho-shooting/</v>
      </c>
      <c r="I1498" s="5"/>
      <c r="J1498" s="5"/>
      <c r="K1498" s="5">
        <f ca="1">IFERROR(__xludf.DUMMYFUNCTION("""COMPUTED_VALUE"""),3)</f>
        <v>3</v>
      </c>
      <c r="L1498" s="5" t="str">
        <f ca="1">IFERROR(__xludf.DUMMYFUNCTION("""COMPUTED_VALUE"""),"Winter")</f>
        <v>Winter</v>
      </c>
      <c r="M1498" s="5" t="str">
        <f ca="1">IFERROR(__xludf.DUMMYFUNCTION("""COMPUTED_VALUE"""),"Las Vegas")</f>
        <v>Las Vegas</v>
      </c>
      <c r="N1498" s="5" t="str">
        <f ca="1">IFERROR(__xludf.DUMMYFUNCTION("""COMPUTED_VALUE"""),"NV")</f>
        <v>NV</v>
      </c>
      <c r="O1498" s="5" t="str">
        <f ca="1">IFERROR(__xludf.DUMMYFUNCTION("""COMPUTED_VALUE"""),"High")</f>
        <v>High</v>
      </c>
      <c r="P1498" s="5" t="str">
        <f ca="1">IFERROR(__xludf.DUMMYFUNCTION("""COMPUTED_VALUE"""),"Parking Lot")</f>
        <v>Parking Lot</v>
      </c>
      <c r="Q1498" s="5" t="str">
        <f ca="1">IFERROR(__xludf.DUMMYFUNCTION("""COMPUTED_VALUE"""),"Outside on School Property")</f>
        <v>Outside on School Property</v>
      </c>
      <c r="R1498" s="5" t="str">
        <f ca="1">IFERROR(__xludf.DUMMYFUNCTION("""COMPUTED_VALUE"""),"Yes")</f>
        <v>Yes</v>
      </c>
      <c r="S1498" s="5" t="str">
        <f ca="1">IFERROR(__xludf.DUMMYFUNCTION("""COMPUTED_VALUE"""),"Dismissal")</f>
        <v>Dismissal</v>
      </c>
      <c r="T1498" s="10">
        <f ca="1">IFERROR(__xludf.DUMMYFUNCTION("""COMPUTED_VALUE"""),0.541666666666666)</f>
        <v>0.54166666666666596</v>
      </c>
      <c r="U1498" s="5">
        <f ca="1">IFERROR(__xludf.DUMMYFUNCTION("""COMPUTED_VALUE"""),1)</f>
        <v>1</v>
      </c>
      <c r="V1498" s="5" t="str">
        <f ca="1">IFERROR(__xludf.DUMMYFUNCTION("""COMPUTED_VALUE"""),"Student shot during dismissal by rival gang members")</f>
        <v>Student shot during dismissal by rival gang members</v>
      </c>
      <c r="W1498"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X1498" s="5" t="str">
        <f ca="1">IFERROR(__xludf.DUMMYFUNCTION("""COMPUTED_VALUE"""),"Escalation of Dispute")</f>
        <v>Escalation of Dispute</v>
      </c>
      <c r="Y1498" s="5" t="str">
        <f ca="1">IFERROR(__xludf.DUMMYFUNCTION("""COMPUTED_VALUE"""),"Victims Targeted")</f>
        <v>Victims Targeted</v>
      </c>
      <c r="Z1498" s="5" t="str">
        <f ca="1">IFERROR(__xludf.DUMMYFUNCTION("""COMPUTED_VALUE"""),"Yes")</f>
        <v>Yes</v>
      </c>
      <c r="AA1498" s="5" t="str">
        <f ca="1">IFERROR(__xludf.DUMMYFUNCTION("""COMPUTED_VALUE"""),"2 other students in vehicle")</f>
        <v>2 other students in vehicle</v>
      </c>
      <c r="AB1498" s="5" t="str">
        <f ca="1">IFERROR(__xludf.DUMMYFUNCTION("""COMPUTED_VALUE"""),"No")</f>
        <v>No</v>
      </c>
      <c r="AC1498" s="5" t="str">
        <f ca="1">IFERROR(__xludf.DUMMYFUNCTION("""COMPUTED_VALUE"""),"No")</f>
        <v>No</v>
      </c>
      <c r="AD1498" s="5" t="str">
        <f ca="1">IFERROR(__xludf.DUMMYFUNCTION("""COMPUTED_VALUE"""),"No")</f>
        <v>No</v>
      </c>
      <c r="AE1498" s="5" t="str">
        <f ca="1">IFERROR(__xludf.DUMMYFUNCTION("""COMPUTED_VALUE"""),"No")</f>
        <v>No</v>
      </c>
      <c r="AF1498" s="5" t="str">
        <f ca="1">IFERROR(__xludf.DUMMYFUNCTION("""COMPUTED_VALUE"""),"No")</f>
        <v>No</v>
      </c>
      <c r="AG1498" s="5" t="str">
        <f ca="1">IFERROR(__xludf.DUMMYFUNCTION("""COMPUTED_VALUE"""),"Yes")</f>
        <v>Yes</v>
      </c>
      <c r="AH1498" s="5" t="str">
        <f ca="1">IFERROR(__xludf.DUMMYFUNCTION("""COMPUTED_VALUE"""),"No")</f>
        <v>No</v>
      </c>
    </row>
    <row r="1499" spans="1:34" ht="12.75">
      <c r="A1499" s="5" t="str">
        <f ca="1">IFERROR(__xludf.DUMMYFUNCTION("""COMPUTED_VALUE"""),"19970220FLFIJ")</f>
        <v>19970220FLFIJ</v>
      </c>
      <c r="B1499" s="8">
        <f ca="1">IFERROR(__xludf.DUMMYFUNCTION("""COMPUTED_VALUE"""),35481)</f>
        <v>35481</v>
      </c>
      <c r="C1499" s="5" t="str">
        <f ca="1">IFERROR(__xludf.DUMMYFUNCTION("""COMPUTED_VALUE"""),"First Coast High School")</f>
        <v>First Coast High School</v>
      </c>
      <c r="D1499" s="5">
        <f ca="1">IFERROR(__xludf.DUMMYFUNCTION("""COMPUTED_VALUE"""),0)</f>
        <v>0</v>
      </c>
      <c r="E1499" s="5">
        <f ca="1">IFERROR(__xludf.DUMMYFUNCTION("""COMPUTED_VALUE"""),0)</f>
        <v>0</v>
      </c>
      <c r="F1499" s="5">
        <f ca="1">IFERROR(__xludf.DUMMYFUNCTION("""COMPUTED_VALUE"""),0)</f>
        <v>0</v>
      </c>
      <c r="G1499" s="5">
        <f ca="1">IFERROR(__xludf.DUMMYFUNCTION("""COMPUTED_VALUE"""),1)</f>
        <v>1</v>
      </c>
      <c r="H1499"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I1499" s="5"/>
      <c r="J1499" s="5"/>
      <c r="K1499" s="5">
        <f ca="1">IFERROR(__xludf.DUMMYFUNCTION("""COMPUTED_VALUE"""),1)</f>
        <v>1</v>
      </c>
      <c r="L1499" s="5" t="str">
        <f ca="1">IFERROR(__xludf.DUMMYFUNCTION("""COMPUTED_VALUE"""),"Winter")</f>
        <v>Winter</v>
      </c>
      <c r="M1499" s="5" t="str">
        <f ca="1">IFERROR(__xludf.DUMMYFUNCTION("""COMPUTED_VALUE"""),"Jacksonville")</f>
        <v>Jacksonville</v>
      </c>
      <c r="N1499" s="5" t="str">
        <f ca="1">IFERROR(__xludf.DUMMYFUNCTION("""COMPUTED_VALUE"""),"FL")</f>
        <v>FL</v>
      </c>
      <c r="O1499" s="5" t="str">
        <f ca="1">IFERROR(__xludf.DUMMYFUNCTION("""COMPUTED_VALUE"""),"High")</f>
        <v>High</v>
      </c>
      <c r="P1499" s="5" t="str">
        <f ca="1">IFERROR(__xludf.DUMMYFUNCTION("""COMPUTED_VALUE"""),"Field (General)")</f>
        <v>Field (General)</v>
      </c>
      <c r="Q1499" s="5" t="str">
        <f ca="1">IFERROR(__xludf.DUMMYFUNCTION("""COMPUTED_VALUE"""),"Outside on School Property")</f>
        <v>Outside on School Property</v>
      </c>
      <c r="R1499" s="5" t="str">
        <f ca="1">IFERROR(__xludf.DUMMYFUNCTION("""COMPUTED_VALUE"""),"No")</f>
        <v>No</v>
      </c>
      <c r="S1499" s="5" t="str">
        <f ca="1">IFERROR(__xludf.DUMMYFUNCTION("""COMPUTED_VALUE"""),"After School")</f>
        <v>After School</v>
      </c>
      <c r="T1499" s="5"/>
      <c r="U1499" s="5">
        <f ca="1">IFERROR(__xludf.DUMMYFUNCTION("""COMPUTED_VALUE"""),1)</f>
        <v>1</v>
      </c>
      <c r="V1499" s="5" t="str">
        <f ca="1">IFERROR(__xludf.DUMMYFUNCTION("""COMPUTED_VALUE"""),"Student shot herself on field after sports tryout")</f>
        <v>Student shot herself on field after sports tryout</v>
      </c>
      <c r="W1499"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X1499" s="5" t="str">
        <f ca="1">IFERROR(__xludf.DUMMYFUNCTION("""COMPUTED_VALUE"""),"Suicide/Attempted")</f>
        <v>Suicide/Attempted</v>
      </c>
      <c r="Y1499" s="5" t="str">
        <f ca="1">IFERROR(__xludf.DUMMYFUNCTION("""COMPUTED_VALUE"""),"Victims Targeted")</f>
        <v>Victims Targeted</v>
      </c>
      <c r="Z1499" s="5" t="str">
        <f ca="1">IFERROR(__xludf.DUMMYFUNCTION("""COMPUTED_VALUE"""),"No")</f>
        <v>No</v>
      </c>
      <c r="AA1499" s="5"/>
      <c r="AB1499" s="5" t="str">
        <f ca="1">IFERROR(__xludf.DUMMYFUNCTION("""COMPUTED_VALUE"""),"No")</f>
        <v>No</v>
      </c>
      <c r="AC1499" s="5" t="str">
        <f ca="1">IFERROR(__xludf.DUMMYFUNCTION("""COMPUTED_VALUE"""),"No")</f>
        <v>No</v>
      </c>
      <c r="AD1499" s="5" t="str">
        <f ca="1">IFERROR(__xludf.DUMMYFUNCTION("""COMPUTED_VALUE"""),"No")</f>
        <v>No</v>
      </c>
      <c r="AE1499" s="5" t="str">
        <f ca="1">IFERROR(__xludf.DUMMYFUNCTION("""COMPUTED_VALUE"""),"No")</f>
        <v>No</v>
      </c>
      <c r="AF1499" s="5" t="str">
        <f ca="1">IFERROR(__xludf.DUMMYFUNCTION("""COMPUTED_VALUE"""),"No")</f>
        <v>No</v>
      </c>
      <c r="AG1499" s="5" t="str">
        <f ca="1">IFERROR(__xludf.DUMMYFUNCTION("""COMPUTED_VALUE"""),"No")</f>
        <v>No</v>
      </c>
      <c r="AH1499" s="5"/>
    </row>
    <row r="1500" spans="1:34" ht="12.75">
      <c r="A1500" s="5" t="str">
        <f ca="1">IFERROR(__xludf.DUMMYFUNCTION("""COMPUTED_VALUE"""),"19970219AKBEB")</f>
        <v>19970219AKBEB</v>
      </c>
      <c r="B1500" s="8">
        <f ca="1">IFERROR(__xludf.DUMMYFUNCTION("""COMPUTED_VALUE"""),35480)</f>
        <v>35480</v>
      </c>
      <c r="C1500" s="5" t="str">
        <f ca="1">IFERROR(__xludf.DUMMYFUNCTION("""COMPUTED_VALUE"""),"Bethel Regional High School")</f>
        <v>Bethel Regional High School</v>
      </c>
      <c r="D1500" s="5">
        <f ca="1">IFERROR(__xludf.DUMMYFUNCTION("""COMPUTED_VALUE"""),2)</f>
        <v>2</v>
      </c>
      <c r="E1500" s="5">
        <f ca="1">IFERROR(__xludf.DUMMYFUNCTION("""COMPUTED_VALUE"""),2)</f>
        <v>2</v>
      </c>
      <c r="F1500" s="5">
        <f ca="1">IFERROR(__xludf.DUMMYFUNCTION("""COMPUTED_VALUE"""),4)</f>
        <v>4</v>
      </c>
      <c r="G1500" s="5">
        <f ca="1">IFERROR(__xludf.DUMMYFUNCTION("""COMPUTED_VALUE"""),0)</f>
        <v>0</v>
      </c>
      <c r="H1500"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I1500" s="5"/>
      <c r="J1500" s="5"/>
      <c r="K1500" s="5">
        <f ca="1">IFERROR(__xludf.DUMMYFUNCTION("""COMPUTED_VALUE"""),2)</f>
        <v>2</v>
      </c>
      <c r="L1500" s="5" t="str">
        <f ca="1">IFERROR(__xludf.DUMMYFUNCTION("""COMPUTED_VALUE"""),"Winter")</f>
        <v>Winter</v>
      </c>
      <c r="M1500" s="5" t="str">
        <f ca="1">IFERROR(__xludf.DUMMYFUNCTION("""COMPUTED_VALUE"""),"Bethel")</f>
        <v>Bethel</v>
      </c>
      <c r="N1500" s="5" t="str">
        <f ca="1">IFERROR(__xludf.DUMMYFUNCTION("""COMPUTED_VALUE"""),"AK")</f>
        <v>AK</v>
      </c>
      <c r="O1500" s="5" t="str">
        <f ca="1">IFERROR(__xludf.DUMMYFUNCTION("""COMPUTED_VALUE"""),"High")</f>
        <v>High</v>
      </c>
      <c r="P1500" s="5" t="str">
        <f ca="1">IFERROR(__xludf.DUMMYFUNCTION("""COMPUTED_VALUE"""),"Entryway")</f>
        <v>Entryway</v>
      </c>
      <c r="Q1500" s="5" t="str">
        <f ca="1">IFERROR(__xludf.DUMMYFUNCTION("""COMPUTED_VALUE"""),"Inside School Building")</f>
        <v>Inside School Building</v>
      </c>
      <c r="R1500" s="5" t="str">
        <f ca="1">IFERROR(__xludf.DUMMYFUNCTION("""COMPUTED_VALUE"""),"Yes")</f>
        <v>Yes</v>
      </c>
      <c r="S1500" s="5" t="str">
        <f ca="1">IFERROR(__xludf.DUMMYFUNCTION("""COMPUTED_VALUE"""),"School Start")</f>
        <v>School Start</v>
      </c>
      <c r="T1500" s="10">
        <f ca="1">IFERROR(__xludf.DUMMYFUNCTION("""COMPUTED_VALUE"""),0.364583333333333)</f>
        <v>0.36458333333333298</v>
      </c>
      <c r="U1500" s="5"/>
      <c r="V1500" s="5" t="str">
        <f ca="1">IFERROR(__xludf.DUMMYFUNCTION("""COMPUTED_VALUE"""),"Prolonged bullying, asked teachers for help")</f>
        <v>Prolonged bullying, asked teachers for help</v>
      </c>
      <c r="W1500"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X1500" s="5" t="str">
        <f ca="1">IFERROR(__xludf.DUMMYFUNCTION("""COMPUTED_VALUE"""),"Bullying")</f>
        <v>Bullying</v>
      </c>
      <c r="Y1500" s="5" t="str">
        <f ca="1">IFERROR(__xludf.DUMMYFUNCTION("""COMPUTED_VALUE"""),"Random Shooting")</f>
        <v>Random Shooting</v>
      </c>
      <c r="Z1500" s="5"/>
      <c r="AA1500" s="5"/>
      <c r="AB1500" s="5" t="str">
        <f ca="1">IFERROR(__xludf.DUMMYFUNCTION("""COMPUTED_VALUE"""),"No")</f>
        <v>No</v>
      </c>
      <c r="AC1500" s="5" t="str">
        <f ca="1">IFERROR(__xludf.DUMMYFUNCTION("""COMPUTED_VALUE"""),"No")</f>
        <v>No</v>
      </c>
      <c r="AD1500" s="5" t="str">
        <f ca="1">IFERROR(__xludf.DUMMYFUNCTION("""COMPUTED_VALUE"""),"No")</f>
        <v>No</v>
      </c>
      <c r="AE1500" s="5" t="str">
        <f ca="1">IFERROR(__xludf.DUMMYFUNCTION("""COMPUTED_VALUE"""),"Yes")</f>
        <v>Yes</v>
      </c>
      <c r="AF1500" s="5" t="str">
        <f ca="1">IFERROR(__xludf.DUMMYFUNCTION("""COMPUTED_VALUE"""),"No")</f>
        <v>No</v>
      </c>
      <c r="AG1500" s="5" t="str">
        <f ca="1">IFERROR(__xludf.DUMMYFUNCTION("""COMPUTED_VALUE"""),"No")</f>
        <v>No</v>
      </c>
      <c r="AH1500" s="5" t="str">
        <f ca="1">IFERROR(__xludf.DUMMYFUNCTION("""COMPUTED_VALUE"""),"Yes")</f>
        <v>Yes</v>
      </c>
    </row>
    <row r="1501" spans="1:34" ht="12.75">
      <c r="A1501" s="5" t="str">
        <f ca="1">IFERROR(__xludf.DUMMYFUNCTION("""COMPUTED_VALUE"""),"19970213NYSAB")</f>
        <v>19970213NYSAB</v>
      </c>
      <c r="B1501" s="8">
        <f ca="1">IFERROR(__xludf.DUMMYFUNCTION("""COMPUTED_VALUE"""),35474)</f>
        <v>35474</v>
      </c>
      <c r="C1501" s="5" t="str">
        <f ca="1">IFERROR(__xludf.DUMMYFUNCTION("""COMPUTED_VALUE"""),"Samuel Gompers High School")</f>
        <v>Samuel Gompers High School</v>
      </c>
      <c r="D1501" s="5">
        <f ca="1">IFERROR(__xludf.DUMMYFUNCTION("""COMPUTED_VALUE"""),0)</f>
        <v>0</v>
      </c>
      <c r="E1501" s="5">
        <f ca="1">IFERROR(__xludf.DUMMYFUNCTION("""COMPUTED_VALUE"""),1)</f>
        <v>1</v>
      </c>
      <c r="F1501" s="5">
        <f ca="1">IFERROR(__xludf.DUMMYFUNCTION("""COMPUTED_VALUE"""),1)</f>
        <v>1</v>
      </c>
      <c r="G1501" s="5">
        <f ca="1">IFERROR(__xludf.DUMMYFUNCTION("""COMPUTED_VALUE"""),0)</f>
        <v>0</v>
      </c>
      <c r="H1501" s="9" t="str">
        <f ca="1">IFERROR(__xludf.DUMMYFUNCTION("""COMPUTED_VALUE"""),"https://www.nytimes.com/1997/02/14/nyregion/gunfire-injures-2-students-at-high-schools-in-bronx.html?auth=login-google")</f>
        <v>https://www.nytimes.com/1997/02/14/nyregion/gunfire-injures-2-students-at-high-schools-in-bronx.html?auth=login-google</v>
      </c>
      <c r="I1501" s="5"/>
      <c r="J1501" s="5"/>
      <c r="K1501" s="5">
        <f ca="1">IFERROR(__xludf.DUMMYFUNCTION("""COMPUTED_VALUE"""),3)</f>
        <v>3</v>
      </c>
      <c r="L1501" s="5" t="str">
        <f ca="1">IFERROR(__xludf.DUMMYFUNCTION("""COMPUTED_VALUE"""),"Winter")</f>
        <v>Winter</v>
      </c>
      <c r="M1501" s="5" t="str">
        <f ca="1">IFERROR(__xludf.DUMMYFUNCTION("""COMPUTED_VALUE"""),"Bronx")</f>
        <v>Bronx</v>
      </c>
      <c r="N1501" s="5" t="str">
        <f ca="1">IFERROR(__xludf.DUMMYFUNCTION("""COMPUTED_VALUE"""),"NY")</f>
        <v>NY</v>
      </c>
      <c r="O1501" s="5" t="str">
        <f ca="1">IFERROR(__xludf.DUMMYFUNCTION("""COMPUTED_VALUE"""),"High")</f>
        <v>High</v>
      </c>
      <c r="P1501" s="5" t="str">
        <f ca="1">IFERROR(__xludf.DUMMYFUNCTION("""COMPUTED_VALUE"""),"Beside Building")</f>
        <v>Beside Building</v>
      </c>
      <c r="Q1501" s="5" t="str">
        <f ca="1">IFERROR(__xludf.DUMMYFUNCTION("""COMPUTED_VALUE"""),"Outside on School Property")</f>
        <v>Outside on School Property</v>
      </c>
      <c r="R1501" s="5" t="str">
        <f ca="1">IFERROR(__xludf.DUMMYFUNCTION("""COMPUTED_VALUE"""),"Yes")</f>
        <v>Yes</v>
      </c>
      <c r="S1501" s="5" t="str">
        <f ca="1">IFERROR(__xludf.DUMMYFUNCTION("""COMPUTED_VALUE"""),"Dismissal")</f>
        <v>Dismissal</v>
      </c>
      <c r="T1501" s="5"/>
      <c r="U1501" s="5">
        <f ca="1">IFERROR(__xludf.DUMMYFUNCTION("""COMPUTED_VALUE"""),1)</f>
        <v>1</v>
      </c>
      <c r="V1501" s="5" t="str">
        <f ca="1">IFERROR(__xludf.DUMMYFUNCTION("""COMPUTED_VALUE"""),"Student shot in leg during fight outside school at dismissal")</f>
        <v>Student shot in leg during fight outside school at dismissal</v>
      </c>
      <c r="W1501"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X1501" s="5" t="str">
        <f ca="1">IFERROR(__xludf.DUMMYFUNCTION("""COMPUTED_VALUE"""),"Escalation of Dispute")</f>
        <v>Escalation of Dispute</v>
      </c>
      <c r="Y1501" s="5" t="str">
        <f ca="1">IFERROR(__xludf.DUMMYFUNCTION("""COMPUTED_VALUE"""),"Victims Targeted")</f>
        <v>Victims Targeted</v>
      </c>
      <c r="Z1501" s="5" t="str">
        <f ca="1">IFERROR(__xludf.DUMMYFUNCTION("""COMPUTED_VALUE"""),"Yes")</f>
        <v>Yes</v>
      </c>
      <c r="AA1501" s="5" t="str">
        <f ca="1">IFERROR(__xludf.DUMMYFUNCTION("""COMPUTED_VALUE"""),"Two students fled")</f>
        <v>Two students fled</v>
      </c>
      <c r="AB1501" s="5" t="str">
        <f ca="1">IFERROR(__xludf.DUMMYFUNCTION("""COMPUTED_VALUE"""),"No")</f>
        <v>No</v>
      </c>
      <c r="AC1501" s="5" t="str">
        <f ca="1">IFERROR(__xludf.DUMMYFUNCTION("""COMPUTED_VALUE"""),"No")</f>
        <v>No</v>
      </c>
      <c r="AD1501" s="5" t="str">
        <f ca="1">IFERROR(__xludf.DUMMYFUNCTION("""COMPUTED_VALUE"""),"No")</f>
        <v>No</v>
      </c>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IFERROR(__xludf.DUMMYFUNCTION("""COMPUTED_VALUE"""),"No")</f>
        <v>No</v>
      </c>
    </row>
    <row r="1502" spans="1:34" ht="12.75">
      <c r="A1502" s="5" t="str">
        <f ca="1">IFERROR(__xludf.DUMMYFUNCTION("""COMPUTED_VALUE"""),"19970213NYMOB")</f>
        <v>19970213NYMOB</v>
      </c>
      <c r="B1502" s="8">
        <f ca="1">IFERROR(__xludf.DUMMYFUNCTION("""COMPUTED_VALUE"""),35474)</f>
        <v>35474</v>
      </c>
      <c r="C1502" s="5" t="str">
        <f ca="1">IFERROR(__xludf.DUMMYFUNCTION("""COMPUTED_VALUE"""),"Morris High School")</f>
        <v>Morris High School</v>
      </c>
      <c r="D1502" s="5">
        <f ca="1">IFERROR(__xludf.DUMMYFUNCTION("""COMPUTED_VALUE"""),0)</f>
        <v>0</v>
      </c>
      <c r="E1502" s="5">
        <f ca="1">IFERROR(__xludf.DUMMYFUNCTION("""COMPUTED_VALUE"""),1)</f>
        <v>1</v>
      </c>
      <c r="F1502" s="5">
        <f ca="1">IFERROR(__xludf.DUMMYFUNCTION("""COMPUTED_VALUE"""),1)</f>
        <v>1</v>
      </c>
      <c r="G1502" s="5">
        <f ca="1">IFERROR(__xludf.DUMMYFUNCTION("""COMPUTED_VALUE"""),0)</f>
        <v>0</v>
      </c>
      <c r="H1502" s="9" t="str">
        <f ca="1">IFERROR(__xludf.DUMMYFUNCTION("""COMPUTED_VALUE"""),"https://www.nytimes.com/1997/02/14/nyregion/gunfire-injures-2-students-at-high-schools-in-bronx.html?auth=login-google")</f>
        <v>https://www.nytimes.com/1997/02/14/nyregion/gunfire-injures-2-students-at-high-schools-in-bronx.html?auth=login-google</v>
      </c>
      <c r="I1502" s="5"/>
      <c r="J1502" s="5"/>
      <c r="K1502" s="5">
        <f ca="1">IFERROR(__xludf.DUMMYFUNCTION("""COMPUTED_VALUE"""),3)</f>
        <v>3</v>
      </c>
      <c r="L1502" s="5" t="str">
        <f ca="1">IFERROR(__xludf.DUMMYFUNCTION("""COMPUTED_VALUE"""),"Winter")</f>
        <v>Winter</v>
      </c>
      <c r="M1502" s="5" t="str">
        <f ca="1">IFERROR(__xludf.DUMMYFUNCTION("""COMPUTED_VALUE"""),"Bronx")</f>
        <v>Bronx</v>
      </c>
      <c r="N1502" s="5" t="str">
        <f ca="1">IFERROR(__xludf.DUMMYFUNCTION("""COMPUTED_VALUE"""),"NY")</f>
        <v>NY</v>
      </c>
      <c r="O1502" s="5" t="str">
        <f ca="1">IFERROR(__xludf.DUMMYFUNCTION("""COMPUTED_VALUE"""),"High")</f>
        <v>High</v>
      </c>
      <c r="P1502" s="5" t="str">
        <f ca="1">IFERROR(__xludf.DUMMYFUNCTION("""COMPUTED_VALUE"""),"Hallway")</f>
        <v>Hallway</v>
      </c>
      <c r="Q1502" s="5" t="str">
        <f ca="1">IFERROR(__xludf.DUMMYFUNCTION("""COMPUTED_VALUE"""),"Inside School Building")</f>
        <v>Inside School Building</v>
      </c>
      <c r="R1502" s="5" t="str">
        <f ca="1">IFERROR(__xludf.DUMMYFUNCTION("""COMPUTED_VALUE"""),"Yes")</f>
        <v>Yes</v>
      </c>
      <c r="S1502" s="5" t="str">
        <f ca="1">IFERROR(__xludf.DUMMYFUNCTION("""COMPUTED_VALUE"""),"Morning Classes")</f>
        <v>Morning Classes</v>
      </c>
      <c r="T1502" s="5"/>
      <c r="U1502" s="5">
        <f ca="1">IFERROR(__xludf.DUMMYFUNCTION("""COMPUTED_VALUE"""),1)</f>
        <v>1</v>
      </c>
      <c r="V1502" s="5" t="str">
        <f ca="1">IFERROR(__xludf.DUMMYFUNCTION("""COMPUTED_VALUE"""),"Accidental discharge while showing off gun")</f>
        <v>Accidental discharge while showing off gun</v>
      </c>
      <c r="W1502"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X1502" s="5" t="str">
        <f ca="1">IFERROR(__xludf.DUMMYFUNCTION("""COMPUTED_VALUE"""),"Accidental")</f>
        <v>Accidental</v>
      </c>
      <c r="Y1502" s="5" t="str">
        <f ca="1">IFERROR(__xludf.DUMMYFUNCTION("""COMPUTED_VALUE"""),"Random Shooting")</f>
        <v>Random Shooting</v>
      </c>
      <c r="Z1502" s="5" t="str">
        <f ca="1">IFERROR(__xludf.DUMMYFUNCTION("""COMPUTED_VALUE"""),"Yes")</f>
        <v>Yes</v>
      </c>
      <c r="AA1502"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B1502" s="5" t="str">
        <f ca="1">IFERROR(__xludf.DUMMYFUNCTION("""COMPUTED_VALUE"""),"No")</f>
        <v>No</v>
      </c>
      <c r="AC1502" s="5" t="str">
        <f ca="1">IFERROR(__xludf.DUMMYFUNCTION("""COMPUTED_VALUE"""),"No")</f>
        <v>No</v>
      </c>
      <c r="AD1502" s="5" t="str">
        <f ca="1">IFERROR(__xludf.DUMMYFUNCTION("""COMPUTED_VALUE"""),"No")</f>
        <v>No</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row>
    <row r="1503" spans="1:34" ht="12.75">
      <c r="A1503" s="5" t="str">
        <f ca="1">IFERROR(__xludf.DUMMYFUNCTION("""COMPUTED_VALUE"""),"19970206MSWIJ")</f>
        <v>19970206MSWIJ</v>
      </c>
      <c r="B1503" s="8">
        <f ca="1">IFERROR(__xludf.DUMMYFUNCTION("""COMPUTED_VALUE"""),35467)</f>
        <v>35467</v>
      </c>
      <c r="C1503" s="5" t="str">
        <f ca="1">IFERROR(__xludf.DUMMYFUNCTION("""COMPUTED_VALUE"""),"Wingfield High School")</f>
        <v>Wingfield High School</v>
      </c>
      <c r="D1503" s="5">
        <f ca="1">IFERROR(__xludf.DUMMYFUNCTION("""COMPUTED_VALUE"""),0)</f>
        <v>0</v>
      </c>
      <c r="E1503" s="5">
        <f ca="1">IFERROR(__xludf.DUMMYFUNCTION("""COMPUTED_VALUE"""),1)</f>
        <v>1</v>
      </c>
      <c r="F1503" s="5">
        <f ca="1">IFERROR(__xludf.DUMMYFUNCTION("""COMPUTED_VALUE"""),1)</f>
        <v>1</v>
      </c>
      <c r="G1503" s="5">
        <f ca="1">IFERROR(__xludf.DUMMYFUNCTION("""COMPUTED_VALUE"""),0)</f>
        <v>0</v>
      </c>
      <c r="H1503"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I1503" s="5"/>
      <c r="J1503" s="5"/>
      <c r="K1503" s="5">
        <f ca="1">IFERROR(__xludf.DUMMYFUNCTION("""COMPUTED_VALUE"""),3)</f>
        <v>3</v>
      </c>
      <c r="L1503" s="5" t="str">
        <f ca="1">IFERROR(__xludf.DUMMYFUNCTION("""COMPUTED_VALUE"""),"Winter")</f>
        <v>Winter</v>
      </c>
      <c r="M1503" s="5" t="str">
        <f ca="1">IFERROR(__xludf.DUMMYFUNCTION("""COMPUTED_VALUE"""),"Jackson")</f>
        <v>Jackson</v>
      </c>
      <c r="N1503" s="5" t="str">
        <f ca="1">IFERROR(__xludf.DUMMYFUNCTION("""COMPUTED_VALUE"""),"MS")</f>
        <v>MS</v>
      </c>
      <c r="O1503" s="5" t="str">
        <f ca="1">IFERROR(__xludf.DUMMYFUNCTION("""COMPUTED_VALUE"""),"High")</f>
        <v>High</v>
      </c>
      <c r="P1503" s="5" t="str">
        <f ca="1">IFERROR(__xludf.DUMMYFUNCTION("""COMPUTED_VALUE"""),"Parking Lot")</f>
        <v>Parking Lot</v>
      </c>
      <c r="Q1503" s="5" t="str">
        <f ca="1">IFERROR(__xludf.DUMMYFUNCTION("""COMPUTED_VALUE"""),"Off School Property")</f>
        <v>Off School Property</v>
      </c>
      <c r="R1503" s="5" t="str">
        <f ca="1">IFERROR(__xludf.DUMMYFUNCTION("""COMPUTED_VALUE"""),"Yes")</f>
        <v>Yes</v>
      </c>
      <c r="S1503" s="5" t="str">
        <f ca="1">IFERROR(__xludf.DUMMYFUNCTION("""COMPUTED_VALUE"""),"Before School")</f>
        <v>Before School</v>
      </c>
      <c r="T1503" s="10">
        <f ca="1">IFERROR(__xludf.DUMMYFUNCTION("""COMPUTED_VALUE"""),0.354166666666666)</f>
        <v>0.35416666666666602</v>
      </c>
      <c r="U1503" s="5">
        <f ca="1">IFERROR(__xludf.DUMMYFUNCTION("""COMPUTED_VALUE"""),1)</f>
        <v>1</v>
      </c>
      <c r="V1503" s="5" t="str">
        <f ca="1">IFERROR(__xludf.DUMMYFUNCTION("""COMPUTED_VALUE"""),"Escalation of argument")</f>
        <v>Escalation of argument</v>
      </c>
      <c r="W1503"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X1503" s="5" t="str">
        <f ca="1">IFERROR(__xludf.DUMMYFUNCTION("""COMPUTED_VALUE"""),"Escalation of Dispute")</f>
        <v>Escalation of Dispute</v>
      </c>
      <c r="Y1503" s="5" t="str">
        <f ca="1">IFERROR(__xludf.DUMMYFUNCTION("""COMPUTED_VALUE"""),"Victims Targeted")</f>
        <v>Victims Targeted</v>
      </c>
      <c r="Z1503" s="5" t="str">
        <f ca="1">IFERROR(__xludf.DUMMYFUNCTION("""COMPUTED_VALUE"""),"No")</f>
        <v>No</v>
      </c>
      <c r="AA1503" s="5"/>
      <c r="AB1503" s="5" t="str">
        <f ca="1">IFERROR(__xludf.DUMMYFUNCTION("""COMPUTED_VALUE"""),"No")</f>
        <v>No</v>
      </c>
      <c r="AC1503" s="5" t="str">
        <f ca="1">IFERROR(__xludf.DUMMYFUNCTION("""COMPUTED_VALUE"""),"No")</f>
        <v>No</v>
      </c>
      <c r="AD1503" s="5" t="str">
        <f ca="1">IFERROR(__xludf.DUMMYFUNCTION("""COMPUTED_VALUE"""),"No")</f>
        <v>No</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row>
    <row r="1504" spans="1:34" ht="12.75">
      <c r="A1504" s="5" t="str">
        <f ca="1">IFERROR(__xludf.DUMMYFUNCTION("""COMPUTED_VALUE"""),"19970127FLCOW")</f>
        <v>19970127FLCOW</v>
      </c>
      <c r="B1504" s="8">
        <f ca="1">IFERROR(__xludf.DUMMYFUNCTION("""COMPUTED_VALUE"""),35457)</f>
        <v>35457</v>
      </c>
      <c r="C1504" s="5" t="str">
        <f ca="1">IFERROR(__xludf.DUMMYFUNCTION("""COMPUTED_VALUE"""),"Conniston Middle School")</f>
        <v>Conniston Middle School</v>
      </c>
      <c r="D1504" s="5">
        <f ca="1">IFERROR(__xludf.DUMMYFUNCTION("""COMPUTED_VALUE"""),1)</f>
        <v>1</v>
      </c>
      <c r="E1504" s="5">
        <f ca="1">IFERROR(__xludf.DUMMYFUNCTION("""COMPUTED_VALUE"""),0)</f>
        <v>0</v>
      </c>
      <c r="F1504" s="5">
        <f ca="1">IFERROR(__xludf.DUMMYFUNCTION("""COMPUTED_VALUE"""),1)</f>
        <v>1</v>
      </c>
      <c r="G1504" s="5">
        <f ca="1">IFERROR(__xludf.DUMMYFUNCTION("""COMPUTED_VALUE"""),0)</f>
        <v>0</v>
      </c>
      <c r="H1504"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I1504" s="5"/>
      <c r="J1504" s="5"/>
      <c r="K1504" s="5">
        <f ca="1">IFERROR(__xludf.DUMMYFUNCTION("""COMPUTED_VALUE"""),2)</f>
        <v>2</v>
      </c>
      <c r="L1504" s="5" t="str">
        <f ca="1">IFERROR(__xludf.DUMMYFUNCTION("""COMPUTED_VALUE"""),"Winter")</f>
        <v>Winter</v>
      </c>
      <c r="M1504" s="5" t="str">
        <f ca="1">IFERROR(__xludf.DUMMYFUNCTION("""COMPUTED_VALUE"""),"West Palm Beach")</f>
        <v>West Palm Beach</v>
      </c>
      <c r="N1504" s="5" t="str">
        <f ca="1">IFERROR(__xludf.DUMMYFUNCTION("""COMPUTED_VALUE"""),"FL")</f>
        <v>FL</v>
      </c>
      <c r="O1504" s="5" t="str">
        <f ca="1">IFERROR(__xludf.DUMMYFUNCTION("""COMPUTED_VALUE"""),"Middle")</f>
        <v>Middle</v>
      </c>
      <c r="P1504" s="5" t="str">
        <f ca="1">IFERROR(__xludf.DUMMYFUNCTION("""COMPUTED_VALUE"""),"Front of School")</f>
        <v>Front of School</v>
      </c>
      <c r="Q1504" s="5" t="str">
        <f ca="1">IFERROR(__xludf.DUMMYFUNCTION("""COMPUTED_VALUE"""),"Outside on School Property")</f>
        <v>Outside on School Property</v>
      </c>
      <c r="R1504" s="5" t="str">
        <f ca="1">IFERROR(__xludf.DUMMYFUNCTION("""COMPUTED_VALUE"""),"Yes")</f>
        <v>Yes</v>
      </c>
      <c r="S1504" s="5" t="str">
        <f ca="1">IFERROR(__xludf.DUMMYFUNCTION("""COMPUTED_VALUE"""),"Before School")</f>
        <v>Before School</v>
      </c>
      <c r="T1504" s="10">
        <f ca="1">IFERROR(__xludf.DUMMYFUNCTION("""COMPUTED_VALUE"""),0.361111111111111)</f>
        <v>0.36111111111111099</v>
      </c>
      <c r="U1504" s="5">
        <f ca="1">IFERROR(__xludf.DUMMYFUNCTION("""COMPUTED_VALUE"""),1)</f>
        <v>1</v>
      </c>
      <c r="V1504" s="5" t="str">
        <f ca="1">IFERROR(__xludf.DUMMYFUNCTION("""COMPUTED_VALUE"""),"Shooter had a history of bullying victim, ongoing debt, fight over watch, shot victim before school started")</f>
        <v>Shooter had a history of bullying victim, ongoing debt, fight over watch, shot victim before school started</v>
      </c>
      <c r="W1504"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X1504" s="5" t="str">
        <f ca="1">IFERROR(__xludf.DUMMYFUNCTION("""COMPUTED_VALUE"""),"Escalation of Dispute")</f>
        <v>Escalation of Dispute</v>
      </c>
      <c r="Y1504" s="5" t="str">
        <f ca="1">IFERROR(__xludf.DUMMYFUNCTION("""COMPUTED_VALUE"""),"Victims Targeted")</f>
        <v>Victims Targeted</v>
      </c>
      <c r="Z1504" s="5" t="str">
        <f ca="1">IFERROR(__xludf.DUMMYFUNCTION("""COMPUTED_VALUE"""),"No")</f>
        <v>No</v>
      </c>
      <c r="AA1504" s="5"/>
      <c r="AB1504" s="5" t="str">
        <f ca="1">IFERROR(__xludf.DUMMYFUNCTION("""COMPUTED_VALUE"""),"No")</f>
        <v>No</v>
      </c>
      <c r="AC1504" s="5" t="str">
        <f ca="1">IFERROR(__xludf.DUMMYFUNCTION("""COMPUTED_VALUE"""),"No")</f>
        <v>No</v>
      </c>
      <c r="AD1504" s="5" t="str">
        <f ca="1">IFERROR(__xludf.DUMMYFUNCTION("""COMPUTED_VALUE"""),"No")</f>
        <v>No</v>
      </c>
      <c r="AE1504" s="5" t="str">
        <f ca="1">IFERROR(__xludf.DUMMYFUNCTION("""COMPUTED_VALUE"""),"No")</f>
        <v>No</v>
      </c>
      <c r="AF1504" s="5" t="str">
        <f ca="1">IFERROR(__xludf.DUMMYFUNCTION("""COMPUTED_VALUE"""),"No")</f>
        <v>No</v>
      </c>
      <c r="AG1504" s="5" t="str">
        <f ca="1">IFERROR(__xludf.DUMMYFUNCTION("""COMPUTED_VALUE"""),"No")</f>
        <v>No</v>
      </c>
      <c r="AH1504" s="5"/>
    </row>
    <row r="1505" spans="1:34" ht="12.75">
      <c r="A1505" s="5" t="str">
        <f ca="1">IFERROR(__xludf.DUMMYFUNCTION("""COMPUTED_VALUE"""),"19970108NYCRN")</f>
        <v>19970108NYCRN</v>
      </c>
      <c r="B1505" s="8">
        <f ca="1">IFERROR(__xludf.DUMMYFUNCTION("""COMPUTED_VALUE"""),35438)</f>
        <v>35438</v>
      </c>
      <c r="C1505" s="5" t="str">
        <f ca="1">IFERROR(__xludf.DUMMYFUNCTION("""COMPUTED_VALUE"""),"Crown Heights High School")</f>
        <v>Crown Heights High School</v>
      </c>
      <c r="D1505" s="5">
        <f ca="1">IFERROR(__xludf.DUMMYFUNCTION("""COMPUTED_VALUE"""),1)</f>
        <v>1</v>
      </c>
      <c r="E1505" s="5">
        <f ca="1">IFERROR(__xludf.DUMMYFUNCTION("""COMPUTED_VALUE"""),3)</f>
        <v>3</v>
      </c>
      <c r="F1505" s="5">
        <f ca="1">IFERROR(__xludf.DUMMYFUNCTION("""COMPUTED_VALUE"""),4)</f>
        <v>4</v>
      </c>
      <c r="G1505" s="5">
        <f ca="1">IFERROR(__xludf.DUMMYFUNCTION("""COMPUTED_VALUE"""),0)</f>
        <v>0</v>
      </c>
      <c r="H1505"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I1505" s="5"/>
      <c r="J1505" s="5"/>
      <c r="K1505" s="5">
        <f ca="1">IFERROR(__xludf.DUMMYFUNCTION("""COMPUTED_VALUE"""),2)</f>
        <v>2</v>
      </c>
      <c r="L1505" s="5" t="str">
        <f ca="1">IFERROR(__xludf.DUMMYFUNCTION("""COMPUTED_VALUE"""),"Winter")</f>
        <v>Winter</v>
      </c>
      <c r="M1505" s="5" t="str">
        <f ca="1">IFERROR(__xludf.DUMMYFUNCTION("""COMPUTED_VALUE"""),"New York")</f>
        <v>New York</v>
      </c>
      <c r="N1505" s="5" t="str">
        <f ca="1">IFERROR(__xludf.DUMMYFUNCTION("""COMPUTED_VALUE"""),"NY")</f>
        <v>NY</v>
      </c>
      <c r="O1505" s="5" t="str">
        <f ca="1">IFERROR(__xludf.DUMMYFUNCTION("""COMPUTED_VALUE"""),"High")</f>
        <v>High</v>
      </c>
      <c r="P1505" s="5" t="str">
        <f ca="1">IFERROR(__xludf.DUMMYFUNCTION("""COMPUTED_VALUE"""),"Basketball Court")</f>
        <v>Basketball Court</v>
      </c>
      <c r="Q1505" s="5" t="str">
        <f ca="1">IFERROR(__xludf.DUMMYFUNCTION("""COMPUTED_VALUE"""),"Off School Property")</f>
        <v>Off School Property</v>
      </c>
      <c r="R1505" s="5" t="str">
        <f ca="1">IFERROR(__xludf.DUMMYFUNCTION("""COMPUTED_VALUE"""),"Yes")</f>
        <v>Yes</v>
      </c>
      <c r="S1505" s="5" t="str">
        <f ca="1">IFERROR(__xludf.DUMMYFUNCTION("""COMPUTED_VALUE"""),"Afternoon Classes")</f>
        <v>Afternoon Classes</v>
      </c>
      <c r="T1505" s="10">
        <f ca="1">IFERROR(__xludf.DUMMYFUNCTION("""COMPUTED_VALUE"""),0.552083333333333)</f>
        <v>0.55208333333333304</v>
      </c>
      <c r="U1505" s="5">
        <f ca="1">IFERROR(__xludf.DUMMYFUNCTION("""COMPUTED_VALUE"""),1)</f>
        <v>1</v>
      </c>
      <c r="V1505"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W1505"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X1505" s="5" t="str">
        <f ca="1">IFERROR(__xludf.DUMMYFUNCTION("""COMPUTED_VALUE"""),"Escalation of Dispute")</f>
        <v>Escalation of Dispute</v>
      </c>
      <c r="Y1505" s="5" t="str">
        <f ca="1">IFERROR(__xludf.DUMMYFUNCTION("""COMPUTED_VALUE"""),"Both")</f>
        <v>Both</v>
      </c>
      <c r="Z1505" s="5" t="str">
        <f ca="1">IFERROR(__xludf.DUMMYFUNCTION("""COMPUTED_VALUE"""),"Yes")</f>
        <v>Yes</v>
      </c>
      <c r="AA1505" s="5" t="str">
        <f ca="1">IFERROR(__xludf.DUMMYFUNCTION("""COMPUTED_VALUE"""),"3 shooters")</f>
        <v>3 shooters</v>
      </c>
      <c r="AB1505" s="5" t="str">
        <f ca="1">IFERROR(__xludf.DUMMYFUNCTION("""COMPUTED_VALUE"""),"No")</f>
        <v>No</v>
      </c>
      <c r="AC1505" s="5" t="str">
        <f ca="1">IFERROR(__xludf.DUMMYFUNCTION("""COMPUTED_VALUE"""),"N/A")</f>
        <v>N/A</v>
      </c>
      <c r="AD1505" s="5" t="str">
        <f ca="1">IFERROR(__xludf.DUMMYFUNCTION("""COMPUTED_VALUE"""),"No")</f>
        <v>No</v>
      </c>
      <c r="AE1505" s="5" t="str">
        <f ca="1">IFERROR(__xludf.DUMMYFUNCTION("""COMPUTED_VALUE"""),"No")</f>
        <v>No</v>
      </c>
      <c r="AF1505" s="5" t="str">
        <f ca="1">IFERROR(__xludf.DUMMYFUNCTION("""COMPUTED_VALUE"""),"No")</f>
        <v>No</v>
      </c>
      <c r="AG1505" s="5" t="str">
        <f ca="1">IFERROR(__xludf.DUMMYFUNCTION("""COMPUTED_VALUE"""),"Yes")</f>
        <v>Yes</v>
      </c>
      <c r="AH1505" s="5"/>
    </row>
    <row r="1506" spans="1:34" ht="12.75">
      <c r="A1506" s="5" t="str">
        <f ca="1">IFERROR(__xludf.DUMMYFUNCTION("""COMPUTED_VALUE"""),"19961127CAHIS")</f>
        <v>19961127CAHIS</v>
      </c>
      <c r="B1506" s="8">
        <f ca="1">IFERROR(__xludf.DUMMYFUNCTION("""COMPUTED_VALUE"""),35396)</f>
        <v>35396</v>
      </c>
      <c r="C1506" s="5" t="str">
        <f ca="1">IFERROR(__xludf.DUMMYFUNCTION("""COMPUTED_VALUE"""),"Highlands High School")</f>
        <v>Highlands High School</v>
      </c>
      <c r="D1506" s="5">
        <f ca="1">IFERROR(__xludf.DUMMYFUNCTION("""COMPUTED_VALUE"""),1)</f>
        <v>1</v>
      </c>
      <c r="E1506" s="5">
        <f ca="1">IFERROR(__xludf.DUMMYFUNCTION("""COMPUTED_VALUE"""),0)</f>
        <v>0</v>
      </c>
      <c r="F1506" s="5">
        <f ca="1">IFERROR(__xludf.DUMMYFUNCTION("""COMPUTED_VALUE"""),1)</f>
        <v>1</v>
      </c>
      <c r="G1506" s="5">
        <f ca="1">IFERROR(__xludf.DUMMYFUNCTION("""COMPUTED_VALUE"""),0)</f>
        <v>0</v>
      </c>
      <c r="H1506" s="9" t="str">
        <f ca="1">IFERROR(__xludf.DUMMYFUNCTION("""COMPUTED_VALUE"""),"http://www.psychceu.com/school_violence/savd.pdf")</f>
        <v>http://www.psychceu.com/school_violence/savd.pdf</v>
      </c>
      <c r="I1506" s="5"/>
      <c r="J1506" s="5"/>
      <c r="K1506" s="5">
        <f ca="1">IFERROR(__xludf.DUMMYFUNCTION("""COMPUTED_VALUE"""),1)</f>
        <v>1</v>
      </c>
      <c r="L1506" s="5" t="str">
        <f ca="1">IFERROR(__xludf.DUMMYFUNCTION("""COMPUTED_VALUE"""),"Fall")</f>
        <v>Fall</v>
      </c>
      <c r="M1506" s="5" t="str">
        <f ca="1">IFERROR(__xludf.DUMMYFUNCTION("""COMPUTED_VALUE"""),"Sacramento")</f>
        <v>Sacramento</v>
      </c>
      <c r="N1506" s="5" t="str">
        <f ca="1">IFERROR(__xludf.DUMMYFUNCTION("""COMPUTED_VALUE"""),"CA")</f>
        <v>CA</v>
      </c>
      <c r="O1506" s="5" t="str">
        <f ca="1">IFERROR(__xludf.DUMMYFUNCTION("""COMPUTED_VALUE"""),"High")</f>
        <v>High</v>
      </c>
      <c r="P1506" s="5" t="str">
        <f ca="1">IFERROR(__xludf.DUMMYFUNCTION("""COMPUTED_VALUE"""),"Basketball Court")</f>
        <v>Basketball Court</v>
      </c>
      <c r="Q1506" s="5" t="str">
        <f ca="1">IFERROR(__xludf.DUMMYFUNCTION("""COMPUTED_VALUE"""),"Outside on School Property")</f>
        <v>Outside on School Property</v>
      </c>
      <c r="R1506" s="5" t="str">
        <f ca="1">IFERROR(__xludf.DUMMYFUNCTION("""COMPUTED_VALUE"""),"No")</f>
        <v>No</v>
      </c>
      <c r="S1506" s="5" t="str">
        <f ca="1">IFERROR(__xludf.DUMMYFUNCTION("""COMPUTED_VALUE"""),"Evening")</f>
        <v>Evening</v>
      </c>
      <c r="T1506" s="5"/>
      <c r="U1506" s="5">
        <f ca="1">IFERROR(__xludf.DUMMYFUNCTION("""COMPUTED_VALUE"""),1)</f>
        <v>1</v>
      </c>
      <c r="V1506" s="5" t="str">
        <f ca="1">IFERROR(__xludf.DUMMYFUNCTION("""COMPUTED_VALUE"""),"Officers gun discharged during fight killing victim")</f>
        <v>Officers gun discharged during fight killing victim</v>
      </c>
      <c r="W1506"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X1506" s="5" t="str">
        <f ca="1">IFERROR(__xludf.DUMMYFUNCTION("""COMPUTED_VALUE"""),"Accidental")</f>
        <v>Accidental</v>
      </c>
      <c r="Y1506" s="5" t="str">
        <f ca="1">IFERROR(__xludf.DUMMYFUNCTION("""COMPUTED_VALUE"""),"Victims Targeted")</f>
        <v>Victims Targeted</v>
      </c>
      <c r="Z1506" s="5" t="str">
        <f ca="1">IFERROR(__xludf.DUMMYFUNCTION("""COMPUTED_VALUE"""),"No")</f>
        <v>No</v>
      </c>
      <c r="AA1506" s="5"/>
      <c r="AB1506" s="5" t="str">
        <f ca="1">IFERROR(__xludf.DUMMYFUNCTION("""COMPUTED_VALUE"""),"No")</f>
        <v>No</v>
      </c>
      <c r="AC1506" s="5" t="str">
        <f ca="1">IFERROR(__xludf.DUMMYFUNCTION("""COMPUTED_VALUE"""),"No")</f>
        <v>No</v>
      </c>
      <c r="AD1506" s="5" t="str">
        <f ca="1">IFERROR(__xludf.DUMMYFUNCTION("""COMPUTED_VALUE"""),"Yes")</f>
        <v>Yes</v>
      </c>
      <c r="AE1506" s="5" t="str">
        <f ca="1">IFERROR(__xludf.DUMMYFUNCTION("""COMPUTED_VALUE"""),"N/A")</f>
        <v>N/A</v>
      </c>
      <c r="AF1506" s="5" t="str">
        <f ca="1">IFERROR(__xludf.DUMMYFUNCTION("""COMPUTED_VALUE"""),"N/A")</f>
        <v>N/A</v>
      </c>
      <c r="AG1506" s="5" t="str">
        <f ca="1">IFERROR(__xludf.DUMMYFUNCTION("""COMPUTED_VALUE"""),"N/A")</f>
        <v>N/A</v>
      </c>
      <c r="AH1506" s="5" t="str">
        <f ca="1">IFERROR(__xludf.DUMMYFUNCTION("""COMPUTED_VALUE"""),"N/A")</f>
        <v>N/A</v>
      </c>
    </row>
    <row r="1507" spans="1:34" ht="12.75">
      <c r="A1507" s="5" t="str">
        <f ca="1">IFERROR(__xludf.DUMMYFUNCTION("""COMPUTED_VALUE"""),"19961014MOSUS")</f>
        <v>19961014MOSUS</v>
      </c>
      <c r="B1507" s="8">
        <f ca="1">IFERROR(__xludf.DUMMYFUNCTION("""COMPUTED_VALUE"""),35352)</f>
        <v>35352</v>
      </c>
      <c r="C1507" s="5" t="str">
        <f ca="1">IFERROR(__xludf.DUMMYFUNCTION("""COMPUTED_VALUE"""),"Sumner High School")</f>
        <v>Sumner High School</v>
      </c>
      <c r="D1507" s="5">
        <f ca="1">IFERROR(__xludf.DUMMYFUNCTION("""COMPUTED_VALUE"""),1)</f>
        <v>1</v>
      </c>
      <c r="E1507" s="5">
        <f ca="1">IFERROR(__xludf.DUMMYFUNCTION("""COMPUTED_VALUE"""),0)</f>
        <v>0</v>
      </c>
      <c r="F1507" s="5">
        <f ca="1">IFERROR(__xludf.DUMMYFUNCTION("""COMPUTED_VALUE"""),1)</f>
        <v>1</v>
      </c>
      <c r="G1507" s="5">
        <f ca="1">IFERROR(__xludf.DUMMYFUNCTION("""COMPUTED_VALUE"""),0)</f>
        <v>0</v>
      </c>
      <c r="H1507" s="9" t="str">
        <f ca="1">IFERROR(__xludf.DUMMYFUNCTION("""COMPUTED_VALUE"""),"http://www.psychceu.com/school_violence/savd.pdf")</f>
        <v>http://www.psychceu.com/school_violence/savd.pdf</v>
      </c>
      <c r="I1507" s="5"/>
      <c r="J1507" s="5"/>
      <c r="K1507" s="5">
        <f ca="1">IFERROR(__xludf.DUMMYFUNCTION("""COMPUTED_VALUE"""),1)</f>
        <v>1</v>
      </c>
      <c r="L1507" s="5" t="str">
        <f ca="1">IFERROR(__xludf.DUMMYFUNCTION("""COMPUTED_VALUE"""),"Fall")</f>
        <v>Fall</v>
      </c>
      <c r="M1507" s="5" t="str">
        <f ca="1">IFERROR(__xludf.DUMMYFUNCTION("""COMPUTED_VALUE"""),"St. Louis")</f>
        <v>St. Louis</v>
      </c>
      <c r="N1507" s="5" t="str">
        <f ca="1">IFERROR(__xludf.DUMMYFUNCTION("""COMPUTED_VALUE"""),"MO")</f>
        <v>MO</v>
      </c>
      <c r="O1507" s="5" t="str">
        <f ca="1">IFERROR(__xludf.DUMMYFUNCTION("""COMPUTED_VALUE"""),"High")</f>
        <v>High</v>
      </c>
      <c r="P1507" s="5" t="str">
        <f ca="1">IFERROR(__xludf.DUMMYFUNCTION("""COMPUTED_VALUE"""),"Inside School Building")</f>
        <v>Inside School Building</v>
      </c>
      <c r="Q1507" s="5" t="str">
        <f ca="1">IFERROR(__xludf.DUMMYFUNCTION("""COMPUTED_VALUE"""),"Inside School Building")</f>
        <v>Inside School Building</v>
      </c>
      <c r="R1507" s="5" t="str">
        <f ca="1">IFERROR(__xludf.DUMMYFUNCTION("""COMPUTED_VALUE"""),"Yes")</f>
        <v>Yes</v>
      </c>
      <c r="S1507" s="5"/>
      <c r="T1507" s="5"/>
      <c r="U1507" s="5">
        <f ca="1">IFERROR(__xludf.DUMMYFUNCTION("""COMPUTED_VALUE"""),1)</f>
        <v>1</v>
      </c>
      <c r="V1507" s="5" t="str">
        <f ca="1">IFERROR(__xludf.DUMMYFUNCTION("""COMPUTED_VALUE"""),"Shots fired during fight in hallway")</f>
        <v>Shots fired during fight in hallway</v>
      </c>
      <c r="W1507" s="5" t="str">
        <f ca="1">IFERROR(__xludf.DUMMYFUNCTION("""COMPUTED_VALUE"""),"17YOM shot by 15YOM during a fight among several students;")</f>
        <v>17YOM shot by 15YOM during a fight among several students;</v>
      </c>
      <c r="X1507" s="5" t="str">
        <f ca="1">IFERROR(__xludf.DUMMYFUNCTION("""COMPUTED_VALUE"""),"Escalation of Dispute")</f>
        <v>Escalation of Dispute</v>
      </c>
      <c r="Y1507" s="5" t="str">
        <f ca="1">IFERROR(__xludf.DUMMYFUNCTION("""COMPUTED_VALUE"""),"Victims Targeted")</f>
        <v>Victims Targeted</v>
      </c>
      <c r="Z1507" s="5" t="str">
        <f ca="1">IFERROR(__xludf.DUMMYFUNCTION("""COMPUTED_VALUE"""),"Unknown")</f>
        <v>Unknown</v>
      </c>
      <c r="AA1507" s="5" t="str">
        <f ca="1">IFERROR(__xludf.DUMMYFUNCTION("""COMPUTED_VALUE"""),"Several students involved in fight")</f>
        <v>Several students involved in fight</v>
      </c>
      <c r="AB1507" s="5" t="str">
        <f ca="1">IFERROR(__xludf.DUMMYFUNCTION("""COMPUTED_VALUE"""),"No")</f>
        <v>No</v>
      </c>
      <c r="AC1507" s="5" t="str">
        <f ca="1">IFERROR(__xludf.DUMMYFUNCTION("""COMPUTED_VALUE"""),"No")</f>
        <v>No</v>
      </c>
      <c r="AD1507" s="5" t="str">
        <f ca="1">IFERROR(__xludf.DUMMYFUNCTION("""COMPUTED_VALUE"""),"No")</f>
        <v>No</v>
      </c>
      <c r="AE1507" s="5" t="str">
        <f ca="1">IFERROR(__xludf.DUMMYFUNCTION("""COMPUTED_VALUE"""),"No")</f>
        <v>No</v>
      </c>
      <c r="AF1507" s="5" t="str">
        <f ca="1">IFERROR(__xludf.DUMMYFUNCTION("""COMPUTED_VALUE"""),"No")</f>
        <v>No</v>
      </c>
      <c r="AG1507" s="5"/>
      <c r="AH1507" s="5"/>
    </row>
    <row r="1508" spans="1:34" ht="12.75">
      <c r="A1508" s="5" t="str">
        <f ca="1">IFERROR(__xludf.DUMMYFUNCTION("""COMPUTED_VALUE"""),"19961009ARJAS")</f>
        <v>19961009ARJAS</v>
      </c>
      <c r="B1508" s="8">
        <f ca="1">IFERROR(__xludf.DUMMYFUNCTION("""COMPUTED_VALUE"""),35347)</f>
        <v>35347</v>
      </c>
      <c r="C1508" s="5" t="str">
        <f ca="1">IFERROR(__xludf.DUMMYFUNCTION("""COMPUTED_VALUE"""),"Jacksonville High School bus")</f>
        <v>Jacksonville High School bus</v>
      </c>
      <c r="D1508" s="5">
        <f ca="1">IFERROR(__xludf.DUMMYFUNCTION("""COMPUTED_VALUE"""),1)</f>
        <v>1</v>
      </c>
      <c r="E1508" s="5">
        <f ca="1">IFERROR(__xludf.DUMMYFUNCTION("""COMPUTED_VALUE"""),0)</f>
        <v>0</v>
      </c>
      <c r="F1508" s="5">
        <f ca="1">IFERROR(__xludf.DUMMYFUNCTION("""COMPUTED_VALUE"""),1)</f>
        <v>1</v>
      </c>
      <c r="G1508" s="5">
        <f ca="1">IFERROR(__xludf.DUMMYFUNCTION("""COMPUTED_VALUE"""),0)</f>
        <v>0</v>
      </c>
      <c r="H1508" s="9" t="str">
        <f ca="1">IFERROR(__xludf.DUMMYFUNCTION("""COMPUTED_VALUE"""),"https://www.upi.com/Archives/1996/10/10/Teen-charged-in-school-bus-slaying/5274844920000/")</f>
        <v>https://www.upi.com/Archives/1996/10/10/Teen-charged-in-school-bus-slaying/5274844920000/</v>
      </c>
      <c r="I1508" s="5"/>
      <c r="J1508" s="5"/>
      <c r="K1508" s="5">
        <f ca="1">IFERROR(__xludf.DUMMYFUNCTION("""COMPUTED_VALUE"""),2)</f>
        <v>2</v>
      </c>
      <c r="L1508" s="5" t="str">
        <f ca="1">IFERROR(__xludf.DUMMYFUNCTION("""COMPUTED_VALUE"""),"Fall")</f>
        <v>Fall</v>
      </c>
      <c r="M1508" s="5" t="str">
        <f ca="1">IFERROR(__xludf.DUMMYFUNCTION("""COMPUTED_VALUE"""),"Sherwood")</f>
        <v>Sherwood</v>
      </c>
      <c r="N1508" s="5" t="str">
        <f ca="1">IFERROR(__xludf.DUMMYFUNCTION("""COMPUTED_VALUE"""),"AR")</f>
        <v>AR</v>
      </c>
      <c r="O1508" s="5" t="str">
        <f ca="1">IFERROR(__xludf.DUMMYFUNCTION("""COMPUTED_VALUE"""),"High")</f>
        <v>High</v>
      </c>
      <c r="P1508" s="5" t="str">
        <f ca="1">IFERROR(__xludf.DUMMYFUNCTION("""COMPUTED_VALUE"""),"School Bus")</f>
        <v>School Bus</v>
      </c>
      <c r="Q1508" s="5" t="str">
        <f ca="1">IFERROR(__xludf.DUMMYFUNCTION("""COMPUTED_VALUE"""),"School Bus")</f>
        <v>School Bus</v>
      </c>
      <c r="R1508" s="5" t="str">
        <f ca="1">IFERROR(__xludf.DUMMYFUNCTION("""COMPUTED_VALUE"""),"No")</f>
        <v>No</v>
      </c>
      <c r="S1508" s="5"/>
      <c r="T1508" s="5"/>
      <c r="U1508" s="5">
        <f ca="1">IFERROR(__xludf.DUMMYFUNCTION("""COMPUTED_VALUE"""),1)</f>
        <v>1</v>
      </c>
      <c r="V1508" s="5" t="str">
        <f ca="1">IFERROR(__xludf.DUMMYFUNCTION("""COMPUTED_VALUE"""),"Fight (escalated)")</f>
        <v>Fight (escalated)</v>
      </c>
      <c r="W1508"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X1508" s="5" t="str">
        <f ca="1">IFERROR(__xludf.DUMMYFUNCTION("""COMPUTED_VALUE"""),"Escalation of Dispute")</f>
        <v>Escalation of Dispute</v>
      </c>
      <c r="Y1508" s="5" t="str">
        <f ca="1">IFERROR(__xludf.DUMMYFUNCTION("""COMPUTED_VALUE"""),"Victims Targeted")</f>
        <v>Victims Targeted</v>
      </c>
      <c r="Z1508" s="5" t="str">
        <f ca="1">IFERROR(__xludf.DUMMYFUNCTION("""COMPUTED_VALUE"""),"No")</f>
        <v>No</v>
      </c>
      <c r="AA1508" s="5"/>
      <c r="AB1508" s="5" t="str">
        <f ca="1">IFERROR(__xludf.DUMMYFUNCTION("""COMPUTED_VALUE"""),"No")</f>
        <v>No</v>
      </c>
      <c r="AC1508" s="5" t="str">
        <f ca="1">IFERROR(__xludf.DUMMYFUNCTION("""COMPUTED_VALUE"""),"No")</f>
        <v>No</v>
      </c>
      <c r="AD1508" s="5" t="str">
        <f ca="1">IFERROR(__xludf.DUMMYFUNCTION("""COMPUTED_VALUE"""),"No")</f>
        <v>No</v>
      </c>
      <c r="AE1508" s="5" t="str">
        <f ca="1">IFERROR(__xludf.DUMMYFUNCTION("""COMPUTED_VALUE"""),"No")</f>
        <v>No</v>
      </c>
      <c r="AF1508" s="5" t="str">
        <f ca="1">IFERROR(__xludf.DUMMYFUNCTION("""COMPUTED_VALUE"""),"No")</f>
        <v>No</v>
      </c>
      <c r="AG1508" s="5" t="str">
        <f ca="1">IFERROR(__xludf.DUMMYFUNCTION("""COMPUTED_VALUE"""),"No")</f>
        <v>No</v>
      </c>
      <c r="AH1508" s="5"/>
    </row>
    <row r="1509" spans="1:34" ht="12.75">
      <c r="A1509" s="5" t="str">
        <f ca="1">IFERROR(__xludf.DUMMYFUNCTION("""COMPUTED_VALUE"""),"19961004CASTP")</f>
        <v>19961004CASTP</v>
      </c>
      <c r="B1509" s="8">
        <f ca="1">IFERROR(__xludf.DUMMYFUNCTION("""COMPUTED_VALUE"""),35342)</f>
        <v>35342</v>
      </c>
      <c r="C1509" s="5" t="str">
        <f ca="1">IFERROR(__xludf.DUMMYFUNCTION("""COMPUTED_VALUE"""),"St. Bernard High School")</f>
        <v>St. Bernard High School</v>
      </c>
      <c r="D1509" s="5">
        <f ca="1">IFERROR(__xludf.DUMMYFUNCTION("""COMPUTED_VALUE"""),1)</f>
        <v>1</v>
      </c>
      <c r="E1509" s="5">
        <f ca="1">IFERROR(__xludf.DUMMYFUNCTION("""COMPUTED_VALUE"""),1)</f>
        <v>1</v>
      </c>
      <c r="F1509" s="5">
        <f ca="1">IFERROR(__xludf.DUMMYFUNCTION("""COMPUTED_VALUE"""),2)</f>
        <v>2</v>
      </c>
      <c r="G1509" s="5">
        <f ca="1">IFERROR(__xludf.DUMMYFUNCTION("""COMPUTED_VALUE"""),0)</f>
        <v>0</v>
      </c>
      <c r="H1509" s="9" t="str">
        <f ca="1">IFERROR(__xludf.DUMMYFUNCTION("""COMPUTED_VALUE"""),"http://www.psychceu.com/school_violence/savd.pdf")</f>
        <v>http://www.psychceu.com/school_violence/savd.pdf</v>
      </c>
      <c r="I1509" s="5"/>
      <c r="J1509" s="5"/>
      <c r="K1509" s="5">
        <f ca="1">IFERROR(__xludf.DUMMYFUNCTION("""COMPUTED_VALUE"""),1)</f>
        <v>1</v>
      </c>
      <c r="L1509" s="5" t="str">
        <f ca="1">IFERROR(__xludf.DUMMYFUNCTION("""COMPUTED_VALUE"""),"Fall")</f>
        <v>Fall</v>
      </c>
      <c r="M1509" s="5" t="str">
        <f ca="1">IFERROR(__xludf.DUMMYFUNCTION("""COMPUTED_VALUE"""),"Playa Del Rey")</f>
        <v>Playa Del Rey</v>
      </c>
      <c r="N1509" s="5" t="str">
        <f ca="1">IFERROR(__xludf.DUMMYFUNCTION("""COMPUTED_VALUE"""),"CA")</f>
        <v>CA</v>
      </c>
      <c r="O1509" s="5" t="str">
        <f ca="1">IFERROR(__xludf.DUMMYFUNCTION("""COMPUTED_VALUE"""),"High")</f>
        <v>High</v>
      </c>
      <c r="P1509" s="5" t="str">
        <f ca="1">IFERROR(__xludf.DUMMYFUNCTION("""COMPUTED_VALUE"""),"Football Field/Track")</f>
        <v>Football Field/Track</v>
      </c>
      <c r="Q1509" s="5" t="str">
        <f ca="1">IFERROR(__xludf.DUMMYFUNCTION("""COMPUTED_VALUE"""),"Outside on School Property")</f>
        <v>Outside on School Property</v>
      </c>
      <c r="R1509" s="5" t="str">
        <f ca="1">IFERROR(__xludf.DUMMYFUNCTION("""COMPUTED_VALUE"""),"No")</f>
        <v>No</v>
      </c>
      <c r="S1509" s="5" t="str">
        <f ca="1">IFERROR(__xludf.DUMMYFUNCTION("""COMPUTED_VALUE"""),"Sport Event")</f>
        <v>Sport Event</v>
      </c>
      <c r="T1509" s="10">
        <f ca="1">IFERROR(__xludf.DUMMYFUNCTION("""COMPUTED_VALUE"""),0.916666666666666)</f>
        <v>0.91666666666666596</v>
      </c>
      <c r="U1509" s="5">
        <f ca="1">IFERROR(__xludf.DUMMYFUNCTION("""COMPUTED_VALUE"""),1)</f>
        <v>1</v>
      </c>
      <c r="V1509" s="5" t="str">
        <f ca="1">IFERROR(__xludf.DUMMYFUNCTION("""COMPUTED_VALUE"""),"Shooting on track after football game")</f>
        <v>Shooting on track after football game</v>
      </c>
      <c r="W1509"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X1509" s="5" t="str">
        <f ca="1">IFERROR(__xludf.DUMMYFUNCTION("""COMPUTED_VALUE"""),"Escalation of Dispute")</f>
        <v>Escalation of Dispute</v>
      </c>
      <c r="Y1509" s="5"/>
      <c r="Z1509" s="5" t="str">
        <f ca="1">IFERROR(__xludf.DUMMYFUNCTION("""COMPUTED_VALUE"""),"No")</f>
        <v>No</v>
      </c>
      <c r="AA1509" s="5"/>
      <c r="AB1509" s="5" t="str">
        <f ca="1">IFERROR(__xludf.DUMMYFUNCTION("""COMPUTED_VALUE"""),"No")</f>
        <v>No</v>
      </c>
      <c r="AC1509" s="5" t="str">
        <f ca="1">IFERROR(__xludf.DUMMYFUNCTION("""COMPUTED_VALUE"""),"No")</f>
        <v>No</v>
      </c>
      <c r="AD1509" s="5" t="str">
        <f ca="1">IFERROR(__xludf.DUMMYFUNCTION("""COMPUTED_VALUE"""),"No")</f>
        <v>No</v>
      </c>
      <c r="AE1509" s="5" t="str">
        <f ca="1">IFERROR(__xludf.DUMMYFUNCTION("""COMPUTED_VALUE"""),"No")</f>
        <v>No</v>
      </c>
      <c r="AF1509" s="5" t="str">
        <f ca="1">IFERROR(__xludf.DUMMYFUNCTION("""COMPUTED_VALUE"""),"No")</f>
        <v>No</v>
      </c>
      <c r="AG1509" s="5"/>
      <c r="AH1509" s="5"/>
    </row>
    <row r="1510" spans="1:34" ht="12.75">
      <c r="A1510" s="5" t="str">
        <f ca="1">IFERROR(__xludf.DUMMYFUNCTION("""COMPUTED_VALUE"""),"19961002PASMP")</f>
        <v>19961002PASMP</v>
      </c>
      <c r="B1510" s="8">
        <f ca="1">IFERROR(__xludf.DUMMYFUNCTION("""COMPUTED_VALUE"""),35340)</f>
        <v>35340</v>
      </c>
      <c r="C1510" s="5" t="str">
        <f ca="1">IFERROR(__xludf.DUMMYFUNCTION("""COMPUTED_VALUE"""),"Smedley Elementary School")</f>
        <v>Smedley Elementary School</v>
      </c>
      <c r="D1510" s="5">
        <f ca="1">IFERROR(__xludf.DUMMYFUNCTION("""COMPUTED_VALUE"""),2)</f>
        <v>2</v>
      </c>
      <c r="E1510" s="5">
        <f ca="1">IFERROR(__xludf.DUMMYFUNCTION("""COMPUTED_VALUE"""),0)</f>
        <v>0</v>
      </c>
      <c r="F1510" s="5">
        <f ca="1">IFERROR(__xludf.DUMMYFUNCTION("""COMPUTED_VALUE"""),2)</f>
        <v>2</v>
      </c>
      <c r="G1510" s="5">
        <f ca="1">IFERROR(__xludf.DUMMYFUNCTION("""COMPUTED_VALUE"""),0)</f>
        <v>0</v>
      </c>
      <c r="H1510" s="9" t="str">
        <f ca="1">IFERROR(__xludf.DUMMYFUNCTION("""COMPUTED_VALUE"""),"http://www.psychceu.com/school_violence/savd.pdf")</f>
        <v>http://www.psychceu.com/school_violence/savd.pdf</v>
      </c>
      <c r="I1510" s="5"/>
      <c r="J1510" s="5"/>
      <c r="K1510" s="5">
        <f ca="1">IFERROR(__xludf.DUMMYFUNCTION("""COMPUTED_VALUE"""),1)</f>
        <v>1</v>
      </c>
      <c r="L1510" s="5" t="str">
        <f ca="1">IFERROR(__xludf.DUMMYFUNCTION("""COMPUTED_VALUE"""),"Fall")</f>
        <v>Fall</v>
      </c>
      <c r="M1510" s="5" t="str">
        <f ca="1">IFERROR(__xludf.DUMMYFUNCTION("""COMPUTED_VALUE"""),"Philadelphia")</f>
        <v>Philadelphia</v>
      </c>
      <c r="N1510" s="5" t="str">
        <f ca="1">IFERROR(__xludf.DUMMYFUNCTION("""COMPUTED_VALUE"""),"PA")</f>
        <v>PA</v>
      </c>
      <c r="O1510" s="5" t="str">
        <f ca="1">IFERROR(__xludf.DUMMYFUNCTION("""COMPUTED_VALUE"""),"Elementary")</f>
        <v>Elementary</v>
      </c>
      <c r="P1510" s="5" t="str">
        <f ca="1">IFERROR(__xludf.DUMMYFUNCTION("""COMPUTED_VALUE"""),"Parking Lot")</f>
        <v>Parking Lot</v>
      </c>
      <c r="Q1510" s="5" t="str">
        <f ca="1">IFERROR(__xludf.DUMMYFUNCTION("""COMPUTED_VALUE"""),"Outside on School Property")</f>
        <v>Outside on School Property</v>
      </c>
      <c r="R1510" s="5" t="str">
        <f ca="1">IFERROR(__xludf.DUMMYFUNCTION("""COMPUTED_VALUE"""),"Yes")</f>
        <v>Yes</v>
      </c>
      <c r="S1510" s="5" t="str">
        <f ca="1">IFERROR(__xludf.DUMMYFUNCTION("""COMPUTED_VALUE"""),"Dismissal")</f>
        <v>Dismissal</v>
      </c>
      <c r="T1510" s="5"/>
      <c r="U1510" s="5">
        <f ca="1">IFERROR(__xludf.DUMMYFUNCTION("""COMPUTED_VALUE"""),1)</f>
        <v>1</v>
      </c>
      <c r="V1510" s="5" t="str">
        <f ca="1">IFERROR(__xludf.DUMMYFUNCTION("""COMPUTED_VALUE"""),"Two women killed outside of school during domestic")</f>
        <v>Two women killed outside of school during domestic</v>
      </c>
      <c r="W1510"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X1510" s="5" t="str">
        <f ca="1">IFERROR(__xludf.DUMMYFUNCTION("""COMPUTED_VALUE"""),"Domestic w/ Targeted Victim")</f>
        <v>Domestic w/ Targeted Victim</v>
      </c>
      <c r="Y1510" s="5" t="str">
        <f ca="1">IFERROR(__xludf.DUMMYFUNCTION("""COMPUTED_VALUE"""),"Victims Targeted")</f>
        <v>Victims Targeted</v>
      </c>
      <c r="Z1510" s="5" t="str">
        <f ca="1">IFERROR(__xludf.DUMMYFUNCTION("""COMPUTED_VALUE"""),"No")</f>
        <v>No</v>
      </c>
      <c r="AA1510" s="5"/>
      <c r="AB1510" s="5" t="str">
        <f ca="1">IFERROR(__xludf.DUMMYFUNCTION("""COMPUTED_VALUE"""),"No")</f>
        <v>No</v>
      </c>
      <c r="AC1510" s="5" t="str">
        <f ca="1">IFERROR(__xludf.DUMMYFUNCTION("""COMPUTED_VALUE"""),"No")</f>
        <v>No</v>
      </c>
      <c r="AD1510" s="5" t="str">
        <f ca="1">IFERROR(__xludf.DUMMYFUNCTION("""COMPUTED_VALUE"""),"No")</f>
        <v>No</v>
      </c>
      <c r="AE1510" s="5" t="str">
        <f ca="1">IFERROR(__xludf.DUMMYFUNCTION("""COMPUTED_VALUE"""),"No")</f>
        <v>No</v>
      </c>
      <c r="AF1510" s="5" t="str">
        <f ca="1">IFERROR(__xludf.DUMMYFUNCTION("""COMPUTED_VALUE"""),"Yes")</f>
        <v>Yes</v>
      </c>
      <c r="AG1510" s="5" t="str">
        <f ca="1">IFERROR(__xludf.DUMMYFUNCTION("""COMPUTED_VALUE"""),"No")</f>
        <v>No</v>
      </c>
      <c r="AH1510" s="5"/>
    </row>
    <row r="1511" spans="1:34" ht="12.75">
      <c r="A1511" s="5" t="str">
        <f ca="1">IFERROR(__xludf.DUMMYFUNCTION("""COMPUTED_VALUE"""),"19960925GADED")</f>
        <v>19960925GADED</v>
      </c>
      <c r="B1511" s="8">
        <f ca="1">IFERROR(__xludf.DUMMYFUNCTION("""COMPUTED_VALUE"""),35333)</f>
        <v>35333</v>
      </c>
      <c r="C1511" s="5" t="str">
        <f ca="1">IFERROR(__xludf.DUMMYFUNCTION("""COMPUTED_VALUE"""),"Dekalb Alternative School")</f>
        <v>Dekalb Alternative School</v>
      </c>
      <c r="D1511" s="5">
        <f ca="1">IFERROR(__xludf.DUMMYFUNCTION("""COMPUTED_VALUE"""),1)</f>
        <v>1</v>
      </c>
      <c r="E1511" s="5">
        <f ca="1">IFERROR(__xludf.DUMMYFUNCTION("""COMPUTED_VALUE"""),0)</f>
        <v>0</v>
      </c>
      <c r="F1511" s="5">
        <f ca="1">IFERROR(__xludf.DUMMYFUNCTION("""COMPUTED_VALUE"""),1)</f>
        <v>1</v>
      </c>
      <c r="G1511" s="5">
        <f ca="1">IFERROR(__xludf.DUMMYFUNCTION("""COMPUTED_VALUE"""),0)</f>
        <v>0</v>
      </c>
      <c r="H1511"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I1511" s="5"/>
      <c r="J1511" s="5"/>
      <c r="K1511" s="5">
        <f ca="1">IFERROR(__xludf.DUMMYFUNCTION("""COMPUTED_VALUE"""),2)</f>
        <v>2</v>
      </c>
      <c r="L1511" s="5" t="str">
        <f ca="1">IFERROR(__xludf.DUMMYFUNCTION("""COMPUTED_VALUE"""),"Fall")</f>
        <v>Fall</v>
      </c>
      <c r="M1511" s="5" t="str">
        <f ca="1">IFERROR(__xludf.DUMMYFUNCTION("""COMPUTED_VALUE"""),"Decatur")</f>
        <v>Decatur</v>
      </c>
      <c r="N1511" s="5" t="str">
        <f ca="1">IFERROR(__xludf.DUMMYFUNCTION("""COMPUTED_VALUE"""),"GA")</f>
        <v>GA</v>
      </c>
      <c r="O1511" s="5" t="str">
        <f ca="1">IFERROR(__xludf.DUMMYFUNCTION("""COMPUTED_VALUE"""),"Unknown")</f>
        <v>Unknown</v>
      </c>
      <c r="P1511" s="5" t="str">
        <f ca="1">IFERROR(__xludf.DUMMYFUNCTION("""COMPUTED_VALUE"""),"Classroom")</f>
        <v>Classroom</v>
      </c>
      <c r="Q1511" s="5" t="str">
        <f ca="1">IFERROR(__xludf.DUMMYFUNCTION("""COMPUTED_VALUE"""),"Inside School Building")</f>
        <v>Inside School Building</v>
      </c>
      <c r="R1511" s="5" t="str">
        <f ca="1">IFERROR(__xludf.DUMMYFUNCTION("""COMPUTED_VALUE"""),"Yes")</f>
        <v>Yes</v>
      </c>
      <c r="S1511" s="5" t="str">
        <f ca="1">IFERROR(__xludf.DUMMYFUNCTION("""COMPUTED_VALUE"""),"Unknown")</f>
        <v>Unknown</v>
      </c>
      <c r="T1511" s="5"/>
      <c r="U1511" s="5">
        <f ca="1">IFERROR(__xludf.DUMMYFUNCTION("""COMPUTED_VALUE"""),1)</f>
        <v>1</v>
      </c>
      <c r="V1511" s="5" t="str">
        <f ca="1">IFERROR(__xludf.DUMMYFUNCTION("""COMPUTED_VALUE"""),"Recently expelled student shot teacher")</f>
        <v>Recently expelled student shot teacher</v>
      </c>
      <c r="W1511"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X1511" s="5" t="str">
        <f ca="1">IFERROR(__xludf.DUMMYFUNCTION("""COMPUTED_VALUE"""),"Anger Over Grade/Suspension/Discipline")</f>
        <v>Anger Over Grade/Suspension/Discipline</v>
      </c>
      <c r="Y1511" s="5" t="str">
        <f ca="1">IFERROR(__xludf.DUMMYFUNCTION("""COMPUTED_VALUE"""),"Victims Targeted")</f>
        <v>Victims Targeted</v>
      </c>
      <c r="Z1511" s="5" t="str">
        <f ca="1">IFERROR(__xludf.DUMMYFUNCTION("""COMPUTED_VALUE"""),"No")</f>
        <v>No</v>
      </c>
      <c r="AA1511" s="5"/>
      <c r="AB1511" s="5" t="str">
        <f ca="1">IFERROR(__xludf.DUMMYFUNCTION("""COMPUTED_VALUE"""),"No")</f>
        <v>No</v>
      </c>
      <c r="AC1511" s="5" t="str">
        <f ca="1">IFERROR(__xludf.DUMMYFUNCTION("""COMPUTED_VALUE"""),"No")</f>
        <v>No</v>
      </c>
      <c r="AD1511" s="5" t="str">
        <f ca="1">IFERROR(__xludf.DUMMYFUNCTION("""COMPUTED_VALUE"""),"No")</f>
        <v>No</v>
      </c>
      <c r="AE1511" s="5" t="str">
        <f ca="1">IFERROR(__xludf.DUMMYFUNCTION("""COMPUTED_VALUE"""),"No")</f>
        <v>No</v>
      </c>
      <c r="AF1511" s="5" t="str">
        <f ca="1">IFERROR(__xludf.DUMMYFUNCTION("""COMPUTED_VALUE"""),"No")</f>
        <v>No</v>
      </c>
      <c r="AG1511" s="5" t="str">
        <f ca="1">IFERROR(__xludf.DUMMYFUNCTION("""COMPUTED_VALUE"""),"No")</f>
        <v>No</v>
      </c>
      <c r="AH1511" s="5"/>
    </row>
    <row r="1512" spans="1:34" ht="12.75">
      <c r="A1512" s="5" t="str">
        <f ca="1">IFERROR(__xludf.DUMMYFUNCTION("""COMPUTED_VALUE"""),"19960726CAJOL")</f>
        <v>19960726CAJOL</v>
      </c>
      <c r="B1512" s="8">
        <f ca="1">IFERROR(__xludf.DUMMYFUNCTION("""COMPUTED_VALUE"""),35272)</f>
        <v>35272</v>
      </c>
      <c r="C1512" s="5" t="str">
        <f ca="1">IFERROR(__xludf.DUMMYFUNCTION("""COMPUTED_VALUE"""),"John Marshall High School")</f>
        <v>John Marshall High School</v>
      </c>
      <c r="D1512" s="5">
        <f ca="1">IFERROR(__xludf.DUMMYFUNCTION("""COMPUTED_VALUE"""),0)</f>
        <v>0</v>
      </c>
      <c r="E1512" s="5">
        <f ca="1">IFERROR(__xludf.DUMMYFUNCTION("""COMPUTED_VALUE"""),2)</f>
        <v>2</v>
      </c>
      <c r="F1512" s="5">
        <f ca="1">IFERROR(__xludf.DUMMYFUNCTION("""COMPUTED_VALUE"""),2)</f>
        <v>2</v>
      </c>
      <c r="G1512" s="5">
        <f ca="1">IFERROR(__xludf.DUMMYFUNCTION("""COMPUTED_VALUE"""),0)</f>
        <v>0</v>
      </c>
      <c r="H1512"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I1512" s="5"/>
      <c r="J1512" s="5"/>
      <c r="K1512" s="5">
        <f ca="1">IFERROR(__xludf.DUMMYFUNCTION("""COMPUTED_VALUE"""),1)</f>
        <v>1</v>
      </c>
      <c r="L1512" s="5" t="str">
        <f ca="1">IFERROR(__xludf.DUMMYFUNCTION("""COMPUTED_VALUE"""),"Summer")</f>
        <v>Summer</v>
      </c>
      <c r="M1512" s="5" t="str">
        <f ca="1">IFERROR(__xludf.DUMMYFUNCTION("""COMPUTED_VALUE"""),"Los Angeles")</f>
        <v>Los Angeles</v>
      </c>
      <c r="N1512" s="5" t="str">
        <f ca="1">IFERROR(__xludf.DUMMYFUNCTION("""COMPUTED_VALUE"""),"CA")</f>
        <v>CA</v>
      </c>
      <c r="O1512" s="5" t="str">
        <f ca="1">IFERROR(__xludf.DUMMYFUNCTION("""COMPUTED_VALUE"""),"High")</f>
        <v>High</v>
      </c>
      <c r="P1512" s="5" t="str">
        <f ca="1">IFERROR(__xludf.DUMMYFUNCTION("""COMPUTED_VALUE"""),"Hallway")</f>
        <v>Hallway</v>
      </c>
      <c r="Q1512" s="5" t="str">
        <f ca="1">IFERROR(__xludf.DUMMYFUNCTION("""COMPUTED_VALUE"""),"Inside School Building")</f>
        <v>Inside School Building</v>
      </c>
      <c r="R1512" s="5" t="str">
        <f ca="1">IFERROR(__xludf.DUMMYFUNCTION("""COMPUTED_VALUE"""),"Yes")</f>
        <v>Yes</v>
      </c>
      <c r="S1512" s="5" t="str">
        <f ca="1">IFERROR(__xludf.DUMMYFUNCTION("""COMPUTED_VALUE"""),"Afternoon Classes")</f>
        <v>Afternoon Classes</v>
      </c>
      <c r="T1512" s="10">
        <f ca="1">IFERROR(__xludf.DUMMYFUNCTION("""COMPUTED_VALUE"""),0.583333333333333)</f>
        <v>0.58333333333333304</v>
      </c>
      <c r="U1512" s="5">
        <f ca="1">IFERROR(__xludf.DUMMYFUNCTION("""COMPUTED_VALUE"""),1)</f>
        <v>1</v>
      </c>
      <c r="V1512" s="5" t="str">
        <f ca="1">IFERROR(__xludf.DUMMYFUNCTION("""COMPUTED_VALUE"""),"Missed intended target, hit two other students in stairwell")</f>
        <v>Missed intended target, hit two other students in stairwell</v>
      </c>
      <c r="W1512"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X1512" s="5" t="str">
        <f ca="1">IFERROR(__xludf.DUMMYFUNCTION("""COMPUTED_VALUE"""),"Escalation of Dispute")</f>
        <v>Escalation of Dispute</v>
      </c>
      <c r="Y1512" s="5" t="str">
        <f ca="1">IFERROR(__xludf.DUMMYFUNCTION("""COMPUTED_VALUE"""),"Both")</f>
        <v>Both</v>
      </c>
      <c r="Z1512" s="5" t="str">
        <f ca="1">IFERROR(__xludf.DUMMYFUNCTION("""COMPUTED_VALUE"""),"No")</f>
        <v>No</v>
      </c>
      <c r="AA1512" s="5"/>
      <c r="AB1512" s="5" t="str">
        <f ca="1">IFERROR(__xludf.DUMMYFUNCTION("""COMPUTED_VALUE"""),"No")</f>
        <v>No</v>
      </c>
      <c r="AC1512" s="5" t="str">
        <f ca="1">IFERROR(__xludf.DUMMYFUNCTION("""COMPUTED_VALUE"""),"No")</f>
        <v>No</v>
      </c>
      <c r="AD1512" s="5" t="str">
        <f ca="1">IFERROR(__xludf.DUMMYFUNCTION("""COMPUTED_VALUE"""),"No")</f>
        <v>No</v>
      </c>
      <c r="AE1512" s="5" t="str">
        <f ca="1">IFERROR(__xludf.DUMMYFUNCTION("""COMPUTED_VALUE"""),"No")</f>
        <v>No</v>
      </c>
      <c r="AF1512" s="5" t="str">
        <f ca="1">IFERROR(__xludf.DUMMYFUNCTION("""COMPUTED_VALUE"""),"No")</f>
        <v>No</v>
      </c>
      <c r="AG1512" s="5" t="str">
        <f ca="1">IFERROR(__xludf.DUMMYFUNCTION("""COMPUTED_VALUE"""),"No")</f>
        <v>No</v>
      </c>
      <c r="AH1512" s="5"/>
    </row>
    <row r="1513" spans="1:34" ht="12.75">
      <c r="A1513" s="5" t="str">
        <f ca="1">IFERROR(__xludf.DUMMYFUNCTION("""COMPUTED_VALUE"""),"19960604CAWEH")</f>
        <v>19960604CAWEH</v>
      </c>
      <c r="B1513" s="8">
        <f ca="1">IFERROR(__xludf.DUMMYFUNCTION("""COMPUTED_VALUE"""),35220)</f>
        <v>35220</v>
      </c>
      <c r="C1513" s="5" t="str">
        <f ca="1">IFERROR(__xludf.DUMMYFUNCTION("""COMPUTED_VALUE"""),"West Valley High School")</f>
        <v>West Valley High School</v>
      </c>
      <c r="D1513" s="5">
        <f ca="1">IFERROR(__xludf.DUMMYFUNCTION("""COMPUTED_VALUE"""),0)</f>
        <v>0</v>
      </c>
      <c r="E1513" s="5">
        <f ca="1">IFERROR(__xludf.DUMMYFUNCTION("""COMPUTED_VALUE"""),0)</f>
        <v>0</v>
      </c>
      <c r="F1513" s="5">
        <f ca="1">IFERROR(__xludf.DUMMYFUNCTION("""COMPUTED_VALUE"""),0)</f>
        <v>0</v>
      </c>
      <c r="G1513" s="5">
        <f ca="1">IFERROR(__xludf.DUMMYFUNCTION("""COMPUTED_VALUE"""),1)</f>
        <v>1</v>
      </c>
      <c r="H1513" s="9" t="str">
        <f ca="1">IFERROR(__xludf.DUMMYFUNCTION("""COMPUTED_VALUE"""),"https://www.columbine-angels.com/School_Violence_1995-1996.htm")</f>
        <v>https://www.columbine-angels.com/School_Violence_1995-1996.htm</v>
      </c>
      <c r="I1513" s="5"/>
      <c r="J1513" s="5"/>
      <c r="K1513" s="5">
        <f ca="1">IFERROR(__xludf.DUMMYFUNCTION("""COMPUTED_VALUE"""),1)</f>
        <v>1</v>
      </c>
      <c r="L1513" s="5" t="str">
        <f ca="1">IFERROR(__xludf.DUMMYFUNCTION("""COMPUTED_VALUE"""),"Summer")</f>
        <v>Summer</v>
      </c>
      <c r="M1513" s="5" t="str">
        <f ca="1">IFERROR(__xludf.DUMMYFUNCTION("""COMPUTED_VALUE"""),"Hemet")</f>
        <v>Hemet</v>
      </c>
      <c r="N1513" s="5" t="str">
        <f ca="1">IFERROR(__xludf.DUMMYFUNCTION("""COMPUTED_VALUE"""),"CA")</f>
        <v>CA</v>
      </c>
      <c r="O1513" s="5" t="str">
        <f ca="1">IFERROR(__xludf.DUMMYFUNCTION("""COMPUTED_VALUE"""),"High")</f>
        <v>High</v>
      </c>
      <c r="P1513" s="5" t="str">
        <f ca="1">IFERROR(__xludf.DUMMYFUNCTION("""COMPUTED_VALUE"""),"Inside School Building")</f>
        <v>Inside School Building</v>
      </c>
      <c r="Q1513" s="5" t="str">
        <f ca="1">IFERROR(__xludf.DUMMYFUNCTION("""COMPUTED_VALUE"""),"Inside School Building")</f>
        <v>Inside School Building</v>
      </c>
      <c r="R1513" s="5" t="str">
        <f ca="1">IFERROR(__xludf.DUMMYFUNCTION("""COMPUTED_VALUE"""),"Yes")</f>
        <v>Yes</v>
      </c>
      <c r="S1513" s="5" t="str">
        <f ca="1">IFERROR(__xludf.DUMMYFUNCTION("""COMPUTED_VALUE"""),"School Start")</f>
        <v>School Start</v>
      </c>
      <c r="T1513" s="5"/>
      <c r="U1513" s="5">
        <f ca="1">IFERROR(__xludf.DUMMYFUNCTION("""COMPUTED_VALUE"""),1)</f>
        <v>1</v>
      </c>
      <c r="V1513" s="5" t="str">
        <f ca="1">IFERROR(__xludf.DUMMYFUNCTION("""COMPUTED_VALUE"""),"Shot self prior to classes starting")</f>
        <v>Shot self prior to classes starting</v>
      </c>
      <c r="W1513" s="5" t="str">
        <f ca="1">IFERROR(__xludf.DUMMYFUNCTION("""COMPUTED_VALUE"""),"16YOM commit suicide as students were arriving for class.")</f>
        <v>16YOM commit suicide as students were arriving for class.</v>
      </c>
      <c r="X1513" s="5" t="str">
        <f ca="1">IFERROR(__xludf.DUMMYFUNCTION("""COMPUTED_VALUE"""),"Suicide/Attempted")</f>
        <v>Suicide/Attempted</v>
      </c>
      <c r="Y1513" s="5" t="str">
        <f ca="1">IFERROR(__xludf.DUMMYFUNCTION("""COMPUTED_VALUE"""),"Victims Targeted")</f>
        <v>Victims Targeted</v>
      </c>
      <c r="Z1513" s="5" t="str">
        <f ca="1">IFERROR(__xludf.DUMMYFUNCTION("""COMPUTED_VALUE"""),"No")</f>
        <v>No</v>
      </c>
      <c r="AA1513" s="5"/>
      <c r="AB1513" s="5" t="str">
        <f ca="1">IFERROR(__xludf.DUMMYFUNCTION("""COMPUTED_VALUE"""),"No")</f>
        <v>No</v>
      </c>
      <c r="AC1513" s="5" t="str">
        <f ca="1">IFERROR(__xludf.DUMMYFUNCTION("""COMPUTED_VALUE"""),"No")</f>
        <v>No</v>
      </c>
      <c r="AD1513" s="5" t="str">
        <f ca="1">IFERROR(__xludf.DUMMYFUNCTION("""COMPUTED_VALUE"""),"No")</f>
        <v>No</v>
      </c>
      <c r="AE1513" s="5" t="str">
        <f ca="1">IFERROR(__xludf.DUMMYFUNCTION("""COMPUTED_VALUE"""),"No")</f>
        <v>No</v>
      </c>
      <c r="AF1513" s="5" t="str">
        <f ca="1">IFERROR(__xludf.DUMMYFUNCTION("""COMPUTED_VALUE"""),"No")</f>
        <v>No</v>
      </c>
      <c r="AG1513" s="5" t="str">
        <f ca="1">IFERROR(__xludf.DUMMYFUNCTION("""COMPUTED_VALUE"""),"No")</f>
        <v>No</v>
      </c>
      <c r="AH1513" s="5"/>
    </row>
    <row r="1514" spans="1:34" ht="12.75">
      <c r="A1514" s="5" t="str">
        <f ca="1">IFERROR(__xludf.DUMMYFUNCTION("""COMPUTED_VALUE"""),"19960522CACOC")</f>
        <v>19960522CACOC</v>
      </c>
      <c r="B1514" s="8">
        <f ca="1">IFERROR(__xludf.DUMMYFUNCTION("""COMPUTED_VALUE"""),35207)</f>
        <v>35207</v>
      </c>
      <c r="C1514" s="5" t="str">
        <f ca="1">IFERROR(__xludf.DUMMYFUNCTION("""COMPUTED_VALUE"""),"Colton High School")</f>
        <v>Colton High School</v>
      </c>
      <c r="D1514" s="5">
        <f ca="1">IFERROR(__xludf.DUMMYFUNCTION("""COMPUTED_VALUE"""),1)</f>
        <v>1</v>
      </c>
      <c r="E1514" s="5">
        <f ca="1">IFERROR(__xludf.DUMMYFUNCTION("""COMPUTED_VALUE"""),0)</f>
        <v>0</v>
      </c>
      <c r="F1514" s="5">
        <f ca="1">IFERROR(__xludf.DUMMYFUNCTION("""COMPUTED_VALUE"""),1)</f>
        <v>1</v>
      </c>
      <c r="G1514" s="5">
        <f ca="1">IFERROR(__xludf.DUMMYFUNCTION("""COMPUTED_VALUE"""),0)</f>
        <v>0</v>
      </c>
      <c r="H1514" s="9" t="str">
        <f ca="1">IFERROR(__xludf.DUMMYFUNCTION("""COMPUTED_VALUE"""),"https://pepperbough.com/features/2012/08/17/who-mourns-for-sexy-x/")</f>
        <v>https://pepperbough.com/features/2012/08/17/who-mourns-for-sexy-x/</v>
      </c>
      <c r="I1514" s="5"/>
      <c r="J1514" s="5"/>
      <c r="K1514" s="5">
        <f ca="1">IFERROR(__xludf.DUMMYFUNCTION("""COMPUTED_VALUE"""),1)</f>
        <v>1</v>
      </c>
      <c r="L1514" s="5" t="str">
        <f ca="1">IFERROR(__xludf.DUMMYFUNCTION("""COMPUTED_VALUE"""),"Spring")</f>
        <v>Spring</v>
      </c>
      <c r="M1514" s="5" t="str">
        <f ca="1">IFERROR(__xludf.DUMMYFUNCTION("""COMPUTED_VALUE"""),"Colton")</f>
        <v>Colton</v>
      </c>
      <c r="N1514" s="5" t="str">
        <f ca="1">IFERROR(__xludf.DUMMYFUNCTION("""COMPUTED_VALUE"""),"CA")</f>
        <v>CA</v>
      </c>
      <c r="O1514" s="5" t="str">
        <f ca="1">IFERROR(__xludf.DUMMYFUNCTION("""COMPUTED_VALUE"""),"High")</f>
        <v>High</v>
      </c>
      <c r="P1514" s="5" t="str">
        <f ca="1">IFERROR(__xludf.DUMMYFUNCTION("""COMPUTED_VALUE"""),"Outside on School Property")</f>
        <v>Outside on School Property</v>
      </c>
      <c r="Q1514" s="5" t="str">
        <f ca="1">IFERROR(__xludf.DUMMYFUNCTION("""COMPUTED_VALUE"""),"Outside on School Property")</f>
        <v>Outside on School Property</v>
      </c>
      <c r="R1514" s="5" t="str">
        <f ca="1">IFERROR(__xludf.DUMMYFUNCTION("""COMPUTED_VALUE"""),"Yes")</f>
        <v>Yes</v>
      </c>
      <c r="S1514" s="5" t="str">
        <f ca="1">IFERROR(__xludf.DUMMYFUNCTION("""COMPUTED_VALUE"""),"Afternoon Classes")</f>
        <v>Afternoon Classes</v>
      </c>
      <c r="T1514" s="10">
        <f ca="1">IFERROR(__xludf.DUMMYFUNCTION("""COMPUTED_VALUE"""),0.597222222222222)</f>
        <v>0.59722222222222199</v>
      </c>
      <c r="U1514" s="5">
        <f ca="1">IFERROR(__xludf.DUMMYFUNCTION("""COMPUTED_VALUE"""),1)</f>
        <v>1</v>
      </c>
      <c r="V1514" s="5" t="str">
        <f ca="1">IFERROR(__xludf.DUMMYFUNCTION("""COMPUTED_VALUE"""),"Student executed outside of school by another student")</f>
        <v>Student executed outside of school by another student</v>
      </c>
      <c r="W1514" s="5" t="str">
        <f ca="1">IFERROR(__xludf.DUMMYFUNCTION("""COMPUTED_VALUE"""),"14YOM executed 14YOM student in front of multiple witnesses to increase his ""street cred"" with a gang.")</f>
        <v>14YOM executed 14YOM student in front of multiple witnesses to increase his "street cred" with a gang.</v>
      </c>
      <c r="X1514" s="5" t="str">
        <f ca="1">IFERROR(__xludf.DUMMYFUNCTION("""COMPUTED_VALUE"""),"Illegal Activity")</f>
        <v>Illegal Activity</v>
      </c>
      <c r="Y1514" s="5" t="str">
        <f ca="1">IFERROR(__xludf.DUMMYFUNCTION("""COMPUTED_VALUE"""),"Victims Targeted")</f>
        <v>Victims Targeted</v>
      </c>
      <c r="Z1514" s="5" t="str">
        <f ca="1">IFERROR(__xludf.DUMMYFUNCTION("""COMPUTED_VALUE"""),"No")</f>
        <v>No</v>
      </c>
      <c r="AA1514" s="5"/>
      <c r="AB1514" s="5" t="str">
        <f ca="1">IFERROR(__xludf.DUMMYFUNCTION("""COMPUTED_VALUE"""),"No")</f>
        <v>No</v>
      </c>
      <c r="AC1514" s="5" t="str">
        <f ca="1">IFERROR(__xludf.DUMMYFUNCTION("""COMPUTED_VALUE"""),"No")</f>
        <v>No</v>
      </c>
      <c r="AD1514" s="5" t="str">
        <f ca="1">IFERROR(__xludf.DUMMYFUNCTION("""COMPUTED_VALUE"""),"No")</f>
        <v>No</v>
      </c>
      <c r="AE1514" s="5"/>
      <c r="AF1514" s="5" t="str">
        <f ca="1">IFERROR(__xludf.DUMMYFUNCTION("""COMPUTED_VALUE"""),"No")</f>
        <v>No</v>
      </c>
      <c r="AG1514" s="5" t="str">
        <f ca="1">IFERROR(__xludf.DUMMYFUNCTION("""COMPUTED_VALUE"""),"Yes")</f>
        <v>Yes</v>
      </c>
      <c r="AH1514" s="5"/>
    </row>
    <row r="1515" spans="1:34" ht="12.75">
      <c r="A1515" s="5" t="str">
        <f ca="1">IFERROR(__xludf.DUMMYFUNCTION("""COMPUTED_VALUE"""),"19960514UTBIT")</f>
        <v>19960514UTBIT</v>
      </c>
      <c r="B1515" s="8">
        <f ca="1">IFERROR(__xludf.DUMMYFUNCTION("""COMPUTED_VALUE"""),35199)</f>
        <v>35199</v>
      </c>
      <c r="C1515" s="5" t="str">
        <f ca="1">IFERROR(__xludf.DUMMYFUNCTION("""COMPUTED_VALUE"""),"Bingham Middle School")</f>
        <v>Bingham Middle School</v>
      </c>
      <c r="D1515" s="5">
        <f ca="1">IFERROR(__xludf.DUMMYFUNCTION("""COMPUTED_VALUE"""),0)</f>
        <v>0</v>
      </c>
      <c r="E1515" s="5">
        <f ca="1">IFERROR(__xludf.DUMMYFUNCTION("""COMPUTED_VALUE"""),1)</f>
        <v>1</v>
      </c>
      <c r="F1515" s="5">
        <f ca="1">IFERROR(__xludf.DUMMYFUNCTION("""COMPUTED_VALUE"""),1)</f>
        <v>1</v>
      </c>
      <c r="G1515" s="5">
        <f ca="1">IFERROR(__xludf.DUMMYFUNCTION("""COMPUTED_VALUE"""),1)</f>
        <v>1</v>
      </c>
      <c r="H1515" s="9" t="str">
        <f ca="1">IFERROR(__xludf.DUMMYFUNCTION("""COMPUTED_VALUE"""),"https://www.columbine-angels.com/School_Violence_1995-1996.htm")</f>
        <v>https://www.columbine-angels.com/School_Violence_1995-1996.htm</v>
      </c>
      <c r="I1515" s="5"/>
      <c r="J1515" s="5"/>
      <c r="K1515" s="5">
        <f ca="1">IFERROR(__xludf.DUMMYFUNCTION("""COMPUTED_VALUE"""),1)</f>
        <v>1</v>
      </c>
      <c r="L1515" s="5" t="str">
        <f ca="1">IFERROR(__xludf.DUMMYFUNCTION("""COMPUTED_VALUE"""),"Spring")</f>
        <v>Spring</v>
      </c>
      <c r="M1515" s="5" t="str">
        <f ca="1">IFERROR(__xludf.DUMMYFUNCTION("""COMPUTED_VALUE"""),"Taylorsville")</f>
        <v>Taylorsville</v>
      </c>
      <c r="N1515" s="5" t="str">
        <f ca="1">IFERROR(__xludf.DUMMYFUNCTION("""COMPUTED_VALUE"""),"UT")</f>
        <v>UT</v>
      </c>
      <c r="O1515" s="5" t="str">
        <f ca="1">IFERROR(__xludf.DUMMYFUNCTION("""COMPUTED_VALUE"""),"High")</f>
        <v>High</v>
      </c>
      <c r="P1515" s="5" t="str">
        <f ca="1">IFERROR(__xludf.DUMMYFUNCTION("""COMPUTED_VALUE"""),"School Bus")</f>
        <v>School Bus</v>
      </c>
      <c r="Q1515" s="5" t="str">
        <f ca="1">IFERROR(__xludf.DUMMYFUNCTION("""COMPUTED_VALUE"""),"School Bus")</f>
        <v>School Bus</v>
      </c>
      <c r="R1515" s="5"/>
      <c r="S1515" s="5"/>
      <c r="T1515" s="5"/>
      <c r="U1515" s="5"/>
      <c r="V1515" s="5" t="str">
        <f ca="1">IFERROR(__xludf.DUMMYFUNCTION("""COMPUTED_VALUE"""),"Shot bus driver, stole bus, crashed bus, killed self")</f>
        <v>Shot bus driver, stole bus, crashed bus, killed self</v>
      </c>
      <c r="W1515"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X1515" s="5" t="str">
        <f ca="1">IFERROR(__xludf.DUMMYFUNCTION("""COMPUTED_VALUE"""),"Suicide/Attempted")</f>
        <v>Suicide/Attempted</v>
      </c>
      <c r="Y1515" s="5" t="str">
        <f ca="1">IFERROR(__xludf.DUMMYFUNCTION("""COMPUTED_VALUE"""),"Victims Targeted")</f>
        <v>Victims Targeted</v>
      </c>
      <c r="Z1515" s="5" t="str">
        <f ca="1">IFERROR(__xludf.DUMMYFUNCTION("""COMPUTED_VALUE"""),"No")</f>
        <v>No</v>
      </c>
      <c r="AA1515" s="5"/>
      <c r="AB1515" s="5" t="str">
        <f ca="1">IFERROR(__xludf.DUMMYFUNCTION("""COMPUTED_VALUE"""),"No")</f>
        <v>No</v>
      </c>
      <c r="AC1515" s="5" t="str">
        <f ca="1">IFERROR(__xludf.DUMMYFUNCTION("""COMPUTED_VALUE"""),"No")</f>
        <v>No</v>
      </c>
      <c r="AD1515" s="5" t="str">
        <f ca="1">IFERROR(__xludf.DUMMYFUNCTION("""COMPUTED_VALUE"""),"No")</f>
        <v>No</v>
      </c>
      <c r="AE1515" s="5" t="str">
        <f ca="1">IFERROR(__xludf.DUMMYFUNCTION("""COMPUTED_VALUE"""),"No")</f>
        <v>No</v>
      </c>
      <c r="AF1515" s="5" t="str">
        <f ca="1">IFERROR(__xludf.DUMMYFUNCTION("""COMPUTED_VALUE"""),"No")</f>
        <v>No</v>
      </c>
      <c r="AG1515" s="5" t="str">
        <f ca="1">IFERROR(__xludf.DUMMYFUNCTION("""COMPUTED_VALUE"""),"No")</f>
        <v>No</v>
      </c>
      <c r="AH1515" s="5"/>
    </row>
    <row r="1516" spans="1:34" ht="12.75">
      <c r="A1516" s="5" t="str">
        <f ca="1">IFERROR(__xludf.DUMMYFUNCTION("""COMPUTED_VALUE"""),"19960415DCMCW")</f>
        <v>19960415DCMCW</v>
      </c>
      <c r="B1516" s="8">
        <f ca="1">IFERROR(__xludf.DUMMYFUNCTION("""COMPUTED_VALUE"""),35170)</f>
        <v>35170</v>
      </c>
      <c r="C1516" s="5" t="str">
        <f ca="1">IFERROR(__xludf.DUMMYFUNCTION("""COMPUTED_VALUE"""),"McKinley High School")</f>
        <v>McKinley High School</v>
      </c>
      <c r="D1516" s="5">
        <f ca="1">IFERROR(__xludf.DUMMYFUNCTION("""COMPUTED_VALUE"""),1)</f>
        <v>1</v>
      </c>
      <c r="E1516" s="5">
        <f ca="1">IFERROR(__xludf.DUMMYFUNCTION("""COMPUTED_VALUE"""),0)</f>
        <v>0</v>
      </c>
      <c r="F1516" s="5">
        <f ca="1">IFERROR(__xludf.DUMMYFUNCTION("""COMPUTED_VALUE"""),1)</f>
        <v>1</v>
      </c>
      <c r="G1516" s="5">
        <f ca="1">IFERROR(__xludf.DUMMYFUNCTION("""COMPUTED_VALUE"""),0)</f>
        <v>0</v>
      </c>
      <c r="H1516" s="9" t="str">
        <f ca="1">IFERROR(__xludf.DUMMYFUNCTION("""COMPUTED_VALUE"""),"https://www.columbine-angels.com/School_Violence_1995-1996.htm")</f>
        <v>https://www.columbine-angels.com/School_Violence_1995-1996.htm</v>
      </c>
      <c r="I1516" s="5"/>
      <c r="J1516" s="5"/>
      <c r="K1516" s="5">
        <f ca="1">IFERROR(__xludf.DUMMYFUNCTION("""COMPUTED_VALUE"""),1)</f>
        <v>1</v>
      </c>
      <c r="L1516" s="5" t="str">
        <f ca="1">IFERROR(__xludf.DUMMYFUNCTION("""COMPUTED_VALUE"""),"Spring")</f>
        <v>Spring</v>
      </c>
      <c r="M1516" s="5" t="str">
        <f ca="1">IFERROR(__xludf.DUMMYFUNCTION("""COMPUTED_VALUE"""),"Washington")</f>
        <v>Washington</v>
      </c>
      <c r="N1516" s="5" t="str">
        <f ca="1">IFERROR(__xludf.DUMMYFUNCTION("""COMPUTED_VALUE"""),"DC")</f>
        <v>DC</v>
      </c>
      <c r="O1516" s="5" t="str">
        <f ca="1">IFERROR(__xludf.DUMMYFUNCTION("""COMPUTED_VALUE"""),"High")</f>
        <v>High</v>
      </c>
      <c r="P1516" s="5" t="str">
        <f ca="1">IFERROR(__xludf.DUMMYFUNCTION("""COMPUTED_VALUE"""),"Gym")</f>
        <v>Gym</v>
      </c>
      <c r="Q1516" s="5" t="str">
        <f ca="1">IFERROR(__xludf.DUMMYFUNCTION("""COMPUTED_VALUE"""),"Inside School Building")</f>
        <v>Inside School Building</v>
      </c>
      <c r="R1516" s="5" t="str">
        <f ca="1">IFERROR(__xludf.DUMMYFUNCTION("""COMPUTED_VALUE"""),"Yes")</f>
        <v>Yes</v>
      </c>
      <c r="S1516" s="5" t="str">
        <f ca="1">IFERROR(__xludf.DUMMYFUNCTION("""COMPUTED_VALUE"""),"Unknown")</f>
        <v>Unknown</v>
      </c>
      <c r="T1516" s="5"/>
      <c r="U1516" s="5">
        <f ca="1">IFERROR(__xludf.DUMMYFUNCTION("""COMPUTED_VALUE"""),1)</f>
        <v>1</v>
      </c>
      <c r="V1516" s="5" t="str">
        <f ca="1">IFERROR(__xludf.DUMMYFUNCTION("""COMPUTED_VALUE"""),"Shot in the gym")</f>
        <v>Shot in the gym</v>
      </c>
      <c r="W1516" s="5" t="str">
        <f ca="1">IFERROR(__xludf.DUMMYFUNCTION("""COMPUTED_VALUE"""),"23YOM shot in the gym of the school. No other information.")</f>
        <v>23YOM shot in the gym of the school. No other information.</v>
      </c>
      <c r="X1516" s="5" t="str">
        <f ca="1">IFERROR(__xludf.DUMMYFUNCTION("""COMPUTED_VALUE"""),"Escalation of Dispute")</f>
        <v>Escalation of Dispute</v>
      </c>
      <c r="Y1516" s="5"/>
      <c r="Z1516" s="5" t="str">
        <f ca="1">IFERROR(__xludf.DUMMYFUNCTION("""COMPUTED_VALUE"""),"No")</f>
        <v>No</v>
      </c>
      <c r="AA1516" s="5"/>
      <c r="AB1516" s="5" t="str">
        <f ca="1">IFERROR(__xludf.DUMMYFUNCTION("""COMPUTED_VALUE"""),"No")</f>
        <v>No</v>
      </c>
      <c r="AC1516" s="5" t="str">
        <f ca="1">IFERROR(__xludf.DUMMYFUNCTION("""COMPUTED_VALUE"""),"No")</f>
        <v>No</v>
      </c>
      <c r="AD1516" s="5" t="str">
        <f ca="1">IFERROR(__xludf.DUMMYFUNCTION("""COMPUTED_VALUE"""),"No")</f>
        <v>No</v>
      </c>
      <c r="AE1516" s="5" t="str">
        <f ca="1">IFERROR(__xludf.DUMMYFUNCTION("""COMPUTED_VALUE"""),"No")</f>
        <v>No</v>
      </c>
      <c r="AF1516" s="5" t="str">
        <f ca="1">IFERROR(__xludf.DUMMYFUNCTION("""COMPUTED_VALUE"""),"No")</f>
        <v>No</v>
      </c>
      <c r="AG1516" s="5"/>
      <c r="AH1516" s="5"/>
    </row>
    <row r="1517" spans="1:34" ht="12.75">
      <c r="A1517" s="5" t="str">
        <f ca="1">IFERROR(__xludf.DUMMYFUNCTION("""COMPUTED_VALUE"""),"19960411ALTAT")</f>
        <v>19960411ALTAT</v>
      </c>
      <c r="B1517" s="8">
        <f ca="1">IFERROR(__xludf.DUMMYFUNCTION("""COMPUTED_VALUE"""),35166)</f>
        <v>35166</v>
      </c>
      <c r="C1517" s="5" t="str">
        <f ca="1">IFERROR(__xludf.DUMMYFUNCTION("""COMPUTED_VALUE"""),"Talladega High School")</f>
        <v>Talladega High School</v>
      </c>
      <c r="D1517" s="5">
        <f ca="1">IFERROR(__xludf.DUMMYFUNCTION("""COMPUTED_VALUE"""),1)</f>
        <v>1</v>
      </c>
      <c r="E1517" s="5">
        <f ca="1">IFERROR(__xludf.DUMMYFUNCTION("""COMPUTED_VALUE"""),0)</f>
        <v>0</v>
      </c>
      <c r="F1517" s="5">
        <f ca="1">IFERROR(__xludf.DUMMYFUNCTION("""COMPUTED_VALUE"""),1)</f>
        <v>1</v>
      </c>
      <c r="G1517" s="5">
        <f ca="1">IFERROR(__xludf.DUMMYFUNCTION("""COMPUTED_VALUE"""),0)</f>
        <v>0</v>
      </c>
      <c r="H1517"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I1517" s="5"/>
      <c r="J1517" s="5"/>
      <c r="K1517" s="5">
        <f ca="1">IFERROR(__xludf.DUMMYFUNCTION("""COMPUTED_VALUE"""),2)</f>
        <v>2</v>
      </c>
      <c r="L1517" s="5" t="str">
        <f ca="1">IFERROR(__xludf.DUMMYFUNCTION("""COMPUTED_VALUE"""),"Spring")</f>
        <v>Spring</v>
      </c>
      <c r="M1517" s="5" t="str">
        <f ca="1">IFERROR(__xludf.DUMMYFUNCTION("""COMPUTED_VALUE"""),"Talladega")</f>
        <v>Talladega</v>
      </c>
      <c r="N1517" s="5" t="str">
        <f ca="1">IFERROR(__xludf.DUMMYFUNCTION("""COMPUTED_VALUE"""),"AL")</f>
        <v>AL</v>
      </c>
      <c r="O1517" s="5" t="str">
        <f ca="1">IFERROR(__xludf.DUMMYFUNCTION("""COMPUTED_VALUE"""),"High")</f>
        <v>High</v>
      </c>
      <c r="P1517" s="5" t="str">
        <f ca="1">IFERROR(__xludf.DUMMYFUNCTION("""COMPUTED_VALUE"""),"Parking Lot")</f>
        <v>Parking Lot</v>
      </c>
      <c r="Q1517" s="5" t="str">
        <f ca="1">IFERROR(__xludf.DUMMYFUNCTION("""COMPUTED_VALUE"""),"Outside on School Property")</f>
        <v>Outside on School Property</v>
      </c>
      <c r="R1517" s="5"/>
      <c r="S1517" s="5"/>
      <c r="T1517" s="5"/>
      <c r="U1517" s="5">
        <f ca="1">IFERROR(__xludf.DUMMYFUNCTION("""COMPUTED_VALUE"""),1)</f>
        <v>1</v>
      </c>
      <c r="V1517" s="5" t="str">
        <f ca="1">IFERROR(__xludf.DUMMYFUNCTION("""COMPUTED_VALUE"""),"Fight in parking lot escalated into shooting")</f>
        <v>Fight in parking lot escalated into shooting</v>
      </c>
      <c r="W1517"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X1517" s="5" t="str">
        <f ca="1">IFERROR(__xludf.DUMMYFUNCTION("""COMPUTED_VALUE"""),"Escalation of Dispute")</f>
        <v>Escalation of Dispute</v>
      </c>
      <c r="Y1517" s="5" t="str">
        <f ca="1">IFERROR(__xludf.DUMMYFUNCTION("""COMPUTED_VALUE"""),"Victims Targeted")</f>
        <v>Victims Targeted</v>
      </c>
      <c r="Z1517" s="5" t="str">
        <f ca="1">IFERROR(__xludf.DUMMYFUNCTION("""COMPUTED_VALUE"""),"No")</f>
        <v>No</v>
      </c>
      <c r="AA1517" s="5"/>
      <c r="AB1517" s="5" t="str">
        <f ca="1">IFERROR(__xludf.DUMMYFUNCTION("""COMPUTED_VALUE"""),"No")</f>
        <v>No</v>
      </c>
      <c r="AC1517" s="5" t="str">
        <f ca="1">IFERROR(__xludf.DUMMYFUNCTION("""COMPUTED_VALUE"""),"No")</f>
        <v>No</v>
      </c>
      <c r="AD1517" s="5" t="str">
        <f ca="1">IFERROR(__xludf.DUMMYFUNCTION("""COMPUTED_VALUE"""),"No")</f>
        <v>No</v>
      </c>
      <c r="AE1517" s="5" t="str">
        <f ca="1">IFERROR(__xludf.DUMMYFUNCTION("""COMPUTED_VALUE"""),"No")</f>
        <v>No</v>
      </c>
      <c r="AF1517" s="5" t="str">
        <f ca="1">IFERROR(__xludf.DUMMYFUNCTION("""COMPUTED_VALUE"""),"No")</f>
        <v>No</v>
      </c>
      <c r="AG1517" s="5"/>
      <c r="AH1517" s="5"/>
    </row>
    <row r="1518" spans="1:34" ht="12.75">
      <c r="A1518" s="5" t="str">
        <f ca="1">IFERROR(__xludf.DUMMYFUNCTION("""COMPUTED_VALUE"""),"19960319NVSWL")</f>
        <v>19960319NVSWL</v>
      </c>
      <c r="B1518" s="8">
        <f ca="1">IFERROR(__xludf.DUMMYFUNCTION("""COMPUTED_VALUE"""),35143)</f>
        <v>35143</v>
      </c>
      <c r="C1518" s="5" t="str">
        <f ca="1">IFERROR(__xludf.DUMMYFUNCTION("""COMPUTED_VALUE"""),"Swainston Middle School")</f>
        <v>Swainston Middle School</v>
      </c>
      <c r="D1518" s="5">
        <f ca="1">IFERROR(__xludf.DUMMYFUNCTION("""COMPUTED_VALUE"""),0)</f>
        <v>0</v>
      </c>
      <c r="E1518" s="5">
        <f ca="1">IFERROR(__xludf.DUMMYFUNCTION("""COMPUTED_VALUE"""),0)</f>
        <v>0</v>
      </c>
      <c r="F1518" s="5">
        <f ca="1">IFERROR(__xludf.DUMMYFUNCTION("""COMPUTED_VALUE"""),0)</f>
        <v>0</v>
      </c>
      <c r="G1518" s="5">
        <f ca="1">IFERROR(__xludf.DUMMYFUNCTION("""COMPUTED_VALUE"""),0)</f>
        <v>0</v>
      </c>
      <c r="H1518"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I1518" s="5"/>
      <c r="J1518" s="5"/>
      <c r="K1518" s="5">
        <f ca="1">IFERROR(__xludf.DUMMYFUNCTION("""COMPUTED_VALUE"""),2)</f>
        <v>2</v>
      </c>
      <c r="L1518" s="5" t="str">
        <f ca="1">IFERROR(__xludf.DUMMYFUNCTION("""COMPUTED_VALUE"""),"Spring")</f>
        <v>Spring</v>
      </c>
      <c r="M1518" s="5" t="str">
        <f ca="1">IFERROR(__xludf.DUMMYFUNCTION("""COMPUTED_VALUE"""),"Las Vegas")</f>
        <v>Las Vegas</v>
      </c>
      <c r="N1518" s="5" t="str">
        <f ca="1">IFERROR(__xludf.DUMMYFUNCTION("""COMPUTED_VALUE"""),"NV")</f>
        <v>NV</v>
      </c>
      <c r="O1518" s="5" t="str">
        <f ca="1">IFERROR(__xludf.DUMMYFUNCTION("""COMPUTED_VALUE"""),"Middle")</f>
        <v>Middle</v>
      </c>
      <c r="P1518" s="5" t="str">
        <f ca="1">IFERROR(__xludf.DUMMYFUNCTION("""COMPUTED_VALUE"""),"Beside Building")</f>
        <v>Beside Building</v>
      </c>
      <c r="Q1518" s="5" t="str">
        <f ca="1">IFERROR(__xludf.DUMMYFUNCTION("""COMPUTED_VALUE"""),"Outside on School Property")</f>
        <v>Outside on School Property</v>
      </c>
      <c r="R1518" s="5" t="str">
        <f ca="1">IFERROR(__xludf.DUMMYFUNCTION("""COMPUTED_VALUE"""),"Yes")</f>
        <v>Yes</v>
      </c>
      <c r="S1518" s="5" t="str">
        <f ca="1">IFERROR(__xludf.DUMMYFUNCTION("""COMPUTED_VALUE"""),"Morning Classes")</f>
        <v>Morning Classes</v>
      </c>
      <c r="T1518" s="10">
        <f ca="1">IFERROR(__xludf.DUMMYFUNCTION("""COMPUTED_VALUE"""),0.479166666666666)</f>
        <v>0.47916666666666602</v>
      </c>
      <c r="U1518" s="5">
        <f ca="1">IFERROR(__xludf.DUMMYFUNCTION("""COMPUTED_VALUE"""),1)</f>
        <v>1</v>
      </c>
      <c r="V1518" s="5" t="str">
        <f ca="1">IFERROR(__xludf.DUMMYFUNCTION("""COMPUTED_VALUE"""),"Students shot with pellet gun while walking between classes")</f>
        <v>Students shot with pellet gun while walking between classes</v>
      </c>
      <c r="W1518"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X1518" s="5" t="str">
        <f ca="1">IFERROR(__xludf.DUMMYFUNCTION("""COMPUTED_VALUE"""),"Indiscriminate Shooting")</f>
        <v>Indiscriminate Shooting</v>
      </c>
      <c r="Y1518" s="5"/>
      <c r="Z1518" s="5" t="str">
        <f ca="1">IFERROR(__xludf.DUMMYFUNCTION("""COMPUTED_VALUE"""),"No")</f>
        <v>No</v>
      </c>
      <c r="AA1518" s="5"/>
      <c r="AB1518" s="5" t="str">
        <f ca="1">IFERROR(__xludf.DUMMYFUNCTION("""COMPUTED_VALUE"""),"No")</f>
        <v>No</v>
      </c>
      <c r="AC1518" s="5" t="str">
        <f ca="1">IFERROR(__xludf.DUMMYFUNCTION("""COMPUTED_VALUE"""),"No")</f>
        <v>No</v>
      </c>
      <c r="AD1518" s="5" t="str">
        <f ca="1">IFERROR(__xludf.DUMMYFUNCTION("""COMPUTED_VALUE"""),"No")</f>
        <v>No</v>
      </c>
      <c r="AE1518" s="5"/>
      <c r="AF1518" s="5" t="str">
        <f ca="1">IFERROR(__xludf.DUMMYFUNCTION("""COMPUTED_VALUE"""),"No")</f>
        <v>No</v>
      </c>
      <c r="AG1518" s="5" t="str">
        <f ca="1">IFERROR(__xludf.DUMMYFUNCTION("""COMPUTED_VALUE"""),"No")</f>
        <v>No</v>
      </c>
      <c r="AH1518" s="5"/>
    </row>
    <row r="1519" spans="1:34" ht="12.75">
      <c r="A1519" s="5" t="str">
        <f ca="1">IFERROR(__xludf.DUMMYFUNCTION("""COMPUTED_VALUE"""),"19960311NCNON")</f>
        <v>19960311NCNON</v>
      </c>
      <c r="B1519" s="8">
        <f ca="1">IFERROR(__xludf.DUMMYFUNCTION("""COMPUTED_VALUE"""),35135)</f>
        <v>35135</v>
      </c>
      <c r="C1519" s="5" t="str">
        <f ca="1">IFERROR(__xludf.DUMMYFUNCTION("""COMPUTED_VALUE"""),"North Stanley High School")</f>
        <v>North Stanley High School</v>
      </c>
      <c r="D1519" s="5">
        <f ca="1">IFERROR(__xludf.DUMMYFUNCTION("""COMPUTED_VALUE"""),0)</f>
        <v>0</v>
      </c>
      <c r="E1519" s="5">
        <f ca="1">IFERROR(__xludf.DUMMYFUNCTION("""COMPUTED_VALUE"""),0)</f>
        <v>0</v>
      </c>
      <c r="F1519" s="5">
        <f ca="1">IFERROR(__xludf.DUMMYFUNCTION("""COMPUTED_VALUE"""),0)</f>
        <v>0</v>
      </c>
      <c r="G1519" s="5">
        <f ca="1">IFERROR(__xludf.DUMMYFUNCTION("""COMPUTED_VALUE"""),1)</f>
        <v>1</v>
      </c>
      <c r="H1519"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I1519" s="5"/>
      <c r="J1519" s="5"/>
      <c r="K1519" s="5">
        <f ca="1">IFERROR(__xludf.DUMMYFUNCTION("""COMPUTED_VALUE"""),1)</f>
        <v>1</v>
      </c>
      <c r="L1519" s="5" t="str">
        <f ca="1">IFERROR(__xludf.DUMMYFUNCTION("""COMPUTED_VALUE"""),"Spring")</f>
        <v>Spring</v>
      </c>
      <c r="M1519" s="5" t="str">
        <f ca="1">IFERROR(__xludf.DUMMYFUNCTION("""COMPUTED_VALUE"""),"New Longdon")</f>
        <v>New Longdon</v>
      </c>
      <c r="N1519" s="5" t="str">
        <f ca="1">IFERROR(__xludf.DUMMYFUNCTION("""COMPUTED_VALUE"""),"NC")</f>
        <v>NC</v>
      </c>
      <c r="O1519" s="5" t="str">
        <f ca="1">IFERROR(__xludf.DUMMYFUNCTION("""COMPUTED_VALUE"""),"High")</f>
        <v>High</v>
      </c>
      <c r="P1519" s="5" t="str">
        <f ca="1">IFERROR(__xludf.DUMMYFUNCTION("""COMPUTED_VALUE"""),"Classroom")</f>
        <v>Classroom</v>
      </c>
      <c r="Q1519" s="5" t="str">
        <f ca="1">IFERROR(__xludf.DUMMYFUNCTION("""COMPUTED_VALUE"""),"Inside School Building")</f>
        <v>Inside School Building</v>
      </c>
      <c r="R1519" s="5" t="str">
        <f ca="1">IFERROR(__xludf.DUMMYFUNCTION("""COMPUTED_VALUE"""),"Yes")</f>
        <v>Yes</v>
      </c>
      <c r="S1519" s="5" t="str">
        <f ca="1">IFERROR(__xludf.DUMMYFUNCTION("""COMPUTED_VALUE"""),"Afternoon Classes")</f>
        <v>Afternoon Classes</v>
      </c>
      <c r="T1519" s="5"/>
      <c r="U1519" s="5">
        <f ca="1">IFERROR(__xludf.DUMMYFUNCTION("""COMPUTED_VALUE"""),1)</f>
        <v>1</v>
      </c>
      <c r="V1519" s="5" t="str">
        <f ca="1">IFERROR(__xludf.DUMMYFUNCTION("""COMPUTED_VALUE"""),"Student shot himself during algebra")</f>
        <v>Student shot himself during algebra</v>
      </c>
      <c r="W1519"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X1519" s="5" t="str">
        <f ca="1">IFERROR(__xludf.DUMMYFUNCTION("""COMPUTED_VALUE"""),"Suicide/Attempted")</f>
        <v>Suicide/Attempted</v>
      </c>
      <c r="Y1519" s="5" t="str">
        <f ca="1">IFERROR(__xludf.DUMMYFUNCTION("""COMPUTED_VALUE"""),"Victims Targeted")</f>
        <v>Victims Targeted</v>
      </c>
      <c r="Z1519" s="5" t="str">
        <f ca="1">IFERROR(__xludf.DUMMYFUNCTION("""COMPUTED_VALUE"""),"No")</f>
        <v>No</v>
      </c>
      <c r="AA1519" s="5"/>
      <c r="AB1519" s="5" t="str">
        <f ca="1">IFERROR(__xludf.DUMMYFUNCTION("""COMPUTED_VALUE"""),"No")</f>
        <v>No</v>
      </c>
      <c r="AC1519" s="5" t="str">
        <f ca="1">IFERROR(__xludf.DUMMYFUNCTION("""COMPUTED_VALUE"""),"No")</f>
        <v>No</v>
      </c>
      <c r="AD1519" s="5" t="str">
        <f ca="1">IFERROR(__xludf.DUMMYFUNCTION("""COMPUTED_VALUE"""),"No")</f>
        <v>No</v>
      </c>
      <c r="AE1519" s="5" t="str">
        <f ca="1">IFERROR(__xludf.DUMMYFUNCTION("""COMPUTED_VALUE"""),"No")</f>
        <v>No</v>
      </c>
      <c r="AF1519" s="5" t="str">
        <f ca="1">IFERROR(__xludf.DUMMYFUNCTION("""COMPUTED_VALUE"""),"No")</f>
        <v>No</v>
      </c>
      <c r="AG1519" s="5" t="str">
        <f ca="1">IFERROR(__xludf.DUMMYFUNCTION("""COMPUTED_VALUE"""),"No")</f>
        <v>No</v>
      </c>
      <c r="AH1519" s="5"/>
    </row>
    <row r="1520" spans="1:34" ht="12.75">
      <c r="A1520" s="5" t="str">
        <f ca="1">IFERROR(__xludf.DUMMYFUNCTION("""COMPUTED_VALUE"""),"19960229MOBES")</f>
        <v>19960229MOBES</v>
      </c>
      <c r="B1520" s="8">
        <f ca="1">IFERROR(__xludf.DUMMYFUNCTION("""COMPUTED_VALUE"""),35124)</f>
        <v>35124</v>
      </c>
      <c r="C1520" s="5" t="str">
        <f ca="1">IFERROR(__xludf.DUMMYFUNCTION("""COMPUTED_VALUE"""),"Beaumont High School (bus)")</f>
        <v>Beaumont High School (bus)</v>
      </c>
      <c r="D1520" s="5">
        <f ca="1">IFERROR(__xludf.DUMMYFUNCTION("""COMPUTED_VALUE"""),2)</f>
        <v>2</v>
      </c>
      <c r="E1520" s="5">
        <f ca="1">IFERROR(__xludf.DUMMYFUNCTION("""COMPUTED_VALUE"""),1)</f>
        <v>1</v>
      </c>
      <c r="F1520" s="5">
        <f ca="1">IFERROR(__xludf.DUMMYFUNCTION("""COMPUTED_VALUE"""),3)</f>
        <v>3</v>
      </c>
      <c r="G1520" s="5">
        <f ca="1">IFERROR(__xludf.DUMMYFUNCTION("""COMPUTED_VALUE"""),0)</f>
        <v>0</v>
      </c>
      <c r="H1520"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I1520" s="5"/>
      <c r="J1520" s="5"/>
      <c r="K1520" s="5">
        <f ca="1">IFERROR(__xludf.DUMMYFUNCTION("""COMPUTED_VALUE"""),3)</f>
        <v>3</v>
      </c>
      <c r="L1520" s="5" t="str">
        <f ca="1">IFERROR(__xludf.DUMMYFUNCTION("""COMPUTED_VALUE"""),"Winter")</f>
        <v>Winter</v>
      </c>
      <c r="M1520" s="5" t="str">
        <f ca="1">IFERROR(__xludf.DUMMYFUNCTION("""COMPUTED_VALUE"""),"St. Louis")</f>
        <v>St. Louis</v>
      </c>
      <c r="N1520" s="5" t="str">
        <f ca="1">IFERROR(__xludf.DUMMYFUNCTION("""COMPUTED_VALUE"""),"MO")</f>
        <v>MO</v>
      </c>
      <c r="O1520" s="5" t="str">
        <f ca="1">IFERROR(__xludf.DUMMYFUNCTION("""COMPUTED_VALUE"""),"High")</f>
        <v>High</v>
      </c>
      <c r="P1520" s="5" t="str">
        <f ca="1">IFERROR(__xludf.DUMMYFUNCTION("""COMPUTED_VALUE"""),"School Bus")</f>
        <v>School Bus</v>
      </c>
      <c r="Q1520" s="5" t="str">
        <f ca="1">IFERROR(__xludf.DUMMYFUNCTION("""COMPUTED_VALUE"""),"School Bus")</f>
        <v>School Bus</v>
      </c>
      <c r="R1520" s="5" t="str">
        <f ca="1">IFERROR(__xludf.DUMMYFUNCTION("""COMPUTED_VALUE"""),"No")</f>
        <v>No</v>
      </c>
      <c r="S1520" s="5" t="str">
        <f ca="1">IFERROR(__xludf.DUMMYFUNCTION("""COMPUTED_VALUE"""),"Before School")</f>
        <v>Before School</v>
      </c>
      <c r="T1520" s="10">
        <f ca="1">IFERROR(__xludf.DUMMYFUNCTION("""COMPUTED_VALUE"""),0.291666666666666)</f>
        <v>0.29166666666666602</v>
      </c>
      <c r="U1520" s="5">
        <f ca="1">IFERROR(__xludf.DUMMYFUNCTION("""COMPUTED_VALUE"""),1)</f>
        <v>1</v>
      </c>
      <c r="V1520" s="5" t="str">
        <f ca="1">IFERROR(__xludf.DUMMYFUNCTION("""COMPUTED_VALUE"""),"Hitman hired to kill pregnant student")</f>
        <v>Hitman hired to kill pregnant student</v>
      </c>
      <c r="W1520"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X1520" s="5" t="str">
        <f ca="1">IFERROR(__xludf.DUMMYFUNCTION("""COMPUTED_VALUE"""),"Domestic w/ Targeted Victim")</f>
        <v>Domestic w/ Targeted Victim</v>
      </c>
      <c r="Y1520" s="5" t="str">
        <f ca="1">IFERROR(__xludf.DUMMYFUNCTION("""COMPUTED_VALUE"""),"Victims Targeted")</f>
        <v>Victims Targeted</v>
      </c>
      <c r="Z1520" s="5" t="str">
        <f ca="1">IFERROR(__xludf.DUMMYFUNCTION("""COMPUTED_VALUE"""),"Yes")</f>
        <v>Yes</v>
      </c>
      <c r="AA1520"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B1520" s="5" t="str">
        <f ca="1">IFERROR(__xludf.DUMMYFUNCTION("""COMPUTED_VALUE"""),"No")</f>
        <v>No</v>
      </c>
      <c r="AC1520" s="5" t="str">
        <f ca="1">IFERROR(__xludf.DUMMYFUNCTION("""COMPUTED_VALUE"""),"No")</f>
        <v>No</v>
      </c>
      <c r="AD1520" s="5" t="str">
        <f ca="1">IFERROR(__xludf.DUMMYFUNCTION("""COMPUTED_VALUE"""),"No")</f>
        <v>No</v>
      </c>
      <c r="AE1520" s="5" t="str">
        <f ca="1">IFERROR(__xludf.DUMMYFUNCTION("""COMPUTED_VALUE"""),"No")</f>
        <v>No</v>
      </c>
      <c r="AF1520" s="5" t="str">
        <f ca="1">IFERROR(__xludf.DUMMYFUNCTION("""COMPUTED_VALUE"""),"No")</f>
        <v>No</v>
      </c>
      <c r="AG1520" s="5" t="str">
        <f ca="1">IFERROR(__xludf.DUMMYFUNCTION("""COMPUTED_VALUE"""),"No")</f>
        <v>No</v>
      </c>
      <c r="AH1520" s="5"/>
    </row>
    <row r="1521" spans="1:34" ht="12.75">
      <c r="A1521" s="5" t="str">
        <f ca="1">IFERROR(__xludf.DUMMYFUNCTION("""COMPUTED_VALUE"""),"19960222GAJES")</f>
        <v>19960222GAJES</v>
      </c>
      <c r="B1521" s="8">
        <f ca="1">IFERROR(__xludf.DUMMYFUNCTION("""COMPUTED_VALUE"""),35117)</f>
        <v>35117</v>
      </c>
      <c r="C1521" s="5" t="str">
        <f ca="1">IFERROR(__xludf.DUMMYFUNCTION("""COMPUTED_VALUE"""),"Jenkins High School")</f>
        <v>Jenkins High School</v>
      </c>
      <c r="D1521" s="5">
        <f ca="1">IFERROR(__xludf.DUMMYFUNCTION("""COMPUTED_VALUE"""),1)</f>
        <v>1</v>
      </c>
      <c r="E1521" s="5">
        <f ca="1">IFERROR(__xludf.DUMMYFUNCTION("""COMPUTED_VALUE"""),0)</f>
        <v>0</v>
      </c>
      <c r="F1521" s="5">
        <f ca="1">IFERROR(__xludf.DUMMYFUNCTION("""COMPUTED_VALUE"""),1)</f>
        <v>1</v>
      </c>
      <c r="G1521" s="5">
        <f ca="1">IFERROR(__xludf.DUMMYFUNCTION("""COMPUTED_VALUE"""),0)</f>
        <v>0</v>
      </c>
      <c r="H1521"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I1521" s="5"/>
      <c r="J1521" s="5"/>
      <c r="K1521" s="5">
        <f ca="1">IFERROR(__xludf.DUMMYFUNCTION("""COMPUTED_VALUE"""),2)</f>
        <v>2</v>
      </c>
      <c r="L1521" s="5" t="str">
        <f ca="1">IFERROR(__xludf.DUMMYFUNCTION("""COMPUTED_VALUE"""),"Winter")</f>
        <v>Winter</v>
      </c>
      <c r="M1521" s="5" t="str">
        <f ca="1">IFERROR(__xludf.DUMMYFUNCTION("""COMPUTED_VALUE"""),"Savannah")</f>
        <v>Savannah</v>
      </c>
      <c r="N1521" s="5" t="str">
        <f ca="1">IFERROR(__xludf.DUMMYFUNCTION("""COMPUTED_VALUE"""),"GA")</f>
        <v>GA</v>
      </c>
      <c r="O1521" s="5" t="str">
        <f ca="1">IFERROR(__xludf.DUMMYFUNCTION("""COMPUTED_VALUE"""),"High")</f>
        <v>High</v>
      </c>
      <c r="P1521" s="5" t="str">
        <f ca="1">IFERROR(__xludf.DUMMYFUNCTION("""COMPUTED_VALUE"""),"Front of School")</f>
        <v>Front of School</v>
      </c>
      <c r="Q1521" s="5" t="str">
        <f ca="1">IFERROR(__xludf.DUMMYFUNCTION("""COMPUTED_VALUE"""),"Outside on School Property")</f>
        <v>Outside on School Property</v>
      </c>
      <c r="R1521" s="5" t="str">
        <f ca="1">IFERROR(__xludf.DUMMYFUNCTION("""COMPUTED_VALUE"""),"No")</f>
        <v>No</v>
      </c>
      <c r="S1521" s="5" t="str">
        <f ca="1">IFERROR(__xludf.DUMMYFUNCTION("""COMPUTED_VALUE"""),"Dismissal")</f>
        <v>Dismissal</v>
      </c>
      <c r="T1521" s="5"/>
      <c r="U1521" s="5">
        <f ca="1">IFERROR(__xludf.DUMMYFUNCTION("""COMPUTED_VALUE"""),1)</f>
        <v>1</v>
      </c>
      <c r="V1521" s="5" t="str">
        <f ca="1">IFERROR(__xludf.DUMMYFUNCTION("""COMPUTED_VALUE"""),"Ongoing argument for 3 days escalated into shooting")</f>
        <v>Ongoing argument for 3 days escalated into shooting</v>
      </c>
      <c r="W1521"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X1521" s="5" t="str">
        <f ca="1">IFERROR(__xludf.DUMMYFUNCTION("""COMPUTED_VALUE"""),"Escalation of Dispute")</f>
        <v>Escalation of Dispute</v>
      </c>
      <c r="Y1521" s="5" t="str">
        <f ca="1">IFERROR(__xludf.DUMMYFUNCTION("""COMPUTED_VALUE"""),"Victims Targeted")</f>
        <v>Victims Targeted</v>
      </c>
      <c r="Z1521" s="5" t="str">
        <f ca="1">IFERROR(__xludf.DUMMYFUNCTION("""COMPUTED_VALUE"""),"No")</f>
        <v>No</v>
      </c>
      <c r="AA1521" s="5"/>
      <c r="AB1521" s="5" t="str">
        <f ca="1">IFERROR(__xludf.DUMMYFUNCTION("""COMPUTED_VALUE"""),"No")</f>
        <v>No</v>
      </c>
      <c r="AC1521" s="5" t="str">
        <f ca="1">IFERROR(__xludf.DUMMYFUNCTION("""COMPUTED_VALUE"""),"No")</f>
        <v>No</v>
      </c>
      <c r="AD1521" s="5" t="str">
        <f ca="1">IFERROR(__xludf.DUMMYFUNCTION("""COMPUTED_VALUE"""),"No")</f>
        <v>No</v>
      </c>
      <c r="AE1521" s="5" t="str">
        <f ca="1">IFERROR(__xludf.DUMMYFUNCTION("""COMPUTED_VALUE"""),"No")</f>
        <v>No</v>
      </c>
      <c r="AF1521" s="5" t="str">
        <f ca="1">IFERROR(__xludf.DUMMYFUNCTION("""COMPUTED_VALUE"""),"No")</f>
        <v>No</v>
      </c>
      <c r="AG1521" s="5" t="str">
        <f ca="1">IFERROR(__xludf.DUMMYFUNCTION("""COMPUTED_VALUE"""),"No")</f>
        <v>No</v>
      </c>
      <c r="AH1521" s="5"/>
    </row>
    <row r="1522" spans="1:34" ht="12.75">
      <c r="A1522" s="5" t="str">
        <f ca="1">IFERROR(__xludf.DUMMYFUNCTION("""COMPUTED_VALUE"""),"19960208CAMIM")</f>
        <v>19960208CAMIM</v>
      </c>
      <c r="B1522" s="8">
        <f ca="1">IFERROR(__xludf.DUMMYFUNCTION("""COMPUTED_VALUE"""),35103)</f>
        <v>35103</v>
      </c>
      <c r="C1522" s="5" t="str">
        <f ca="1">IFERROR(__xludf.DUMMYFUNCTION("""COMPUTED_VALUE"""),"Mid-Peninsula High School")</f>
        <v>Mid-Peninsula High School</v>
      </c>
      <c r="D1522" s="5">
        <f ca="1">IFERROR(__xludf.DUMMYFUNCTION("""COMPUTED_VALUE"""),0)</f>
        <v>0</v>
      </c>
      <c r="E1522" s="5">
        <f ca="1">IFERROR(__xludf.DUMMYFUNCTION("""COMPUTED_VALUE"""),1)</f>
        <v>1</v>
      </c>
      <c r="F1522" s="5">
        <f ca="1">IFERROR(__xludf.DUMMYFUNCTION("""COMPUTED_VALUE"""),1)</f>
        <v>1</v>
      </c>
      <c r="G1522" s="5">
        <f ca="1">IFERROR(__xludf.DUMMYFUNCTION("""COMPUTED_VALUE"""),1)</f>
        <v>1</v>
      </c>
      <c r="H1522"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I1522" s="5"/>
      <c r="J1522" s="5"/>
      <c r="K1522" s="5">
        <f ca="1">IFERROR(__xludf.DUMMYFUNCTION("""COMPUTED_VALUE"""),2)</f>
        <v>2</v>
      </c>
      <c r="L1522" s="5" t="str">
        <f ca="1">IFERROR(__xludf.DUMMYFUNCTION("""COMPUTED_VALUE"""),"Winter")</f>
        <v>Winter</v>
      </c>
      <c r="M1522" s="5" t="str">
        <f ca="1">IFERROR(__xludf.DUMMYFUNCTION("""COMPUTED_VALUE"""),"Menlo Park")</f>
        <v>Menlo Park</v>
      </c>
      <c r="N1522" s="5" t="str">
        <f ca="1">IFERROR(__xludf.DUMMYFUNCTION("""COMPUTED_VALUE"""),"CA")</f>
        <v>CA</v>
      </c>
      <c r="O1522" s="5" t="str">
        <f ca="1">IFERROR(__xludf.DUMMYFUNCTION("""COMPUTED_VALUE"""),"High")</f>
        <v>High</v>
      </c>
      <c r="P1522" s="5" t="str">
        <f ca="1">IFERROR(__xludf.DUMMYFUNCTION("""COMPUTED_VALUE"""),"Basketball Court")</f>
        <v>Basketball Court</v>
      </c>
      <c r="Q1522" s="5" t="str">
        <f ca="1">IFERROR(__xludf.DUMMYFUNCTION("""COMPUTED_VALUE"""),"Outside on School Property")</f>
        <v>Outside on School Property</v>
      </c>
      <c r="R1522" s="5" t="str">
        <f ca="1">IFERROR(__xludf.DUMMYFUNCTION("""COMPUTED_VALUE"""),"Yes")</f>
        <v>Yes</v>
      </c>
      <c r="S1522" s="5" t="str">
        <f ca="1">IFERROR(__xludf.DUMMYFUNCTION("""COMPUTED_VALUE"""),"Morning Classes")</f>
        <v>Morning Classes</v>
      </c>
      <c r="T1522" s="10">
        <f ca="1">IFERROR(__xludf.DUMMYFUNCTION("""COMPUTED_VALUE"""),0.458333333333333)</f>
        <v>0.45833333333333298</v>
      </c>
      <c r="U1522" s="5">
        <f ca="1">IFERROR(__xludf.DUMMYFUNCTION("""COMPUTED_VALUE"""),1)</f>
        <v>1</v>
      </c>
      <c r="V1522" s="5" t="str">
        <f ca="1">IFERROR(__xludf.DUMMYFUNCTION("""COMPUTED_VALUE"""),"Suicidal - shot randomly at students then killed himself")</f>
        <v>Suicidal - shot randomly at students then killed himself</v>
      </c>
      <c r="W1522"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X1522" s="5" t="str">
        <f ca="1">IFERROR(__xludf.DUMMYFUNCTION("""COMPUTED_VALUE"""),"Indiscriminate Shooting")</f>
        <v>Indiscriminate Shooting</v>
      </c>
      <c r="Y1522" s="5" t="str">
        <f ca="1">IFERROR(__xludf.DUMMYFUNCTION("""COMPUTED_VALUE"""),"Random Shooting")</f>
        <v>Random Shooting</v>
      </c>
      <c r="Z1522" s="5" t="str">
        <f ca="1">IFERROR(__xludf.DUMMYFUNCTION("""COMPUTED_VALUE"""),"No")</f>
        <v>No</v>
      </c>
      <c r="AA1522" s="5"/>
      <c r="AB1522" s="5" t="str">
        <f ca="1">IFERROR(__xludf.DUMMYFUNCTION("""COMPUTED_VALUE"""),"No")</f>
        <v>No</v>
      </c>
      <c r="AC1522" s="5" t="str">
        <f ca="1">IFERROR(__xludf.DUMMYFUNCTION("""COMPUTED_VALUE"""),"No")</f>
        <v>No</v>
      </c>
      <c r="AD1522" s="5" t="str">
        <f ca="1">IFERROR(__xludf.DUMMYFUNCTION("""COMPUTED_VALUE"""),"No")</f>
        <v>No</v>
      </c>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IFERROR(__xludf.DUMMYFUNCTION("""COMPUTED_VALUE"""),"Yes")</f>
        <v>Yes</v>
      </c>
    </row>
    <row r="1523" spans="1:34" ht="12.75">
      <c r="A1523" s="5" t="str">
        <f ca="1">IFERROR(__xludf.DUMMYFUNCTION("""COMPUTED_VALUE"""),"19960202WAFRM")</f>
        <v>19960202WAFRM</v>
      </c>
      <c r="B1523" s="8">
        <f ca="1">IFERROR(__xludf.DUMMYFUNCTION("""COMPUTED_VALUE"""),35097)</f>
        <v>35097</v>
      </c>
      <c r="C1523" s="5" t="str">
        <f ca="1">IFERROR(__xludf.DUMMYFUNCTION("""COMPUTED_VALUE"""),"Frontier Middle School")</f>
        <v>Frontier Middle School</v>
      </c>
      <c r="D1523" s="5">
        <f ca="1">IFERROR(__xludf.DUMMYFUNCTION("""COMPUTED_VALUE"""),3)</f>
        <v>3</v>
      </c>
      <c r="E1523" s="5">
        <f ca="1">IFERROR(__xludf.DUMMYFUNCTION("""COMPUTED_VALUE"""),1)</f>
        <v>1</v>
      </c>
      <c r="F1523" s="5">
        <f ca="1">IFERROR(__xludf.DUMMYFUNCTION("""COMPUTED_VALUE"""),4)</f>
        <v>4</v>
      </c>
      <c r="G1523" s="5">
        <f ca="1">IFERROR(__xludf.DUMMYFUNCTION("""COMPUTED_VALUE"""),0)</f>
        <v>0</v>
      </c>
      <c r="H1523"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I1523" s="5"/>
      <c r="J1523" s="5"/>
      <c r="K1523" s="5">
        <f ca="1">IFERROR(__xludf.DUMMYFUNCTION("""COMPUTED_VALUE"""),3)</f>
        <v>3</v>
      </c>
      <c r="L1523" s="5" t="str">
        <f ca="1">IFERROR(__xludf.DUMMYFUNCTION("""COMPUTED_VALUE"""),"Winter")</f>
        <v>Winter</v>
      </c>
      <c r="M1523" s="5" t="str">
        <f ca="1">IFERROR(__xludf.DUMMYFUNCTION("""COMPUTED_VALUE"""),"Moses Lake")</f>
        <v>Moses Lake</v>
      </c>
      <c r="N1523" s="5" t="str">
        <f ca="1">IFERROR(__xludf.DUMMYFUNCTION("""COMPUTED_VALUE"""),"WA")</f>
        <v>WA</v>
      </c>
      <c r="O1523" s="5" t="str">
        <f ca="1">IFERROR(__xludf.DUMMYFUNCTION("""COMPUTED_VALUE"""),"Middle")</f>
        <v>Middle</v>
      </c>
      <c r="P1523" s="5" t="str">
        <f ca="1">IFERROR(__xludf.DUMMYFUNCTION("""COMPUTED_VALUE"""),"Classroom")</f>
        <v>Classroom</v>
      </c>
      <c r="Q1523" s="5" t="str">
        <f ca="1">IFERROR(__xludf.DUMMYFUNCTION("""COMPUTED_VALUE"""),"Inside School Building")</f>
        <v>Inside School Building</v>
      </c>
      <c r="R1523" s="5" t="str">
        <f ca="1">IFERROR(__xludf.DUMMYFUNCTION("""COMPUTED_VALUE"""),"Yes")</f>
        <v>Yes</v>
      </c>
      <c r="S1523" s="5" t="str">
        <f ca="1">IFERROR(__xludf.DUMMYFUNCTION("""COMPUTED_VALUE"""),"Afternoon Classes")</f>
        <v>Afternoon Classes</v>
      </c>
      <c r="T1523" s="5"/>
      <c r="U1523" s="5"/>
      <c r="V1523" s="5" t="str">
        <f ca="1">IFERROR(__xludf.DUMMYFUNCTION("""COMPUTED_VALUE"""),"Student dressed as cowboy planned attack/hostages; subdued by teacher")</f>
        <v>Student dressed as cowboy planned attack/hostages; subdued by teacher</v>
      </c>
      <c r="W1523"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X1523" s="5" t="str">
        <f ca="1">IFERROR(__xludf.DUMMYFUNCTION("""COMPUTED_VALUE"""),"Hostage/Standoff")</f>
        <v>Hostage/Standoff</v>
      </c>
      <c r="Y1523" s="5" t="str">
        <f ca="1">IFERROR(__xludf.DUMMYFUNCTION("""COMPUTED_VALUE"""),"Both")</f>
        <v>Both</v>
      </c>
      <c r="Z1523" s="5" t="str">
        <f ca="1">IFERROR(__xludf.DUMMYFUNCTION("""COMPUTED_VALUE"""),"No")</f>
        <v>No</v>
      </c>
      <c r="AA1523" s="5"/>
      <c r="AB1523" s="5" t="str">
        <f ca="1">IFERROR(__xludf.DUMMYFUNCTION("""COMPUTED_VALUE"""),"Yes")</f>
        <v>Yes</v>
      </c>
      <c r="AC1523" s="5" t="str">
        <f ca="1">IFERROR(__xludf.DUMMYFUNCTION("""COMPUTED_VALUE"""),"No")</f>
        <v>No</v>
      </c>
      <c r="AD1523" s="5" t="str">
        <f ca="1">IFERROR(__xludf.DUMMYFUNCTION("""COMPUTED_VALUE"""),"No")</f>
        <v>No</v>
      </c>
      <c r="AE1523" s="5" t="str">
        <f ca="1">IFERROR(__xludf.DUMMYFUNCTION("""COMPUTED_VALUE"""),"Yes")</f>
        <v>Yes</v>
      </c>
      <c r="AF1523" s="5" t="str">
        <f ca="1">IFERROR(__xludf.DUMMYFUNCTION("""COMPUTED_VALUE"""),"Yes")</f>
        <v>Yes</v>
      </c>
      <c r="AG1523" s="5" t="str">
        <f ca="1">IFERROR(__xludf.DUMMYFUNCTION("""COMPUTED_VALUE"""),"No")</f>
        <v>No</v>
      </c>
      <c r="AH1523" s="5" t="str">
        <f ca="1">IFERROR(__xludf.DUMMYFUNCTION("""COMPUTED_VALUE"""),"Yes")</f>
        <v>Yes</v>
      </c>
    </row>
    <row r="1524" spans="1:34" ht="12.75">
      <c r="A1524" s="5" t="str">
        <f ca="1">IFERROR(__xludf.DUMMYFUNCTION("""COMPUTED_VALUE"""),"19960126TNEAM")</f>
        <v>19960126TNEAM</v>
      </c>
      <c r="B1524" s="8">
        <f ca="1">IFERROR(__xludf.DUMMYFUNCTION("""COMPUTED_VALUE"""),35090)</f>
        <v>35090</v>
      </c>
      <c r="C1524" s="5" t="str">
        <f ca="1">IFERROR(__xludf.DUMMYFUNCTION("""COMPUTED_VALUE"""),"East High School")</f>
        <v>East High School</v>
      </c>
      <c r="D1524" s="5">
        <f ca="1">IFERROR(__xludf.DUMMYFUNCTION("""COMPUTED_VALUE"""),1)</f>
        <v>1</v>
      </c>
      <c r="E1524" s="5">
        <f ca="1">IFERROR(__xludf.DUMMYFUNCTION("""COMPUTED_VALUE"""),0)</f>
        <v>0</v>
      </c>
      <c r="F1524" s="5">
        <f ca="1">IFERROR(__xludf.DUMMYFUNCTION("""COMPUTED_VALUE"""),1)</f>
        <v>1</v>
      </c>
      <c r="G1524" s="5">
        <f ca="1">IFERROR(__xludf.DUMMYFUNCTION("""COMPUTED_VALUE"""),0)</f>
        <v>0</v>
      </c>
      <c r="H1524"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I1524" s="5"/>
      <c r="J1524" s="5"/>
      <c r="K1524" s="5">
        <f ca="1">IFERROR(__xludf.DUMMYFUNCTION("""COMPUTED_VALUE"""),2)</f>
        <v>2</v>
      </c>
      <c r="L1524" s="5" t="str">
        <f ca="1">IFERROR(__xludf.DUMMYFUNCTION("""COMPUTED_VALUE"""),"Winter")</f>
        <v>Winter</v>
      </c>
      <c r="M1524" s="5" t="str">
        <f ca="1">IFERROR(__xludf.DUMMYFUNCTION("""COMPUTED_VALUE"""),"Memphis")</f>
        <v>Memphis</v>
      </c>
      <c r="N1524" s="5" t="str">
        <f ca="1">IFERROR(__xludf.DUMMYFUNCTION("""COMPUTED_VALUE"""),"TN")</f>
        <v>TN</v>
      </c>
      <c r="O1524" s="5" t="str">
        <f ca="1">IFERROR(__xludf.DUMMYFUNCTION("""COMPUTED_VALUE"""),"High")</f>
        <v>High</v>
      </c>
      <c r="P1524" s="5" t="str">
        <f ca="1">IFERROR(__xludf.DUMMYFUNCTION("""COMPUTED_VALUE"""),"Parking Lot")</f>
        <v>Parking Lot</v>
      </c>
      <c r="Q1524" s="5" t="str">
        <f ca="1">IFERROR(__xludf.DUMMYFUNCTION("""COMPUTED_VALUE"""),"Outside on School Property")</f>
        <v>Outside on School Property</v>
      </c>
      <c r="R1524" s="5" t="str">
        <f ca="1">IFERROR(__xludf.DUMMYFUNCTION("""COMPUTED_VALUE"""),"No")</f>
        <v>No</v>
      </c>
      <c r="S1524" s="5" t="str">
        <f ca="1">IFERROR(__xludf.DUMMYFUNCTION("""COMPUTED_VALUE"""),"Sport Event")</f>
        <v>Sport Event</v>
      </c>
      <c r="T1524" s="10">
        <f ca="1">IFERROR(__xludf.DUMMYFUNCTION("""COMPUTED_VALUE"""),0.90625)</f>
        <v>0.90625</v>
      </c>
      <c r="U1524" s="5">
        <f ca="1">IFERROR(__xludf.DUMMYFUNCTION("""COMPUTED_VALUE"""),1)</f>
        <v>1</v>
      </c>
      <c r="V1524" s="5" t="str">
        <f ca="1">IFERROR(__xludf.DUMMYFUNCTION("""COMPUTED_VALUE"""),"Shot while trying to break up fight after basketball game")</f>
        <v>Shot while trying to break up fight after basketball game</v>
      </c>
      <c r="W1524"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X1524" s="5" t="str">
        <f ca="1">IFERROR(__xludf.DUMMYFUNCTION("""COMPUTED_VALUE"""),"Escalation of Dispute")</f>
        <v>Escalation of Dispute</v>
      </c>
      <c r="Y1524" s="5" t="str">
        <f ca="1">IFERROR(__xludf.DUMMYFUNCTION("""COMPUTED_VALUE"""),"Random Shooting")</f>
        <v>Random Shooting</v>
      </c>
      <c r="Z1524" s="5" t="str">
        <f ca="1">IFERROR(__xludf.DUMMYFUNCTION("""COMPUTED_VALUE"""),"No")</f>
        <v>No</v>
      </c>
      <c r="AA1524" s="5"/>
      <c r="AB1524" s="5" t="str">
        <f ca="1">IFERROR(__xludf.DUMMYFUNCTION("""COMPUTED_VALUE"""),"No")</f>
        <v>No</v>
      </c>
      <c r="AC1524" s="5" t="str">
        <f ca="1">IFERROR(__xludf.DUMMYFUNCTION("""COMPUTED_VALUE"""),"No")</f>
        <v>No</v>
      </c>
      <c r="AD1524" s="5" t="str">
        <f ca="1">IFERROR(__xludf.DUMMYFUNCTION("""COMPUTED_VALUE"""),"No")</f>
        <v>No</v>
      </c>
      <c r="AE1524" s="5" t="str">
        <f ca="1">IFERROR(__xludf.DUMMYFUNCTION("""COMPUTED_VALUE"""),"No")</f>
        <v>No</v>
      </c>
      <c r="AF1524" s="5" t="str">
        <f ca="1">IFERROR(__xludf.DUMMYFUNCTION("""COMPUTED_VALUE"""),"No")</f>
        <v>No</v>
      </c>
      <c r="AG1524" s="5" t="str">
        <f ca="1">IFERROR(__xludf.DUMMYFUNCTION("""COMPUTED_VALUE"""),"No")</f>
        <v>No</v>
      </c>
      <c r="AH1524" s="5"/>
    </row>
    <row r="1525" spans="1:34" ht="12.75">
      <c r="A1525" s="5" t="str">
        <f ca="1">IFERROR(__xludf.DUMMYFUNCTION("""COMPUTED_VALUE"""),"19960119DCWIW")</f>
        <v>19960119DCWIW</v>
      </c>
      <c r="B1525" s="8">
        <f ca="1">IFERROR(__xludf.DUMMYFUNCTION("""COMPUTED_VALUE"""),35083)</f>
        <v>35083</v>
      </c>
      <c r="C1525" s="5" t="str">
        <f ca="1">IFERROR(__xludf.DUMMYFUNCTION("""COMPUTED_VALUE"""),"Winston Education Center")</f>
        <v>Winston Education Center</v>
      </c>
      <c r="D1525" s="5">
        <f ca="1">IFERROR(__xludf.DUMMYFUNCTION("""COMPUTED_VALUE"""),1)</f>
        <v>1</v>
      </c>
      <c r="E1525" s="5">
        <f ca="1">IFERROR(__xludf.DUMMYFUNCTION("""COMPUTED_VALUE"""),0)</f>
        <v>0</v>
      </c>
      <c r="F1525" s="5">
        <f ca="1">IFERROR(__xludf.DUMMYFUNCTION("""COMPUTED_VALUE"""),1)</f>
        <v>1</v>
      </c>
      <c r="G1525" s="5">
        <f ca="1">IFERROR(__xludf.DUMMYFUNCTION("""COMPUTED_VALUE"""),0)</f>
        <v>0</v>
      </c>
      <c r="H1525"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I1525" s="5"/>
      <c r="J1525" s="5"/>
      <c r="K1525" s="5">
        <f ca="1">IFERROR(__xludf.DUMMYFUNCTION("""COMPUTED_VALUE"""),2)</f>
        <v>2</v>
      </c>
      <c r="L1525" s="5" t="str">
        <f ca="1">IFERROR(__xludf.DUMMYFUNCTION("""COMPUTED_VALUE"""),"Winter")</f>
        <v>Winter</v>
      </c>
      <c r="M1525" s="5" t="str">
        <f ca="1">IFERROR(__xludf.DUMMYFUNCTION("""COMPUTED_VALUE"""),"Washington")</f>
        <v>Washington</v>
      </c>
      <c r="N1525" s="5" t="str">
        <f ca="1">IFERROR(__xludf.DUMMYFUNCTION("""COMPUTED_VALUE"""),"DC")</f>
        <v>DC</v>
      </c>
      <c r="O1525" s="5" t="str">
        <f ca="1">IFERROR(__xludf.DUMMYFUNCTION("""COMPUTED_VALUE"""),"K-8")</f>
        <v>K-8</v>
      </c>
      <c r="P1525" s="5" t="str">
        <f ca="1">IFERROR(__xludf.DUMMYFUNCTION("""COMPUTED_VALUE"""),"Other")</f>
        <v>Other</v>
      </c>
      <c r="Q1525" s="5" t="str">
        <f ca="1">IFERROR(__xludf.DUMMYFUNCTION("""COMPUTED_VALUE"""),"Inside School Building")</f>
        <v>Inside School Building</v>
      </c>
      <c r="R1525" s="5" t="str">
        <f ca="1">IFERROR(__xludf.DUMMYFUNCTION("""COMPUTED_VALUE"""),"Yes")</f>
        <v>Yes</v>
      </c>
      <c r="S1525" s="5" t="str">
        <f ca="1">IFERROR(__xludf.DUMMYFUNCTION("""COMPUTED_VALUE"""),"Dismissal")</f>
        <v>Dismissal</v>
      </c>
      <c r="T1525" s="5"/>
      <c r="U1525" s="5">
        <f ca="1">IFERROR(__xludf.DUMMYFUNCTION("""COMPUTED_VALUE"""),1)</f>
        <v>1</v>
      </c>
      <c r="V1525" s="5" t="str">
        <f ca="1">IFERROR(__xludf.DUMMYFUNCTION("""COMPUTED_VALUE"""),"Shot fired during a chase between non-students inside school, hit bystander victim")</f>
        <v>Shot fired during a chase between non-students inside school, hit bystander victim</v>
      </c>
      <c r="W1525"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X1525" s="5" t="str">
        <f ca="1">IFERROR(__xludf.DUMMYFUNCTION("""COMPUTED_VALUE"""),"Escalation of Dispute")</f>
        <v>Escalation of Dispute</v>
      </c>
      <c r="Y1525" s="5" t="str">
        <f ca="1">IFERROR(__xludf.DUMMYFUNCTION("""COMPUTED_VALUE"""),"Victims Targeted")</f>
        <v>Victims Targeted</v>
      </c>
      <c r="Z1525" s="5" t="str">
        <f ca="1">IFERROR(__xludf.DUMMYFUNCTION("""COMPUTED_VALUE"""),"Yes")</f>
        <v>Yes</v>
      </c>
      <c r="AA1525"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B1525" s="5" t="str">
        <f ca="1">IFERROR(__xludf.DUMMYFUNCTION("""COMPUTED_VALUE"""),"No")</f>
        <v>No</v>
      </c>
      <c r="AC1525" s="5" t="str">
        <f ca="1">IFERROR(__xludf.DUMMYFUNCTION("""COMPUTED_VALUE"""),"No")</f>
        <v>No</v>
      </c>
      <c r="AD1525" s="5" t="str">
        <f ca="1">IFERROR(__xludf.DUMMYFUNCTION("""COMPUTED_VALUE"""),"No")</f>
        <v>No</v>
      </c>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row>
    <row r="1526" spans="1:34" ht="12.75">
      <c r="A1526" s="5" t="str">
        <f ca="1">IFERROR(__xludf.DUMMYFUNCTION("""COMPUTED_VALUE"""),"19960102PAGIG")</f>
        <v>19960102PAGIG</v>
      </c>
      <c r="B1526" s="8">
        <f ca="1">IFERROR(__xludf.DUMMYFUNCTION("""COMPUTED_VALUE"""),35066)</f>
        <v>35066</v>
      </c>
      <c r="C1526" s="5" t="str">
        <f ca="1">IFERROR(__xludf.DUMMYFUNCTION("""COMPUTED_VALUE"""),"Girard High School")</f>
        <v>Girard High School</v>
      </c>
      <c r="D1526" s="5">
        <f ca="1">IFERROR(__xludf.DUMMYFUNCTION("""COMPUTED_VALUE"""),0)</f>
        <v>0</v>
      </c>
      <c r="E1526" s="5">
        <f ca="1">IFERROR(__xludf.DUMMYFUNCTION("""COMPUTED_VALUE"""),0)</f>
        <v>0</v>
      </c>
      <c r="F1526" s="5">
        <f ca="1">IFERROR(__xludf.DUMMYFUNCTION("""COMPUTED_VALUE"""),0)</f>
        <v>0</v>
      </c>
      <c r="G1526" s="5">
        <f ca="1">IFERROR(__xludf.DUMMYFUNCTION("""COMPUTED_VALUE"""),1)</f>
        <v>1</v>
      </c>
      <c r="H1526" s="5" t="str">
        <f ca="1">IFERROR(__xludf.DUMMYFUNCTION("""COMPUTED_VALUE"""),"https://www.columbine-angels.com/School_Violence_1995-1996.htm  https://www.psychceu.com/school_violence/savd.pdf")</f>
        <v>https://www.columbine-angels.com/School_Violence_1995-1996.htm  https://www.psychceu.com/school_violence/savd.pdf</v>
      </c>
      <c r="I1526" s="5"/>
      <c r="J1526" s="5"/>
      <c r="K1526" s="5">
        <f ca="1">IFERROR(__xludf.DUMMYFUNCTION("""COMPUTED_VALUE"""),1)</f>
        <v>1</v>
      </c>
      <c r="L1526" s="5" t="str">
        <f ca="1">IFERROR(__xludf.DUMMYFUNCTION("""COMPUTED_VALUE"""),"Winter")</f>
        <v>Winter</v>
      </c>
      <c r="M1526" s="5" t="str">
        <f ca="1">IFERROR(__xludf.DUMMYFUNCTION("""COMPUTED_VALUE"""),"Girard")</f>
        <v>Girard</v>
      </c>
      <c r="N1526" s="5" t="str">
        <f ca="1">IFERROR(__xludf.DUMMYFUNCTION("""COMPUTED_VALUE"""),"PA")</f>
        <v>PA</v>
      </c>
      <c r="O1526" s="5" t="str">
        <f ca="1">IFERROR(__xludf.DUMMYFUNCTION("""COMPUTED_VALUE"""),"High")</f>
        <v>High</v>
      </c>
      <c r="P1526" s="5" t="str">
        <f ca="1">IFERROR(__xludf.DUMMYFUNCTION("""COMPUTED_VALUE"""),"Hallway")</f>
        <v>Hallway</v>
      </c>
      <c r="Q1526" s="5" t="str">
        <f ca="1">IFERROR(__xludf.DUMMYFUNCTION("""COMPUTED_VALUE"""),"Inside School Building")</f>
        <v>Inside School Building</v>
      </c>
      <c r="R1526" s="5"/>
      <c r="S1526" s="5"/>
      <c r="T1526" s="5"/>
      <c r="U1526" s="5">
        <f ca="1">IFERROR(__xludf.DUMMYFUNCTION("""COMPUTED_VALUE"""),1)</f>
        <v>1</v>
      </c>
      <c r="V1526" s="5" t="str">
        <f ca="1">IFERROR(__xludf.DUMMYFUNCTION("""COMPUTED_VALUE"""),"Commit suicide in school hallway")</f>
        <v>Commit suicide in school hallway</v>
      </c>
      <c r="W1526"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X1526" s="5" t="str">
        <f ca="1">IFERROR(__xludf.DUMMYFUNCTION("""COMPUTED_VALUE"""),"Suicide/Attempted")</f>
        <v>Suicide/Attempted</v>
      </c>
      <c r="Y1526" s="5" t="str">
        <f ca="1">IFERROR(__xludf.DUMMYFUNCTION("""COMPUTED_VALUE"""),"Victims Targeted")</f>
        <v>Victims Targeted</v>
      </c>
      <c r="Z1526" s="5" t="str">
        <f ca="1">IFERROR(__xludf.DUMMYFUNCTION("""COMPUTED_VALUE"""),"No")</f>
        <v>No</v>
      </c>
      <c r="AA1526" s="5"/>
      <c r="AB1526" s="5" t="str">
        <f ca="1">IFERROR(__xludf.DUMMYFUNCTION("""COMPUTED_VALUE"""),"No")</f>
        <v>No</v>
      </c>
      <c r="AC1526" s="5" t="str">
        <f ca="1">IFERROR(__xludf.DUMMYFUNCTION("""COMPUTED_VALUE"""),"N/A")</f>
        <v>N/A</v>
      </c>
      <c r="AD1526" s="5" t="str">
        <f ca="1">IFERROR(__xludf.DUMMYFUNCTION("""COMPUTED_VALUE"""),"No")</f>
        <v>No</v>
      </c>
      <c r="AE1526" s="5"/>
      <c r="AF1526" s="5"/>
      <c r="AG1526" s="5"/>
      <c r="AH1526" s="5" t="str">
        <f ca="1">IFERROR(__xludf.DUMMYFUNCTION("""COMPUTED_VALUE"""),"No")</f>
        <v>No</v>
      </c>
    </row>
    <row r="1527" spans="1:34" ht="12.75">
      <c r="A1527" s="5" t="str">
        <f ca="1">IFERROR(__xludf.DUMMYFUNCTION("""COMPUTED_VALUE"""),"19951128NYTHN")</f>
        <v>19951128NYTHN</v>
      </c>
      <c r="B1527" s="8">
        <f ca="1">IFERROR(__xludf.DUMMYFUNCTION("""COMPUTED_VALUE"""),35031)</f>
        <v>35031</v>
      </c>
      <c r="C1527" s="5" t="str">
        <f ca="1">IFERROR(__xludf.DUMMYFUNCTION("""COMPUTED_VALUE"""),"Thomas A. Edison Vocational and Technical High School")</f>
        <v>Thomas A. Edison Vocational and Technical High School</v>
      </c>
      <c r="D1527" s="5">
        <f ca="1">IFERROR(__xludf.DUMMYFUNCTION("""COMPUTED_VALUE"""),1)</f>
        <v>1</v>
      </c>
      <c r="E1527" s="5">
        <f ca="1">IFERROR(__xludf.DUMMYFUNCTION("""COMPUTED_VALUE"""),0)</f>
        <v>0</v>
      </c>
      <c r="F1527" s="5">
        <f ca="1">IFERROR(__xludf.DUMMYFUNCTION("""COMPUTED_VALUE"""),1)</f>
        <v>1</v>
      </c>
      <c r="G1527" s="5">
        <f ca="1">IFERROR(__xludf.DUMMYFUNCTION("""COMPUTED_VALUE"""),0)</f>
        <v>0</v>
      </c>
      <c r="H1527"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I1527" s="5"/>
      <c r="J1527" s="5"/>
      <c r="K1527" s="5">
        <f ca="1">IFERROR(__xludf.DUMMYFUNCTION("""COMPUTED_VALUE"""),2)</f>
        <v>2</v>
      </c>
      <c r="L1527" s="5" t="str">
        <f ca="1">IFERROR(__xludf.DUMMYFUNCTION("""COMPUTED_VALUE"""),"Fall")</f>
        <v>Fall</v>
      </c>
      <c r="M1527" s="5" t="str">
        <f ca="1">IFERROR(__xludf.DUMMYFUNCTION("""COMPUTED_VALUE"""),"New York")</f>
        <v>New York</v>
      </c>
      <c r="N1527" s="5" t="str">
        <f ca="1">IFERROR(__xludf.DUMMYFUNCTION("""COMPUTED_VALUE"""),"NY")</f>
        <v>NY</v>
      </c>
      <c r="O1527" s="5" t="str">
        <f ca="1">IFERROR(__xludf.DUMMYFUNCTION("""COMPUTED_VALUE"""),"High")</f>
        <v>High</v>
      </c>
      <c r="P1527" s="5" t="str">
        <f ca="1">IFERROR(__xludf.DUMMYFUNCTION("""COMPUTED_VALUE"""),"Parking Lot")</f>
        <v>Parking Lot</v>
      </c>
      <c r="Q1527" s="5" t="str">
        <f ca="1">IFERROR(__xludf.DUMMYFUNCTION("""COMPUTED_VALUE"""),"Outside on School Property")</f>
        <v>Outside on School Property</v>
      </c>
      <c r="R1527" s="5" t="str">
        <f ca="1">IFERROR(__xludf.DUMMYFUNCTION("""COMPUTED_VALUE"""),"Yes")</f>
        <v>Yes</v>
      </c>
      <c r="S1527" s="5" t="str">
        <f ca="1">IFERROR(__xludf.DUMMYFUNCTION("""COMPUTED_VALUE"""),"Morning Classes")</f>
        <v>Morning Classes</v>
      </c>
      <c r="T1527" s="10">
        <f ca="1">IFERROR(__xludf.DUMMYFUNCTION("""COMPUTED_VALUE"""),0.479166666666666)</f>
        <v>0.47916666666666602</v>
      </c>
      <c r="U1527" s="5">
        <f ca="1">IFERROR(__xludf.DUMMYFUNCTION("""COMPUTED_VALUE"""),1)</f>
        <v>1</v>
      </c>
      <c r="V1527" s="5" t="str">
        <f ca="1">IFERROR(__xludf.DUMMYFUNCTION("""COMPUTED_VALUE"""),"Three suspects pursued victim and shot during robbery for his gold chain.")</f>
        <v>Three suspects pursued victim and shot during robbery for his gold chain.</v>
      </c>
      <c r="W1527"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X1527" s="5" t="str">
        <f ca="1">IFERROR(__xludf.DUMMYFUNCTION("""COMPUTED_VALUE"""),"Illegal Activity")</f>
        <v>Illegal Activity</v>
      </c>
      <c r="Y1527" s="5" t="str">
        <f ca="1">IFERROR(__xludf.DUMMYFUNCTION("""COMPUTED_VALUE"""),"Victims Targeted")</f>
        <v>Victims Targeted</v>
      </c>
      <c r="Z1527" s="5" t="str">
        <f ca="1">IFERROR(__xludf.DUMMYFUNCTION("""COMPUTED_VALUE"""),"Yes")</f>
        <v>Yes</v>
      </c>
      <c r="AA1527" s="5" t="str">
        <f ca="1">IFERROR(__xludf.DUMMYFUNCTION("""COMPUTED_VALUE"""),"3 suspects involved in robbery")</f>
        <v>3 suspects involved in robbery</v>
      </c>
      <c r="AB1527" s="5" t="str">
        <f ca="1">IFERROR(__xludf.DUMMYFUNCTION("""COMPUTED_VALUE"""),"No")</f>
        <v>No</v>
      </c>
      <c r="AC1527" s="5" t="str">
        <f ca="1">IFERROR(__xludf.DUMMYFUNCTION("""COMPUTED_VALUE"""),"No")</f>
        <v>No</v>
      </c>
      <c r="AD1527" s="5" t="str">
        <f ca="1">IFERROR(__xludf.DUMMYFUNCTION("""COMPUTED_VALUE"""),"No")</f>
        <v>No</v>
      </c>
      <c r="AE1527" s="5" t="str">
        <f ca="1">IFERROR(__xludf.DUMMYFUNCTION("""COMPUTED_VALUE"""),"No")</f>
        <v>No</v>
      </c>
      <c r="AF1527" s="5" t="str">
        <f ca="1">IFERROR(__xludf.DUMMYFUNCTION("""COMPUTED_VALUE"""),"No")</f>
        <v>No</v>
      </c>
      <c r="AG1527" s="5" t="str">
        <f ca="1">IFERROR(__xludf.DUMMYFUNCTION("""COMPUTED_VALUE"""),"No")</f>
        <v>No</v>
      </c>
      <c r="AH1527" s="5"/>
    </row>
    <row r="1528" spans="1:34" ht="12.75">
      <c r="A1528" s="5" t="str">
        <f ca="1">IFERROR(__xludf.DUMMYFUNCTION("""COMPUTED_VALUE"""),"19951115TNRIL")</f>
        <v>19951115TNRIL</v>
      </c>
      <c r="B1528" s="8">
        <f ca="1">IFERROR(__xludf.DUMMYFUNCTION("""COMPUTED_VALUE"""),35018)</f>
        <v>35018</v>
      </c>
      <c r="C1528" s="5" t="str">
        <f ca="1">IFERROR(__xludf.DUMMYFUNCTION("""COMPUTED_VALUE"""),"Richland High School")</f>
        <v>Richland High School</v>
      </c>
      <c r="D1528" s="5">
        <f ca="1">IFERROR(__xludf.DUMMYFUNCTION("""COMPUTED_VALUE"""),2)</f>
        <v>2</v>
      </c>
      <c r="E1528" s="5">
        <f ca="1">IFERROR(__xludf.DUMMYFUNCTION("""COMPUTED_VALUE"""),1)</f>
        <v>1</v>
      </c>
      <c r="F1528" s="5">
        <f ca="1">IFERROR(__xludf.DUMMYFUNCTION("""COMPUTED_VALUE"""),3)</f>
        <v>3</v>
      </c>
      <c r="G1528" s="5">
        <f ca="1">IFERROR(__xludf.DUMMYFUNCTION("""COMPUTED_VALUE"""),0)</f>
        <v>0</v>
      </c>
      <c r="H1528"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I1528" s="5"/>
      <c r="J1528" s="5"/>
      <c r="K1528" s="5">
        <f ca="1">IFERROR(__xludf.DUMMYFUNCTION("""COMPUTED_VALUE"""),2)</f>
        <v>2</v>
      </c>
      <c r="L1528" s="5" t="str">
        <f ca="1">IFERROR(__xludf.DUMMYFUNCTION("""COMPUTED_VALUE"""),"Fall")</f>
        <v>Fall</v>
      </c>
      <c r="M1528" s="5" t="str">
        <f ca="1">IFERROR(__xludf.DUMMYFUNCTION("""COMPUTED_VALUE"""),"Lynnville")</f>
        <v>Lynnville</v>
      </c>
      <c r="N1528" s="5" t="str">
        <f ca="1">IFERROR(__xludf.DUMMYFUNCTION("""COMPUTED_VALUE"""),"TN")</f>
        <v>TN</v>
      </c>
      <c r="O1528" s="5" t="str">
        <f ca="1">IFERROR(__xludf.DUMMYFUNCTION("""COMPUTED_VALUE"""),"High")</f>
        <v>High</v>
      </c>
      <c r="P1528" s="5" t="str">
        <f ca="1">IFERROR(__xludf.DUMMYFUNCTION("""COMPUTED_VALUE"""),"Hallway")</f>
        <v>Hallway</v>
      </c>
      <c r="Q1528" s="5" t="str">
        <f ca="1">IFERROR(__xludf.DUMMYFUNCTION("""COMPUTED_VALUE"""),"Inside School Building")</f>
        <v>Inside School Building</v>
      </c>
      <c r="R1528" s="5" t="str">
        <f ca="1">IFERROR(__xludf.DUMMYFUNCTION("""COMPUTED_VALUE"""),"Yes")</f>
        <v>Yes</v>
      </c>
      <c r="S1528" s="5" t="str">
        <f ca="1">IFERROR(__xludf.DUMMYFUNCTION("""COMPUTED_VALUE"""),"School Start")</f>
        <v>School Start</v>
      </c>
      <c r="T1528" s="5"/>
      <c r="U1528" s="5"/>
      <c r="V1528"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W1528"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X1528" s="5" t="str">
        <f ca="1">IFERROR(__xludf.DUMMYFUNCTION("""COMPUTED_VALUE"""),"Bullying")</f>
        <v>Bullying</v>
      </c>
      <c r="Y1528" s="5" t="str">
        <f ca="1">IFERROR(__xludf.DUMMYFUNCTION("""COMPUTED_VALUE"""),"Both")</f>
        <v>Both</v>
      </c>
      <c r="Z1528" s="5" t="str">
        <f ca="1">IFERROR(__xludf.DUMMYFUNCTION("""COMPUTED_VALUE"""),"No")</f>
        <v>No</v>
      </c>
      <c r="AA1528" s="5"/>
      <c r="AB1528" s="5" t="str">
        <f ca="1">IFERROR(__xludf.DUMMYFUNCTION("""COMPUTED_VALUE"""),"No")</f>
        <v>No</v>
      </c>
      <c r="AC1528" s="5" t="str">
        <f ca="1">IFERROR(__xludf.DUMMYFUNCTION("""COMPUTED_VALUE"""),"No")</f>
        <v>No</v>
      </c>
      <c r="AD1528" s="5" t="str">
        <f ca="1">IFERROR(__xludf.DUMMYFUNCTION("""COMPUTED_VALUE"""),"No")</f>
        <v>No</v>
      </c>
      <c r="AE1528" s="5" t="str">
        <f ca="1">IFERROR(__xludf.DUMMYFUNCTION("""COMPUTED_VALUE"""),"Yes")</f>
        <v>Yes</v>
      </c>
      <c r="AF1528" s="5" t="str">
        <f ca="1">IFERROR(__xludf.DUMMYFUNCTION("""COMPUTED_VALUE"""),"No")</f>
        <v>No</v>
      </c>
      <c r="AG1528" s="5" t="str">
        <f ca="1">IFERROR(__xludf.DUMMYFUNCTION("""COMPUTED_VALUE"""),"No")</f>
        <v>No</v>
      </c>
      <c r="AH1528" s="5" t="str">
        <f ca="1">IFERROR(__xludf.DUMMYFUNCTION("""COMPUTED_VALUE"""),"Yes")</f>
        <v>Yes</v>
      </c>
    </row>
    <row r="1529" spans="1:34" ht="12.75">
      <c r="A1529" s="5" t="str">
        <f ca="1">IFERROR(__xludf.DUMMYFUNCTION("""COMPUTED_VALUE"""),"19951102FLBLM")</f>
        <v>19951102FLBLM</v>
      </c>
      <c r="B1529" s="8">
        <f ca="1">IFERROR(__xludf.DUMMYFUNCTION("""COMPUTED_VALUE"""),35005)</f>
        <v>35005</v>
      </c>
      <c r="C1529" s="5" t="str">
        <f ca="1">IFERROR(__xludf.DUMMYFUNCTION("""COMPUTED_VALUE"""),"Blue Lake Elementary School (bus)")</f>
        <v>Blue Lake Elementary School (bus)</v>
      </c>
      <c r="D1529" s="5">
        <f ca="1">IFERROR(__xludf.DUMMYFUNCTION("""COMPUTED_VALUE"""),0)</f>
        <v>0</v>
      </c>
      <c r="E1529" s="5">
        <f ca="1">IFERROR(__xludf.DUMMYFUNCTION("""COMPUTED_VALUE"""),0)</f>
        <v>0</v>
      </c>
      <c r="F1529" s="5">
        <f ca="1">IFERROR(__xludf.DUMMYFUNCTION("""COMPUTED_VALUE"""),0)</f>
        <v>0</v>
      </c>
      <c r="G1529" s="5">
        <f ca="1">IFERROR(__xludf.DUMMYFUNCTION("""COMPUTED_VALUE"""),1)</f>
        <v>1</v>
      </c>
      <c r="H1529"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I1529" s="5"/>
      <c r="J1529" s="5"/>
      <c r="K1529" s="5">
        <f ca="1">IFERROR(__xludf.DUMMYFUNCTION("""COMPUTED_VALUE"""),2)</f>
        <v>2</v>
      </c>
      <c r="L1529" s="5" t="str">
        <f ca="1">IFERROR(__xludf.DUMMYFUNCTION("""COMPUTED_VALUE"""),"Fall")</f>
        <v>Fall</v>
      </c>
      <c r="M1529" s="5" t="str">
        <f ca="1">IFERROR(__xludf.DUMMYFUNCTION("""COMPUTED_VALUE"""),"Miami Beach")</f>
        <v>Miami Beach</v>
      </c>
      <c r="N1529" s="5" t="str">
        <f ca="1">IFERROR(__xludf.DUMMYFUNCTION("""COMPUTED_VALUE"""),"FL")</f>
        <v>FL</v>
      </c>
      <c r="O1529" s="5" t="str">
        <f ca="1">IFERROR(__xludf.DUMMYFUNCTION("""COMPUTED_VALUE"""),"Elementary")</f>
        <v>Elementary</v>
      </c>
      <c r="P1529" s="5" t="str">
        <f ca="1">IFERROR(__xludf.DUMMYFUNCTION("""COMPUTED_VALUE"""),"School Bus")</f>
        <v>School Bus</v>
      </c>
      <c r="Q1529" s="5" t="str">
        <f ca="1">IFERROR(__xludf.DUMMYFUNCTION("""COMPUTED_VALUE"""),"School Bus")</f>
        <v>School Bus</v>
      </c>
      <c r="R1529" s="5" t="str">
        <f ca="1">IFERROR(__xludf.DUMMYFUNCTION("""COMPUTED_VALUE"""),"No")</f>
        <v>No</v>
      </c>
      <c r="S1529" s="5" t="str">
        <f ca="1">IFERROR(__xludf.DUMMYFUNCTION("""COMPUTED_VALUE"""),"Before School")</f>
        <v>Before School</v>
      </c>
      <c r="T1529" s="10">
        <f ca="1">IFERROR(__xludf.DUMMYFUNCTION("""COMPUTED_VALUE"""),0.34375)</f>
        <v>0.34375</v>
      </c>
      <c r="U1529" s="5"/>
      <c r="V1529" s="5" t="str">
        <f ca="1">IFERROR(__xludf.DUMMYFUNCTION("""COMPUTED_VALUE"""),"Hijacked a bus full of disabled students and held them hostage.")</f>
        <v>Hijacked a bus full of disabled students and held them hostage.</v>
      </c>
      <c r="W1529"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X1529" s="5" t="str">
        <f ca="1">IFERROR(__xludf.DUMMYFUNCTION("""COMPUTED_VALUE"""),"Hostage/Standoff")</f>
        <v>Hostage/Standoff</v>
      </c>
      <c r="Y1529" s="5" t="str">
        <f ca="1">IFERROR(__xludf.DUMMYFUNCTION("""COMPUTED_VALUE"""),"Random Shooting")</f>
        <v>Random Shooting</v>
      </c>
      <c r="Z1529" s="5" t="str">
        <f ca="1">IFERROR(__xludf.DUMMYFUNCTION("""COMPUTED_VALUE"""),"No")</f>
        <v>No</v>
      </c>
      <c r="AA1529" s="5"/>
      <c r="AB1529" s="5" t="str">
        <f ca="1">IFERROR(__xludf.DUMMYFUNCTION("""COMPUTED_VALUE"""),"Yes")</f>
        <v>Yes</v>
      </c>
      <c r="AC1529" s="5" t="str">
        <f ca="1">IFERROR(__xludf.DUMMYFUNCTION("""COMPUTED_VALUE"""),"Yes")</f>
        <v>Yes</v>
      </c>
      <c r="AD1529" s="5" t="str">
        <f ca="1">IFERROR(__xludf.DUMMYFUNCTION("""COMPUTED_VALUE"""),"No")</f>
        <v>No</v>
      </c>
      <c r="AE1529" s="5" t="str">
        <f ca="1">IFERROR(__xludf.DUMMYFUNCTION("""COMPUTED_VALUE"""),"No")</f>
        <v>No</v>
      </c>
      <c r="AF1529" s="5" t="str">
        <f ca="1">IFERROR(__xludf.DUMMYFUNCTION("""COMPUTED_VALUE"""),"No")</f>
        <v>No</v>
      </c>
      <c r="AG1529" s="5" t="str">
        <f ca="1">IFERROR(__xludf.DUMMYFUNCTION("""COMPUTED_VALUE"""),"No")</f>
        <v>No</v>
      </c>
      <c r="AH1529" s="5"/>
    </row>
    <row r="1530" spans="1:34" ht="12.75">
      <c r="A1530" s="5" t="str">
        <f ca="1">IFERROR(__xludf.DUMMYFUNCTION("""COMPUTED_VALUE"""),"19951030VAJOR")</f>
        <v>19951030VAJOR</v>
      </c>
      <c r="B1530" s="8">
        <f ca="1">IFERROR(__xludf.DUMMYFUNCTION("""COMPUTED_VALUE"""),35002)</f>
        <v>35002</v>
      </c>
      <c r="C1530" s="5" t="str">
        <f ca="1">IFERROR(__xludf.DUMMYFUNCTION("""COMPUTED_VALUE"""),"John F. Kennedy High School")</f>
        <v>John F. Kennedy High School</v>
      </c>
      <c r="D1530" s="5">
        <f ca="1">IFERROR(__xludf.DUMMYFUNCTION("""COMPUTED_VALUE"""),0)</f>
        <v>0</v>
      </c>
      <c r="E1530" s="5">
        <f ca="1">IFERROR(__xludf.DUMMYFUNCTION("""COMPUTED_VALUE"""),4)</f>
        <v>4</v>
      </c>
      <c r="F1530" s="5">
        <f ca="1">IFERROR(__xludf.DUMMYFUNCTION("""COMPUTED_VALUE"""),4)</f>
        <v>4</v>
      </c>
      <c r="G1530" s="5">
        <f ca="1">IFERROR(__xludf.DUMMYFUNCTION("""COMPUTED_VALUE"""),0)</f>
        <v>0</v>
      </c>
      <c r="H1530" s="9" t="str">
        <f ca="1">IFERROR(__xludf.DUMMYFUNCTION("""COMPUTED_VALUE"""),"https://www.columbine-angels.com/School_Violence_1995-1996.htm")</f>
        <v>https://www.columbine-angels.com/School_Violence_1995-1996.htm</v>
      </c>
      <c r="I1530" s="5"/>
      <c r="J1530" s="5"/>
      <c r="K1530" s="5">
        <f ca="1">IFERROR(__xludf.DUMMYFUNCTION("""COMPUTED_VALUE"""),1)</f>
        <v>1</v>
      </c>
      <c r="L1530" s="5" t="str">
        <f ca="1">IFERROR(__xludf.DUMMYFUNCTION("""COMPUTED_VALUE"""),"Fall")</f>
        <v>Fall</v>
      </c>
      <c r="M1530" s="5" t="str">
        <f ca="1">IFERROR(__xludf.DUMMYFUNCTION("""COMPUTED_VALUE"""),"Richmond")</f>
        <v>Richmond</v>
      </c>
      <c r="N1530" s="5" t="str">
        <f ca="1">IFERROR(__xludf.DUMMYFUNCTION("""COMPUTED_VALUE"""),"VA")</f>
        <v>VA</v>
      </c>
      <c r="O1530" s="5" t="str">
        <f ca="1">IFERROR(__xludf.DUMMYFUNCTION("""COMPUTED_VALUE"""),"High")</f>
        <v>High</v>
      </c>
      <c r="P1530" s="5" t="str">
        <f ca="1">IFERROR(__xludf.DUMMYFUNCTION("""COMPUTED_VALUE"""),"Other")</f>
        <v>Other</v>
      </c>
      <c r="Q1530" s="5" t="str">
        <f ca="1">IFERROR(__xludf.DUMMYFUNCTION("""COMPUTED_VALUE"""),"Outside on School Property")</f>
        <v>Outside on School Property</v>
      </c>
      <c r="R1530" s="5" t="str">
        <f ca="1">IFERROR(__xludf.DUMMYFUNCTION("""COMPUTED_VALUE"""),"No")</f>
        <v>No</v>
      </c>
      <c r="S1530" s="5" t="str">
        <f ca="1">IFERROR(__xludf.DUMMYFUNCTION("""COMPUTED_VALUE"""),"Dismissal")</f>
        <v>Dismissal</v>
      </c>
      <c r="T1530" s="10">
        <f ca="1">IFERROR(__xludf.DUMMYFUNCTION("""COMPUTED_VALUE"""),0.586805555555555)</f>
        <v>0.58680555555555503</v>
      </c>
      <c r="U1530" s="5">
        <f ca="1">IFERROR(__xludf.DUMMYFUNCTION("""COMPUTED_VALUE"""),1)</f>
        <v>1</v>
      </c>
      <c r="V1530" s="5" t="str">
        <f ca="1">IFERROR(__xludf.DUMMYFUNCTION("""COMPUTED_VALUE"""),"Shooter had an ongoing feud for more than a year with the victims.")</f>
        <v>Shooter had an ongoing feud for more than a year with the victims.</v>
      </c>
      <c r="W1530"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X1530" s="5" t="str">
        <f ca="1">IFERROR(__xludf.DUMMYFUNCTION("""COMPUTED_VALUE"""),"Escalation of Dispute")</f>
        <v>Escalation of Dispute</v>
      </c>
      <c r="Y1530" s="5" t="str">
        <f ca="1">IFERROR(__xludf.DUMMYFUNCTION("""COMPUTED_VALUE"""),"Victims Targeted")</f>
        <v>Victims Targeted</v>
      </c>
      <c r="Z1530" s="5" t="str">
        <f ca="1">IFERROR(__xludf.DUMMYFUNCTION("""COMPUTED_VALUE"""),"No")</f>
        <v>No</v>
      </c>
      <c r="AA1530" s="5"/>
      <c r="AB1530" s="5" t="str">
        <f ca="1">IFERROR(__xludf.DUMMYFUNCTION("""COMPUTED_VALUE"""),"No")</f>
        <v>No</v>
      </c>
      <c r="AC1530" s="5" t="str">
        <f ca="1">IFERROR(__xludf.DUMMYFUNCTION("""COMPUTED_VALUE"""),"No")</f>
        <v>No</v>
      </c>
      <c r="AD1530" s="5" t="str">
        <f ca="1">IFERROR(__xludf.DUMMYFUNCTION("""COMPUTED_VALUE"""),"No")</f>
        <v>No</v>
      </c>
      <c r="AE1530" s="5" t="str">
        <f ca="1">IFERROR(__xludf.DUMMYFUNCTION("""COMPUTED_VALUE"""),"No")</f>
        <v>No</v>
      </c>
      <c r="AF1530" s="5" t="str">
        <f ca="1">IFERROR(__xludf.DUMMYFUNCTION("""COMPUTED_VALUE"""),"No")</f>
        <v>No</v>
      </c>
      <c r="AG1530" s="5" t="str">
        <f ca="1">IFERROR(__xludf.DUMMYFUNCTION("""COMPUTED_VALUE"""),"Yes")</f>
        <v>Yes</v>
      </c>
      <c r="AH1530" s="5"/>
    </row>
    <row r="1531" spans="1:34" ht="12.75">
      <c r="A1531" s="5" t="str">
        <f ca="1">IFERROR(__xludf.DUMMYFUNCTION("""COMPUTED_VALUE"""),"19951023FLLAC")</f>
        <v>19951023FLLAC</v>
      </c>
      <c r="B1531" s="8">
        <f ca="1">IFERROR(__xludf.DUMMYFUNCTION("""COMPUTED_VALUE"""),34995)</f>
        <v>34995</v>
      </c>
      <c r="C1531" s="5" t="str">
        <f ca="1">IFERROR(__xludf.DUMMYFUNCTION("""COMPUTED_VALUE"""),"Lake Howell High School")</f>
        <v>Lake Howell High School</v>
      </c>
      <c r="D1531" s="5">
        <f ca="1">IFERROR(__xludf.DUMMYFUNCTION("""COMPUTED_VALUE"""),0)</f>
        <v>0</v>
      </c>
      <c r="E1531" s="5">
        <f ca="1">IFERROR(__xludf.DUMMYFUNCTION("""COMPUTED_VALUE"""),0)</f>
        <v>0</v>
      </c>
      <c r="F1531" s="5">
        <f ca="1">IFERROR(__xludf.DUMMYFUNCTION("""COMPUTED_VALUE"""),0)</f>
        <v>0</v>
      </c>
      <c r="G1531" s="5">
        <f ca="1">IFERROR(__xludf.DUMMYFUNCTION("""COMPUTED_VALUE"""),0)</f>
        <v>0</v>
      </c>
      <c r="H1531"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I1531" s="5"/>
      <c r="J1531" s="5"/>
      <c r="K1531" s="5">
        <f ca="1">IFERROR(__xludf.DUMMYFUNCTION("""COMPUTED_VALUE"""),2)</f>
        <v>2</v>
      </c>
      <c r="L1531" s="5" t="str">
        <f ca="1">IFERROR(__xludf.DUMMYFUNCTION("""COMPUTED_VALUE"""),"Fall")</f>
        <v>Fall</v>
      </c>
      <c r="M1531" s="5" t="str">
        <f ca="1">IFERROR(__xludf.DUMMYFUNCTION("""COMPUTED_VALUE"""),"Casselberry")</f>
        <v>Casselberry</v>
      </c>
      <c r="N1531" s="5" t="str">
        <f ca="1">IFERROR(__xludf.DUMMYFUNCTION("""COMPUTED_VALUE"""),"FL")</f>
        <v>FL</v>
      </c>
      <c r="O1531" s="5" t="str">
        <f ca="1">IFERROR(__xludf.DUMMYFUNCTION("""COMPUTED_VALUE"""),"High")</f>
        <v>High</v>
      </c>
      <c r="P1531" s="5" t="str">
        <f ca="1">IFERROR(__xludf.DUMMYFUNCTION("""COMPUTED_VALUE"""),"Parking Lot")</f>
        <v>Parking Lot</v>
      </c>
      <c r="Q1531" s="5" t="str">
        <f ca="1">IFERROR(__xludf.DUMMYFUNCTION("""COMPUTED_VALUE"""),"Outside on School Property")</f>
        <v>Outside on School Property</v>
      </c>
      <c r="R1531" s="5" t="str">
        <f ca="1">IFERROR(__xludf.DUMMYFUNCTION("""COMPUTED_VALUE"""),"Yes")</f>
        <v>Yes</v>
      </c>
      <c r="S1531" s="5" t="str">
        <f ca="1">IFERROR(__xludf.DUMMYFUNCTION("""COMPUTED_VALUE"""),"School Start")</f>
        <v>School Start</v>
      </c>
      <c r="T1531" s="10">
        <f ca="1">IFERROR(__xludf.DUMMYFUNCTION("""COMPUTED_VALUE"""),0.329861111111111)</f>
        <v>0.32986111111111099</v>
      </c>
      <c r="U1531" s="5">
        <f ca="1">IFERROR(__xludf.DUMMYFUNCTION("""COMPUTED_VALUE"""),1)</f>
        <v>1</v>
      </c>
      <c r="V1531" s="5" t="str">
        <f ca="1">IFERROR(__xludf.DUMMYFUNCTION("""COMPUTED_VALUE"""),"Accidentally shot oneself while hiding weapon.")</f>
        <v>Accidentally shot oneself while hiding weapon.</v>
      </c>
      <c r="W1531"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X1531" s="5" t="str">
        <f ca="1">IFERROR(__xludf.DUMMYFUNCTION("""COMPUTED_VALUE"""),"Accidental")</f>
        <v>Accidental</v>
      </c>
      <c r="Y1531" s="5" t="str">
        <f ca="1">IFERROR(__xludf.DUMMYFUNCTION("""COMPUTED_VALUE"""),"Victims Targeted")</f>
        <v>Victims Targeted</v>
      </c>
      <c r="Z1531" s="5" t="str">
        <f ca="1">IFERROR(__xludf.DUMMYFUNCTION("""COMPUTED_VALUE"""),"No")</f>
        <v>No</v>
      </c>
      <c r="AA1531" s="5"/>
      <c r="AB1531" s="5" t="str">
        <f ca="1">IFERROR(__xludf.DUMMYFUNCTION("""COMPUTED_VALUE"""),"No")</f>
        <v>No</v>
      </c>
      <c r="AC1531" s="5" t="str">
        <f ca="1">IFERROR(__xludf.DUMMYFUNCTION("""COMPUTED_VALUE"""),"No")</f>
        <v>No</v>
      </c>
      <c r="AD1531" s="5" t="str">
        <f ca="1">IFERROR(__xludf.DUMMYFUNCTION("""COMPUTED_VALUE"""),"No")</f>
        <v>No</v>
      </c>
      <c r="AE1531" s="5" t="str">
        <f ca="1">IFERROR(__xludf.DUMMYFUNCTION("""COMPUTED_VALUE"""),"No")</f>
        <v>No</v>
      </c>
      <c r="AF1531" s="5" t="str">
        <f ca="1">IFERROR(__xludf.DUMMYFUNCTION("""COMPUTED_VALUE"""),"No")</f>
        <v>No</v>
      </c>
      <c r="AG1531" s="5" t="str">
        <f ca="1">IFERROR(__xludf.DUMMYFUNCTION("""COMPUTED_VALUE"""),"No")</f>
        <v>No</v>
      </c>
      <c r="AH1531" s="5"/>
    </row>
    <row r="1532" spans="1:34" ht="12.75">
      <c r="A1532" s="5" t="str">
        <f ca="1">IFERROR(__xludf.DUMMYFUNCTION("""COMPUTED_VALUE"""),"19951012SCBLB")</f>
        <v>19951012SCBLB</v>
      </c>
      <c r="B1532" s="8">
        <f ca="1">IFERROR(__xludf.DUMMYFUNCTION("""COMPUTED_VALUE"""),34984)</f>
        <v>34984</v>
      </c>
      <c r="C1532" s="5" t="str">
        <f ca="1">IFERROR(__xludf.DUMMYFUNCTION("""COMPUTED_VALUE"""),"Blackville-Hilda High School")</f>
        <v>Blackville-Hilda High School</v>
      </c>
      <c r="D1532" s="5">
        <f ca="1">IFERROR(__xludf.DUMMYFUNCTION("""COMPUTED_VALUE"""),1)</f>
        <v>1</v>
      </c>
      <c r="E1532" s="5">
        <f ca="1">IFERROR(__xludf.DUMMYFUNCTION("""COMPUTED_VALUE"""),1)</f>
        <v>1</v>
      </c>
      <c r="F1532" s="5">
        <f ca="1">IFERROR(__xludf.DUMMYFUNCTION("""COMPUTED_VALUE"""),2)</f>
        <v>2</v>
      </c>
      <c r="G1532" s="5">
        <f ca="1">IFERROR(__xludf.DUMMYFUNCTION("""COMPUTED_VALUE"""),1)</f>
        <v>1</v>
      </c>
      <c r="H1532"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I1532" s="5"/>
      <c r="J1532" s="5"/>
      <c r="K1532" s="5">
        <f ca="1">IFERROR(__xludf.DUMMYFUNCTION("""COMPUTED_VALUE"""),2)</f>
        <v>2</v>
      </c>
      <c r="L1532" s="5" t="str">
        <f ca="1">IFERROR(__xludf.DUMMYFUNCTION("""COMPUTED_VALUE"""),"Fall")</f>
        <v>Fall</v>
      </c>
      <c r="M1532" s="5" t="str">
        <f ca="1">IFERROR(__xludf.DUMMYFUNCTION("""COMPUTED_VALUE"""),"Blackville")</f>
        <v>Blackville</v>
      </c>
      <c r="N1532" s="5" t="str">
        <f ca="1">IFERROR(__xludf.DUMMYFUNCTION("""COMPUTED_VALUE"""),"SC")</f>
        <v>SC</v>
      </c>
      <c r="O1532" s="5" t="str">
        <f ca="1">IFERROR(__xludf.DUMMYFUNCTION("""COMPUTED_VALUE"""),"High")</f>
        <v>High</v>
      </c>
      <c r="P1532" s="5" t="str">
        <f ca="1">IFERROR(__xludf.DUMMYFUNCTION("""COMPUTED_VALUE"""),"Classroom")</f>
        <v>Classroom</v>
      </c>
      <c r="Q1532" s="5" t="str">
        <f ca="1">IFERROR(__xludf.DUMMYFUNCTION("""COMPUTED_VALUE"""),"Inside School Building")</f>
        <v>Inside School Building</v>
      </c>
      <c r="R1532" s="5" t="str">
        <f ca="1">IFERROR(__xludf.DUMMYFUNCTION("""COMPUTED_VALUE"""),"Yes")</f>
        <v>Yes</v>
      </c>
      <c r="S1532" s="5" t="str">
        <f ca="1">IFERROR(__xludf.DUMMYFUNCTION("""COMPUTED_VALUE"""),"Morning Classes")</f>
        <v>Morning Classes</v>
      </c>
      <c r="T1532" s="10">
        <f ca="1">IFERROR(__xludf.DUMMYFUNCTION("""COMPUTED_VALUE"""),0.361111111111111)</f>
        <v>0.36111111111111099</v>
      </c>
      <c r="U1532" s="5"/>
      <c r="V1532" s="5" t="str">
        <f ca="1">IFERROR(__xludf.DUMMYFUNCTION("""COMPUTED_VALUE"""),"Anger of suspension, shot 2 teachers and himself.")</f>
        <v>Anger of suspension, shot 2 teachers and himself.</v>
      </c>
      <c r="W1532"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X1532" s="5" t="str">
        <f ca="1">IFERROR(__xludf.DUMMYFUNCTION("""COMPUTED_VALUE"""),"Anger Over Grade/Suspension/Discipline")</f>
        <v>Anger Over Grade/Suspension/Discipline</v>
      </c>
      <c r="Y1532" s="5" t="str">
        <f ca="1">IFERROR(__xludf.DUMMYFUNCTION("""COMPUTED_VALUE"""),"Victims Targeted")</f>
        <v>Victims Targeted</v>
      </c>
      <c r="Z1532" s="5" t="str">
        <f ca="1">IFERROR(__xludf.DUMMYFUNCTION("""COMPUTED_VALUE"""),"No")</f>
        <v>No</v>
      </c>
      <c r="AA1532" s="5"/>
      <c r="AB1532" s="5" t="str">
        <f ca="1">IFERROR(__xludf.DUMMYFUNCTION("""COMPUTED_VALUE"""),"No")</f>
        <v>No</v>
      </c>
      <c r="AC1532" s="5" t="str">
        <f ca="1">IFERROR(__xludf.DUMMYFUNCTION("""COMPUTED_VALUE"""),"No")</f>
        <v>No</v>
      </c>
      <c r="AD1532" s="5" t="str">
        <f ca="1">IFERROR(__xludf.DUMMYFUNCTION("""COMPUTED_VALUE"""),"No")</f>
        <v>No</v>
      </c>
      <c r="AE1532" s="5" t="str">
        <f ca="1">IFERROR(__xludf.DUMMYFUNCTION("""COMPUTED_VALUE"""),"Yes")</f>
        <v>Yes</v>
      </c>
      <c r="AF1532" s="5" t="str">
        <f ca="1">IFERROR(__xludf.DUMMYFUNCTION("""COMPUTED_VALUE"""),"No")</f>
        <v>No</v>
      </c>
      <c r="AG1532" s="5" t="str">
        <f ca="1">IFERROR(__xludf.DUMMYFUNCTION("""COMPUTED_VALUE"""),"No")</f>
        <v>No</v>
      </c>
      <c r="AH1532" s="5" t="str">
        <f ca="1">IFERROR(__xludf.DUMMYFUNCTION("""COMPUTED_VALUE"""),"Yes")</f>
        <v>Yes</v>
      </c>
    </row>
    <row r="1533" spans="1:34" ht="12.75">
      <c r="A1533" s="5" t="str">
        <f ca="1">IFERROR(__xludf.DUMMYFUNCTION("""COMPUTED_VALUE"""),"19950929FLTAT")</f>
        <v>19950929FLTAT</v>
      </c>
      <c r="B1533" s="8">
        <f ca="1">IFERROR(__xludf.DUMMYFUNCTION("""COMPUTED_VALUE"""),34971)</f>
        <v>34971</v>
      </c>
      <c r="C1533" s="5" t="str">
        <f ca="1">IFERROR(__xludf.DUMMYFUNCTION("""COMPUTED_VALUE"""),"Tavares Middle School")</f>
        <v>Tavares Middle School</v>
      </c>
      <c r="D1533" s="5">
        <f ca="1">IFERROR(__xludf.DUMMYFUNCTION("""COMPUTED_VALUE"""),1)</f>
        <v>1</v>
      </c>
      <c r="E1533" s="5">
        <f ca="1">IFERROR(__xludf.DUMMYFUNCTION("""COMPUTED_VALUE"""),0)</f>
        <v>0</v>
      </c>
      <c r="F1533" s="5">
        <f ca="1">IFERROR(__xludf.DUMMYFUNCTION("""COMPUTED_VALUE"""),1)</f>
        <v>1</v>
      </c>
      <c r="G1533" s="5">
        <f ca="1">IFERROR(__xludf.DUMMYFUNCTION("""COMPUTED_VALUE"""),0)</f>
        <v>0</v>
      </c>
      <c r="H1533"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I1533" s="5"/>
      <c r="J1533" s="5"/>
      <c r="K1533" s="5">
        <f ca="1">IFERROR(__xludf.DUMMYFUNCTION("""COMPUTED_VALUE"""),2)</f>
        <v>2</v>
      </c>
      <c r="L1533" s="5" t="str">
        <f ca="1">IFERROR(__xludf.DUMMYFUNCTION("""COMPUTED_VALUE"""),"Fall")</f>
        <v>Fall</v>
      </c>
      <c r="M1533" s="5" t="str">
        <f ca="1">IFERROR(__xludf.DUMMYFUNCTION("""COMPUTED_VALUE"""),"Tavares")</f>
        <v>Tavares</v>
      </c>
      <c r="N1533" s="5" t="str">
        <f ca="1">IFERROR(__xludf.DUMMYFUNCTION("""COMPUTED_VALUE"""),"FL")</f>
        <v>FL</v>
      </c>
      <c r="O1533" s="5" t="str">
        <f ca="1">IFERROR(__xludf.DUMMYFUNCTION("""COMPUTED_VALUE"""),"Middle")</f>
        <v>Middle</v>
      </c>
      <c r="P1533" s="5" t="str">
        <f ca="1">IFERROR(__xludf.DUMMYFUNCTION("""COMPUTED_VALUE"""),"Courtyard")</f>
        <v>Courtyard</v>
      </c>
      <c r="Q1533" s="5" t="str">
        <f ca="1">IFERROR(__xludf.DUMMYFUNCTION("""COMPUTED_VALUE"""),"Outside on School Property")</f>
        <v>Outside on School Property</v>
      </c>
      <c r="R1533" s="5" t="str">
        <f ca="1">IFERROR(__xludf.DUMMYFUNCTION("""COMPUTED_VALUE"""),"Yes")</f>
        <v>Yes</v>
      </c>
      <c r="S1533" s="5" t="str">
        <f ca="1">IFERROR(__xludf.DUMMYFUNCTION("""COMPUTED_VALUE"""),"Unknown")</f>
        <v>Unknown</v>
      </c>
      <c r="T1533" s="5"/>
      <c r="U1533" s="5">
        <f ca="1">IFERROR(__xludf.DUMMYFUNCTION("""COMPUTED_VALUE"""),1)</f>
        <v>1</v>
      </c>
      <c r="V1533" s="5" t="str">
        <f ca="1">IFERROR(__xludf.DUMMYFUNCTION("""COMPUTED_VALUE"""),"Shooter had ongoing conflict with victim (possible bullying was involved)")</f>
        <v>Shooter had ongoing conflict with victim (possible bullying was involved)</v>
      </c>
      <c r="W1533"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X1533" s="5" t="str">
        <f ca="1">IFERROR(__xludf.DUMMYFUNCTION("""COMPUTED_VALUE"""),"Escalation of Dispute")</f>
        <v>Escalation of Dispute</v>
      </c>
      <c r="Y1533" s="5" t="str">
        <f ca="1">IFERROR(__xludf.DUMMYFUNCTION("""COMPUTED_VALUE"""),"Victims Targeted")</f>
        <v>Victims Targeted</v>
      </c>
      <c r="Z1533" s="5" t="str">
        <f ca="1">IFERROR(__xludf.DUMMYFUNCTION("""COMPUTED_VALUE"""),"No")</f>
        <v>No</v>
      </c>
      <c r="AA1533" s="5"/>
      <c r="AB1533" s="5" t="str">
        <f ca="1">IFERROR(__xludf.DUMMYFUNCTION("""COMPUTED_VALUE"""),"No")</f>
        <v>No</v>
      </c>
      <c r="AC1533" s="5" t="str">
        <f ca="1">IFERROR(__xludf.DUMMYFUNCTION("""COMPUTED_VALUE"""),"No")</f>
        <v>No</v>
      </c>
      <c r="AD1533" s="5" t="str">
        <f ca="1">IFERROR(__xludf.DUMMYFUNCTION("""COMPUTED_VALUE"""),"No")</f>
        <v>No</v>
      </c>
      <c r="AE1533" s="5" t="str">
        <f ca="1">IFERROR(__xludf.DUMMYFUNCTION("""COMPUTED_VALUE"""),"Yes")</f>
        <v>Yes</v>
      </c>
      <c r="AF1533" s="5" t="str">
        <f ca="1">IFERROR(__xludf.DUMMYFUNCTION("""COMPUTED_VALUE"""),"No")</f>
        <v>No</v>
      </c>
      <c r="AG1533" s="5" t="str">
        <f ca="1">IFERROR(__xludf.DUMMYFUNCTION("""COMPUTED_VALUE"""),"Yes")</f>
        <v>Yes</v>
      </c>
      <c r="AH1533" s="5"/>
    </row>
    <row r="1534" spans="1:34" ht="12.75">
      <c r="A1534" s="5" t="str">
        <f ca="1">IFERROR(__xludf.DUMMYFUNCTION("""COMPUTED_VALUE"""),"19950927ALBLP")</f>
        <v>19950927ALBLP</v>
      </c>
      <c r="B1534" s="8">
        <f ca="1">IFERROR(__xludf.DUMMYFUNCTION("""COMPUTED_VALUE"""),34969)</f>
        <v>34969</v>
      </c>
      <c r="C1534" s="5" t="str">
        <f ca="1">IFERROR(__xludf.DUMMYFUNCTION("""COMPUTED_VALUE"""),"Blount High School")</f>
        <v>Blount High School</v>
      </c>
      <c r="D1534" s="5">
        <f ca="1">IFERROR(__xludf.DUMMYFUNCTION("""COMPUTED_VALUE"""),0)</f>
        <v>0</v>
      </c>
      <c r="E1534" s="5">
        <f ca="1">IFERROR(__xludf.DUMMYFUNCTION("""COMPUTED_VALUE"""),1)</f>
        <v>1</v>
      </c>
      <c r="F1534" s="5">
        <f ca="1">IFERROR(__xludf.DUMMYFUNCTION("""COMPUTED_VALUE"""),1)</f>
        <v>1</v>
      </c>
      <c r="G1534" s="5">
        <f ca="1">IFERROR(__xludf.DUMMYFUNCTION("""COMPUTED_VALUE"""),0)</f>
        <v>0</v>
      </c>
      <c r="H1534" s="9" t="str">
        <f ca="1">IFERROR(__xludf.DUMMYFUNCTION("""COMPUTED_VALUE"""),"https://www.newspapers.com/image/106718796/?terms=student%2Bshot")</f>
        <v>https://www.newspapers.com/image/106718796/?terms=student%2Bshot</v>
      </c>
      <c r="I1534" s="5"/>
      <c r="J1534" s="5"/>
      <c r="K1534" s="5">
        <f ca="1">IFERROR(__xludf.DUMMYFUNCTION("""COMPUTED_VALUE"""),2)</f>
        <v>2</v>
      </c>
      <c r="L1534" s="5" t="str">
        <f ca="1">IFERROR(__xludf.DUMMYFUNCTION("""COMPUTED_VALUE"""),"Fall")</f>
        <v>Fall</v>
      </c>
      <c r="M1534" s="5" t="str">
        <f ca="1">IFERROR(__xludf.DUMMYFUNCTION("""COMPUTED_VALUE"""),"Prichard")</f>
        <v>Prichard</v>
      </c>
      <c r="N1534" s="5" t="str">
        <f ca="1">IFERROR(__xludf.DUMMYFUNCTION("""COMPUTED_VALUE"""),"AL")</f>
        <v>AL</v>
      </c>
      <c r="O1534" s="5" t="str">
        <f ca="1">IFERROR(__xludf.DUMMYFUNCTION("""COMPUTED_VALUE"""),"High")</f>
        <v>High</v>
      </c>
      <c r="P1534" s="5" t="str">
        <f ca="1">IFERROR(__xludf.DUMMYFUNCTION("""COMPUTED_VALUE"""),"Hallway")</f>
        <v>Hallway</v>
      </c>
      <c r="Q1534" s="5" t="str">
        <f ca="1">IFERROR(__xludf.DUMMYFUNCTION("""COMPUTED_VALUE"""),"Inside School Building")</f>
        <v>Inside School Building</v>
      </c>
      <c r="R1534" s="5" t="str">
        <f ca="1">IFERROR(__xludf.DUMMYFUNCTION("""COMPUTED_VALUE"""),"Yes")</f>
        <v>Yes</v>
      </c>
      <c r="S1534" s="5" t="str">
        <f ca="1">IFERROR(__xludf.DUMMYFUNCTION("""COMPUTED_VALUE"""),"Morning Classes")</f>
        <v>Morning Classes</v>
      </c>
      <c r="T1534" s="10">
        <f ca="1">IFERROR(__xludf.DUMMYFUNCTION("""COMPUTED_VALUE"""),0.458333333333333)</f>
        <v>0.45833333333333298</v>
      </c>
      <c r="U1534" s="5">
        <f ca="1">IFERROR(__xludf.DUMMYFUNCTION("""COMPUTED_VALUE"""),1)</f>
        <v>1</v>
      </c>
      <c r="V1534" s="5" t="str">
        <f ca="1">IFERROR(__xludf.DUMMYFUNCTION("""COMPUTED_VALUE"""),"Shots fired during argument between suspect's younger brother and victim.")</f>
        <v>Shots fired during argument between suspect's younger brother and victim.</v>
      </c>
      <c r="W1534" s="5" t="str">
        <f ca="1">IFERROR(__xludf.DUMMYFUNCTION("""COMPUTED_VALUE"""),"19 year-old male shot victim who was arguing with shooter's younger brother.")</f>
        <v>19 year-old male shot victim who was arguing with shooter's younger brother.</v>
      </c>
      <c r="X1534" s="5" t="str">
        <f ca="1">IFERROR(__xludf.DUMMYFUNCTION("""COMPUTED_VALUE"""),"Escalation of Dispute")</f>
        <v>Escalation of Dispute</v>
      </c>
      <c r="Y1534" s="5" t="str">
        <f ca="1">IFERROR(__xludf.DUMMYFUNCTION("""COMPUTED_VALUE"""),"Victims Targeted")</f>
        <v>Victims Targeted</v>
      </c>
      <c r="Z1534" s="5" t="str">
        <f ca="1">IFERROR(__xludf.DUMMYFUNCTION("""COMPUTED_VALUE"""),"No")</f>
        <v>No</v>
      </c>
      <c r="AA1534" s="5"/>
      <c r="AB1534" s="5" t="str">
        <f ca="1">IFERROR(__xludf.DUMMYFUNCTION("""COMPUTED_VALUE"""),"No")</f>
        <v>No</v>
      </c>
      <c r="AC1534" s="5" t="str">
        <f ca="1">IFERROR(__xludf.DUMMYFUNCTION("""COMPUTED_VALUE"""),"No")</f>
        <v>No</v>
      </c>
      <c r="AD1534" s="5" t="str">
        <f ca="1">IFERROR(__xludf.DUMMYFUNCTION("""COMPUTED_VALUE"""),"No")</f>
        <v>No</v>
      </c>
      <c r="AE1534" s="5" t="str">
        <f ca="1">IFERROR(__xludf.DUMMYFUNCTION("""COMPUTED_VALUE"""),"No")</f>
        <v>No</v>
      </c>
      <c r="AF1534" s="5" t="str">
        <f ca="1">IFERROR(__xludf.DUMMYFUNCTION("""COMPUTED_VALUE"""),"No")</f>
        <v>No</v>
      </c>
      <c r="AG1534" s="5" t="str">
        <f ca="1">IFERROR(__xludf.DUMMYFUNCTION("""COMPUTED_VALUE"""),"No")</f>
        <v>No</v>
      </c>
      <c r="AH1534" s="5"/>
    </row>
    <row r="1535" spans="1:34" ht="12.75">
      <c r="A1535" s="5" t="str">
        <f ca="1">IFERROR(__xludf.DUMMYFUNCTION("""COMPUTED_VALUE"""),"19950915KYGEW")</f>
        <v>19950915KYGEW</v>
      </c>
      <c r="B1535" s="8">
        <f ca="1">IFERROR(__xludf.DUMMYFUNCTION("""COMPUTED_VALUE"""),34957)</f>
        <v>34957</v>
      </c>
      <c r="C1535" s="5" t="str">
        <f ca="1">IFERROR(__xludf.DUMMYFUNCTION("""COMPUTED_VALUE"""),"George Rogers Clark High School")</f>
        <v>George Rogers Clark High School</v>
      </c>
      <c r="D1535" s="5">
        <f ca="1">IFERROR(__xludf.DUMMYFUNCTION("""COMPUTED_VALUE"""),0)</f>
        <v>0</v>
      </c>
      <c r="E1535" s="5">
        <f ca="1">IFERROR(__xludf.DUMMYFUNCTION("""COMPUTED_VALUE"""),0)</f>
        <v>0</v>
      </c>
      <c r="F1535" s="5">
        <f ca="1">IFERROR(__xludf.DUMMYFUNCTION("""COMPUTED_VALUE"""),0)</f>
        <v>0</v>
      </c>
      <c r="G1535" s="5">
        <f ca="1">IFERROR(__xludf.DUMMYFUNCTION("""COMPUTED_VALUE"""),0)</f>
        <v>0</v>
      </c>
      <c r="H1535"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I1535" s="5"/>
      <c r="J1535" s="5"/>
      <c r="K1535" s="5">
        <f ca="1">IFERROR(__xludf.DUMMYFUNCTION("""COMPUTED_VALUE"""),1)</f>
        <v>1</v>
      </c>
      <c r="L1535" s="5" t="str">
        <f ca="1">IFERROR(__xludf.DUMMYFUNCTION("""COMPUTED_VALUE"""),"Fall")</f>
        <v>Fall</v>
      </c>
      <c r="M1535" s="5" t="str">
        <f ca="1">IFERROR(__xludf.DUMMYFUNCTION("""COMPUTED_VALUE"""),"Winchester")</f>
        <v>Winchester</v>
      </c>
      <c r="N1535" s="5" t="str">
        <f ca="1">IFERROR(__xludf.DUMMYFUNCTION("""COMPUTED_VALUE"""),"KY")</f>
        <v>KY</v>
      </c>
      <c r="O1535" s="5" t="str">
        <f ca="1">IFERROR(__xludf.DUMMYFUNCTION("""COMPUTED_VALUE"""),"High")</f>
        <v>High</v>
      </c>
      <c r="P1535" s="5" t="str">
        <f ca="1">IFERROR(__xludf.DUMMYFUNCTION("""COMPUTED_VALUE"""),"Inside School Building")</f>
        <v>Inside School Building</v>
      </c>
      <c r="Q1535" s="5" t="str">
        <f ca="1">IFERROR(__xludf.DUMMYFUNCTION("""COMPUTED_VALUE"""),"Inside School Building")</f>
        <v>Inside School Building</v>
      </c>
      <c r="R1535" s="5" t="str">
        <f ca="1">IFERROR(__xludf.DUMMYFUNCTION("""COMPUTED_VALUE"""),"Yes")</f>
        <v>Yes</v>
      </c>
      <c r="S1535" s="5" t="str">
        <f ca="1">IFERROR(__xludf.DUMMYFUNCTION("""COMPUTED_VALUE"""),"Afternoon Classes")</f>
        <v>Afternoon Classes</v>
      </c>
      <c r="T1535" s="5"/>
      <c r="U1535" s="5"/>
      <c r="V1535" s="5" t="str">
        <f ca="1">IFERROR(__xludf.DUMMYFUNCTION("""COMPUTED_VALUE"""),"Student took another student hostage at gunpoint after fight earlier in the day")</f>
        <v>Student took another student hostage at gunpoint after fight earlier in the day</v>
      </c>
      <c r="W1535"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X1535" s="5" t="str">
        <f ca="1">IFERROR(__xludf.DUMMYFUNCTION("""COMPUTED_VALUE"""),"Hostage/Standoff")</f>
        <v>Hostage/Standoff</v>
      </c>
      <c r="Y1535" s="5" t="str">
        <f ca="1">IFERROR(__xludf.DUMMYFUNCTION("""COMPUTED_VALUE"""),"Victims Targeted")</f>
        <v>Victims Targeted</v>
      </c>
      <c r="Z1535" s="5" t="str">
        <f ca="1">IFERROR(__xludf.DUMMYFUNCTION("""COMPUTED_VALUE"""),"No")</f>
        <v>No</v>
      </c>
      <c r="AA1535" s="5"/>
      <c r="AB1535" s="5" t="str">
        <f ca="1">IFERROR(__xludf.DUMMYFUNCTION("""COMPUTED_VALUE"""),"Yes")</f>
        <v>Yes</v>
      </c>
      <c r="AC1535" s="5" t="str">
        <f ca="1">IFERROR(__xludf.DUMMYFUNCTION("""COMPUTED_VALUE"""),"Yes")</f>
        <v>Yes</v>
      </c>
      <c r="AD1535" s="5" t="str">
        <f ca="1">IFERROR(__xludf.DUMMYFUNCTION("""COMPUTED_VALUE"""),"No")</f>
        <v>No</v>
      </c>
      <c r="AE1535" s="5"/>
      <c r="AF1535" s="5" t="str">
        <f ca="1">IFERROR(__xludf.DUMMYFUNCTION("""COMPUTED_VALUE"""),"No")</f>
        <v>No</v>
      </c>
      <c r="AG1535" s="5" t="str">
        <f ca="1">IFERROR(__xludf.DUMMYFUNCTION("""COMPUTED_VALUE"""),"No")</f>
        <v>No</v>
      </c>
      <c r="AH1535" s="5" t="str">
        <f ca="1">IFERROR(__xludf.DUMMYFUNCTION("""COMPUTED_VALUE"""),"Yes")</f>
        <v>Yes</v>
      </c>
    </row>
    <row r="1536" spans="1:34" ht="12.75">
      <c r="A1536" s="5" t="str">
        <f ca="1">IFERROR(__xludf.DUMMYFUNCTION("""COMPUTED_VALUE"""),"19950914KSOLO")</f>
        <v>19950914KSOLO</v>
      </c>
      <c r="B1536" s="8">
        <f ca="1">IFERROR(__xludf.DUMMYFUNCTION("""COMPUTED_VALUE"""),34956)</f>
        <v>34956</v>
      </c>
      <c r="C1536" s="5" t="str">
        <f ca="1">IFERROR(__xludf.DUMMYFUNCTION("""COMPUTED_VALUE"""),"Olathe North High School")</f>
        <v>Olathe North High School</v>
      </c>
      <c r="D1536" s="5">
        <f ca="1">IFERROR(__xludf.DUMMYFUNCTION("""COMPUTED_VALUE"""),2)</f>
        <v>2</v>
      </c>
      <c r="E1536" s="5">
        <f ca="1">IFERROR(__xludf.DUMMYFUNCTION("""COMPUTED_VALUE"""),4)</f>
        <v>4</v>
      </c>
      <c r="F1536" s="5">
        <f ca="1">IFERROR(__xludf.DUMMYFUNCTION("""COMPUTED_VALUE"""),6)</f>
        <v>6</v>
      </c>
      <c r="G1536" s="5">
        <f ca="1">IFERROR(__xludf.DUMMYFUNCTION("""COMPUTED_VALUE"""),0)</f>
        <v>0</v>
      </c>
      <c r="H1536"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I1536" s="5"/>
      <c r="J1536" s="5"/>
      <c r="K1536" s="5">
        <f ca="1">IFERROR(__xludf.DUMMYFUNCTION("""COMPUTED_VALUE"""),2)</f>
        <v>2</v>
      </c>
      <c r="L1536" s="5" t="str">
        <f ca="1">IFERROR(__xludf.DUMMYFUNCTION("""COMPUTED_VALUE"""),"Fall")</f>
        <v>Fall</v>
      </c>
      <c r="M1536" s="5" t="str">
        <f ca="1">IFERROR(__xludf.DUMMYFUNCTION("""COMPUTED_VALUE"""),"Olathe")</f>
        <v>Olathe</v>
      </c>
      <c r="N1536" s="5" t="str">
        <f ca="1">IFERROR(__xludf.DUMMYFUNCTION("""COMPUTED_VALUE"""),"KS")</f>
        <v>KS</v>
      </c>
      <c r="O1536" s="5" t="str">
        <f ca="1">IFERROR(__xludf.DUMMYFUNCTION("""COMPUTED_VALUE"""),"High")</f>
        <v>High</v>
      </c>
      <c r="P1536" s="5" t="str">
        <f ca="1">IFERROR(__xludf.DUMMYFUNCTION("""COMPUTED_VALUE"""),"Parking Lot")</f>
        <v>Parking Lot</v>
      </c>
      <c r="Q1536" s="5" t="str">
        <f ca="1">IFERROR(__xludf.DUMMYFUNCTION("""COMPUTED_VALUE"""),"Outside on School Property")</f>
        <v>Outside on School Property</v>
      </c>
      <c r="R1536" s="5" t="str">
        <f ca="1">IFERROR(__xludf.DUMMYFUNCTION("""COMPUTED_VALUE"""),"No")</f>
        <v>No</v>
      </c>
      <c r="S1536" s="5" t="str">
        <f ca="1">IFERROR(__xludf.DUMMYFUNCTION("""COMPUTED_VALUE"""),"Sport Event")</f>
        <v>Sport Event</v>
      </c>
      <c r="T1536" s="5"/>
      <c r="U1536" s="5">
        <f ca="1">IFERROR(__xludf.DUMMYFUNCTION("""COMPUTED_VALUE"""),1)</f>
        <v>1</v>
      </c>
      <c r="V1536" s="5" t="str">
        <f ca="1">IFERROR(__xludf.DUMMYFUNCTION("""COMPUTED_VALUE"""),"Drive-by shooting by student from rival school at a football game.")</f>
        <v>Drive-by shooting by student from rival school at a football game.</v>
      </c>
      <c r="W1536"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X1536" s="5" t="str">
        <f ca="1">IFERROR(__xludf.DUMMYFUNCTION("""COMPUTED_VALUE"""),"Drive-by Shooting")</f>
        <v>Drive-by Shooting</v>
      </c>
      <c r="Y1536" s="5" t="str">
        <f ca="1">IFERROR(__xludf.DUMMYFUNCTION("""COMPUTED_VALUE"""),"Victims Targeted")</f>
        <v>Victims Targeted</v>
      </c>
      <c r="Z1536" s="5" t="str">
        <f ca="1">IFERROR(__xludf.DUMMYFUNCTION("""COMPUTED_VALUE"""),"No")</f>
        <v>No</v>
      </c>
      <c r="AA1536" s="5"/>
      <c r="AB1536" s="5" t="str">
        <f ca="1">IFERROR(__xludf.DUMMYFUNCTION("""COMPUTED_VALUE"""),"No")</f>
        <v>No</v>
      </c>
      <c r="AC1536" s="5" t="str">
        <f ca="1">IFERROR(__xludf.DUMMYFUNCTION("""COMPUTED_VALUE"""),"No")</f>
        <v>No</v>
      </c>
      <c r="AD1536" s="5" t="str">
        <f ca="1">IFERROR(__xludf.DUMMYFUNCTION("""COMPUTED_VALUE"""),"No")</f>
        <v>No</v>
      </c>
      <c r="AE1536" s="5" t="str">
        <f ca="1">IFERROR(__xludf.DUMMYFUNCTION("""COMPUTED_VALUE"""),"No")</f>
        <v>No</v>
      </c>
      <c r="AF1536" s="5" t="str">
        <f ca="1">IFERROR(__xludf.DUMMYFUNCTION("""COMPUTED_VALUE"""),"No")</f>
        <v>No</v>
      </c>
      <c r="AG1536" s="5" t="str">
        <f ca="1">IFERROR(__xludf.DUMMYFUNCTION("""COMPUTED_VALUE"""),"Yes")</f>
        <v>Yes</v>
      </c>
      <c r="AH1536" s="5"/>
    </row>
    <row r="1537" spans="1:34" ht="12.75">
      <c r="A1537" s="5" t="str">
        <f ca="1">IFERROR(__xludf.DUMMYFUNCTION("""COMPUTED_VALUE"""),"19950912TNCYM")</f>
        <v>19950912TNCYM</v>
      </c>
      <c r="B1537" s="8">
        <f ca="1">IFERROR(__xludf.DUMMYFUNCTION("""COMPUTED_VALUE"""),34954)</f>
        <v>34954</v>
      </c>
      <c r="C1537" s="5" t="str">
        <f ca="1">IFERROR(__xludf.DUMMYFUNCTION("""COMPUTED_VALUE"""),"Cypress Junior High School")</f>
        <v>Cypress Junior High School</v>
      </c>
      <c r="D1537" s="5">
        <f ca="1">IFERROR(__xludf.DUMMYFUNCTION("""COMPUTED_VALUE"""),1)</f>
        <v>1</v>
      </c>
      <c r="E1537" s="5">
        <f ca="1">IFERROR(__xludf.DUMMYFUNCTION("""COMPUTED_VALUE"""),0)</f>
        <v>0</v>
      </c>
      <c r="F1537" s="5">
        <f ca="1">IFERROR(__xludf.DUMMYFUNCTION("""COMPUTED_VALUE"""),1)</f>
        <v>1</v>
      </c>
      <c r="G1537" s="5">
        <f ca="1">IFERROR(__xludf.DUMMYFUNCTION("""COMPUTED_VALUE"""),0)</f>
        <v>0</v>
      </c>
      <c r="H1537" s="9" t="str">
        <f ca="1">IFERROR(__xludf.DUMMYFUNCTION("""COMPUTED_VALUE"""),"https://www.columbine-angels.com/School_Violence_1995-1996.htm")</f>
        <v>https://www.columbine-angels.com/School_Violence_1995-1996.htm</v>
      </c>
      <c r="I1537" s="5"/>
      <c r="J1537" s="5"/>
      <c r="K1537" s="5">
        <f ca="1">IFERROR(__xludf.DUMMYFUNCTION("""COMPUTED_VALUE"""),1)</f>
        <v>1</v>
      </c>
      <c r="L1537" s="5" t="str">
        <f ca="1">IFERROR(__xludf.DUMMYFUNCTION("""COMPUTED_VALUE"""),"Fall")</f>
        <v>Fall</v>
      </c>
      <c r="M1537" s="5" t="str">
        <f ca="1">IFERROR(__xludf.DUMMYFUNCTION("""COMPUTED_VALUE"""),"Memphis")</f>
        <v>Memphis</v>
      </c>
      <c r="N1537" s="5" t="str">
        <f ca="1">IFERROR(__xludf.DUMMYFUNCTION("""COMPUTED_VALUE"""),"TN")</f>
        <v>TN</v>
      </c>
      <c r="O1537" s="5" t="str">
        <f ca="1">IFERROR(__xludf.DUMMYFUNCTION("""COMPUTED_VALUE"""),"Junior High")</f>
        <v>Junior High</v>
      </c>
      <c r="P1537" s="5" t="str">
        <f ca="1">IFERROR(__xludf.DUMMYFUNCTION("""COMPUTED_VALUE"""),"Hallway")</f>
        <v>Hallway</v>
      </c>
      <c r="Q1537" s="5" t="str">
        <f ca="1">IFERROR(__xludf.DUMMYFUNCTION("""COMPUTED_VALUE"""),"Inside School Building")</f>
        <v>Inside School Building</v>
      </c>
      <c r="R1537" s="5" t="str">
        <f ca="1">IFERROR(__xludf.DUMMYFUNCTION("""COMPUTED_VALUE"""),"Yes")</f>
        <v>Yes</v>
      </c>
      <c r="S1537" s="5" t="str">
        <f ca="1">IFERROR(__xludf.DUMMYFUNCTION("""COMPUTED_VALUE"""),"Morning Classes")</f>
        <v>Morning Classes</v>
      </c>
      <c r="T1537" s="10">
        <f ca="1">IFERROR(__xludf.DUMMYFUNCTION("""COMPUTED_VALUE"""),0.354166666666666)</f>
        <v>0.35416666666666602</v>
      </c>
      <c r="U1537" s="5">
        <f ca="1">IFERROR(__xludf.DUMMYFUNCTION("""COMPUTED_VALUE"""),1)</f>
        <v>1</v>
      </c>
      <c r="V1537" s="5" t="str">
        <f ca="1">IFERROR(__xludf.DUMMYFUNCTION("""COMPUTED_VALUE"""),"Shooter retaliated for previous assault by victim.")</f>
        <v>Shooter retaliated for previous assault by victim.</v>
      </c>
      <c r="W1537"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X1537" s="5" t="str">
        <f ca="1">IFERROR(__xludf.DUMMYFUNCTION("""COMPUTED_VALUE"""),"Escalation of Dispute")</f>
        <v>Escalation of Dispute</v>
      </c>
      <c r="Y1537" s="5" t="str">
        <f ca="1">IFERROR(__xludf.DUMMYFUNCTION("""COMPUTED_VALUE"""),"Victims Targeted")</f>
        <v>Victims Targeted</v>
      </c>
      <c r="Z1537" s="5" t="str">
        <f ca="1">IFERROR(__xludf.DUMMYFUNCTION("""COMPUTED_VALUE"""),"No")</f>
        <v>No</v>
      </c>
      <c r="AA1537" s="5"/>
      <c r="AB1537" s="5" t="str">
        <f ca="1">IFERROR(__xludf.DUMMYFUNCTION("""COMPUTED_VALUE"""),"No")</f>
        <v>No</v>
      </c>
      <c r="AC1537" s="5" t="str">
        <f ca="1">IFERROR(__xludf.DUMMYFUNCTION("""COMPUTED_VALUE"""),"No")</f>
        <v>No</v>
      </c>
      <c r="AD1537" s="5" t="str">
        <f ca="1">IFERROR(__xludf.DUMMYFUNCTION("""COMPUTED_VALUE"""),"No")</f>
        <v>No</v>
      </c>
      <c r="AE1537" s="5" t="str">
        <f ca="1">IFERROR(__xludf.DUMMYFUNCTION("""COMPUTED_VALUE"""),"No")</f>
        <v>No</v>
      </c>
      <c r="AF1537" s="5" t="str">
        <f ca="1">IFERROR(__xludf.DUMMYFUNCTION("""COMPUTED_VALUE"""),"No")</f>
        <v>No</v>
      </c>
      <c r="AG1537" s="5" t="str">
        <f ca="1">IFERROR(__xludf.DUMMYFUNCTION("""COMPUTED_VALUE"""),"No")</f>
        <v>No</v>
      </c>
      <c r="AH1537" s="5"/>
    </row>
    <row r="1538" spans="1:34" ht="12.75">
      <c r="A1538" s="5" t="str">
        <f ca="1">IFERROR(__xludf.DUMMYFUNCTION("""COMPUTED_VALUE"""),"19950829TXMEL")</f>
        <v>19950829TXMEL</v>
      </c>
      <c r="B1538" s="8">
        <f ca="1">IFERROR(__xludf.DUMMYFUNCTION("""COMPUTED_VALUE"""),34940)</f>
        <v>34940</v>
      </c>
      <c r="C1538" s="5" t="str">
        <f ca="1">IFERROR(__xludf.DUMMYFUNCTION("""COMPUTED_VALUE"""),"Memorial Middle School")</f>
        <v>Memorial Middle School</v>
      </c>
      <c r="D1538" s="5">
        <f ca="1">IFERROR(__xludf.DUMMYFUNCTION("""COMPUTED_VALUE"""),1)</f>
        <v>1</v>
      </c>
      <c r="E1538" s="5">
        <f ca="1">IFERROR(__xludf.DUMMYFUNCTION("""COMPUTED_VALUE"""),0)</f>
        <v>0</v>
      </c>
      <c r="F1538" s="5">
        <f ca="1">IFERROR(__xludf.DUMMYFUNCTION("""COMPUTED_VALUE"""),1)</f>
        <v>1</v>
      </c>
      <c r="G1538" s="5">
        <f ca="1">IFERROR(__xludf.DUMMYFUNCTION("""COMPUTED_VALUE"""),0)</f>
        <v>0</v>
      </c>
      <c r="H1538" s="9" t="str">
        <f ca="1">IFERROR(__xludf.DUMMYFUNCTION("""COMPUTED_VALUE"""),"http://www.columbine-angels.com/School_Violence_1995-1996.htm")</f>
        <v>http://www.columbine-angels.com/School_Violence_1995-1996.htm</v>
      </c>
      <c r="I1538" s="5"/>
      <c r="J1538" s="5"/>
      <c r="K1538" s="5">
        <f ca="1">IFERROR(__xludf.DUMMYFUNCTION("""COMPUTED_VALUE"""),1)</f>
        <v>1</v>
      </c>
      <c r="L1538" s="5" t="str">
        <f ca="1">IFERROR(__xludf.DUMMYFUNCTION("""COMPUTED_VALUE"""),"Summer")</f>
        <v>Summer</v>
      </c>
      <c r="M1538" s="5" t="str">
        <f ca="1">IFERROR(__xludf.DUMMYFUNCTION("""COMPUTED_VALUE"""),"Laredo")</f>
        <v>Laredo</v>
      </c>
      <c r="N1538" s="5" t="str">
        <f ca="1">IFERROR(__xludf.DUMMYFUNCTION("""COMPUTED_VALUE"""),"TX")</f>
        <v>TX</v>
      </c>
      <c r="O1538" s="5" t="str">
        <f ca="1">IFERROR(__xludf.DUMMYFUNCTION("""COMPUTED_VALUE"""),"Middle")</f>
        <v>Middle</v>
      </c>
      <c r="P1538" s="5" t="str">
        <f ca="1">IFERROR(__xludf.DUMMYFUNCTION("""COMPUTED_VALUE"""),"Bathroom")</f>
        <v>Bathroom</v>
      </c>
      <c r="Q1538" s="5" t="str">
        <f ca="1">IFERROR(__xludf.DUMMYFUNCTION("""COMPUTED_VALUE"""),"Inside School Building")</f>
        <v>Inside School Building</v>
      </c>
      <c r="R1538" s="5" t="str">
        <f ca="1">IFERROR(__xludf.DUMMYFUNCTION("""COMPUTED_VALUE"""),"No")</f>
        <v>No</v>
      </c>
      <c r="S1538" s="5" t="str">
        <f ca="1">IFERROR(__xludf.DUMMYFUNCTION("""COMPUTED_VALUE"""),"After School")</f>
        <v>After School</v>
      </c>
      <c r="T1538" s="10">
        <f ca="1">IFERROR(__xludf.DUMMYFUNCTION("""COMPUTED_VALUE"""),0.677083333333333)</f>
        <v>0.67708333333333304</v>
      </c>
      <c r="U1538" s="5">
        <f ca="1">IFERROR(__xludf.DUMMYFUNCTION("""COMPUTED_VALUE"""),1)</f>
        <v>1</v>
      </c>
      <c r="V1538" s="5" t="str">
        <f ca="1">IFERROR(__xludf.DUMMYFUNCTION("""COMPUTED_VALUE"""),"Shot victim in the bathroom then fled.")</f>
        <v>Shot victim in the bathroom then fled.</v>
      </c>
      <c r="W1538"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X1538" s="5" t="str">
        <f ca="1">IFERROR(__xludf.DUMMYFUNCTION("""COMPUTED_VALUE"""),"Domestic w/ Targeted Victim")</f>
        <v>Domestic w/ Targeted Victim</v>
      </c>
      <c r="Y1538" s="5" t="str">
        <f ca="1">IFERROR(__xludf.DUMMYFUNCTION("""COMPUTED_VALUE"""),"Victims Targeted")</f>
        <v>Victims Targeted</v>
      </c>
      <c r="Z1538" s="5" t="str">
        <f ca="1">IFERROR(__xludf.DUMMYFUNCTION("""COMPUTED_VALUE"""),"No")</f>
        <v>No</v>
      </c>
      <c r="AA1538" s="5"/>
      <c r="AB1538" s="5" t="str">
        <f ca="1">IFERROR(__xludf.DUMMYFUNCTION("""COMPUTED_VALUE"""),"No")</f>
        <v>No</v>
      </c>
      <c r="AC1538" s="5" t="str">
        <f ca="1">IFERROR(__xludf.DUMMYFUNCTION("""COMPUTED_VALUE"""),"No")</f>
        <v>No</v>
      </c>
      <c r="AD1538" s="5" t="str">
        <f ca="1">IFERROR(__xludf.DUMMYFUNCTION("""COMPUTED_VALUE"""),"No")</f>
        <v>No</v>
      </c>
      <c r="AE1538" s="5" t="str">
        <f ca="1">IFERROR(__xludf.DUMMYFUNCTION("""COMPUTED_VALUE"""),"No")</f>
        <v>No</v>
      </c>
      <c r="AF1538" s="5" t="str">
        <f ca="1">IFERROR(__xludf.DUMMYFUNCTION("""COMPUTED_VALUE"""),"Yes")</f>
        <v>Yes</v>
      </c>
      <c r="AG1538" s="5" t="str">
        <f ca="1">IFERROR(__xludf.DUMMYFUNCTION("""COMPUTED_VALUE"""),"No")</f>
        <v>No</v>
      </c>
      <c r="AH1538" s="5"/>
    </row>
    <row r="1539" spans="1:34" ht="12.75">
      <c r="A1539" s="5" t="str">
        <f ca="1">IFERROR(__xludf.DUMMYFUNCTION("""COMPUTED_VALUE"""),"19950614FLLAL")</f>
        <v>19950614FLLAL</v>
      </c>
      <c r="B1539" s="8">
        <f ca="1">IFERROR(__xludf.DUMMYFUNCTION("""COMPUTED_VALUE"""),34864)</f>
        <v>34864</v>
      </c>
      <c r="C1539" s="5" t="str">
        <f ca="1">IFERROR(__xludf.DUMMYFUNCTION("""COMPUTED_VALUE"""),"Lake Worth High School")</f>
        <v>Lake Worth High School</v>
      </c>
      <c r="D1539" s="5">
        <f ca="1">IFERROR(__xludf.DUMMYFUNCTION("""COMPUTED_VALUE"""),0)</f>
        <v>0</v>
      </c>
      <c r="E1539" s="5">
        <f ca="1">IFERROR(__xludf.DUMMYFUNCTION("""COMPUTED_VALUE"""),2)</f>
        <v>2</v>
      </c>
      <c r="F1539" s="5">
        <f ca="1">IFERROR(__xludf.DUMMYFUNCTION("""COMPUTED_VALUE"""),2)</f>
        <v>2</v>
      </c>
      <c r="G1539" s="5">
        <f ca="1">IFERROR(__xludf.DUMMYFUNCTION("""COMPUTED_VALUE"""),0)</f>
        <v>0</v>
      </c>
      <c r="H1539"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I1539" s="5"/>
      <c r="J1539" s="5"/>
      <c r="K1539" s="5">
        <f ca="1">IFERROR(__xludf.DUMMYFUNCTION("""COMPUTED_VALUE"""),1)</f>
        <v>1</v>
      </c>
      <c r="L1539" s="5" t="str">
        <f ca="1">IFERROR(__xludf.DUMMYFUNCTION("""COMPUTED_VALUE"""),"Summer")</f>
        <v>Summer</v>
      </c>
      <c r="M1539" s="5" t="str">
        <f ca="1">IFERROR(__xludf.DUMMYFUNCTION("""COMPUTED_VALUE"""),"Lake Worth")</f>
        <v>Lake Worth</v>
      </c>
      <c r="N1539" s="5" t="str">
        <f ca="1">IFERROR(__xludf.DUMMYFUNCTION("""COMPUTED_VALUE"""),"FL")</f>
        <v>FL</v>
      </c>
      <c r="O1539" s="5" t="str">
        <f ca="1">IFERROR(__xludf.DUMMYFUNCTION("""COMPUTED_VALUE"""),"High")</f>
        <v>High</v>
      </c>
      <c r="P1539" s="5" t="str">
        <f ca="1">IFERROR(__xludf.DUMMYFUNCTION("""COMPUTED_VALUE"""),"Parking Lot")</f>
        <v>Parking Lot</v>
      </c>
      <c r="Q1539" s="5" t="str">
        <f ca="1">IFERROR(__xludf.DUMMYFUNCTION("""COMPUTED_VALUE"""),"Outside on School Property")</f>
        <v>Outside on School Property</v>
      </c>
      <c r="R1539" s="5" t="str">
        <f ca="1">IFERROR(__xludf.DUMMYFUNCTION("""COMPUTED_VALUE"""),"No")</f>
        <v>No</v>
      </c>
      <c r="S1539" s="5" t="str">
        <f ca="1">IFERROR(__xludf.DUMMYFUNCTION("""COMPUTED_VALUE"""),"Dismissal")</f>
        <v>Dismissal</v>
      </c>
      <c r="T1539" s="10">
        <f ca="1">IFERROR(__xludf.DUMMYFUNCTION("""COMPUTED_VALUE"""),0.520833333333333)</f>
        <v>0.52083333333333304</v>
      </c>
      <c r="U1539" s="5">
        <f ca="1">IFERROR(__xludf.DUMMYFUNCTION("""COMPUTED_VALUE"""),1)</f>
        <v>1</v>
      </c>
      <c r="V1539" s="5" t="str">
        <f ca="1">IFERROR(__xludf.DUMMYFUNCTION("""COMPUTED_VALUE"""),"Shooting in parking lot on the last day of school at dismissal time.")</f>
        <v>Shooting in parking lot on the last day of school at dismissal time.</v>
      </c>
      <c r="W1539"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X1539" s="5" t="str">
        <f ca="1">IFERROR(__xludf.DUMMYFUNCTION("""COMPUTED_VALUE"""),"Domestic w/ Targeted Victim")</f>
        <v>Domestic w/ Targeted Victim</v>
      </c>
      <c r="Y1539" s="5" t="str">
        <f ca="1">IFERROR(__xludf.DUMMYFUNCTION("""COMPUTED_VALUE"""),"Both")</f>
        <v>Both</v>
      </c>
      <c r="Z1539" s="5" t="str">
        <f ca="1">IFERROR(__xludf.DUMMYFUNCTION("""COMPUTED_VALUE"""),"No")</f>
        <v>No</v>
      </c>
      <c r="AA1539" s="5"/>
      <c r="AB1539" s="5" t="str">
        <f ca="1">IFERROR(__xludf.DUMMYFUNCTION("""COMPUTED_VALUE"""),"No")</f>
        <v>No</v>
      </c>
      <c r="AC1539" s="5" t="str">
        <f ca="1">IFERROR(__xludf.DUMMYFUNCTION("""COMPUTED_VALUE"""),"No")</f>
        <v>No</v>
      </c>
      <c r="AD1539" s="5" t="str">
        <f ca="1">IFERROR(__xludf.DUMMYFUNCTION("""COMPUTED_VALUE"""),"No")</f>
        <v>No</v>
      </c>
      <c r="AE1539" s="5" t="str">
        <f ca="1">IFERROR(__xludf.DUMMYFUNCTION("""COMPUTED_VALUE"""),"No")</f>
        <v>No</v>
      </c>
      <c r="AF1539" s="5" t="str">
        <f ca="1">IFERROR(__xludf.DUMMYFUNCTION("""COMPUTED_VALUE"""),"No")</f>
        <v>No</v>
      </c>
      <c r="AG1539" s="5" t="str">
        <f ca="1">IFERROR(__xludf.DUMMYFUNCTION("""COMPUTED_VALUE"""),"No")</f>
        <v>No</v>
      </c>
      <c r="AH1539" s="5"/>
    </row>
    <row r="1540" spans="1:34" ht="12.75">
      <c r="A1540" s="5" t="str">
        <f ca="1">IFERROR(__xludf.DUMMYFUNCTION("""COMPUTED_VALUE"""),"19950327MIRED")</f>
        <v>19950327MIRED</v>
      </c>
      <c r="B1540" s="8">
        <f ca="1">IFERROR(__xludf.DUMMYFUNCTION("""COMPUTED_VALUE"""),34785)</f>
        <v>34785</v>
      </c>
      <c r="C1540" s="5" t="str">
        <f ca="1">IFERROR(__xludf.DUMMYFUNCTION("""COMPUTED_VALUE"""),"Redford High School")</f>
        <v>Redford High School</v>
      </c>
      <c r="D1540" s="5">
        <f ca="1">IFERROR(__xludf.DUMMYFUNCTION("""COMPUTED_VALUE"""),0)</f>
        <v>0</v>
      </c>
      <c r="E1540" s="5">
        <f ca="1">IFERROR(__xludf.DUMMYFUNCTION("""COMPUTED_VALUE"""),1)</f>
        <v>1</v>
      </c>
      <c r="F1540" s="5">
        <f ca="1">IFERROR(__xludf.DUMMYFUNCTION("""COMPUTED_VALUE"""),1)</f>
        <v>1</v>
      </c>
      <c r="G1540" s="5">
        <f ca="1">IFERROR(__xludf.DUMMYFUNCTION("""COMPUTED_VALUE"""),0)</f>
        <v>0</v>
      </c>
      <c r="H1540"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I1540" s="5"/>
      <c r="J1540" s="5"/>
      <c r="K1540" s="5">
        <f ca="1">IFERROR(__xludf.DUMMYFUNCTION("""COMPUTED_VALUE"""),2)</f>
        <v>2</v>
      </c>
      <c r="L1540" s="5" t="str">
        <f ca="1">IFERROR(__xludf.DUMMYFUNCTION("""COMPUTED_VALUE"""),"Spring")</f>
        <v>Spring</v>
      </c>
      <c r="M1540" s="5" t="str">
        <f ca="1">IFERROR(__xludf.DUMMYFUNCTION("""COMPUTED_VALUE"""),"Detroit")</f>
        <v>Detroit</v>
      </c>
      <c r="N1540" s="5" t="str">
        <f ca="1">IFERROR(__xludf.DUMMYFUNCTION("""COMPUTED_VALUE"""),"MI")</f>
        <v>MI</v>
      </c>
      <c r="O1540" s="5" t="str">
        <f ca="1">IFERROR(__xludf.DUMMYFUNCTION("""COMPUTED_VALUE"""),"High")</f>
        <v>High</v>
      </c>
      <c r="P1540" s="5" t="str">
        <f ca="1">IFERROR(__xludf.DUMMYFUNCTION("""COMPUTED_VALUE"""),"Hallway")</f>
        <v>Hallway</v>
      </c>
      <c r="Q1540" s="5" t="str">
        <f ca="1">IFERROR(__xludf.DUMMYFUNCTION("""COMPUTED_VALUE"""),"Inside School Building")</f>
        <v>Inside School Building</v>
      </c>
      <c r="R1540" s="5" t="str">
        <f ca="1">IFERROR(__xludf.DUMMYFUNCTION("""COMPUTED_VALUE"""),"Yes")</f>
        <v>Yes</v>
      </c>
      <c r="S1540" s="5" t="str">
        <f ca="1">IFERROR(__xludf.DUMMYFUNCTION("""COMPUTED_VALUE"""),"Morning Classes")</f>
        <v>Morning Classes</v>
      </c>
      <c r="T1540" s="10">
        <f ca="1">IFERROR(__xludf.DUMMYFUNCTION("""COMPUTED_VALUE"""),0.416666666666666)</f>
        <v>0.41666666666666602</v>
      </c>
      <c r="U1540" s="5">
        <f ca="1">IFERROR(__xludf.DUMMYFUNCTION("""COMPUTED_VALUE"""),1)</f>
        <v>1</v>
      </c>
      <c r="V1540" s="5" t="str">
        <f ca="1">IFERROR(__xludf.DUMMYFUNCTION("""COMPUTED_VALUE"""),"A gun was dropped and went off in the hallway.")</f>
        <v>A gun was dropped and went off in the hallway.</v>
      </c>
      <c r="W1540"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X1540" s="5" t="str">
        <f ca="1">IFERROR(__xludf.DUMMYFUNCTION("""COMPUTED_VALUE"""),"Accidental")</f>
        <v>Accidental</v>
      </c>
      <c r="Y1540" s="5" t="str">
        <f ca="1">IFERROR(__xludf.DUMMYFUNCTION("""COMPUTED_VALUE"""),"Victims Targeted")</f>
        <v>Victims Targeted</v>
      </c>
      <c r="Z1540" s="5" t="str">
        <f ca="1">IFERROR(__xludf.DUMMYFUNCTION("""COMPUTED_VALUE"""),"No")</f>
        <v>No</v>
      </c>
      <c r="AA1540" s="5"/>
      <c r="AB1540" s="5" t="str">
        <f ca="1">IFERROR(__xludf.DUMMYFUNCTION("""COMPUTED_VALUE"""),"No")</f>
        <v>No</v>
      </c>
      <c r="AC1540" s="5" t="str">
        <f ca="1">IFERROR(__xludf.DUMMYFUNCTION("""COMPUTED_VALUE"""),"No")</f>
        <v>No</v>
      </c>
      <c r="AD1540" s="5" t="str">
        <f ca="1">IFERROR(__xludf.DUMMYFUNCTION("""COMPUTED_VALUE"""),"No")</f>
        <v>No</v>
      </c>
      <c r="AE1540" s="5" t="str">
        <f ca="1">IFERROR(__xludf.DUMMYFUNCTION("""COMPUTED_VALUE"""),"No")</f>
        <v>No</v>
      </c>
      <c r="AF1540" s="5" t="str">
        <f ca="1">IFERROR(__xludf.DUMMYFUNCTION("""COMPUTED_VALUE"""),"No")</f>
        <v>No</v>
      </c>
      <c r="AG1540" s="5" t="str">
        <f ca="1">IFERROR(__xludf.DUMMYFUNCTION("""COMPUTED_VALUE"""),"Yes")</f>
        <v>Yes</v>
      </c>
      <c r="AH1540" s="5"/>
    </row>
    <row r="1541" spans="1:34" ht="12.75">
      <c r="A1541" s="5" t="str">
        <f ca="1">IFERROR(__xludf.DUMMYFUNCTION("""COMPUTED_VALUE"""),"19950303MIPED")</f>
        <v>19950303MIPED</v>
      </c>
      <c r="B1541" s="8">
        <f ca="1">IFERROR(__xludf.DUMMYFUNCTION("""COMPUTED_VALUE"""),34761)</f>
        <v>34761</v>
      </c>
      <c r="C1541" s="5" t="str">
        <f ca="1">IFERROR(__xludf.DUMMYFUNCTION("""COMPUTED_VALUE"""),"Pershing High School")</f>
        <v>Pershing High School</v>
      </c>
      <c r="D1541" s="5">
        <f ca="1">IFERROR(__xludf.DUMMYFUNCTION("""COMPUTED_VALUE"""),0)</f>
        <v>0</v>
      </c>
      <c r="E1541" s="5">
        <f ca="1">IFERROR(__xludf.DUMMYFUNCTION("""COMPUTED_VALUE"""),1)</f>
        <v>1</v>
      </c>
      <c r="F1541" s="5">
        <f ca="1">IFERROR(__xludf.DUMMYFUNCTION("""COMPUTED_VALUE"""),1)</f>
        <v>1</v>
      </c>
      <c r="G1541" s="5">
        <f ca="1">IFERROR(__xludf.DUMMYFUNCTION("""COMPUTED_VALUE"""),0)</f>
        <v>0</v>
      </c>
      <c r="H1541" s="5" t="str">
        <f ca="1">IFERROR(__xludf.DUMMYFUNCTION("""COMPUTED_VALUE"""),"https://www.crimeindetroit.com/documents/Denby.pdf https://www.newspapers.com/image/99271023/")</f>
        <v>https://www.crimeindetroit.com/documents/Denby.pdf https://www.newspapers.com/image/99271023/</v>
      </c>
      <c r="I1541" s="5"/>
      <c r="J1541" s="5"/>
      <c r="K1541" s="5">
        <f ca="1">IFERROR(__xludf.DUMMYFUNCTION("""COMPUTED_VALUE"""),3)</f>
        <v>3</v>
      </c>
      <c r="L1541" s="5" t="str">
        <f ca="1">IFERROR(__xludf.DUMMYFUNCTION("""COMPUTED_VALUE"""),"Spring")</f>
        <v>Spring</v>
      </c>
      <c r="M1541" s="5" t="str">
        <f ca="1">IFERROR(__xludf.DUMMYFUNCTION("""COMPUTED_VALUE"""),"Detroit")</f>
        <v>Detroit</v>
      </c>
      <c r="N1541" s="5" t="str">
        <f ca="1">IFERROR(__xludf.DUMMYFUNCTION("""COMPUTED_VALUE"""),"MI")</f>
        <v>MI</v>
      </c>
      <c r="O1541" s="5" t="str">
        <f ca="1">IFERROR(__xludf.DUMMYFUNCTION("""COMPUTED_VALUE"""),"High")</f>
        <v>High</v>
      </c>
      <c r="P1541" s="5" t="str">
        <f ca="1">IFERROR(__xludf.DUMMYFUNCTION("""COMPUTED_VALUE"""),"Hallway")</f>
        <v>Hallway</v>
      </c>
      <c r="Q1541" s="5" t="str">
        <f ca="1">IFERROR(__xludf.DUMMYFUNCTION("""COMPUTED_VALUE"""),"Inside School Building")</f>
        <v>Inside School Building</v>
      </c>
      <c r="R1541" s="5" t="str">
        <f ca="1">IFERROR(__xludf.DUMMYFUNCTION("""COMPUTED_VALUE"""),"Yes")</f>
        <v>Yes</v>
      </c>
      <c r="S1541" s="5" t="str">
        <f ca="1">IFERROR(__xludf.DUMMYFUNCTION("""COMPUTED_VALUE"""),"Afternoon Classes")</f>
        <v>Afternoon Classes</v>
      </c>
      <c r="T1541" s="10">
        <f ca="1">IFERROR(__xludf.DUMMYFUNCTION("""COMPUTED_VALUE"""),0.583333333333333)</f>
        <v>0.58333333333333304</v>
      </c>
      <c r="U1541" s="5">
        <f ca="1">IFERROR(__xludf.DUMMYFUNCTION("""COMPUTED_VALUE"""),1)</f>
        <v>1</v>
      </c>
      <c r="V1541" s="5" t="str">
        <f ca="1">IFERROR(__xludf.DUMMYFUNCTION("""COMPUTED_VALUE"""),"16-year-old student shot 4 times in the chest")</f>
        <v>16-year-old student shot 4 times in the chest</v>
      </c>
      <c r="W1541"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X1541" s="5" t="str">
        <f ca="1">IFERROR(__xludf.DUMMYFUNCTION("""COMPUTED_VALUE"""),"Escalation of Dispute")</f>
        <v>Escalation of Dispute</v>
      </c>
      <c r="Y1541" s="5" t="str">
        <f ca="1">IFERROR(__xludf.DUMMYFUNCTION("""COMPUTED_VALUE"""),"Victims Targeted")</f>
        <v>Victims Targeted</v>
      </c>
      <c r="Z1541" s="5" t="str">
        <f ca="1">IFERROR(__xludf.DUMMYFUNCTION("""COMPUTED_VALUE"""),"No")</f>
        <v>No</v>
      </c>
      <c r="AA1541" s="5"/>
      <c r="AB1541" s="5" t="str">
        <f ca="1">IFERROR(__xludf.DUMMYFUNCTION("""COMPUTED_VALUE"""),"No")</f>
        <v>No</v>
      </c>
      <c r="AC1541" s="5" t="str">
        <f ca="1">IFERROR(__xludf.DUMMYFUNCTION("""COMPUTED_VALUE"""),"No")</f>
        <v>No</v>
      </c>
      <c r="AD1541" s="5" t="str">
        <f ca="1">IFERROR(__xludf.DUMMYFUNCTION("""COMPUTED_VALUE"""),"No")</f>
        <v>No</v>
      </c>
      <c r="AE1541" s="5" t="str">
        <f ca="1">IFERROR(__xludf.DUMMYFUNCTION("""COMPUTED_VALUE"""),"No")</f>
        <v>No</v>
      </c>
      <c r="AF1541" s="5" t="str">
        <f ca="1">IFERROR(__xludf.DUMMYFUNCTION("""COMPUTED_VALUE"""),"No")</f>
        <v>No</v>
      </c>
      <c r="AG1541" s="5"/>
      <c r="AH1541" s="5" t="str">
        <f ca="1">IFERROR(__xludf.DUMMYFUNCTION("""COMPUTED_VALUE"""),"No")</f>
        <v>No</v>
      </c>
    </row>
    <row r="1542" spans="1:34" ht="12.75">
      <c r="A1542" s="5" t="str">
        <f ca="1">IFERROR(__xludf.DUMMYFUNCTION("""COMPUTED_VALUE"""),"19950208NECHS")</f>
        <v>19950208NECHS</v>
      </c>
      <c r="B1542" s="8">
        <f ca="1">IFERROR(__xludf.DUMMYFUNCTION("""COMPUTED_VALUE"""),34738)</f>
        <v>34738</v>
      </c>
      <c r="C1542" s="5" t="str">
        <f ca="1">IFERROR(__xludf.DUMMYFUNCTION("""COMPUTED_VALUE"""),"Chadron Middle School")</f>
        <v>Chadron Middle School</v>
      </c>
      <c r="D1542" s="5">
        <f ca="1">IFERROR(__xludf.DUMMYFUNCTION("""COMPUTED_VALUE"""),0)</f>
        <v>0</v>
      </c>
      <c r="E1542" s="5">
        <f ca="1">IFERROR(__xludf.DUMMYFUNCTION("""COMPUTED_VALUE"""),1)</f>
        <v>1</v>
      </c>
      <c r="F1542" s="5">
        <f ca="1">IFERROR(__xludf.DUMMYFUNCTION("""COMPUTED_VALUE"""),1)</f>
        <v>1</v>
      </c>
      <c r="G1542" s="5">
        <f ca="1">IFERROR(__xludf.DUMMYFUNCTION("""COMPUTED_VALUE"""),0)</f>
        <v>0</v>
      </c>
      <c r="H1542" s="9" t="str">
        <f ca="1">IFERROR(__xludf.DUMMYFUNCTION("""COMPUTED_VALUE"""),"https://apnews.com/a07c45ae91ad4f448d560abb24e292f1")</f>
        <v>https://apnews.com/a07c45ae91ad4f448d560abb24e292f1</v>
      </c>
      <c r="I1542" s="5"/>
      <c r="J1542" s="5"/>
      <c r="K1542" s="5">
        <f ca="1">IFERROR(__xludf.DUMMYFUNCTION("""COMPUTED_VALUE"""),2)</f>
        <v>2</v>
      </c>
      <c r="L1542" s="5" t="str">
        <f ca="1">IFERROR(__xludf.DUMMYFUNCTION("""COMPUTED_VALUE"""),"Winter")</f>
        <v>Winter</v>
      </c>
      <c r="M1542" s="5" t="str">
        <f ca="1">IFERROR(__xludf.DUMMYFUNCTION("""COMPUTED_VALUE"""),"Scottsbluff")</f>
        <v>Scottsbluff</v>
      </c>
      <c r="N1542" s="5" t="str">
        <f ca="1">IFERROR(__xludf.DUMMYFUNCTION("""COMPUTED_VALUE"""),"NE")</f>
        <v>NE</v>
      </c>
      <c r="O1542" s="5" t="str">
        <f ca="1">IFERROR(__xludf.DUMMYFUNCTION("""COMPUTED_VALUE"""),"Middle")</f>
        <v>Middle</v>
      </c>
      <c r="P1542" s="5" t="str">
        <f ca="1">IFERROR(__xludf.DUMMYFUNCTION("""COMPUTED_VALUE"""),"Classroom")</f>
        <v>Classroom</v>
      </c>
      <c r="Q1542" s="5" t="str">
        <f ca="1">IFERROR(__xludf.DUMMYFUNCTION("""COMPUTED_VALUE"""),"Inside School Building")</f>
        <v>Inside School Building</v>
      </c>
      <c r="R1542" s="5" t="str">
        <f ca="1">IFERROR(__xludf.DUMMYFUNCTION("""COMPUTED_VALUE"""),"Yes")</f>
        <v>Yes</v>
      </c>
      <c r="S1542" s="5" t="str">
        <f ca="1">IFERROR(__xludf.DUMMYFUNCTION("""COMPUTED_VALUE"""),"Morning Classes")</f>
        <v>Morning Classes</v>
      </c>
      <c r="T1542" s="5"/>
      <c r="U1542" s="5">
        <f ca="1">IFERROR(__xludf.DUMMYFUNCTION("""COMPUTED_VALUE"""),1)</f>
        <v>1</v>
      </c>
      <c r="V1542" s="5" t="str">
        <f ca="1">IFERROR(__xludf.DUMMYFUNCTION("""COMPUTED_VALUE"""),"Student walked in and shot teacher during class.")</f>
        <v>Student walked in and shot teacher during class.</v>
      </c>
      <c r="W1542"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X1542" s="5" t="str">
        <f ca="1">IFERROR(__xludf.DUMMYFUNCTION("""COMPUTED_VALUE"""),"Anger Over Grade/Suspension/Discipline")</f>
        <v>Anger Over Grade/Suspension/Discipline</v>
      </c>
      <c r="Y1542" s="5" t="str">
        <f ca="1">IFERROR(__xludf.DUMMYFUNCTION("""COMPUTED_VALUE"""),"Victims Targeted")</f>
        <v>Victims Targeted</v>
      </c>
      <c r="Z1542" s="5" t="str">
        <f ca="1">IFERROR(__xludf.DUMMYFUNCTION("""COMPUTED_VALUE"""),"No")</f>
        <v>No</v>
      </c>
      <c r="AA1542" s="5"/>
      <c r="AB1542" s="5" t="str">
        <f ca="1">IFERROR(__xludf.DUMMYFUNCTION("""COMPUTED_VALUE"""),"No")</f>
        <v>No</v>
      </c>
      <c r="AC1542" s="5" t="str">
        <f ca="1">IFERROR(__xludf.DUMMYFUNCTION("""COMPUTED_VALUE"""),"No")</f>
        <v>No</v>
      </c>
      <c r="AD1542" s="5" t="str">
        <f ca="1">IFERROR(__xludf.DUMMYFUNCTION("""COMPUTED_VALUE"""),"No")</f>
        <v>No</v>
      </c>
      <c r="AE1542" s="5" t="str">
        <f ca="1">IFERROR(__xludf.DUMMYFUNCTION("""COMPUTED_VALUE"""),"No")</f>
        <v>No</v>
      </c>
      <c r="AF1542" s="5" t="str">
        <f ca="1">IFERROR(__xludf.DUMMYFUNCTION("""COMPUTED_VALUE"""),"No")</f>
        <v>No</v>
      </c>
      <c r="AG1542" s="5" t="str">
        <f ca="1">IFERROR(__xludf.DUMMYFUNCTION("""COMPUTED_VALUE"""),"No")</f>
        <v>No</v>
      </c>
      <c r="AH1542" s="5"/>
    </row>
    <row r="1543" spans="1:34" ht="12.75">
      <c r="A1543" s="5" t="str">
        <f ca="1">IFERROR(__xludf.DUMMYFUNCTION("""COMPUTED_VALUE"""),"19950202CAJOL")</f>
        <v>19950202CAJOL</v>
      </c>
      <c r="B1543" s="8">
        <f ca="1">IFERROR(__xludf.DUMMYFUNCTION("""COMPUTED_VALUE"""),34732)</f>
        <v>34732</v>
      </c>
      <c r="C1543" s="5" t="str">
        <f ca="1">IFERROR(__xludf.DUMMYFUNCTION("""COMPUTED_VALUE"""),"Jordan High School")</f>
        <v>Jordan High School</v>
      </c>
      <c r="D1543" s="5">
        <f ca="1">IFERROR(__xludf.DUMMYFUNCTION("""COMPUTED_VALUE"""),1)</f>
        <v>1</v>
      </c>
      <c r="E1543" s="5">
        <f ca="1">IFERROR(__xludf.DUMMYFUNCTION("""COMPUTED_VALUE"""),1)</f>
        <v>1</v>
      </c>
      <c r="F1543" s="5">
        <f ca="1">IFERROR(__xludf.DUMMYFUNCTION("""COMPUTED_VALUE"""),2)</f>
        <v>2</v>
      </c>
      <c r="G1543" s="5">
        <f ca="1">IFERROR(__xludf.DUMMYFUNCTION("""COMPUTED_VALUE"""),0)</f>
        <v>0</v>
      </c>
      <c r="H1543" s="9" t="str">
        <f ca="1">IFERROR(__xludf.DUMMYFUNCTION("""COMPUTED_VALUE"""),"https://www.presstelegram.com/2015/10/16/javiers-dream-of-helping-people-lives-on-rich-archbold/")</f>
        <v>https://www.presstelegram.com/2015/10/16/javiers-dream-of-helping-people-lives-on-rich-archbold/</v>
      </c>
      <c r="I1543" s="5"/>
      <c r="J1543" s="5"/>
      <c r="K1543" s="5">
        <f ca="1">IFERROR(__xludf.DUMMYFUNCTION("""COMPUTED_VALUE"""),2)</f>
        <v>2</v>
      </c>
      <c r="L1543" s="5" t="str">
        <f ca="1">IFERROR(__xludf.DUMMYFUNCTION("""COMPUTED_VALUE"""),"Winter")</f>
        <v>Winter</v>
      </c>
      <c r="M1543" s="5" t="str">
        <f ca="1">IFERROR(__xludf.DUMMYFUNCTION("""COMPUTED_VALUE"""),"Long Beach")</f>
        <v>Long Beach</v>
      </c>
      <c r="N1543" s="5" t="str">
        <f ca="1">IFERROR(__xludf.DUMMYFUNCTION("""COMPUTED_VALUE"""),"CA")</f>
        <v>CA</v>
      </c>
      <c r="O1543" s="5" t="str">
        <f ca="1">IFERROR(__xludf.DUMMYFUNCTION("""COMPUTED_VALUE"""),"High")</f>
        <v>High</v>
      </c>
      <c r="P1543" s="5" t="str">
        <f ca="1">IFERROR(__xludf.DUMMYFUNCTION("""COMPUTED_VALUE"""),"Field (General)")</f>
        <v>Field (General)</v>
      </c>
      <c r="Q1543" s="5" t="str">
        <f ca="1">IFERROR(__xludf.DUMMYFUNCTION("""COMPUTED_VALUE"""),"Outside on School Property")</f>
        <v>Outside on School Property</v>
      </c>
      <c r="R1543" s="5" t="str">
        <f ca="1">IFERROR(__xludf.DUMMYFUNCTION("""COMPUTED_VALUE"""),"No")</f>
        <v>No</v>
      </c>
      <c r="S1543" s="5" t="str">
        <f ca="1">IFERROR(__xludf.DUMMYFUNCTION("""COMPUTED_VALUE"""),"Sport Event")</f>
        <v>Sport Event</v>
      </c>
      <c r="T1543" s="5"/>
      <c r="U1543" s="5">
        <f ca="1">IFERROR(__xludf.DUMMYFUNCTION("""COMPUTED_VALUE"""),1)</f>
        <v>1</v>
      </c>
      <c r="V1543" s="5" t="str">
        <f ca="1">IFERROR(__xludf.DUMMYFUNCTION("""COMPUTED_VALUE"""),"Two students were shot by gang member on an athletic field.")</f>
        <v>Two students were shot by gang member on an athletic field.</v>
      </c>
      <c r="W1543"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X1543" s="5" t="str">
        <f ca="1">IFERROR(__xludf.DUMMYFUNCTION("""COMPUTED_VALUE"""),"Escalation of Dispute")</f>
        <v>Escalation of Dispute</v>
      </c>
      <c r="Y1543" s="5" t="str">
        <f ca="1">IFERROR(__xludf.DUMMYFUNCTION("""COMPUTED_VALUE"""),"Victims Targeted")</f>
        <v>Victims Targeted</v>
      </c>
      <c r="Z1543" s="5" t="str">
        <f ca="1">IFERROR(__xludf.DUMMYFUNCTION("""COMPUTED_VALUE"""),"No")</f>
        <v>No</v>
      </c>
      <c r="AA1543" s="5"/>
      <c r="AB1543" s="5" t="str">
        <f ca="1">IFERROR(__xludf.DUMMYFUNCTION("""COMPUTED_VALUE"""),"No")</f>
        <v>No</v>
      </c>
      <c r="AC1543" s="5" t="str">
        <f ca="1">IFERROR(__xludf.DUMMYFUNCTION("""COMPUTED_VALUE"""),"No")</f>
        <v>No</v>
      </c>
      <c r="AD1543" s="5" t="str">
        <f ca="1">IFERROR(__xludf.DUMMYFUNCTION("""COMPUTED_VALUE"""),"No")</f>
        <v>No</v>
      </c>
      <c r="AE1543" s="5" t="str">
        <f ca="1">IFERROR(__xludf.DUMMYFUNCTION("""COMPUTED_VALUE"""),"No")</f>
        <v>No</v>
      </c>
      <c r="AF1543" s="5" t="str">
        <f ca="1">IFERROR(__xludf.DUMMYFUNCTION("""COMPUTED_VALUE"""),"No")</f>
        <v>No</v>
      </c>
      <c r="AG1543" s="5" t="str">
        <f ca="1">IFERROR(__xludf.DUMMYFUNCTION("""COMPUTED_VALUE"""),"Yes")</f>
        <v>Yes</v>
      </c>
      <c r="AH1543" s="5"/>
    </row>
    <row r="1544" spans="1:34" ht="12.75">
      <c r="A1544" s="5" t="str">
        <f ca="1">IFERROR(__xludf.DUMMYFUNCTION("""COMPUTED_VALUE"""),"19950124DCSPW")</f>
        <v>19950124DCSPW</v>
      </c>
      <c r="B1544" s="8">
        <f ca="1">IFERROR(__xludf.DUMMYFUNCTION("""COMPUTED_VALUE"""),34723)</f>
        <v>34723</v>
      </c>
      <c r="C1544" s="5" t="str">
        <f ca="1">IFERROR(__xludf.DUMMYFUNCTION("""COMPUTED_VALUE"""),"Spingarn High School")</f>
        <v>Spingarn High School</v>
      </c>
      <c r="D1544" s="5">
        <f ca="1">IFERROR(__xludf.DUMMYFUNCTION("""COMPUTED_VALUE"""),0)</f>
        <v>0</v>
      </c>
      <c r="E1544" s="5">
        <f ca="1">IFERROR(__xludf.DUMMYFUNCTION("""COMPUTED_VALUE"""),1)</f>
        <v>1</v>
      </c>
      <c r="F1544" s="5">
        <f ca="1">IFERROR(__xludf.DUMMYFUNCTION("""COMPUTED_VALUE"""),1)</f>
        <v>1</v>
      </c>
      <c r="G1544" s="5">
        <f ca="1">IFERROR(__xludf.DUMMYFUNCTION("""COMPUTED_VALUE"""),0)</f>
        <v>0</v>
      </c>
      <c r="H1544" s="9" t="str">
        <f ca="1">IFERROR(__xludf.DUMMYFUNCTION("""COMPUTED_VALUE"""),"https://www.washingtonpost.com/archive/local/1995/01/25/student-wounded-in-school-shooting/43b9c1ae-244d-40ed-8bc7-18fec6c338f3/")</f>
        <v>https://www.washingtonpost.com/archive/local/1995/01/25/student-wounded-in-school-shooting/43b9c1ae-244d-40ed-8bc7-18fec6c338f3/</v>
      </c>
      <c r="I1544" s="5"/>
      <c r="J1544" s="5"/>
      <c r="K1544" s="5">
        <f ca="1">IFERROR(__xludf.DUMMYFUNCTION("""COMPUTED_VALUE"""),3)</f>
        <v>3</v>
      </c>
      <c r="L1544" s="5" t="str">
        <f ca="1">IFERROR(__xludf.DUMMYFUNCTION("""COMPUTED_VALUE"""),"Winter")</f>
        <v>Winter</v>
      </c>
      <c r="M1544" s="5" t="str">
        <f ca="1">IFERROR(__xludf.DUMMYFUNCTION("""COMPUTED_VALUE"""),"Washington")</f>
        <v>Washington</v>
      </c>
      <c r="N1544" s="5" t="str">
        <f ca="1">IFERROR(__xludf.DUMMYFUNCTION("""COMPUTED_VALUE"""),"DC")</f>
        <v>DC</v>
      </c>
      <c r="O1544" s="5" t="str">
        <f ca="1">IFERROR(__xludf.DUMMYFUNCTION("""COMPUTED_VALUE"""),"High")</f>
        <v>High</v>
      </c>
      <c r="P1544" s="5" t="str">
        <f ca="1">IFERROR(__xludf.DUMMYFUNCTION("""COMPUTED_VALUE"""),"Entryway")</f>
        <v>Entryway</v>
      </c>
      <c r="Q1544" s="5" t="str">
        <f ca="1">IFERROR(__xludf.DUMMYFUNCTION("""COMPUTED_VALUE"""),"Inside School Building")</f>
        <v>Inside School Building</v>
      </c>
      <c r="R1544" s="5" t="str">
        <f ca="1">IFERROR(__xludf.DUMMYFUNCTION("""COMPUTED_VALUE"""),"Yes")</f>
        <v>Yes</v>
      </c>
      <c r="S1544" s="5" t="str">
        <f ca="1">IFERROR(__xludf.DUMMYFUNCTION("""COMPUTED_VALUE"""),"Lunch")</f>
        <v>Lunch</v>
      </c>
      <c r="T1544" s="10">
        <f ca="1">IFERROR(__xludf.DUMMYFUNCTION("""COMPUTED_VALUE"""),0.5)</f>
        <v>0.5</v>
      </c>
      <c r="U1544" s="5">
        <f ca="1">IFERROR(__xludf.DUMMYFUNCTION("""COMPUTED_VALUE"""),1)</f>
        <v>1</v>
      </c>
      <c r="V1544" s="5" t="str">
        <f ca="1">IFERROR(__xludf.DUMMYFUNCTION("""COMPUTED_VALUE"""),"Student was shot while sitting on the school exit stairs during lunch by a student from another school.")</f>
        <v>Student was shot while sitting on the school exit stairs during lunch by a student from another school.</v>
      </c>
      <c r="W1544"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X1544" s="5" t="str">
        <f ca="1">IFERROR(__xludf.DUMMYFUNCTION("""COMPUTED_VALUE"""),"Escalation of Dispute")</f>
        <v>Escalation of Dispute</v>
      </c>
      <c r="Y1544" s="5" t="str">
        <f ca="1">IFERROR(__xludf.DUMMYFUNCTION("""COMPUTED_VALUE"""),"Victims Targeted")</f>
        <v>Victims Targeted</v>
      </c>
      <c r="Z1544" s="5" t="str">
        <f ca="1">IFERROR(__xludf.DUMMYFUNCTION("""COMPUTED_VALUE"""),"No")</f>
        <v>No</v>
      </c>
      <c r="AA1544" s="5" t="str">
        <f ca="1">IFERROR(__xludf.DUMMYFUNCTION("""COMPUTED_VALUE"""),"Police looking for second suspect")</f>
        <v>Police looking for second suspect</v>
      </c>
      <c r="AB1544" s="5" t="str">
        <f ca="1">IFERROR(__xludf.DUMMYFUNCTION("""COMPUTED_VALUE"""),"No")</f>
        <v>No</v>
      </c>
      <c r="AC1544" s="5" t="str">
        <f ca="1">IFERROR(__xludf.DUMMYFUNCTION("""COMPUTED_VALUE"""),"No")</f>
        <v>No</v>
      </c>
      <c r="AD1544" s="5" t="str">
        <f ca="1">IFERROR(__xludf.DUMMYFUNCTION("""COMPUTED_VALUE"""),"No")</f>
        <v>No</v>
      </c>
      <c r="AE1544" s="5" t="str">
        <f ca="1">IFERROR(__xludf.DUMMYFUNCTION("""COMPUTED_VALUE"""),"No")</f>
        <v>No</v>
      </c>
      <c r="AF1544" s="5" t="str">
        <f ca="1">IFERROR(__xludf.DUMMYFUNCTION("""COMPUTED_VALUE"""),"No")</f>
        <v>No</v>
      </c>
      <c r="AG1544" s="5"/>
      <c r="AH1544" s="5" t="str">
        <f ca="1">IFERROR(__xludf.DUMMYFUNCTION("""COMPUTED_VALUE"""),"No")</f>
        <v>No</v>
      </c>
    </row>
    <row r="1545" spans="1:34" ht="12.75">
      <c r="A1545" s="5" t="str">
        <f ca="1">IFERROR(__xludf.DUMMYFUNCTION("""COMPUTED_VALUE"""),"19950123CASAR")</f>
        <v>19950123CASAR</v>
      </c>
      <c r="B1545" s="8">
        <f ca="1">IFERROR(__xludf.DUMMYFUNCTION("""COMPUTED_VALUE"""),34722)</f>
        <v>34722</v>
      </c>
      <c r="C1545" s="5" t="str">
        <f ca="1">IFERROR(__xludf.DUMMYFUNCTION("""COMPUTED_VALUE"""),"Sacred Heart Middle School")</f>
        <v>Sacred Heart Middle School</v>
      </c>
      <c r="D1545" s="5">
        <f ca="1">IFERROR(__xludf.DUMMYFUNCTION("""COMPUTED_VALUE"""),1)</f>
        <v>1</v>
      </c>
      <c r="E1545" s="5">
        <f ca="1">IFERROR(__xludf.DUMMYFUNCTION("""COMPUTED_VALUE"""),0)</f>
        <v>0</v>
      </c>
      <c r="F1545" s="5">
        <f ca="1">IFERROR(__xludf.DUMMYFUNCTION("""COMPUTED_VALUE"""),1)</f>
        <v>1</v>
      </c>
      <c r="G1545" s="5">
        <f ca="1">IFERROR(__xludf.DUMMYFUNCTION("""COMPUTED_VALUE"""),1)</f>
        <v>1</v>
      </c>
      <c r="H1545" s="9" t="str">
        <f ca="1">IFERROR(__xludf.DUMMYFUNCTION("""COMPUTED_VALUE"""),"http://articles.latimes.com/1995-01-25/news/mn-24213_1_attitude-problem")</f>
        <v>http://articles.latimes.com/1995-01-25/news/mn-24213_1_attitude-problem</v>
      </c>
      <c r="I1545" s="5"/>
      <c r="J1545" s="5"/>
      <c r="K1545" s="5">
        <f ca="1">IFERROR(__xludf.DUMMYFUNCTION("""COMPUTED_VALUE"""),2)</f>
        <v>2</v>
      </c>
      <c r="L1545" s="5" t="str">
        <f ca="1">IFERROR(__xludf.DUMMYFUNCTION("""COMPUTED_VALUE"""),"Winter")</f>
        <v>Winter</v>
      </c>
      <c r="M1545" s="5" t="str">
        <f ca="1">IFERROR(__xludf.DUMMYFUNCTION("""COMPUTED_VALUE"""),"Redlands")</f>
        <v>Redlands</v>
      </c>
      <c r="N1545" s="5" t="str">
        <f ca="1">IFERROR(__xludf.DUMMYFUNCTION("""COMPUTED_VALUE"""),"CA")</f>
        <v>CA</v>
      </c>
      <c r="O1545" s="5" t="str">
        <f ca="1">IFERROR(__xludf.DUMMYFUNCTION("""COMPUTED_VALUE"""),"Middle")</f>
        <v>Middle</v>
      </c>
      <c r="P1545" s="5" t="str">
        <f ca="1">IFERROR(__xludf.DUMMYFUNCTION("""COMPUTED_VALUE"""),"Office; Other")</f>
        <v>Office; Other</v>
      </c>
      <c r="Q1545" s="5" t="str">
        <f ca="1">IFERROR(__xludf.DUMMYFUNCTION("""COMPUTED_VALUE"""),"Both Inside/Outside")</f>
        <v>Both Inside/Outside</v>
      </c>
      <c r="R1545" s="5" t="str">
        <f ca="1">IFERROR(__xludf.DUMMYFUNCTION("""COMPUTED_VALUE"""),"Yes")</f>
        <v>Yes</v>
      </c>
      <c r="S1545" s="5"/>
      <c r="T1545" s="5"/>
      <c r="U1545" s="5"/>
      <c r="V1545" s="5" t="str">
        <f ca="1">IFERROR(__xludf.DUMMYFUNCTION("""COMPUTED_VALUE"""),"Killed his principal after their meeting, discussing how to improve his attitude.")</f>
        <v>Killed his principal after their meeting, discussing how to improve his attitude.</v>
      </c>
      <c r="W1545"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X1545" s="5" t="str">
        <f ca="1">IFERROR(__xludf.DUMMYFUNCTION("""COMPUTED_VALUE"""),"Anger Over Grade/Suspension/Discipline")</f>
        <v>Anger Over Grade/Suspension/Discipline</v>
      </c>
      <c r="Y1545" s="5" t="str">
        <f ca="1">IFERROR(__xludf.DUMMYFUNCTION("""COMPUTED_VALUE"""),"Victims Targeted")</f>
        <v>Victims Targeted</v>
      </c>
      <c r="Z1545" s="5" t="str">
        <f ca="1">IFERROR(__xludf.DUMMYFUNCTION("""COMPUTED_VALUE"""),"No")</f>
        <v>No</v>
      </c>
      <c r="AA1545" s="5"/>
      <c r="AB1545" s="5" t="str">
        <f ca="1">IFERROR(__xludf.DUMMYFUNCTION("""COMPUTED_VALUE"""),"No")</f>
        <v>No</v>
      </c>
      <c r="AC1545" s="5" t="str">
        <f ca="1">IFERROR(__xludf.DUMMYFUNCTION("""COMPUTED_VALUE"""),"No")</f>
        <v>No</v>
      </c>
      <c r="AD1545" s="5" t="str">
        <f ca="1">IFERROR(__xludf.DUMMYFUNCTION("""COMPUTED_VALUE"""),"No")</f>
        <v>No</v>
      </c>
      <c r="AE1545" s="5" t="str">
        <f ca="1">IFERROR(__xludf.DUMMYFUNCTION("""COMPUTED_VALUE"""),"No")</f>
        <v>No</v>
      </c>
      <c r="AF1545" s="5" t="str">
        <f ca="1">IFERROR(__xludf.DUMMYFUNCTION("""COMPUTED_VALUE"""),"No")</f>
        <v>No</v>
      </c>
      <c r="AG1545" s="5" t="str">
        <f ca="1">IFERROR(__xludf.DUMMYFUNCTION("""COMPUTED_VALUE"""),"No")</f>
        <v>No</v>
      </c>
      <c r="AH1545" s="5"/>
    </row>
    <row r="1546" spans="1:34" ht="12.75">
      <c r="A1546" s="5" t="str">
        <f ca="1">IFERROR(__xludf.DUMMYFUNCTION("""COMPUTED_VALUE"""),"19950112WAGAS")</f>
        <v>19950112WAGAS</v>
      </c>
      <c r="B1546" s="8">
        <f ca="1">IFERROR(__xludf.DUMMYFUNCTION("""COMPUTED_VALUE"""),34711)</f>
        <v>34711</v>
      </c>
      <c r="C1546" s="5" t="str">
        <f ca="1">IFERROR(__xludf.DUMMYFUNCTION("""COMPUTED_VALUE"""),"Garfield High School")</f>
        <v>Garfield High School</v>
      </c>
      <c r="D1546" s="5">
        <f ca="1">IFERROR(__xludf.DUMMYFUNCTION("""COMPUTED_VALUE"""),0)</f>
        <v>0</v>
      </c>
      <c r="E1546" s="5">
        <f ca="1">IFERROR(__xludf.DUMMYFUNCTION("""COMPUTED_VALUE"""),2)</f>
        <v>2</v>
      </c>
      <c r="F1546" s="5">
        <f ca="1">IFERROR(__xludf.DUMMYFUNCTION("""COMPUTED_VALUE"""),2)</f>
        <v>2</v>
      </c>
      <c r="G1546" s="5">
        <f ca="1">IFERROR(__xludf.DUMMYFUNCTION("""COMPUTED_VALUE"""),0)</f>
        <v>0</v>
      </c>
      <c r="H1546" s="9" t="str">
        <f ca="1">IFERROR(__xludf.DUMMYFUNCTION("""COMPUTED_VALUE"""),"http://community.seattletimes.nwsource.com/archive/?date=19950118&amp;slug=2100074")</f>
        <v>http://community.seattletimes.nwsource.com/archive/?date=19950118&amp;slug=2100074</v>
      </c>
      <c r="I1546" s="5"/>
      <c r="J1546" s="5"/>
      <c r="K1546" s="5">
        <f ca="1">IFERROR(__xludf.DUMMYFUNCTION("""COMPUTED_VALUE"""),2)</f>
        <v>2</v>
      </c>
      <c r="L1546" s="5" t="str">
        <f ca="1">IFERROR(__xludf.DUMMYFUNCTION("""COMPUTED_VALUE"""),"Winter")</f>
        <v>Winter</v>
      </c>
      <c r="M1546" s="5" t="str">
        <f ca="1">IFERROR(__xludf.DUMMYFUNCTION("""COMPUTED_VALUE"""),"Seattle")</f>
        <v>Seattle</v>
      </c>
      <c r="N1546" s="5" t="str">
        <f ca="1">IFERROR(__xludf.DUMMYFUNCTION("""COMPUTED_VALUE"""),"WA")</f>
        <v>WA</v>
      </c>
      <c r="O1546" s="5" t="str">
        <f ca="1">IFERROR(__xludf.DUMMYFUNCTION("""COMPUTED_VALUE"""),"High")</f>
        <v>High</v>
      </c>
      <c r="P1546" s="5" t="str">
        <f ca="1">IFERROR(__xludf.DUMMYFUNCTION("""COMPUTED_VALUE"""),"Cafeteria")</f>
        <v>Cafeteria</v>
      </c>
      <c r="Q1546" s="5" t="str">
        <f ca="1">IFERROR(__xludf.DUMMYFUNCTION("""COMPUTED_VALUE"""),"Inside School Building")</f>
        <v>Inside School Building</v>
      </c>
      <c r="R1546" s="5" t="str">
        <f ca="1">IFERROR(__xludf.DUMMYFUNCTION("""COMPUTED_VALUE"""),"Yes")</f>
        <v>Yes</v>
      </c>
      <c r="S1546" s="5"/>
      <c r="T1546" s="5"/>
      <c r="U1546" s="5">
        <f ca="1">IFERROR(__xludf.DUMMYFUNCTION("""COMPUTED_VALUE"""),4)</f>
        <v>4</v>
      </c>
      <c r="V1546" s="5" t="str">
        <f ca="1">IFERROR(__xludf.DUMMYFUNCTION("""COMPUTED_VALUE"""),"Left school to get gun after fight, returned and shot victim")</f>
        <v>Left school to get gun after fight, returned and shot victim</v>
      </c>
      <c r="W1546"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X1546" s="5" t="str">
        <f ca="1">IFERROR(__xludf.DUMMYFUNCTION("""COMPUTED_VALUE"""),"Escalation of Dispute")</f>
        <v>Escalation of Dispute</v>
      </c>
      <c r="Y1546" s="5" t="str">
        <f ca="1">IFERROR(__xludf.DUMMYFUNCTION("""COMPUTED_VALUE"""),"Victims Targeted")</f>
        <v>Victims Targeted</v>
      </c>
      <c r="Z1546" s="5" t="str">
        <f ca="1">IFERROR(__xludf.DUMMYFUNCTION("""COMPUTED_VALUE"""),"No")</f>
        <v>No</v>
      </c>
      <c r="AA1546" s="5"/>
      <c r="AB1546" s="5" t="str">
        <f ca="1">IFERROR(__xludf.DUMMYFUNCTION("""COMPUTED_VALUE"""),"No")</f>
        <v>No</v>
      </c>
      <c r="AC1546" s="5" t="str">
        <f ca="1">IFERROR(__xludf.DUMMYFUNCTION("""COMPUTED_VALUE"""),"No")</f>
        <v>No</v>
      </c>
      <c r="AD1546" s="5" t="str">
        <f ca="1">IFERROR(__xludf.DUMMYFUNCTION("""COMPUTED_VALUE"""),"No")</f>
        <v>No</v>
      </c>
      <c r="AE1546" s="5"/>
      <c r="AF1546" s="5" t="str">
        <f ca="1">IFERROR(__xludf.DUMMYFUNCTION("""COMPUTED_VALUE"""),"No")</f>
        <v>No</v>
      </c>
      <c r="AG1546" s="5" t="str">
        <f ca="1">IFERROR(__xludf.DUMMYFUNCTION("""COMPUTED_VALUE"""),"No")</f>
        <v>No</v>
      </c>
      <c r="AH1546" s="5"/>
    </row>
    <row r="1547" spans="1:34" ht="12.75">
      <c r="A1547" s="5" t="str">
        <f ca="1">IFERROR(__xludf.DUMMYFUNCTION("""COMPUTED_VALUE"""),"19950110FLPAP")</f>
        <v>19950110FLPAP</v>
      </c>
      <c r="B1547" s="8">
        <f ca="1">IFERROR(__xludf.DUMMYFUNCTION("""COMPUTED_VALUE"""),34709)</f>
        <v>34709</v>
      </c>
      <c r="C1547" s="5" t="str">
        <f ca="1">IFERROR(__xludf.DUMMYFUNCTION("""COMPUTED_VALUE"""),"Palm Beach Gardens High School")</f>
        <v>Palm Beach Gardens High School</v>
      </c>
      <c r="D1547" s="5">
        <f ca="1">IFERROR(__xludf.DUMMYFUNCTION("""COMPUTED_VALUE"""),0)</f>
        <v>0</v>
      </c>
      <c r="E1547" s="5">
        <f ca="1">IFERROR(__xludf.DUMMYFUNCTION("""COMPUTED_VALUE"""),0)</f>
        <v>0</v>
      </c>
      <c r="F1547" s="5">
        <f ca="1">IFERROR(__xludf.DUMMYFUNCTION("""COMPUTED_VALUE"""),0)</f>
        <v>0</v>
      </c>
      <c r="G1547" s="5">
        <f ca="1">IFERROR(__xludf.DUMMYFUNCTION("""COMPUTED_VALUE"""),1)</f>
        <v>1</v>
      </c>
      <c r="H1547" s="9" t="str">
        <f ca="1">IFERROR(__xludf.DUMMYFUNCTION("""COMPUTED_VALUE"""),"http://articles.sun-sentinel.com/1995-01-12/news/9501120169_1_high-schools-gun-school-administrators")</f>
        <v>http://articles.sun-sentinel.com/1995-01-12/news/9501120169_1_high-schools-gun-school-administrators</v>
      </c>
      <c r="I1547" s="5"/>
      <c r="J1547" s="5"/>
      <c r="K1547" s="5">
        <f ca="1">IFERROR(__xludf.DUMMYFUNCTION("""COMPUTED_VALUE"""),2)</f>
        <v>2</v>
      </c>
      <c r="L1547" s="5" t="str">
        <f ca="1">IFERROR(__xludf.DUMMYFUNCTION("""COMPUTED_VALUE"""),"Winter")</f>
        <v>Winter</v>
      </c>
      <c r="M1547" s="5" t="str">
        <f ca="1">IFERROR(__xludf.DUMMYFUNCTION("""COMPUTED_VALUE"""),"Palm Beach Gardens")</f>
        <v>Palm Beach Gardens</v>
      </c>
      <c r="N1547" s="5" t="str">
        <f ca="1">IFERROR(__xludf.DUMMYFUNCTION("""COMPUTED_VALUE"""),"FL")</f>
        <v>FL</v>
      </c>
      <c r="O1547" s="5" t="str">
        <f ca="1">IFERROR(__xludf.DUMMYFUNCTION("""COMPUTED_VALUE"""),"High")</f>
        <v>High</v>
      </c>
      <c r="P1547" s="5" t="str">
        <f ca="1">IFERROR(__xludf.DUMMYFUNCTION("""COMPUTED_VALUE"""),"Courtyard")</f>
        <v>Courtyard</v>
      </c>
      <c r="Q1547" s="5" t="str">
        <f ca="1">IFERROR(__xludf.DUMMYFUNCTION("""COMPUTED_VALUE"""),"Outside on School Property")</f>
        <v>Outside on School Property</v>
      </c>
      <c r="R1547" s="5" t="str">
        <f ca="1">IFERROR(__xludf.DUMMYFUNCTION("""COMPUTED_VALUE"""),"Yes")</f>
        <v>Yes</v>
      </c>
      <c r="S1547" s="5" t="str">
        <f ca="1">IFERROR(__xludf.DUMMYFUNCTION("""COMPUTED_VALUE"""),"Morning Classes")</f>
        <v>Morning Classes</v>
      </c>
      <c r="T1547" s="10">
        <f ca="1">IFERROR(__xludf.DUMMYFUNCTION("""COMPUTED_VALUE"""),0.4375)</f>
        <v>0.4375</v>
      </c>
      <c r="U1547" s="5">
        <f ca="1">IFERROR(__xludf.DUMMYFUNCTION("""COMPUTED_VALUE"""),1)</f>
        <v>1</v>
      </c>
      <c r="V1547" s="5" t="str">
        <f ca="1">IFERROR(__xludf.DUMMYFUNCTION("""COMPUTED_VALUE"""),"Student commit suicide in outdoor hallway")</f>
        <v>Student commit suicide in outdoor hallway</v>
      </c>
      <c r="W1547"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X1547" s="5" t="str">
        <f ca="1">IFERROR(__xludf.DUMMYFUNCTION("""COMPUTED_VALUE"""),"Suicide/Attempted")</f>
        <v>Suicide/Attempted</v>
      </c>
      <c r="Y1547" s="5" t="str">
        <f ca="1">IFERROR(__xludf.DUMMYFUNCTION("""COMPUTED_VALUE"""),"Victims Targeted")</f>
        <v>Victims Targeted</v>
      </c>
      <c r="Z1547" s="5" t="str">
        <f ca="1">IFERROR(__xludf.DUMMYFUNCTION("""COMPUTED_VALUE"""),"No")</f>
        <v>No</v>
      </c>
      <c r="AA1547" s="5"/>
      <c r="AB1547" s="5" t="str">
        <f ca="1">IFERROR(__xludf.DUMMYFUNCTION("""COMPUTED_VALUE"""),"No")</f>
        <v>No</v>
      </c>
      <c r="AC1547" s="5" t="str">
        <f ca="1">IFERROR(__xludf.DUMMYFUNCTION("""COMPUTED_VALUE"""),"No")</f>
        <v>No</v>
      </c>
      <c r="AD1547" s="5" t="str">
        <f ca="1">IFERROR(__xludf.DUMMYFUNCTION("""COMPUTED_VALUE"""),"No")</f>
        <v>No</v>
      </c>
      <c r="AE1547" s="5" t="str">
        <f ca="1">IFERROR(__xludf.DUMMYFUNCTION("""COMPUTED_VALUE"""),"No")</f>
        <v>No</v>
      </c>
      <c r="AF1547" s="5" t="str">
        <f ca="1">IFERROR(__xludf.DUMMYFUNCTION("""COMPUTED_VALUE"""),"No")</f>
        <v>No</v>
      </c>
      <c r="AG1547" s="5" t="str">
        <f ca="1">IFERROR(__xludf.DUMMYFUNCTION("""COMPUTED_VALUE"""),"No")</f>
        <v>No</v>
      </c>
      <c r="AH1547" s="5"/>
    </row>
    <row r="1548" spans="1:34" ht="12.75">
      <c r="A1548" s="5" t="str">
        <f ca="1">IFERROR(__xludf.DUMMYFUNCTION("""COMPUTED_VALUE"""),"19950105DCCAW")</f>
        <v>19950105DCCAW</v>
      </c>
      <c r="B1548" s="8">
        <f ca="1">IFERROR(__xludf.DUMMYFUNCTION("""COMPUTED_VALUE"""),34704)</f>
        <v>34704</v>
      </c>
      <c r="C1548" s="5" t="str">
        <f ca="1">IFERROR(__xludf.DUMMYFUNCTION("""COMPUTED_VALUE"""),"Cardozo Senior High School")</f>
        <v>Cardozo Senior High School</v>
      </c>
      <c r="D1548" s="5">
        <f ca="1">IFERROR(__xludf.DUMMYFUNCTION("""COMPUTED_VALUE"""),1)</f>
        <v>1</v>
      </c>
      <c r="E1548" s="5">
        <f ca="1">IFERROR(__xludf.DUMMYFUNCTION("""COMPUTED_VALUE"""),0)</f>
        <v>0</v>
      </c>
      <c r="F1548" s="5">
        <f ca="1">IFERROR(__xludf.DUMMYFUNCTION("""COMPUTED_VALUE"""),1)</f>
        <v>1</v>
      </c>
      <c r="G1548" s="5">
        <f ca="1">IFERROR(__xludf.DUMMYFUNCTION("""COMPUTED_VALUE"""),0)</f>
        <v>0</v>
      </c>
      <c r="H1548"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I1548" s="5"/>
      <c r="J1548" s="5"/>
      <c r="K1548" s="5">
        <f ca="1">IFERROR(__xludf.DUMMYFUNCTION("""COMPUTED_VALUE"""),3)</f>
        <v>3</v>
      </c>
      <c r="L1548" s="5" t="str">
        <f ca="1">IFERROR(__xludf.DUMMYFUNCTION("""COMPUTED_VALUE"""),"Winter")</f>
        <v>Winter</v>
      </c>
      <c r="M1548" s="5" t="str">
        <f ca="1">IFERROR(__xludf.DUMMYFUNCTION("""COMPUTED_VALUE"""),"Washington")</f>
        <v>Washington</v>
      </c>
      <c r="N1548" s="5" t="str">
        <f ca="1">IFERROR(__xludf.DUMMYFUNCTION("""COMPUTED_VALUE"""),"DC")</f>
        <v>DC</v>
      </c>
      <c r="O1548" s="5" t="str">
        <f ca="1">IFERROR(__xludf.DUMMYFUNCTION("""COMPUTED_VALUE"""),"High")</f>
        <v>High</v>
      </c>
      <c r="P1548" s="5" t="str">
        <f ca="1">IFERROR(__xludf.DUMMYFUNCTION("""COMPUTED_VALUE"""),"Entryway")</f>
        <v>Entryway</v>
      </c>
      <c r="Q1548" s="5" t="str">
        <f ca="1">IFERROR(__xludf.DUMMYFUNCTION("""COMPUTED_VALUE"""),"Inside School Building")</f>
        <v>Inside School Building</v>
      </c>
      <c r="R1548" s="5" t="str">
        <f ca="1">IFERROR(__xludf.DUMMYFUNCTION("""COMPUTED_VALUE"""),"Yes")</f>
        <v>Yes</v>
      </c>
      <c r="S1548" s="5" t="str">
        <f ca="1">IFERROR(__xludf.DUMMYFUNCTION("""COMPUTED_VALUE"""),"Lunch")</f>
        <v>Lunch</v>
      </c>
      <c r="T1548" s="10">
        <f ca="1">IFERROR(__xludf.DUMMYFUNCTION("""COMPUTED_VALUE"""),0.520833333333333)</f>
        <v>0.52083333333333304</v>
      </c>
      <c r="U1548" s="5">
        <f ca="1">IFERROR(__xludf.DUMMYFUNCTION("""COMPUTED_VALUE"""),1)</f>
        <v>1</v>
      </c>
      <c r="V1548" s="5" t="str">
        <f ca="1">IFERROR(__xludf.DUMMYFUNCTION("""COMPUTED_VALUE"""),"8 males entered the school seeking victim in retaliation for previous fight.")</f>
        <v>8 males entered the school seeking victim in retaliation for previous fight.</v>
      </c>
      <c r="W1548"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X1548" s="5" t="str">
        <f ca="1">IFERROR(__xludf.DUMMYFUNCTION("""COMPUTED_VALUE"""),"Escalation of Dispute")</f>
        <v>Escalation of Dispute</v>
      </c>
      <c r="Y1548" s="5" t="str">
        <f ca="1">IFERROR(__xludf.DUMMYFUNCTION("""COMPUTED_VALUE"""),"Both")</f>
        <v>Both</v>
      </c>
      <c r="Z1548" s="5" t="str">
        <f ca="1">IFERROR(__xludf.DUMMYFUNCTION("""COMPUTED_VALUE"""),"No")</f>
        <v>No</v>
      </c>
      <c r="AA1548" s="5" t="str">
        <f ca="1">IFERROR(__xludf.DUMMYFUNCTION("""COMPUTED_VALUE"""),"Philip Baines, 17 gave the shooter the gun")</f>
        <v>Philip Baines, 17 gave the shooter the gun</v>
      </c>
      <c r="AB1548" s="5" t="str">
        <f ca="1">IFERROR(__xludf.DUMMYFUNCTION("""COMPUTED_VALUE"""),"No")</f>
        <v>No</v>
      </c>
      <c r="AC1548" s="5" t="str">
        <f ca="1">IFERROR(__xludf.DUMMYFUNCTION("""COMPUTED_VALUE"""),"No")</f>
        <v>No</v>
      </c>
      <c r="AD1548" s="5" t="str">
        <f ca="1">IFERROR(__xludf.DUMMYFUNCTION("""COMPUTED_VALUE"""),"No")</f>
        <v>No</v>
      </c>
      <c r="AE1548" s="5" t="str">
        <f ca="1">IFERROR(__xludf.DUMMYFUNCTION("""COMPUTED_VALUE"""),"No")</f>
        <v>No</v>
      </c>
      <c r="AF1548" s="5" t="str">
        <f ca="1">IFERROR(__xludf.DUMMYFUNCTION("""COMPUTED_VALUE"""),"No")</f>
        <v>No</v>
      </c>
      <c r="AG1548" s="5" t="str">
        <f ca="1">IFERROR(__xludf.DUMMYFUNCTION("""COMPUTED_VALUE"""),"Yes")</f>
        <v>Yes</v>
      </c>
      <c r="AH1548" s="5" t="str">
        <f ca="1">IFERROR(__xludf.DUMMYFUNCTION("""COMPUTED_VALUE"""),"Yes")</f>
        <v>Yes</v>
      </c>
    </row>
    <row r="1549" spans="1:34" ht="12.75">
      <c r="A1549" s="5" t="str">
        <f ca="1">IFERROR(__xludf.DUMMYFUNCTION("""COMPUTED_VALUE"""),"19941115WASTT")</f>
        <v>19941115WASTT</v>
      </c>
      <c r="B1549" s="8">
        <f ca="1">IFERROR(__xludf.DUMMYFUNCTION("""COMPUTED_VALUE"""),34653)</f>
        <v>34653</v>
      </c>
      <c r="C1549" s="5" t="str">
        <f ca="1">IFERROR(__xludf.DUMMYFUNCTION("""COMPUTED_VALUE"""),"Stadium High School")</f>
        <v>Stadium High School</v>
      </c>
      <c r="D1549" s="5">
        <f ca="1">IFERROR(__xludf.DUMMYFUNCTION("""COMPUTED_VALUE"""),0)</f>
        <v>0</v>
      </c>
      <c r="E1549" s="5">
        <f ca="1">IFERROR(__xludf.DUMMYFUNCTION("""COMPUTED_VALUE"""),0)</f>
        <v>0</v>
      </c>
      <c r="F1549" s="5">
        <f ca="1">IFERROR(__xludf.DUMMYFUNCTION("""COMPUTED_VALUE"""),0)</f>
        <v>0</v>
      </c>
      <c r="G1549" s="5">
        <f ca="1">IFERROR(__xludf.DUMMYFUNCTION("""COMPUTED_VALUE"""),1)</f>
        <v>1</v>
      </c>
      <c r="H1549"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I1549" s="5"/>
      <c r="J1549" s="5"/>
      <c r="K1549" s="5">
        <f ca="1">IFERROR(__xludf.DUMMYFUNCTION("""COMPUTED_VALUE"""),1)</f>
        <v>1</v>
      </c>
      <c r="L1549" s="5" t="str">
        <f ca="1">IFERROR(__xludf.DUMMYFUNCTION("""COMPUTED_VALUE"""),"Fall")</f>
        <v>Fall</v>
      </c>
      <c r="M1549" s="5" t="str">
        <f ca="1">IFERROR(__xludf.DUMMYFUNCTION("""COMPUTED_VALUE"""),"Tacoma")</f>
        <v>Tacoma</v>
      </c>
      <c r="N1549" s="5" t="str">
        <f ca="1">IFERROR(__xludf.DUMMYFUNCTION("""COMPUTED_VALUE"""),"WA")</f>
        <v>WA</v>
      </c>
      <c r="O1549" s="5" t="str">
        <f ca="1">IFERROR(__xludf.DUMMYFUNCTION("""COMPUTED_VALUE"""),"High")</f>
        <v>High</v>
      </c>
      <c r="P1549" s="5" t="str">
        <f ca="1">IFERROR(__xludf.DUMMYFUNCTION("""COMPUTED_VALUE"""),"Hallway")</f>
        <v>Hallway</v>
      </c>
      <c r="Q1549" s="5" t="str">
        <f ca="1">IFERROR(__xludf.DUMMYFUNCTION("""COMPUTED_VALUE"""),"Inside School Building")</f>
        <v>Inside School Building</v>
      </c>
      <c r="R1549" s="5" t="str">
        <f ca="1">IFERROR(__xludf.DUMMYFUNCTION("""COMPUTED_VALUE"""),"Yes")</f>
        <v>Yes</v>
      </c>
      <c r="S1549" s="5" t="str">
        <f ca="1">IFERROR(__xludf.DUMMYFUNCTION("""COMPUTED_VALUE"""),"Lunch")</f>
        <v>Lunch</v>
      </c>
      <c r="T1549" s="5"/>
      <c r="U1549" s="5">
        <f ca="1">IFERROR(__xludf.DUMMYFUNCTION("""COMPUTED_VALUE"""),1)</f>
        <v>1</v>
      </c>
      <c r="V1549" s="5" t="str">
        <f ca="1">IFERROR(__xludf.DUMMYFUNCTION("""COMPUTED_VALUE"""),"Suicide in school hallway")</f>
        <v>Suicide in school hallway</v>
      </c>
      <c r="W1549"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X1549" s="5" t="str">
        <f ca="1">IFERROR(__xludf.DUMMYFUNCTION("""COMPUTED_VALUE"""),"Suicide/Attempted")</f>
        <v>Suicide/Attempted</v>
      </c>
      <c r="Y1549" s="5" t="str">
        <f ca="1">IFERROR(__xludf.DUMMYFUNCTION("""COMPUTED_VALUE"""),"Victims Targeted")</f>
        <v>Victims Targeted</v>
      </c>
      <c r="Z1549" s="5" t="str">
        <f ca="1">IFERROR(__xludf.DUMMYFUNCTION("""COMPUTED_VALUE"""),"No")</f>
        <v>No</v>
      </c>
      <c r="AA1549" s="5"/>
      <c r="AB1549" s="5" t="str">
        <f ca="1">IFERROR(__xludf.DUMMYFUNCTION("""COMPUTED_VALUE"""),"No")</f>
        <v>No</v>
      </c>
      <c r="AC1549" s="5" t="str">
        <f ca="1">IFERROR(__xludf.DUMMYFUNCTION("""COMPUTED_VALUE"""),"No")</f>
        <v>No</v>
      </c>
      <c r="AD1549" s="5" t="str">
        <f ca="1">IFERROR(__xludf.DUMMYFUNCTION("""COMPUTED_VALUE"""),"No")</f>
        <v>No</v>
      </c>
      <c r="AE1549" s="5" t="str">
        <f ca="1">IFERROR(__xludf.DUMMYFUNCTION("""COMPUTED_VALUE"""),"No")</f>
        <v>No</v>
      </c>
      <c r="AF1549" s="5" t="str">
        <f ca="1">IFERROR(__xludf.DUMMYFUNCTION("""COMPUTED_VALUE"""),"No")</f>
        <v>No</v>
      </c>
      <c r="AG1549" s="5" t="str">
        <f ca="1">IFERROR(__xludf.DUMMYFUNCTION("""COMPUTED_VALUE"""),"No")</f>
        <v>No</v>
      </c>
      <c r="AH1549" s="5"/>
    </row>
    <row r="1550" spans="1:34" ht="12.75">
      <c r="A1550" s="5" t="str">
        <f ca="1">IFERROR(__xludf.DUMMYFUNCTION("""COMPUTED_VALUE"""),"19941108IAWEM")</f>
        <v>19941108IAWEM</v>
      </c>
      <c r="B1550" s="8">
        <f ca="1">IFERROR(__xludf.DUMMYFUNCTION("""COMPUTED_VALUE"""),34646)</f>
        <v>34646</v>
      </c>
      <c r="C1550" s="5" t="str">
        <f ca="1">IFERROR(__xludf.DUMMYFUNCTION("""COMPUTED_VALUE"""),"West Delaware High School")</f>
        <v>West Delaware High School</v>
      </c>
      <c r="D1550" s="5">
        <f ca="1">IFERROR(__xludf.DUMMYFUNCTION("""COMPUTED_VALUE"""),0)</f>
        <v>0</v>
      </c>
      <c r="E1550" s="5">
        <f ca="1">IFERROR(__xludf.DUMMYFUNCTION("""COMPUTED_VALUE"""),1)</f>
        <v>1</v>
      </c>
      <c r="F1550" s="5">
        <f ca="1">IFERROR(__xludf.DUMMYFUNCTION("""COMPUTED_VALUE"""),1)</f>
        <v>1</v>
      </c>
      <c r="G1550" s="5">
        <f ca="1">IFERROR(__xludf.DUMMYFUNCTION("""COMPUTED_VALUE"""),0)</f>
        <v>0</v>
      </c>
      <c r="H1550"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I1550" s="5"/>
      <c r="J1550" s="5"/>
      <c r="K1550" s="5">
        <f ca="1">IFERROR(__xludf.DUMMYFUNCTION("""COMPUTED_VALUE"""),1)</f>
        <v>1</v>
      </c>
      <c r="L1550" s="5" t="str">
        <f ca="1">IFERROR(__xludf.DUMMYFUNCTION("""COMPUTED_VALUE"""),"Fall")</f>
        <v>Fall</v>
      </c>
      <c r="M1550" s="5" t="str">
        <f ca="1">IFERROR(__xludf.DUMMYFUNCTION("""COMPUTED_VALUE"""),"Manchester")</f>
        <v>Manchester</v>
      </c>
      <c r="N1550" s="5" t="str">
        <f ca="1">IFERROR(__xludf.DUMMYFUNCTION("""COMPUTED_VALUE"""),"IA")</f>
        <v>IA</v>
      </c>
      <c r="O1550" s="5" t="str">
        <f ca="1">IFERROR(__xludf.DUMMYFUNCTION("""COMPUTED_VALUE"""),"High")</f>
        <v>High</v>
      </c>
      <c r="P1550" s="5" t="str">
        <f ca="1">IFERROR(__xludf.DUMMYFUNCTION("""COMPUTED_VALUE"""),"Office")</f>
        <v>Office</v>
      </c>
      <c r="Q1550" s="5" t="str">
        <f ca="1">IFERROR(__xludf.DUMMYFUNCTION("""COMPUTED_VALUE"""),"Inside School Building")</f>
        <v>Inside School Building</v>
      </c>
      <c r="R1550" s="5" t="str">
        <f ca="1">IFERROR(__xludf.DUMMYFUNCTION("""COMPUTED_VALUE"""),"Yes")</f>
        <v>Yes</v>
      </c>
      <c r="S1550" s="5" t="str">
        <f ca="1">IFERROR(__xludf.DUMMYFUNCTION("""COMPUTED_VALUE"""),"Not a School Day")</f>
        <v>Not a School Day</v>
      </c>
      <c r="T1550" s="10">
        <f ca="1">IFERROR(__xludf.DUMMYFUNCTION("""COMPUTED_VALUE"""),0.583333333333333)</f>
        <v>0.58333333333333304</v>
      </c>
      <c r="U1550" s="5">
        <f ca="1">IFERROR(__xludf.DUMMYFUNCTION("""COMPUTED_VALUE"""),1)</f>
        <v>1</v>
      </c>
      <c r="V1550" s="5" t="str">
        <f ca="1">IFERROR(__xludf.DUMMYFUNCTION("""COMPUTED_VALUE"""),"Fired two shotgun shells from outside school administrator's office")</f>
        <v>Fired two shotgun shells from outside school administrator's office</v>
      </c>
      <c r="W1550"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X1550" s="5" t="str">
        <f ca="1">IFERROR(__xludf.DUMMYFUNCTION("""COMPUTED_VALUE"""),"Intentional Property Damage")</f>
        <v>Intentional Property Damage</v>
      </c>
      <c r="Y1550" s="5" t="str">
        <f ca="1">IFERROR(__xludf.DUMMYFUNCTION("""COMPUTED_VALUE"""),"Random Shooting")</f>
        <v>Random Shooting</v>
      </c>
      <c r="Z1550" s="5" t="str">
        <f ca="1">IFERROR(__xludf.DUMMYFUNCTION("""COMPUTED_VALUE"""),"No")</f>
        <v>No</v>
      </c>
      <c r="AA1550" s="5"/>
      <c r="AB1550" s="5" t="str">
        <f ca="1">IFERROR(__xludf.DUMMYFUNCTION("""COMPUTED_VALUE"""),"No")</f>
        <v>No</v>
      </c>
      <c r="AC1550" s="5" t="str">
        <f ca="1">IFERROR(__xludf.DUMMYFUNCTION("""COMPUTED_VALUE"""),"No")</f>
        <v>No</v>
      </c>
      <c r="AD1550" s="5" t="str">
        <f ca="1">IFERROR(__xludf.DUMMYFUNCTION("""COMPUTED_VALUE"""),"No")</f>
        <v>No</v>
      </c>
      <c r="AE1550" s="5" t="str">
        <f ca="1">IFERROR(__xludf.DUMMYFUNCTION("""COMPUTED_VALUE"""),"No")</f>
        <v>No</v>
      </c>
      <c r="AF1550" s="5" t="str">
        <f ca="1">IFERROR(__xludf.DUMMYFUNCTION("""COMPUTED_VALUE"""),"No")</f>
        <v>No</v>
      </c>
      <c r="AG1550" s="5" t="str">
        <f ca="1">IFERROR(__xludf.DUMMYFUNCTION("""COMPUTED_VALUE"""),"No")</f>
        <v>No</v>
      </c>
      <c r="AH1550" s="5"/>
    </row>
    <row r="1551" spans="1:34" ht="12.75">
      <c r="A1551" s="5" t="str">
        <f ca="1">IFERROR(__xludf.DUMMYFUNCTION("""COMPUTED_VALUE"""),"19941107OHWIW")</f>
        <v>19941107OHWIW</v>
      </c>
      <c r="B1551" s="8">
        <f ca="1">IFERROR(__xludf.DUMMYFUNCTION("""COMPUTED_VALUE"""),34645)</f>
        <v>34645</v>
      </c>
      <c r="C1551" s="5" t="str">
        <f ca="1">IFERROR(__xludf.DUMMYFUNCTION("""COMPUTED_VALUE"""),"Wickliffe Middle School")</f>
        <v>Wickliffe Middle School</v>
      </c>
      <c r="D1551" s="5">
        <f ca="1">IFERROR(__xludf.DUMMYFUNCTION("""COMPUTED_VALUE"""),1)</f>
        <v>1</v>
      </c>
      <c r="E1551" s="5">
        <f ca="1">IFERROR(__xludf.DUMMYFUNCTION("""COMPUTED_VALUE"""),4)</f>
        <v>4</v>
      </c>
      <c r="F1551" s="5">
        <f ca="1">IFERROR(__xludf.DUMMYFUNCTION("""COMPUTED_VALUE"""),5)</f>
        <v>5</v>
      </c>
      <c r="G1551" s="5">
        <f ca="1">IFERROR(__xludf.DUMMYFUNCTION("""COMPUTED_VALUE"""),0)</f>
        <v>0</v>
      </c>
      <c r="H1551"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I1551" s="5"/>
      <c r="J1551" s="5"/>
      <c r="K1551" s="5">
        <f ca="1">IFERROR(__xludf.DUMMYFUNCTION("""COMPUTED_VALUE"""),2)</f>
        <v>2</v>
      </c>
      <c r="L1551" s="5" t="str">
        <f ca="1">IFERROR(__xludf.DUMMYFUNCTION("""COMPUTED_VALUE"""),"Fall")</f>
        <v>Fall</v>
      </c>
      <c r="M1551" s="5" t="str">
        <f ca="1">IFERROR(__xludf.DUMMYFUNCTION("""COMPUTED_VALUE"""),"Wickliffe")</f>
        <v>Wickliffe</v>
      </c>
      <c r="N1551" s="5" t="str">
        <f ca="1">IFERROR(__xludf.DUMMYFUNCTION("""COMPUTED_VALUE"""),"OH")</f>
        <v>OH</v>
      </c>
      <c r="O1551" s="5" t="str">
        <f ca="1">IFERROR(__xludf.DUMMYFUNCTION("""COMPUTED_VALUE"""),"Middle")</f>
        <v>Middle</v>
      </c>
      <c r="P1551" s="5" t="str">
        <f ca="1">IFERROR(__xludf.DUMMYFUNCTION("""COMPUTED_VALUE"""),"Hallway")</f>
        <v>Hallway</v>
      </c>
      <c r="Q1551" s="5" t="str">
        <f ca="1">IFERROR(__xludf.DUMMYFUNCTION("""COMPUTED_VALUE"""),"Inside School Building")</f>
        <v>Inside School Building</v>
      </c>
      <c r="R1551" s="5" t="str">
        <f ca="1">IFERROR(__xludf.DUMMYFUNCTION("""COMPUTED_VALUE"""),"Yes")</f>
        <v>Yes</v>
      </c>
      <c r="S1551" s="5"/>
      <c r="T1551" s="5"/>
      <c r="U1551" s="5"/>
      <c r="V1551" s="5" t="str">
        <f ca="1">IFERROR(__xludf.DUMMYFUNCTION("""COMPUTED_VALUE"""),"Stopped taking medications, fired at multiple school employees")</f>
        <v>Stopped taking medications, fired at multiple school employees</v>
      </c>
      <c r="W1551"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X1551" s="5" t="str">
        <f ca="1">IFERROR(__xludf.DUMMYFUNCTION("""COMPUTED_VALUE"""),"Psychosis")</f>
        <v>Psychosis</v>
      </c>
      <c r="Y1551" s="5" t="str">
        <f ca="1">IFERROR(__xludf.DUMMYFUNCTION("""COMPUTED_VALUE"""),"Random Shooting")</f>
        <v>Random Shooting</v>
      </c>
      <c r="Z1551" s="5" t="str">
        <f ca="1">IFERROR(__xludf.DUMMYFUNCTION("""COMPUTED_VALUE"""),"No")</f>
        <v>No</v>
      </c>
      <c r="AA1551" s="5"/>
      <c r="AB1551" s="5" t="str">
        <f ca="1">IFERROR(__xludf.DUMMYFUNCTION("""COMPUTED_VALUE"""),"No")</f>
        <v>No</v>
      </c>
      <c r="AC1551" s="5" t="str">
        <f ca="1">IFERROR(__xludf.DUMMYFUNCTION("""COMPUTED_VALUE"""),"Yes")</f>
        <v>Yes</v>
      </c>
      <c r="AD1551" s="5" t="str">
        <f ca="1">IFERROR(__xludf.DUMMYFUNCTION("""COMPUTED_VALUE"""),"No")</f>
        <v>No</v>
      </c>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IFERROR(__xludf.DUMMYFUNCTION("""COMPUTED_VALUE"""),"Yes")</f>
        <v>Yes</v>
      </c>
    </row>
    <row r="1552" spans="1:34" ht="12.75">
      <c r="A1552" s="5" t="str">
        <f ca="1">IFERROR(__xludf.DUMMYFUNCTION("""COMPUTED_VALUE"""),"19941105CATHS")</f>
        <v>19941105CATHS</v>
      </c>
      <c r="B1552" s="8">
        <f ca="1">IFERROR(__xludf.DUMMYFUNCTION("""COMPUTED_VALUE"""),34643)</f>
        <v>34643</v>
      </c>
      <c r="C1552" s="5" t="str">
        <f ca="1">IFERROR(__xludf.DUMMYFUNCTION("""COMPUTED_VALUE"""),"Thomas Jefferson Elementary School")</f>
        <v>Thomas Jefferson Elementary School</v>
      </c>
      <c r="D1552" s="5">
        <f ca="1">IFERROR(__xludf.DUMMYFUNCTION("""COMPUTED_VALUE"""),1)</f>
        <v>1</v>
      </c>
      <c r="E1552" s="5">
        <f ca="1">IFERROR(__xludf.DUMMYFUNCTION("""COMPUTED_VALUE"""),0)</f>
        <v>0</v>
      </c>
      <c r="F1552" s="5">
        <f ca="1">IFERROR(__xludf.DUMMYFUNCTION("""COMPUTED_VALUE"""),1)</f>
        <v>1</v>
      </c>
      <c r="G1552" s="5">
        <f ca="1">IFERROR(__xludf.DUMMYFUNCTION("""COMPUTED_VALUE"""),0)</f>
        <v>0</v>
      </c>
      <c r="H1552" s="9" t="str">
        <f ca="1">IFERROR(__xludf.DUMMYFUNCTION("""COMPUTED_VALUE"""),"https://www.sfgate.com/bayarea/article/SAN-LEANDRO-Suspect-named-in-1994-slaying-2596999.php")</f>
        <v>https://www.sfgate.com/bayarea/article/SAN-LEANDRO-Suspect-named-in-1994-slaying-2596999.php</v>
      </c>
      <c r="I1552" s="5"/>
      <c r="J1552" s="5"/>
      <c r="K1552" s="5">
        <f ca="1">IFERROR(__xludf.DUMMYFUNCTION("""COMPUTED_VALUE"""),4)</f>
        <v>4</v>
      </c>
      <c r="L1552" s="5" t="str">
        <f ca="1">IFERROR(__xludf.DUMMYFUNCTION("""COMPUTED_VALUE"""),"Fall")</f>
        <v>Fall</v>
      </c>
      <c r="M1552" s="5" t="str">
        <f ca="1">IFERROR(__xludf.DUMMYFUNCTION("""COMPUTED_VALUE"""),"San Leandro")</f>
        <v>San Leandro</v>
      </c>
      <c r="N1552" s="5" t="str">
        <f ca="1">IFERROR(__xludf.DUMMYFUNCTION("""COMPUTED_VALUE"""),"CA")</f>
        <v>CA</v>
      </c>
      <c r="O1552" s="5" t="str">
        <f ca="1">IFERROR(__xludf.DUMMYFUNCTION("""COMPUTED_VALUE"""),"Elementary")</f>
        <v>Elementary</v>
      </c>
      <c r="P1552" s="5" t="str">
        <f ca="1">IFERROR(__xludf.DUMMYFUNCTION("""COMPUTED_VALUE"""),"Field (General)")</f>
        <v>Field (General)</v>
      </c>
      <c r="Q1552" s="5" t="str">
        <f ca="1">IFERROR(__xludf.DUMMYFUNCTION("""COMPUTED_VALUE"""),"Outside on School Property")</f>
        <v>Outside on School Property</v>
      </c>
      <c r="R1552" s="5" t="str">
        <f ca="1">IFERROR(__xludf.DUMMYFUNCTION("""COMPUTED_VALUE"""),"No")</f>
        <v>No</v>
      </c>
      <c r="S1552" s="5" t="str">
        <f ca="1">IFERROR(__xludf.DUMMYFUNCTION("""COMPUTED_VALUE"""),"Night")</f>
        <v>Night</v>
      </c>
      <c r="T1552" s="5"/>
      <c r="U1552" s="5"/>
      <c r="V1552" s="5" t="str">
        <f ca="1">IFERROR(__xludf.DUMMYFUNCTION("""COMPUTED_VALUE"""),"Female teenager (non-student) killed outside of school while walking home by unknown male")</f>
        <v>Female teenager (non-student) killed outside of school while walking home by unknown male</v>
      </c>
      <c r="W1552"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X1552" s="5" t="str">
        <f ca="1">IFERROR(__xludf.DUMMYFUNCTION("""COMPUTED_VALUE"""),"Unknown")</f>
        <v>Unknown</v>
      </c>
      <c r="Y1552" s="5" t="str">
        <f ca="1">IFERROR(__xludf.DUMMYFUNCTION("""COMPUTED_VALUE"""),"Victims Targeted")</f>
        <v>Victims Targeted</v>
      </c>
      <c r="Z1552" s="5" t="str">
        <f ca="1">IFERROR(__xludf.DUMMYFUNCTION("""COMPUTED_VALUE"""),"No")</f>
        <v>No</v>
      </c>
      <c r="AA1552" s="5"/>
      <c r="AB1552" s="5" t="str">
        <f ca="1">IFERROR(__xludf.DUMMYFUNCTION("""COMPUTED_VALUE"""),"No")</f>
        <v>No</v>
      </c>
      <c r="AC1552" s="5" t="str">
        <f ca="1">IFERROR(__xludf.DUMMYFUNCTION("""COMPUTED_VALUE"""),"No")</f>
        <v>No</v>
      </c>
      <c r="AD1552" s="5" t="str">
        <f ca="1">IFERROR(__xludf.DUMMYFUNCTION("""COMPUTED_VALUE"""),"No")</f>
        <v>No</v>
      </c>
      <c r="AE1552" s="5" t="str">
        <f ca="1">IFERROR(__xludf.DUMMYFUNCTION("""COMPUTED_VALUE"""),"No")</f>
        <v>No</v>
      </c>
      <c r="AF1552" s="5"/>
      <c r="AG1552" s="5" t="str">
        <f ca="1">IFERROR(__xludf.DUMMYFUNCTION("""COMPUTED_VALUE"""),"No")</f>
        <v>No</v>
      </c>
      <c r="AH1552" s="5"/>
    </row>
    <row r="1553" spans="1:34" ht="12.75">
      <c r="A1553" s="5" t="str">
        <f ca="1">IFERROR(__xludf.DUMMYFUNCTION("""COMPUTED_VALUE"""),"19941031CAALA")</f>
        <v>19941031CAALA</v>
      </c>
      <c r="B1553" s="8">
        <f ca="1">IFERROR(__xludf.DUMMYFUNCTION("""COMPUTED_VALUE"""),34638)</f>
        <v>34638</v>
      </c>
      <c r="C1553" s="5" t="str">
        <f ca="1">IFERROR(__xludf.DUMMYFUNCTION("""COMPUTED_VALUE"""),"Aliso Niguel High school")</f>
        <v>Aliso Niguel High school</v>
      </c>
      <c r="D1553" s="5">
        <f ca="1">IFERROR(__xludf.DUMMYFUNCTION("""COMPUTED_VALUE"""),0)</f>
        <v>0</v>
      </c>
      <c r="E1553" s="5">
        <f ca="1">IFERROR(__xludf.DUMMYFUNCTION("""COMPUTED_VALUE"""),0)</f>
        <v>0</v>
      </c>
      <c r="F1553" s="5">
        <f ca="1">IFERROR(__xludf.DUMMYFUNCTION("""COMPUTED_VALUE"""),0)</f>
        <v>0</v>
      </c>
      <c r="G1553" s="5">
        <f ca="1">IFERROR(__xludf.DUMMYFUNCTION("""COMPUTED_VALUE"""),0)</f>
        <v>0</v>
      </c>
      <c r="H1553" s="9" t="str">
        <f ca="1">IFERROR(__xludf.DUMMYFUNCTION("""COMPUTED_VALUE"""),"http://articles.latimes.com/1994-11-01/local/me-57381_1_aliso-niguel-high-student")</f>
        <v>http://articles.latimes.com/1994-11-01/local/me-57381_1_aliso-niguel-high-student</v>
      </c>
      <c r="I1553" s="5"/>
      <c r="J1553" s="5"/>
      <c r="K1553" s="5">
        <f ca="1">IFERROR(__xludf.DUMMYFUNCTION("""COMPUTED_VALUE"""),2)</f>
        <v>2</v>
      </c>
      <c r="L1553" s="5" t="str">
        <f ca="1">IFERROR(__xludf.DUMMYFUNCTION("""COMPUTED_VALUE"""),"Fall")</f>
        <v>Fall</v>
      </c>
      <c r="M1553" s="5" t="str">
        <f ca="1">IFERROR(__xludf.DUMMYFUNCTION("""COMPUTED_VALUE"""),"Aliso Veijo")</f>
        <v>Aliso Veijo</v>
      </c>
      <c r="N1553" s="5" t="str">
        <f ca="1">IFERROR(__xludf.DUMMYFUNCTION("""COMPUTED_VALUE"""),"CA")</f>
        <v>CA</v>
      </c>
      <c r="O1553" s="5" t="str">
        <f ca="1">IFERROR(__xludf.DUMMYFUNCTION("""COMPUTED_VALUE"""),"High")</f>
        <v>High</v>
      </c>
      <c r="P1553" s="5" t="str">
        <f ca="1">IFERROR(__xludf.DUMMYFUNCTION("""COMPUTED_VALUE"""),"Classroom")</f>
        <v>Classroom</v>
      </c>
      <c r="Q1553" s="5" t="str">
        <f ca="1">IFERROR(__xludf.DUMMYFUNCTION("""COMPUTED_VALUE"""),"Inside School Building")</f>
        <v>Inside School Building</v>
      </c>
      <c r="R1553" s="5" t="str">
        <f ca="1">IFERROR(__xludf.DUMMYFUNCTION("""COMPUTED_VALUE"""),"Yes")</f>
        <v>Yes</v>
      </c>
      <c r="S1553" s="5" t="str">
        <f ca="1">IFERROR(__xludf.DUMMYFUNCTION("""COMPUTED_VALUE"""),"Afternoon Classes")</f>
        <v>Afternoon Classes</v>
      </c>
      <c r="T1553" s="10">
        <f ca="1">IFERROR(__xludf.DUMMYFUNCTION("""COMPUTED_VALUE"""),0.530555555555555)</f>
        <v>0.530555555555555</v>
      </c>
      <c r="U1553" s="5">
        <f ca="1">IFERROR(__xludf.DUMMYFUNCTION("""COMPUTED_VALUE"""),1)</f>
        <v>1</v>
      </c>
      <c r="V1553" s="5" t="str">
        <f ca="1">IFERROR(__xludf.DUMMYFUNCTION("""COMPUTED_VALUE"""),"Distraught over girlfriend breakup - attempted suicide in classroom with weapon")</f>
        <v>Distraught over girlfriend breakup - attempted suicide in classroom with weapon</v>
      </c>
      <c r="W1553"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X1553" s="5" t="str">
        <f ca="1">IFERROR(__xludf.DUMMYFUNCTION("""COMPUTED_VALUE"""),"Suicide/Attempted")</f>
        <v>Suicide/Attempted</v>
      </c>
      <c r="Y1553" s="5" t="str">
        <f ca="1">IFERROR(__xludf.DUMMYFUNCTION("""COMPUTED_VALUE"""),"Victims Targeted")</f>
        <v>Victims Targeted</v>
      </c>
      <c r="Z1553" s="5" t="str">
        <f ca="1">IFERROR(__xludf.DUMMYFUNCTION("""COMPUTED_VALUE"""),"No")</f>
        <v>No</v>
      </c>
      <c r="AA1553" s="5"/>
      <c r="AB1553" s="5" t="str">
        <f ca="1">IFERROR(__xludf.DUMMYFUNCTION("""COMPUTED_VALUE"""),"No")</f>
        <v>No</v>
      </c>
      <c r="AC1553" s="5" t="str">
        <f ca="1">IFERROR(__xludf.DUMMYFUNCTION("""COMPUTED_VALUE"""),"No")</f>
        <v>No</v>
      </c>
      <c r="AD1553" s="5" t="str">
        <f ca="1">IFERROR(__xludf.DUMMYFUNCTION("""COMPUTED_VALUE"""),"No")</f>
        <v>No</v>
      </c>
      <c r="AE1553" s="5" t="str">
        <f ca="1">IFERROR(__xludf.DUMMYFUNCTION("""COMPUTED_VALUE"""),"No")</f>
        <v>No</v>
      </c>
      <c r="AF1553" s="5" t="str">
        <f ca="1">IFERROR(__xludf.DUMMYFUNCTION("""COMPUTED_VALUE"""),"Yes")</f>
        <v>Yes</v>
      </c>
      <c r="AG1553" s="5" t="str">
        <f ca="1">IFERROR(__xludf.DUMMYFUNCTION("""COMPUTED_VALUE"""),"No")</f>
        <v>No</v>
      </c>
      <c r="AH1553" s="5"/>
    </row>
    <row r="1554" spans="1:34" ht="12.75">
      <c r="A1554" s="5" t="str">
        <f ca="1">IFERROR(__xludf.DUMMYFUNCTION("""COMPUTED_VALUE"""),"19941017ILHUC")</f>
        <v>19941017ILHUC</v>
      </c>
      <c r="B1554" s="8">
        <f ca="1">IFERROR(__xludf.DUMMYFUNCTION("""COMPUTED_VALUE"""),34624)</f>
        <v>34624</v>
      </c>
      <c r="C1554" s="5" t="str">
        <f ca="1">IFERROR(__xludf.DUMMYFUNCTION("""COMPUTED_VALUE"""),"Hubbard High School")</f>
        <v>Hubbard High School</v>
      </c>
      <c r="D1554" s="5">
        <f ca="1">IFERROR(__xludf.DUMMYFUNCTION("""COMPUTED_VALUE"""),0)</f>
        <v>0</v>
      </c>
      <c r="E1554" s="5">
        <f ca="1">IFERROR(__xludf.DUMMYFUNCTION("""COMPUTED_VALUE"""),1)</f>
        <v>1</v>
      </c>
      <c r="F1554" s="5">
        <f ca="1">IFERROR(__xludf.DUMMYFUNCTION("""COMPUTED_VALUE"""),1)</f>
        <v>1</v>
      </c>
      <c r="G1554" s="5">
        <f ca="1">IFERROR(__xludf.DUMMYFUNCTION("""COMPUTED_VALUE"""),0)</f>
        <v>0</v>
      </c>
      <c r="H1554" s="9" t="str">
        <f ca="1">IFERROR(__xludf.DUMMYFUNCTION("""COMPUTED_VALUE"""),"http://articles.chicagotribune.com/1994-10-18/news/9410180247_1_female-student-was-shot-christ-hospital-flesh-wound")</f>
        <v>http://articles.chicagotribune.com/1994-10-18/news/9410180247_1_female-student-was-shot-christ-hospital-flesh-wound</v>
      </c>
      <c r="I1554" s="5"/>
      <c r="J1554" s="5"/>
      <c r="K1554" s="5">
        <f ca="1">IFERROR(__xludf.DUMMYFUNCTION("""COMPUTED_VALUE"""),2)</f>
        <v>2</v>
      </c>
      <c r="L1554" s="5" t="str">
        <f ca="1">IFERROR(__xludf.DUMMYFUNCTION("""COMPUTED_VALUE"""),"Fall")</f>
        <v>Fall</v>
      </c>
      <c r="M1554" s="5" t="str">
        <f ca="1">IFERROR(__xludf.DUMMYFUNCTION("""COMPUTED_VALUE"""),"Chicago")</f>
        <v>Chicago</v>
      </c>
      <c r="N1554" s="5" t="str">
        <f ca="1">IFERROR(__xludf.DUMMYFUNCTION("""COMPUTED_VALUE"""),"IL")</f>
        <v>IL</v>
      </c>
      <c r="O1554" s="5" t="str">
        <f ca="1">IFERROR(__xludf.DUMMYFUNCTION("""COMPUTED_VALUE"""),"High")</f>
        <v>High</v>
      </c>
      <c r="P1554" s="5" t="str">
        <f ca="1">IFERROR(__xludf.DUMMYFUNCTION("""COMPUTED_VALUE"""),"Front of School")</f>
        <v>Front of School</v>
      </c>
      <c r="Q1554" s="5" t="str">
        <f ca="1">IFERROR(__xludf.DUMMYFUNCTION("""COMPUTED_VALUE"""),"Outside on School Property")</f>
        <v>Outside on School Property</v>
      </c>
      <c r="R1554" s="5" t="str">
        <f ca="1">IFERROR(__xludf.DUMMYFUNCTION("""COMPUTED_VALUE"""),"Yes")</f>
        <v>Yes</v>
      </c>
      <c r="S1554" s="5" t="str">
        <f ca="1">IFERROR(__xludf.DUMMYFUNCTION("""COMPUTED_VALUE"""),"Dismissal")</f>
        <v>Dismissal</v>
      </c>
      <c r="T1554" s="10">
        <f ca="1">IFERROR(__xludf.DUMMYFUNCTION("""COMPUTED_VALUE"""),0.59375)</f>
        <v>0.59375</v>
      </c>
      <c r="U1554" s="5">
        <f ca="1">IFERROR(__xludf.DUMMYFUNCTION("""COMPUTED_VALUE"""),1)</f>
        <v>1</v>
      </c>
      <c r="V1554" s="5" t="str">
        <f ca="1">IFERROR(__xludf.DUMMYFUNCTION("""COMPUTED_VALUE"""),"Gang related shooting, bystander student hit")</f>
        <v>Gang related shooting, bystander student hit</v>
      </c>
      <c r="W1554"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X1554" s="5" t="str">
        <f ca="1">IFERROR(__xludf.DUMMYFUNCTION("""COMPUTED_VALUE"""),"Drive-by Shooting")</f>
        <v>Drive-by Shooting</v>
      </c>
      <c r="Y1554" s="5" t="str">
        <f ca="1">IFERROR(__xludf.DUMMYFUNCTION("""COMPUTED_VALUE"""),"Both")</f>
        <v>Both</v>
      </c>
      <c r="Z1554" s="5" t="str">
        <f ca="1">IFERROR(__xludf.DUMMYFUNCTION("""COMPUTED_VALUE"""),"No")</f>
        <v>No</v>
      </c>
      <c r="AA1554" s="5"/>
      <c r="AB1554" s="5" t="str">
        <f ca="1">IFERROR(__xludf.DUMMYFUNCTION("""COMPUTED_VALUE"""),"No")</f>
        <v>No</v>
      </c>
      <c r="AC1554" s="5" t="str">
        <f ca="1">IFERROR(__xludf.DUMMYFUNCTION("""COMPUTED_VALUE"""),"No")</f>
        <v>No</v>
      </c>
      <c r="AD1554" s="5" t="str">
        <f ca="1">IFERROR(__xludf.DUMMYFUNCTION("""COMPUTED_VALUE"""),"No")</f>
        <v>No</v>
      </c>
      <c r="AE1554" s="5" t="str">
        <f ca="1">IFERROR(__xludf.DUMMYFUNCTION("""COMPUTED_VALUE"""),"No")</f>
        <v>No</v>
      </c>
      <c r="AF1554" s="5" t="str">
        <f ca="1">IFERROR(__xludf.DUMMYFUNCTION("""COMPUTED_VALUE"""),"No")</f>
        <v>No</v>
      </c>
      <c r="AG1554" s="5" t="str">
        <f ca="1">IFERROR(__xludf.DUMMYFUNCTION("""COMPUTED_VALUE"""),"Yes")</f>
        <v>Yes</v>
      </c>
      <c r="AH1554" s="5"/>
    </row>
    <row r="1555" spans="1:34" ht="12.75">
      <c r="A1555" s="5" t="str">
        <f ca="1">IFERROR(__xludf.DUMMYFUNCTION("""COMPUTED_VALUE"""),"19941012NCGRG")</f>
        <v>19941012NCGRG</v>
      </c>
      <c r="B1555" s="8">
        <f ca="1">IFERROR(__xludf.DUMMYFUNCTION("""COMPUTED_VALUE"""),34619)</f>
        <v>34619</v>
      </c>
      <c r="C1555" s="5" t="str">
        <f ca="1">IFERROR(__xludf.DUMMYFUNCTION("""COMPUTED_VALUE"""),"Grimsley High School")</f>
        <v>Grimsley High School</v>
      </c>
      <c r="D1555" s="5">
        <f ca="1">IFERROR(__xludf.DUMMYFUNCTION("""COMPUTED_VALUE"""),0)</f>
        <v>0</v>
      </c>
      <c r="E1555" s="5">
        <f ca="1">IFERROR(__xludf.DUMMYFUNCTION("""COMPUTED_VALUE"""),1)</f>
        <v>1</v>
      </c>
      <c r="F1555" s="5">
        <f ca="1">IFERROR(__xludf.DUMMYFUNCTION("""COMPUTED_VALUE"""),1)</f>
        <v>1</v>
      </c>
      <c r="G1555" s="5">
        <f ca="1">IFERROR(__xludf.DUMMYFUNCTION("""COMPUTED_VALUE"""),1)</f>
        <v>1</v>
      </c>
      <c r="H1555"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I1555" s="5"/>
      <c r="J1555" s="5"/>
      <c r="K1555" s="5">
        <f ca="1">IFERROR(__xludf.DUMMYFUNCTION("""COMPUTED_VALUE"""),3)</f>
        <v>3</v>
      </c>
      <c r="L1555" s="5" t="str">
        <f ca="1">IFERROR(__xludf.DUMMYFUNCTION("""COMPUTED_VALUE"""),"Fall")</f>
        <v>Fall</v>
      </c>
      <c r="M1555" s="5" t="str">
        <f ca="1">IFERROR(__xludf.DUMMYFUNCTION("""COMPUTED_VALUE"""),"Greensboro")</f>
        <v>Greensboro</v>
      </c>
      <c r="N1555" s="5" t="str">
        <f ca="1">IFERROR(__xludf.DUMMYFUNCTION("""COMPUTED_VALUE"""),"NC")</f>
        <v>NC</v>
      </c>
      <c r="O1555" s="5" t="str">
        <f ca="1">IFERROR(__xludf.DUMMYFUNCTION("""COMPUTED_VALUE"""),"High")</f>
        <v>High</v>
      </c>
      <c r="P1555" s="5" t="str">
        <f ca="1">IFERROR(__xludf.DUMMYFUNCTION("""COMPUTED_VALUE"""),"Parking Lot")</f>
        <v>Parking Lot</v>
      </c>
      <c r="Q1555" s="5" t="str">
        <f ca="1">IFERROR(__xludf.DUMMYFUNCTION("""COMPUTED_VALUE"""),"Outside on School Property")</f>
        <v>Outside on School Property</v>
      </c>
      <c r="R1555" s="5" t="str">
        <f ca="1">IFERROR(__xludf.DUMMYFUNCTION("""COMPUTED_VALUE"""),"Yes")</f>
        <v>Yes</v>
      </c>
      <c r="S1555" s="5" t="str">
        <f ca="1">IFERROR(__xludf.DUMMYFUNCTION("""COMPUTED_VALUE"""),"Dismissal")</f>
        <v>Dismissal</v>
      </c>
      <c r="T1555" s="5"/>
      <c r="U1555" s="5">
        <f ca="1">IFERROR(__xludf.DUMMYFUNCTION("""COMPUTED_VALUE"""),1)</f>
        <v>1</v>
      </c>
      <c r="V1555" s="5" t="str">
        <f ca="1">IFERROR(__xludf.DUMMYFUNCTION("""COMPUTED_VALUE"""),"Anger for being suspended")</f>
        <v>Anger for being suspended</v>
      </c>
      <c r="W1555"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X1555" s="5" t="str">
        <f ca="1">IFERROR(__xludf.DUMMYFUNCTION("""COMPUTED_VALUE"""),"Anger Over Grade/Suspension/Discipline")</f>
        <v>Anger Over Grade/Suspension/Discipline</v>
      </c>
      <c r="Y1555" s="5" t="str">
        <f ca="1">IFERROR(__xludf.DUMMYFUNCTION("""COMPUTED_VALUE"""),"Victims Targeted")</f>
        <v>Victims Targeted</v>
      </c>
      <c r="Z1555" s="5" t="str">
        <f ca="1">IFERROR(__xludf.DUMMYFUNCTION("""COMPUTED_VALUE"""),"No")</f>
        <v>No</v>
      </c>
      <c r="AA1555" s="5"/>
      <c r="AB1555" s="5" t="str">
        <f ca="1">IFERROR(__xludf.DUMMYFUNCTION("""COMPUTED_VALUE"""),"No")</f>
        <v>No</v>
      </c>
      <c r="AC1555" s="5" t="str">
        <f ca="1">IFERROR(__xludf.DUMMYFUNCTION("""COMPUTED_VALUE"""),"No")</f>
        <v>No</v>
      </c>
      <c r="AD1555" s="5" t="str">
        <f ca="1">IFERROR(__xludf.DUMMYFUNCTION("""COMPUTED_VALUE"""),"No")</f>
        <v>No</v>
      </c>
      <c r="AE1555" s="5" t="str">
        <f ca="1">IFERROR(__xludf.DUMMYFUNCTION("""COMPUTED_VALUE"""),"No")</f>
        <v>No</v>
      </c>
      <c r="AF1555" s="5" t="str">
        <f ca="1">IFERROR(__xludf.DUMMYFUNCTION("""COMPUTED_VALUE"""),"No")</f>
        <v>No</v>
      </c>
      <c r="AG1555" s="5" t="str">
        <f ca="1">IFERROR(__xludf.DUMMYFUNCTION("""COMPUTED_VALUE"""),"No")</f>
        <v>No</v>
      </c>
      <c r="AH1555" s="5"/>
    </row>
    <row r="1556" spans="1:34" ht="12.75">
      <c r="A1556" s="5" t="str">
        <f ca="1">IFERROR(__xludf.DUMMYFUNCTION("""COMPUTED_VALUE"""),"19940922ORLEL")</f>
        <v>19940922ORLEL</v>
      </c>
      <c r="B1556" s="8">
        <f ca="1">IFERROR(__xludf.DUMMYFUNCTION("""COMPUTED_VALUE"""),34599)</f>
        <v>34599</v>
      </c>
      <c r="C1556" s="5" t="str">
        <f ca="1">IFERROR(__xludf.DUMMYFUNCTION("""COMPUTED_VALUE"""),"Lebanon Union High School")</f>
        <v>Lebanon Union High School</v>
      </c>
      <c r="D1556" s="5">
        <f ca="1">IFERROR(__xludf.DUMMYFUNCTION("""COMPUTED_VALUE"""),0)</f>
        <v>0</v>
      </c>
      <c r="E1556" s="5">
        <f ca="1">IFERROR(__xludf.DUMMYFUNCTION("""COMPUTED_VALUE"""),1)</f>
        <v>1</v>
      </c>
      <c r="F1556" s="5">
        <f ca="1">IFERROR(__xludf.DUMMYFUNCTION("""COMPUTED_VALUE"""),1)</f>
        <v>1</v>
      </c>
      <c r="G1556" s="5">
        <f ca="1">IFERROR(__xludf.DUMMYFUNCTION("""COMPUTED_VALUE"""),0)</f>
        <v>0</v>
      </c>
      <c r="H1556" s="9" t="str">
        <f ca="1">IFERROR(__xludf.DUMMYFUNCTION("""COMPUTED_VALUE"""),"https://www.gazettetimes.com/news/local/a-history-of-violence/article_54ce32a6-d4e3-5d34-8aa6-09d9437a0439.html")</f>
        <v>https://www.gazettetimes.com/news/local/a-history-of-violence/article_54ce32a6-d4e3-5d34-8aa6-09d9437a0439.html</v>
      </c>
      <c r="I1556" s="5"/>
      <c r="J1556" s="5"/>
      <c r="K1556" s="5">
        <f ca="1">IFERROR(__xludf.DUMMYFUNCTION("""COMPUTED_VALUE"""),2)</f>
        <v>2</v>
      </c>
      <c r="L1556" s="5" t="str">
        <f ca="1">IFERROR(__xludf.DUMMYFUNCTION("""COMPUTED_VALUE"""),"Fall")</f>
        <v>Fall</v>
      </c>
      <c r="M1556" s="5" t="str">
        <f ca="1">IFERROR(__xludf.DUMMYFUNCTION("""COMPUTED_VALUE"""),"Lebanon")</f>
        <v>Lebanon</v>
      </c>
      <c r="N1556" s="5" t="str">
        <f ca="1">IFERROR(__xludf.DUMMYFUNCTION("""COMPUTED_VALUE"""),"OR")</f>
        <v>OR</v>
      </c>
      <c r="O1556" s="5" t="str">
        <f ca="1">IFERROR(__xludf.DUMMYFUNCTION("""COMPUTED_VALUE"""),"High")</f>
        <v>High</v>
      </c>
      <c r="P1556" s="5" t="str">
        <f ca="1">IFERROR(__xludf.DUMMYFUNCTION("""COMPUTED_VALUE"""),"Parking Lot")</f>
        <v>Parking Lot</v>
      </c>
      <c r="Q1556" s="5" t="str">
        <f ca="1">IFERROR(__xludf.DUMMYFUNCTION("""COMPUTED_VALUE"""),"Outside on School Property")</f>
        <v>Outside on School Property</v>
      </c>
      <c r="R1556" s="5" t="str">
        <f ca="1">IFERROR(__xludf.DUMMYFUNCTION("""COMPUTED_VALUE"""),"Yes")</f>
        <v>Yes</v>
      </c>
      <c r="S1556" s="5" t="str">
        <f ca="1">IFERROR(__xludf.DUMMYFUNCTION("""COMPUTED_VALUE"""),"Not a School Day")</f>
        <v>Not a School Day</v>
      </c>
      <c r="T1556" s="5"/>
      <c r="U1556" s="5">
        <f ca="1">IFERROR(__xludf.DUMMYFUNCTION("""COMPUTED_VALUE"""),1)</f>
        <v>1</v>
      </c>
      <c r="V1556" s="5" t="str">
        <f ca="1">IFERROR(__xludf.DUMMYFUNCTION("""COMPUTED_VALUE"""),"Accidental discharge while looking at gun in vehicle")</f>
        <v>Accidental discharge while looking at gun in vehicle</v>
      </c>
      <c r="W1556"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X1556" s="5" t="str">
        <f ca="1">IFERROR(__xludf.DUMMYFUNCTION("""COMPUTED_VALUE"""),"Accidental")</f>
        <v>Accidental</v>
      </c>
      <c r="Y1556" s="5" t="str">
        <f ca="1">IFERROR(__xludf.DUMMYFUNCTION("""COMPUTED_VALUE"""),"Random Shooting")</f>
        <v>Random Shooting</v>
      </c>
      <c r="Z1556" s="5" t="str">
        <f ca="1">IFERROR(__xludf.DUMMYFUNCTION("""COMPUTED_VALUE"""),"No")</f>
        <v>No</v>
      </c>
      <c r="AA1556" s="5"/>
      <c r="AB1556" s="5" t="str">
        <f ca="1">IFERROR(__xludf.DUMMYFUNCTION("""COMPUTED_VALUE"""),"No")</f>
        <v>No</v>
      </c>
      <c r="AC1556" s="5" t="str">
        <f ca="1">IFERROR(__xludf.DUMMYFUNCTION("""COMPUTED_VALUE"""),"No")</f>
        <v>No</v>
      </c>
      <c r="AD1556" s="5" t="str">
        <f ca="1">IFERROR(__xludf.DUMMYFUNCTION("""COMPUTED_VALUE"""),"No")</f>
        <v>No</v>
      </c>
      <c r="AE1556" s="5" t="str">
        <f ca="1">IFERROR(__xludf.DUMMYFUNCTION("""COMPUTED_VALUE"""),"No")</f>
        <v>No</v>
      </c>
      <c r="AF1556" s="5" t="str">
        <f ca="1">IFERROR(__xludf.DUMMYFUNCTION("""COMPUTED_VALUE"""),"No")</f>
        <v>No</v>
      </c>
      <c r="AG1556" s="5" t="str">
        <f ca="1">IFERROR(__xludf.DUMMYFUNCTION("""COMPUTED_VALUE"""),"No")</f>
        <v>No</v>
      </c>
      <c r="AH1556" s="5"/>
    </row>
    <row r="1557" spans="1:34" ht="12.75">
      <c r="A1557" s="5" t="str">
        <f ca="1">IFERROR(__xludf.DUMMYFUNCTION("""COMPUTED_VALUE"""),"19940919CALOL")</f>
        <v>19940919CALOL</v>
      </c>
      <c r="B1557" s="8">
        <f ca="1">IFERROR(__xludf.DUMMYFUNCTION("""COMPUTED_VALUE"""),34596)</f>
        <v>34596</v>
      </c>
      <c r="C1557" s="5" t="str">
        <f ca="1">IFERROR(__xludf.DUMMYFUNCTION("""COMPUTED_VALUE"""),"Locke High School")</f>
        <v>Locke High School</v>
      </c>
      <c r="D1557" s="5">
        <f ca="1">IFERROR(__xludf.DUMMYFUNCTION("""COMPUTED_VALUE"""),0)</f>
        <v>0</v>
      </c>
      <c r="E1557" s="5">
        <f ca="1">IFERROR(__xludf.DUMMYFUNCTION("""COMPUTED_VALUE"""),3)</f>
        <v>3</v>
      </c>
      <c r="F1557" s="5">
        <f ca="1">IFERROR(__xludf.DUMMYFUNCTION("""COMPUTED_VALUE"""),3)</f>
        <v>3</v>
      </c>
      <c r="G1557" s="5">
        <f ca="1">IFERROR(__xludf.DUMMYFUNCTION("""COMPUTED_VALUE"""),0)</f>
        <v>0</v>
      </c>
      <c r="H1557" s="9" t="str">
        <f ca="1">IFERROR(__xludf.DUMMYFUNCTION("""COMPUTED_VALUE"""),"https://www.newspapers.com/image/159244311/?terms=Hollywood%2BHigh%2BSchool%2Bshooting")</f>
        <v>https://www.newspapers.com/image/159244311/?terms=Hollywood%2BHigh%2BSchool%2Bshooting</v>
      </c>
      <c r="I1557" s="5"/>
      <c r="J1557" s="5"/>
      <c r="K1557" s="5">
        <f ca="1">IFERROR(__xludf.DUMMYFUNCTION("""COMPUTED_VALUE"""),2)</f>
        <v>2</v>
      </c>
      <c r="L1557" s="5" t="str">
        <f ca="1">IFERROR(__xludf.DUMMYFUNCTION("""COMPUTED_VALUE"""),"Fall")</f>
        <v>Fall</v>
      </c>
      <c r="M1557" s="5" t="str">
        <f ca="1">IFERROR(__xludf.DUMMYFUNCTION("""COMPUTED_VALUE"""),"Los Angeles")</f>
        <v>Los Angeles</v>
      </c>
      <c r="N1557" s="5" t="str">
        <f ca="1">IFERROR(__xludf.DUMMYFUNCTION("""COMPUTED_VALUE"""),"CA")</f>
        <v>CA</v>
      </c>
      <c r="O1557" s="5" t="str">
        <f ca="1">IFERROR(__xludf.DUMMYFUNCTION("""COMPUTED_VALUE"""),"High")</f>
        <v>High</v>
      </c>
      <c r="P1557" s="5" t="str">
        <f ca="1">IFERROR(__xludf.DUMMYFUNCTION("""COMPUTED_VALUE"""),"Front of School")</f>
        <v>Front of School</v>
      </c>
      <c r="Q1557" s="5" t="str">
        <f ca="1">IFERROR(__xludf.DUMMYFUNCTION("""COMPUTED_VALUE"""),"Outside on School Property")</f>
        <v>Outside on School Property</v>
      </c>
      <c r="R1557" s="5" t="str">
        <f ca="1">IFERROR(__xludf.DUMMYFUNCTION("""COMPUTED_VALUE"""),"Yes")</f>
        <v>Yes</v>
      </c>
      <c r="S1557" s="5" t="str">
        <f ca="1">IFERROR(__xludf.DUMMYFUNCTION("""COMPUTED_VALUE"""),"Morning Classes")</f>
        <v>Morning Classes</v>
      </c>
      <c r="T1557" s="10">
        <f ca="1">IFERROR(__xludf.DUMMYFUNCTION("""COMPUTED_VALUE"""),0.430555555555555)</f>
        <v>0.43055555555555503</v>
      </c>
      <c r="U1557" s="5">
        <f ca="1">IFERROR(__xludf.DUMMYFUNCTION("""COMPUTED_VALUE"""),1)</f>
        <v>1</v>
      </c>
      <c r="V1557" s="5" t="str">
        <f ca="1">IFERROR(__xludf.DUMMYFUNCTION("""COMPUTED_VALUE"""),"Gang related drive-by shooting")</f>
        <v>Gang related drive-by shooting</v>
      </c>
      <c r="W1557"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X1557" s="5" t="str">
        <f ca="1">IFERROR(__xludf.DUMMYFUNCTION("""COMPUTED_VALUE"""),"Drive-by Shooting")</f>
        <v>Drive-by Shooting</v>
      </c>
      <c r="Y1557" s="5" t="str">
        <f ca="1">IFERROR(__xludf.DUMMYFUNCTION("""COMPUTED_VALUE"""),"Both")</f>
        <v>Both</v>
      </c>
      <c r="Z1557" s="5" t="str">
        <f ca="1">IFERROR(__xludf.DUMMYFUNCTION("""COMPUTED_VALUE"""),"Yes")</f>
        <v>Yes</v>
      </c>
      <c r="AA1557" s="5" t="str">
        <f ca="1">IFERROR(__xludf.DUMMYFUNCTION("""COMPUTED_VALUE"""),"Multiple in car")</f>
        <v>Multiple in car</v>
      </c>
      <c r="AB1557" s="5" t="str">
        <f ca="1">IFERROR(__xludf.DUMMYFUNCTION("""COMPUTED_VALUE"""),"No")</f>
        <v>No</v>
      </c>
      <c r="AC1557" s="5" t="str">
        <f ca="1">IFERROR(__xludf.DUMMYFUNCTION("""COMPUTED_VALUE"""),"No")</f>
        <v>No</v>
      </c>
      <c r="AD1557" s="5" t="str">
        <f ca="1">IFERROR(__xludf.DUMMYFUNCTION("""COMPUTED_VALUE"""),"No")</f>
        <v>No</v>
      </c>
      <c r="AE1557" s="5" t="str">
        <f ca="1">IFERROR(__xludf.DUMMYFUNCTION("""COMPUTED_VALUE"""),"No")</f>
        <v>No</v>
      </c>
      <c r="AF1557" s="5" t="str">
        <f ca="1">IFERROR(__xludf.DUMMYFUNCTION("""COMPUTED_VALUE"""),"No")</f>
        <v>No</v>
      </c>
      <c r="AG1557" s="5" t="str">
        <f ca="1">IFERROR(__xludf.DUMMYFUNCTION("""COMPUTED_VALUE"""),"Yes")</f>
        <v>Yes</v>
      </c>
      <c r="AH1557" s="5"/>
    </row>
    <row r="1558" spans="1:34" ht="12.75">
      <c r="A1558" s="5" t="str">
        <f ca="1">IFERROR(__xludf.DUMMYFUNCTION("""COMPUTED_VALUE"""),"19940908NYSWA")</f>
        <v>19940908NYSWA</v>
      </c>
      <c r="B1558" s="8">
        <f ca="1">IFERROR(__xludf.DUMMYFUNCTION("""COMPUTED_VALUE"""),34585)</f>
        <v>34585</v>
      </c>
      <c r="C1558" s="5" t="str">
        <f ca="1">IFERROR(__xludf.DUMMYFUNCTION("""COMPUTED_VALUE"""),"Sweet Home High School")</f>
        <v>Sweet Home High School</v>
      </c>
      <c r="D1558" s="5">
        <f ca="1">IFERROR(__xludf.DUMMYFUNCTION("""COMPUTED_VALUE"""),0)</f>
        <v>0</v>
      </c>
      <c r="E1558" s="5">
        <f ca="1">IFERROR(__xludf.DUMMYFUNCTION("""COMPUTED_VALUE"""),1)</f>
        <v>1</v>
      </c>
      <c r="F1558" s="5">
        <f ca="1">IFERROR(__xludf.DUMMYFUNCTION("""COMPUTED_VALUE"""),1)</f>
        <v>1</v>
      </c>
      <c r="G1558" s="5">
        <f ca="1">IFERROR(__xludf.DUMMYFUNCTION("""COMPUTED_VALUE"""),0)</f>
        <v>0</v>
      </c>
      <c r="H1558"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I1558" s="5"/>
      <c r="J1558" s="5"/>
      <c r="K1558" s="5">
        <f ca="1">IFERROR(__xludf.DUMMYFUNCTION("""COMPUTED_VALUE"""),3)</f>
        <v>3</v>
      </c>
      <c r="L1558" s="5" t="str">
        <f ca="1">IFERROR(__xludf.DUMMYFUNCTION("""COMPUTED_VALUE"""),"Fall")</f>
        <v>Fall</v>
      </c>
      <c r="M1558" s="5" t="str">
        <f ca="1">IFERROR(__xludf.DUMMYFUNCTION("""COMPUTED_VALUE"""),"Albany")</f>
        <v>Albany</v>
      </c>
      <c r="N1558" s="5" t="str">
        <f ca="1">IFERROR(__xludf.DUMMYFUNCTION("""COMPUTED_VALUE"""),"NY")</f>
        <v>NY</v>
      </c>
      <c r="O1558" s="5" t="str">
        <f ca="1">IFERROR(__xludf.DUMMYFUNCTION("""COMPUTED_VALUE"""),"High")</f>
        <v>High</v>
      </c>
      <c r="P1558" s="5" t="str">
        <f ca="1">IFERROR(__xludf.DUMMYFUNCTION("""COMPUTED_VALUE"""),"Classroom")</f>
        <v>Classroom</v>
      </c>
      <c r="Q1558" s="5" t="str">
        <f ca="1">IFERROR(__xludf.DUMMYFUNCTION("""COMPUTED_VALUE"""),"Inside School Building")</f>
        <v>Inside School Building</v>
      </c>
      <c r="R1558" s="5" t="str">
        <f ca="1">IFERROR(__xludf.DUMMYFUNCTION("""COMPUTED_VALUE"""),"Yes")</f>
        <v>Yes</v>
      </c>
      <c r="S1558" s="5" t="str">
        <f ca="1">IFERROR(__xludf.DUMMYFUNCTION("""COMPUTED_VALUE"""),"Morning Classes")</f>
        <v>Morning Classes</v>
      </c>
      <c r="T1558" s="10">
        <f ca="1">IFERROR(__xludf.DUMMYFUNCTION("""COMPUTED_VALUE"""),0.375)</f>
        <v>0.375</v>
      </c>
      <c r="U1558" s="5">
        <f ca="1">IFERROR(__xludf.DUMMYFUNCTION("""COMPUTED_VALUE"""),1)</f>
        <v>1</v>
      </c>
      <c r="V1558" s="5" t="str">
        <f ca="1">IFERROR(__xludf.DUMMYFUNCTION("""COMPUTED_VALUE"""),"Shot bully after being thrown into locker")</f>
        <v>Shot bully after being thrown into locker</v>
      </c>
      <c r="W1558"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X1558" s="5" t="str">
        <f ca="1">IFERROR(__xludf.DUMMYFUNCTION("""COMPUTED_VALUE"""),"Bullying")</f>
        <v>Bullying</v>
      </c>
      <c r="Y1558" s="5" t="str">
        <f ca="1">IFERROR(__xludf.DUMMYFUNCTION("""COMPUTED_VALUE"""),"Victims Targeted")</f>
        <v>Victims Targeted</v>
      </c>
      <c r="Z1558" s="5" t="str">
        <f ca="1">IFERROR(__xludf.DUMMYFUNCTION("""COMPUTED_VALUE"""),"Yes")</f>
        <v>Yes</v>
      </c>
      <c r="AA1558" s="5" t="str">
        <f ca="1">IFERROR(__xludf.DUMMYFUNCTION("""COMPUTED_VALUE"""),"2 students planned to shoot bully, 2nd charged to conspiracy")</f>
        <v>2 students planned to shoot bully, 2nd charged to conspiracy</v>
      </c>
      <c r="AB1558" s="5" t="str">
        <f ca="1">IFERROR(__xludf.DUMMYFUNCTION("""COMPUTED_VALUE"""),"No")</f>
        <v>No</v>
      </c>
      <c r="AC1558" s="5" t="str">
        <f ca="1">IFERROR(__xludf.DUMMYFUNCTION("""COMPUTED_VALUE"""),"No")</f>
        <v>No</v>
      </c>
      <c r="AD1558" s="5" t="str">
        <f ca="1">IFERROR(__xludf.DUMMYFUNCTION("""COMPUTED_VALUE"""),"No")</f>
        <v>No</v>
      </c>
      <c r="AE1558" s="5" t="str">
        <f ca="1">IFERROR(__xludf.DUMMYFUNCTION("""COMPUTED_VALUE"""),"Yes")</f>
        <v>Yes</v>
      </c>
      <c r="AF1558" s="5" t="str">
        <f ca="1">IFERROR(__xludf.DUMMYFUNCTION("""COMPUTED_VALUE"""),"No")</f>
        <v>No</v>
      </c>
      <c r="AG1558" s="5" t="str">
        <f ca="1">IFERROR(__xludf.DUMMYFUNCTION("""COMPUTED_VALUE"""),"No")</f>
        <v>No</v>
      </c>
      <c r="AH1558" s="5"/>
    </row>
    <row r="1559" spans="1:34" ht="12.75">
      <c r="A1559" s="5" t="str">
        <f ca="1">IFERROR(__xludf.DUMMYFUNCTION("""COMPUTED_VALUE"""),"19940907CAHOL")</f>
        <v>19940907CAHOL</v>
      </c>
      <c r="B1559" s="8">
        <f ca="1">IFERROR(__xludf.DUMMYFUNCTION("""COMPUTED_VALUE"""),34584)</f>
        <v>34584</v>
      </c>
      <c r="C1559" s="5" t="str">
        <f ca="1">IFERROR(__xludf.DUMMYFUNCTION("""COMPUTED_VALUE"""),"Hollywood High School")</f>
        <v>Hollywood High School</v>
      </c>
      <c r="D1559" s="5">
        <f ca="1">IFERROR(__xludf.DUMMYFUNCTION("""COMPUTED_VALUE"""),1)</f>
        <v>1</v>
      </c>
      <c r="E1559" s="5">
        <f ca="1">IFERROR(__xludf.DUMMYFUNCTION("""COMPUTED_VALUE"""),0)</f>
        <v>0</v>
      </c>
      <c r="F1559" s="5">
        <f ca="1">IFERROR(__xludf.DUMMYFUNCTION("""COMPUTED_VALUE"""),1)</f>
        <v>1</v>
      </c>
      <c r="G1559" s="5">
        <f ca="1">IFERROR(__xludf.DUMMYFUNCTION("""COMPUTED_VALUE"""),0)</f>
        <v>0</v>
      </c>
      <c r="H1559"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I1559" s="5"/>
      <c r="J1559" s="5"/>
      <c r="K1559" s="5">
        <f ca="1">IFERROR(__xludf.DUMMYFUNCTION("""COMPUTED_VALUE"""),1)</f>
        <v>1</v>
      </c>
      <c r="L1559" s="5" t="str">
        <f ca="1">IFERROR(__xludf.DUMMYFUNCTION("""COMPUTED_VALUE"""),"Fall")</f>
        <v>Fall</v>
      </c>
      <c r="M1559" s="5" t="str">
        <f ca="1">IFERROR(__xludf.DUMMYFUNCTION("""COMPUTED_VALUE"""),"Los Angeles")</f>
        <v>Los Angeles</v>
      </c>
      <c r="N1559" s="5" t="str">
        <f ca="1">IFERROR(__xludf.DUMMYFUNCTION("""COMPUTED_VALUE"""),"CA")</f>
        <v>CA</v>
      </c>
      <c r="O1559" s="5" t="str">
        <f ca="1">IFERROR(__xludf.DUMMYFUNCTION("""COMPUTED_VALUE"""),"High")</f>
        <v>High</v>
      </c>
      <c r="P1559" s="5" t="str">
        <f ca="1">IFERROR(__xludf.DUMMYFUNCTION("""COMPUTED_VALUE"""),"Front of School")</f>
        <v>Front of School</v>
      </c>
      <c r="Q1559" s="5" t="str">
        <f ca="1">IFERROR(__xludf.DUMMYFUNCTION("""COMPUTED_VALUE"""),"Outside on School Property")</f>
        <v>Outside on School Property</v>
      </c>
      <c r="R1559" s="5" t="str">
        <f ca="1">IFERROR(__xludf.DUMMYFUNCTION("""COMPUTED_VALUE"""),"No")</f>
        <v>No</v>
      </c>
      <c r="S1559" s="5" t="str">
        <f ca="1">IFERROR(__xludf.DUMMYFUNCTION("""COMPUTED_VALUE"""),"After School")</f>
        <v>After School</v>
      </c>
      <c r="T1559" s="10">
        <f ca="1">IFERROR(__xludf.DUMMYFUNCTION("""COMPUTED_VALUE"""),0.645833333333333)</f>
        <v>0.64583333333333304</v>
      </c>
      <c r="U1559" s="5">
        <f ca="1">IFERROR(__xludf.DUMMYFUNCTION("""COMPUTED_VALUE"""),1)</f>
        <v>1</v>
      </c>
      <c r="V1559" s="5" t="str">
        <f ca="1">IFERROR(__xludf.DUMMYFUNCTION("""COMPUTED_VALUE"""),"Killed by rival gang members")</f>
        <v>Killed by rival gang members</v>
      </c>
      <c r="W1559"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X1559" s="5" t="str">
        <f ca="1">IFERROR(__xludf.DUMMYFUNCTION("""COMPUTED_VALUE"""),"Drive-by Shooting")</f>
        <v>Drive-by Shooting</v>
      </c>
      <c r="Y1559" s="5" t="str">
        <f ca="1">IFERROR(__xludf.DUMMYFUNCTION("""COMPUTED_VALUE"""),"Victims Targeted")</f>
        <v>Victims Targeted</v>
      </c>
      <c r="Z1559" s="5" t="str">
        <f ca="1">IFERROR(__xludf.DUMMYFUNCTION("""COMPUTED_VALUE"""),"No")</f>
        <v>No</v>
      </c>
      <c r="AA1559" s="5"/>
      <c r="AB1559" s="5" t="str">
        <f ca="1">IFERROR(__xludf.DUMMYFUNCTION("""COMPUTED_VALUE"""),"No")</f>
        <v>No</v>
      </c>
      <c r="AC1559" s="5" t="str">
        <f ca="1">IFERROR(__xludf.DUMMYFUNCTION("""COMPUTED_VALUE"""),"No")</f>
        <v>No</v>
      </c>
      <c r="AD1559" s="5" t="str">
        <f ca="1">IFERROR(__xludf.DUMMYFUNCTION("""COMPUTED_VALUE"""),"No")</f>
        <v>No</v>
      </c>
      <c r="AE1559" s="5" t="str">
        <f ca="1">IFERROR(__xludf.DUMMYFUNCTION("""COMPUTED_VALUE"""),"No")</f>
        <v>No</v>
      </c>
      <c r="AF1559" s="5" t="str">
        <f ca="1">IFERROR(__xludf.DUMMYFUNCTION("""COMPUTED_VALUE"""),"No")</f>
        <v>No</v>
      </c>
      <c r="AG1559" s="5" t="str">
        <f ca="1">IFERROR(__xludf.DUMMYFUNCTION("""COMPUTED_VALUE"""),"Yes")</f>
        <v>Yes</v>
      </c>
      <c r="AH1559" s="5"/>
    </row>
    <row r="1560" spans="1:34" ht="12.75">
      <c r="A1560" s="5" t="str">
        <f ca="1">IFERROR(__xludf.DUMMYFUNCTION("""COMPUTED_VALUE"""),"19940725IAOTO")</f>
        <v>19940725IAOTO</v>
      </c>
      <c r="B1560" s="8">
        <f ca="1">IFERROR(__xludf.DUMMYFUNCTION("""COMPUTED_VALUE"""),34540)</f>
        <v>34540</v>
      </c>
      <c r="C1560" s="5" t="str">
        <f ca="1">IFERROR(__xludf.DUMMYFUNCTION("""COMPUTED_VALUE"""),"Ottumwa High School")</f>
        <v>Ottumwa High School</v>
      </c>
      <c r="D1560" s="5">
        <f ca="1">IFERROR(__xludf.DUMMYFUNCTION("""COMPUTED_VALUE"""),1)</f>
        <v>1</v>
      </c>
      <c r="E1560" s="5">
        <f ca="1">IFERROR(__xludf.DUMMYFUNCTION("""COMPUTED_VALUE"""),0)</f>
        <v>0</v>
      </c>
      <c r="F1560" s="5">
        <f ca="1">IFERROR(__xludf.DUMMYFUNCTION("""COMPUTED_VALUE"""),1)</f>
        <v>1</v>
      </c>
      <c r="G1560" s="5">
        <f ca="1">IFERROR(__xludf.DUMMYFUNCTION("""COMPUTED_VALUE"""),0)</f>
        <v>0</v>
      </c>
      <c r="H1560" s="9" t="str">
        <f ca="1">IFERROR(__xludf.DUMMYFUNCTION("""COMPUTED_VALUE"""),"http://ottumwaradio.com/coffman-get-new-sentence-1994-murder-ottumwa-high-school/")</f>
        <v>http://ottumwaradio.com/coffman-get-new-sentence-1994-murder-ottumwa-high-school/</v>
      </c>
      <c r="I1560" s="5"/>
      <c r="J1560" s="5"/>
      <c r="K1560" s="5">
        <f ca="1">IFERROR(__xludf.DUMMYFUNCTION("""COMPUTED_VALUE"""),2)</f>
        <v>2</v>
      </c>
      <c r="L1560" s="5" t="str">
        <f ca="1">IFERROR(__xludf.DUMMYFUNCTION("""COMPUTED_VALUE"""),"Summer")</f>
        <v>Summer</v>
      </c>
      <c r="M1560" s="5" t="str">
        <f ca="1">IFERROR(__xludf.DUMMYFUNCTION("""COMPUTED_VALUE"""),"Ottumwa")</f>
        <v>Ottumwa</v>
      </c>
      <c r="N1560" s="5" t="str">
        <f ca="1">IFERROR(__xludf.DUMMYFUNCTION("""COMPUTED_VALUE"""),"IA")</f>
        <v>IA</v>
      </c>
      <c r="O1560" s="5" t="str">
        <f ca="1">IFERROR(__xludf.DUMMYFUNCTION("""COMPUTED_VALUE"""),"High")</f>
        <v>High</v>
      </c>
      <c r="P1560" s="5" t="str">
        <f ca="1">IFERROR(__xludf.DUMMYFUNCTION("""COMPUTED_VALUE"""),"Beside Building")</f>
        <v>Beside Building</v>
      </c>
      <c r="Q1560" s="5" t="str">
        <f ca="1">IFERROR(__xludf.DUMMYFUNCTION("""COMPUTED_VALUE"""),"Outside on School Property")</f>
        <v>Outside on School Property</v>
      </c>
      <c r="R1560" s="5" t="str">
        <f ca="1">IFERROR(__xludf.DUMMYFUNCTION("""COMPUTED_VALUE"""),"Yes")</f>
        <v>Yes</v>
      </c>
      <c r="S1560" s="5" t="str">
        <f ca="1">IFERROR(__xludf.DUMMYFUNCTION("""COMPUTED_VALUE"""),"Lunch")</f>
        <v>Lunch</v>
      </c>
      <c r="T1560" s="10">
        <f ca="1">IFERROR(__xludf.DUMMYFUNCTION("""COMPUTED_VALUE"""),0.484722222222222)</f>
        <v>0.484722222222222</v>
      </c>
      <c r="U1560" s="5">
        <f ca="1">IFERROR(__xludf.DUMMYFUNCTION("""COMPUTED_VALUE"""),1)</f>
        <v>1</v>
      </c>
      <c r="V1560" s="5" t="str">
        <f ca="1">IFERROR(__xludf.DUMMYFUNCTION("""COMPUTED_VALUE"""),"Ongoing dispute, shooter warned victim he would kill him")</f>
        <v>Ongoing dispute, shooter warned victim he would kill him</v>
      </c>
      <c r="W1560"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X1560" s="5" t="str">
        <f ca="1">IFERROR(__xludf.DUMMYFUNCTION("""COMPUTED_VALUE"""),"Escalation of Dispute")</f>
        <v>Escalation of Dispute</v>
      </c>
      <c r="Y1560" s="5" t="str">
        <f ca="1">IFERROR(__xludf.DUMMYFUNCTION("""COMPUTED_VALUE"""),"Victims Targeted")</f>
        <v>Victims Targeted</v>
      </c>
      <c r="Z1560" s="5" t="str">
        <f ca="1">IFERROR(__xludf.DUMMYFUNCTION("""COMPUTED_VALUE"""),"No")</f>
        <v>No</v>
      </c>
      <c r="AA1560" s="5"/>
      <c r="AB1560" s="5" t="str">
        <f ca="1">IFERROR(__xludf.DUMMYFUNCTION("""COMPUTED_VALUE"""),"No")</f>
        <v>No</v>
      </c>
      <c r="AC1560" s="5" t="str">
        <f ca="1">IFERROR(__xludf.DUMMYFUNCTION("""COMPUTED_VALUE"""),"No")</f>
        <v>No</v>
      </c>
      <c r="AD1560" s="5" t="str">
        <f ca="1">IFERROR(__xludf.DUMMYFUNCTION("""COMPUTED_VALUE"""),"No")</f>
        <v>No</v>
      </c>
      <c r="AE1560" s="5" t="str">
        <f ca="1">IFERROR(__xludf.DUMMYFUNCTION("""COMPUTED_VALUE"""),"No")</f>
        <v>No</v>
      </c>
      <c r="AF1560" s="5" t="str">
        <f ca="1">IFERROR(__xludf.DUMMYFUNCTION("""COMPUTED_VALUE"""),"No")</f>
        <v>No</v>
      </c>
      <c r="AG1560" s="5" t="str">
        <f ca="1">IFERROR(__xludf.DUMMYFUNCTION("""COMPUTED_VALUE"""),"No")</f>
        <v>No</v>
      </c>
      <c r="AH1560" s="5"/>
    </row>
    <row r="1561" spans="1:34" ht="12.75">
      <c r="A1561" s="5" t="str">
        <f ca="1">IFERROR(__xludf.DUMMYFUNCTION("""COMPUTED_VALUE"""),"19940724PAMAM")</f>
        <v>19940724PAMAM</v>
      </c>
      <c r="B1561" s="8">
        <f ca="1">IFERROR(__xludf.DUMMYFUNCTION("""COMPUTED_VALUE"""),34539)</f>
        <v>34539</v>
      </c>
      <c r="C1561" s="5" t="str">
        <f ca="1">IFERROR(__xludf.DUMMYFUNCTION("""COMPUTED_VALUE"""),"Manchester Elementary School")</f>
        <v>Manchester Elementary School</v>
      </c>
      <c r="D1561" s="5">
        <f ca="1">IFERROR(__xludf.DUMMYFUNCTION("""COMPUTED_VALUE"""),1)</f>
        <v>1</v>
      </c>
      <c r="E1561" s="5">
        <f ca="1">IFERROR(__xludf.DUMMYFUNCTION("""COMPUTED_VALUE"""),0)</f>
        <v>0</v>
      </c>
      <c r="F1561" s="5">
        <f ca="1">IFERROR(__xludf.DUMMYFUNCTION("""COMPUTED_VALUE"""),1)</f>
        <v>1</v>
      </c>
      <c r="G1561" s="5">
        <f ca="1">IFERROR(__xludf.DUMMYFUNCTION("""COMPUTED_VALUE"""),0)</f>
        <v>0</v>
      </c>
      <c r="H1561" s="9" t="str">
        <f ca="1">IFERROR(__xludf.DUMMYFUNCTION("""COMPUTED_VALUE"""),"https://www.publicsource.org/most-of-pennsylvanias-juvenile-lifers-are-still-awaiting-their-new-day-in-court/")</f>
        <v>https://www.publicsource.org/most-of-pennsylvanias-juvenile-lifers-are-still-awaiting-their-new-day-in-court/</v>
      </c>
      <c r="I1561" s="5"/>
      <c r="J1561" s="5"/>
      <c r="K1561" s="5">
        <f ca="1">IFERROR(__xludf.DUMMYFUNCTION("""COMPUTED_VALUE"""),1)</f>
        <v>1</v>
      </c>
      <c r="L1561" s="5" t="str">
        <f ca="1">IFERROR(__xludf.DUMMYFUNCTION("""COMPUTED_VALUE"""),"Summer")</f>
        <v>Summer</v>
      </c>
      <c r="M1561" s="5" t="str">
        <f ca="1">IFERROR(__xludf.DUMMYFUNCTION("""COMPUTED_VALUE"""),"Manchester")</f>
        <v>Manchester</v>
      </c>
      <c r="N1561" s="5" t="str">
        <f ca="1">IFERROR(__xludf.DUMMYFUNCTION("""COMPUTED_VALUE"""),"PA")</f>
        <v>PA</v>
      </c>
      <c r="O1561" s="5" t="str">
        <f ca="1">IFERROR(__xludf.DUMMYFUNCTION("""COMPUTED_VALUE"""),"Elementary")</f>
        <v>Elementary</v>
      </c>
      <c r="P1561" s="5" t="str">
        <f ca="1">IFERROR(__xludf.DUMMYFUNCTION("""COMPUTED_VALUE"""),"Basketball Court")</f>
        <v>Basketball Court</v>
      </c>
      <c r="Q1561" s="5" t="str">
        <f ca="1">IFERROR(__xludf.DUMMYFUNCTION("""COMPUTED_VALUE"""),"Outside on School Property")</f>
        <v>Outside on School Property</v>
      </c>
      <c r="R1561" s="5" t="str">
        <f ca="1">IFERROR(__xludf.DUMMYFUNCTION("""COMPUTED_VALUE"""),"No")</f>
        <v>No</v>
      </c>
      <c r="S1561" s="5" t="str">
        <f ca="1">IFERROR(__xludf.DUMMYFUNCTION("""COMPUTED_VALUE"""),"Not a School Day")</f>
        <v>Not a School Day</v>
      </c>
      <c r="T1561" s="5"/>
      <c r="U1561" s="5">
        <f ca="1">IFERROR(__xludf.DUMMYFUNCTION("""COMPUTED_VALUE"""),1)</f>
        <v>1</v>
      </c>
      <c r="V1561" s="5" t="str">
        <f ca="1">IFERROR(__xludf.DUMMYFUNCTION("""COMPUTED_VALUE"""),"Shot during basketball game at school")</f>
        <v>Shot during basketball game at school</v>
      </c>
      <c r="W1561" s="5" t="str">
        <f ca="1">IFERROR(__xludf.DUMMYFUNCTION("""COMPUTED_VALUE"""),"Ongoing feud between 15YOM and 17YOM escalated into shooting during basketball game at the school.")</f>
        <v>Ongoing feud between 15YOM and 17YOM escalated into shooting during basketball game at the school.</v>
      </c>
      <c r="X1561" s="5" t="str">
        <f ca="1">IFERROR(__xludf.DUMMYFUNCTION("""COMPUTED_VALUE"""),"Escalation of Dispute")</f>
        <v>Escalation of Dispute</v>
      </c>
      <c r="Y1561" s="5" t="str">
        <f ca="1">IFERROR(__xludf.DUMMYFUNCTION("""COMPUTED_VALUE"""),"Victims Targeted")</f>
        <v>Victims Targeted</v>
      </c>
      <c r="Z1561" s="5" t="str">
        <f ca="1">IFERROR(__xludf.DUMMYFUNCTION("""COMPUTED_VALUE"""),"No")</f>
        <v>No</v>
      </c>
      <c r="AA1561" s="5"/>
      <c r="AB1561" s="5" t="str">
        <f ca="1">IFERROR(__xludf.DUMMYFUNCTION("""COMPUTED_VALUE"""),"No")</f>
        <v>No</v>
      </c>
      <c r="AC1561" s="5" t="str">
        <f ca="1">IFERROR(__xludf.DUMMYFUNCTION("""COMPUTED_VALUE"""),"No")</f>
        <v>No</v>
      </c>
      <c r="AD1561" s="5" t="str">
        <f ca="1">IFERROR(__xludf.DUMMYFUNCTION("""COMPUTED_VALUE"""),"No")</f>
        <v>No</v>
      </c>
      <c r="AE1561" s="5" t="str">
        <f ca="1">IFERROR(__xludf.DUMMYFUNCTION("""COMPUTED_VALUE"""),"No")</f>
        <v>No</v>
      </c>
      <c r="AF1561" s="5" t="str">
        <f ca="1">IFERROR(__xludf.DUMMYFUNCTION("""COMPUTED_VALUE"""),"No")</f>
        <v>No</v>
      </c>
      <c r="AG1561" s="5" t="str">
        <f ca="1">IFERROR(__xludf.DUMMYFUNCTION("""COMPUTED_VALUE"""),"No")</f>
        <v>No</v>
      </c>
      <c r="AH1561" s="5"/>
    </row>
    <row r="1562" spans="1:34" ht="12.75">
      <c r="A1562" s="5" t="str">
        <f ca="1">IFERROR(__xludf.DUMMYFUNCTION("""COMPUTED_VALUE"""),"19940526KYLAU")</f>
        <v>19940526KYLAU</v>
      </c>
      <c r="B1562" s="8">
        <f ca="1">IFERROR(__xludf.DUMMYFUNCTION("""COMPUTED_VALUE"""),34480)</f>
        <v>34480</v>
      </c>
      <c r="C1562" s="5" t="str">
        <f ca="1">IFERROR(__xludf.DUMMYFUNCTION("""COMPUTED_VALUE"""),"Larry A. Ryle High School")</f>
        <v>Larry A. Ryle High School</v>
      </c>
      <c r="D1562" s="5">
        <f ca="1">IFERROR(__xludf.DUMMYFUNCTION("""COMPUTED_VALUE"""),0)</f>
        <v>0</v>
      </c>
      <c r="E1562" s="5">
        <f ca="1">IFERROR(__xludf.DUMMYFUNCTION("""COMPUTED_VALUE"""),0)</f>
        <v>0</v>
      </c>
      <c r="F1562" s="5">
        <f ca="1">IFERROR(__xludf.DUMMYFUNCTION("""COMPUTED_VALUE"""),0)</f>
        <v>0</v>
      </c>
      <c r="G1562" s="5">
        <f ca="1">IFERROR(__xludf.DUMMYFUNCTION("""COMPUTED_VALUE"""),0)</f>
        <v>0</v>
      </c>
      <c r="H1562"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I1562" s="5"/>
      <c r="J1562" s="5"/>
      <c r="K1562" s="5">
        <f ca="1">IFERROR(__xludf.DUMMYFUNCTION("""COMPUTED_VALUE"""),5)</f>
        <v>5</v>
      </c>
      <c r="L1562" s="5" t="str">
        <f ca="1">IFERROR(__xludf.DUMMYFUNCTION("""COMPUTED_VALUE"""),"Spring")</f>
        <v>Spring</v>
      </c>
      <c r="M1562" s="5" t="str">
        <f ca="1">IFERROR(__xludf.DUMMYFUNCTION("""COMPUTED_VALUE"""),"Union")</f>
        <v>Union</v>
      </c>
      <c r="N1562" s="5" t="str">
        <f ca="1">IFERROR(__xludf.DUMMYFUNCTION("""COMPUTED_VALUE"""),"KY")</f>
        <v>KY</v>
      </c>
      <c r="O1562" s="5" t="str">
        <f ca="1">IFERROR(__xludf.DUMMYFUNCTION("""COMPUTED_VALUE"""),"High")</f>
        <v>High</v>
      </c>
      <c r="P1562" s="5" t="str">
        <f ca="1">IFERROR(__xludf.DUMMYFUNCTION("""COMPUTED_VALUE"""),"Classroom")</f>
        <v>Classroom</v>
      </c>
      <c r="Q1562" s="5" t="str">
        <f ca="1">IFERROR(__xludf.DUMMYFUNCTION("""COMPUTED_VALUE"""),"Inside School Building")</f>
        <v>Inside School Building</v>
      </c>
      <c r="R1562" s="5" t="str">
        <f ca="1">IFERROR(__xludf.DUMMYFUNCTION("""COMPUTED_VALUE"""),"Yes")</f>
        <v>Yes</v>
      </c>
      <c r="S1562" s="5" t="str">
        <f ca="1">IFERROR(__xludf.DUMMYFUNCTION("""COMPUTED_VALUE"""),"Morning Classes")</f>
        <v>Morning Classes</v>
      </c>
      <c r="T1562" s="10">
        <f ca="1">IFERROR(__xludf.DUMMYFUNCTION("""COMPUTED_VALUE"""),0.375)</f>
        <v>0.375</v>
      </c>
      <c r="U1562" s="5">
        <f ca="1">IFERROR(__xludf.DUMMYFUNCTION("""COMPUTED_VALUE"""),30)</f>
        <v>30</v>
      </c>
      <c r="V1562" s="5" t="str">
        <f ca="1">IFERROR(__xludf.DUMMYFUNCTION("""COMPUTED_VALUE"""),"Killed family, went to school and took class hostage")</f>
        <v>Killed family, went to school and took class hostage</v>
      </c>
      <c r="W1562"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X1562" s="5" t="str">
        <f ca="1">IFERROR(__xludf.DUMMYFUNCTION("""COMPUTED_VALUE"""),"Hostage/Standoff")</f>
        <v>Hostage/Standoff</v>
      </c>
      <c r="Y1562" s="5" t="str">
        <f ca="1">IFERROR(__xludf.DUMMYFUNCTION("""COMPUTED_VALUE"""),"Neither")</f>
        <v>Neither</v>
      </c>
      <c r="Z1562" s="5" t="str">
        <f ca="1">IFERROR(__xludf.DUMMYFUNCTION("""COMPUTED_VALUE"""),"No")</f>
        <v>No</v>
      </c>
      <c r="AA1562" s="5"/>
      <c r="AB1562" s="5" t="str">
        <f ca="1">IFERROR(__xludf.DUMMYFUNCTION("""COMPUTED_VALUE"""),"Yes")</f>
        <v>Yes</v>
      </c>
      <c r="AC1562" s="5" t="str">
        <f ca="1">IFERROR(__xludf.DUMMYFUNCTION("""COMPUTED_VALUE"""),"Yes")</f>
        <v>Yes</v>
      </c>
      <c r="AD1562" s="5" t="str">
        <f ca="1">IFERROR(__xludf.DUMMYFUNCTION("""COMPUTED_VALUE"""),"No")</f>
        <v>No</v>
      </c>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IFERROR(__xludf.DUMMYFUNCTION("""COMPUTED_VALUE"""),"Yes")</f>
        <v>Yes</v>
      </c>
    </row>
    <row r="1563" spans="1:34" ht="12.75">
      <c r="A1563" s="5" t="str">
        <f ca="1">IFERROR(__xludf.DUMMYFUNCTION("""COMPUTED_VALUE"""),"19940525NJLAW")</f>
        <v>19940525NJLAW</v>
      </c>
      <c r="B1563" s="8">
        <f ca="1">IFERROR(__xludf.DUMMYFUNCTION("""COMPUTED_VALUE"""),34479)</f>
        <v>34479</v>
      </c>
      <c r="C1563" s="5" t="str">
        <f ca="1">IFERROR(__xludf.DUMMYFUNCTION("""COMPUTED_VALUE"""),"Lakeland Regional High School")</f>
        <v>Lakeland Regional High School</v>
      </c>
      <c r="D1563" s="5">
        <f ca="1">IFERROR(__xludf.DUMMYFUNCTION("""COMPUTED_VALUE"""),0)</f>
        <v>0</v>
      </c>
      <c r="E1563" s="5">
        <f ca="1">IFERROR(__xludf.DUMMYFUNCTION("""COMPUTED_VALUE"""),0)</f>
        <v>0</v>
      </c>
      <c r="F1563" s="5">
        <f ca="1">IFERROR(__xludf.DUMMYFUNCTION("""COMPUTED_VALUE"""),0)</f>
        <v>0</v>
      </c>
      <c r="G1563" s="5">
        <f ca="1">IFERROR(__xludf.DUMMYFUNCTION("""COMPUTED_VALUE"""),1)</f>
        <v>1</v>
      </c>
      <c r="H1563" s="9" t="str">
        <f ca="1">IFERROR(__xludf.DUMMYFUNCTION("""COMPUTED_VALUE"""),"https://www.newspapers.com/image/166926358/?terms=Amy%2BGamarello")</f>
        <v>https://www.newspapers.com/image/166926358/?terms=Amy%2BGamarello</v>
      </c>
      <c r="I1563" s="5"/>
      <c r="J1563" s="5"/>
      <c r="K1563" s="5">
        <f ca="1">IFERROR(__xludf.DUMMYFUNCTION("""COMPUTED_VALUE"""),2)</f>
        <v>2</v>
      </c>
      <c r="L1563" s="5" t="str">
        <f ca="1">IFERROR(__xludf.DUMMYFUNCTION("""COMPUTED_VALUE"""),"Spring")</f>
        <v>Spring</v>
      </c>
      <c r="M1563" s="5" t="str">
        <f ca="1">IFERROR(__xludf.DUMMYFUNCTION("""COMPUTED_VALUE"""),"Wanaque")</f>
        <v>Wanaque</v>
      </c>
      <c r="N1563" s="5" t="str">
        <f ca="1">IFERROR(__xludf.DUMMYFUNCTION("""COMPUTED_VALUE"""),"NJ")</f>
        <v>NJ</v>
      </c>
      <c r="O1563" s="5" t="str">
        <f ca="1">IFERROR(__xludf.DUMMYFUNCTION("""COMPUTED_VALUE"""),"High")</f>
        <v>High</v>
      </c>
      <c r="P1563" s="5" t="str">
        <f ca="1">IFERROR(__xludf.DUMMYFUNCTION("""COMPUTED_VALUE"""),"Beside Building")</f>
        <v>Beside Building</v>
      </c>
      <c r="Q1563" s="5" t="str">
        <f ca="1">IFERROR(__xludf.DUMMYFUNCTION("""COMPUTED_VALUE"""),"Outside on School Property")</f>
        <v>Outside on School Property</v>
      </c>
      <c r="R1563" s="5" t="str">
        <f ca="1">IFERROR(__xludf.DUMMYFUNCTION("""COMPUTED_VALUE"""),"Yes")</f>
        <v>Yes</v>
      </c>
      <c r="S1563" s="5" t="str">
        <f ca="1">IFERROR(__xludf.DUMMYFUNCTION("""COMPUTED_VALUE"""),"Morning Classes")</f>
        <v>Morning Classes</v>
      </c>
      <c r="T1563" s="10">
        <f ca="1">IFERROR(__xludf.DUMMYFUNCTION("""COMPUTED_VALUE"""),0.354166666666666)</f>
        <v>0.35416666666666602</v>
      </c>
      <c r="U1563" s="5">
        <f ca="1">IFERROR(__xludf.DUMMYFUNCTION("""COMPUTED_VALUE"""),1)</f>
        <v>1</v>
      </c>
      <c r="V1563" s="5" t="str">
        <f ca="1">IFERROR(__xludf.DUMMYFUNCTION("""COMPUTED_VALUE"""),"Shot herself behind the school")</f>
        <v>Shot herself behind the school</v>
      </c>
      <c r="W1563"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X1563" s="5" t="str">
        <f ca="1">IFERROR(__xludf.DUMMYFUNCTION("""COMPUTED_VALUE"""),"Suicide/Attempted")</f>
        <v>Suicide/Attempted</v>
      </c>
      <c r="Y1563" s="5" t="str">
        <f ca="1">IFERROR(__xludf.DUMMYFUNCTION("""COMPUTED_VALUE"""),"Victims Targeted")</f>
        <v>Victims Targeted</v>
      </c>
      <c r="Z1563" s="5" t="str">
        <f ca="1">IFERROR(__xludf.DUMMYFUNCTION("""COMPUTED_VALUE"""),"No")</f>
        <v>No</v>
      </c>
      <c r="AA1563" s="5"/>
      <c r="AB1563" s="5" t="str">
        <f ca="1">IFERROR(__xludf.DUMMYFUNCTION("""COMPUTED_VALUE"""),"No")</f>
        <v>No</v>
      </c>
      <c r="AC1563" s="5" t="str">
        <f ca="1">IFERROR(__xludf.DUMMYFUNCTION("""COMPUTED_VALUE"""),"No")</f>
        <v>No</v>
      </c>
      <c r="AD1563" s="5" t="str">
        <f ca="1">IFERROR(__xludf.DUMMYFUNCTION("""COMPUTED_VALUE"""),"No")</f>
        <v>No</v>
      </c>
      <c r="AE1563" s="5" t="str">
        <f ca="1">IFERROR(__xludf.DUMMYFUNCTION("""COMPUTED_VALUE"""),"No")</f>
        <v>No</v>
      </c>
      <c r="AF1563" s="5" t="str">
        <f ca="1">IFERROR(__xludf.DUMMYFUNCTION("""COMPUTED_VALUE"""),"No")</f>
        <v>No</v>
      </c>
      <c r="AG1563" s="5" t="str">
        <f ca="1">IFERROR(__xludf.DUMMYFUNCTION("""COMPUTED_VALUE"""),"No")</f>
        <v>No</v>
      </c>
      <c r="AH1563" s="5"/>
    </row>
    <row r="1564" spans="1:34" ht="12.75">
      <c r="A1564" s="5" t="str">
        <f ca="1">IFERROR(__xludf.DUMMYFUNCTION("""COMPUTED_VALUE"""),"19940525INLAS")</f>
        <v>19940525INLAS</v>
      </c>
      <c r="B1564" s="8">
        <f ca="1">IFERROR(__xludf.DUMMYFUNCTION("""COMPUTED_VALUE"""),34479)</f>
        <v>34479</v>
      </c>
      <c r="C1564" s="5" t="str">
        <f ca="1">IFERROR(__xludf.DUMMYFUNCTION("""COMPUTED_VALUE"""),"LaSalle High School")</f>
        <v>LaSalle High School</v>
      </c>
      <c r="D1564" s="5">
        <f ca="1">IFERROR(__xludf.DUMMYFUNCTION("""COMPUTED_VALUE"""),0)</f>
        <v>0</v>
      </c>
      <c r="E1564" s="5">
        <f ca="1">IFERROR(__xludf.DUMMYFUNCTION("""COMPUTED_VALUE"""),1)</f>
        <v>1</v>
      </c>
      <c r="F1564" s="5">
        <f ca="1">IFERROR(__xludf.DUMMYFUNCTION("""COMPUTED_VALUE"""),1)</f>
        <v>1</v>
      </c>
      <c r="G1564" s="5">
        <f ca="1">IFERROR(__xludf.DUMMYFUNCTION("""COMPUTED_VALUE"""),0)</f>
        <v>0</v>
      </c>
      <c r="H1564"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I1564" s="5"/>
      <c r="J1564" s="5"/>
      <c r="K1564" s="5">
        <f ca="1">IFERROR(__xludf.DUMMYFUNCTION("""COMPUTED_VALUE"""),3)</f>
        <v>3</v>
      </c>
      <c r="L1564" s="5" t="str">
        <f ca="1">IFERROR(__xludf.DUMMYFUNCTION("""COMPUTED_VALUE"""),"Spring")</f>
        <v>Spring</v>
      </c>
      <c r="M1564" s="5" t="str">
        <f ca="1">IFERROR(__xludf.DUMMYFUNCTION("""COMPUTED_VALUE"""),"South Bend")</f>
        <v>South Bend</v>
      </c>
      <c r="N1564" s="5" t="str">
        <f ca="1">IFERROR(__xludf.DUMMYFUNCTION("""COMPUTED_VALUE"""),"IN")</f>
        <v>IN</v>
      </c>
      <c r="O1564" s="5" t="str">
        <f ca="1">IFERROR(__xludf.DUMMYFUNCTION("""COMPUTED_VALUE"""),"High")</f>
        <v>High</v>
      </c>
      <c r="P1564" s="5" t="str">
        <f ca="1">IFERROR(__xludf.DUMMYFUNCTION("""COMPUTED_VALUE"""),"Parking Lot")</f>
        <v>Parking Lot</v>
      </c>
      <c r="Q1564" s="5" t="str">
        <f ca="1">IFERROR(__xludf.DUMMYFUNCTION("""COMPUTED_VALUE"""),"Outside on School Property")</f>
        <v>Outside on School Property</v>
      </c>
      <c r="R1564" s="5" t="str">
        <f ca="1">IFERROR(__xludf.DUMMYFUNCTION("""COMPUTED_VALUE"""),"Yes")</f>
        <v>Yes</v>
      </c>
      <c r="S1564" s="5" t="str">
        <f ca="1">IFERROR(__xludf.DUMMYFUNCTION("""COMPUTED_VALUE"""),"Lunch")</f>
        <v>Lunch</v>
      </c>
      <c r="T1564" s="10">
        <f ca="1">IFERROR(__xludf.DUMMYFUNCTION("""COMPUTED_VALUE"""),0.520833333333333)</f>
        <v>0.52083333333333304</v>
      </c>
      <c r="U1564" s="5">
        <f ca="1">IFERROR(__xludf.DUMMYFUNCTION("""COMPUTED_VALUE"""),1)</f>
        <v>1</v>
      </c>
      <c r="V1564" s="5" t="str">
        <f ca="1">IFERROR(__xludf.DUMMYFUNCTION("""COMPUTED_VALUE"""),"Fight ensued over stolen jewelry")</f>
        <v>Fight ensued over stolen jewelry</v>
      </c>
      <c r="W1564"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X1564" s="5" t="str">
        <f ca="1">IFERROR(__xludf.DUMMYFUNCTION("""COMPUTED_VALUE"""),"Illegal Activity")</f>
        <v>Illegal Activity</v>
      </c>
      <c r="Y1564" s="5" t="str">
        <f ca="1">IFERROR(__xludf.DUMMYFUNCTION("""COMPUTED_VALUE"""),"Victims Targeted")</f>
        <v>Victims Targeted</v>
      </c>
      <c r="Z1564" s="5" t="str">
        <f ca="1">IFERROR(__xludf.DUMMYFUNCTION("""COMPUTED_VALUE"""),"Yes")</f>
        <v>Yes</v>
      </c>
      <c r="AA1564" s="5" t="str">
        <f ca="1">IFERROR(__xludf.DUMMYFUNCTION("""COMPUTED_VALUE"""),"two accomplices, one gave shooter gun and other got rid of gun after shooting")</f>
        <v>two accomplices, one gave shooter gun and other got rid of gun after shooting</v>
      </c>
      <c r="AB1564" s="5" t="str">
        <f ca="1">IFERROR(__xludf.DUMMYFUNCTION("""COMPUTED_VALUE"""),"No")</f>
        <v>No</v>
      </c>
      <c r="AC1564" s="5" t="str">
        <f ca="1">IFERROR(__xludf.DUMMYFUNCTION("""COMPUTED_VALUE"""),"No")</f>
        <v>No</v>
      </c>
      <c r="AD1564" s="5" t="str">
        <f ca="1">IFERROR(__xludf.DUMMYFUNCTION("""COMPUTED_VALUE"""),"No")</f>
        <v>No</v>
      </c>
      <c r="AE1564" s="5" t="str">
        <f ca="1">IFERROR(__xludf.DUMMYFUNCTION("""COMPUTED_VALUE"""),"No")</f>
        <v>No</v>
      </c>
      <c r="AF1564" s="5" t="str">
        <f ca="1">IFERROR(__xludf.DUMMYFUNCTION("""COMPUTED_VALUE"""),"No")</f>
        <v>No</v>
      </c>
      <c r="AG1564" s="5" t="str">
        <f ca="1">IFERROR(__xludf.DUMMYFUNCTION("""COMPUTED_VALUE"""),"No")</f>
        <v>No</v>
      </c>
      <c r="AH1564" s="5" t="str">
        <f ca="1">IFERROR(__xludf.DUMMYFUNCTION("""COMPUTED_VALUE"""),"No")</f>
        <v>No</v>
      </c>
    </row>
    <row r="1565" spans="1:34" ht="12.75">
      <c r="A1565" s="5" t="str">
        <f ca="1">IFERROR(__xludf.DUMMYFUNCTION("""COMPUTED_VALUE"""),"19940502FLNON")</f>
        <v>19940502FLNON</v>
      </c>
      <c r="B1565" s="8">
        <f ca="1">IFERROR(__xludf.DUMMYFUNCTION("""COMPUTED_VALUE"""),34456)</f>
        <v>34456</v>
      </c>
      <c r="C1565" s="5" t="str">
        <f ca="1">IFERROR(__xludf.DUMMYFUNCTION("""COMPUTED_VALUE"""),"North Miami High School")</f>
        <v>North Miami High School</v>
      </c>
      <c r="D1565" s="5">
        <f ca="1">IFERROR(__xludf.DUMMYFUNCTION("""COMPUTED_VALUE"""),1)</f>
        <v>1</v>
      </c>
      <c r="E1565" s="5">
        <f ca="1">IFERROR(__xludf.DUMMYFUNCTION("""COMPUTED_VALUE"""),0)</f>
        <v>0</v>
      </c>
      <c r="F1565" s="5">
        <f ca="1">IFERROR(__xludf.DUMMYFUNCTION("""COMPUTED_VALUE"""),1)</f>
        <v>1</v>
      </c>
      <c r="G1565" s="5">
        <f ca="1">IFERROR(__xludf.DUMMYFUNCTION("""COMPUTED_VALUE"""),0)</f>
        <v>0</v>
      </c>
      <c r="H1565"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I1565" s="5"/>
      <c r="J1565" s="5"/>
      <c r="K1565" s="5">
        <f ca="1">IFERROR(__xludf.DUMMYFUNCTION("""COMPUTED_VALUE"""),2)</f>
        <v>2</v>
      </c>
      <c r="L1565" s="5" t="str">
        <f ca="1">IFERROR(__xludf.DUMMYFUNCTION("""COMPUTED_VALUE"""),"Spring")</f>
        <v>Spring</v>
      </c>
      <c r="M1565" s="5" t="str">
        <f ca="1">IFERROR(__xludf.DUMMYFUNCTION("""COMPUTED_VALUE"""),"North Miami")</f>
        <v>North Miami</v>
      </c>
      <c r="N1565" s="5" t="str">
        <f ca="1">IFERROR(__xludf.DUMMYFUNCTION("""COMPUTED_VALUE"""),"FL")</f>
        <v>FL</v>
      </c>
      <c r="O1565" s="5" t="str">
        <f ca="1">IFERROR(__xludf.DUMMYFUNCTION("""COMPUTED_VALUE"""),"High")</f>
        <v>High</v>
      </c>
      <c r="P1565" s="5" t="str">
        <f ca="1">IFERROR(__xludf.DUMMYFUNCTION("""COMPUTED_VALUE"""),"Parking Lot")</f>
        <v>Parking Lot</v>
      </c>
      <c r="Q1565" s="5" t="str">
        <f ca="1">IFERROR(__xludf.DUMMYFUNCTION("""COMPUTED_VALUE"""),"Outside on School Property")</f>
        <v>Outside on School Property</v>
      </c>
      <c r="R1565" s="5" t="str">
        <f ca="1">IFERROR(__xludf.DUMMYFUNCTION("""COMPUTED_VALUE"""),"Yes")</f>
        <v>Yes</v>
      </c>
      <c r="S1565" s="5" t="str">
        <f ca="1">IFERROR(__xludf.DUMMYFUNCTION("""COMPUTED_VALUE"""),"Lunch")</f>
        <v>Lunch</v>
      </c>
      <c r="T1565" s="10">
        <f ca="1">IFERROR(__xludf.DUMMYFUNCTION("""COMPUTED_VALUE"""),0.5)</f>
        <v>0.5</v>
      </c>
      <c r="U1565" s="5">
        <f ca="1">IFERROR(__xludf.DUMMYFUNCTION("""COMPUTED_VALUE"""),1)</f>
        <v>1</v>
      </c>
      <c r="V1565" s="5" t="str">
        <f ca="1">IFERROR(__xludf.DUMMYFUNCTION("""COMPUTED_VALUE"""),"Showing off gun, discharged and struck female student.")</f>
        <v>Showing off gun, discharged and struck female student.</v>
      </c>
      <c r="W1565"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X1565" s="5" t="str">
        <f ca="1">IFERROR(__xludf.DUMMYFUNCTION("""COMPUTED_VALUE"""),"Accidental")</f>
        <v>Accidental</v>
      </c>
      <c r="Y1565" s="5" t="str">
        <f ca="1">IFERROR(__xludf.DUMMYFUNCTION("""COMPUTED_VALUE"""),"Random Shooting")</f>
        <v>Random Shooting</v>
      </c>
      <c r="Z1565" s="5" t="str">
        <f ca="1">IFERROR(__xludf.DUMMYFUNCTION("""COMPUTED_VALUE"""),"No")</f>
        <v>No</v>
      </c>
      <c r="AA1565" s="5"/>
      <c r="AB1565" s="5" t="str">
        <f ca="1">IFERROR(__xludf.DUMMYFUNCTION("""COMPUTED_VALUE"""),"No")</f>
        <v>No</v>
      </c>
      <c r="AC1565" s="5" t="str">
        <f ca="1">IFERROR(__xludf.DUMMYFUNCTION("""COMPUTED_VALUE"""),"No")</f>
        <v>No</v>
      </c>
      <c r="AD1565" s="5" t="str">
        <f ca="1">IFERROR(__xludf.DUMMYFUNCTION("""COMPUTED_VALUE"""),"No")</f>
        <v>No</v>
      </c>
      <c r="AE1565" s="5" t="str">
        <f ca="1">IFERROR(__xludf.DUMMYFUNCTION("""COMPUTED_VALUE"""),"No")</f>
        <v>No</v>
      </c>
      <c r="AF1565" s="5" t="str">
        <f ca="1">IFERROR(__xludf.DUMMYFUNCTION("""COMPUTED_VALUE"""),"No")</f>
        <v>No</v>
      </c>
      <c r="AG1565" s="5" t="str">
        <f ca="1">IFERROR(__xludf.DUMMYFUNCTION("""COMPUTED_VALUE"""),"No")</f>
        <v>No</v>
      </c>
      <c r="AH1565" s="5"/>
    </row>
    <row r="1566" spans="1:34" ht="12.75">
      <c r="A1566" s="5" t="str">
        <f ca="1">IFERROR(__xludf.DUMMYFUNCTION("""COMPUTED_VALUE"""),"19940421TNJTN")</f>
        <v>19940421TNJTN</v>
      </c>
      <c r="B1566" s="8">
        <f ca="1">IFERROR(__xludf.DUMMYFUNCTION("""COMPUTED_VALUE"""),34445)</f>
        <v>34445</v>
      </c>
      <c r="C1566" s="5" t="str">
        <f ca="1">IFERROR(__xludf.DUMMYFUNCTION("""COMPUTED_VALUE"""),"J T Moore Middle School")</f>
        <v>J T Moore Middle School</v>
      </c>
      <c r="D1566" s="5">
        <f ca="1">IFERROR(__xludf.DUMMYFUNCTION("""COMPUTED_VALUE"""),1)</f>
        <v>1</v>
      </c>
      <c r="E1566" s="5">
        <f ca="1">IFERROR(__xludf.DUMMYFUNCTION("""COMPUTED_VALUE"""),0)</f>
        <v>0</v>
      </c>
      <c r="F1566" s="5">
        <f ca="1">IFERROR(__xludf.DUMMYFUNCTION("""COMPUTED_VALUE"""),1)</f>
        <v>1</v>
      </c>
      <c r="G1566" s="5">
        <f ca="1">IFERROR(__xludf.DUMMYFUNCTION("""COMPUTED_VALUE"""),0)</f>
        <v>0</v>
      </c>
      <c r="H1566"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I1566" s="5"/>
      <c r="J1566" s="5" t="str">
        <f ca="1">IFERROR(__xludf.DUMMYFUNCTION("""COMPUTED_VALUE"""),"Regional")</f>
        <v>Regional</v>
      </c>
      <c r="K1566" s="5">
        <f ca="1">IFERROR(__xludf.DUMMYFUNCTION("""COMPUTED_VALUE"""),4)</f>
        <v>4</v>
      </c>
      <c r="L1566" s="5" t="str">
        <f ca="1">IFERROR(__xludf.DUMMYFUNCTION("""COMPUTED_VALUE"""),"Spring")</f>
        <v>Spring</v>
      </c>
      <c r="M1566" s="5" t="str">
        <f ca="1">IFERROR(__xludf.DUMMYFUNCTION("""COMPUTED_VALUE"""),"Nashville")</f>
        <v>Nashville</v>
      </c>
      <c r="N1566" s="5" t="str">
        <f ca="1">IFERROR(__xludf.DUMMYFUNCTION("""COMPUTED_VALUE"""),"TN")</f>
        <v>TN</v>
      </c>
      <c r="O1566" s="5" t="str">
        <f ca="1">IFERROR(__xludf.DUMMYFUNCTION("""COMPUTED_VALUE"""),"Middle")</f>
        <v>Middle</v>
      </c>
      <c r="P1566" s="5" t="str">
        <f ca="1">IFERROR(__xludf.DUMMYFUNCTION("""COMPUTED_VALUE"""),"Classroom")</f>
        <v>Classroom</v>
      </c>
      <c r="Q1566" s="5" t="str">
        <f ca="1">IFERROR(__xludf.DUMMYFUNCTION("""COMPUTED_VALUE"""),"Inside School Building")</f>
        <v>Inside School Building</v>
      </c>
      <c r="R1566" s="5" t="str">
        <f ca="1">IFERROR(__xludf.DUMMYFUNCTION("""COMPUTED_VALUE"""),"Yes")</f>
        <v>Yes</v>
      </c>
      <c r="S1566" s="5" t="str">
        <f ca="1">IFERROR(__xludf.DUMMYFUNCTION("""COMPUTED_VALUE"""),"Afternoon Classes")</f>
        <v>Afternoon Classes</v>
      </c>
      <c r="T1566" s="10">
        <f ca="1">IFERROR(__xludf.DUMMYFUNCTION("""COMPUTED_VALUE"""),0.5625)</f>
        <v>0.5625</v>
      </c>
      <c r="U1566" s="5">
        <f ca="1">IFERROR(__xludf.DUMMYFUNCTION("""COMPUTED_VALUE"""),1)</f>
        <v>1</v>
      </c>
      <c r="V1566" s="5" t="str">
        <f ca="1">IFERROR(__xludf.DUMMYFUNCTION("""COMPUTED_VALUE"""),"Accidental discharge in classroom")</f>
        <v>Accidental discharge in classroom</v>
      </c>
      <c r="W1566"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X1566" s="5" t="str">
        <f ca="1">IFERROR(__xludf.DUMMYFUNCTION("""COMPUTED_VALUE"""),"Accidental")</f>
        <v>Accidental</v>
      </c>
      <c r="Y1566" s="5" t="str">
        <f ca="1">IFERROR(__xludf.DUMMYFUNCTION("""COMPUTED_VALUE"""),"Neither")</f>
        <v>Neither</v>
      </c>
      <c r="Z1566" s="5" t="str">
        <f ca="1">IFERROR(__xludf.DUMMYFUNCTION("""COMPUTED_VALUE"""),"No")</f>
        <v>No</v>
      </c>
      <c r="AA1566" s="5"/>
      <c r="AB1566" s="5" t="str">
        <f ca="1">IFERROR(__xludf.DUMMYFUNCTION("""COMPUTED_VALUE"""),"No")</f>
        <v>No</v>
      </c>
      <c r="AC1566" s="5" t="str">
        <f ca="1">IFERROR(__xludf.DUMMYFUNCTION("""COMPUTED_VALUE"""),"No")</f>
        <v>No</v>
      </c>
      <c r="AD1566" s="5" t="str">
        <f ca="1">IFERROR(__xludf.DUMMYFUNCTION("""COMPUTED_VALUE"""),"No")</f>
        <v>No</v>
      </c>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IFERROR(__xludf.DUMMYFUNCTION("""COMPUTED_VALUE"""),"No")</f>
        <v>No</v>
      </c>
    </row>
    <row r="1567" spans="1:34" ht="12.75">
      <c r="A1567" s="5" t="str">
        <f ca="1">IFERROR(__xludf.DUMMYFUNCTION("""COMPUTED_VALUE"""),"19940420INDIS")</f>
        <v>19940420INDIS</v>
      </c>
      <c r="B1567" s="8">
        <f ca="1">IFERROR(__xludf.DUMMYFUNCTION("""COMPUTED_VALUE"""),34444)</f>
        <v>34444</v>
      </c>
      <c r="C1567" s="5" t="str">
        <f ca="1">IFERROR(__xludf.DUMMYFUNCTION("""COMPUTED_VALUE"""),"Dickinson Middle School")</f>
        <v>Dickinson Middle School</v>
      </c>
      <c r="D1567" s="5">
        <f ca="1">IFERROR(__xludf.DUMMYFUNCTION("""COMPUTED_VALUE"""),0)</f>
        <v>0</v>
      </c>
      <c r="E1567" s="5">
        <f ca="1">IFERROR(__xludf.DUMMYFUNCTION("""COMPUTED_VALUE"""),1)</f>
        <v>1</v>
      </c>
      <c r="F1567" s="5">
        <f ca="1">IFERROR(__xludf.DUMMYFUNCTION("""COMPUTED_VALUE"""),1)</f>
        <v>1</v>
      </c>
      <c r="G1567" s="5">
        <f ca="1">IFERROR(__xludf.DUMMYFUNCTION("""COMPUTED_VALUE"""),0)</f>
        <v>0</v>
      </c>
      <c r="H1567"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I1567" s="5"/>
      <c r="J1567" s="5"/>
      <c r="K1567" s="5">
        <f ca="1">IFERROR(__xludf.DUMMYFUNCTION("""COMPUTED_VALUE"""),2)</f>
        <v>2</v>
      </c>
      <c r="L1567" s="5" t="str">
        <f ca="1">IFERROR(__xludf.DUMMYFUNCTION("""COMPUTED_VALUE"""),"Spring")</f>
        <v>Spring</v>
      </c>
      <c r="M1567" s="5" t="str">
        <f ca="1">IFERROR(__xludf.DUMMYFUNCTION("""COMPUTED_VALUE"""),"South Bend")</f>
        <v>South Bend</v>
      </c>
      <c r="N1567" s="5" t="str">
        <f ca="1">IFERROR(__xludf.DUMMYFUNCTION("""COMPUTED_VALUE"""),"IN")</f>
        <v>IN</v>
      </c>
      <c r="O1567" s="5" t="str">
        <f ca="1">IFERROR(__xludf.DUMMYFUNCTION("""COMPUTED_VALUE"""),"Middle")</f>
        <v>Middle</v>
      </c>
      <c r="P1567" s="5" t="str">
        <f ca="1">IFERROR(__xludf.DUMMYFUNCTION("""COMPUTED_VALUE"""),"Classroom")</f>
        <v>Classroom</v>
      </c>
      <c r="Q1567" s="5" t="str">
        <f ca="1">IFERROR(__xludf.DUMMYFUNCTION("""COMPUTED_VALUE"""),"Inside School Building")</f>
        <v>Inside School Building</v>
      </c>
      <c r="R1567" s="5" t="str">
        <f ca="1">IFERROR(__xludf.DUMMYFUNCTION("""COMPUTED_VALUE"""),"Yes")</f>
        <v>Yes</v>
      </c>
      <c r="S1567" s="5" t="str">
        <f ca="1">IFERROR(__xludf.DUMMYFUNCTION("""COMPUTED_VALUE"""),"Morning Classes")</f>
        <v>Morning Classes</v>
      </c>
      <c r="T1567" s="10">
        <f ca="1">IFERROR(__xludf.DUMMYFUNCTION("""COMPUTED_VALUE"""),0)</f>
        <v>0</v>
      </c>
      <c r="U1567" s="5">
        <f ca="1">IFERROR(__xludf.DUMMYFUNCTION("""COMPUTED_VALUE"""),1)</f>
        <v>1</v>
      </c>
      <c r="V1567" s="5" t="str">
        <f ca="1">IFERROR(__xludf.DUMMYFUNCTION("""COMPUTED_VALUE"""),"Accidental shooting")</f>
        <v>Accidental shooting</v>
      </c>
      <c r="W1567"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X1567" s="5" t="str">
        <f ca="1">IFERROR(__xludf.DUMMYFUNCTION("""COMPUTED_VALUE"""),"Accidental")</f>
        <v>Accidental</v>
      </c>
      <c r="Y1567" s="5" t="str">
        <f ca="1">IFERROR(__xludf.DUMMYFUNCTION("""COMPUTED_VALUE"""),"Random Shooting")</f>
        <v>Random Shooting</v>
      </c>
      <c r="Z1567" s="5" t="str">
        <f ca="1">IFERROR(__xludf.DUMMYFUNCTION("""COMPUTED_VALUE"""),"No")</f>
        <v>No</v>
      </c>
      <c r="AA1567" s="5"/>
      <c r="AB1567" s="5" t="str">
        <f ca="1">IFERROR(__xludf.DUMMYFUNCTION("""COMPUTED_VALUE"""),"No")</f>
        <v>No</v>
      </c>
      <c r="AC1567" s="5"/>
      <c r="AD1567" s="5" t="str">
        <f ca="1">IFERROR(__xludf.DUMMYFUNCTION("""COMPUTED_VALUE"""),"No")</f>
        <v>No</v>
      </c>
      <c r="AE1567" s="5" t="str">
        <f ca="1">IFERROR(__xludf.DUMMYFUNCTION("""COMPUTED_VALUE"""),"No")</f>
        <v>No</v>
      </c>
      <c r="AF1567" s="5" t="str">
        <f ca="1">IFERROR(__xludf.DUMMYFUNCTION("""COMPUTED_VALUE"""),"No")</f>
        <v>No</v>
      </c>
      <c r="AG1567" s="5"/>
      <c r="AH1567" s="5" t="str">
        <f ca="1">IFERROR(__xludf.DUMMYFUNCTION("""COMPUTED_VALUE"""),"No")</f>
        <v>No</v>
      </c>
    </row>
    <row r="1568" spans="1:34" ht="12.75">
      <c r="A1568" s="5" t="str">
        <f ca="1">IFERROR(__xludf.DUMMYFUNCTION("""COMPUTED_VALUE"""),"19940419DCELW")</f>
        <v>19940419DCELW</v>
      </c>
      <c r="B1568" s="8">
        <f ca="1">IFERROR(__xludf.DUMMYFUNCTION("""COMPUTED_VALUE"""),34443)</f>
        <v>34443</v>
      </c>
      <c r="C1568" s="5" t="str">
        <f ca="1">IFERROR(__xludf.DUMMYFUNCTION("""COMPUTED_VALUE"""),"Eliot Junior High School")</f>
        <v>Eliot Junior High School</v>
      </c>
      <c r="D1568" s="5">
        <f ca="1">IFERROR(__xludf.DUMMYFUNCTION("""COMPUTED_VALUE"""),1)</f>
        <v>1</v>
      </c>
      <c r="E1568" s="5">
        <f ca="1">IFERROR(__xludf.DUMMYFUNCTION("""COMPUTED_VALUE"""),0)</f>
        <v>0</v>
      </c>
      <c r="F1568" s="5">
        <f ca="1">IFERROR(__xludf.DUMMYFUNCTION("""COMPUTED_VALUE"""),1)</f>
        <v>1</v>
      </c>
      <c r="G1568" s="5">
        <f ca="1">IFERROR(__xludf.DUMMYFUNCTION("""COMPUTED_VALUE"""),0)</f>
        <v>0</v>
      </c>
      <c r="H1568"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I1568" s="5"/>
      <c r="J1568" s="5"/>
      <c r="K1568" s="5">
        <f ca="1">IFERROR(__xludf.DUMMYFUNCTION("""COMPUTED_VALUE"""),2)</f>
        <v>2</v>
      </c>
      <c r="L1568" s="5" t="str">
        <f ca="1">IFERROR(__xludf.DUMMYFUNCTION("""COMPUTED_VALUE"""),"Spring")</f>
        <v>Spring</v>
      </c>
      <c r="M1568" s="5" t="str">
        <f ca="1">IFERROR(__xludf.DUMMYFUNCTION("""COMPUTED_VALUE"""),"Washington")</f>
        <v>Washington</v>
      </c>
      <c r="N1568" s="5" t="str">
        <f ca="1">IFERROR(__xludf.DUMMYFUNCTION("""COMPUTED_VALUE"""),"DC")</f>
        <v>DC</v>
      </c>
      <c r="O1568" s="5" t="str">
        <f ca="1">IFERROR(__xludf.DUMMYFUNCTION("""COMPUTED_VALUE"""),"High")</f>
        <v>High</v>
      </c>
      <c r="P1568" s="5" t="str">
        <f ca="1">IFERROR(__xludf.DUMMYFUNCTION("""COMPUTED_VALUE"""),"Front of School")</f>
        <v>Front of School</v>
      </c>
      <c r="Q1568" s="5" t="str">
        <f ca="1">IFERROR(__xludf.DUMMYFUNCTION("""COMPUTED_VALUE"""),"Outside on School Property")</f>
        <v>Outside on School Property</v>
      </c>
      <c r="R1568" s="5" t="str">
        <f ca="1">IFERROR(__xludf.DUMMYFUNCTION("""COMPUTED_VALUE"""),"No")</f>
        <v>No</v>
      </c>
      <c r="S1568" s="5" t="str">
        <f ca="1">IFERROR(__xludf.DUMMYFUNCTION("""COMPUTED_VALUE"""),"Night")</f>
        <v>Night</v>
      </c>
      <c r="T1568" s="5"/>
      <c r="U1568" s="5">
        <f ca="1">IFERROR(__xludf.DUMMYFUNCTION("""COMPUTED_VALUE"""),1)</f>
        <v>1</v>
      </c>
      <c r="V1568" s="5" t="str">
        <f ca="1">IFERROR(__xludf.DUMMYFUNCTION("""COMPUTED_VALUE"""),"Shot overnight, found dead on steps, no suspects")</f>
        <v>Shot overnight, found dead on steps, no suspects</v>
      </c>
      <c r="W1568"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X1568" s="5" t="str">
        <f ca="1">IFERROR(__xludf.DUMMYFUNCTION("""COMPUTED_VALUE"""),"Unknown")</f>
        <v>Unknown</v>
      </c>
      <c r="Y1568" s="5"/>
      <c r="Z1568" s="5" t="str">
        <f ca="1">IFERROR(__xludf.DUMMYFUNCTION("""COMPUTED_VALUE"""),"No")</f>
        <v>No</v>
      </c>
      <c r="AA1568" s="5"/>
      <c r="AB1568" s="5" t="str">
        <f ca="1">IFERROR(__xludf.DUMMYFUNCTION("""COMPUTED_VALUE"""),"No")</f>
        <v>No</v>
      </c>
      <c r="AC1568" s="5" t="str">
        <f ca="1">IFERROR(__xludf.DUMMYFUNCTION("""COMPUTED_VALUE"""),"No")</f>
        <v>No</v>
      </c>
      <c r="AD1568" s="5" t="str">
        <f ca="1">IFERROR(__xludf.DUMMYFUNCTION("""COMPUTED_VALUE"""),"No")</f>
        <v>No</v>
      </c>
      <c r="AE1568" s="5" t="str">
        <f ca="1">IFERROR(__xludf.DUMMYFUNCTION("""COMPUTED_VALUE"""),"No")</f>
        <v>No</v>
      </c>
      <c r="AF1568" s="5" t="str">
        <f ca="1">IFERROR(__xludf.DUMMYFUNCTION("""COMPUTED_VALUE"""),"No")</f>
        <v>No</v>
      </c>
      <c r="AG1568" s="5"/>
      <c r="AH1568" s="5"/>
    </row>
    <row r="1569" spans="1:34" ht="12.75">
      <c r="A1569" s="5" t="str">
        <f ca="1">IFERROR(__xludf.DUMMYFUNCTION("""COMPUTED_VALUE"""),"19940413CA49L")</f>
        <v>19940413CA49L</v>
      </c>
      <c r="B1569" s="8">
        <f ca="1">IFERROR(__xludf.DUMMYFUNCTION("""COMPUTED_VALUE"""),34437)</f>
        <v>34437</v>
      </c>
      <c r="C1569" s="5" t="str">
        <f ca="1">IFERROR(__xludf.DUMMYFUNCTION("""COMPUTED_VALUE"""),"49th Street Elementary School")</f>
        <v>49th Street Elementary School</v>
      </c>
      <c r="D1569" s="5">
        <f ca="1">IFERROR(__xludf.DUMMYFUNCTION("""COMPUTED_VALUE"""),0)</f>
        <v>0</v>
      </c>
      <c r="E1569" s="5">
        <f ca="1">IFERROR(__xludf.DUMMYFUNCTION("""COMPUTED_VALUE"""),0)</f>
        <v>0</v>
      </c>
      <c r="F1569" s="5">
        <f ca="1">IFERROR(__xludf.DUMMYFUNCTION("""COMPUTED_VALUE"""),0)</f>
        <v>0</v>
      </c>
      <c r="G1569" s="5">
        <f ca="1">IFERROR(__xludf.DUMMYFUNCTION("""COMPUTED_VALUE"""),1)</f>
        <v>1</v>
      </c>
      <c r="H1569"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I1569" s="5"/>
      <c r="J1569" s="5"/>
      <c r="K1569" s="5">
        <f ca="1">IFERROR(__xludf.DUMMYFUNCTION("""COMPUTED_VALUE"""),2)</f>
        <v>2</v>
      </c>
      <c r="L1569" s="5" t="str">
        <f ca="1">IFERROR(__xludf.DUMMYFUNCTION("""COMPUTED_VALUE"""),"Spring")</f>
        <v>Spring</v>
      </c>
      <c r="M1569" s="5" t="str">
        <f ca="1">IFERROR(__xludf.DUMMYFUNCTION("""COMPUTED_VALUE"""),"Los Angeles")</f>
        <v>Los Angeles</v>
      </c>
      <c r="N1569" s="5" t="str">
        <f ca="1">IFERROR(__xludf.DUMMYFUNCTION("""COMPUTED_VALUE"""),"CA")</f>
        <v>CA</v>
      </c>
      <c r="O1569" s="5" t="str">
        <f ca="1">IFERROR(__xludf.DUMMYFUNCTION("""COMPUTED_VALUE"""),"Elementary")</f>
        <v>Elementary</v>
      </c>
      <c r="P1569" s="5" t="str">
        <f ca="1">IFERROR(__xludf.DUMMYFUNCTION("""COMPUTED_VALUE"""),"Front of School")</f>
        <v>Front of School</v>
      </c>
      <c r="Q1569" s="5" t="str">
        <f ca="1">IFERROR(__xludf.DUMMYFUNCTION("""COMPUTED_VALUE"""),"Outside on School Property")</f>
        <v>Outside on School Property</v>
      </c>
      <c r="R1569" s="5" t="str">
        <f ca="1">IFERROR(__xludf.DUMMYFUNCTION("""COMPUTED_VALUE"""),"Yes")</f>
        <v>Yes</v>
      </c>
      <c r="S1569" s="5" t="str">
        <f ca="1">IFERROR(__xludf.DUMMYFUNCTION("""COMPUTED_VALUE"""),"Before School")</f>
        <v>Before School</v>
      </c>
      <c r="T1569" s="5"/>
      <c r="U1569" s="5">
        <f ca="1">IFERROR(__xludf.DUMMYFUNCTION("""COMPUTED_VALUE"""),1)</f>
        <v>1</v>
      </c>
      <c r="V1569" s="5" t="str">
        <f ca="1">IFERROR(__xludf.DUMMYFUNCTION("""COMPUTED_VALUE"""),"Commit suicide at school, upset about disciplinary problems")</f>
        <v>Commit suicide at school, upset about disciplinary problems</v>
      </c>
      <c r="W1569"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X1569" s="5" t="str">
        <f ca="1">IFERROR(__xludf.DUMMYFUNCTION("""COMPUTED_VALUE"""),"Suicide/Attempted")</f>
        <v>Suicide/Attempted</v>
      </c>
      <c r="Y1569" s="5" t="str">
        <f ca="1">IFERROR(__xludf.DUMMYFUNCTION("""COMPUTED_VALUE"""),"Victims Targeted")</f>
        <v>Victims Targeted</v>
      </c>
      <c r="Z1569" s="5" t="str">
        <f ca="1">IFERROR(__xludf.DUMMYFUNCTION("""COMPUTED_VALUE"""),"No")</f>
        <v>No</v>
      </c>
      <c r="AA1569" s="5"/>
      <c r="AB1569" s="5" t="str">
        <f ca="1">IFERROR(__xludf.DUMMYFUNCTION("""COMPUTED_VALUE"""),"No")</f>
        <v>No</v>
      </c>
      <c r="AC1569" s="5" t="str">
        <f ca="1">IFERROR(__xludf.DUMMYFUNCTION("""COMPUTED_VALUE"""),"No")</f>
        <v>No</v>
      </c>
      <c r="AD1569" s="5" t="str">
        <f ca="1">IFERROR(__xludf.DUMMYFUNCTION("""COMPUTED_VALUE"""),"No")</f>
        <v>No</v>
      </c>
      <c r="AE1569" s="5" t="str">
        <f ca="1">IFERROR(__xludf.DUMMYFUNCTION("""COMPUTED_VALUE"""),"No")</f>
        <v>No</v>
      </c>
      <c r="AF1569" s="5" t="str">
        <f ca="1">IFERROR(__xludf.DUMMYFUNCTION("""COMPUTED_VALUE"""),"No")</f>
        <v>No</v>
      </c>
      <c r="AG1569" s="5" t="str">
        <f ca="1">IFERROR(__xludf.DUMMYFUNCTION("""COMPUTED_VALUE"""),"No")</f>
        <v>No</v>
      </c>
      <c r="AH1569" s="5"/>
    </row>
    <row r="1570" spans="1:34" ht="12.75">
      <c r="A1570" s="5" t="str">
        <f ca="1">IFERROR(__xludf.DUMMYFUNCTION("""COMPUTED_VALUE"""),"19940412MTMAB")</f>
        <v>19940412MTMAB</v>
      </c>
      <c r="B1570" s="8">
        <f ca="1">IFERROR(__xludf.DUMMYFUNCTION("""COMPUTED_VALUE"""),34436)</f>
        <v>34436</v>
      </c>
      <c r="C1570" s="5" t="str">
        <f ca="1">IFERROR(__xludf.DUMMYFUNCTION("""COMPUTED_VALUE"""),"Margaret Leary Elementary School")</f>
        <v>Margaret Leary Elementary School</v>
      </c>
      <c r="D1570" s="5">
        <f ca="1">IFERROR(__xludf.DUMMYFUNCTION("""COMPUTED_VALUE"""),1)</f>
        <v>1</v>
      </c>
      <c r="E1570" s="5">
        <f ca="1">IFERROR(__xludf.DUMMYFUNCTION("""COMPUTED_VALUE"""),0)</f>
        <v>0</v>
      </c>
      <c r="F1570" s="5">
        <f ca="1">IFERROR(__xludf.DUMMYFUNCTION("""COMPUTED_VALUE"""),1)</f>
        <v>1</v>
      </c>
      <c r="G1570" s="5">
        <f ca="1">IFERROR(__xludf.DUMMYFUNCTION("""COMPUTED_VALUE"""),0)</f>
        <v>0</v>
      </c>
      <c r="H1570"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I1570" s="5"/>
      <c r="J1570" s="5"/>
      <c r="K1570" s="5">
        <f ca="1">IFERROR(__xludf.DUMMYFUNCTION("""COMPUTED_VALUE"""),4)</f>
        <v>4</v>
      </c>
      <c r="L1570" s="5" t="str">
        <f ca="1">IFERROR(__xludf.DUMMYFUNCTION("""COMPUTED_VALUE"""),"Spring")</f>
        <v>Spring</v>
      </c>
      <c r="M1570" s="5" t="str">
        <f ca="1">IFERROR(__xludf.DUMMYFUNCTION("""COMPUTED_VALUE"""),"Butte")</f>
        <v>Butte</v>
      </c>
      <c r="N1570" s="5" t="str">
        <f ca="1">IFERROR(__xludf.DUMMYFUNCTION("""COMPUTED_VALUE"""),"MT")</f>
        <v>MT</v>
      </c>
      <c r="O1570" s="5" t="str">
        <f ca="1">IFERROR(__xludf.DUMMYFUNCTION("""COMPUTED_VALUE"""),"Elementary")</f>
        <v>Elementary</v>
      </c>
      <c r="P1570" s="5" t="str">
        <f ca="1">IFERROR(__xludf.DUMMYFUNCTION("""COMPUTED_VALUE"""),"Playground")</f>
        <v>Playground</v>
      </c>
      <c r="Q1570" s="5" t="str">
        <f ca="1">IFERROR(__xludf.DUMMYFUNCTION("""COMPUTED_VALUE"""),"Outside on School Property")</f>
        <v>Outside on School Property</v>
      </c>
      <c r="R1570" s="5" t="str">
        <f ca="1">IFERROR(__xludf.DUMMYFUNCTION("""COMPUTED_VALUE"""),"Yes")</f>
        <v>Yes</v>
      </c>
      <c r="S1570" s="5" t="str">
        <f ca="1">IFERROR(__xludf.DUMMYFUNCTION("""COMPUTED_VALUE"""),"Before School")</f>
        <v>Before School</v>
      </c>
      <c r="T1570" s="5"/>
      <c r="U1570" s="5">
        <f ca="1">IFERROR(__xludf.DUMMYFUNCTION("""COMPUTED_VALUE"""),1)</f>
        <v>1</v>
      </c>
      <c r="V1570" s="5" t="str">
        <f ca="1">IFERROR(__xludf.DUMMYFUNCTION("""COMPUTED_VALUE"""),"Shot at bully, missed and struck other student")</f>
        <v>Shot at bully, missed and struck other student</v>
      </c>
      <c r="W1570"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X1570" s="5" t="str">
        <f ca="1">IFERROR(__xludf.DUMMYFUNCTION("""COMPUTED_VALUE"""),"Bullying")</f>
        <v>Bullying</v>
      </c>
      <c r="Y1570" s="5" t="str">
        <f ca="1">IFERROR(__xludf.DUMMYFUNCTION("""COMPUTED_VALUE"""),"Random Shooting")</f>
        <v>Random Shooting</v>
      </c>
      <c r="Z1570" s="5" t="str">
        <f ca="1">IFERROR(__xludf.DUMMYFUNCTION("""COMPUTED_VALUE"""),"No")</f>
        <v>No</v>
      </c>
      <c r="AA1570" s="5"/>
      <c r="AB1570" s="5" t="str">
        <f ca="1">IFERROR(__xludf.DUMMYFUNCTION("""COMPUTED_VALUE"""),"No")</f>
        <v>No</v>
      </c>
      <c r="AC1570" s="5" t="str">
        <f ca="1">IFERROR(__xludf.DUMMYFUNCTION("""COMPUTED_VALUE"""),"No")</f>
        <v>No</v>
      </c>
      <c r="AD1570" s="5" t="str">
        <f ca="1">IFERROR(__xludf.DUMMYFUNCTION("""COMPUTED_VALUE"""),"No")</f>
        <v>No</v>
      </c>
      <c r="AE1570" s="5" t="str">
        <f ca="1">IFERROR(__xludf.DUMMYFUNCTION("""COMPUTED_VALUE"""),"Yes")</f>
        <v>Yes</v>
      </c>
      <c r="AF1570" s="5" t="str">
        <f ca="1">IFERROR(__xludf.DUMMYFUNCTION("""COMPUTED_VALUE"""),"No")</f>
        <v>No</v>
      </c>
      <c r="AG1570" s="5" t="str">
        <f ca="1">IFERROR(__xludf.DUMMYFUNCTION("""COMPUTED_VALUE"""),"No")</f>
        <v>No</v>
      </c>
      <c r="AH1570" s="5" t="str">
        <f ca="1">IFERROR(__xludf.DUMMYFUNCTION("""COMPUTED_VALUE"""),"No")</f>
        <v>No</v>
      </c>
    </row>
    <row r="1571" spans="1:34" ht="12.75">
      <c r="A1571" s="5" t="str">
        <f ca="1">IFERROR(__xludf.DUMMYFUNCTION("""COMPUTED_VALUE"""),"19940408MDLAU")</f>
        <v>19940408MDLAU</v>
      </c>
      <c r="B1571" s="8">
        <f ca="1">IFERROR(__xludf.DUMMYFUNCTION("""COMPUTED_VALUE"""),34432)</f>
        <v>34432</v>
      </c>
      <c r="C1571" s="5" t="str">
        <f ca="1">IFERROR(__xludf.DUMMYFUNCTION("""COMPUTED_VALUE"""),"Largo High School")</f>
        <v>Largo High School</v>
      </c>
      <c r="D1571" s="5">
        <f ca="1">IFERROR(__xludf.DUMMYFUNCTION("""COMPUTED_VALUE"""),0)</f>
        <v>0</v>
      </c>
      <c r="E1571" s="5">
        <f ca="1">IFERROR(__xludf.DUMMYFUNCTION("""COMPUTED_VALUE"""),1)</f>
        <v>1</v>
      </c>
      <c r="F1571" s="5">
        <f ca="1">IFERROR(__xludf.DUMMYFUNCTION("""COMPUTED_VALUE"""),1)</f>
        <v>1</v>
      </c>
      <c r="G1571" s="5">
        <f ca="1">IFERROR(__xludf.DUMMYFUNCTION("""COMPUTED_VALUE"""),0)</f>
        <v>0</v>
      </c>
      <c r="H1571"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I1571" s="5"/>
      <c r="J1571" s="5"/>
      <c r="K1571" s="5">
        <f ca="1">IFERROR(__xludf.DUMMYFUNCTION("""COMPUTED_VALUE"""),1)</f>
        <v>1</v>
      </c>
      <c r="L1571" s="5" t="str">
        <f ca="1">IFERROR(__xludf.DUMMYFUNCTION("""COMPUTED_VALUE"""),"Spring")</f>
        <v>Spring</v>
      </c>
      <c r="M1571" s="5" t="str">
        <f ca="1">IFERROR(__xludf.DUMMYFUNCTION("""COMPUTED_VALUE"""),"Upper Marlboro")</f>
        <v>Upper Marlboro</v>
      </c>
      <c r="N1571" s="5" t="str">
        <f ca="1">IFERROR(__xludf.DUMMYFUNCTION("""COMPUTED_VALUE"""),"MD")</f>
        <v>MD</v>
      </c>
      <c r="O1571" s="5" t="str">
        <f ca="1">IFERROR(__xludf.DUMMYFUNCTION("""COMPUTED_VALUE"""),"High")</f>
        <v>High</v>
      </c>
      <c r="P1571" s="5" t="str">
        <f ca="1">IFERROR(__xludf.DUMMYFUNCTION("""COMPUTED_VALUE"""),"Bathroom")</f>
        <v>Bathroom</v>
      </c>
      <c r="Q1571" s="5" t="str">
        <f ca="1">IFERROR(__xludf.DUMMYFUNCTION("""COMPUTED_VALUE"""),"Inside School Building")</f>
        <v>Inside School Building</v>
      </c>
      <c r="R1571" s="5" t="str">
        <f ca="1">IFERROR(__xludf.DUMMYFUNCTION("""COMPUTED_VALUE"""),"Yes")</f>
        <v>Yes</v>
      </c>
      <c r="S1571" s="5" t="str">
        <f ca="1">IFERROR(__xludf.DUMMYFUNCTION("""COMPUTED_VALUE"""),"Morning Classes")</f>
        <v>Morning Classes</v>
      </c>
      <c r="T1571" s="10">
        <f ca="1">IFERROR(__xludf.DUMMYFUNCTION("""COMPUTED_VALUE"""),0.375)</f>
        <v>0.375</v>
      </c>
      <c r="U1571" s="5">
        <f ca="1">IFERROR(__xludf.DUMMYFUNCTION("""COMPUTED_VALUE"""),1)</f>
        <v>1</v>
      </c>
      <c r="V1571" s="5" t="str">
        <f ca="1">IFERROR(__xludf.DUMMYFUNCTION("""COMPUTED_VALUE"""),"Teacher asked student to give him the gun in the bathroom, where student shot the teacher in the chest.")</f>
        <v>Teacher asked student to give him the gun in the bathroom, where student shot the teacher in the chest.</v>
      </c>
      <c r="W1571"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X1571" s="5" t="str">
        <f ca="1">IFERROR(__xludf.DUMMYFUNCTION("""COMPUTED_VALUE"""),"Indiscriminate Shooting")</f>
        <v>Indiscriminate Shooting</v>
      </c>
      <c r="Y1571" s="5" t="str">
        <f ca="1">IFERROR(__xludf.DUMMYFUNCTION("""COMPUTED_VALUE"""),"Random Shooting")</f>
        <v>Random Shooting</v>
      </c>
      <c r="Z1571" s="5" t="str">
        <f ca="1">IFERROR(__xludf.DUMMYFUNCTION("""COMPUTED_VALUE"""),"No")</f>
        <v>No</v>
      </c>
      <c r="AA1571" s="5"/>
      <c r="AB1571" s="5" t="str">
        <f ca="1">IFERROR(__xludf.DUMMYFUNCTION("""COMPUTED_VALUE"""),"No")</f>
        <v>No</v>
      </c>
      <c r="AC1571" s="5" t="str">
        <f ca="1">IFERROR(__xludf.DUMMYFUNCTION("""COMPUTED_VALUE"""),"No")</f>
        <v>No</v>
      </c>
      <c r="AD1571" s="5" t="str">
        <f ca="1">IFERROR(__xludf.DUMMYFUNCTION("""COMPUTED_VALUE"""),"No")</f>
        <v>No</v>
      </c>
      <c r="AE1571" s="5" t="str">
        <f ca="1">IFERROR(__xludf.DUMMYFUNCTION("""COMPUTED_VALUE"""),"No")</f>
        <v>No</v>
      </c>
      <c r="AF1571" s="5" t="str">
        <f ca="1">IFERROR(__xludf.DUMMYFUNCTION("""COMPUTED_VALUE"""),"No")</f>
        <v>No</v>
      </c>
      <c r="AG1571" s="5" t="str">
        <f ca="1">IFERROR(__xludf.DUMMYFUNCTION("""COMPUTED_VALUE"""),"No")</f>
        <v>No</v>
      </c>
      <c r="AH1571" s="5"/>
    </row>
    <row r="1572" spans="1:34" ht="12.75">
      <c r="A1572" s="5" t="str">
        <f ca="1">IFERROR(__xludf.DUMMYFUNCTION("""COMPUTED_VALUE"""),"19940405TXMCA")</f>
        <v>19940405TXMCA</v>
      </c>
      <c r="B1572" s="8">
        <f ca="1">IFERROR(__xludf.DUMMYFUNCTION("""COMPUTED_VALUE"""),34429)</f>
        <v>34429</v>
      </c>
      <c r="C1572" s="5" t="str">
        <f ca="1">IFERROR(__xludf.DUMMYFUNCTION("""COMPUTED_VALUE"""),"McNeil High School")</f>
        <v>McNeil High School</v>
      </c>
      <c r="D1572" s="5">
        <f ca="1">IFERROR(__xludf.DUMMYFUNCTION("""COMPUTED_VALUE"""),0)</f>
        <v>0</v>
      </c>
      <c r="E1572" s="5">
        <f ca="1">IFERROR(__xludf.DUMMYFUNCTION("""COMPUTED_VALUE"""),2)</f>
        <v>2</v>
      </c>
      <c r="F1572" s="5">
        <f ca="1">IFERROR(__xludf.DUMMYFUNCTION("""COMPUTED_VALUE"""),2)</f>
        <v>2</v>
      </c>
      <c r="G1572" s="5">
        <f ca="1">IFERROR(__xludf.DUMMYFUNCTION("""COMPUTED_VALUE"""),0)</f>
        <v>0</v>
      </c>
      <c r="H1572"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I1572" s="5"/>
      <c r="J1572" s="5"/>
      <c r="K1572" s="5">
        <f ca="1">IFERROR(__xludf.DUMMYFUNCTION("""COMPUTED_VALUE"""),2)</f>
        <v>2</v>
      </c>
      <c r="L1572" s="5" t="str">
        <f ca="1">IFERROR(__xludf.DUMMYFUNCTION("""COMPUTED_VALUE"""),"Spring")</f>
        <v>Spring</v>
      </c>
      <c r="M1572" s="5" t="str">
        <f ca="1">IFERROR(__xludf.DUMMYFUNCTION("""COMPUTED_VALUE"""),"Austin")</f>
        <v>Austin</v>
      </c>
      <c r="N1572" s="5" t="str">
        <f ca="1">IFERROR(__xludf.DUMMYFUNCTION("""COMPUTED_VALUE"""),"TX")</f>
        <v>TX</v>
      </c>
      <c r="O1572" s="5" t="str">
        <f ca="1">IFERROR(__xludf.DUMMYFUNCTION("""COMPUTED_VALUE"""),"High")</f>
        <v>High</v>
      </c>
      <c r="P1572" s="5" t="str">
        <f ca="1">IFERROR(__xludf.DUMMYFUNCTION("""COMPUTED_VALUE"""),"Classroom")</f>
        <v>Classroom</v>
      </c>
      <c r="Q1572" s="5" t="str">
        <f ca="1">IFERROR(__xludf.DUMMYFUNCTION("""COMPUTED_VALUE"""),"Inside School Building")</f>
        <v>Inside School Building</v>
      </c>
      <c r="R1572" s="5" t="str">
        <f ca="1">IFERROR(__xludf.DUMMYFUNCTION("""COMPUTED_VALUE"""),"Yes")</f>
        <v>Yes</v>
      </c>
      <c r="S1572" s="5"/>
      <c r="T1572" s="5"/>
      <c r="U1572" s="5">
        <f ca="1">IFERROR(__xludf.DUMMYFUNCTION("""COMPUTED_VALUE"""),1)</f>
        <v>1</v>
      </c>
      <c r="V1572" s="5" t="str">
        <f ca="1">IFERROR(__xludf.DUMMYFUNCTION("""COMPUTED_VALUE"""),"Accidental discharge in backpack, owner had prior charges of theft/burglary.")</f>
        <v>Accidental discharge in backpack, owner had prior charges of theft/burglary.</v>
      </c>
      <c r="W1572"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X1572" s="5" t="str">
        <f ca="1">IFERROR(__xludf.DUMMYFUNCTION("""COMPUTED_VALUE"""),"Accidental")</f>
        <v>Accidental</v>
      </c>
      <c r="Y1572" s="5" t="str">
        <f ca="1">IFERROR(__xludf.DUMMYFUNCTION("""COMPUTED_VALUE"""),"Random Shooting")</f>
        <v>Random Shooting</v>
      </c>
      <c r="Z1572" s="5" t="str">
        <f ca="1">IFERROR(__xludf.DUMMYFUNCTION("""COMPUTED_VALUE"""),"Yes")</f>
        <v>Yes</v>
      </c>
      <c r="AA1572" s="5" t="str">
        <f ca="1">IFERROR(__xludf.DUMMYFUNCTION("""COMPUTED_VALUE"""),"Group of three students involved with robberies and guns. All charged.")</f>
        <v>Group of three students involved with robberies and guns. All charged.</v>
      </c>
      <c r="AB1572" s="5" t="str">
        <f ca="1">IFERROR(__xludf.DUMMYFUNCTION("""COMPUTED_VALUE"""),"No")</f>
        <v>No</v>
      </c>
      <c r="AC1572" s="5" t="str">
        <f ca="1">IFERROR(__xludf.DUMMYFUNCTION("""COMPUTED_VALUE"""),"No")</f>
        <v>No</v>
      </c>
      <c r="AD1572" s="5" t="str">
        <f ca="1">IFERROR(__xludf.DUMMYFUNCTION("""COMPUTED_VALUE"""),"No")</f>
        <v>No</v>
      </c>
      <c r="AE1572" s="5" t="str">
        <f ca="1">IFERROR(__xludf.DUMMYFUNCTION("""COMPUTED_VALUE"""),"No")</f>
        <v>No</v>
      </c>
      <c r="AF1572" s="5" t="str">
        <f ca="1">IFERROR(__xludf.DUMMYFUNCTION("""COMPUTED_VALUE"""),"No")</f>
        <v>No</v>
      </c>
      <c r="AG1572" s="5" t="str">
        <f ca="1">IFERROR(__xludf.DUMMYFUNCTION("""COMPUTED_VALUE"""),"No")</f>
        <v>No</v>
      </c>
      <c r="AH1572" s="5"/>
    </row>
    <row r="1573" spans="1:34" ht="12.75">
      <c r="A1573" s="5" t="str">
        <f ca="1">IFERROR(__xludf.DUMMYFUNCTION("""COMPUTED_VALUE"""),"19940325GAETC")</f>
        <v>19940325GAETC</v>
      </c>
      <c r="B1573" s="8">
        <f ca="1">IFERROR(__xludf.DUMMYFUNCTION("""COMPUTED_VALUE"""),34418)</f>
        <v>34418</v>
      </c>
      <c r="C1573" s="5" t="str">
        <f ca="1">IFERROR(__xludf.DUMMYFUNCTION("""COMPUTED_VALUE"""),"Etowah High School")</f>
        <v>Etowah High School</v>
      </c>
      <c r="D1573" s="5">
        <f ca="1">IFERROR(__xludf.DUMMYFUNCTION("""COMPUTED_VALUE"""),0)</f>
        <v>0</v>
      </c>
      <c r="E1573" s="5">
        <f ca="1">IFERROR(__xludf.DUMMYFUNCTION("""COMPUTED_VALUE"""),0)</f>
        <v>0</v>
      </c>
      <c r="F1573" s="5">
        <f ca="1">IFERROR(__xludf.DUMMYFUNCTION("""COMPUTED_VALUE"""),0)</f>
        <v>0</v>
      </c>
      <c r="G1573" s="5">
        <f ca="1">IFERROR(__xludf.DUMMYFUNCTION("""COMPUTED_VALUE"""),1)</f>
        <v>1</v>
      </c>
      <c r="H1573"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I1573" s="5"/>
      <c r="J1573" s="5"/>
      <c r="K1573" s="5">
        <f ca="1">IFERROR(__xludf.DUMMYFUNCTION("""COMPUTED_VALUE"""),1)</f>
        <v>1</v>
      </c>
      <c r="L1573" s="5" t="str">
        <f ca="1">IFERROR(__xludf.DUMMYFUNCTION("""COMPUTED_VALUE"""),"Spring")</f>
        <v>Spring</v>
      </c>
      <c r="M1573" s="5" t="str">
        <f ca="1">IFERROR(__xludf.DUMMYFUNCTION("""COMPUTED_VALUE"""),"Cherokee County")</f>
        <v>Cherokee County</v>
      </c>
      <c r="N1573" s="5" t="str">
        <f ca="1">IFERROR(__xludf.DUMMYFUNCTION("""COMPUTED_VALUE"""),"GA")</f>
        <v>GA</v>
      </c>
      <c r="O1573" s="5" t="str">
        <f ca="1">IFERROR(__xludf.DUMMYFUNCTION("""COMPUTED_VALUE"""),"High")</f>
        <v>High</v>
      </c>
      <c r="P1573" s="5" t="str">
        <f ca="1">IFERROR(__xludf.DUMMYFUNCTION("""COMPUTED_VALUE"""),"Classroom")</f>
        <v>Classroom</v>
      </c>
      <c r="Q1573" s="5" t="str">
        <f ca="1">IFERROR(__xludf.DUMMYFUNCTION("""COMPUTED_VALUE"""),"Inside School Building")</f>
        <v>Inside School Building</v>
      </c>
      <c r="R1573" s="5" t="str">
        <f ca="1">IFERROR(__xludf.DUMMYFUNCTION("""COMPUTED_VALUE"""),"Yes")</f>
        <v>Yes</v>
      </c>
      <c r="S1573" s="5"/>
      <c r="T1573" s="5"/>
      <c r="U1573" s="5"/>
      <c r="V1573" s="5" t="str">
        <f ca="1">IFERROR(__xludf.DUMMYFUNCTION("""COMPUTED_VALUE"""),"Suicide in classroom after being bullied")</f>
        <v>Suicide in classroom after being bullied</v>
      </c>
      <c r="W1573"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X1573" s="5" t="str">
        <f ca="1">IFERROR(__xludf.DUMMYFUNCTION("""COMPUTED_VALUE"""),"Suicide/Attempted")</f>
        <v>Suicide/Attempted</v>
      </c>
      <c r="Y1573" s="5" t="str">
        <f ca="1">IFERROR(__xludf.DUMMYFUNCTION("""COMPUTED_VALUE"""),"Victims Targeted")</f>
        <v>Victims Targeted</v>
      </c>
      <c r="Z1573" s="5" t="str">
        <f ca="1">IFERROR(__xludf.DUMMYFUNCTION("""COMPUTED_VALUE"""),"No")</f>
        <v>No</v>
      </c>
      <c r="AA1573" s="5"/>
      <c r="AB1573" s="5" t="str">
        <f ca="1">IFERROR(__xludf.DUMMYFUNCTION("""COMPUTED_VALUE"""),"No")</f>
        <v>No</v>
      </c>
      <c r="AC1573" s="5" t="str">
        <f ca="1">IFERROR(__xludf.DUMMYFUNCTION("""COMPUTED_VALUE"""),"No")</f>
        <v>No</v>
      </c>
      <c r="AD1573" s="5" t="str">
        <f ca="1">IFERROR(__xludf.DUMMYFUNCTION("""COMPUTED_VALUE"""),"No")</f>
        <v>No</v>
      </c>
      <c r="AE1573" s="5" t="str">
        <f ca="1">IFERROR(__xludf.DUMMYFUNCTION("""COMPUTED_VALUE"""),"Yes")</f>
        <v>Yes</v>
      </c>
      <c r="AF1573" s="5" t="str">
        <f ca="1">IFERROR(__xludf.DUMMYFUNCTION("""COMPUTED_VALUE"""),"No")</f>
        <v>No</v>
      </c>
      <c r="AG1573" s="5" t="str">
        <f ca="1">IFERROR(__xludf.DUMMYFUNCTION("""COMPUTED_VALUE"""),"No")</f>
        <v>No</v>
      </c>
      <c r="AH1573" s="5"/>
    </row>
    <row r="1574" spans="1:34" ht="12.75">
      <c r="A1574" s="5" t="str">
        <f ca="1">IFERROR(__xludf.DUMMYFUNCTION("""COMPUTED_VALUE"""),"19940323WABAS")</f>
        <v>19940323WABAS</v>
      </c>
      <c r="B1574" s="8">
        <f ca="1">IFERROR(__xludf.DUMMYFUNCTION("""COMPUTED_VALUE"""),34416)</f>
        <v>34416</v>
      </c>
      <c r="C1574" s="5" t="str">
        <f ca="1">IFERROR(__xludf.DUMMYFUNCTION("""COMPUTED_VALUE"""),"Ballard High School")</f>
        <v>Ballard High School</v>
      </c>
      <c r="D1574" s="5">
        <f ca="1">IFERROR(__xludf.DUMMYFUNCTION("""COMPUTED_VALUE"""),1)</f>
        <v>1</v>
      </c>
      <c r="E1574" s="5">
        <f ca="1">IFERROR(__xludf.DUMMYFUNCTION("""COMPUTED_VALUE"""),1)</f>
        <v>1</v>
      </c>
      <c r="F1574" s="5">
        <f ca="1">IFERROR(__xludf.DUMMYFUNCTION("""COMPUTED_VALUE"""),2)</f>
        <v>2</v>
      </c>
      <c r="G1574" s="5">
        <f ca="1">IFERROR(__xludf.DUMMYFUNCTION("""COMPUTED_VALUE"""),0)</f>
        <v>0</v>
      </c>
      <c r="H1574"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I1574" s="5"/>
      <c r="J1574" s="5"/>
      <c r="K1574" s="5">
        <f ca="1">IFERROR(__xludf.DUMMYFUNCTION("""COMPUTED_VALUE"""),2)</f>
        <v>2</v>
      </c>
      <c r="L1574" s="5" t="str">
        <f ca="1">IFERROR(__xludf.DUMMYFUNCTION("""COMPUTED_VALUE"""),"Spring")</f>
        <v>Spring</v>
      </c>
      <c r="M1574" s="5" t="str">
        <f ca="1">IFERROR(__xludf.DUMMYFUNCTION("""COMPUTED_VALUE"""),"Seattle")</f>
        <v>Seattle</v>
      </c>
      <c r="N1574" s="5" t="str">
        <f ca="1">IFERROR(__xludf.DUMMYFUNCTION("""COMPUTED_VALUE"""),"WA")</f>
        <v>WA</v>
      </c>
      <c r="O1574" s="5" t="str">
        <f ca="1">IFERROR(__xludf.DUMMYFUNCTION("""COMPUTED_VALUE"""),"High")</f>
        <v>High</v>
      </c>
      <c r="P1574" s="5" t="str">
        <f ca="1">IFERROR(__xludf.DUMMYFUNCTION("""COMPUTED_VALUE"""),"Parking Lot")</f>
        <v>Parking Lot</v>
      </c>
      <c r="Q1574" s="5" t="str">
        <f ca="1">IFERROR(__xludf.DUMMYFUNCTION("""COMPUTED_VALUE"""),"Outside on School Property")</f>
        <v>Outside on School Property</v>
      </c>
      <c r="R1574" s="5" t="str">
        <f ca="1">IFERROR(__xludf.DUMMYFUNCTION("""COMPUTED_VALUE"""),"Yes")</f>
        <v>Yes</v>
      </c>
      <c r="S1574" s="5" t="str">
        <f ca="1">IFERROR(__xludf.DUMMYFUNCTION("""COMPUTED_VALUE"""),"Lunch")</f>
        <v>Lunch</v>
      </c>
      <c r="T1574" s="10">
        <f ca="1">IFERROR(__xludf.DUMMYFUNCTION("""COMPUTED_VALUE"""),0.5)</f>
        <v>0.5</v>
      </c>
      <c r="U1574" s="5">
        <f ca="1">IFERROR(__xludf.DUMMYFUNCTION("""COMPUTED_VALUE"""),1)</f>
        <v>1</v>
      </c>
      <c r="V1574" s="5" t="str">
        <f ca="1">IFERROR(__xludf.DUMMYFUNCTION("""COMPUTED_VALUE"""),"Bystander student struck during gang drive-by shooting")</f>
        <v>Bystander student struck during gang drive-by shooting</v>
      </c>
      <c r="W1574"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X1574" s="5" t="str">
        <f ca="1">IFERROR(__xludf.DUMMYFUNCTION("""COMPUTED_VALUE"""),"Drive-by Shooting")</f>
        <v>Drive-by Shooting</v>
      </c>
      <c r="Y1574" s="5" t="str">
        <f ca="1">IFERROR(__xludf.DUMMYFUNCTION("""COMPUTED_VALUE"""),"Random Shooting")</f>
        <v>Random Shooting</v>
      </c>
      <c r="Z1574" s="5" t="str">
        <f ca="1">IFERROR(__xludf.DUMMYFUNCTION("""COMPUTED_VALUE"""),"No")</f>
        <v>No</v>
      </c>
      <c r="AA1574" s="5"/>
      <c r="AB1574" s="5" t="str">
        <f ca="1">IFERROR(__xludf.DUMMYFUNCTION("""COMPUTED_VALUE"""),"No")</f>
        <v>No</v>
      </c>
      <c r="AC1574" s="5" t="str">
        <f ca="1">IFERROR(__xludf.DUMMYFUNCTION("""COMPUTED_VALUE"""),"No")</f>
        <v>No</v>
      </c>
      <c r="AD1574" s="5" t="str">
        <f ca="1">IFERROR(__xludf.DUMMYFUNCTION("""COMPUTED_VALUE"""),"No")</f>
        <v>No</v>
      </c>
      <c r="AE1574" s="5" t="str">
        <f ca="1">IFERROR(__xludf.DUMMYFUNCTION("""COMPUTED_VALUE"""),"No")</f>
        <v>No</v>
      </c>
      <c r="AF1574" s="5" t="str">
        <f ca="1">IFERROR(__xludf.DUMMYFUNCTION("""COMPUTED_VALUE"""),"No")</f>
        <v>No</v>
      </c>
      <c r="AG1574" s="5" t="str">
        <f ca="1">IFERROR(__xludf.DUMMYFUNCTION("""COMPUTED_VALUE"""),"Yes")</f>
        <v>Yes</v>
      </c>
      <c r="AH1574" s="5"/>
    </row>
    <row r="1575" spans="1:34" ht="12.75">
      <c r="A1575" s="5" t="str">
        <f ca="1">IFERROR(__xludf.DUMMYFUNCTION("""COMPUTED_VALUE"""),"19940315SCGOC")</f>
        <v>19940315SCGOC</v>
      </c>
      <c r="B1575" s="8">
        <f ca="1">IFERROR(__xludf.DUMMYFUNCTION("""COMPUTED_VALUE"""),34408)</f>
        <v>34408</v>
      </c>
      <c r="C1575" s="5" t="str">
        <f ca="1">IFERROR(__xludf.DUMMYFUNCTION("""COMPUTED_VALUE"""),"Goose Creek High School")</f>
        <v>Goose Creek High School</v>
      </c>
      <c r="D1575" s="5">
        <f ca="1">IFERROR(__xludf.DUMMYFUNCTION("""COMPUTED_VALUE"""),1)</f>
        <v>1</v>
      </c>
      <c r="E1575" s="5">
        <f ca="1">IFERROR(__xludf.DUMMYFUNCTION("""COMPUTED_VALUE"""),0)</f>
        <v>0</v>
      </c>
      <c r="F1575" s="5">
        <f ca="1">IFERROR(__xludf.DUMMYFUNCTION("""COMPUTED_VALUE"""),1)</f>
        <v>1</v>
      </c>
      <c r="G1575" s="5">
        <f ca="1">IFERROR(__xludf.DUMMYFUNCTION("""COMPUTED_VALUE"""),0)</f>
        <v>0</v>
      </c>
      <c r="H1575" s="9" t="str">
        <f ca="1">IFERROR(__xludf.DUMMYFUNCTION("""COMPUTED_VALUE"""),"http://www.wistv.com/story/23589594/school-shootings-in-south-carolina")</f>
        <v>http://www.wistv.com/story/23589594/school-shootings-in-south-carolina</v>
      </c>
      <c r="I1575" s="5"/>
      <c r="J1575" s="5"/>
      <c r="K1575" s="5">
        <f ca="1">IFERROR(__xludf.DUMMYFUNCTION("""COMPUTED_VALUE"""),2)</f>
        <v>2</v>
      </c>
      <c r="L1575" s="5" t="str">
        <f ca="1">IFERROR(__xludf.DUMMYFUNCTION("""COMPUTED_VALUE"""),"Spring")</f>
        <v>Spring</v>
      </c>
      <c r="M1575" s="5" t="str">
        <f ca="1">IFERROR(__xludf.DUMMYFUNCTION("""COMPUTED_VALUE"""),"Charleston")</f>
        <v>Charleston</v>
      </c>
      <c r="N1575" s="5" t="str">
        <f ca="1">IFERROR(__xludf.DUMMYFUNCTION("""COMPUTED_VALUE"""),"SC")</f>
        <v>SC</v>
      </c>
      <c r="O1575" s="5" t="str">
        <f ca="1">IFERROR(__xludf.DUMMYFUNCTION("""COMPUTED_VALUE"""),"High")</f>
        <v>High</v>
      </c>
      <c r="P1575" s="5" t="str">
        <f ca="1">IFERROR(__xludf.DUMMYFUNCTION("""COMPUTED_VALUE"""),"Outside on School Property")</f>
        <v>Outside on School Property</v>
      </c>
      <c r="Q1575" s="5" t="str">
        <f ca="1">IFERROR(__xludf.DUMMYFUNCTION("""COMPUTED_VALUE"""),"Outside on School Property")</f>
        <v>Outside on School Property</v>
      </c>
      <c r="R1575" s="5" t="str">
        <f ca="1">IFERROR(__xludf.DUMMYFUNCTION("""COMPUTED_VALUE"""),"No")</f>
        <v>No</v>
      </c>
      <c r="S1575" s="5" t="str">
        <f ca="1">IFERROR(__xludf.DUMMYFUNCTION("""COMPUTED_VALUE"""),"After School")</f>
        <v>After School</v>
      </c>
      <c r="T1575" s="5"/>
      <c r="U1575" s="5">
        <f ca="1">IFERROR(__xludf.DUMMYFUNCTION("""COMPUTED_VALUE"""),1)</f>
        <v>1</v>
      </c>
      <c r="V1575" s="5" t="str">
        <f ca="1">IFERROR(__xludf.DUMMYFUNCTION("""COMPUTED_VALUE"""),"Bystander shot during fight that escalated")</f>
        <v>Bystander shot during fight that escalated</v>
      </c>
      <c r="W1575" s="5" t="str">
        <f ca="1">IFERROR(__xludf.DUMMYFUNCTION("""COMPUTED_VALUE"""),"Student was shot in the head while watching a fist fight that escalated into a shooting.")</f>
        <v>Student was shot in the head while watching a fist fight that escalated into a shooting.</v>
      </c>
      <c r="X1575" s="5" t="str">
        <f ca="1">IFERROR(__xludf.DUMMYFUNCTION("""COMPUTED_VALUE"""),"Escalation of Dispute")</f>
        <v>Escalation of Dispute</v>
      </c>
      <c r="Y1575" s="5" t="str">
        <f ca="1">IFERROR(__xludf.DUMMYFUNCTION("""COMPUTED_VALUE"""),"Random Shooting")</f>
        <v>Random Shooting</v>
      </c>
      <c r="Z1575" s="5" t="str">
        <f ca="1">IFERROR(__xludf.DUMMYFUNCTION("""COMPUTED_VALUE"""),"No")</f>
        <v>No</v>
      </c>
      <c r="AA1575" s="5"/>
      <c r="AB1575" s="5" t="str">
        <f ca="1">IFERROR(__xludf.DUMMYFUNCTION("""COMPUTED_VALUE"""),"No")</f>
        <v>No</v>
      </c>
      <c r="AC1575" s="5" t="str">
        <f ca="1">IFERROR(__xludf.DUMMYFUNCTION("""COMPUTED_VALUE"""),"No")</f>
        <v>No</v>
      </c>
      <c r="AD1575" s="5" t="str">
        <f ca="1">IFERROR(__xludf.DUMMYFUNCTION("""COMPUTED_VALUE"""),"No")</f>
        <v>No</v>
      </c>
      <c r="AE1575" s="5" t="str">
        <f ca="1">IFERROR(__xludf.DUMMYFUNCTION("""COMPUTED_VALUE"""),"No")</f>
        <v>No</v>
      </c>
      <c r="AF1575" s="5" t="str">
        <f ca="1">IFERROR(__xludf.DUMMYFUNCTION("""COMPUTED_VALUE"""),"No")</f>
        <v>No</v>
      </c>
      <c r="AG1575" s="5" t="str">
        <f ca="1">IFERROR(__xludf.DUMMYFUNCTION("""COMPUTED_VALUE"""),"No")</f>
        <v>No</v>
      </c>
      <c r="AH1575" s="5"/>
    </row>
    <row r="1576" spans="1:34" ht="12.75">
      <c r="A1576" s="5" t="str">
        <f ca="1">IFERROR(__xludf.DUMMYFUNCTION("""COMPUTED_VALUE"""),"19940309DCEAW")</f>
        <v>19940309DCEAW</v>
      </c>
      <c r="B1576" s="8">
        <f ca="1">IFERROR(__xludf.DUMMYFUNCTION("""COMPUTED_VALUE"""),34402)</f>
        <v>34402</v>
      </c>
      <c r="C1576" s="5" t="str">
        <f ca="1">IFERROR(__xludf.DUMMYFUNCTION("""COMPUTED_VALUE"""),"Eastern High School")</f>
        <v>Eastern High School</v>
      </c>
      <c r="D1576" s="5">
        <f ca="1">IFERROR(__xludf.DUMMYFUNCTION("""COMPUTED_VALUE"""),1)</f>
        <v>1</v>
      </c>
      <c r="E1576" s="5">
        <f ca="1">IFERROR(__xludf.DUMMYFUNCTION("""COMPUTED_VALUE"""),0)</f>
        <v>0</v>
      </c>
      <c r="F1576" s="5">
        <f ca="1">IFERROR(__xludf.DUMMYFUNCTION("""COMPUTED_VALUE"""),1)</f>
        <v>1</v>
      </c>
      <c r="G1576" s="5">
        <f ca="1">IFERROR(__xludf.DUMMYFUNCTION("""COMPUTED_VALUE"""),0)</f>
        <v>0</v>
      </c>
      <c r="H1576" s="9" t="str">
        <f ca="1">IFERROR(__xludf.DUMMYFUNCTION("""COMPUTED_VALUE"""),"http://www.columbine-angels.com/School_Violence_1993-1994.htm")</f>
        <v>http://www.columbine-angels.com/School_Violence_1993-1994.htm</v>
      </c>
      <c r="I1576" s="5"/>
      <c r="J1576" s="5"/>
      <c r="K1576" s="5">
        <f ca="1">IFERROR(__xludf.DUMMYFUNCTION("""COMPUTED_VALUE"""),3)</f>
        <v>3</v>
      </c>
      <c r="L1576" s="5" t="str">
        <f ca="1">IFERROR(__xludf.DUMMYFUNCTION("""COMPUTED_VALUE"""),"Spring")</f>
        <v>Spring</v>
      </c>
      <c r="M1576" s="5" t="str">
        <f ca="1">IFERROR(__xludf.DUMMYFUNCTION("""COMPUTED_VALUE"""),"Washington")</f>
        <v>Washington</v>
      </c>
      <c r="N1576" s="5" t="str">
        <f ca="1">IFERROR(__xludf.DUMMYFUNCTION("""COMPUTED_VALUE"""),"DC")</f>
        <v>DC</v>
      </c>
      <c r="O1576" s="5" t="str">
        <f ca="1">IFERROR(__xludf.DUMMYFUNCTION("""COMPUTED_VALUE"""),"High")</f>
        <v>High</v>
      </c>
      <c r="P1576" s="5" t="str">
        <f ca="1">IFERROR(__xludf.DUMMYFUNCTION("""COMPUTED_VALUE"""),"Cafeteria")</f>
        <v>Cafeteria</v>
      </c>
      <c r="Q1576" s="5" t="str">
        <f ca="1">IFERROR(__xludf.DUMMYFUNCTION("""COMPUTED_VALUE"""),"Inside School Building")</f>
        <v>Inside School Building</v>
      </c>
      <c r="R1576" s="5" t="str">
        <f ca="1">IFERROR(__xludf.DUMMYFUNCTION("""COMPUTED_VALUE"""),"Yes")</f>
        <v>Yes</v>
      </c>
      <c r="S1576" s="5" t="str">
        <f ca="1">IFERROR(__xludf.DUMMYFUNCTION("""COMPUTED_VALUE"""),"Lunch")</f>
        <v>Lunch</v>
      </c>
      <c r="T1576" s="10">
        <f ca="1">IFERROR(__xludf.DUMMYFUNCTION("""COMPUTED_VALUE"""),0.458333333333333)</f>
        <v>0.45833333333333298</v>
      </c>
      <c r="U1576" s="5">
        <f ca="1">IFERROR(__xludf.DUMMYFUNCTION("""COMPUTED_VALUE"""),1)</f>
        <v>1</v>
      </c>
      <c r="V1576" s="5" t="str">
        <f ca="1">IFERROR(__xludf.DUMMYFUNCTION("""COMPUTED_VALUE"""),"Shots fired during fight")</f>
        <v>Shots fired during fight</v>
      </c>
      <c r="W1576"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X1576" s="5" t="str">
        <f ca="1">IFERROR(__xludf.DUMMYFUNCTION("""COMPUTED_VALUE"""),"Escalation of Dispute")</f>
        <v>Escalation of Dispute</v>
      </c>
      <c r="Y1576" s="5" t="str">
        <f ca="1">IFERROR(__xludf.DUMMYFUNCTION("""COMPUTED_VALUE"""),"Victims Targeted")</f>
        <v>Victims Targeted</v>
      </c>
      <c r="Z1576" s="5" t="str">
        <f ca="1">IFERROR(__xludf.DUMMYFUNCTION("""COMPUTED_VALUE"""),"No")</f>
        <v>No</v>
      </c>
      <c r="AA1576" s="5"/>
      <c r="AB1576" s="5" t="str">
        <f ca="1">IFERROR(__xludf.DUMMYFUNCTION("""COMPUTED_VALUE"""),"No")</f>
        <v>No</v>
      </c>
      <c r="AC1576" s="5" t="str">
        <f ca="1">IFERROR(__xludf.DUMMYFUNCTION("""COMPUTED_VALUE"""),"No")</f>
        <v>No</v>
      </c>
      <c r="AD1576" s="5" t="str">
        <f ca="1">IFERROR(__xludf.DUMMYFUNCTION("""COMPUTED_VALUE"""),"No")</f>
        <v>No</v>
      </c>
      <c r="AE1576" s="5" t="str">
        <f ca="1">IFERROR(__xludf.DUMMYFUNCTION("""COMPUTED_VALUE"""),"No")</f>
        <v>No</v>
      </c>
      <c r="AF1576" s="5" t="str">
        <f ca="1">IFERROR(__xludf.DUMMYFUNCTION("""COMPUTED_VALUE"""),"No")</f>
        <v>No</v>
      </c>
      <c r="AG1576" s="5" t="str">
        <f ca="1">IFERROR(__xludf.DUMMYFUNCTION("""COMPUTED_VALUE"""),"No")</f>
        <v>No</v>
      </c>
      <c r="AH1576" s="5" t="str">
        <f ca="1">IFERROR(__xludf.DUMMYFUNCTION("""COMPUTED_VALUE"""),"No")</f>
        <v>No</v>
      </c>
    </row>
    <row r="1577" spans="1:34" ht="12.75">
      <c r="A1577" s="5" t="str">
        <f ca="1">IFERROR(__xludf.DUMMYFUNCTION("""COMPUTED_VALUE"""),"19940303ALENB")</f>
        <v>19940303ALENB</v>
      </c>
      <c r="B1577" s="8">
        <f ca="1">IFERROR(__xludf.DUMMYFUNCTION("""COMPUTED_VALUE"""),34396)</f>
        <v>34396</v>
      </c>
      <c r="C1577" s="5" t="str">
        <f ca="1">IFERROR(__xludf.DUMMYFUNCTION("""COMPUTED_VALUE"""),"Ensley High School")</f>
        <v>Ensley High School</v>
      </c>
      <c r="D1577" s="5">
        <f ca="1">IFERROR(__xludf.DUMMYFUNCTION("""COMPUTED_VALUE"""),0)</f>
        <v>0</v>
      </c>
      <c r="E1577" s="5">
        <f ca="1">IFERROR(__xludf.DUMMYFUNCTION("""COMPUTED_VALUE"""),1)</f>
        <v>1</v>
      </c>
      <c r="F1577" s="5">
        <f ca="1">IFERROR(__xludf.DUMMYFUNCTION("""COMPUTED_VALUE"""),1)</f>
        <v>1</v>
      </c>
      <c r="G1577" s="5">
        <f ca="1">IFERROR(__xludf.DUMMYFUNCTION("""COMPUTED_VALUE"""),0)</f>
        <v>0</v>
      </c>
      <c r="H1577"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I1577" s="5"/>
      <c r="J1577" s="5"/>
      <c r="K1577" s="5">
        <f ca="1">IFERROR(__xludf.DUMMYFUNCTION("""COMPUTED_VALUE"""),2)</f>
        <v>2</v>
      </c>
      <c r="L1577" s="5" t="str">
        <f ca="1">IFERROR(__xludf.DUMMYFUNCTION("""COMPUTED_VALUE"""),"Spring")</f>
        <v>Spring</v>
      </c>
      <c r="M1577" s="5" t="str">
        <f ca="1">IFERROR(__xludf.DUMMYFUNCTION("""COMPUTED_VALUE"""),"Birmingham")</f>
        <v>Birmingham</v>
      </c>
      <c r="N1577" s="5" t="str">
        <f ca="1">IFERROR(__xludf.DUMMYFUNCTION("""COMPUTED_VALUE"""),"AL")</f>
        <v>AL</v>
      </c>
      <c r="O1577" s="5" t="str">
        <f ca="1">IFERROR(__xludf.DUMMYFUNCTION("""COMPUTED_VALUE"""),"High")</f>
        <v>High</v>
      </c>
      <c r="P1577" s="5" t="str">
        <f ca="1">IFERROR(__xludf.DUMMYFUNCTION("""COMPUTED_VALUE"""),"Other")</f>
        <v>Other</v>
      </c>
      <c r="Q1577" s="5" t="str">
        <f ca="1">IFERROR(__xludf.DUMMYFUNCTION("""COMPUTED_VALUE"""),"Inside School Building")</f>
        <v>Inside School Building</v>
      </c>
      <c r="R1577" s="5" t="str">
        <f ca="1">IFERROR(__xludf.DUMMYFUNCTION("""COMPUTED_VALUE"""),"Yes")</f>
        <v>Yes</v>
      </c>
      <c r="S1577" s="5" t="str">
        <f ca="1">IFERROR(__xludf.DUMMYFUNCTION("""COMPUTED_VALUE"""),"Lunch")</f>
        <v>Lunch</v>
      </c>
      <c r="T1577" s="5"/>
      <c r="U1577" s="5">
        <f ca="1">IFERROR(__xludf.DUMMYFUNCTION("""COMPUTED_VALUE"""),1)</f>
        <v>1</v>
      </c>
      <c r="V1577" s="5" t="str">
        <f ca="1">IFERROR(__xludf.DUMMYFUNCTION("""COMPUTED_VALUE"""),"Fight between gang members near the band room.")</f>
        <v>Fight between gang members near the band room.</v>
      </c>
      <c r="W1577"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X1577" s="5" t="str">
        <f ca="1">IFERROR(__xludf.DUMMYFUNCTION("""COMPUTED_VALUE"""),"Escalation of Dispute")</f>
        <v>Escalation of Dispute</v>
      </c>
      <c r="Y1577" s="5" t="str">
        <f ca="1">IFERROR(__xludf.DUMMYFUNCTION("""COMPUTED_VALUE"""),"Victims Targeted")</f>
        <v>Victims Targeted</v>
      </c>
      <c r="Z1577" s="5" t="str">
        <f ca="1">IFERROR(__xludf.DUMMYFUNCTION("""COMPUTED_VALUE"""),"No")</f>
        <v>No</v>
      </c>
      <c r="AA1577" s="5"/>
      <c r="AB1577" s="5" t="str">
        <f ca="1">IFERROR(__xludf.DUMMYFUNCTION("""COMPUTED_VALUE"""),"No")</f>
        <v>No</v>
      </c>
      <c r="AC1577" s="5" t="str">
        <f ca="1">IFERROR(__xludf.DUMMYFUNCTION("""COMPUTED_VALUE"""),"No")</f>
        <v>No</v>
      </c>
      <c r="AD1577" s="5" t="str">
        <f ca="1">IFERROR(__xludf.DUMMYFUNCTION("""COMPUTED_VALUE"""),"No")</f>
        <v>No</v>
      </c>
      <c r="AE1577" s="5" t="str">
        <f ca="1">IFERROR(__xludf.DUMMYFUNCTION("""COMPUTED_VALUE"""),"No")</f>
        <v>No</v>
      </c>
      <c r="AF1577" s="5" t="str">
        <f ca="1">IFERROR(__xludf.DUMMYFUNCTION("""COMPUTED_VALUE"""),"No")</f>
        <v>No</v>
      </c>
      <c r="AG1577" s="5" t="str">
        <f ca="1">IFERROR(__xludf.DUMMYFUNCTION("""COMPUTED_VALUE"""),"Yes")</f>
        <v>Yes</v>
      </c>
      <c r="AH1577" s="5"/>
    </row>
    <row r="1578" spans="1:34" ht="12.75">
      <c r="A1578" s="5" t="str">
        <f ca="1">IFERROR(__xludf.DUMMYFUNCTION("""COMPUTED_VALUE"""),"19940301MOKEB")</f>
        <v>19940301MOKEB</v>
      </c>
      <c r="B1578" s="8">
        <f ca="1">IFERROR(__xludf.DUMMYFUNCTION("""COMPUTED_VALUE"""),34394)</f>
        <v>34394</v>
      </c>
      <c r="C1578" s="5" t="str">
        <f ca="1">IFERROR(__xludf.DUMMYFUNCTION("""COMPUTED_VALUE"""),"Kemper Military School and College")</f>
        <v>Kemper Military School and College</v>
      </c>
      <c r="D1578" s="5">
        <f ca="1">IFERROR(__xludf.DUMMYFUNCTION("""COMPUTED_VALUE"""),2)</f>
        <v>2</v>
      </c>
      <c r="E1578" s="5">
        <f ca="1">IFERROR(__xludf.DUMMYFUNCTION("""COMPUTED_VALUE"""),0)</f>
        <v>0</v>
      </c>
      <c r="F1578" s="5">
        <f ca="1">IFERROR(__xludf.DUMMYFUNCTION("""COMPUTED_VALUE"""),2)</f>
        <v>2</v>
      </c>
      <c r="G1578" s="5">
        <f ca="1">IFERROR(__xludf.DUMMYFUNCTION("""COMPUTED_VALUE"""),0)</f>
        <v>0</v>
      </c>
      <c r="H1578"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I1578" s="5"/>
      <c r="J1578" s="5"/>
      <c r="K1578" s="5">
        <f ca="1">IFERROR(__xludf.DUMMYFUNCTION("""COMPUTED_VALUE"""),2)</f>
        <v>2</v>
      </c>
      <c r="L1578" s="5" t="str">
        <f ca="1">IFERROR(__xludf.DUMMYFUNCTION("""COMPUTED_VALUE"""),"Spring")</f>
        <v>Spring</v>
      </c>
      <c r="M1578" s="5" t="str">
        <f ca="1">IFERROR(__xludf.DUMMYFUNCTION("""COMPUTED_VALUE"""),"Boonville")</f>
        <v>Boonville</v>
      </c>
      <c r="N1578" s="5" t="str">
        <f ca="1">IFERROR(__xludf.DUMMYFUNCTION("""COMPUTED_VALUE"""),"MO")</f>
        <v>MO</v>
      </c>
      <c r="O1578" s="5" t="str">
        <f ca="1">IFERROR(__xludf.DUMMYFUNCTION("""COMPUTED_VALUE"""),"Other")</f>
        <v>Other</v>
      </c>
      <c r="P1578" s="5" t="str">
        <f ca="1">IFERROR(__xludf.DUMMYFUNCTION("""COMPUTED_VALUE"""),"Cafeteria")</f>
        <v>Cafeteria</v>
      </c>
      <c r="Q1578" s="5" t="str">
        <f ca="1">IFERROR(__xludf.DUMMYFUNCTION("""COMPUTED_VALUE"""),"Inside School Building")</f>
        <v>Inside School Building</v>
      </c>
      <c r="R1578" s="5" t="str">
        <f ca="1">IFERROR(__xludf.DUMMYFUNCTION("""COMPUTED_VALUE"""),"Yes")</f>
        <v>Yes</v>
      </c>
      <c r="S1578" s="5" t="str">
        <f ca="1">IFERROR(__xludf.DUMMYFUNCTION("""COMPUTED_VALUE"""),"Morning Classes")</f>
        <v>Morning Classes</v>
      </c>
      <c r="T1578" s="10">
        <f ca="1">IFERROR(__xludf.DUMMYFUNCTION("""COMPUTED_VALUE"""),0.375)</f>
        <v>0.375</v>
      </c>
      <c r="U1578" s="5"/>
      <c r="V1578" s="5" t="str">
        <f ca="1">IFERROR(__xludf.DUMMYFUNCTION("""COMPUTED_VALUE"""),"Drunk, looking for ex-wife")</f>
        <v>Drunk, looking for ex-wife</v>
      </c>
      <c r="W1578"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X1578" s="5" t="str">
        <f ca="1">IFERROR(__xludf.DUMMYFUNCTION("""COMPUTED_VALUE"""),"Domestic w/ Targeted Victim")</f>
        <v>Domestic w/ Targeted Victim</v>
      </c>
      <c r="Y1578" s="5" t="str">
        <f ca="1">IFERROR(__xludf.DUMMYFUNCTION("""COMPUTED_VALUE"""),"Both")</f>
        <v>Both</v>
      </c>
      <c r="Z1578" s="5" t="str">
        <f ca="1">IFERROR(__xludf.DUMMYFUNCTION("""COMPUTED_VALUE"""),"No")</f>
        <v>No</v>
      </c>
      <c r="AA1578" s="5"/>
      <c r="AB1578" s="5" t="str">
        <f ca="1">IFERROR(__xludf.DUMMYFUNCTION("""COMPUTED_VALUE"""),"Yes")</f>
        <v>Yes</v>
      </c>
      <c r="AC1578" s="5" t="str">
        <f ca="1">IFERROR(__xludf.DUMMYFUNCTION("""COMPUTED_VALUE"""),"No")</f>
        <v>No</v>
      </c>
      <c r="AD1578" s="5" t="str">
        <f ca="1">IFERROR(__xludf.DUMMYFUNCTION("""COMPUTED_VALUE"""),"No")</f>
        <v>No</v>
      </c>
      <c r="AE1578" s="5" t="str">
        <f ca="1">IFERROR(__xludf.DUMMYFUNCTION("""COMPUTED_VALUE"""),"No")</f>
        <v>No</v>
      </c>
      <c r="AF1578" s="5" t="str">
        <f ca="1">IFERROR(__xludf.DUMMYFUNCTION("""COMPUTED_VALUE"""),"Yes")</f>
        <v>Yes</v>
      </c>
      <c r="AG1578" s="5" t="str">
        <f ca="1">IFERROR(__xludf.DUMMYFUNCTION("""COMPUTED_VALUE"""),"No")</f>
        <v>No</v>
      </c>
      <c r="AH1578" s="5" t="str">
        <f ca="1">IFERROR(__xludf.DUMMYFUNCTION("""COMPUTED_VALUE"""),"Yes")</f>
        <v>Yes</v>
      </c>
    </row>
    <row r="1579" spans="1:34" ht="12.75">
      <c r="A1579" s="5" t="str">
        <f ca="1">IFERROR(__xludf.DUMMYFUNCTION("""COMPUTED_VALUE"""),"19940218SCSPS")</f>
        <v>19940218SCSPS</v>
      </c>
      <c r="B1579" s="8">
        <f ca="1">IFERROR(__xludf.DUMMYFUNCTION("""COMPUTED_VALUE"""),34383)</f>
        <v>34383</v>
      </c>
      <c r="C1579" s="5" t="str">
        <f ca="1">IFERROR(__xludf.DUMMYFUNCTION("""COMPUTED_VALUE"""),"Spartanburg High School")</f>
        <v>Spartanburg High School</v>
      </c>
      <c r="D1579" s="5">
        <f ca="1">IFERROR(__xludf.DUMMYFUNCTION("""COMPUTED_VALUE"""),0)</f>
        <v>0</v>
      </c>
      <c r="E1579" s="5">
        <f ca="1">IFERROR(__xludf.DUMMYFUNCTION("""COMPUTED_VALUE"""),1)</f>
        <v>1</v>
      </c>
      <c r="F1579" s="5">
        <f ca="1">IFERROR(__xludf.DUMMYFUNCTION("""COMPUTED_VALUE"""),1)</f>
        <v>1</v>
      </c>
      <c r="G1579" s="5">
        <f ca="1">IFERROR(__xludf.DUMMYFUNCTION("""COMPUTED_VALUE"""),0)</f>
        <v>0</v>
      </c>
      <c r="H1579" s="9" t="str">
        <f ca="1">IFERROR(__xludf.DUMMYFUNCTION("""COMPUTED_VALUE"""),"http://www.goupstate.com/article/NC/19940219/News/605198620/SJ/")</f>
        <v>http://www.goupstate.com/article/NC/19940219/News/605198620/SJ/</v>
      </c>
      <c r="I1579" s="5"/>
      <c r="J1579" s="5"/>
      <c r="K1579" s="5">
        <f ca="1">IFERROR(__xludf.DUMMYFUNCTION("""COMPUTED_VALUE"""),2)</f>
        <v>2</v>
      </c>
      <c r="L1579" s="5" t="str">
        <f ca="1">IFERROR(__xludf.DUMMYFUNCTION("""COMPUTED_VALUE"""),"Winter")</f>
        <v>Winter</v>
      </c>
      <c r="M1579" s="5" t="str">
        <f ca="1">IFERROR(__xludf.DUMMYFUNCTION("""COMPUTED_VALUE"""),"Spartanburg")</f>
        <v>Spartanburg</v>
      </c>
      <c r="N1579" s="5" t="str">
        <f ca="1">IFERROR(__xludf.DUMMYFUNCTION("""COMPUTED_VALUE"""),"SC")</f>
        <v>SC</v>
      </c>
      <c r="O1579" s="5" t="str">
        <f ca="1">IFERROR(__xludf.DUMMYFUNCTION("""COMPUTED_VALUE"""),"High")</f>
        <v>High</v>
      </c>
      <c r="P1579" s="5" t="str">
        <f ca="1">IFERROR(__xludf.DUMMYFUNCTION("""COMPUTED_VALUE"""),"Parking Lot")</f>
        <v>Parking Lot</v>
      </c>
      <c r="Q1579" s="5" t="str">
        <f ca="1">IFERROR(__xludf.DUMMYFUNCTION("""COMPUTED_VALUE"""),"Outside on School Property")</f>
        <v>Outside on School Property</v>
      </c>
      <c r="R1579" s="5" t="str">
        <f ca="1">IFERROR(__xludf.DUMMYFUNCTION("""COMPUTED_VALUE"""),"No")</f>
        <v>No</v>
      </c>
      <c r="S1579" s="5" t="str">
        <f ca="1">IFERROR(__xludf.DUMMYFUNCTION("""COMPUTED_VALUE"""),"Sport Event")</f>
        <v>Sport Event</v>
      </c>
      <c r="T1579" s="10">
        <f ca="1">IFERROR(__xludf.DUMMYFUNCTION("""COMPUTED_VALUE"""),0.916666666666666)</f>
        <v>0.91666666666666596</v>
      </c>
      <c r="U1579" s="5">
        <f ca="1">IFERROR(__xludf.DUMMYFUNCTION("""COMPUTED_VALUE"""),1)</f>
        <v>1</v>
      </c>
      <c r="V1579" s="5" t="str">
        <f ca="1">IFERROR(__xludf.DUMMYFUNCTION("""COMPUTED_VALUE"""),"Drive-by after basketball game")</f>
        <v>Drive-by after basketball game</v>
      </c>
      <c r="W1579"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X1579" s="5" t="str">
        <f ca="1">IFERROR(__xludf.DUMMYFUNCTION("""COMPUTED_VALUE"""),"Drive-by Shooting")</f>
        <v>Drive-by Shooting</v>
      </c>
      <c r="Y1579" s="5" t="str">
        <f ca="1">IFERROR(__xludf.DUMMYFUNCTION("""COMPUTED_VALUE"""),"Victims Targeted")</f>
        <v>Victims Targeted</v>
      </c>
      <c r="Z1579" s="5" t="str">
        <f ca="1">IFERROR(__xludf.DUMMYFUNCTION("""COMPUTED_VALUE"""),"No")</f>
        <v>No</v>
      </c>
      <c r="AA1579" s="5"/>
      <c r="AB1579" s="5" t="str">
        <f ca="1">IFERROR(__xludf.DUMMYFUNCTION("""COMPUTED_VALUE"""),"No")</f>
        <v>No</v>
      </c>
      <c r="AC1579" s="5" t="str">
        <f ca="1">IFERROR(__xludf.DUMMYFUNCTION("""COMPUTED_VALUE"""),"No")</f>
        <v>No</v>
      </c>
      <c r="AD1579" s="5" t="str">
        <f ca="1">IFERROR(__xludf.DUMMYFUNCTION("""COMPUTED_VALUE"""),"No")</f>
        <v>No</v>
      </c>
      <c r="AE1579" s="5" t="str">
        <f ca="1">IFERROR(__xludf.DUMMYFUNCTION("""COMPUTED_VALUE"""),"No")</f>
        <v>No</v>
      </c>
      <c r="AF1579" s="5" t="str">
        <f ca="1">IFERROR(__xludf.DUMMYFUNCTION("""COMPUTED_VALUE"""),"No")</f>
        <v>No</v>
      </c>
      <c r="AG1579" s="5" t="str">
        <f ca="1">IFERROR(__xludf.DUMMYFUNCTION("""COMPUTED_VALUE"""),"No")</f>
        <v>No</v>
      </c>
      <c r="AH1579" s="5"/>
    </row>
    <row r="1580" spans="1:34" ht="12.75">
      <c r="A1580" s="5" t="str">
        <f ca="1">IFERROR(__xludf.DUMMYFUNCTION("""COMPUTED_VALUE"""),"19940208MIOSD")</f>
        <v>19940208MIOSD</v>
      </c>
      <c r="B1580" s="8">
        <f ca="1">IFERROR(__xludf.DUMMYFUNCTION("""COMPUTED_VALUE"""),34373)</f>
        <v>34373</v>
      </c>
      <c r="C1580" s="5" t="str">
        <f ca="1">IFERROR(__xludf.DUMMYFUNCTION("""COMPUTED_VALUE"""),"Osborn High School")</f>
        <v>Osborn High School</v>
      </c>
      <c r="D1580" s="5">
        <f ca="1">IFERROR(__xludf.DUMMYFUNCTION("""COMPUTED_VALUE"""),1)</f>
        <v>1</v>
      </c>
      <c r="E1580" s="5">
        <f ca="1">IFERROR(__xludf.DUMMYFUNCTION("""COMPUTED_VALUE"""),0)</f>
        <v>0</v>
      </c>
      <c r="F1580" s="5">
        <f ca="1">IFERROR(__xludf.DUMMYFUNCTION("""COMPUTED_VALUE"""),1)</f>
        <v>1</v>
      </c>
      <c r="G1580" s="5">
        <f ca="1">IFERROR(__xludf.DUMMYFUNCTION("""COMPUTED_VALUE"""),0)</f>
        <v>0</v>
      </c>
      <c r="H1580" s="5" t="str">
        <f ca="1">IFERROR(__xludf.DUMMYFUNCTION("""COMPUTED_VALUE"""),"https://www.newspapers.com/image/97831665/?terms=Steven%2BWatkins http://www.columbine-angels.com/School_Violence_1993-1994.htm")</f>
        <v>https://www.newspapers.com/image/97831665/?terms=Steven%2BWatkins http://www.columbine-angels.com/School_Violence_1993-1994.htm</v>
      </c>
      <c r="I1580" s="5"/>
      <c r="J1580" s="5"/>
      <c r="K1580" s="5">
        <f ca="1">IFERROR(__xludf.DUMMYFUNCTION("""COMPUTED_VALUE"""),2)</f>
        <v>2</v>
      </c>
      <c r="L1580" s="5" t="str">
        <f ca="1">IFERROR(__xludf.DUMMYFUNCTION("""COMPUTED_VALUE"""),"Winter")</f>
        <v>Winter</v>
      </c>
      <c r="M1580" s="5" t="str">
        <f ca="1">IFERROR(__xludf.DUMMYFUNCTION("""COMPUTED_VALUE"""),"Detroit")</f>
        <v>Detroit</v>
      </c>
      <c r="N1580" s="5" t="str">
        <f ca="1">IFERROR(__xludf.DUMMYFUNCTION("""COMPUTED_VALUE"""),"MI")</f>
        <v>MI</v>
      </c>
      <c r="O1580" s="5" t="str">
        <f ca="1">IFERROR(__xludf.DUMMYFUNCTION("""COMPUTED_VALUE"""),"High")</f>
        <v>High</v>
      </c>
      <c r="P1580" s="5" t="str">
        <f ca="1">IFERROR(__xludf.DUMMYFUNCTION("""COMPUTED_VALUE"""),"Parking Lot")</f>
        <v>Parking Lot</v>
      </c>
      <c r="Q1580" s="5" t="str">
        <f ca="1">IFERROR(__xludf.DUMMYFUNCTION("""COMPUTED_VALUE"""),"Outside on School Property")</f>
        <v>Outside on School Property</v>
      </c>
      <c r="R1580" s="5" t="str">
        <f ca="1">IFERROR(__xludf.DUMMYFUNCTION("""COMPUTED_VALUE"""),"Yes")</f>
        <v>Yes</v>
      </c>
      <c r="S1580" s="5"/>
      <c r="T1580" s="5"/>
      <c r="U1580" s="5">
        <f ca="1">IFERROR(__xludf.DUMMYFUNCTION("""COMPUTED_VALUE"""),1)</f>
        <v>1</v>
      </c>
      <c r="V1580" s="5" t="str">
        <f ca="1">IFERROR(__xludf.DUMMYFUNCTION("""COMPUTED_VALUE"""),"Special ed student shot in parking lot")</f>
        <v>Special ed student shot in parking lot</v>
      </c>
      <c r="W1580"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X1580" s="5" t="str">
        <f ca="1">IFERROR(__xludf.DUMMYFUNCTION("""COMPUTED_VALUE"""),"Unknown")</f>
        <v>Unknown</v>
      </c>
      <c r="Y1580" s="5"/>
      <c r="Z1580" s="5" t="str">
        <f ca="1">IFERROR(__xludf.DUMMYFUNCTION("""COMPUTED_VALUE"""),"No")</f>
        <v>No</v>
      </c>
      <c r="AA1580" s="5"/>
      <c r="AB1580" s="5" t="str">
        <f ca="1">IFERROR(__xludf.DUMMYFUNCTION("""COMPUTED_VALUE"""),"No")</f>
        <v>No</v>
      </c>
      <c r="AC1580" s="5" t="str">
        <f ca="1">IFERROR(__xludf.DUMMYFUNCTION("""COMPUTED_VALUE"""),"No")</f>
        <v>No</v>
      </c>
      <c r="AD1580" s="5" t="str">
        <f ca="1">IFERROR(__xludf.DUMMYFUNCTION("""COMPUTED_VALUE"""),"No")</f>
        <v>No</v>
      </c>
      <c r="AE1580" s="5" t="str">
        <f ca="1">IFERROR(__xludf.DUMMYFUNCTION("""COMPUTED_VALUE"""),"No")</f>
        <v>No</v>
      </c>
      <c r="AF1580" s="5" t="str">
        <f ca="1">IFERROR(__xludf.DUMMYFUNCTION("""COMPUTED_VALUE"""),"No")</f>
        <v>No</v>
      </c>
      <c r="AG1580" s="5" t="str">
        <f ca="1">IFERROR(__xludf.DUMMYFUNCTION("""COMPUTED_VALUE"""),"No")</f>
        <v>No</v>
      </c>
      <c r="AH1580" s="5"/>
    </row>
    <row r="1581" spans="1:34" ht="12.75">
      <c r="A1581" s="5" t="str">
        <f ca="1">IFERROR(__xludf.DUMMYFUNCTION("""COMPUTED_VALUE"""),"19940131WAWHS")</f>
        <v>19940131WAWHS</v>
      </c>
      <c r="B1581" s="8">
        <f ca="1">IFERROR(__xludf.DUMMYFUNCTION("""COMPUTED_VALUE"""),34365)</f>
        <v>34365</v>
      </c>
      <c r="C1581" s="5" t="str">
        <f ca="1">IFERROR(__xludf.DUMMYFUNCTION("""COMPUTED_VALUE"""),"Whitman Middle School")</f>
        <v>Whitman Middle School</v>
      </c>
      <c r="D1581" s="5">
        <f ca="1">IFERROR(__xludf.DUMMYFUNCTION("""COMPUTED_VALUE"""),1)</f>
        <v>1</v>
      </c>
      <c r="E1581" s="5">
        <f ca="1">IFERROR(__xludf.DUMMYFUNCTION("""COMPUTED_VALUE"""),0)</f>
        <v>0</v>
      </c>
      <c r="F1581" s="5">
        <f ca="1">IFERROR(__xludf.DUMMYFUNCTION("""COMPUTED_VALUE"""),1)</f>
        <v>1</v>
      </c>
      <c r="G1581" s="5">
        <f ca="1">IFERROR(__xludf.DUMMYFUNCTION("""COMPUTED_VALUE"""),0)</f>
        <v>0</v>
      </c>
      <c r="H1581"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I1581" s="5"/>
      <c r="J1581" s="5"/>
      <c r="K1581" s="5">
        <f ca="1">IFERROR(__xludf.DUMMYFUNCTION("""COMPUTED_VALUE"""),2)</f>
        <v>2</v>
      </c>
      <c r="L1581" s="5" t="str">
        <f ca="1">IFERROR(__xludf.DUMMYFUNCTION("""COMPUTED_VALUE"""),"Winter")</f>
        <v>Winter</v>
      </c>
      <c r="M1581" s="5" t="str">
        <f ca="1">IFERROR(__xludf.DUMMYFUNCTION("""COMPUTED_VALUE"""),"Seattle")</f>
        <v>Seattle</v>
      </c>
      <c r="N1581" s="5" t="str">
        <f ca="1">IFERROR(__xludf.DUMMYFUNCTION("""COMPUTED_VALUE"""),"WA")</f>
        <v>WA</v>
      </c>
      <c r="O1581" s="5" t="str">
        <f ca="1">IFERROR(__xludf.DUMMYFUNCTION("""COMPUTED_VALUE"""),"Middle")</f>
        <v>Middle</v>
      </c>
      <c r="P1581" s="5" t="str">
        <f ca="1">IFERROR(__xludf.DUMMYFUNCTION("""COMPUTED_VALUE"""),"Field (General)")</f>
        <v>Field (General)</v>
      </c>
      <c r="Q1581" s="5" t="str">
        <f ca="1">IFERROR(__xludf.DUMMYFUNCTION("""COMPUTED_VALUE"""),"Outside on School Property")</f>
        <v>Outside on School Property</v>
      </c>
      <c r="R1581" s="5" t="str">
        <f ca="1">IFERROR(__xludf.DUMMYFUNCTION("""COMPUTED_VALUE"""),"No")</f>
        <v>No</v>
      </c>
      <c r="S1581" s="5" t="str">
        <f ca="1">IFERROR(__xludf.DUMMYFUNCTION("""COMPUTED_VALUE"""),"Before School")</f>
        <v>Before School</v>
      </c>
      <c r="T1581" s="10">
        <f ca="1">IFERROR(__xludf.DUMMYFUNCTION("""COMPUTED_VALUE"""),0.270833333333333)</f>
        <v>0.27083333333333298</v>
      </c>
      <c r="U1581" s="5">
        <f ca="1">IFERROR(__xludf.DUMMYFUNCTION("""COMPUTED_VALUE"""),1)</f>
        <v>1</v>
      </c>
      <c r="V1581" s="5" t="str">
        <f ca="1">IFERROR(__xludf.DUMMYFUNCTION("""COMPUTED_VALUE"""),"Revenge for sexual abuse by teacher")</f>
        <v>Revenge for sexual abuse by teacher</v>
      </c>
      <c r="W1581"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X1581" s="5" t="str">
        <f ca="1">IFERROR(__xludf.DUMMYFUNCTION("""COMPUTED_VALUE"""),"Domestic w/ Targeted Victim")</f>
        <v>Domestic w/ Targeted Victim</v>
      </c>
      <c r="Y1581" s="5" t="str">
        <f ca="1">IFERROR(__xludf.DUMMYFUNCTION("""COMPUTED_VALUE"""),"Victims Targeted")</f>
        <v>Victims Targeted</v>
      </c>
      <c r="Z1581" s="5" t="str">
        <f ca="1">IFERROR(__xludf.DUMMYFUNCTION("""COMPUTED_VALUE"""),"No")</f>
        <v>No</v>
      </c>
      <c r="AA1581" s="5"/>
      <c r="AB1581" s="5" t="str">
        <f ca="1">IFERROR(__xludf.DUMMYFUNCTION("""COMPUTED_VALUE"""),"No")</f>
        <v>No</v>
      </c>
      <c r="AC1581" s="5" t="str">
        <f ca="1">IFERROR(__xludf.DUMMYFUNCTION("""COMPUTED_VALUE"""),"No")</f>
        <v>No</v>
      </c>
      <c r="AD1581" s="5" t="str">
        <f ca="1">IFERROR(__xludf.DUMMYFUNCTION("""COMPUTED_VALUE"""),"No")</f>
        <v>No</v>
      </c>
      <c r="AE1581" s="5" t="str">
        <f ca="1">IFERROR(__xludf.DUMMYFUNCTION("""COMPUTED_VALUE"""),"No")</f>
        <v>No</v>
      </c>
      <c r="AF1581" s="5" t="str">
        <f ca="1">IFERROR(__xludf.DUMMYFUNCTION("""COMPUTED_VALUE"""),"No")</f>
        <v>No</v>
      </c>
      <c r="AG1581" s="5" t="str">
        <f ca="1">IFERROR(__xludf.DUMMYFUNCTION("""COMPUTED_VALUE"""),"No")</f>
        <v>No</v>
      </c>
      <c r="AH1581" s="5"/>
    </row>
    <row r="1582" spans="1:34" ht="12.75">
      <c r="A1582" s="5" t="str">
        <f ca="1">IFERROR(__xludf.DUMMYFUNCTION("""COMPUTED_VALUE"""),"19940127CAWAS")</f>
        <v>19940127CAWAS</v>
      </c>
      <c r="B1582" s="8">
        <f ca="1">IFERROR(__xludf.DUMMYFUNCTION("""COMPUTED_VALUE"""),34361)</f>
        <v>34361</v>
      </c>
      <c r="C1582" s="5" t="str">
        <f ca="1">IFERROR(__xludf.DUMMYFUNCTION("""COMPUTED_VALUE"""),"Washington Elementary School")</f>
        <v>Washington Elementary School</v>
      </c>
      <c r="D1582" s="5">
        <f ca="1">IFERROR(__xludf.DUMMYFUNCTION("""COMPUTED_VALUE"""),1)</f>
        <v>1</v>
      </c>
      <c r="E1582" s="5">
        <f ca="1">IFERROR(__xludf.DUMMYFUNCTION("""COMPUTED_VALUE"""),0)</f>
        <v>0</v>
      </c>
      <c r="F1582" s="5">
        <f ca="1">IFERROR(__xludf.DUMMYFUNCTION("""COMPUTED_VALUE"""),1)</f>
        <v>1</v>
      </c>
      <c r="G1582" s="5">
        <f ca="1">IFERROR(__xludf.DUMMYFUNCTION("""COMPUTED_VALUE"""),0)</f>
        <v>0</v>
      </c>
      <c r="H1582" s="5" t="str">
        <f ca="1">IFERROR(__xludf.DUMMYFUNCTION("""COMPUTED_VALUE"""),"https://caselaw.findlaw.com/ca-court-of-appeal/1122045.html https://caselaw.findlaw.com/ca-court-of-appeal/1775723.html")</f>
        <v>https://caselaw.findlaw.com/ca-court-of-appeal/1122045.html https://caselaw.findlaw.com/ca-court-of-appeal/1775723.html</v>
      </c>
      <c r="I1582" s="5"/>
      <c r="J1582" s="5"/>
      <c r="K1582" s="5">
        <f ca="1">IFERROR(__xludf.DUMMYFUNCTION("""COMPUTED_VALUE"""),5)</f>
        <v>5</v>
      </c>
      <c r="L1582" s="5" t="str">
        <f ca="1">IFERROR(__xludf.DUMMYFUNCTION("""COMPUTED_VALUE"""),"Winter")</f>
        <v>Winter</v>
      </c>
      <c r="M1582" s="5" t="str">
        <f ca="1">IFERROR(__xludf.DUMMYFUNCTION("""COMPUTED_VALUE"""),"San Jose")</f>
        <v>San Jose</v>
      </c>
      <c r="N1582" s="5" t="str">
        <f ca="1">IFERROR(__xludf.DUMMYFUNCTION("""COMPUTED_VALUE"""),"CA")</f>
        <v>CA</v>
      </c>
      <c r="O1582" s="5" t="str">
        <f ca="1">IFERROR(__xludf.DUMMYFUNCTION("""COMPUTED_VALUE"""),"Elementary")</f>
        <v>Elementary</v>
      </c>
      <c r="P1582" s="5" t="str">
        <f ca="1">IFERROR(__xludf.DUMMYFUNCTION("""COMPUTED_VALUE"""),"Parking Lot")</f>
        <v>Parking Lot</v>
      </c>
      <c r="Q1582" s="5" t="str">
        <f ca="1">IFERROR(__xludf.DUMMYFUNCTION("""COMPUTED_VALUE"""),"Outside on School Property")</f>
        <v>Outside on School Property</v>
      </c>
      <c r="R1582" s="5" t="str">
        <f ca="1">IFERROR(__xludf.DUMMYFUNCTION("""COMPUTED_VALUE"""),"Yes")</f>
        <v>Yes</v>
      </c>
      <c r="S1582" s="5"/>
      <c r="T1582" s="10">
        <f ca="1">IFERROR(__xludf.DUMMYFUNCTION("""COMPUTED_VALUE"""),0.604166666666666)</f>
        <v>0.60416666666666596</v>
      </c>
      <c r="U1582" s="5">
        <f ca="1">IFERROR(__xludf.DUMMYFUNCTION("""COMPUTED_VALUE"""),1)</f>
        <v>1</v>
      </c>
      <c r="V1582" s="5" t="str">
        <f ca="1">IFERROR(__xludf.DUMMYFUNCTION("""COMPUTED_VALUE"""),"Targeted killing by gang members")</f>
        <v>Targeted killing by gang members</v>
      </c>
      <c r="W1582"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X1582" s="5" t="str">
        <f ca="1">IFERROR(__xludf.DUMMYFUNCTION("""COMPUTED_VALUE"""),"Escalation of Dispute")</f>
        <v>Escalation of Dispute</v>
      </c>
      <c r="Y1582" s="5" t="str">
        <f ca="1">IFERROR(__xludf.DUMMYFUNCTION("""COMPUTED_VALUE"""),"Victims Targeted")</f>
        <v>Victims Targeted</v>
      </c>
      <c r="Z1582" s="5" t="str">
        <f ca="1">IFERROR(__xludf.DUMMYFUNCTION("""COMPUTED_VALUE"""),"Yes")</f>
        <v>Yes</v>
      </c>
      <c r="AA1582" s="5" t="str">
        <f ca="1">IFERROR(__xludf.DUMMYFUNCTION("""COMPUTED_VALUE"""),"Group of gang members in vehicle")</f>
        <v>Group of gang members in vehicle</v>
      </c>
      <c r="AB1582" s="5" t="str">
        <f ca="1">IFERROR(__xludf.DUMMYFUNCTION("""COMPUTED_VALUE"""),"No")</f>
        <v>No</v>
      </c>
      <c r="AC1582" s="5" t="str">
        <f ca="1">IFERROR(__xludf.DUMMYFUNCTION("""COMPUTED_VALUE"""),"No")</f>
        <v>No</v>
      </c>
      <c r="AD1582" s="5" t="str">
        <f ca="1">IFERROR(__xludf.DUMMYFUNCTION("""COMPUTED_VALUE"""),"No")</f>
        <v>No</v>
      </c>
      <c r="AE1582" s="5" t="str">
        <f ca="1">IFERROR(__xludf.DUMMYFUNCTION("""COMPUTED_VALUE"""),"No")</f>
        <v>No</v>
      </c>
      <c r="AF1582" s="5" t="str">
        <f ca="1">IFERROR(__xludf.DUMMYFUNCTION("""COMPUTED_VALUE"""),"No")</f>
        <v>No</v>
      </c>
      <c r="AG1582" s="5" t="str">
        <f ca="1">IFERROR(__xludf.DUMMYFUNCTION("""COMPUTED_VALUE"""),"Yes")</f>
        <v>Yes</v>
      </c>
      <c r="AH1582" s="5"/>
    </row>
    <row r="1583" spans="1:34" ht="12.75">
      <c r="A1583" s="5" t="str">
        <f ca="1">IFERROR(__xludf.DUMMYFUNCTION("""COMPUTED_VALUE"""),"19940126DCPAW")</f>
        <v>19940126DCPAW</v>
      </c>
      <c r="B1583" s="8">
        <f ca="1">IFERROR(__xludf.DUMMYFUNCTION("""COMPUTED_VALUE"""),34360)</f>
        <v>34360</v>
      </c>
      <c r="C1583" s="5" t="str">
        <f ca="1">IFERROR(__xludf.DUMMYFUNCTION("""COMPUTED_VALUE"""),"Paul Lawrence Dunbar High School")</f>
        <v>Paul Lawrence Dunbar High School</v>
      </c>
      <c r="D1583" s="5">
        <f ca="1">IFERROR(__xludf.DUMMYFUNCTION("""COMPUTED_VALUE"""),0)</f>
        <v>0</v>
      </c>
      <c r="E1583" s="5">
        <f ca="1">IFERROR(__xludf.DUMMYFUNCTION("""COMPUTED_VALUE"""),0)</f>
        <v>0</v>
      </c>
      <c r="F1583" s="5">
        <f ca="1">IFERROR(__xludf.DUMMYFUNCTION("""COMPUTED_VALUE"""),0)</f>
        <v>0</v>
      </c>
      <c r="G1583" s="5">
        <f ca="1">IFERROR(__xludf.DUMMYFUNCTION("""COMPUTED_VALUE"""),0)</f>
        <v>0</v>
      </c>
      <c r="H1583" s="5" t="str">
        <f ca="1">IFERROR(__xludf.DUMMYFUNCTION("""COMPUTED_VALUE"""),"Washington Post - School Shootings Break Out in D.C.; https://www.columbine-angels.com/School_Violence_1993-1994.htm")</f>
        <v>Washington Post - School Shootings Break Out in D.C.; https://www.columbine-angels.com/School_Violence_1993-1994.htm</v>
      </c>
      <c r="I1583" s="5"/>
      <c r="J1583" s="5"/>
      <c r="K1583" s="5">
        <f ca="1">IFERROR(__xludf.DUMMYFUNCTION("""COMPUTED_VALUE"""),1)</f>
        <v>1</v>
      </c>
      <c r="L1583" s="5" t="str">
        <f ca="1">IFERROR(__xludf.DUMMYFUNCTION("""COMPUTED_VALUE"""),"Winter")</f>
        <v>Winter</v>
      </c>
      <c r="M1583" s="5" t="str">
        <f ca="1">IFERROR(__xludf.DUMMYFUNCTION("""COMPUTED_VALUE"""),"Washington")</f>
        <v>Washington</v>
      </c>
      <c r="N1583" s="5" t="str">
        <f ca="1">IFERROR(__xludf.DUMMYFUNCTION("""COMPUTED_VALUE"""),"DC")</f>
        <v>DC</v>
      </c>
      <c r="O1583" s="5" t="str">
        <f ca="1">IFERROR(__xludf.DUMMYFUNCTION("""COMPUTED_VALUE"""),"High")</f>
        <v>High</v>
      </c>
      <c r="P1583" s="5" t="str">
        <f ca="1">IFERROR(__xludf.DUMMYFUNCTION("""COMPUTED_VALUE"""),"Hallway")</f>
        <v>Hallway</v>
      </c>
      <c r="Q1583" s="5" t="str">
        <f ca="1">IFERROR(__xludf.DUMMYFUNCTION("""COMPUTED_VALUE"""),"Inside School Building")</f>
        <v>Inside School Building</v>
      </c>
      <c r="R1583" s="5" t="str">
        <f ca="1">IFERROR(__xludf.DUMMYFUNCTION("""COMPUTED_VALUE"""),"Yes")</f>
        <v>Yes</v>
      </c>
      <c r="S1583" s="5" t="str">
        <f ca="1">IFERROR(__xludf.DUMMYFUNCTION("""COMPUTED_VALUE"""),"Morning Classes")</f>
        <v>Morning Classes</v>
      </c>
      <c r="T1583" s="10">
        <f ca="1">IFERROR(__xludf.DUMMYFUNCTION("""COMPUTED_VALUE"""),0.451388888888888)</f>
        <v>0.45138888888888801</v>
      </c>
      <c r="U1583" s="5"/>
      <c r="V1583" s="5" t="str">
        <f ca="1">IFERROR(__xludf.DUMMYFUNCTION("""COMPUTED_VALUE"""),"17 shots were fired inside and outside the school, police chased the unknown teen from school.")</f>
        <v>17 shots were fired inside and outside the school, police chased the unknown teen from school.</v>
      </c>
      <c r="W1583"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X1583" s="5" t="str">
        <f ca="1">IFERROR(__xludf.DUMMYFUNCTION("""COMPUTED_VALUE"""),"Intentional Property Damage")</f>
        <v>Intentional Property Damage</v>
      </c>
      <c r="Y1583" s="5"/>
      <c r="Z1583" s="5" t="str">
        <f ca="1">IFERROR(__xludf.DUMMYFUNCTION("""COMPUTED_VALUE"""),"Yes")</f>
        <v>Yes</v>
      </c>
      <c r="AA1583" s="5" t="str">
        <f ca="1">IFERROR(__xludf.DUMMYFUNCTION("""COMPUTED_VALUE"""),"Shooter was with 2 other teens")</f>
        <v>Shooter was with 2 other teens</v>
      </c>
      <c r="AB1583" s="5" t="str">
        <f ca="1">IFERROR(__xludf.DUMMYFUNCTION("""COMPUTED_VALUE"""),"No")</f>
        <v>No</v>
      </c>
      <c r="AC1583" s="5" t="str">
        <f ca="1">IFERROR(__xludf.DUMMYFUNCTION("""COMPUTED_VALUE"""),"No")</f>
        <v>No</v>
      </c>
      <c r="AD1583" s="5" t="str">
        <f ca="1">IFERROR(__xludf.DUMMYFUNCTION("""COMPUTED_VALUE"""),"No")</f>
        <v>No</v>
      </c>
      <c r="AE1583" s="5" t="str">
        <f ca="1">IFERROR(__xludf.DUMMYFUNCTION("""COMPUTED_VALUE"""),"No")</f>
        <v>No</v>
      </c>
      <c r="AF1583" s="5" t="str">
        <f ca="1">IFERROR(__xludf.DUMMYFUNCTION("""COMPUTED_VALUE"""),"No")</f>
        <v>No</v>
      </c>
      <c r="AG1583" s="5" t="str">
        <f ca="1">IFERROR(__xludf.DUMMYFUNCTION("""COMPUTED_VALUE"""),"No")</f>
        <v>No</v>
      </c>
      <c r="AH1583" s="5" t="str">
        <f ca="1">IFERROR(__xludf.DUMMYFUNCTION("""COMPUTED_VALUE"""),"Yes")</f>
        <v>Yes</v>
      </c>
    </row>
    <row r="1584" spans="1:34" ht="12.75">
      <c r="A1584" s="5" t="str">
        <f ca="1">IFERROR(__xludf.DUMMYFUNCTION("""COMPUTED_VALUE"""),"19940126DCELW")</f>
        <v>19940126DCELW</v>
      </c>
      <c r="B1584" s="8">
        <f ca="1">IFERROR(__xludf.DUMMYFUNCTION("""COMPUTED_VALUE"""),34360)</f>
        <v>34360</v>
      </c>
      <c r="C1584" s="5" t="str">
        <f ca="1">IFERROR(__xludf.DUMMYFUNCTION("""COMPUTED_VALUE"""),"Eliot Junior High School")</f>
        <v>Eliot Junior High School</v>
      </c>
      <c r="D1584" s="5">
        <f ca="1">IFERROR(__xludf.DUMMYFUNCTION("""COMPUTED_VALUE"""),0)</f>
        <v>0</v>
      </c>
      <c r="E1584" s="5">
        <f ca="1">IFERROR(__xludf.DUMMYFUNCTION("""COMPUTED_VALUE"""),0)</f>
        <v>0</v>
      </c>
      <c r="F1584" s="5">
        <f ca="1">IFERROR(__xludf.DUMMYFUNCTION("""COMPUTED_VALUE"""),0)</f>
        <v>0</v>
      </c>
      <c r="G1584" s="5">
        <f ca="1">IFERROR(__xludf.DUMMYFUNCTION("""COMPUTED_VALUE"""),0)</f>
        <v>0</v>
      </c>
      <c r="H1584" s="5" t="str">
        <f ca="1">IFERROR(__xludf.DUMMYFUNCTION("""COMPUTED_VALUE"""),"Washington Post - School Shootings Break Out in D.C.; https://www.columbine-angels.com/School_Violence_1993-1994.htm")</f>
        <v>Washington Post - School Shootings Break Out in D.C.; https://www.columbine-angels.com/School_Violence_1993-1994.htm</v>
      </c>
      <c r="I1584" s="5"/>
      <c r="J1584" s="5"/>
      <c r="K1584" s="5">
        <f ca="1">IFERROR(__xludf.DUMMYFUNCTION("""COMPUTED_VALUE"""),1)</f>
        <v>1</v>
      </c>
      <c r="L1584" s="5" t="str">
        <f ca="1">IFERROR(__xludf.DUMMYFUNCTION("""COMPUTED_VALUE"""),"Winter")</f>
        <v>Winter</v>
      </c>
      <c r="M1584" s="5" t="str">
        <f ca="1">IFERROR(__xludf.DUMMYFUNCTION("""COMPUTED_VALUE"""),"Washington")</f>
        <v>Washington</v>
      </c>
      <c r="N1584" s="5" t="str">
        <f ca="1">IFERROR(__xludf.DUMMYFUNCTION("""COMPUTED_VALUE"""),"DC")</f>
        <v>DC</v>
      </c>
      <c r="O1584" s="5" t="str">
        <f ca="1">IFERROR(__xludf.DUMMYFUNCTION("""COMPUTED_VALUE"""),"Junior High")</f>
        <v>Junior High</v>
      </c>
      <c r="P1584" s="5" t="str">
        <f ca="1">IFERROR(__xludf.DUMMYFUNCTION("""COMPUTED_VALUE"""),"Hallway")</f>
        <v>Hallway</v>
      </c>
      <c r="Q1584" s="5" t="str">
        <f ca="1">IFERROR(__xludf.DUMMYFUNCTION("""COMPUTED_VALUE"""),"Inside School Building")</f>
        <v>Inside School Building</v>
      </c>
      <c r="R1584" s="5" t="str">
        <f ca="1">IFERROR(__xludf.DUMMYFUNCTION("""COMPUTED_VALUE"""),"Yes")</f>
        <v>Yes</v>
      </c>
      <c r="S1584" s="5" t="str">
        <f ca="1">IFERROR(__xludf.DUMMYFUNCTION("""COMPUTED_VALUE"""),"Dismissal")</f>
        <v>Dismissal</v>
      </c>
      <c r="T1584" s="10">
        <f ca="1">IFERROR(__xludf.DUMMYFUNCTION("""COMPUTED_VALUE"""),0.645833333333333)</f>
        <v>0.64583333333333304</v>
      </c>
      <c r="U1584" s="5">
        <f ca="1">IFERROR(__xludf.DUMMYFUNCTION("""COMPUTED_VALUE"""),1)</f>
        <v>1</v>
      </c>
      <c r="V1584" s="5" t="str">
        <f ca="1">IFERROR(__xludf.DUMMYFUNCTION("""COMPUTED_VALUE"""),"Unknown gunman fired during dismissal, no injuries")</f>
        <v>Unknown gunman fired during dismissal, no injuries</v>
      </c>
      <c r="W1584" s="5" t="str">
        <f ca="1">IFERROR(__xludf.DUMMYFUNCTION("""COMPUTED_VALUE"""),"Unknown shooter fired shots during dismissal.")</f>
        <v>Unknown shooter fired shots during dismissal.</v>
      </c>
      <c r="X1584" s="5" t="str">
        <f ca="1">IFERROR(__xludf.DUMMYFUNCTION("""COMPUTED_VALUE"""),"Unknown")</f>
        <v>Unknown</v>
      </c>
      <c r="Y1584" s="5"/>
      <c r="Z1584" s="5" t="str">
        <f ca="1">IFERROR(__xludf.DUMMYFUNCTION("""COMPUTED_VALUE"""),"No")</f>
        <v>No</v>
      </c>
      <c r="AA1584" s="5"/>
      <c r="AB1584" s="5" t="str">
        <f ca="1">IFERROR(__xludf.DUMMYFUNCTION("""COMPUTED_VALUE"""),"No")</f>
        <v>No</v>
      </c>
      <c r="AC1584" s="5" t="str">
        <f ca="1">IFERROR(__xludf.DUMMYFUNCTION("""COMPUTED_VALUE"""),"No")</f>
        <v>No</v>
      </c>
      <c r="AD1584" s="5" t="str">
        <f ca="1">IFERROR(__xludf.DUMMYFUNCTION("""COMPUTED_VALUE"""),"No")</f>
        <v>No</v>
      </c>
      <c r="AE1584" s="5" t="str">
        <f ca="1">IFERROR(__xludf.DUMMYFUNCTION("""COMPUTED_VALUE"""),"No")</f>
        <v>No</v>
      </c>
      <c r="AF1584" s="5" t="str">
        <f ca="1">IFERROR(__xludf.DUMMYFUNCTION("""COMPUTED_VALUE"""),"No")</f>
        <v>No</v>
      </c>
      <c r="AG1584" s="5"/>
      <c r="AH1584" s="5"/>
    </row>
    <row r="1585" spans="1:34" ht="12.75">
      <c r="A1585" s="5" t="str">
        <f ca="1">IFERROR(__xludf.DUMMYFUNCTION("""COMPUTED_VALUE"""),"19940124SCEAC")</f>
        <v>19940124SCEAC</v>
      </c>
      <c r="B1585" s="8">
        <f ca="1">IFERROR(__xludf.DUMMYFUNCTION("""COMPUTED_VALUE"""),34358)</f>
        <v>34358</v>
      </c>
      <c r="C1585" s="5" t="str">
        <f ca="1">IFERROR(__xludf.DUMMYFUNCTION("""COMPUTED_VALUE"""),"Eau Claire High School")</f>
        <v>Eau Claire High School</v>
      </c>
      <c r="D1585" s="5">
        <f ca="1">IFERROR(__xludf.DUMMYFUNCTION("""COMPUTED_VALUE"""),1)</f>
        <v>1</v>
      </c>
      <c r="E1585" s="5">
        <f ca="1">IFERROR(__xludf.DUMMYFUNCTION("""COMPUTED_VALUE"""),0)</f>
        <v>0</v>
      </c>
      <c r="F1585" s="5">
        <f ca="1">IFERROR(__xludf.DUMMYFUNCTION("""COMPUTED_VALUE"""),1)</f>
        <v>1</v>
      </c>
      <c r="G1585" s="5">
        <f ca="1">IFERROR(__xludf.DUMMYFUNCTION("""COMPUTED_VALUE"""),0)</f>
        <v>0</v>
      </c>
      <c r="H1585"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I1585" s="5"/>
      <c r="J1585" s="5"/>
      <c r="K1585" s="5">
        <f ca="1">IFERROR(__xludf.DUMMYFUNCTION("""COMPUTED_VALUE"""),2)</f>
        <v>2</v>
      </c>
      <c r="L1585" s="5" t="str">
        <f ca="1">IFERROR(__xludf.DUMMYFUNCTION("""COMPUTED_VALUE"""),"Winter")</f>
        <v>Winter</v>
      </c>
      <c r="M1585" s="5" t="str">
        <f ca="1">IFERROR(__xludf.DUMMYFUNCTION("""COMPUTED_VALUE"""),"Columbia")</f>
        <v>Columbia</v>
      </c>
      <c r="N1585" s="5" t="str">
        <f ca="1">IFERROR(__xludf.DUMMYFUNCTION("""COMPUTED_VALUE"""),"SC")</f>
        <v>SC</v>
      </c>
      <c r="O1585" s="5" t="str">
        <f ca="1">IFERROR(__xludf.DUMMYFUNCTION("""COMPUTED_VALUE"""),"High")</f>
        <v>High</v>
      </c>
      <c r="P1585" s="5" t="str">
        <f ca="1">IFERROR(__xludf.DUMMYFUNCTION("""COMPUTED_VALUE"""),"Hallway")</f>
        <v>Hallway</v>
      </c>
      <c r="Q1585" s="5" t="str">
        <f ca="1">IFERROR(__xludf.DUMMYFUNCTION("""COMPUTED_VALUE"""),"Inside School Building")</f>
        <v>Inside School Building</v>
      </c>
      <c r="R1585" s="5" t="str">
        <f ca="1">IFERROR(__xludf.DUMMYFUNCTION("""COMPUTED_VALUE"""),"Yes")</f>
        <v>Yes</v>
      </c>
      <c r="S1585" s="5" t="str">
        <f ca="1">IFERROR(__xludf.DUMMYFUNCTION("""COMPUTED_VALUE"""),"Unknown")</f>
        <v>Unknown</v>
      </c>
      <c r="T1585" s="5"/>
      <c r="U1585" s="5">
        <f ca="1">IFERROR(__xludf.DUMMYFUNCTION("""COMPUTED_VALUE"""),1)</f>
        <v>1</v>
      </c>
      <c r="V1585" s="5" t="str">
        <f ca="1">IFERROR(__xludf.DUMMYFUNCTION("""COMPUTED_VALUE"""),"Shot specific victim (bully) in hallway, then fled.")</f>
        <v>Shot specific victim (bully) in hallway, then fled.</v>
      </c>
      <c r="W1585"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X1585" s="5" t="str">
        <f ca="1">IFERROR(__xludf.DUMMYFUNCTION("""COMPUTED_VALUE"""),"Bullying")</f>
        <v>Bullying</v>
      </c>
      <c r="Y1585" s="5" t="str">
        <f ca="1">IFERROR(__xludf.DUMMYFUNCTION("""COMPUTED_VALUE"""),"Victims Targeted")</f>
        <v>Victims Targeted</v>
      </c>
      <c r="Z1585" s="5" t="str">
        <f ca="1">IFERROR(__xludf.DUMMYFUNCTION("""COMPUTED_VALUE"""),"No")</f>
        <v>No</v>
      </c>
      <c r="AA1585" s="5"/>
      <c r="AB1585" s="5" t="str">
        <f ca="1">IFERROR(__xludf.DUMMYFUNCTION("""COMPUTED_VALUE"""),"No")</f>
        <v>No</v>
      </c>
      <c r="AC1585" s="5" t="str">
        <f ca="1">IFERROR(__xludf.DUMMYFUNCTION("""COMPUTED_VALUE"""),"No")</f>
        <v>No</v>
      </c>
      <c r="AD1585" s="5" t="str">
        <f ca="1">IFERROR(__xludf.DUMMYFUNCTION("""COMPUTED_VALUE"""),"No")</f>
        <v>No</v>
      </c>
      <c r="AE1585" s="5" t="str">
        <f ca="1">IFERROR(__xludf.DUMMYFUNCTION("""COMPUTED_VALUE"""),"Yes")</f>
        <v>Yes</v>
      </c>
      <c r="AF1585" s="5" t="str">
        <f ca="1">IFERROR(__xludf.DUMMYFUNCTION("""COMPUTED_VALUE"""),"No")</f>
        <v>No</v>
      </c>
      <c r="AG1585" s="5" t="str">
        <f ca="1">IFERROR(__xludf.DUMMYFUNCTION("""COMPUTED_VALUE"""),"No")</f>
        <v>No</v>
      </c>
      <c r="AH1585" s="5"/>
    </row>
    <row r="1586" spans="1:34" ht="12.75">
      <c r="A1586" s="5" t="str">
        <f ca="1">IFERROR(__xludf.DUMMYFUNCTION("""COMPUTED_VALUE"""),"19940121TXKEK")</f>
        <v>19940121TXKEK</v>
      </c>
      <c r="B1586" s="8">
        <f ca="1">IFERROR(__xludf.DUMMYFUNCTION("""COMPUTED_VALUE"""),34355)</f>
        <v>34355</v>
      </c>
      <c r="C1586" s="5" t="str">
        <f ca="1">IFERROR(__xludf.DUMMYFUNCTION("""COMPUTED_VALUE"""),"Kennard High School")</f>
        <v>Kennard High School</v>
      </c>
      <c r="D1586" s="5">
        <f ca="1">IFERROR(__xludf.DUMMYFUNCTION("""COMPUTED_VALUE"""),0)</f>
        <v>0</v>
      </c>
      <c r="E1586" s="5">
        <f ca="1">IFERROR(__xludf.DUMMYFUNCTION("""COMPUTED_VALUE"""),0)</f>
        <v>0</v>
      </c>
      <c r="F1586" s="5">
        <f ca="1">IFERROR(__xludf.DUMMYFUNCTION("""COMPUTED_VALUE"""),0)</f>
        <v>0</v>
      </c>
      <c r="G1586" s="5">
        <f ca="1">IFERROR(__xludf.DUMMYFUNCTION("""COMPUTED_VALUE"""),1)</f>
        <v>1</v>
      </c>
      <c r="H1586" s="9" t="str">
        <f ca="1">IFERROR(__xludf.DUMMYFUNCTION("""COMPUTED_VALUE"""),"https://www.newspapers.com/image/219396903/?terms=Kennard%2BHigh%2BSchool%2Bsuicide")</f>
        <v>https://www.newspapers.com/image/219396903/?terms=Kennard%2BHigh%2BSchool%2Bsuicide</v>
      </c>
      <c r="I1586" s="5"/>
      <c r="J1586" s="5"/>
      <c r="K1586" s="5">
        <f ca="1">IFERROR(__xludf.DUMMYFUNCTION("""COMPUTED_VALUE"""),2)</f>
        <v>2</v>
      </c>
      <c r="L1586" s="5" t="str">
        <f ca="1">IFERROR(__xludf.DUMMYFUNCTION("""COMPUTED_VALUE"""),"Winter")</f>
        <v>Winter</v>
      </c>
      <c r="M1586" s="5" t="str">
        <f ca="1">IFERROR(__xludf.DUMMYFUNCTION("""COMPUTED_VALUE"""),"Kennard")</f>
        <v>Kennard</v>
      </c>
      <c r="N1586" s="5" t="str">
        <f ca="1">IFERROR(__xludf.DUMMYFUNCTION("""COMPUTED_VALUE"""),"TX")</f>
        <v>TX</v>
      </c>
      <c r="O1586" s="5" t="str">
        <f ca="1">IFERROR(__xludf.DUMMYFUNCTION("""COMPUTED_VALUE"""),"High")</f>
        <v>High</v>
      </c>
      <c r="P1586" s="5" t="str">
        <f ca="1">IFERROR(__xludf.DUMMYFUNCTION("""COMPUTED_VALUE"""),"Classroom")</f>
        <v>Classroom</v>
      </c>
      <c r="Q1586" s="5" t="str">
        <f ca="1">IFERROR(__xludf.DUMMYFUNCTION("""COMPUTED_VALUE"""),"Inside School Building")</f>
        <v>Inside School Building</v>
      </c>
      <c r="R1586" s="5" t="str">
        <f ca="1">IFERROR(__xludf.DUMMYFUNCTION("""COMPUTED_VALUE"""),"Yes")</f>
        <v>Yes</v>
      </c>
      <c r="S1586" s="5" t="str">
        <f ca="1">IFERROR(__xludf.DUMMYFUNCTION("""COMPUTED_VALUE"""),"Morning Classes")</f>
        <v>Morning Classes</v>
      </c>
      <c r="T1586" s="10">
        <f ca="1">IFERROR(__xludf.DUMMYFUNCTION("""COMPUTED_VALUE"""),0.334722222222222)</f>
        <v>0.33472222222222198</v>
      </c>
      <c r="U1586" s="5">
        <f ca="1">IFERROR(__xludf.DUMMYFUNCTION("""COMPUTED_VALUE"""),1)</f>
        <v>1</v>
      </c>
      <c r="V1586" s="5" t="str">
        <f ca="1">IFERROR(__xludf.DUMMYFUNCTION("""COMPUTED_VALUE"""),"Suicide in school")</f>
        <v>Suicide in school</v>
      </c>
      <c r="W1586"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X1586" s="5" t="str">
        <f ca="1">IFERROR(__xludf.DUMMYFUNCTION("""COMPUTED_VALUE"""),"Suicide/Attempted")</f>
        <v>Suicide/Attempted</v>
      </c>
      <c r="Y1586" s="5" t="str">
        <f ca="1">IFERROR(__xludf.DUMMYFUNCTION("""COMPUTED_VALUE"""),"Victims Targeted")</f>
        <v>Victims Targeted</v>
      </c>
      <c r="Z1586" s="5" t="str">
        <f ca="1">IFERROR(__xludf.DUMMYFUNCTION("""COMPUTED_VALUE"""),"No")</f>
        <v>No</v>
      </c>
      <c r="AA1586" s="5"/>
      <c r="AB1586" s="5" t="str">
        <f ca="1">IFERROR(__xludf.DUMMYFUNCTION("""COMPUTED_VALUE"""),"No")</f>
        <v>No</v>
      </c>
      <c r="AC1586" s="5" t="str">
        <f ca="1">IFERROR(__xludf.DUMMYFUNCTION("""COMPUTED_VALUE"""),"No")</f>
        <v>No</v>
      </c>
      <c r="AD1586" s="5" t="str">
        <f ca="1">IFERROR(__xludf.DUMMYFUNCTION("""COMPUTED_VALUE"""),"No")</f>
        <v>No</v>
      </c>
      <c r="AE1586" s="5" t="str">
        <f ca="1">IFERROR(__xludf.DUMMYFUNCTION("""COMPUTED_VALUE"""),"No")</f>
        <v>No</v>
      </c>
      <c r="AF1586" s="5" t="str">
        <f ca="1">IFERROR(__xludf.DUMMYFUNCTION("""COMPUTED_VALUE"""),"No")</f>
        <v>No</v>
      </c>
      <c r="AG1586" s="5" t="str">
        <f ca="1">IFERROR(__xludf.DUMMYFUNCTION("""COMPUTED_VALUE"""),"No")</f>
        <v>No</v>
      </c>
      <c r="AH1586" s="5"/>
    </row>
    <row r="1587" spans="1:34" ht="12.75">
      <c r="A1587" s="5" t="str">
        <f ca="1">IFERROR(__xludf.DUMMYFUNCTION("""COMPUTED_VALUE"""),"19940120CALOH")</f>
        <v>19940120CALOH</v>
      </c>
      <c r="B1587" s="8">
        <f ca="1">IFERROR(__xludf.DUMMYFUNCTION("""COMPUTED_VALUE"""),34354)</f>
        <v>34354</v>
      </c>
      <c r="C1587" s="5" t="str">
        <f ca="1">IFERROR(__xludf.DUMMYFUNCTION("""COMPUTED_VALUE"""),"Los Altos High School")</f>
        <v>Los Altos High School</v>
      </c>
      <c r="D1587" s="5">
        <f ca="1">IFERROR(__xludf.DUMMYFUNCTION("""COMPUTED_VALUE"""),1)</f>
        <v>1</v>
      </c>
      <c r="E1587" s="5">
        <f ca="1">IFERROR(__xludf.DUMMYFUNCTION("""COMPUTED_VALUE"""),0)</f>
        <v>0</v>
      </c>
      <c r="F1587" s="5">
        <f ca="1">IFERROR(__xludf.DUMMYFUNCTION("""COMPUTED_VALUE"""),1)</f>
        <v>1</v>
      </c>
      <c r="G1587" s="5">
        <f ca="1">IFERROR(__xludf.DUMMYFUNCTION("""COMPUTED_VALUE"""),0)</f>
        <v>0</v>
      </c>
      <c r="H1587" s="9" t="str">
        <f ca="1">IFERROR(__xludf.DUMMYFUNCTION("""COMPUTED_VALUE"""),"https://www.newspapers.com/image/159190089/?terms=Los%2BAltos%2BHigh%2BSchool")</f>
        <v>https://www.newspapers.com/image/159190089/?terms=Los%2BAltos%2BHigh%2BSchool</v>
      </c>
      <c r="I1587" s="5"/>
      <c r="J1587" s="5"/>
      <c r="K1587" s="5">
        <f ca="1">IFERROR(__xludf.DUMMYFUNCTION("""COMPUTED_VALUE"""),2)</f>
        <v>2</v>
      </c>
      <c r="L1587" s="5" t="str">
        <f ca="1">IFERROR(__xludf.DUMMYFUNCTION("""COMPUTED_VALUE"""),"Winter")</f>
        <v>Winter</v>
      </c>
      <c r="M1587" s="5" t="str">
        <f ca="1">IFERROR(__xludf.DUMMYFUNCTION("""COMPUTED_VALUE"""),"Hacienda Heights")</f>
        <v>Hacienda Heights</v>
      </c>
      <c r="N1587" s="5" t="str">
        <f ca="1">IFERROR(__xludf.DUMMYFUNCTION("""COMPUTED_VALUE"""),"CA")</f>
        <v>CA</v>
      </c>
      <c r="O1587" s="5" t="str">
        <f ca="1">IFERROR(__xludf.DUMMYFUNCTION("""COMPUTED_VALUE"""),"High")</f>
        <v>High</v>
      </c>
      <c r="P1587" s="5" t="str">
        <f ca="1">IFERROR(__xludf.DUMMYFUNCTION("""COMPUTED_VALUE"""),"Parking Lot")</f>
        <v>Parking Lot</v>
      </c>
      <c r="Q1587" s="5" t="str">
        <f ca="1">IFERROR(__xludf.DUMMYFUNCTION("""COMPUTED_VALUE"""),"Outside on School Property")</f>
        <v>Outside on School Property</v>
      </c>
      <c r="R1587" s="5" t="str">
        <f ca="1">IFERROR(__xludf.DUMMYFUNCTION("""COMPUTED_VALUE"""),"No")</f>
        <v>No</v>
      </c>
      <c r="S1587" s="5" t="str">
        <f ca="1">IFERROR(__xludf.DUMMYFUNCTION("""COMPUTED_VALUE"""),"After School")</f>
        <v>After School</v>
      </c>
      <c r="T1587" s="10">
        <f ca="1">IFERROR(__xludf.DUMMYFUNCTION("""COMPUTED_VALUE"""),0.631944444444444)</f>
        <v>0.63194444444444398</v>
      </c>
      <c r="U1587" s="5">
        <f ca="1">IFERROR(__xludf.DUMMYFUNCTION("""COMPUTED_VALUE"""),1)</f>
        <v>1</v>
      </c>
      <c r="V1587" s="5" t="str">
        <f ca="1">IFERROR(__xludf.DUMMYFUNCTION("""COMPUTED_VALUE"""),"Shot 3 times in parking lot after argument")</f>
        <v>Shot 3 times in parking lot after argument</v>
      </c>
      <c r="W1587"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X1587" s="5" t="str">
        <f ca="1">IFERROR(__xludf.DUMMYFUNCTION("""COMPUTED_VALUE"""),"Escalation of Dispute")</f>
        <v>Escalation of Dispute</v>
      </c>
      <c r="Y1587" s="5" t="str">
        <f ca="1">IFERROR(__xludf.DUMMYFUNCTION("""COMPUTED_VALUE"""),"Victims Targeted")</f>
        <v>Victims Targeted</v>
      </c>
      <c r="Z1587" s="5" t="str">
        <f ca="1">IFERROR(__xludf.DUMMYFUNCTION("""COMPUTED_VALUE"""),"Yes")</f>
        <v>Yes</v>
      </c>
      <c r="AA1587" s="5" t="str">
        <f ca="1">IFERROR(__xludf.DUMMYFUNCTION("""COMPUTED_VALUE"""),"Car with multiple males")</f>
        <v>Car with multiple males</v>
      </c>
      <c r="AB1587" s="5" t="str">
        <f ca="1">IFERROR(__xludf.DUMMYFUNCTION("""COMPUTED_VALUE"""),"No")</f>
        <v>No</v>
      </c>
      <c r="AC1587" s="5" t="str">
        <f ca="1">IFERROR(__xludf.DUMMYFUNCTION("""COMPUTED_VALUE"""),"No")</f>
        <v>No</v>
      </c>
      <c r="AD1587" s="5" t="str">
        <f ca="1">IFERROR(__xludf.DUMMYFUNCTION("""COMPUTED_VALUE"""),"No")</f>
        <v>No</v>
      </c>
      <c r="AE1587" s="5" t="str">
        <f ca="1">IFERROR(__xludf.DUMMYFUNCTION("""COMPUTED_VALUE"""),"No")</f>
        <v>No</v>
      </c>
      <c r="AF1587" s="5" t="str">
        <f ca="1">IFERROR(__xludf.DUMMYFUNCTION("""COMPUTED_VALUE"""),"No")</f>
        <v>No</v>
      </c>
      <c r="AG1587" s="5" t="str">
        <f ca="1">IFERROR(__xludf.DUMMYFUNCTION("""COMPUTED_VALUE"""),"Yes")</f>
        <v>Yes</v>
      </c>
      <c r="AH1587" s="5"/>
    </row>
    <row r="1588" spans="1:34" ht="12.75">
      <c r="A1588" s="5" t="str">
        <f ca="1">IFERROR(__xludf.DUMMYFUNCTION("""COMPUTED_VALUE"""),"19931217MICHC")</f>
        <v>19931217MICHC</v>
      </c>
      <c r="B1588" s="8">
        <f ca="1">IFERROR(__xludf.DUMMYFUNCTION("""COMPUTED_VALUE"""),34320)</f>
        <v>34320</v>
      </c>
      <c r="C1588" s="5" t="str">
        <f ca="1">IFERROR(__xludf.DUMMYFUNCTION("""COMPUTED_VALUE"""),"Chelsea High School")</f>
        <v>Chelsea High School</v>
      </c>
      <c r="D1588" s="5">
        <f ca="1">IFERROR(__xludf.DUMMYFUNCTION("""COMPUTED_VALUE"""),1)</f>
        <v>1</v>
      </c>
      <c r="E1588" s="5">
        <f ca="1">IFERROR(__xludf.DUMMYFUNCTION("""COMPUTED_VALUE"""),2)</f>
        <v>2</v>
      </c>
      <c r="F1588" s="5">
        <f ca="1">IFERROR(__xludf.DUMMYFUNCTION("""COMPUTED_VALUE"""),3)</f>
        <v>3</v>
      </c>
      <c r="G1588" s="5">
        <f ca="1">IFERROR(__xludf.DUMMYFUNCTION("""COMPUTED_VALUE"""),0)</f>
        <v>0</v>
      </c>
      <c r="H1588" s="9" t="str">
        <f ca="1">IFERROR(__xludf.DUMMYFUNCTION("""COMPUTED_VALUE"""),"https://www.mlive.com/politics/index.ssf/2013/04/chelsea_school_shooter_gun_con.html")</f>
        <v>https://www.mlive.com/politics/index.ssf/2013/04/chelsea_school_shooter_gun_con.html</v>
      </c>
      <c r="I1588" s="5"/>
      <c r="J1588" s="5"/>
      <c r="K1588" s="5">
        <f ca="1">IFERROR(__xludf.DUMMYFUNCTION("""COMPUTED_VALUE"""),2)</f>
        <v>2</v>
      </c>
      <c r="L1588" s="5" t="str">
        <f ca="1">IFERROR(__xludf.DUMMYFUNCTION("""COMPUTED_VALUE"""),"Winter")</f>
        <v>Winter</v>
      </c>
      <c r="M1588" s="5" t="str">
        <f ca="1">IFERROR(__xludf.DUMMYFUNCTION("""COMPUTED_VALUE"""),"Chelsea")</f>
        <v>Chelsea</v>
      </c>
      <c r="N1588" s="5" t="str">
        <f ca="1">IFERROR(__xludf.DUMMYFUNCTION("""COMPUTED_VALUE"""),"MI")</f>
        <v>MI</v>
      </c>
      <c r="O1588" s="5" t="str">
        <f ca="1">IFERROR(__xludf.DUMMYFUNCTION("""COMPUTED_VALUE"""),"High")</f>
        <v>High</v>
      </c>
      <c r="P1588" s="5" t="str">
        <f ca="1">IFERROR(__xludf.DUMMYFUNCTION("""COMPUTED_VALUE"""),"Office")</f>
        <v>Office</v>
      </c>
      <c r="Q1588" s="5" t="str">
        <f ca="1">IFERROR(__xludf.DUMMYFUNCTION("""COMPUTED_VALUE"""),"Inside School Building")</f>
        <v>Inside School Building</v>
      </c>
      <c r="R1588" s="5" t="str">
        <f ca="1">IFERROR(__xludf.DUMMYFUNCTION("""COMPUTED_VALUE"""),"No")</f>
        <v>No</v>
      </c>
      <c r="S1588" s="5" t="str">
        <f ca="1">IFERROR(__xludf.DUMMYFUNCTION("""COMPUTED_VALUE"""),"After School")</f>
        <v>After School</v>
      </c>
      <c r="T1588" s="5"/>
      <c r="U1588" s="5"/>
      <c r="V1588" s="5" t="str">
        <f ca="1">IFERROR(__xludf.DUMMYFUNCTION("""COMPUTED_VALUE"""),"Suspect - science teacher - walked into afterschool staff meeting and shot other staff members")</f>
        <v>Suspect - science teacher - walked into afterschool staff meeting and shot other staff members</v>
      </c>
      <c r="W1588" s="5" t="str">
        <f ca="1">IFERROR(__xludf.DUMMYFUNCTION("""COMPUTED_VALUE"""),"Suspect was angry for being reprimanded by school admin over his inappropriate remarks related to a student")</f>
        <v>Suspect was angry for being reprimanded by school admin over his inappropriate remarks related to a student</v>
      </c>
      <c r="X1588" s="5" t="str">
        <f ca="1">IFERROR(__xludf.DUMMYFUNCTION("""COMPUTED_VALUE"""),"Anger Over Grade/Suspension/Discipline")</f>
        <v>Anger Over Grade/Suspension/Discipline</v>
      </c>
      <c r="Y1588" s="5" t="str">
        <f ca="1">IFERROR(__xludf.DUMMYFUNCTION("""COMPUTED_VALUE"""),"Victims Targeted")</f>
        <v>Victims Targeted</v>
      </c>
      <c r="Z1588" s="5"/>
      <c r="AA1588" s="5"/>
      <c r="AB1588" s="5" t="str">
        <f ca="1">IFERROR(__xludf.DUMMYFUNCTION("""COMPUTED_VALUE"""),"No")</f>
        <v>No</v>
      </c>
      <c r="AC1588" s="5" t="str">
        <f ca="1">IFERROR(__xludf.DUMMYFUNCTION("""COMPUTED_VALUE"""),"No")</f>
        <v>No</v>
      </c>
      <c r="AD1588" s="5" t="str">
        <f ca="1">IFERROR(__xludf.DUMMYFUNCTION("""COMPUTED_VALUE"""),"No")</f>
        <v>No</v>
      </c>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IFERROR(__xludf.DUMMYFUNCTION("""COMPUTED_VALUE"""),"Yes")</f>
        <v>Yes</v>
      </c>
    </row>
    <row r="1589" spans="1:34" ht="12.75">
      <c r="A1589" s="5" t="str">
        <f ca="1">IFERROR(__xludf.DUMMYFUNCTION("""COMPUTED_VALUE"""),"19931215CACHS")</f>
        <v>19931215CACHS</v>
      </c>
      <c r="B1589" s="8">
        <f ca="1">IFERROR(__xludf.DUMMYFUNCTION("""COMPUTED_VALUE"""),34318)</f>
        <v>34318</v>
      </c>
      <c r="C1589" s="5" t="str">
        <f ca="1">IFERROR(__xludf.DUMMYFUNCTION("""COMPUTED_VALUE"""),"Chatsworth High School")</f>
        <v>Chatsworth High School</v>
      </c>
      <c r="D1589" s="5">
        <f ca="1">IFERROR(__xludf.DUMMYFUNCTION("""COMPUTED_VALUE"""),1)</f>
        <v>1</v>
      </c>
      <c r="E1589" s="5">
        <f ca="1">IFERROR(__xludf.DUMMYFUNCTION("""COMPUTED_VALUE"""),0)</f>
        <v>0</v>
      </c>
      <c r="F1589" s="5">
        <f ca="1">IFERROR(__xludf.DUMMYFUNCTION("""COMPUTED_VALUE"""),1)</f>
        <v>1</v>
      </c>
      <c r="G1589" s="5">
        <f ca="1">IFERROR(__xludf.DUMMYFUNCTION("""COMPUTED_VALUE"""),0)</f>
        <v>0</v>
      </c>
      <c r="H1589" s="5" t="str">
        <f ca="1">IFERROR(__xludf.DUMMYFUNCTION("""COMPUTED_VALUE"""),"; https://www.columbine-angels.com/School_Violence_1993-1994.htm")</f>
        <v>; https://www.columbine-angels.com/School_Violence_1993-1994.htm</v>
      </c>
      <c r="I1589" s="5"/>
      <c r="J1589" s="5"/>
      <c r="K1589" s="5">
        <f ca="1">IFERROR(__xludf.DUMMYFUNCTION("""COMPUTED_VALUE"""),1)</f>
        <v>1</v>
      </c>
      <c r="L1589" s="5" t="str">
        <f ca="1">IFERROR(__xludf.DUMMYFUNCTION("""COMPUTED_VALUE"""),"Winter")</f>
        <v>Winter</v>
      </c>
      <c r="M1589" s="5" t="str">
        <f ca="1">IFERROR(__xludf.DUMMYFUNCTION("""COMPUTED_VALUE"""),"San Fernando Valley")</f>
        <v>San Fernando Valley</v>
      </c>
      <c r="N1589" s="5" t="str">
        <f ca="1">IFERROR(__xludf.DUMMYFUNCTION("""COMPUTED_VALUE"""),"CA")</f>
        <v>CA</v>
      </c>
      <c r="O1589" s="5" t="str">
        <f ca="1">IFERROR(__xludf.DUMMYFUNCTION("""COMPUTED_VALUE"""),"High")</f>
        <v>High</v>
      </c>
      <c r="P1589" s="5" t="str">
        <f ca="1">IFERROR(__xludf.DUMMYFUNCTION("""COMPUTED_VALUE"""),"Outside on School Property")</f>
        <v>Outside on School Property</v>
      </c>
      <c r="Q1589" s="5" t="str">
        <f ca="1">IFERROR(__xludf.DUMMYFUNCTION("""COMPUTED_VALUE"""),"Outside on School Property")</f>
        <v>Outside on School Property</v>
      </c>
      <c r="R1589" s="5" t="str">
        <f ca="1">IFERROR(__xludf.DUMMYFUNCTION("""COMPUTED_VALUE"""),"Yes")</f>
        <v>Yes</v>
      </c>
      <c r="S1589" s="5" t="str">
        <f ca="1">IFERROR(__xludf.DUMMYFUNCTION("""COMPUTED_VALUE"""),"Afternoon Classes")</f>
        <v>Afternoon Classes</v>
      </c>
      <c r="T1589" s="10">
        <f ca="1">IFERROR(__xludf.DUMMYFUNCTION("""COMPUTED_VALUE"""),0.569444444444444)</f>
        <v>0.56944444444444398</v>
      </c>
      <c r="U1589" s="5">
        <f ca="1">IFERROR(__xludf.DUMMYFUNCTION("""COMPUTED_VALUE"""),1)</f>
        <v>1</v>
      </c>
      <c r="V1589" s="5" t="str">
        <f ca="1">IFERROR(__xludf.DUMMYFUNCTION("""COMPUTED_VALUE"""),"Shot during robbery of backpack")</f>
        <v>Shot during robbery of backpack</v>
      </c>
      <c r="W1589" s="5" t="str">
        <f ca="1">IFERROR(__xludf.DUMMYFUNCTION("""COMPUTED_VALUE"""),"17YOM student shot during robbery of backpack by 14YOM shooter and 17YOM accomplice. Shooter fled.")</f>
        <v>17YOM student shot during robbery of backpack by 14YOM shooter and 17YOM accomplice. Shooter fled.</v>
      </c>
      <c r="X1589" s="5" t="str">
        <f ca="1">IFERROR(__xludf.DUMMYFUNCTION("""COMPUTED_VALUE"""),"Illegal Activity")</f>
        <v>Illegal Activity</v>
      </c>
      <c r="Y1589" s="5" t="str">
        <f ca="1">IFERROR(__xludf.DUMMYFUNCTION("""COMPUTED_VALUE"""),"Victims Targeted")</f>
        <v>Victims Targeted</v>
      </c>
      <c r="Z1589" s="5" t="str">
        <f ca="1">IFERROR(__xludf.DUMMYFUNCTION("""COMPUTED_VALUE"""),"Yes")</f>
        <v>Yes</v>
      </c>
      <c r="AA1589" s="5" t="str">
        <f ca="1">IFERROR(__xludf.DUMMYFUNCTION("""COMPUTED_VALUE"""),"17YOM in car with shooter")</f>
        <v>17YOM in car with shooter</v>
      </c>
      <c r="AB1589" s="5" t="str">
        <f ca="1">IFERROR(__xludf.DUMMYFUNCTION("""COMPUTED_VALUE"""),"No")</f>
        <v>No</v>
      </c>
      <c r="AC1589" s="5" t="str">
        <f ca="1">IFERROR(__xludf.DUMMYFUNCTION("""COMPUTED_VALUE"""),"No")</f>
        <v>No</v>
      </c>
      <c r="AD1589" s="5" t="str">
        <f ca="1">IFERROR(__xludf.DUMMYFUNCTION("""COMPUTED_VALUE"""),"No")</f>
        <v>No</v>
      </c>
      <c r="AE1589" s="5" t="str">
        <f ca="1">IFERROR(__xludf.DUMMYFUNCTION("""COMPUTED_VALUE"""),"No")</f>
        <v>No</v>
      </c>
      <c r="AF1589" s="5" t="str">
        <f ca="1">IFERROR(__xludf.DUMMYFUNCTION("""COMPUTED_VALUE"""),"No")</f>
        <v>No</v>
      </c>
      <c r="AG1589" s="5" t="str">
        <f ca="1">IFERROR(__xludf.DUMMYFUNCTION("""COMPUTED_VALUE"""),"No")</f>
        <v>No</v>
      </c>
      <c r="AH1589" s="5"/>
    </row>
    <row r="1590" spans="1:34" ht="12.75">
      <c r="A1590" s="5" t="str">
        <f ca="1">IFERROR(__xludf.DUMMYFUNCTION("""COMPUTED_VALUE"""),"19931208GABES")</f>
        <v>19931208GABES</v>
      </c>
      <c r="B1590" s="8">
        <f ca="1">IFERROR(__xludf.DUMMYFUNCTION("""COMPUTED_VALUE"""),34311)</f>
        <v>34311</v>
      </c>
      <c r="C1590" s="5" t="str">
        <f ca="1">IFERROR(__xludf.DUMMYFUNCTION("""COMPUTED_VALUE"""),"Beach High School")</f>
        <v>Beach High School</v>
      </c>
      <c r="D1590" s="5">
        <f ca="1">IFERROR(__xludf.DUMMYFUNCTION("""COMPUTED_VALUE"""),1)</f>
        <v>1</v>
      </c>
      <c r="E1590" s="5">
        <f ca="1">IFERROR(__xludf.DUMMYFUNCTION("""COMPUTED_VALUE"""),0)</f>
        <v>0</v>
      </c>
      <c r="F1590" s="5">
        <f ca="1">IFERROR(__xludf.DUMMYFUNCTION("""COMPUTED_VALUE"""),1)</f>
        <v>1</v>
      </c>
      <c r="G1590" s="5">
        <f ca="1">IFERROR(__xludf.DUMMYFUNCTION("""COMPUTED_VALUE"""),0)</f>
        <v>0</v>
      </c>
      <c r="H1590" s="9" t="str">
        <f ca="1">IFERROR(__xludf.DUMMYFUNCTION("""COMPUTED_VALUE"""),"https://www.newspapers.com/image/403544801/?terms=Aron%2BGilliam")</f>
        <v>https://www.newspapers.com/image/403544801/?terms=Aron%2BGilliam</v>
      </c>
      <c r="I1590" s="5"/>
      <c r="J1590" s="5"/>
      <c r="K1590" s="5">
        <f ca="1">IFERROR(__xludf.DUMMYFUNCTION("""COMPUTED_VALUE"""),2)</f>
        <v>2</v>
      </c>
      <c r="L1590" s="5" t="str">
        <f ca="1">IFERROR(__xludf.DUMMYFUNCTION("""COMPUTED_VALUE"""),"Winter")</f>
        <v>Winter</v>
      </c>
      <c r="M1590" s="5" t="str">
        <f ca="1">IFERROR(__xludf.DUMMYFUNCTION("""COMPUTED_VALUE"""),"Savannah")</f>
        <v>Savannah</v>
      </c>
      <c r="N1590" s="5" t="str">
        <f ca="1">IFERROR(__xludf.DUMMYFUNCTION("""COMPUTED_VALUE"""),"GA")</f>
        <v>GA</v>
      </c>
      <c r="O1590" s="5" t="str">
        <f ca="1">IFERROR(__xludf.DUMMYFUNCTION("""COMPUTED_VALUE"""),"High")</f>
        <v>High</v>
      </c>
      <c r="P1590" s="5" t="str">
        <f ca="1">IFERROR(__xludf.DUMMYFUNCTION("""COMPUTED_VALUE"""),"Front of School")</f>
        <v>Front of School</v>
      </c>
      <c r="Q1590" s="5" t="str">
        <f ca="1">IFERROR(__xludf.DUMMYFUNCTION("""COMPUTED_VALUE"""),"Outside on School Property")</f>
        <v>Outside on School Property</v>
      </c>
      <c r="R1590" s="5" t="str">
        <f ca="1">IFERROR(__xludf.DUMMYFUNCTION("""COMPUTED_VALUE"""),"No")</f>
        <v>No</v>
      </c>
      <c r="S1590" s="5" t="str">
        <f ca="1">IFERROR(__xludf.DUMMYFUNCTION("""COMPUTED_VALUE"""),"Evening")</f>
        <v>Evening</v>
      </c>
      <c r="T1590" s="10">
        <f ca="1">IFERROR(__xludf.DUMMYFUNCTION("""COMPUTED_VALUE"""),0.833333333333333)</f>
        <v>0.83333333333333304</v>
      </c>
      <c r="U1590" s="5">
        <f ca="1">IFERROR(__xludf.DUMMYFUNCTION("""COMPUTED_VALUE"""),1)</f>
        <v>1</v>
      </c>
      <c r="V1590" s="5" t="str">
        <f ca="1">IFERROR(__xludf.DUMMYFUNCTION("""COMPUTED_VALUE"""),"Gang related shooting at front door of school")</f>
        <v>Gang related shooting at front door of school</v>
      </c>
      <c r="W1590" s="5" t="str">
        <f ca="1">IFERROR(__xludf.DUMMYFUNCTION("""COMPUTED_VALUE"""),"16YOM shot 15YOM outside of front door of school in gang related shooting.")</f>
        <v>16YOM shot 15YOM outside of front door of school in gang related shooting.</v>
      </c>
      <c r="X1590" s="5" t="str">
        <f ca="1">IFERROR(__xludf.DUMMYFUNCTION("""COMPUTED_VALUE"""),"Escalation of Dispute")</f>
        <v>Escalation of Dispute</v>
      </c>
      <c r="Y1590" s="5" t="str">
        <f ca="1">IFERROR(__xludf.DUMMYFUNCTION("""COMPUTED_VALUE"""),"Victims Targeted")</f>
        <v>Victims Targeted</v>
      </c>
      <c r="Z1590" s="5" t="str">
        <f ca="1">IFERROR(__xludf.DUMMYFUNCTION("""COMPUTED_VALUE"""),"No")</f>
        <v>No</v>
      </c>
      <c r="AA1590" s="5"/>
      <c r="AB1590" s="5" t="str">
        <f ca="1">IFERROR(__xludf.DUMMYFUNCTION("""COMPUTED_VALUE"""),"No")</f>
        <v>No</v>
      </c>
      <c r="AC1590" s="5" t="str">
        <f ca="1">IFERROR(__xludf.DUMMYFUNCTION("""COMPUTED_VALUE"""),"No")</f>
        <v>No</v>
      </c>
      <c r="AD1590" s="5" t="str">
        <f ca="1">IFERROR(__xludf.DUMMYFUNCTION("""COMPUTED_VALUE"""),"No")</f>
        <v>No</v>
      </c>
      <c r="AE1590" s="5" t="str">
        <f ca="1">IFERROR(__xludf.DUMMYFUNCTION("""COMPUTED_VALUE"""),"No")</f>
        <v>No</v>
      </c>
      <c r="AF1590" s="5" t="str">
        <f ca="1">IFERROR(__xludf.DUMMYFUNCTION("""COMPUTED_VALUE"""),"No")</f>
        <v>No</v>
      </c>
      <c r="AG1590" s="5" t="str">
        <f ca="1">IFERROR(__xludf.DUMMYFUNCTION("""COMPUTED_VALUE"""),"Yes")</f>
        <v>Yes</v>
      </c>
      <c r="AH1590" s="5"/>
    </row>
    <row r="1591" spans="1:34" ht="12.75">
      <c r="A1591" s="5" t="str">
        <f ca="1">IFERROR(__xludf.DUMMYFUNCTION("""COMPUTED_VALUE"""),"19931202CTNEN")</f>
        <v>19931202CTNEN</v>
      </c>
      <c r="B1591" s="8">
        <f ca="1">IFERROR(__xludf.DUMMYFUNCTION("""COMPUTED_VALUE"""),34305)</f>
        <v>34305</v>
      </c>
      <c r="C1591" s="5" t="str">
        <f ca="1">IFERROR(__xludf.DUMMYFUNCTION("""COMPUTED_VALUE"""),"New Britain High School")</f>
        <v>New Britain High School</v>
      </c>
      <c r="D1591" s="5">
        <f ca="1">IFERROR(__xludf.DUMMYFUNCTION("""COMPUTED_VALUE"""),1)</f>
        <v>1</v>
      </c>
      <c r="E1591" s="5">
        <f ca="1">IFERROR(__xludf.DUMMYFUNCTION("""COMPUTED_VALUE"""),0)</f>
        <v>0</v>
      </c>
      <c r="F1591" s="5">
        <f ca="1">IFERROR(__xludf.DUMMYFUNCTION("""COMPUTED_VALUE"""),1)</f>
        <v>1</v>
      </c>
      <c r="G1591" s="5">
        <f ca="1">IFERROR(__xludf.DUMMYFUNCTION("""COMPUTED_VALUE"""),0)</f>
        <v>0</v>
      </c>
      <c r="H1591" s="9" t="str">
        <f ca="1">IFERROR(__xludf.DUMMYFUNCTION("""COMPUTED_VALUE"""),"https://www.newspapers.com/image/175645669/?terms=New%2BBritain%2BHigh%2BSchool%2Bshooting")</f>
        <v>https://www.newspapers.com/image/175645669/?terms=New%2BBritain%2BHigh%2BSchool%2Bshooting</v>
      </c>
      <c r="I1591" s="5"/>
      <c r="J1591" s="5"/>
      <c r="K1591" s="5">
        <f ca="1">IFERROR(__xludf.DUMMYFUNCTION("""COMPUTED_VALUE"""),2)</f>
        <v>2</v>
      </c>
      <c r="L1591" s="5" t="str">
        <f ca="1">IFERROR(__xludf.DUMMYFUNCTION("""COMPUTED_VALUE"""),"Winter")</f>
        <v>Winter</v>
      </c>
      <c r="M1591" s="5" t="str">
        <f ca="1">IFERROR(__xludf.DUMMYFUNCTION("""COMPUTED_VALUE"""),"New Britain")</f>
        <v>New Britain</v>
      </c>
      <c r="N1591" s="5" t="str">
        <f ca="1">IFERROR(__xludf.DUMMYFUNCTION("""COMPUTED_VALUE"""),"CT")</f>
        <v>CT</v>
      </c>
      <c r="O1591" s="5" t="str">
        <f ca="1">IFERROR(__xludf.DUMMYFUNCTION("""COMPUTED_VALUE"""),"High")</f>
        <v>High</v>
      </c>
      <c r="P1591" s="5" t="str">
        <f ca="1">IFERROR(__xludf.DUMMYFUNCTION("""COMPUTED_VALUE"""),"Front of School")</f>
        <v>Front of School</v>
      </c>
      <c r="Q1591" s="5" t="str">
        <f ca="1">IFERROR(__xludf.DUMMYFUNCTION("""COMPUTED_VALUE"""),"Outside on School Property")</f>
        <v>Outside on School Property</v>
      </c>
      <c r="R1591" s="5" t="str">
        <f ca="1">IFERROR(__xludf.DUMMYFUNCTION("""COMPUTED_VALUE"""),"No")</f>
        <v>No</v>
      </c>
      <c r="S1591" s="5"/>
      <c r="T1591" s="5"/>
      <c r="U1591" s="5">
        <f ca="1">IFERROR(__xludf.DUMMYFUNCTION("""COMPUTED_VALUE"""),1)</f>
        <v>1</v>
      </c>
      <c r="V1591" s="5" t="str">
        <f ca="1">IFERROR(__xludf.DUMMYFUNCTION("""COMPUTED_VALUE"""),"Masked gunman shot student on school steps, possible gang related")</f>
        <v>Masked gunman shot student on school steps, possible gang related</v>
      </c>
      <c r="W1591" s="5" t="str">
        <f ca="1">IFERROR(__xludf.DUMMYFUNCTION("""COMPUTED_VALUE"""),"18YOM student shot on the steps of the high school by a masked gunman who fled the area.")</f>
        <v>18YOM student shot on the steps of the high school by a masked gunman who fled the area.</v>
      </c>
      <c r="X1591" s="5" t="str">
        <f ca="1">IFERROR(__xludf.DUMMYFUNCTION("""COMPUTED_VALUE"""),"Escalation of Dispute")</f>
        <v>Escalation of Dispute</v>
      </c>
      <c r="Y1591" s="5" t="str">
        <f ca="1">IFERROR(__xludf.DUMMYFUNCTION("""COMPUTED_VALUE"""),"Victims Targeted")</f>
        <v>Victims Targeted</v>
      </c>
      <c r="Z1591" s="5" t="str">
        <f ca="1">IFERROR(__xludf.DUMMYFUNCTION("""COMPUTED_VALUE"""),"No")</f>
        <v>No</v>
      </c>
      <c r="AA1591" s="5"/>
      <c r="AB1591" s="5" t="str">
        <f ca="1">IFERROR(__xludf.DUMMYFUNCTION("""COMPUTED_VALUE"""),"No")</f>
        <v>No</v>
      </c>
      <c r="AC1591" s="5" t="str">
        <f ca="1">IFERROR(__xludf.DUMMYFUNCTION("""COMPUTED_VALUE"""),"No")</f>
        <v>No</v>
      </c>
      <c r="AD1591" s="5" t="str">
        <f ca="1">IFERROR(__xludf.DUMMYFUNCTION("""COMPUTED_VALUE"""),"No")</f>
        <v>No</v>
      </c>
      <c r="AE1591" s="5" t="str">
        <f ca="1">IFERROR(__xludf.DUMMYFUNCTION("""COMPUTED_VALUE"""),"No")</f>
        <v>No</v>
      </c>
      <c r="AF1591" s="5" t="str">
        <f ca="1">IFERROR(__xludf.DUMMYFUNCTION("""COMPUTED_VALUE"""),"No")</f>
        <v>No</v>
      </c>
      <c r="AG1591" s="5" t="str">
        <f ca="1">IFERROR(__xludf.DUMMYFUNCTION("""COMPUTED_VALUE"""),"Yes")</f>
        <v>Yes</v>
      </c>
      <c r="AH1591" s="5"/>
    </row>
    <row r="1592" spans="1:34" ht="12.75">
      <c r="A1592" s="5" t="str">
        <f ca="1">IFERROR(__xludf.DUMMYFUNCTION("""COMPUTED_VALUE"""),"19931201WIWAW")</f>
        <v>19931201WIWAW</v>
      </c>
      <c r="B1592" s="8">
        <f ca="1">IFERROR(__xludf.DUMMYFUNCTION("""COMPUTED_VALUE"""),34304)</f>
        <v>34304</v>
      </c>
      <c r="C1592" s="5" t="str">
        <f ca="1">IFERROR(__xludf.DUMMYFUNCTION("""COMPUTED_VALUE"""),"Wauwatosa West High School")</f>
        <v>Wauwatosa West High School</v>
      </c>
      <c r="D1592" s="5">
        <f ca="1">IFERROR(__xludf.DUMMYFUNCTION("""COMPUTED_VALUE"""),1)</f>
        <v>1</v>
      </c>
      <c r="E1592" s="5">
        <f ca="1">IFERROR(__xludf.DUMMYFUNCTION("""COMPUTED_VALUE"""),0)</f>
        <v>0</v>
      </c>
      <c r="F1592" s="5">
        <f ca="1">IFERROR(__xludf.DUMMYFUNCTION("""COMPUTED_VALUE"""),1)</f>
        <v>1</v>
      </c>
      <c r="G1592" s="5">
        <f ca="1">IFERROR(__xludf.DUMMYFUNCTION("""COMPUTED_VALUE"""),0)</f>
        <v>0</v>
      </c>
      <c r="H1592" s="9" t="str">
        <f ca="1">IFERROR(__xludf.DUMMYFUNCTION("""COMPUTED_VALUE"""),"http://journaltimes.com/news/former-student-arrested-in-tosa-west-slaying/article_dfb15b1e-986c-5b2b-ba06-76388109b2cf.html")</f>
        <v>http://journaltimes.com/news/former-student-arrested-in-tosa-west-slaying/article_dfb15b1e-986c-5b2b-ba06-76388109b2cf.html</v>
      </c>
      <c r="I1592" s="5"/>
      <c r="J1592" s="5"/>
      <c r="K1592" s="5">
        <f ca="1">IFERROR(__xludf.DUMMYFUNCTION("""COMPUTED_VALUE"""),2)</f>
        <v>2</v>
      </c>
      <c r="L1592" s="5" t="str">
        <f ca="1">IFERROR(__xludf.DUMMYFUNCTION("""COMPUTED_VALUE"""),"Winter")</f>
        <v>Winter</v>
      </c>
      <c r="M1592" s="5" t="str">
        <f ca="1">IFERROR(__xludf.DUMMYFUNCTION("""COMPUTED_VALUE"""),"Wauwatosa")</f>
        <v>Wauwatosa</v>
      </c>
      <c r="N1592" s="5" t="str">
        <f ca="1">IFERROR(__xludf.DUMMYFUNCTION("""COMPUTED_VALUE"""),"WI")</f>
        <v>WI</v>
      </c>
      <c r="O1592" s="5" t="str">
        <f ca="1">IFERROR(__xludf.DUMMYFUNCTION("""COMPUTED_VALUE"""),"High")</f>
        <v>High</v>
      </c>
      <c r="P1592" s="5" t="str">
        <f ca="1">IFERROR(__xludf.DUMMYFUNCTION("""COMPUTED_VALUE"""),"Hallway")</f>
        <v>Hallway</v>
      </c>
      <c r="Q1592" s="5" t="str">
        <f ca="1">IFERROR(__xludf.DUMMYFUNCTION("""COMPUTED_VALUE"""),"Inside School Building")</f>
        <v>Inside School Building</v>
      </c>
      <c r="R1592" s="5" t="str">
        <f ca="1">IFERROR(__xludf.DUMMYFUNCTION("""COMPUTED_VALUE"""),"Yes")</f>
        <v>Yes</v>
      </c>
      <c r="S1592" s="5" t="str">
        <f ca="1">IFERROR(__xludf.DUMMYFUNCTION("""COMPUTED_VALUE"""),"Unknown")</f>
        <v>Unknown</v>
      </c>
      <c r="T1592" s="5"/>
      <c r="U1592" s="5"/>
      <c r="V1592" s="5" t="str">
        <f ca="1">IFERROR(__xludf.DUMMYFUNCTION("""COMPUTED_VALUE"""),"Killed principal, history of disciplinary issues")</f>
        <v>Killed principal, history of disciplinary issues</v>
      </c>
      <c r="W1592"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X1592" s="5" t="str">
        <f ca="1">IFERROR(__xludf.DUMMYFUNCTION("""COMPUTED_VALUE"""),"Anger Over Grade/Suspension/Discipline")</f>
        <v>Anger Over Grade/Suspension/Discipline</v>
      </c>
      <c r="Y1592" s="5" t="str">
        <f ca="1">IFERROR(__xludf.DUMMYFUNCTION("""COMPUTED_VALUE"""),"Victims Targeted")</f>
        <v>Victims Targeted</v>
      </c>
      <c r="Z1592" s="5" t="str">
        <f ca="1">IFERROR(__xludf.DUMMYFUNCTION("""COMPUTED_VALUE"""),"No")</f>
        <v>No</v>
      </c>
      <c r="AA1592" s="5"/>
      <c r="AB1592" s="5" t="str">
        <f ca="1">IFERROR(__xludf.DUMMYFUNCTION("""COMPUTED_VALUE"""),"No")</f>
        <v>No</v>
      </c>
      <c r="AC1592" s="5" t="str">
        <f ca="1">IFERROR(__xludf.DUMMYFUNCTION("""COMPUTED_VALUE"""),"No")</f>
        <v>No</v>
      </c>
      <c r="AD1592" s="5" t="str">
        <f ca="1">IFERROR(__xludf.DUMMYFUNCTION("""COMPUTED_VALUE"""),"No")</f>
        <v>No</v>
      </c>
      <c r="AE1592" s="5" t="str">
        <f ca="1">IFERROR(__xludf.DUMMYFUNCTION("""COMPUTED_VALUE"""),"No")</f>
        <v>No</v>
      </c>
      <c r="AF1592" s="5" t="str">
        <f ca="1">IFERROR(__xludf.DUMMYFUNCTION("""COMPUTED_VALUE"""),"No")</f>
        <v>No</v>
      </c>
      <c r="AG1592" s="5" t="str">
        <f ca="1">IFERROR(__xludf.DUMMYFUNCTION("""COMPUTED_VALUE"""),"No")</f>
        <v>No</v>
      </c>
      <c r="AH1592" s="5"/>
    </row>
    <row r="1593" spans="1:34" ht="12.75">
      <c r="A1593" s="5" t="str">
        <f ca="1">IFERROR(__xludf.DUMMYFUNCTION("""COMPUTED_VALUE"""),"19931111ILRIS")</f>
        <v>19931111ILRIS</v>
      </c>
      <c r="B1593" s="8">
        <f ca="1">IFERROR(__xludf.DUMMYFUNCTION("""COMPUTED_VALUE"""),34284)</f>
        <v>34284</v>
      </c>
      <c r="C1593" s="5" t="str">
        <f ca="1">IFERROR(__xludf.DUMMYFUNCTION("""COMPUTED_VALUE"""),"Ridgely Elementary School")</f>
        <v>Ridgely Elementary School</v>
      </c>
      <c r="D1593" s="5">
        <f ca="1">IFERROR(__xludf.DUMMYFUNCTION("""COMPUTED_VALUE"""),1)</f>
        <v>1</v>
      </c>
      <c r="E1593" s="5">
        <f ca="1">IFERROR(__xludf.DUMMYFUNCTION("""COMPUTED_VALUE"""),0)</f>
        <v>0</v>
      </c>
      <c r="F1593" s="5">
        <f ca="1">IFERROR(__xludf.DUMMYFUNCTION("""COMPUTED_VALUE"""),1)</f>
        <v>1</v>
      </c>
      <c r="G1593" s="5">
        <f ca="1">IFERROR(__xludf.DUMMYFUNCTION("""COMPUTED_VALUE"""),0)</f>
        <v>0</v>
      </c>
      <c r="H1593" s="9" t="str">
        <f ca="1">IFERROR(__xludf.DUMMYFUNCTION("""COMPUTED_VALUE"""),"https://www.newspapers.com/image/195155455/?terms=Harold%2BPage%2BIII")</f>
        <v>https://www.newspapers.com/image/195155455/?terms=Harold%2BPage%2BIII</v>
      </c>
      <c r="I1593" s="5"/>
      <c r="J1593" s="5"/>
      <c r="K1593" s="5">
        <f ca="1">IFERROR(__xludf.DUMMYFUNCTION("""COMPUTED_VALUE"""),2)</f>
        <v>2</v>
      </c>
      <c r="L1593" s="5" t="str">
        <f ca="1">IFERROR(__xludf.DUMMYFUNCTION("""COMPUTED_VALUE"""),"Fall")</f>
        <v>Fall</v>
      </c>
      <c r="M1593" s="5" t="str">
        <f ca="1">IFERROR(__xludf.DUMMYFUNCTION("""COMPUTED_VALUE"""),"Springfield")</f>
        <v>Springfield</v>
      </c>
      <c r="N1593" s="5" t="str">
        <f ca="1">IFERROR(__xludf.DUMMYFUNCTION("""COMPUTED_VALUE"""),"IL")</f>
        <v>IL</v>
      </c>
      <c r="O1593" s="5" t="str">
        <f ca="1">IFERROR(__xludf.DUMMYFUNCTION("""COMPUTED_VALUE"""),"High")</f>
        <v>High</v>
      </c>
      <c r="P1593" s="5" t="str">
        <f ca="1">IFERROR(__xludf.DUMMYFUNCTION("""COMPUTED_VALUE"""),"Hallway")</f>
        <v>Hallway</v>
      </c>
      <c r="Q1593" s="5" t="str">
        <f ca="1">IFERROR(__xludf.DUMMYFUNCTION("""COMPUTED_VALUE"""),"Inside School Building")</f>
        <v>Inside School Building</v>
      </c>
      <c r="R1593" s="5" t="str">
        <f ca="1">IFERROR(__xludf.DUMMYFUNCTION("""COMPUTED_VALUE"""),"No")</f>
        <v>No</v>
      </c>
      <c r="S1593" s="5" t="str">
        <f ca="1">IFERROR(__xludf.DUMMYFUNCTION("""COMPUTED_VALUE"""),"Night")</f>
        <v>Night</v>
      </c>
      <c r="T1593" s="10">
        <f ca="1">IFERROR(__xludf.DUMMYFUNCTION("""COMPUTED_VALUE"""),0)</f>
        <v>0</v>
      </c>
      <c r="U1593" s="5">
        <f ca="1">IFERROR(__xludf.DUMMYFUNCTION("""COMPUTED_VALUE"""),1)</f>
        <v>1</v>
      </c>
      <c r="V1593" s="5" t="str">
        <f ca="1">IFERROR(__xludf.DUMMYFUNCTION("""COMPUTED_VALUE"""),"Shot in head in stairwell, found next morning, gang related")</f>
        <v>Shot in head in stairwell, found next morning, gang related</v>
      </c>
      <c r="W1593"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X1593" s="5" t="str">
        <f ca="1">IFERROR(__xludf.DUMMYFUNCTION("""COMPUTED_VALUE"""),"Escalation of Dispute")</f>
        <v>Escalation of Dispute</v>
      </c>
      <c r="Y1593" s="5" t="str">
        <f ca="1">IFERROR(__xludf.DUMMYFUNCTION("""COMPUTED_VALUE"""),"Victims Targeted")</f>
        <v>Victims Targeted</v>
      </c>
      <c r="Z1593" s="5" t="str">
        <f ca="1">IFERROR(__xludf.DUMMYFUNCTION("""COMPUTED_VALUE"""),"No")</f>
        <v>No</v>
      </c>
      <c r="AA1593" s="5"/>
      <c r="AB1593" s="5" t="str">
        <f ca="1">IFERROR(__xludf.DUMMYFUNCTION("""COMPUTED_VALUE"""),"No")</f>
        <v>No</v>
      </c>
      <c r="AC1593" s="5" t="str">
        <f ca="1">IFERROR(__xludf.DUMMYFUNCTION("""COMPUTED_VALUE"""),"No")</f>
        <v>No</v>
      </c>
      <c r="AD1593" s="5" t="str">
        <f ca="1">IFERROR(__xludf.DUMMYFUNCTION("""COMPUTED_VALUE"""),"No")</f>
        <v>No</v>
      </c>
      <c r="AE1593" s="5" t="str">
        <f ca="1">IFERROR(__xludf.DUMMYFUNCTION("""COMPUTED_VALUE"""),"No")</f>
        <v>No</v>
      </c>
      <c r="AF1593" s="5" t="str">
        <f ca="1">IFERROR(__xludf.DUMMYFUNCTION("""COMPUTED_VALUE"""),"No")</f>
        <v>No</v>
      </c>
      <c r="AG1593" s="5" t="str">
        <f ca="1">IFERROR(__xludf.DUMMYFUNCTION("""COMPUTED_VALUE"""),"Yes")</f>
        <v>Yes</v>
      </c>
      <c r="AH1593" s="5"/>
    </row>
    <row r="1594" spans="1:34" ht="12.75">
      <c r="A1594" s="5" t="str">
        <f ca="1">IFERROR(__xludf.DUMMYFUNCTION("""COMPUTED_VALUE"""),"19931104MSBAB")</f>
        <v>19931104MSBAB</v>
      </c>
      <c r="B1594" s="8">
        <f ca="1">IFERROR(__xludf.DUMMYFUNCTION("""COMPUTED_VALUE"""),34277)</f>
        <v>34277</v>
      </c>
      <c r="C1594" s="5" t="str">
        <f ca="1">IFERROR(__xludf.DUMMYFUNCTION("""COMPUTED_VALUE"""),"Bay Springs High School")</f>
        <v>Bay Springs High School</v>
      </c>
      <c r="D1594" s="5">
        <f ca="1">IFERROR(__xludf.DUMMYFUNCTION("""COMPUTED_VALUE"""),1)</f>
        <v>1</v>
      </c>
      <c r="E1594" s="5">
        <f ca="1">IFERROR(__xludf.DUMMYFUNCTION("""COMPUTED_VALUE"""),0)</f>
        <v>0</v>
      </c>
      <c r="F1594" s="5">
        <f ca="1">IFERROR(__xludf.DUMMYFUNCTION("""COMPUTED_VALUE"""),1)</f>
        <v>1</v>
      </c>
      <c r="G1594" s="5">
        <f ca="1">IFERROR(__xludf.DUMMYFUNCTION("""COMPUTED_VALUE"""),0)</f>
        <v>0</v>
      </c>
      <c r="H1594" s="9" t="str">
        <f ca="1">IFERROR(__xludf.DUMMYFUNCTION("""COMPUTED_VALUE"""),"https://www.newspapers.com/image/278601708/?terms=Bay%2BSprings%2BHigh%2BSchool%2Bshooting")</f>
        <v>https://www.newspapers.com/image/278601708/?terms=Bay%2BSprings%2BHigh%2BSchool%2Bshooting</v>
      </c>
      <c r="I1594" s="5"/>
      <c r="J1594" s="5"/>
      <c r="K1594" s="5">
        <f ca="1">IFERROR(__xludf.DUMMYFUNCTION("""COMPUTED_VALUE"""),2)</f>
        <v>2</v>
      </c>
      <c r="L1594" s="5" t="str">
        <f ca="1">IFERROR(__xludf.DUMMYFUNCTION("""COMPUTED_VALUE"""),"Fall")</f>
        <v>Fall</v>
      </c>
      <c r="M1594" s="5" t="str">
        <f ca="1">IFERROR(__xludf.DUMMYFUNCTION("""COMPUTED_VALUE"""),"Bay Springs")</f>
        <v>Bay Springs</v>
      </c>
      <c r="N1594" s="5" t="str">
        <f ca="1">IFERROR(__xludf.DUMMYFUNCTION("""COMPUTED_VALUE"""),"MS")</f>
        <v>MS</v>
      </c>
      <c r="O1594" s="5" t="str">
        <f ca="1">IFERROR(__xludf.DUMMYFUNCTION("""COMPUTED_VALUE"""),"High")</f>
        <v>High</v>
      </c>
      <c r="P1594" s="5" t="str">
        <f ca="1">IFERROR(__xludf.DUMMYFUNCTION("""COMPUTED_VALUE"""),"Classroom")</f>
        <v>Classroom</v>
      </c>
      <c r="Q1594" s="5" t="str">
        <f ca="1">IFERROR(__xludf.DUMMYFUNCTION("""COMPUTED_VALUE"""),"Inside School Building")</f>
        <v>Inside School Building</v>
      </c>
      <c r="R1594" s="5" t="str">
        <f ca="1">IFERROR(__xludf.DUMMYFUNCTION("""COMPUTED_VALUE"""),"Yes")</f>
        <v>Yes</v>
      </c>
      <c r="S1594" s="5"/>
      <c r="T1594" s="5"/>
      <c r="U1594" s="5">
        <f ca="1">IFERROR(__xludf.DUMMYFUNCTION("""COMPUTED_VALUE"""),1)</f>
        <v>1</v>
      </c>
      <c r="V1594" s="5" t="str">
        <f ca="1">IFERROR(__xludf.DUMMYFUNCTION("""COMPUTED_VALUE"""),"Good student killed in band room by unknown shooter")</f>
        <v>Good student killed in band room by unknown shooter</v>
      </c>
      <c r="W1594" s="5" t="str">
        <f ca="1">IFERROR(__xludf.DUMMYFUNCTION("""COMPUTED_VALUE"""),"Good student and popular athlete killed in bandroom. No suspect identified.")</f>
        <v>Good student and popular athlete killed in bandroom. No suspect identified.</v>
      </c>
      <c r="X1594" s="5" t="str">
        <f ca="1">IFERROR(__xludf.DUMMYFUNCTION("""COMPUTED_VALUE"""),"Unknown")</f>
        <v>Unknown</v>
      </c>
      <c r="Y1594" s="5" t="str">
        <f ca="1">IFERROR(__xludf.DUMMYFUNCTION("""COMPUTED_VALUE"""),"Victims Targeted")</f>
        <v>Victims Targeted</v>
      </c>
      <c r="Z1594" s="5" t="str">
        <f ca="1">IFERROR(__xludf.DUMMYFUNCTION("""COMPUTED_VALUE"""),"No")</f>
        <v>No</v>
      </c>
      <c r="AA1594" s="5"/>
      <c r="AB1594" s="5" t="str">
        <f ca="1">IFERROR(__xludf.DUMMYFUNCTION("""COMPUTED_VALUE"""),"No")</f>
        <v>No</v>
      </c>
      <c r="AC1594" s="5" t="str">
        <f ca="1">IFERROR(__xludf.DUMMYFUNCTION("""COMPUTED_VALUE"""),"No")</f>
        <v>No</v>
      </c>
      <c r="AD1594" s="5" t="str">
        <f ca="1">IFERROR(__xludf.DUMMYFUNCTION("""COMPUTED_VALUE"""),"No")</f>
        <v>No</v>
      </c>
      <c r="AE1594" s="5"/>
      <c r="AF1594" s="5"/>
      <c r="AG1594" s="5" t="str">
        <f ca="1">IFERROR(__xludf.DUMMYFUNCTION("""COMPUTED_VALUE"""),"No")</f>
        <v>No</v>
      </c>
      <c r="AH1594" s="5"/>
    </row>
    <row r="1595" spans="1:34" ht="12.75">
      <c r="A1595" s="5" t="str">
        <f ca="1">IFERROR(__xludf.DUMMYFUNCTION("""COMPUTED_VALUE"""),"19931104FLTEJ")</f>
        <v>19931104FLTEJ</v>
      </c>
      <c r="B1595" s="8">
        <f ca="1">IFERROR(__xludf.DUMMYFUNCTION("""COMPUTED_VALUE"""),34277)</f>
        <v>34277</v>
      </c>
      <c r="C1595" s="5" t="str">
        <f ca="1">IFERROR(__xludf.DUMMYFUNCTION("""COMPUTED_VALUE"""),"Terry Parker High School")</f>
        <v>Terry Parker High School</v>
      </c>
      <c r="D1595" s="5">
        <f ca="1">IFERROR(__xludf.DUMMYFUNCTION("""COMPUTED_VALUE"""),1)</f>
        <v>1</v>
      </c>
      <c r="E1595" s="5">
        <f ca="1">IFERROR(__xludf.DUMMYFUNCTION("""COMPUTED_VALUE"""),0)</f>
        <v>0</v>
      </c>
      <c r="F1595" s="5">
        <f ca="1">IFERROR(__xludf.DUMMYFUNCTION("""COMPUTED_VALUE"""),1)</f>
        <v>1</v>
      </c>
      <c r="G1595" s="5">
        <f ca="1">IFERROR(__xludf.DUMMYFUNCTION("""COMPUTED_VALUE"""),0)</f>
        <v>0</v>
      </c>
      <c r="H1595" s="9" t="str">
        <f ca="1">IFERROR(__xludf.DUMMYFUNCTION("""COMPUTED_VALUE"""),"https://www.newspapers.com/image/179150239/?terms=Richard%2BJefferson%2BMitchell")</f>
        <v>https://www.newspapers.com/image/179150239/?terms=Richard%2BJefferson%2BMitchell</v>
      </c>
      <c r="I1595" s="5"/>
      <c r="J1595" s="5"/>
      <c r="K1595" s="5">
        <f ca="1">IFERROR(__xludf.DUMMYFUNCTION("""COMPUTED_VALUE"""),2)</f>
        <v>2</v>
      </c>
      <c r="L1595" s="5" t="str">
        <f ca="1">IFERROR(__xludf.DUMMYFUNCTION("""COMPUTED_VALUE"""),"Fall")</f>
        <v>Fall</v>
      </c>
      <c r="M1595" s="5" t="str">
        <f ca="1">IFERROR(__xludf.DUMMYFUNCTION("""COMPUTED_VALUE"""),"Jacksonville")</f>
        <v>Jacksonville</v>
      </c>
      <c r="N1595" s="5" t="str">
        <f ca="1">IFERROR(__xludf.DUMMYFUNCTION("""COMPUTED_VALUE"""),"FL")</f>
        <v>FL</v>
      </c>
      <c r="O1595" s="5" t="str">
        <f ca="1">IFERROR(__xludf.DUMMYFUNCTION("""COMPUTED_VALUE"""),"High")</f>
        <v>High</v>
      </c>
      <c r="P1595" s="5" t="str">
        <f ca="1">IFERROR(__xludf.DUMMYFUNCTION("""COMPUTED_VALUE"""),"Front of School")</f>
        <v>Front of School</v>
      </c>
      <c r="Q1595" s="5" t="str">
        <f ca="1">IFERROR(__xludf.DUMMYFUNCTION("""COMPUTED_VALUE"""),"Outside on School Property")</f>
        <v>Outside on School Property</v>
      </c>
      <c r="R1595" s="5" t="str">
        <f ca="1">IFERROR(__xludf.DUMMYFUNCTION("""COMPUTED_VALUE"""),"No")</f>
        <v>No</v>
      </c>
      <c r="S1595" s="5" t="str">
        <f ca="1">IFERROR(__xludf.DUMMYFUNCTION("""COMPUTED_VALUE"""),"After School")</f>
        <v>After School</v>
      </c>
      <c r="T1595" s="5"/>
      <c r="U1595" s="5">
        <f ca="1">IFERROR(__xludf.DUMMYFUNCTION("""COMPUTED_VALUE"""),1)</f>
        <v>1</v>
      </c>
      <c r="V1595" s="5" t="str">
        <f ca="1">IFERROR(__xludf.DUMMYFUNCTION("""COMPUTED_VALUE"""),"Shot by group of students during robbery")</f>
        <v>Shot by group of students during robbery</v>
      </c>
      <c r="W1595"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X1595" s="5" t="str">
        <f ca="1">IFERROR(__xludf.DUMMYFUNCTION("""COMPUTED_VALUE"""),"Illegal Activity")</f>
        <v>Illegal Activity</v>
      </c>
      <c r="Y1595" s="5" t="str">
        <f ca="1">IFERROR(__xludf.DUMMYFUNCTION("""COMPUTED_VALUE"""),"Victims Targeted")</f>
        <v>Victims Targeted</v>
      </c>
      <c r="Z1595" s="5" t="str">
        <f ca="1">IFERROR(__xludf.DUMMYFUNCTION("""COMPUTED_VALUE"""),"Yes")</f>
        <v>Yes</v>
      </c>
      <c r="AA1595" s="5" t="str">
        <f ca="1">IFERROR(__xludf.DUMMYFUNCTION("""COMPUTED_VALUE"""),"8 other teenagers indicted in connection with robbery")</f>
        <v>8 other teenagers indicted in connection with robbery</v>
      </c>
      <c r="AB1595" s="5" t="str">
        <f ca="1">IFERROR(__xludf.DUMMYFUNCTION("""COMPUTED_VALUE"""),"No")</f>
        <v>No</v>
      </c>
      <c r="AC1595" s="5" t="str">
        <f ca="1">IFERROR(__xludf.DUMMYFUNCTION("""COMPUTED_VALUE"""),"No")</f>
        <v>No</v>
      </c>
      <c r="AD1595" s="5" t="str">
        <f ca="1">IFERROR(__xludf.DUMMYFUNCTION("""COMPUTED_VALUE"""),"No")</f>
        <v>No</v>
      </c>
      <c r="AE1595" s="5" t="str">
        <f ca="1">IFERROR(__xludf.DUMMYFUNCTION("""COMPUTED_VALUE"""),"No")</f>
        <v>No</v>
      </c>
      <c r="AF1595" s="5" t="str">
        <f ca="1">IFERROR(__xludf.DUMMYFUNCTION("""COMPUTED_VALUE"""),"No")</f>
        <v>No</v>
      </c>
      <c r="AG1595" s="5" t="str">
        <f ca="1">IFERROR(__xludf.DUMMYFUNCTION("""COMPUTED_VALUE"""),"No")</f>
        <v>No</v>
      </c>
      <c r="AH1595" s="5"/>
    </row>
    <row r="1596" spans="1:34" ht="12.75">
      <c r="A1596" s="5" t="str">
        <f ca="1">IFERROR(__xludf.DUMMYFUNCTION("""COMPUTED_VALUE"""),"19931104CTNEN")</f>
        <v>19931104CTNEN</v>
      </c>
      <c r="B1596" s="8">
        <f ca="1">IFERROR(__xludf.DUMMYFUNCTION("""COMPUTED_VALUE"""),34277)</f>
        <v>34277</v>
      </c>
      <c r="C1596" s="5" t="str">
        <f ca="1">IFERROR(__xludf.DUMMYFUNCTION("""COMPUTED_VALUE"""),"New Britain High School")</f>
        <v>New Britain High School</v>
      </c>
      <c r="D1596" s="5">
        <f ca="1">IFERROR(__xludf.DUMMYFUNCTION("""COMPUTED_VALUE"""),1)</f>
        <v>1</v>
      </c>
      <c r="E1596" s="5">
        <f ca="1">IFERROR(__xludf.DUMMYFUNCTION("""COMPUTED_VALUE"""),0)</f>
        <v>0</v>
      </c>
      <c r="F1596" s="5">
        <f ca="1">IFERROR(__xludf.DUMMYFUNCTION("""COMPUTED_VALUE"""),1)</f>
        <v>1</v>
      </c>
      <c r="G1596" s="5">
        <f ca="1">IFERROR(__xludf.DUMMYFUNCTION("""COMPUTED_VALUE"""),0)</f>
        <v>0</v>
      </c>
      <c r="H1596" s="9" t="str">
        <f ca="1">IFERROR(__xludf.DUMMYFUNCTION("""COMPUTED_VALUE"""),"http://articles.courant.com/1995-07-21/news/9507210401_1_latin-king-rival-gang-gang-war")</f>
        <v>http://articles.courant.com/1995-07-21/news/9507210401_1_latin-king-rival-gang-gang-war</v>
      </c>
      <c r="I1596" s="5"/>
      <c r="J1596" s="5"/>
      <c r="K1596" s="5">
        <f ca="1">IFERROR(__xludf.DUMMYFUNCTION("""COMPUTED_VALUE"""),2)</f>
        <v>2</v>
      </c>
      <c r="L1596" s="5" t="str">
        <f ca="1">IFERROR(__xludf.DUMMYFUNCTION("""COMPUTED_VALUE"""),"Fall")</f>
        <v>Fall</v>
      </c>
      <c r="M1596" s="5" t="str">
        <f ca="1">IFERROR(__xludf.DUMMYFUNCTION("""COMPUTED_VALUE"""),"New Britain")</f>
        <v>New Britain</v>
      </c>
      <c r="N1596" s="5" t="str">
        <f ca="1">IFERROR(__xludf.DUMMYFUNCTION("""COMPUTED_VALUE"""),"CT")</f>
        <v>CT</v>
      </c>
      <c r="O1596" s="5" t="str">
        <f ca="1">IFERROR(__xludf.DUMMYFUNCTION("""COMPUTED_VALUE"""),"High")</f>
        <v>High</v>
      </c>
      <c r="P1596" s="5" t="str">
        <f ca="1">IFERROR(__xludf.DUMMYFUNCTION("""COMPUTED_VALUE"""),"Beside Building")</f>
        <v>Beside Building</v>
      </c>
      <c r="Q1596" s="5" t="str">
        <f ca="1">IFERROR(__xludf.DUMMYFUNCTION("""COMPUTED_VALUE"""),"Outside on School Property")</f>
        <v>Outside on School Property</v>
      </c>
      <c r="R1596" s="5" t="str">
        <f ca="1">IFERROR(__xludf.DUMMYFUNCTION("""COMPUTED_VALUE"""),"No")</f>
        <v>No</v>
      </c>
      <c r="S1596" s="5" t="str">
        <f ca="1">IFERROR(__xludf.DUMMYFUNCTION("""COMPUTED_VALUE"""),"Unknown")</f>
        <v>Unknown</v>
      </c>
      <c r="T1596" s="5"/>
      <c r="U1596" s="5">
        <f ca="1">IFERROR(__xludf.DUMMYFUNCTION("""COMPUTED_VALUE"""),1)</f>
        <v>1</v>
      </c>
      <c r="V1596" s="5" t="str">
        <f ca="1">IFERROR(__xludf.DUMMYFUNCTION("""COMPUTED_VALUE"""),"Gang execution style shooting")</f>
        <v>Gang execution style shooting</v>
      </c>
      <c r="W1596"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X1596" s="5" t="str">
        <f ca="1">IFERROR(__xludf.DUMMYFUNCTION("""COMPUTED_VALUE"""),"Illegal Activity")</f>
        <v>Illegal Activity</v>
      </c>
      <c r="Y1596" s="5" t="str">
        <f ca="1">IFERROR(__xludf.DUMMYFUNCTION("""COMPUTED_VALUE"""),"Victims Targeted")</f>
        <v>Victims Targeted</v>
      </c>
      <c r="Z1596" s="5" t="str">
        <f ca="1">IFERROR(__xludf.DUMMYFUNCTION("""COMPUTED_VALUE"""),"No")</f>
        <v>No</v>
      </c>
      <c r="AA1596" s="5"/>
      <c r="AB1596" s="5" t="str">
        <f ca="1">IFERROR(__xludf.DUMMYFUNCTION("""COMPUTED_VALUE"""),"No")</f>
        <v>No</v>
      </c>
      <c r="AC1596" s="5" t="str">
        <f ca="1">IFERROR(__xludf.DUMMYFUNCTION("""COMPUTED_VALUE"""),"No")</f>
        <v>No</v>
      </c>
      <c r="AD1596" s="5" t="str">
        <f ca="1">IFERROR(__xludf.DUMMYFUNCTION("""COMPUTED_VALUE"""),"No")</f>
        <v>No</v>
      </c>
      <c r="AE1596" s="5" t="str">
        <f ca="1">IFERROR(__xludf.DUMMYFUNCTION("""COMPUTED_VALUE"""),"No")</f>
        <v>No</v>
      </c>
      <c r="AF1596" s="5" t="str">
        <f ca="1">IFERROR(__xludf.DUMMYFUNCTION("""COMPUTED_VALUE"""),"No")</f>
        <v>No</v>
      </c>
      <c r="AG1596" s="5" t="str">
        <f ca="1">IFERROR(__xludf.DUMMYFUNCTION("""COMPUTED_VALUE"""),"Yes")</f>
        <v>Yes</v>
      </c>
      <c r="AH1596" s="5"/>
    </row>
    <row r="1597" spans="1:34" ht="12.75">
      <c r="A1597" s="5" t="str">
        <f ca="1">IFERROR(__xludf.DUMMYFUNCTION("""COMPUTED_VALUE"""),"19931101ILSUC")</f>
        <v>19931101ILSUC</v>
      </c>
      <c r="B1597" s="8">
        <f ca="1">IFERROR(__xludf.DUMMYFUNCTION("""COMPUTED_VALUE"""),34274)</f>
        <v>34274</v>
      </c>
      <c r="C1597" s="5" t="str">
        <f ca="1">IFERROR(__xludf.DUMMYFUNCTION("""COMPUTED_VALUE"""),"Sullivan High School")</f>
        <v>Sullivan High School</v>
      </c>
      <c r="D1597" s="5">
        <f ca="1">IFERROR(__xludf.DUMMYFUNCTION("""COMPUTED_VALUE"""),1)</f>
        <v>1</v>
      </c>
      <c r="E1597" s="5">
        <f ca="1">IFERROR(__xludf.DUMMYFUNCTION("""COMPUTED_VALUE"""),0)</f>
        <v>0</v>
      </c>
      <c r="F1597" s="5">
        <f ca="1">IFERROR(__xludf.DUMMYFUNCTION("""COMPUTED_VALUE"""),1)</f>
        <v>1</v>
      </c>
      <c r="G1597" s="5">
        <f ca="1">IFERROR(__xludf.DUMMYFUNCTION("""COMPUTED_VALUE"""),0)</f>
        <v>0</v>
      </c>
      <c r="H1597" s="9" t="str">
        <f ca="1">IFERROR(__xludf.DUMMYFUNCTION("""COMPUTED_VALUE"""),"https://www.newspapers.com/image/241267382/?terms=Sullivan%2BHigh%2BSchool%2Bshooting")</f>
        <v>https://www.newspapers.com/image/241267382/?terms=Sullivan%2BHigh%2BSchool%2Bshooting</v>
      </c>
      <c r="I1597" s="5"/>
      <c r="J1597" s="5"/>
      <c r="K1597" s="5">
        <f ca="1">IFERROR(__xludf.DUMMYFUNCTION("""COMPUTED_VALUE"""),2)</f>
        <v>2</v>
      </c>
      <c r="L1597" s="5" t="str">
        <f ca="1">IFERROR(__xludf.DUMMYFUNCTION("""COMPUTED_VALUE"""),"Fall")</f>
        <v>Fall</v>
      </c>
      <c r="M1597" s="5" t="str">
        <f ca="1">IFERROR(__xludf.DUMMYFUNCTION("""COMPUTED_VALUE"""),"Chicago")</f>
        <v>Chicago</v>
      </c>
      <c r="N1597" s="5" t="str">
        <f ca="1">IFERROR(__xludf.DUMMYFUNCTION("""COMPUTED_VALUE"""),"IL")</f>
        <v>IL</v>
      </c>
      <c r="O1597" s="5" t="str">
        <f ca="1">IFERROR(__xludf.DUMMYFUNCTION("""COMPUTED_VALUE"""),"High")</f>
        <v>High</v>
      </c>
      <c r="P1597" s="5" t="str">
        <f ca="1">IFERROR(__xludf.DUMMYFUNCTION("""COMPUTED_VALUE"""),"Outside on School Property")</f>
        <v>Outside on School Property</v>
      </c>
      <c r="Q1597" s="5" t="str">
        <f ca="1">IFERROR(__xludf.DUMMYFUNCTION("""COMPUTED_VALUE"""),"Outside on School Property")</f>
        <v>Outside on School Property</v>
      </c>
      <c r="R1597" s="5" t="str">
        <f ca="1">IFERROR(__xludf.DUMMYFUNCTION("""COMPUTED_VALUE"""),"Yes")</f>
        <v>Yes</v>
      </c>
      <c r="S1597" s="5"/>
      <c r="T1597" s="5"/>
      <c r="U1597" s="5">
        <f ca="1">IFERROR(__xludf.DUMMYFUNCTION("""COMPUTED_VALUE"""),1)</f>
        <v>1</v>
      </c>
      <c r="V1597" s="5" t="str">
        <f ca="1">IFERROR(__xludf.DUMMYFUNCTION("""COMPUTED_VALUE"""),"Student shot at school, motive unknown")</f>
        <v>Student shot at school, motive unknown</v>
      </c>
      <c r="W1597" s="5" t="str">
        <f ca="1">IFERROR(__xludf.DUMMYFUNCTION("""COMPUTED_VALUE"""),"13YOM supplied gun to 16YOM (who was already on probation for gun charges). 16YOM shot 15YOM student then fled.")</f>
        <v>13YOM supplied gun to 16YOM (who was already on probation for gun charges). 16YOM shot 15YOM student then fled.</v>
      </c>
      <c r="X1597" s="5" t="str">
        <f ca="1">IFERROR(__xludf.DUMMYFUNCTION("""COMPUTED_VALUE"""),"Intentional Property Damage")</f>
        <v>Intentional Property Damage</v>
      </c>
      <c r="Y1597" s="5" t="str">
        <f ca="1">IFERROR(__xludf.DUMMYFUNCTION("""COMPUTED_VALUE"""),"Victims Targeted")</f>
        <v>Victims Targeted</v>
      </c>
      <c r="Z1597" s="5" t="str">
        <f ca="1">IFERROR(__xludf.DUMMYFUNCTION("""COMPUTED_VALUE"""),"Yes")</f>
        <v>Yes</v>
      </c>
      <c r="AA1597" s="5" t="str">
        <f ca="1">IFERROR(__xludf.DUMMYFUNCTION("""COMPUTED_VALUE"""),"13YOM provided shooter with gun")</f>
        <v>13YOM provided shooter with gun</v>
      </c>
      <c r="AB1597" s="5" t="str">
        <f ca="1">IFERROR(__xludf.DUMMYFUNCTION("""COMPUTED_VALUE"""),"No")</f>
        <v>No</v>
      </c>
      <c r="AC1597" s="5" t="str">
        <f ca="1">IFERROR(__xludf.DUMMYFUNCTION("""COMPUTED_VALUE"""),"No")</f>
        <v>No</v>
      </c>
      <c r="AD1597" s="5" t="str">
        <f ca="1">IFERROR(__xludf.DUMMYFUNCTION("""COMPUTED_VALUE"""),"No")</f>
        <v>No</v>
      </c>
      <c r="AE1597" s="5" t="str">
        <f ca="1">IFERROR(__xludf.DUMMYFUNCTION("""COMPUTED_VALUE"""),"No")</f>
        <v>No</v>
      </c>
      <c r="AF1597" s="5" t="str">
        <f ca="1">IFERROR(__xludf.DUMMYFUNCTION("""COMPUTED_VALUE"""),"No")</f>
        <v>No</v>
      </c>
      <c r="AG1597" s="5" t="str">
        <f ca="1">IFERROR(__xludf.DUMMYFUNCTION("""COMPUTED_VALUE"""),"No")</f>
        <v>No</v>
      </c>
      <c r="AH1597" s="5"/>
    </row>
    <row r="1598" spans="1:34" ht="12.75">
      <c r="A1598" s="5" t="str">
        <f ca="1">IFERROR(__xludf.DUMMYFUNCTION("""COMPUTED_VALUE"""),"19931018DCJHW")</f>
        <v>19931018DCJHW</v>
      </c>
      <c r="B1598" s="8">
        <f ca="1">IFERROR(__xludf.DUMMYFUNCTION("""COMPUTED_VALUE"""),34260)</f>
        <v>34260</v>
      </c>
      <c r="C1598" s="5" t="str">
        <f ca="1">IFERROR(__xludf.DUMMYFUNCTION("""COMPUTED_VALUE"""),"J H Johnson Junior High School")</f>
        <v>J H Johnson Junior High School</v>
      </c>
      <c r="D1598" s="5">
        <f ca="1">IFERROR(__xludf.DUMMYFUNCTION("""COMPUTED_VALUE"""),0)</f>
        <v>0</v>
      </c>
      <c r="E1598" s="5">
        <f ca="1">IFERROR(__xludf.DUMMYFUNCTION("""COMPUTED_VALUE"""),1)</f>
        <v>1</v>
      </c>
      <c r="F1598" s="5">
        <f ca="1">IFERROR(__xludf.DUMMYFUNCTION("""COMPUTED_VALUE"""),1)</f>
        <v>1</v>
      </c>
      <c r="G1598" s="5">
        <f ca="1">IFERROR(__xludf.DUMMYFUNCTION("""COMPUTED_VALUE"""),0)</f>
        <v>0</v>
      </c>
      <c r="H1598"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I1598" s="5"/>
      <c r="J1598" s="5"/>
      <c r="K1598" s="5">
        <f ca="1">IFERROR(__xludf.DUMMYFUNCTION("""COMPUTED_VALUE"""),1)</f>
        <v>1</v>
      </c>
      <c r="L1598" s="5" t="str">
        <f ca="1">IFERROR(__xludf.DUMMYFUNCTION("""COMPUTED_VALUE"""),"Fall")</f>
        <v>Fall</v>
      </c>
      <c r="M1598" s="5" t="str">
        <f ca="1">IFERROR(__xludf.DUMMYFUNCTION("""COMPUTED_VALUE"""),"Washington")</f>
        <v>Washington</v>
      </c>
      <c r="N1598" s="5" t="str">
        <f ca="1">IFERROR(__xludf.DUMMYFUNCTION("""COMPUTED_VALUE"""),"DC")</f>
        <v>DC</v>
      </c>
      <c r="O1598" s="5" t="str">
        <f ca="1">IFERROR(__xludf.DUMMYFUNCTION("""COMPUTED_VALUE"""),"Junior High")</f>
        <v>Junior High</v>
      </c>
      <c r="P1598" s="5" t="str">
        <f ca="1">IFERROR(__xludf.DUMMYFUNCTION("""COMPUTED_VALUE"""),"Gym")</f>
        <v>Gym</v>
      </c>
      <c r="Q1598" s="5" t="str">
        <f ca="1">IFERROR(__xludf.DUMMYFUNCTION("""COMPUTED_VALUE"""),"Inside School Building")</f>
        <v>Inside School Building</v>
      </c>
      <c r="R1598" s="5" t="str">
        <f ca="1">IFERROR(__xludf.DUMMYFUNCTION("""COMPUTED_VALUE"""),"Yes")</f>
        <v>Yes</v>
      </c>
      <c r="S1598" s="5"/>
      <c r="T1598" s="10">
        <f ca="1">IFERROR(__xludf.DUMMYFUNCTION("""COMPUTED_VALUE"""),0.479166666666666)</f>
        <v>0.47916666666666602</v>
      </c>
      <c r="U1598" s="5">
        <f ca="1">IFERROR(__xludf.DUMMYFUNCTION("""COMPUTED_VALUE"""),1)</f>
        <v>1</v>
      </c>
      <c r="V1598" s="5" t="str">
        <f ca="1">IFERROR(__xludf.DUMMYFUNCTION("""COMPUTED_VALUE"""),"Shooting in locker room")</f>
        <v>Shooting in locker room</v>
      </c>
      <c r="W1598" s="5" t="str">
        <f ca="1">IFERROR(__xludf.DUMMYFUNCTION("""COMPUTED_VALUE"""),"15YOM student shot 13YOM student in the school locker room. Shooter fled and turned himself in later.")</f>
        <v>15YOM student shot 13YOM student in the school locker room. Shooter fled and turned himself in later.</v>
      </c>
      <c r="X1598" s="5" t="str">
        <f ca="1">IFERROR(__xludf.DUMMYFUNCTION("""COMPUTED_VALUE"""),"Escalation of Dispute")</f>
        <v>Escalation of Dispute</v>
      </c>
      <c r="Y1598" s="5" t="str">
        <f ca="1">IFERROR(__xludf.DUMMYFUNCTION("""COMPUTED_VALUE"""),"Victims Targeted")</f>
        <v>Victims Targeted</v>
      </c>
      <c r="Z1598" s="5" t="str">
        <f ca="1">IFERROR(__xludf.DUMMYFUNCTION("""COMPUTED_VALUE"""),"No")</f>
        <v>No</v>
      </c>
      <c r="AA1598" s="5"/>
      <c r="AB1598" s="5" t="str">
        <f ca="1">IFERROR(__xludf.DUMMYFUNCTION("""COMPUTED_VALUE"""),"No")</f>
        <v>No</v>
      </c>
      <c r="AC1598" s="5" t="str">
        <f ca="1">IFERROR(__xludf.DUMMYFUNCTION("""COMPUTED_VALUE"""),"No")</f>
        <v>No</v>
      </c>
      <c r="AD1598" s="5" t="str">
        <f ca="1">IFERROR(__xludf.DUMMYFUNCTION("""COMPUTED_VALUE"""),"No")</f>
        <v>No</v>
      </c>
      <c r="AE1598" s="5"/>
      <c r="AF1598" s="5" t="str">
        <f ca="1">IFERROR(__xludf.DUMMYFUNCTION("""COMPUTED_VALUE"""),"No")</f>
        <v>No</v>
      </c>
      <c r="AG1598" s="5"/>
      <c r="AH1598" s="5"/>
    </row>
    <row r="1599" spans="1:34" ht="12.75">
      <c r="A1599" s="5" t="str">
        <f ca="1">IFERROR(__xludf.DUMMYFUNCTION("""COMPUTED_VALUE"""),"19931012DEDON")</f>
        <v>19931012DEDON</v>
      </c>
      <c r="B1599" s="8">
        <f ca="1">IFERROR(__xludf.DUMMYFUNCTION("""COMPUTED_VALUE"""),34254)</f>
        <v>34254</v>
      </c>
      <c r="C1599" s="5" t="str">
        <f ca="1">IFERROR(__xludf.DUMMYFUNCTION("""COMPUTED_VALUE"""),"Dover High School")</f>
        <v>Dover High School</v>
      </c>
      <c r="D1599" s="5">
        <f ca="1">IFERROR(__xludf.DUMMYFUNCTION("""COMPUTED_VALUE"""),0)</f>
        <v>0</v>
      </c>
      <c r="E1599" s="5">
        <f ca="1">IFERROR(__xludf.DUMMYFUNCTION("""COMPUTED_VALUE"""),0)</f>
        <v>0</v>
      </c>
      <c r="F1599" s="5">
        <f ca="1">IFERROR(__xludf.DUMMYFUNCTION("""COMPUTED_VALUE"""),0)</f>
        <v>0</v>
      </c>
      <c r="G1599" s="5">
        <f ca="1">IFERROR(__xludf.DUMMYFUNCTION("""COMPUTED_VALUE"""),1)</f>
        <v>1</v>
      </c>
      <c r="H1599" s="9" t="str">
        <f ca="1">IFERROR(__xludf.DUMMYFUNCTION("""COMPUTED_VALUE"""),"https://www.newspapers.com/image/156503737/?terms=Dover%2BHigh%2BSchool%2Bsuicide")</f>
        <v>https://www.newspapers.com/image/156503737/?terms=Dover%2BHigh%2BSchool%2Bsuicide</v>
      </c>
      <c r="I1599" s="5"/>
      <c r="J1599" s="5"/>
      <c r="K1599" s="5">
        <f ca="1">IFERROR(__xludf.DUMMYFUNCTION("""COMPUTED_VALUE"""),2)</f>
        <v>2</v>
      </c>
      <c r="L1599" s="5" t="str">
        <f ca="1">IFERROR(__xludf.DUMMYFUNCTION("""COMPUTED_VALUE"""),"Fall")</f>
        <v>Fall</v>
      </c>
      <c r="M1599" s="5" t="str">
        <f ca="1">IFERROR(__xludf.DUMMYFUNCTION("""COMPUTED_VALUE"""),"New Castle")</f>
        <v>New Castle</v>
      </c>
      <c r="N1599" s="5" t="str">
        <f ca="1">IFERROR(__xludf.DUMMYFUNCTION("""COMPUTED_VALUE"""),"DE")</f>
        <v>DE</v>
      </c>
      <c r="O1599" s="5" t="str">
        <f ca="1">IFERROR(__xludf.DUMMYFUNCTION("""COMPUTED_VALUE"""),"High")</f>
        <v>High</v>
      </c>
      <c r="P1599" s="5" t="str">
        <f ca="1">IFERROR(__xludf.DUMMYFUNCTION("""COMPUTED_VALUE"""),"Bathroom")</f>
        <v>Bathroom</v>
      </c>
      <c r="Q1599" s="5" t="str">
        <f ca="1">IFERROR(__xludf.DUMMYFUNCTION("""COMPUTED_VALUE"""),"Inside School Building")</f>
        <v>Inside School Building</v>
      </c>
      <c r="R1599" s="5" t="str">
        <f ca="1">IFERROR(__xludf.DUMMYFUNCTION("""COMPUTED_VALUE"""),"Yes")</f>
        <v>Yes</v>
      </c>
      <c r="S1599" s="5"/>
      <c r="T1599" s="5"/>
      <c r="U1599" s="5">
        <f ca="1">IFERROR(__xludf.DUMMYFUNCTION("""COMPUTED_VALUE"""),1)</f>
        <v>1</v>
      </c>
      <c r="V1599" s="5" t="str">
        <f ca="1">IFERROR(__xludf.DUMMYFUNCTION("""COMPUTED_VALUE"""),"Commit suicide in bathroom")</f>
        <v>Commit suicide in bathroom</v>
      </c>
      <c r="W1599" s="5" t="str">
        <f ca="1">IFERROR(__xludf.DUMMYFUNCTION("""COMPUTED_VALUE"""),"16YOF student commit suicide in bathroom")</f>
        <v>16YOF student commit suicide in bathroom</v>
      </c>
      <c r="X1599" s="5" t="str">
        <f ca="1">IFERROR(__xludf.DUMMYFUNCTION("""COMPUTED_VALUE"""),"Murder/Suicide")</f>
        <v>Murder/Suicide</v>
      </c>
      <c r="Y1599" s="5" t="str">
        <f ca="1">IFERROR(__xludf.DUMMYFUNCTION("""COMPUTED_VALUE"""),"Victims Targeted")</f>
        <v>Victims Targeted</v>
      </c>
      <c r="Z1599" s="5" t="str">
        <f ca="1">IFERROR(__xludf.DUMMYFUNCTION("""COMPUTED_VALUE"""),"No")</f>
        <v>No</v>
      </c>
      <c r="AA1599" s="5"/>
      <c r="AB1599" s="5" t="str">
        <f ca="1">IFERROR(__xludf.DUMMYFUNCTION("""COMPUTED_VALUE"""),"No")</f>
        <v>No</v>
      </c>
      <c r="AC1599" s="5" t="str">
        <f ca="1">IFERROR(__xludf.DUMMYFUNCTION("""COMPUTED_VALUE"""),"No")</f>
        <v>No</v>
      </c>
      <c r="AD1599" s="5" t="str">
        <f ca="1">IFERROR(__xludf.DUMMYFUNCTION("""COMPUTED_VALUE"""),"No")</f>
        <v>No</v>
      </c>
      <c r="AE1599" s="5"/>
      <c r="AF1599" s="5" t="str">
        <f ca="1">IFERROR(__xludf.DUMMYFUNCTION("""COMPUTED_VALUE"""),"No")</f>
        <v>No</v>
      </c>
      <c r="AG1599" s="5" t="str">
        <f ca="1">IFERROR(__xludf.DUMMYFUNCTION("""COMPUTED_VALUE"""),"No")</f>
        <v>No</v>
      </c>
      <c r="AH1599" s="5"/>
    </row>
    <row r="1600" spans="1:34" ht="12.75">
      <c r="A1600" s="5" t="str">
        <f ca="1">IFERROR(__xludf.DUMMYFUNCTION("""COMPUTED_VALUE"""),"19930928MSCOG")</f>
        <v>19930928MSCOG</v>
      </c>
      <c r="B1600" s="8">
        <f ca="1">IFERROR(__xludf.DUMMYFUNCTION("""COMPUTED_VALUE"""),34240)</f>
        <v>34240</v>
      </c>
      <c r="C1600" s="5" t="str">
        <f ca="1">IFERROR(__xludf.DUMMYFUNCTION("""COMPUTED_VALUE"""),"Coleman Junior High School")</f>
        <v>Coleman Junior High School</v>
      </c>
      <c r="D1600" s="5">
        <f ca="1">IFERROR(__xludf.DUMMYFUNCTION("""COMPUTED_VALUE"""),1)</f>
        <v>1</v>
      </c>
      <c r="E1600" s="5">
        <f ca="1">IFERROR(__xludf.DUMMYFUNCTION("""COMPUTED_VALUE"""),0)</f>
        <v>0</v>
      </c>
      <c r="F1600" s="5">
        <f ca="1">IFERROR(__xludf.DUMMYFUNCTION("""COMPUTED_VALUE"""),1)</f>
        <v>1</v>
      </c>
      <c r="G1600" s="5">
        <f ca="1">IFERROR(__xludf.DUMMYFUNCTION("""COMPUTED_VALUE"""),0)</f>
        <v>0</v>
      </c>
      <c r="H1600" s="5" t="str">
        <f ca="1">IFERROR(__xludf.DUMMYFUNCTION("""COMPUTED_VALUE"""),"https://www.newspapers.com/image/181217721/?terms=student%2Bshot  https://www.newspapers.com/image/255947937/?terms=teacher%2Bshot")</f>
        <v>https://www.newspapers.com/image/181217721/?terms=student%2Bshot  https://www.newspapers.com/image/255947937/?terms=teacher%2Bshot</v>
      </c>
      <c r="I1600" s="5"/>
      <c r="J1600" s="5"/>
      <c r="K1600" s="5">
        <f ca="1">IFERROR(__xludf.DUMMYFUNCTION("""COMPUTED_VALUE"""),2)</f>
        <v>2</v>
      </c>
      <c r="L1600" s="5" t="str">
        <f ca="1">IFERROR(__xludf.DUMMYFUNCTION("""COMPUTED_VALUE"""),"Fall")</f>
        <v>Fall</v>
      </c>
      <c r="M1600" s="5" t="str">
        <f ca="1">IFERROR(__xludf.DUMMYFUNCTION("""COMPUTED_VALUE"""),"Greenville")</f>
        <v>Greenville</v>
      </c>
      <c r="N1600" s="5" t="str">
        <f ca="1">IFERROR(__xludf.DUMMYFUNCTION("""COMPUTED_VALUE"""),"MS")</f>
        <v>MS</v>
      </c>
      <c r="O1600" s="5" t="str">
        <f ca="1">IFERROR(__xludf.DUMMYFUNCTION("""COMPUTED_VALUE"""),"Junior High")</f>
        <v>Junior High</v>
      </c>
      <c r="P1600" s="5" t="str">
        <f ca="1">IFERROR(__xludf.DUMMYFUNCTION("""COMPUTED_VALUE"""),"Classroom")</f>
        <v>Classroom</v>
      </c>
      <c r="Q1600" s="5" t="str">
        <f ca="1">IFERROR(__xludf.DUMMYFUNCTION("""COMPUTED_VALUE"""),"Inside School Building")</f>
        <v>Inside School Building</v>
      </c>
      <c r="R1600" s="5" t="str">
        <f ca="1">IFERROR(__xludf.DUMMYFUNCTION("""COMPUTED_VALUE"""),"Yes")</f>
        <v>Yes</v>
      </c>
      <c r="S1600" s="5" t="str">
        <f ca="1">IFERROR(__xludf.DUMMYFUNCTION("""COMPUTED_VALUE"""),"Morning Classes")</f>
        <v>Morning Classes</v>
      </c>
      <c r="T1600" s="10">
        <f ca="1">IFERROR(__xludf.DUMMYFUNCTION("""COMPUTED_VALUE"""),0.340277777777777)</f>
        <v>0.34027777777777701</v>
      </c>
      <c r="U1600" s="5">
        <f ca="1">IFERROR(__xludf.DUMMYFUNCTION("""COMPUTED_VALUE"""),1)</f>
        <v>1</v>
      </c>
      <c r="V1600" s="5" t="str">
        <f ca="1">IFERROR(__xludf.DUMMYFUNCTION("""COMPUTED_VALUE"""),"Shooter walked into class room and shot victim 4 times over a girl")</f>
        <v>Shooter walked into class room and shot victim 4 times over a girl</v>
      </c>
      <c r="W1600"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X1600" s="5" t="str">
        <f ca="1">IFERROR(__xludf.DUMMYFUNCTION("""COMPUTED_VALUE"""),"Escalation of Dispute")</f>
        <v>Escalation of Dispute</v>
      </c>
      <c r="Y1600" s="5" t="str">
        <f ca="1">IFERROR(__xludf.DUMMYFUNCTION("""COMPUTED_VALUE"""),"Victims Targeted")</f>
        <v>Victims Targeted</v>
      </c>
      <c r="Z1600" s="5" t="str">
        <f ca="1">IFERROR(__xludf.DUMMYFUNCTION("""COMPUTED_VALUE"""),"No")</f>
        <v>No</v>
      </c>
      <c r="AA1600" s="5"/>
      <c r="AB1600" s="5" t="str">
        <f ca="1">IFERROR(__xludf.DUMMYFUNCTION("""COMPUTED_VALUE"""),"No")</f>
        <v>No</v>
      </c>
      <c r="AC1600" s="5" t="str">
        <f ca="1">IFERROR(__xludf.DUMMYFUNCTION("""COMPUTED_VALUE"""),"No")</f>
        <v>No</v>
      </c>
      <c r="AD1600" s="5" t="str">
        <f ca="1">IFERROR(__xludf.DUMMYFUNCTION("""COMPUTED_VALUE"""),"No")</f>
        <v>No</v>
      </c>
      <c r="AE1600" s="5" t="str">
        <f ca="1">IFERROR(__xludf.DUMMYFUNCTION("""COMPUTED_VALUE"""),"No")</f>
        <v>No</v>
      </c>
      <c r="AF1600" s="5" t="str">
        <f ca="1">IFERROR(__xludf.DUMMYFUNCTION("""COMPUTED_VALUE"""),"No")</f>
        <v>No</v>
      </c>
      <c r="AG1600" s="5" t="str">
        <f ca="1">IFERROR(__xludf.DUMMYFUNCTION("""COMPUTED_VALUE"""),"No")</f>
        <v>No</v>
      </c>
      <c r="AH1600" s="5"/>
    </row>
    <row r="1601" spans="1:34" ht="12.75">
      <c r="A1601" s="5" t="str">
        <f ca="1">IFERROR(__xludf.DUMMYFUNCTION("""COMPUTED_VALUE"""),"19930925DCWEW")</f>
        <v>19930925DCWEW</v>
      </c>
      <c r="B1601" s="8">
        <f ca="1">IFERROR(__xludf.DUMMYFUNCTION("""COMPUTED_VALUE"""),34237)</f>
        <v>34237</v>
      </c>
      <c r="C1601" s="5" t="str">
        <f ca="1">IFERROR(__xludf.DUMMYFUNCTION("""COMPUTED_VALUE"""),"Weatherless Elementary School")</f>
        <v>Weatherless Elementary School</v>
      </c>
      <c r="D1601" s="5">
        <f ca="1">IFERROR(__xludf.DUMMYFUNCTION("""COMPUTED_VALUE"""),2)</f>
        <v>2</v>
      </c>
      <c r="E1601" s="5">
        <f ca="1">IFERROR(__xludf.DUMMYFUNCTION("""COMPUTED_VALUE"""),0)</f>
        <v>0</v>
      </c>
      <c r="F1601" s="5">
        <f ca="1">IFERROR(__xludf.DUMMYFUNCTION("""COMPUTED_VALUE"""),2)</f>
        <v>2</v>
      </c>
      <c r="G1601" s="5">
        <f ca="1">IFERROR(__xludf.DUMMYFUNCTION("""COMPUTED_VALUE"""),0)</f>
        <v>0</v>
      </c>
      <c r="H1601" s="9" t="str">
        <f ca="1">IFERROR(__xludf.DUMMYFUNCTION("""COMPUTED_VALUE"""),"https://www.newspapers.com/image/276635826/?terms=Weatherless%2BElementary%2BSchool%2Bshooting")</f>
        <v>https://www.newspapers.com/image/276635826/?terms=Weatherless%2BElementary%2BSchool%2Bshooting</v>
      </c>
      <c r="I1601" s="5"/>
      <c r="J1601" s="5"/>
      <c r="K1601" s="5">
        <f ca="1">IFERROR(__xludf.DUMMYFUNCTION("""COMPUTED_VALUE"""),2)</f>
        <v>2</v>
      </c>
      <c r="L1601" s="5" t="str">
        <f ca="1">IFERROR(__xludf.DUMMYFUNCTION("""COMPUTED_VALUE"""),"Fall")</f>
        <v>Fall</v>
      </c>
      <c r="M1601" s="5" t="str">
        <f ca="1">IFERROR(__xludf.DUMMYFUNCTION("""COMPUTED_VALUE"""),"Washington")</f>
        <v>Washington</v>
      </c>
      <c r="N1601" s="5" t="str">
        <f ca="1">IFERROR(__xludf.DUMMYFUNCTION("""COMPUTED_VALUE"""),"DC")</f>
        <v>DC</v>
      </c>
      <c r="O1601" s="5" t="str">
        <f ca="1">IFERROR(__xludf.DUMMYFUNCTION("""COMPUTED_VALUE"""),"Elementary")</f>
        <v>Elementary</v>
      </c>
      <c r="P1601" s="5" t="str">
        <f ca="1">IFERROR(__xludf.DUMMYFUNCTION("""COMPUTED_VALUE"""),"Football Field/Track")</f>
        <v>Football Field/Track</v>
      </c>
      <c r="Q1601" s="5" t="str">
        <f ca="1">IFERROR(__xludf.DUMMYFUNCTION("""COMPUTED_VALUE"""),"Outside on School Property")</f>
        <v>Outside on School Property</v>
      </c>
      <c r="R1601" s="5" t="str">
        <f ca="1">IFERROR(__xludf.DUMMYFUNCTION("""COMPUTED_VALUE"""),"No")</f>
        <v>No</v>
      </c>
      <c r="S1601" s="5" t="str">
        <f ca="1">IFERROR(__xludf.DUMMYFUNCTION("""COMPUTED_VALUE"""),"Not a School Day")</f>
        <v>Not a School Day</v>
      </c>
      <c r="T1601" s="5"/>
      <c r="U1601" s="5">
        <f ca="1">IFERROR(__xludf.DUMMYFUNCTION("""COMPUTED_VALUE"""),1)</f>
        <v>1</v>
      </c>
      <c r="V1601" s="5" t="str">
        <f ca="1">IFERROR(__xludf.DUMMYFUNCTION("""COMPUTED_VALUE"""),"Gang shooting at pick-up football game, bystanders killed")</f>
        <v>Gang shooting at pick-up football game, bystanders killed</v>
      </c>
      <c r="W1601"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X1601" s="5" t="str">
        <f ca="1">IFERROR(__xludf.DUMMYFUNCTION("""COMPUTED_VALUE"""),"Escalation of Dispute")</f>
        <v>Escalation of Dispute</v>
      </c>
      <c r="Y1601" s="5" t="str">
        <f ca="1">IFERROR(__xludf.DUMMYFUNCTION("""COMPUTED_VALUE"""),"Both")</f>
        <v>Both</v>
      </c>
      <c r="Z1601" s="5" t="str">
        <f ca="1">IFERROR(__xludf.DUMMYFUNCTION("""COMPUTED_VALUE"""),"No")</f>
        <v>No</v>
      </c>
      <c r="AA1601" s="5"/>
      <c r="AB1601" s="5" t="str">
        <f ca="1">IFERROR(__xludf.DUMMYFUNCTION("""COMPUTED_VALUE"""),"No")</f>
        <v>No</v>
      </c>
      <c r="AC1601" s="5" t="str">
        <f ca="1">IFERROR(__xludf.DUMMYFUNCTION("""COMPUTED_VALUE"""),"No")</f>
        <v>No</v>
      </c>
      <c r="AD1601" s="5" t="str">
        <f ca="1">IFERROR(__xludf.DUMMYFUNCTION("""COMPUTED_VALUE"""),"No")</f>
        <v>No</v>
      </c>
      <c r="AE1601" s="5" t="str">
        <f ca="1">IFERROR(__xludf.DUMMYFUNCTION("""COMPUTED_VALUE"""),"No")</f>
        <v>No</v>
      </c>
      <c r="AF1601" s="5" t="str">
        <f ca="1">IFERROR(__xludf.DUMMYFUNCTION("""COMPUTED_VALUE"""),"No")</f>
        <v>No</v>
      </c>
      <c r="AG1601" s="5" t="str">
        <f ca="1">IFERROR(__xludf.DUMMYFUNCTION("""COMPUTED_VALUE"""),"Yes")</f>
        <v>Yes</v>
      </c>
      <c r="AH1601" s="5"/>
    </row>
    <row r="1602" spans="1:34" ht="12.75">
      <c r="A1602" s="5" t="str">
        <f ca="1">IFERROR(__xludf.DUMMYFUNCTION("""COMPUTED_VALUE"""),"19930917WYCES")</f>
        <v>19930917WYCES</v>
      </c>
      <c r="B1602" s="8">
        <f ca="1">IFERROR(__xludf.DUMMYFUNCTION("""COMPUTED_VALUE"""),34229)</f>
        <v>34229</v>
      </c>
      <c r="C1602" s="5" t="str">
        <f ca="1">IFERROR(__xludf.DUMMYFUNCTION("""COMPUTED_VALUE"""),"Central Junior High School")</f>
        <v>Central Junior High School</v>
      </c>
      <c r="D1602" s="5">
        <f ca="1">IFERROR(__xludf.DUMMYFUNCTION("""COMPUTED_VALUE"""),0)</f>
        <v>0</v>
      </c>
      <c r="E1602" s="5">
        <f ca="1">IFERROR(__xludf.DUMMYFUNCTION("""COMPUTED_VALUE"""),0)</f>
        <v>0</v>
      </c>
      <c r="F1602" s="5">
        <f ca="1">IFERROR(__xludf.DUMMYFUNCTION("""COMPUTED_VALUE"""),0)</f>
        <v>0</v>
      </c>
      <c r="G1602" s="5">
        <f ca="1">IFERROR(__xludf.DUMMYFUNCTION("""COMPUTED_VALUE"""),1)</f>
        <v>1</v>
      </c>
      <c r="H1602" s="9" t="str">
        <f ca="1">IFERROR(__xludf.DUMMYFUNCTION("""COMPUTED_VALUE"""),"http://buffalonews.com/1993/09/18/gunman-wounds-4-at-school-kills-self-shooting-takes-place-on-football-field/")</f>
        <v>http://buffalonews.com/1993/09/18/gunman-wounds-4-at-school-kills-self-shooting-takes-place-on-football-field/</v>
      </c>
      <c r="I1602" s="5"/>
      <c r="J1602" s="5"/>
      <c r="K1602" s="5">
        <f ca="1">IFERROR(__xludf.DUMMYFUNCTION("""COMPUTED_VALUE"""),2)</f>
        <v>2</v>
      </c>
      <c r="L1602" s="5" t="str">
        <f ca="1">IFERROR(__xludf.DUMMYFUNCTION("""COMPUTED_VALUE"""),"Fall")</f>
        <v>Fall</v>
      </c>
      <c r="M1602" s="5" t="str">
        <f ca="1">IFERROR(__xludf.DUMMYFUNCTION("""COMPUTED_VALUE"""),"Sheridan")</f>
        <v>Sheridan</v>
      </c>
      <c r="N1602" s="5" t="str">
        <f ca="1">IFERROR(__xludf.DUMMYFUNCTION("""COMPUTED_VALUE"""),"WY")</f>
        <v>WY</v>
      </c>
      <c r="O1602" s="5" t="str">
        <f ca="1">IFERROR(__xludf.DUMMYFUNCTION("""COMPUTED_VALUE"""),"Junior High")</f>
        <v>Junior High</v>
      </c>
      <c r="P1602" s="5" t="str">
        <f ca="1">IFERROR(__xludf.DUMMYFUNCTION("""COMPUTED_VALUE"""),"Football Field/Track")</f>
        <v>Football Field/Track</v>
      </c>
      <c r="Q1602" s="5" t="str">
        <f ca="1">IFERROR(__xludf.DUMMYFUNCTION("""COMPUTED_VALUE"""),"Outside on School Property")</f>
        <v>Outside on School Property</v>
      </c>
      <c r="R1602" s="5" t="str">
        <f ca="1">IFERROR(__xludf.DUMMYFUNCTION("""COMPUTED_VALUE"""),"Yes")</f>
        <v>Yes</v>
      </c>
      <c r="S1602" s="5"/>
      <c r="T1602" s="5"/>
      <c r="U1602" s="5">
        <f ca="1">IFERROR(__xludf.DUMMYFUNCTION("""COMPUTED_VALUE"""),1)</f>
        <v>1</v>
      </c>
      <c r="V1602" s="5" t="str">
        <f ca="1">IFERROR(__xludf.DUMMYFUNCTION("""COMPUTED_VALUE"""),"Depressed - recently received dishonorable discharge from Navy")</f>
        <v>Depressed - recently received dishonorable discharge from Navy</v>
      </c>
      <c r="W1602"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X1602" s="5" t="str">
        <f ca="1">IFERROR(__xludf.DUMMYFUNCTION("""COMPUTED_VALUE"""),"Indiscriminate Shooting")</f>
        <v>Indiscriminate Shooting</v>
      </c>
      <c r="Y1602" s="5" t="str">
        <f ca="1">IFERROR(__xludf.DUMMYFUNCTION("""COMPUTED_VALUE"""),"Random Shooting")</f>
        <v>Random Shooting</v>
      </c>
      <c r="Z1602" s="5" t="str">
        <f ca="1">IFERROR(__xludf.DUMMYFUNCTION("""COMPUTED_VALUE"""),"No")</f>
        <v>No</v>
      </c>
      <c r="AA1602" s="5"/>
      <c r="AB1602" s="5" t="str">
        <f ca="1">IFERROR(__xludf.DUMMYFUNCTION("""COMPUTED_VALUE"""),"No")</f>
        <v>No</v>
      </c>
      <c r="AC1602" s="5" t="str">
        <f ca="1">IFERROR(__xludf.DUMMYFUNCTION("""COMPUTED_VALUE"""),"No")</f>
        <v>No</v>
      </c>
      <c r="AD1602" s="5" t="str">
        <f ca="1">IFERROR(__xludf.DUMMYFUNCTION("""COMPUTED_VALUE"""),"No")</f>
        <v>No</v>
      </c>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IFERROR(__xludf.DUMMYFUNCTION("""COMPUTED_VALUE"""),"Yes")</f>
        <v>Yes</v>
      </c>
    </row>
    <row r="1603" spans="1:34" ht="12.75">
      <c r="A1603" s="5" t="str">
        <f ca="1">IFERROR(__xludf.DUMMYFUNCTION("""COMPUTED_VALUE"""),"19930917ILDOD")</f>
        <v>19930917ILDOD</v>
      </c>
      <c r="B1603" s="8">
        <f ca="1">IFERROR(__xludf.DUMMYFUNCTION("""COMPUTED_VALUE"""),34229)</f>
        <v>34229</v>
      </c>
      <c r="C1603" s="5" t="str">
        <f ca="1">IFERROR(__xludf.DUMMYFUNCTION("""COMPUTED_VALUE"""),"Downers South High School")</f>
        <v>Downers South High School</v>
      </c>
      <c r="D1603" s="5">
        <f ca="1">IFERROR(__xludf.DUMMYFUNCTION("""COMPUTED_VALUE"""),1)</f>
        <v>1</v>
      </c>
      <c r="E1603" s="5">
        <f ca="1">IFERROR(__xludf.DUMMYFUNCTION("""COMPUTED_VALUE"""),0)</f>
        <v>0</v>
      </c>
      <c r="F1603" s="5">
        <f ca="1">IFERROR(__xludf.DUMMYFUNCTION("""COMPUTED_VALUE"""),1)</f>
        <v>1</v>
      </c>
      <c r="G1603" s="5">
        <f ca="1">IFERROR(__xludf.DUMMYFUNCTION("""COMPUTED_VALUE"""),0)</f>
        <v>0</v>
      </c>
      <c r="H1603"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I1603" s="5"/>
      <c r="J1603" s="5"/>
      <c r="K1603" s="5">
        <f ca="1">IFERROR(__xludf.DUMMYFUNCTION("""COMPUTED_VALUE"""),1)</f>
        <v>1</v>
      </c>
      <c r="L1603" s="5" t="str">
        <f ca="1">IFERROR(__xludf.DUMMYFUNCTION("""COMPUTED_VALUE"""),"Fall")</f>
        <v>Fall</v>
      </c>
      <c r="M1603" s="5" t="str">
        <f ca="1">IFERROR(__xludf.DUMMYFUNCTION("""COMPUTED_VALUE"""),"Downers Grove")</f>
        <v>Downers Grove</v>
      </c>
      <c r="N1603" s="5" t="str">
        <f ca="1">IFERROR(__xludf.DUMMYFUNCTION("""COMPUTED_VALUE"""),"IL")</f>
        <v>IL</v>
      </c>
      <c r="O1603" s="5" t="str">
        <f ca="1">IFERROR(__xludf.DUMMYFUNCTION("""COMPUTED_VALUE"""),"High")</f>
        <v>High</v>
      </c>
      <c r="P1603" s="5" t="str">
        <f ca="1">IFERROR(__xludf.DUMMYFUNCTION("""COMPUTED_VALUE"""),"Football Field/Track")</f>
        <v>Football Field/Track</v>
      </c>
      <c r="Q1603" s="5" t="str">
        <f ca="1">IFERROR(__xludf.DUMMYFUNCTION("""COMPUTED_VALUE"""),"Outside on School Property")</f>
        <v>Outside on School Property</v>
      </c>
      <c r="R1603" s="5" t="str">
        <f ca="1">IFERROR(__xludf.DUMMYFUNCTION("""COMPUTED_VALUE"""),"No")</f>
        <v>No</v>
      </c>
      <c r="S1603" s="5" t="str">
        <f ca="1">IFERROR(__xludf.DUMMYFUNCTION("""COMPUTED_VALUE"""),"Sport Event")</f>
        <v>Sport Event</v>
      </c>
      <c r="T1603" s="5"/>
      <c r="U1603" s="5">
        <f ca="1">IFERROR(__xludf.DUMMYFUNCTION("""COMPUTED_VALUE"""),1)</f>
        <v>1</v>
      </c>
      <c r="V1603" s="5" t="str">
        <f ca="1">IFERROR(__xludf.DUMMYFUNCTION("""COMPUTED_VALUE"""),"Shot victim in head after prior disputes")</f>
        <v>Shot victim in head after prior disputes</v>
      </c>
      <c r="W1603"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X1603" s="5" t="str">
        <f ca="1">IFERROR(__xludf.DUMMYFUNCTION("""COMPUTED_VALUE"""),"Escalation of Dispute")</f>
        <v>Escalation of Dispute</v>
      </c>
      <c r="Y1603" s="5" t="str">
        <f ca="1">IFERROR(__xludf.DUMMYFUNCTION("""COMPUTED_VALUE"""),"Victims Targeted")</f>
        <v>Victims Targeted</v>
      </c>
      <c r="Z1603" s="5" t="str">
        <f ca="1">IFERROR(__xludf.DUMMYFUNCTION("""COMPUTED_VALUE"""),"No")</f>
        <v>No</v>
      </c>
      <c r="AA1603" s="5"/>
      <c r="AB1603" s="5" t="str">
        <f ca="1">IFERROR(__xludf.DUMMYFUNCTION("""COMPUTED_VALUE"""),"No")</f>
        <v>No</v>
      </c>
      <c r="AC1603" s="5" t="str">
        <f ca="1">IFERROR(__xludf.DUMMYFUNCTION("""COMPUTED_VALUE"""),"No")</f>
        <v>No</v>
      </c>
      <c r="AD1603" s="5" t="str">
        <f ca="1">IFERROR(__xludf.DUMMYFUNCTION("""COMPUTED_VALUE"""),"No")</f>
        <v>No</v>
      </c>
      <c r="AE1603" s="5" t="str">
        <f ca="1">IFERROR(__xludf.DUMMYFUNCTION("""COMPUTED_VALUE"""),"No")</f>
        <v>No</v>
      </c>
      <c r="AF1603" s="5" t="str">
        <f ca="1">IFERROR(__xludf.DUMMYFUNCTION("""COMPUTED_VALUE"""),"No")</f>
        <v>No</v>
      </c>
      <c r="AG1603" s="5" t="str">
        <f ca="1">IFERROR(__xludf.DUMMYFUNCTION("""COMPUTED_VALUE"""),"No")</f>
        <v>No</v>
      </c>
      <c r="AH1603" s="5"/>
    </row>
    <row r="1604" spans="1:34" ht="12.75">
      <c r="A1604" s="5" t="str">
        <f ca="1">IFERROR(__xludf.DUMMYFUNCTION("""COMPUTED_VALUE"""),"19930916ILROC")</f>
        <v>19930916ILROC</v>
      </c>
      <c r="B1604" s="8">
        <f ca="1">IFERROR(__xludf.DUMMYFUNCTION("""COMPUTED_VALUE"""),34228)</f>
        <v>34228</v>
      </c>
      <c r="C1604" s="5" t="str">
        <f ca="1">IFERROR(__xludf.DUMMYFUNCTION("""COMPUTED_VALUE"""),"Roosevelt High School")</f>
        <v>Roosevelt High School</v>
      </c>
      <c r="D1604" s="5">
        <f ca="1">IFERROR(__xludf.DUMMYFUNCTION("""COMPUTED_VALUE"""),1)</f>
        <v>1</v>
      </c>
      <c r="E1604" s="5">
        <f ca="1">IFERROR(__xludf.DUMMYFUNCTION("""COMPUTED_VALUE"""),0)</f>
        <v>0</v>
      </c>
      <c r="F1604" s="5">
        <f ca="1">IFERROR(__xludf.DUMMYFUNCTION("""COMPUTED_VALUE"""),1)</f>
        <v>1</v>
      </c>
      <c r="G1604" s="5">
        <f ca="1">IFERROR(__xludf.DUMMYFUNCTION("""COMPUTED_VALUE"""),0)</f>
        <v>0</v>
      </c>
      <c r="H1604" s="9" t="str">
        <f ca="1">IFERROR(__xludf.DUMMYFUNCTION("""COMPUTED_VALUE"""),"https://www.newspapers.com/image/241417531/?terms=Roosevelt%2BHigh%2BSchool%2Bshooting")</f>
        <v>https://www.newspapers.com/image/241417531/?terms=Roosevelt%2BHigh%2BSchool%2Bshooting</v>
      </c>
      <c r="I1604" s="5"/>
      <c r="J1604" s="5"/>
      <c r="K1604" s="5">
        <f ca="1">IFERROR(__xludf.DUMMYFUNCTION("""COMPUTED_VALUE"""),2)</f>
        <v>2</v>
      </c>
      <c r="L1604" s="5" t="str">
        <f ca="1">IFERROR(__xludf.DUMMYFUNCTION("""COMPUTED_VALUE"""),"Fall")</f>
        <v>Fall</v>
      </c>
      <c r="M1604" s="5" t="str">
        <f ca="1">IFERROR(__xludf.DUMMYFUNCTION("""COMPUTED_VALUE"""),"Chicago")</f>
        <v>Chicago</v>
      </c>
      <c r="N1604" s="5" t="str">
        <f ca="1">IFERROR(__xludf.DUMMYFUNCTION("""COMPUTED_VALUE"""),"IL")</f>
        <v>IL</v>
      </c>
      <c r="O1604" s="5" t="str">
        <f ca="1">IFERROR(__xludf.DUMMYFUNCTION("""COMPUTED_VALUE"""),"High")</f>
        <v>High</v>
      </c>
      <c r="P1604" s="5" t="str">
        <f ca="1">IFERROR(__xludf.DUMMYFUNCTION("""COMPUTED_VALUE"""),"Beside Building")</f>
        <v>Beside Building</v>
      </c>
      <c r="Q1604" s="5" t="str">
        <f ca="1">IFERROR(__xludf.DUMMYFUNCTION("""COMPUTED_VALUE"""),"Outside on School Property")</f>
        <v>Outside on School Property</v>
      </c>
      <c r="R1604" s="5" t="str">
        <f ca="1">IFERROR(__xludf.DUMMYFUNCTION("""COMPUTED_VALUE"""),"Yes")</f>
        <v>Yes</v>
      </c>
      <c r="S1604" s="5" t="str">
        <f ca="1">IFERROR(__xludf.DUMMYFUNCTION("""COMPUTED_VALUE"""),"Dismissal")</f>
        <v>Dismissal</v>
      </c>
      <c r="T1604" s="10">
        <f ca="1">IFERROR(__xludf.DUMMYFUNCTION("""COMPUTED_VALUE"""),0.625)</f>
        <v>0.625</v>
      </c>
      <c r="U1604" s="5">
        <f ca="1">IFERROR(__xludf.DUMMYFUNCTION("""COMPUTED_VALUE"""),1)</f>
        <v>1</v>
      </c>
      <c r="V1604" s="5" t="str">
        <f ca="1">IFERROR(__xludf.DUMMYFUNCTION("""COMPUTED_VALUE"""),"Gang related shooting at dismissal outside of school")</f>
        <v>Gang related shooting at dismissal outside of school</v>
      </c>
      <c r="W1604"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X1604" s="5" t="str">
        <f ca="1">IFERROR(__xludf.DUMMYFUNCTION("""COMPUTED_VALUE"""),"Escalation of Dispute")</f>
        <v>Escalation of Dispute</v>
      </c>
      <c r="Y1604" s="5"/>
      <c r="Z1604" s="5" t="str">
        <f ca="1">IFERROR(__xludf.DUMMYFUNCTION("""COMPUTED_VALUE"""),"No")</f>
        <v>No</v>
      </c>
      <c r="AA1604" s="5"/>
      <c r="AB1604" s="5" t="str">
        <f ca="1">IFERROR(__xludf.DUMMYFUNCTION("""COMPUTED_VALUE"""),"No")</f>
        <v>No</v>
      </c>
      <c r="AC1604" s="5" t="str">
        <f ca="1">IFERROR(__xludf.DUMMYFUNCTION("""COMPUTED_VALUE"""),"No")</f>
        <v>No</v>
      </c>
      <c r="AD1604" s="5" t="str">
        <f ca="1">IFERROR(__xludf.DUMMYFUNCTION("""COMPUTED_VALUE"""),"No")</f>
        <v>No</v>
      </c>
      <c r="AE1604" s="5"/>
      <c r="AF1604" s="5"/>
      <c r="AG1604" s="5" t="str">
        <f ca="1">IFERROR(__xludf.DUMMYFUNCTION("""COMPUTED_VALUE"""),"Yes")</f>
        <v>Yes</v>
      </c>
      <c r="AH1604" s="5"/>
    </row>
    <row r="1605" spans="1:34" ht="12.75">
      <c r="A1605" s="5" t="str">
        <f ca="1">IFERROR(__xludf.DUMMYFUNCTION("""COMPUTED_VALUE"""),"19930912ALFAF")</f>
        <v>19930912ALFAF</v>
      </c>
      <c r="B1605" s="8">
        <f ca="1">IFERROR(__xludf.DUMMYFUNCTION("""COMPUTED_VALUE"""),34224)</f>
        <v>34224</v>
      </c>
      <c r="C1605" s="5" t="str">
        <f ca="1">IFERROR(__xludf.DUMMYFUNCTION("""COMPUTED_VALUE"""),"Fairfield High School")</f>
        <v>Fairfield High School</v>
      </c>
      <c r="D1605" s="5">
        <f ca="1">IFERROR(__xludf.DUMMYFUNCTION("""COMPUTED_VALUE"""),0)</f>
        <v>0</v>
      </c>
      <c r="E1605" s="5">
        <f ca="1">IFERROR(__xludf.DUMMYFUNCTION("""COMPUTED_VALUE"""),0)</f>
        <v>0</v>
      </c>
      <c r="F1605" s="5">
        <f ca="1">IFERROR(__xludf.DUMMYFUNCTION("""COMPUTED_VALUE"""),0)</f>
        <v>0</v>
      </c>
      <c r="G1605" s="5">
        <f ca="1">IFERROR(__xludf.DUMMYFUNCTION("""COMPUTED_VALUE"""),0)</f>
        <v>0</v>
      </c>
      <c r="H1605" s="9" t="str">
        <f ca="1">IFERROR(__xludf.DUMMYFUNCTION("""COMPUTED_VALUE"""),"https://www.newspapers.com/image/89590422/?terms=%22shot%20high%20school%20football%22&amp;match=1")</f>
        <v>https://www.newspapers.com/image/89590422/?terms=%22shot%20high%20school%20football%22&amp;match=1</v>
      </c>
      <c r="I1605" s="5">
        <f ca="1">IFERROR(__xludf.DUMMYFUNCTION("""COMPUTED_VALUE"""),1)</f>
        <v>1</v>
      </c>
      <c r="J1605" s="5" t="str">
        <f ca="1">IFERROR(__xludf.DUMMYFUNCTION("""COMPUTED_VALUE"""),"Local")</f>
        <v>Local</v>
      </c>
      <c r="K1605" s="5">
        <f ca="1">IFERROR(__xludf.DUMMYFUNCTION("""COMPUTED_VALUE"""),3)</f>
        <v>3</v>
      </c>
      <c r="L1605" s="5" t="str">
        <f ca="1">IFERROR(__xludf.DUMMYFUNCTION("""COMPUTED_VALUE"""),"Fall")</f>
        <v>Fall</v>
      </c>
      <c r="M1605" s="5" t="str">
        <f ca="1">IFERROR(__xludf.DUMMYFUNCTION("""COMPUTED_VALUE"""),"Fairfield")</f>
        <v>Fairfield</v>
      </c>
      <c r="N1605" s="5" t="str">
        <f ca="1">IFERROR(__xludf.DUMMYFUNCTION("""COMPUTED_VALUE"""),"AL")</f>
        <v>AL</v>
      </c>
      <c r="O1605" s="5" t="str">
        <f ca="1">IFERROR(__xludf.DUMMYFUNCTION("""COMPUTED_VALUE"""),"High")</f>
        <v>High</v>
      </c>
      <c r="P1605" s="5" t="str">
        <f ca="1">IFERROR(__xludf.DUMMYFUNCTION("""COMPUTED_VALUE"""),"Football Field/Track")</f>
        <v>Football Field/Track</v>
      </c>
      <c r="Q1605" s="5" t="str">
        <f ca="1">IFERROR(__xludf.DUMMYFUNCTION("""COMPUTED_VALUE"""),"Outside on School Property")</f>
        <v>Outside on School Property</v>
      </c>
      <c r="R1605" s="5" t="str">
        <f ca="1">IFERROR(__xludf.DUMMYFUNCTION("""COMPUTED_VALUE"""),"No")</f>
        <v>No</v>
      </c>
      <c r="S1605" s="5" t="str">
        <f ca="1">IFERROR(__xludf.DUMMYFUNCTION("""COMPUTED_VALUE"""),"Sport Event")</f>
        <v>Sport Event</v>
      </c>
      <c r="T1605" s="10">
        <f ca="1">IFERROR(__xludf.DUMMYFUNCTION("""COMPUTED_VALUE"""),0.573611111111111)</f>
        <v>0.57361111111111096</v>
      </c>
      <c r="U1605" s="5">
        <f ca="1">IFERROR(__xludf.DUMMYFUNCTION("""COMPUTED_VALUE"""),1)</f>
        <v>1</v>
      </c>
      <c r="V1605" s="5" t="str">
        <f ca="1">IFERROR(__xludf.DUMMYFUNCTION("""COMPUTED_VALUE"""),"Shots fired into the air during football game")</f>
        <v>Shots fired into the air during football game</v>
      </c>
      <c r="W1605" s="5"/>
      <c r="X1605" s="5" t="str">
        <f ca="1">IFERROR(__xludf.DUMMYFUNCTION("""COMPUTED_VALUE"""),"Illegal Activity")</f>
        <v>Illegal Activity</v>
      </c>
      <c r="Y1605" s="5" t="str">
        <f ca="1">IFERROR(__xludf.DUMMYFUNCTION("""COMPUTED_VALUE"""),"Neither")</f>
        <v>Neither</v>
      </c>
      <c r="Z1605" s="5" t="str">
        <f ca="1">IFERROR(__xludf.DUMMYFUNCTION("""COMPUTED_VALUE"""),"No")</f>
        <v>No</v>
      </c>
      <c r="AA1605" s="5"/>
      <c r="AB1605" s="5" t="str">
        <f ca="1">IFERROR(__xludf.DUMMYFUNCTION("""COMPUTED_VALUE"""),"No")</f>
        <v>No</v>
      </c>
      <c r="AC1605" s="5" t="str">
        <f ca="1">IFERROR(__xludf.DUMMYFUNCTION("""COMPUTED_VALUE"""),"No")</f>
        <v>No</v>
      </c>
      <c r="AD1605" s="5" t="str">
        <f ca="1">IFERROR(__xludf.DUMMYFUNCTION("""COMPUTED_VALUE"""),"No")</f>
        <v>No</v>
      </c>
      <c r="AE1605" s="5" t="str">
        <f ca="1">IFERROR(__xludf.DUMMYFUNCTION("""COMPUTED_VALUE"""),"No")</f>
        <v>No</v>
      </c>
      <c r="AF1605" s="5" t="str">
        <f ca="1">IFERROR(__xludf.DUMMYFUNCTION("""COMPUTED_VALUE"""),"No")</f>
        <v>No</v>
      </c>
      <c r="AG1605" s="5" t="str">
        <f ca="1">IFERROR(__xludf.DUMMYFUNCTION("""COMPUTED_VALUE"""),"No")</f>
        <v>No</v>
      </c>
      <c r="AH1605" s="5" t="str">
        <f ca="1">IFERROR(__xludf.DUMMYFUNCTION("""COMPUTED_VALUE"""),"No")</f>
        <v>No</v>
      </c>
    </row>
    <row r="1606" spans="1:34" ht="12.75">
      <c r="A1606" s="5" t="str">
        <f ca="1">IFERROR(__xludf.DUMMYFUNCTION("""COMPUTED_VALUE"""),"19930902TXROD")</f>
        <v>19930902TXROD</v>
      </c>
      <c r="B1606" s="8">
        <f ca="1">IFERROR(__xludf.DUMMYFUNCTION("""COMPUTED_VALUE"""),34214)</f>
        <v>34214</v>
      </c>
      <c r="C1606" s="5" t="str">
        <f ca="1">IFERROR(__xludf.DUMMYFUNCTION("""COMPUTED_VALUE"""),"Roosevelt High School")</f>
        <v>Roosevelt High School</v>
      </c>
      <c r="D1606" s="5">
        <f ca="1">IFERROR(__xludf.DUMMYFUNCTION("""COMPUTED_VALUE"""),1)</f>
        <v>1</v>
      </c>
      <c r="E1606" s="5">
        <f ca="1">IFERROR(__xludf.DUMMYFUNCTION("""COMPUTED_VALUE"""),0)</f>
        <v>0</v>
      </c>
      <c r="F1606" s="5">
        <f ca="1">IFERROR(__xludf.DUMMYFUNCTION("""COMPUTED_VALUE"""),1)</f>
        <v>1</v>
      </c>
      <c r="G1606" s="5">
        <f ca="1">IFERROR(__xludf.DUMMYFUNCTION("""COMPUTED_VALUE"""),0)</f>
        <v>0</v>
      </c>
      <c r="H1606"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I1606" s="5"/>
      <c r="J1606" s="5"/>
      <c r="K1606" s="5">
        <f ca="1">IFERROR(__xludf.DUMMYFUNCTION("""COMPUTED_VALUE"""),1)</f>
        <v>1</v>
      </c>
      <c r="L1606" s="5" t="str">
        <f ca="1">IFERROR(__xludf.DUMMYFUNCTION("""COMPUTED_VALUE"""),"Fall")</f>
        <v>Fall</v>
      </c>
      <c r="M1606" s="5" t="str">
        <f ca="1">IFERROR(__xludf.DUMMYFUNCTION("""COMPUTED_VALUE"""),"Dallas")</f>
        <v>Dallas</v>
      </c>
      <c r="N1606" s="5" t="str">
        <f ca="1">IFERROR(__xludf.DUMMYFUNCTION("""COMPUTED_VALUE"""),"TX")</f>
        <v>TX</v>
      </c>
      <c r="O1606" s="5" t="str">
        <f ca="1">IFERROR(__xludf.DUMMYFUNCTION("""COMPUTED_VALUE"""),"High")</f>
        <v>High</v>
      </c>
      <c r="P1606" s="5" t="str">
        <f ca="1">IFERROR(__xludf.DUMMYFUNCTION("""COMPUTED_VALUE"""),"Hallway")</f>
        <v>Hallway</v>
      </c>
      <c r="Q1606" s="5" t="str">
        <f ca="1">IFERROR(__xludf.DUMMYFUNCTION("""COMPUTED_VALUE"""),"Inside School Building")</f>
        <v>Inside School Building</v>
      </c>
      <c r="R1606" s="5" t="str">
        <f ca="1">IFERROR(__xludf.DUMMYFUNCTION("""COMPUTED_VALUE"""),"Yes")</f>
        <v>Yes</v>
      </c>
      <c r="S1606" s="5" t="str">
        <f ca="1">IFERROR(__xludf.DUMMYFUNCTION("""COMPUTED_VALUE"""),"Dismissal")</f>
        <v>Dismissal</v>
      </c>
      <c r="T1606" s="10">
        <f ca="1">IFERROR(__xludf.DUMMYFUNCTION("""COMPUTED_VALUE"""),0.614583333333333)</f>
        <v>0.61458333333333304</v>
      </c>
      <c r="U1606" s="5">
        <f ca="1">IFERROR(__xludf.DUMMYFUNCTION("""COMPUTED_VALUE"""),1)</f>
        <v>1</v>
      </c>
      <c r="V1606" s="5" t="str">
        <f ca="1">IFERROR(__xludf.DUMMYFUNCTION("""COMPUTED_VALUE"""),"Argument over stolen beeper")</f>
        <v>Argument over stolen beeper</v>
      </c>
      <c r="W1606"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X1606" s="5" t="str">
        <f ca="1">IFERROR(__xludf.DUMMYFUNCTION("""COMPUTED_VALUE"""),"Escalation of Dispute")</f>
        <v>Escalation of Dispute</v>
      </c>
      <c r="Y1606" s="5" t="str">
        <f ca="1">IFERROR(__xludf.DUMMYFUNCTION("""COMPUTED_VALUE"""),"Victims Targeted")</f>
        <v>Victims Targeted</v>
      </c>
      <c r="Z1606" s="5" t="str">
        <f ca="1">IFERROR(__xludf.DUMMYFUNCTION("""COMPUTED_VALUE"""),"No")</f>
        <v>No</v>
      </c>
      <c r="AA1606" s="5"/>
      <c r="AB1606" s="5" t="str">
        <f ca="1">IFERROR(__xludf.DUMMYFUNCTION("""COMPUTED_VALUE"""),"No")</f>
        <v>No</v>
      </c>
      <c r="AC1606" s="5" t="str">
        <f ca="1">IFERROR(__xludf.DUMMYFUNCTION("""COMPUTED_VALUE"""),"No")</f>
        <v>No</v>
      </c>
      <c r="AD1606" s="5" t="str">
        <f ca="1">IFERROR(__xludf.DUMMYFUNCTION("""COMPUTED_VALUE"""),"No")</f>
        <v>No</v>
      </c>
      <c r="AE1606" s="5" t="str">
        <f ca="1">IFERROR(__xludf.DUMMYFUNCTION("""COMPUTED_VALUE"""),"No")</f>
        <v>No</v>
      </c>
      <c r="AF1606" s="5" t="str">
        <f ca="1">IFERROR(__xludf.DUMMYFUNCTION("""COMPUTED_VALUE"""),"No")</f>
        <v>No</v>
      </c>
      <c r="AG1606" s="5" t="str">
        <f ca="1">IFERROR(__xludf.DUMMYFUNCTION("""COMPUTED_VALUE"""),"No")</f>
        <v>No</v>
      </c>
      <c r="AH1606" s="5"/>
    </row>
    <row r="1607" spans="1:34" ht="12.75">
      <c r="A1607" s="5" t="str">
        <f ca="1">IFERROR(__xludf.DUMMYFUNCTION("""COMPUTED_VALUE"""),"19930901KSJUJ")</f>
        <v>19930901KSJUJ</v>
      </c>
      <c r="B1607" s="8">
        <f ca="1">IFERROR(__xludf.DUMMYFUNCTION("""COMPUTED_VALUE"""),34213)</f>
        <v>34213</v>
      </c>
      <c r="C1607" s="5" t="str">
        <f ca="1">IFERROR(__xludf.DUMMYFUNCTION("""COMPUTED_VALUE"""),"Junction City High School")</f>
        <v>Junction City High School</v>
      </c>
      <c r="D1607" s="5">
        <f ca="1">IFERROR(__xludf.DUMMYFUNCTION("""COMPUTED_VALUE"""),0)</f>
        <v>0</v>
      </c>
      <c r="E1607" s="5">
        <f ca="1">IFERROR(__xludf.DUMMYFUNCTION("""COMPUTED_VALUE"""),1)</f>
        <v>1</v>
      </c>
      <c r="F1607" s="5">
        <f ca="1">IFERROR(__xludf.DUMMYFUNCTION("""COMPUTED_VALUE"""),1)</f>
        <v>1</v>
      </c>
      <c r="G1607" s="5">
        <f ca="1">IFERROR(__xludf.DUMMYFUNCTION("""COMPUTED_VALUE"""),0)</f>
        <v>0</v>
      </c>
      <c r="H1607" s="9" t="str">
        <f ca="1">IFERROR(__xludf.DUMMYFUNCTION("""COMPUTED_VALUE"""),"https://www.newspapers.com/image/1005267/?terms=Junction%2BCity%2BHigh%2BSchool%2Bshooting")</f>
        <v>https://www.newspapers.com/image/1005267/?terms=Junction%2BCity%2BHigh%2BSchool%2Bshooting</v>
      </c>
      <c r="I1607" s="5"/>
      <c r="J1607" s="5"/>
      <c r="K1607" s="5">
        <f ca="1">IFERROR(__xludf.DUMMYFUNCTION("""COMPUTED_VALUE"""),2)</f>
        <v>2</v>
      </c>
      <c r="L1607" s="5" t="str">
        <f ca="1">IFERROR(__xludf.DUMMYFUNCTION("""COMPUTED_VALUE"""),"Fall")</f>
        <v>Fall</v>
      </c>
      <c r="M1607" s="5" t="str">
        <f ca="1">IFERROR(__xludf.DUMMYFUNCTION("""COMPUTED_VALUE"""),"Junction City")</f>
        <v>Junction City</v>
      </c>
      <c r="N1607" s="5" t="str">
        <f ca="1">IFERROR(__xludf.DUMMYFUNCTION("""COMPUTED_VALUE"""),"KS")</f>
        <v>KS</v>
      </c>
      <c r="O1607" s="5" t="str">
        <f ca="1">IFERROR(__xludf.DUMMYFUNCTION("""COMPUTED_VALUE"""),"High")</f>
        <v>High</v>
      </c>
      <c r="P1607" s="5" t="str">
        <f ca="1">IFERROR(__xludf.DUMMYFUNCTION("""COMPUTED_VALUE"""),"Cafeteria")</f>
        <v>Cafeteria</v>
      </c>
      <c r="Q1607" s="5" t="str">
        <f ca="1">IFERROR(__xludf.DUMMYFUNCTION("""COMPUTED_VALUE"""),"Inside School Building")</f>
        <v>Inside School Building</v>
      </c>
      <c r="R1607" s="5" t="str">
        <f ca="1">IFERROR(__xludf.DUMMYFUNCTION("""COMPUTED_VALUE"""),"Yes")</f>
        <v>Yes</v>
      </c>
      <c r="S1607" s="5" t="str">
        <f ca="1">IFERROR(__xludf.DUMMYFUNCTION("""COMPUTED_VALUE"""),"Lunch")</f>
        <v>Lunch</v>
      </c>
      <c r="T1607" s="5"/>
      <c r="U1607" s="5">
        <f ca="1">IFERROR(__xludf.DUMMYFUNCTION("""COMPUTED_VALUE"""),1)</f>
        <v>1</v>
      </c>
      <c r="V1607" s="5" t="str">
        <f ca="1">IFERROR(__xludf.DUMMYFUNCTION("""COMPUTED_VALUE"""),"Argument in cafeteria, bystander shot")</f>
        <v>Argument in cafeteria, bystander shot</v>
      </c>
      <c r="W1607"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X1607" s="5" t="str">
        <f ca="1">IFERROR(__xludf.DUMMYFUNCTION("""COMPUTED_VALUE"""),"Escalation of Dispute")</f>
        <v>Escalation of Dispute</v>
      </c>
      <c r="Y1607" s="5" t="str">
        <f ca="1">IFERROR(__xludf.DUMMYFUNCTION("""COMPUTED_VALUE"""),"Both")</f>
        <v>Both</v>
      </c>
      <c r="Z1607" s="5" t="str">
        <f ca="1">IFERROR(__xludf.DUMMYFUNCTION("""COMPUTED_VALUE"""),"No")</f>
        <v>No</v>
      </c>
      <c r="AA1607" s="5"/>
      <c r="AB1607" s="5" t="str">
        <f ca="1">IFERROR(__xludf.DUMMYFUNCTION("""COMPUTED_VALUE"""),"No")</f>
        <v>No</v>
      </c>
      <c r="AC1607" s="5" t="str">
        <f ca="1">IFERROR(__xludf.DUMMYFUNCTION("""COMPUTED_VALUE"""),"No")</f>
        <v>No</v>
      </c>
      <c r="AD1607" s="5" t="str">
        <f ca="1">IFERROR(__xludf.DUMMYFUNCTION("""COMPUTED_VALUE"""),"No")</f>
        <v>No</v>
      </c>
      <c r="AE1607" s="5" t="str">
        <f ca="1">IFERROR(__xludf.DUMMYFUNCTION("""COMPUTED_VALUE"""),"No")</f>
        <v>No</v>
      </c>
      <c r="AF1607" s="5" t="str">
        <f ca="1">IFERROR(__xludf.DUMMYFUNCTION("""COMPUTED_VALUE"""),"No")</f>
        <v>No</v>
      </c>
      <c r="AG1607" s="5" t="str">
        <f ca="1">IFERROR(__xludf.DUMMYFUNCTION("""COMPUTED_VALUE"""),"No")</f>
        <v>No</v>
      </c>
      <c r="AH1607" s="5"/>
    </row>
    <row r="1608" spans="1:34" ht="12.75">
      <c r="A1608" s="5" t="str">
        <f ca="1">IFERROR(__xludf.DUMMYFUNCTION("""COMPUTED_VALUE"""),"19930831GAHAA")</f>
        <v>19930831GAHAA</v>
      </c>
      <c r="B1608" s="8">
        <f ca="1">IFERROR(__xludf.DUMMYFUNCTION("""COMPUTED_VALUE"""),34212)</f>
        <v>34212</v>
      </c>
      <c r="C1608" s="5" t="str">
        <f ca="1">IFERROR(__xludf.DUMMYFUNCTION("""COMPUTED_VALUE"""),"Harper High School")</f>
        <v>Harper High School</v>
      </c>
      <c r="D1608" s="5">
        <f ca="1">IFERROR(__xludf.DUMMYFUNCTION("""COMPUTED_VALUE"""),1)</f>
        <v>1</v>
      </c>
      <c r="E1608" s="5">
        <f ca="1">IFERROR(__xludf.DUMMYFUNCTION("""COMPUTED_VALUE"""),0)</f>
        <v>0</v>
      </c>
      <c r="F1608" s="5">
        <f ca="1">IFERROR(__xludf.DUMMYFUNCTION("""COMPUTED_VALUE"""),1)</f>
        <v>1</v>
      </c>
      <c r="G1608" s="5">
        <f ca="1">IFERROR(__xludf.DUMMYFUNCTION("""COMPUTED_VALUE"""),0)</f>
        <v>0</v>
      </c>
      <c r="H1608" s="9" t="str">
        <f ca="1">IFERROR(__xludf.DUMMYFUNCTION("""COMPUTED_VALUE"""),"https://www.newspapers.com/image/403198507/?terms=Marcus%2BTaylor%2Bdied")</f>
        <v>https://www.newspapers.com/image/403198507/?terms=Marcus%2BTaylor%2Bdied</v>
      </c>
      <c r="I1608" s="5"/>
      <c r="J1608" s="5"/>
      <c r="K1608" s="5">
        <f ca="1">IFERROR(__xludf.DUMMYFUNCTION("""COMPUTED_VALUE"""),2)</f>
        <v>2</v>
      </c>
      <c r="L1608" s="5" t="str">
        <f ca="1">IFERROR(__xludf.DUMMYFUNCTION("""COMPUTED_VALUE"""),"Summer")</f>
        <v>Summer</v>
      </c>
      <c r="M1608" s="5" t="str">
        <f ca="1">IFERROR(__xludf.DUMMYFUNCTION("""COMPUTED_VALUE"""),"Atlanta")</f>
        <v>Atlanta</v>
      </c>
      <c r="N1608" s="5" t="str">
        <f ca="1">IFERROR(__xludf.DUMMYFUNCTION("""COMPUTED_VALUE"""),"GA")</f>
        <v>GA</v>
      </c>
      <c r="O1608" s="5" t="str">
        <f ca="1">IFERROR(__xludf.DUMMYFUNCTION("""COMPUTED_VALUE"""),"High")</f>
        <v>High</v>
      </c>
      <c r="P1608" s="5" t="str">
        <f ca="1">IFERROR(__xludf.DUMMYFUNCTION("""COMPUTED_VALUE"""),"Cafeteria")</f>
        <v>Cafeteria</v>
      </c>
      <c r="Q1608" s="5" t="str">
        <f ca="1">IFERROR(__xludf.DUMMYFUNCTION("""COMPUTED_VALUE"""),"Inside School Building")</f>
        <v>Inside School Building</v>
      </c>
      <c r="R1608" s="5" t="str">
        <f ca="1">IFERROR(__xludf.DUMMYFUNCTION("""COMPUTED_VALUE"""),"Yes")</f>
        <v>Yes</v>
      </c>
      <c r="S1608" s="5"/>
      <c r="T1608" s="5"/>
      <c r="U1608" s="5">
        <f ca="1">IFERROR(__xludf.DUMMYFUNCTION("""COMPUTED_VALUE"""),1)</f>
        <v>1</v>
      </c>
      <c r="V1608" s="5" t="str">
        <f ca="1">IFERROR(__xludf.DUMMYFUNCTION("""COMPUTED_VALUE"""),"Argument in cafeteria")</f>
        <v>Argument in cafeteria</v>
      </c>
      <c r="W1608" s="5" t="str">
        <f ca="1">IFERROR(__xludf.DUMMYFUNCTION("""COMPUTED_VALUE"""),"Fight between two students in cafeteria escalated into shooting.")</f>
        <v>Fight between two students in cafeteria escalated into shooting.</v>
      </c>
      <c r="X1608" s="5" t="str">
        <f ca="1">IFERROR(__xludf.DUMMYFUNCTION("""COMPUTED_VALUE"""),"Escalation of Dispute")</f>
        <v>Escalation of Dispute</v>
      </c>
      <c r="Y1608" s="5" t="str">
        <f ca="1">IFERROR(__xludf.DUMMYFUNCTION("""COMPUTED_VALUE"""),"Victims Targeted")</f>
        <v>Victims Targeted</v>
      </c>
      <c r="Z1608" s="5" t="str">
        <f ca="1">IFERROR(__xludf.DUMMYFUNCTION("""COMPUTED_VALUE"""),"No")</f>
        <v>No</v>
      </c>
      <c r="AA1608" s="5"/>
      <c r="AB1608" s="5" t="str">
        <f ca="1">IFERROR(__xludf.DUMMYFUNCTION("""COMPUTED_VALUE"""),"No")</f>
        <v>No</v>
      </c>
      <c r="AC1608" s="5" t="str">
        <f ca="1">IFERROR(__xludf.DUMMYFUNCTION("""COMPUTED_VALUE"""),"No")</f>
        <v>No</v>
      </c>
      <c r="AD1608" s="5" t="str">
        <f ca="1">IFERROR(__xludf.DUMMYFUNCTION("""COMPUTED_VALUE"""),"No")</f>
        <v>No</v>
      </c>
      <c r="AE1608" s="5"/>
      <c r="AF1608" s="5" t="str">
        <f ca="1">IFERROR(__xludf.DUMMYFUNCTION("""COMPUTED_VALUE"""),"No")</f>
        <v>No</v>
      </c>
      <c r="AG1608" s="5"/>
      <c r="AH1608" s="5"/>
    </row>
    <row r="1609" spans="1:34" ht="12.75">
      <c r="A1609" s="5" t="str">
        <f ca="1">IFERROR(__xludf.DUMMYFUNCTION("""COMPUTED_VALUE"""),"19930803NYTHN")</f>
        <v>19930803NYTHN</v>
      </c>
      <c r="B1609" s="8">
        <f ca="1">IFERROR(__xludf.DUMMYFUNCTION("""COMPUTED_VALUE"""),34184)</f>
        <v>34184</v>
      </c>
      <c r="C1609" s="5" t="str">
        <f ca="1">IFERROR(__xludf.DUMMYFUNCTION("""COMPUTED_VALUE"""),"Theodore Roosevelt High School")</f>
        <v>Theodore Roosevelt High School</v>
      </c>
      <c r="D1609" s="5">
        <f ca="1">IFERROR(__xludf.DUMMYFUNCTION("""COMPUTED_VALUE"""),0)</f>
        <v>0</v>
      </c>
      <c r="E1609" s="5">
        <f ca="1">IFERROR(__xludf.DUMMYFUNCTION("""COMPUTED_VALUE"""),1)</f>
        <v>1</v>
      </c>
      <c r="F1609" s="5">
        <f ca="1">IFERROR(__xludf.DUMMYFUNCTION("""COMPUTED_VALUE"""),1)</f>
        <v>1</v>
      </c>
      <c r="G1609" s="5">
        <f ca="1">IFERROR(__xludf.DUMMYFUNCTION("""COMPUTED_VALUE"""),0)</f>
        <v>0</v>
      </c>
      <c r="H1609" s="9" t="str">
        <f ca="1">IFERROR(__xludf.DUMMYFUNCTION("""COMPUTED_VALUE"""),"https://www.nytimes.com/1993/08/03/nyregion/student-shot-during-class-in-bronx-high-school.html")</f>
        <v>https://www.nytimes.com/1993/08/03/nyregion/student-shot-during-class-in-bronx-high-school.html</v>
      </c>
      <c r="I1609" s="5"/>
      <c r="J1609" s="5"/>
      <c r="K1609" s="5">
        <f ca="1">IFERROR(__xludf.DUMMYFUNCTION("""COMPUTED_VALUE"""),2)</f>
        <v>2</v>
      </c>
      <c r="L1609" s="5" t="str">
        <f ca="1">IFERROR(__xludf.DUMMYFUNCTION("""COMPUTED_VALUE"""),"Summer")</f>
        <v>Summer</v>
      </c>
      <c r="M1609" s="5" t="str">
        <f ca="1">IFERROR(__xludf.DUMMYFUNCTION("""COMPUTED_VALUE"""),"New York")</f>
        <v>New York</v>
      </c>
      <c r="N1609" s="5" t="str">
        <f ca="1">IFERROR(__xludf.DUMMYFUNCTION("""COMPUTED_VALUE"""),"NY")</f>
        <v>NY</v>
      </c>
      <c r="O1609" s="5" t="str">
        <f ca="1">IFERROR(__xludf.DUMMYFUNCTION("""COMPUTED_VALUE"""),"High")</f>
        <v>High</v>
      </c>
      <c r="P1609" s="5" t="str">
        <f ca="1">IFERROR(__xludf.DUMMYFUNCTION("""COMPUTED_VALUE"""),"Classroom")</f>
        <v>Classroom</v>
      </c>
      <c r="Q1609" s="5" t="str">
        <f ca="1">IFERROR(__xludf.DUMMYFUNCTION("""COMPUTED_VALUE"""),"Inside School Building")</f>
        <v>Inside School Building</v>
      </c>
      <c r="R1609" s="5" t="str">
        <f ca="1">IFERROR(__xludf.DUMMYFUNCTION("""COMPUTED_VALUE"""),"Yes")</f>
        <v>Yes</v>
      </c>
      <c r="S1609" s="5" t="str">
        <f ca="1">IFERROR(__xludf.DUMMYFUNCTION("""COMPUTED_VALUE"""),"Morning Classes")</f>
        <v>Morning Classes</v>
      </c>
      <c r="T1609" s="5"/>
      <c r="U1609" s="5">
        <f ca="1">IFERROR(__xludf.DUMMYFUNCTION("""COMPUTED_VALUE"""),1)</f>
        <v>1</v>
      </c>
      <c r="V1609" s="5" t="str">
        <f ca="1">IFERROR(__xludf.DUMMYFUNCTION("""COMPUTED_VALUE"""),"Victim shot in classroom by unknown shooter")</f>
        <v>Victim shot in classroom by unknown shooter</v>
      </c>
      <c r="W1609" s="5" t="str">
        <f ca="1">IFERROR(__xludf.DUMMYFUNCTION("""COMPUTED_VALUE"""),"Unknown shooter walked into classroom, shot 18YOM student, and fled the area. No suspect identified.")</f>
        <v>Unknown shooter walked into classroom, shot 18YOM student, and fled the area. No suspect identified.</v>
      </c>
      <c r="X1609" s="5" t="str">
        <f ca="1">IFERROR(__xludf.DUMMYFUNCTION("""COMPUTED_VALUE"""),"Escalation of Dispute")</f>
        <v>Escalation of Dispute</v>
      </c>
      <c r="Y1609" s="5" t="str">
        <f ca="1">IFERROR(__xludf.DUMMYFUNCTION("""COMPUTED_VALUE"""),"Victims Targeted")</f>
        <v>Victims Targeted</v>
      </c>
      <c r="Z1609" s="5" t="str">
        <f ca="1">IFERROR(__xludf.DUMMYFUNCTION("""COMPUTED_VALUE"""),"No")</f>
        <v>No</v>
      </c>
      <c r="AA1609" s="5"/>
      <c r="AB1609" s="5" t="str">
        <f ca="1">IFERROR(__xludf.DUMMYFUNCTION("""COMPUTED_VALUE"""),"No")</f>
        <v>No</v>
      </c>
      <c r="AC1609" s="5" t="str">
        <f ca="1">IFERROR(__xludf.DUMMYFUNCTION("""COMPUTED_VALUE"""),"No")</f>
        <v>No</v>
      </c>
      <c r="AD1609" s="5" t="str">
        <f ca="1">IFERROR(__xludf.DUMMYFUNCTION("""COMPUTED_VALUE"""),"No")</f>
        <v>No</v>
      </c>
      <c r="AE1609" s="5"/>
      <c r="AF1609" s="5"/>
      <c r="AG1609" s="5"/>
      <c r="AH1609" s="5"/>
    </row>
    <row r="1610" spans="1:34" ht="12.75">
      <c r="A1610" s="5" t="str">
        <f ca="1">IFERROR(__xludf.DUMMYFUNCTION("""COMPUTED_VALUE"""),"19930707CADOL")</f>
        <v>19930707CADOL</v>
      </c>
      <c r="B1610" s="8">
        <f ca="1">IFERROR(__xludf.DUMMYFUNCTION("""COMPUTED_VALUE"""),34157)</f>
        <v>34157</v>
      </c>
      <c r="C1610" s="5" t="str">
        <f ca="1">IFERROR(__xludf.DUMMYFUNCTION("""COMPUTED_VALUE"""),"Dorsey High School")</f>
        <v>Dorsey High School</v>
      </c>
      <c r="D1610" s="5">
        <f ca="1">IFERROR(__xludf.DUMMYFUNCTION("""COMPUTED_VALUE"""),1)</f>
        <v>1</v>
      </c>
      <c r="E1610" s="5">
        <f ca="1">IFERROR(__xludf.DUMMYFUNCTION("""COMPUTED_VALUE"""),0)</f>
        <v>0</v>
      </c>
      <c r="F1610" s="5">
        <f ca="1">IFERROR(__xludf.DUMMYFUNCTION("""COMPUTED_VALUE"""),1)</f>
        <v>1</v>
      </c>
      <c r="G1610" s="5">
        <f ca="1">IFERROR(__xludf.DUMMYFUNCTION("""COMPUTED_VALUE"""),0)</f>
        <v>0</v>
      </c>
      <c r="H1610"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I1610" s="5"/>
      <c r="J1610" s="5"/>
      <c r="K1610" s="5">
        <f ca="1">IFERROR(__xludf.DUMMYFUNCTION("""COMPUTED_VALUE"""),1)</f>
        <v>1</v>
      </c>
      <c r="L1610" s="5" t="str">
        <f ca="1">IFERROR(__xludf.DUMMYFUNCTION("""COMPUTED_VALUE"""),"Summer")</f>
        <v>Summer</v>
      </c>
      <c r="M1610" s="5" t="str">
        <f ca="1">IFERROR(__xludf.DUMMYFUNCTION("""COMPUTED_VALUE"""),"Los Angeles")</f>
        <v>Los Angeles</v>
      </c>
      <c r="N1610" s="5" t="str">
        <f ca="1">IFERROR(__xludf.DUMMYFUNCTION("""COMPUTED_VALUE"""),"CA")</f>
        <v>CA</v>
      </c>
      <c r="O1610" s="5" t="str">
        <f ca="1">IFERROR(__xludf.DUMMYFUNCTION("""COMPUTED_VALUE"""),"High")</f>
        <v>High</v>
      </c>
      <c r="P1610" s="5" t="str">
        <f ca="1">IFERROR(__xludf.DUMMYFUNCTION("""COMPUTED_VALUE"""),"Beside Building")</f>
        <v>Beside Building</v>
      </c>
      <c r="Q1610" s="5" t="str">
        <f ca="1">IFERROR(__xludf.DUMMYFUNCTION("""COMPUTED_VALUE"""),"Outside on School Property")</f>
        <v>Outside on School Property</v>
      </c>
      <c r="R1610" s="5" t="str">
        <f ca="1">IFERROR(__xludf.DUMMYFUNCTION("""COMPUTED_VALUE"""),"Yes")</f>
        <v>Yes</v>
      </c>
      <c r="S1610" s="5" t="str">
        <f ca="1">IFERROR(__xludf.DUMMYFUNCTION("""COMPUTED_VALUE"""),"After School")</f>
        <v>After School</v>
      </c>
      <c r="T1610" s="10">
        <f ca="1">IFERROR(__xludf.DUMMYFUNCTION("""COMPUTED_VALUE"""),0.604166666666666)</f>
        <v>0.60416666666666596</v>
      </c>
      <c r="U1610" s="5">
        <f ca="1">IFERROR(__xludf.DUMMYFUNCTION("""COMPUTED_VALUE"""),1)</f>
        <v>1</v>
      </c>
      <c r="V1610" s="5" t="str">
        <f ca="1">IFERROR(__xludf.DUMMYFUNCTION("""COMPUTED_VALUE"""),"Fight between other students, bystander fatally shot")</f>
        <v>Fight between other students, bystander fatally shot</v>
      </c>
      <c r="W1610"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X1610" s="5" t="str">
        <f ca="1">IFERROR(__xludf.DUMMYFUNCTION("""COMPUTED_VALUE"""),"Escalation of Dispute")</f>
        <v>Escalation of Dispute</v>
      </c>
      <c r="Y1610" s="5" t="str">
        <f ca="1">IFERROR(__xludf.DUMMYFUNCTION("""COMPUTED_VALUE"""),"Both")</f>
        <v>Both</v>
      </c>
      <c r="Z1610" s="5" t="str">
        <f ca="1">IFERROR(__xludf.DUMMYFUNCTION("""COMPUTED_VALUE"""),"No")</f>
        <v>No</v>
      </c>
      <c r="AA1610" s="5"/>
      <c r="AB1610" s="5" t="str">
        <f ca="1">IFERROR(__xludf.DUMMYFUNCTION("""COMPUTED_VALUE"""),"No")</f>
        <v>No</v>
      </c>
      <c r="AC1610" s="5" t="str">
        <f ca="1">IFERROR(__xludf.DUMMYFUNCTION("""COMPUTED_VALUE"""),"No")</f>
        <v>No</v>
      </c>
      <c r="AD1610" s="5" t="str">
        <f ca="1">IFERROR(__xludf.DUMMYFUNCTION("""COMPUTED_VALUE"""),"No")</f>
        <v>No</v>
      </c>
      <c r="AE1610" s="5" t="str">
        <f ca="1">IFERROR(__xludf.DUMMYFUNCTION("""COMPUTED_VALUE"""),"No")</f>
        <v>No</v>
      </c>
      <c r="AF1610" s="5" t="str">
        <f ca="1">IFERROR(__xludf.DUMMYFUNCTION("""COMPUTED_VALUE"""),"No")</f>
        <v>No</v>
      </c>
      <c r="AG1610" s="5" t="str">
        <f ca="1">IFERROR(__xludf.DUMMYFUNCTION("""COMPUTED_VALUE"""),"Yes")</f>
        <v>Yes</v>
      </c>
      <c r="AH1610" s="5"/>
    </row>
    <row r="1611" spans="1:34" ht="12.75">
      <c r="A1611" s="5" t="str">
        <f ca="1">IFERROR(__xludf.DUMMYFUNCTION("""COMPUTED_VALUE"""),"19930527LAFRN")</f>
        <v>19930527LAFRN</v>
      </c>
      <c r="B1611" s="8">
        <f ca="1">IFERROR(__xludf.DUMMYFUNCTION("""COMPUTED_VALUE"""),34116)</f>
        <v>34116</v>
      </c>
      <c r="C1611" s="5" t="str">
        <f ca="1">IFERROR(__xludf.DUMMYFUNCTION("""COMPUTED_VALUE"""),"Francis T. Nicholls High School")</f>
        <v>Francis T. Nicholls High School</v>
      </c>
      <c r="D1611" s="5">
        <f ca="1">IFERROR(__xludf.DUMMYFUNCTION("""COMPUTED_VALUE"""),1)</f>
        <v>1</v>
      </c>
      <c r="E1611" s="5">
        <f ca="1">IFERROR(__xludf.DUMMYFUNCTION("""COMPUTED_VALUE"""),0)</f>
        <v>0</v>
      </c>
      <c r="F1611" s="5">
        <f ca="1">IFERROR(__xludf.DUMMYFUNCTION("""COMPUTED_VALUE"""),1)</f>
        <v>1</v>
      </c>
      <c r="G1611" s="5">
        <f ca="1">IFERROR(__xludf.DUMMYFUNCTION("""COMPUTED_VALUE"""),0)</f>
        <v>0</v>
      </c>
      <c r="H1611" s="9" t="str">
        <f ca="1">IFERROR(__xludf.DUMMYFUNCTION("""COMPUTED_VALUE"""),"https://www.newspapers.com/image/278618494/?terms=Francis%2BT.%2BNicholls%2BHigh%2BSchool%2Bshooting")</f>
        <v>https://www.newspapers.com/image/278618494/?terms=Francis%2BT.%2BNicholls%2BHigh%2BSchool%2Bshooting</v>
      </c>
      <c r="I1611" s="5"/>
      <c r="J1611" s="5"/>
      <c r="K1611" s="5">
        <f ca="1">IFERROR(__xludf.DUMMYFUNCTION("""COMPUTED_VALUE"""),2)</f>
        <v>2</v>
      </c>
      <c r="L1611" s="5" t="str">
        <f ca="1">IFERROR(__xludf.DUMMYFUNCTION("""COMPUTED_VALUE"""),"Spring")</f>
        <v>Spring</v>
      </c>
      <c r="M1611" s="5" t="str">
        <f ca="1">IFERROR(__xludf.DUMMYFUNCTION("""COMPUTED_VALUE"""),"New Orleans")</f>
        <v>New Orleans</v>
      </c>
      <c r="N1611" s="5" t="str">
        <f ca="1">IFERROR(__xludf.DUMMYFUNCTION("""COMPUTED_VALUE"""),"LA")</f>
        <v>LA</v>
      </c>
      <c r="O1611" s="5" t="str">
        <f ca="1">IFERROR(__xludf.DUMMYFUNCTION("""COMPUTED_VALUE"""),"High")</f>
        <v>High</v>
      </c>
      <c r="P1611" s="5" t="str">
        <f ca="1">IFERROR(__xludf.DUMMYFUNCTION("""COMPUTED_VALUE"""),"Hallway")</f>
        <v>Hallway</v>
      </c>
      <c r="Q1611" s="5" t="str">
        <f ca="1">IFERROR(__xludf.DUMMYFUNCTION("""COMPUTED_VALUE"""),"Inside School Building")</f>
        <v>Inside School Building</v>
      </c>
      <c r="R1611" s="5" t="str">
        <f ca="1">IFERROR(__xludf.DUMMYFUNCTION("""COMPUTED_VALUE"""),"Yes")</f>
        <v>Yes</v>
      </c>
      <c r="S1611" s="5" t="str">
        <f ca="1">IFERROR(__xludf.DUMMYFUNCTION("""COMPUTED_VALUE"""),"Morning Classes")</f>
        <v>Morning Classes</v>
      </c>
      <c r="T1611" s="5"/>
      <c r="U1611" s="5">
        <f ca="1">IFERROR(__xludf.DUMMYFUNCTION("""COMPUTED_VALUE"""),1)</f>
        <v>1</v>
      </c>
      <c r="V1611" s="5" t="str">
        <f ca="1">IFERROR(__xludf.DUMMYFUNCTION("""COMPUTED_VALUE"""),"Shooting in hallway related to quarrel")</f>
        <v>Shooting in hallway related to quarrel</v>
      </c>
      <c r="W1611"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X1611" s="5" t="str">
        <f ca="1">IFERROR(__xludf.DUMMYFUNCTION("""COMPUTED_VALUE"""),"Escalation of Dispute")</f>
        <v>Escalation of Dispute</v>
      </c>
      <c r="Y1611" s="5" t="str">
        <f ca="1">IFERROR(__xludf.DUMMYFUNCTION("""COMPUTED_VALUE"""),"Victims Targeted")</f>
        <v>Victims Targeted</v>
      </c>
      <c r="Z1611" s="5" t="str">
        <f ca="1">IFERROR(__xludf.DUMMYFUNCTION("""COMPUTED_VALUE"""),"No")</f>
        <v>No</v>
      </c>
      <c r="AA1611" s="5"/>
      <c r="AB1611" s="5" t="str">
        <f ca="1">IFERROR(__xludf.DUMMYFUNCTION("""COMPUTED_VALUE"""),"No")</f>
        <v>No</v>
      </c>
      <c r="AC1611" s="5" t="str">
        <f ca="1">IFERROR(__xludf.DUMMYFUNCTION("""COMPUTED_VALUE"""),"No")</f>
        <v>No</v>
      </c>
      <c r="AD1611" s="5" t="str">
        <f ca="1">IFERROR(__xludf.DUMMYFUNCTION("""COMPUTED_VALUE"""),"No")</f>
        <v>No</v>
      </c>
      <c r="AE1611" s="5" t="str">
        <f ca="1">IFERROR(__xludf.DUMMYFUNCTION("""COMPUTED_VALUE"""),"No")</f>
        <v>No</v>
      </c>
      <c r="AF1611" s="5" t="str">
        <f ca="1">IFERROR(__xludf.DUMMYFUNCTION("""COMPUTED_VALUE"""),"No")</f>
        <v>No</v>
      </c>
      <c r="AG1611" s="5" t="str">
        <f ca="1">IFERROR(__xludf.DUMMYFUNCTION("""COMPUTED_VALUE"""),"No")</f>
        <v>No</v>
      </c>
      <c r="AH1611" s="5"/>
    </row>
    <row r="1612" spans="1:34" ht="12.75">
      <c r="A1612" s="5" t="str">
        <f ca="1">IFERROR(__xludf.DUMMYFUNCTION("""COMPUTED_VALUE"""),"19930524PAUPP")</f>
        <v>19930524PAUPP</v>
      </c>
      <c r="B1612" s="8">
        <f ca="1">IFERROR(__xludf.DUMMYFUNCTION("""COMPUTED_VALUE"""),34113)</f>
        <v>34113</v>
      </c>
      <c r="C1612" s="5" t="str">
        <f ca="1">IFERROR(__xludf.DUMMYFUNCTION("""COMPUTED_VALUE"""),"Upper Perkiomen High School")</f>
        <v>Upper Perkiomen High School</v>
      </c>
      <c r="D1612" s="5">
        <f ca="1">IFERROR(__xludf.DUMMYFUNCTION("""COMPUTED_VALUE"""),1)</f>
        <v>1</v>
      </c>
      <c r="E1612" s="5">
        <f ca="1">IFERROR(__xludf.DUMMYFUNCTION("""COMPUTED_VALUE"""),0)</f>
        <v>0</v>
      </c>
      <c r="F1612" s="5">
        <f ca="1">IFERROR(__xludf.DUMMYFUNCTION("""COMPUTED_VALUE"""),1)</f>
        <v>1</v>
      </c>
      <c r="G1612" s="5">
        <f ca="1">IFERROR(__xludf.DUMMYFUNCTION("""COMPUTED_VALUE"""),0)</f>
        <v>0</v>
      </c>
      <c r="H1612" s="9" t="str">
        <f ca="1">IFERROR(__xludf.DUMMYFUNCTION("""COMPUTED_VALUE"""),"http://articles.mcall.com/1993-05-25/news/2916043_1_michael-swann-upper-perkiomen-high-school-jason-michael-smith")</f>
        <v>http://articles.mcall.com/1993-05-25/news/2916043_1_michael-swann-upper-perkiomen-high-school-jason-michael-smith</v>
      </c>
      <c r="I1612" s="5"/>
      <c r="J1612" s="5"/>
      <c r="K1612" s="5">
        <f ca="1">IFERROR(__xludf.DUMMYFUNCTION("""COMPUTED_VALUE"""),2)</f>
        <v>2</v>
      </c>
      <c r="L1612" s="5" t="str">
        <f ca="1">IFERROR(__xludf.DUMMYFUNCTION("""COMPUTED_VALUE"""),"Spring")</f>
        <v>Spring</v>
      </c>
      <c r="M1612" s="5" t="str">
        <f ca="1">IFERROR(__xludf.DUMMYFUNCTION("""COMPUTED_VALUE"""),"Pennsburg")</f>
        <v>Pennsburg</v>
      </c>
      <c r="N1612" s="5" t="str">
        <f ca="1">IFERROR(__xludf.DUMMYFUNCTION("""COMPUTED_VALUE"""),"PA")</f>
        <v>PA</v>
      </c>
      <c r="O1612" s="5" t="str">
        <f ca="1">IFERROR(__xludf.DUMMYFUNCTION("""COMPUTED_VALUE"""),"High")</f>
        <v>High</v>
      </c>
      <c r="P1612" s="5" t="str">
        <f ca="1">IFERROR(__xludf.DUMMYFUNCTION("""COMPUTED_VALUE"""),"Classroom")</f>
        <v>Classroom</v>
      </c>
      <c r="Q1612" s="5" t="str">
        <f ca="1">IFERROR(__xludf.DUMMYFUNCTION("""COMPUTED_VALUE"""),"Inside School Building")</f>
        <v>Inside School Building</v>
      </c>
      <c r="R1612" s="5" t="str">
        <f ca="1">IFERROR(__xludf.DUMMYFUNCTION("""COMPUTED_VALUE"""),"Yes")</f>
        <v>Yes</v>
      </c>
      <c r="S1612" s="5"/>
      <c r="T1612" s="5"/>
      <c r="U1612" s="5">
        <f ca="1">IFERROR(__xludf.DUMMYFUNCTION("""COMPUTED_VALUE"""),1)</f>
        <v>1</v>
      </c>
      <c r="V1612" s="5" t="str">
        <f ca="1">IFERROR(__xludf.DUMMYFUNCTION("""COMPUTED_VALUE"""),"Bullying, much larger bully shot in front of class")</f>
        <v>Bullying, much larger bully shot in front of class</v>
      </c>
      <c r="W1612"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X1612" s="5" t="str">
        <f ca="1">IFERROR(__xludf.DUMMYFUNCTION("""COMPUTED_VALUE"""),"Bullying")</f>
        <v>Bullying</v>
      </c>
      <c r="Y1612" s="5" t="str">
        <f ca="1">IFERROR(__xludf.DUMMYFUNCTION("""COMPUTED_VALUE"""),"Victims Targeted")</f>
        <v>Victims Targeted</v>
      </c>
      <c r="Z1612" s="5"/>
      <c r="AA1612" s="5"/>
      <c r="AB1612" s="5" t="str">
        <f ca="1">IFERROR(__xludf.DUMMYFUNCTION("""COMPUTED_VALUE"""),"No")</f>
        <v>No</v>
      </c>
      <c r="AC1612" s="5" t="str">
        <f ca="1">IFERROR(__xludf.DUMMYFUNCTION("""COMPUTED_VALUE"""),"No")</f>
        <v>No</v>
      </c>
      <c r="AD1612" s="5" t="str">
        <f ca="1">IFERROR(__xludf.DUMMYFUNCTION("""COMPUTED_VALUE"""),"No")</f>
        <v>No</v>
      </c>
      <c r="AE1612" s="5" t="str">
        <f ca="1">IFERROR(__xludf.DUMMYFUNCTION("""COMPUTED_VALUE"""),"Yes")</f>
        <v>Yes</v>
      </c>
      <c r="AF1612" s="5" t="str">
        <f ca="1">IFERROR(__xludf.DUMMYFUNCTION("""COMPUTED_VALUE"""),"No")</f>
        <v>No</v>
      </c>
      <c r="AG1612" s="5" t="str">
        <f ca="1">IFERROR(__xludf.DUMMYFUNCTION("""COMPUTED_VALUE"""),"No")</f>
        <v>No</v>
      </c>
      <c r="AH1612" s="5"/>
    </row>
    <row r="1613" spans="1:34" ht="12.75">
      <c r="A1613" s="5" t="str">
        <f ca="1">IFERROR(__xludf.DUMMYFUNCTION("""COMPUTED_VALUE"""),"19930514TXNII")</f>
        <v>19930514TXNII</v>
      </c>
      <c r="B1613" s="8">
        <f ca="1">IFERROR(__xludf.DUMMYFUNCTION("""COMPUTED_VALUE"""),34103)</f>
        <v>34103</v>
      </c>
      <c r="C1613" s="5" t="str">
        <f ca="1">IFERROR(__xludf.DUMMYFUNCTION("""COMPUTED_VALUE"""),"Nimitz High School")</f>
        <v>Nimitz High School</v>
      </c>
      <c r="D1613" s="5">
        <f ca="1">IFERROR(__xludf.DUMMYFUNCTION("""COMPUTED_VALUE"""),1)</f>
        <v>1</v>
      </c>
      <c r="E1613" s="5">
        <f ca="1">IFERROR(__xludf.DUMMYFUNCTION("""COMPUTED_VALUE"""),0)</f>
        <v>0</v>
      </c>
      <c r="F1613" s="5">
        <f ca="1">IFERROR(__xludf.DUMMYFUNCTION("""COMPUTED_VALUE"""),1)</f>
        <v>1</v>
      </c>
      <c r="G1613" s="5">
        <f ca="1">IFERROR(__xludf.DUMMYFUNCTION("""COMPUTED_VALUE"""),0)</f>
        <v>0</v>
      </c>
      <c r="H1613"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I1613" s="5"/>
      <c r="J1613" s="5" t="str">
        <f ca="1">IFERROR(__xludf.DUMMYFUNCTION("""COMPUTED_VALUE"""),"National")</f>
        <v>National</v>
      </c>
      <c r="K1613" s="5">
        <f ca="1">IFERROR(__xludf.DUMMYFUNCTION("""COMPUTED_VALUE"""),4)</f>
        <v>4</v>
      </c>
      <c r="L1613" s="5" t="str">
        <f ca="1">IFERROR(__xludf.DUMMYFUNCTION("""COMPUTED_VALUE"""),"Spring")</f>
        <v>Spring</v>
      </c>
      <c r="M1613" s="5" t="str">
        <f ca="1">IFERROR(__xludf.DUMMYFUNCTION("""COMPUTED_VALUE"""),"Irving")</f>
        <v>Irving</v>
      </c>
      <c r="N1613" s="5" t="str">
        <f ca="1">IFERROR(__xludf.DUMMYFUNCTION("""COMPUTED_VALUE"""),"TX")</f>
        <v>TX</v>
      </c>
      <c r="O1613" s="5" t="str">
        <f ca="1">IFERROR(__xludf.DUMMYFUNCTION("""COMPUTED_VALUE"""),"High")</f>
        <v>High</v>
      </c>
      <c r="P1613" s="5" t="str">
        <f ca="1">IFERROR(__xludf.DUMMYFUNCTION("""COMPUTED_VALUE"""),"Hallway")</f>
        <v>Hallway</v>
      </c>
      <c r="Q1613" s="5" t="str">
        <f ca="1">IFERROR(__xludf.DUMMYFUNCTION("""COMPUTED_VALUE"""),"Inside School Building")</f>
        <v>Inside School Building</v>
      </c>
      <c r="R1613" s="5" t="str">
        <f ca="1">IFERROR(__xludf.DUMMYFUNCTION("""COMPUTED_VALUE"""),"Yes")</f>
        <v>Yes</v>
      </c>
      <c r="S1613" s="5" t="str">
        <f ca="1">IFERROR(__xludf.DUMMYFUNCTION("""COMPUTED_VALUE"""),"Dismissal")</f>
        <v>Dismissal</v>
      </c>
      <c r="T1613" s="10">
        <f ca="1">IFERROR(__xludf.DUMMYFUNCTION("""COMPUTED_VALUE"""),0.625)</f>
        <v>0.625</v>
      </c>
      <c r="U1613" s="5">
        <f ca="1">IFERROR(__xludf.DUMMYFUNCTION("""COMPUTED_VALUE"""),1)</f>
        <v>1</v>
      </c>
      <c r="V1613" s="5" t="str">
        <f ca="1">IFERROR(__xludf.DUMMYFUNCTION("""COMPUTED_VALUE"""),"Dispute over girl in school hallway at dismissal")</f>
        <v>Dispute over girl in school hallway at dismissal</v>
      </c>
      <c r="W1613"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X1613" s="5" t="str">
        <f ca="1">IFERROR(__xludf.DUMMYFUNCTION("""COMPUTED_VALUE"""),"Escalation of Dispute")</f>
        <v>Escalation of Dispute</v>
      </c>
      <c r="Y1613" s="5" t="str">
        <f ca="1">IFERROR(__xludf.DUMMYFUNCTION("""COMPUTED_VALUE"""),"Victims Targeted")</f>
        <v>Victims Targeted</v>
      </c>
      <c r="Z1613" s="5" t="str">
        <f ca="1">IFERROR(__xludf.DUMMYFUNCTION("""COMPUTED_VALUE"""),"No")</f>
        <v>No</v>
      </c>
      <c r="AA1613" s="5"/>
      <c r="AB1613" s="5" t="str">
        <f ca="1">IFERROR(__xludf.DUMMYFUNCTION("""COMPUTED_VALUE"""),"No")</f>
        <v>No</v>
      </c>
      <c r="AC1613" s="5" t="str">
        <f ca="1">IFERROR(__xludf.DUMMYFUNCTION("""COMPUTED_VALUE"""),"No")</f>
        <v>No</v>
      </c>
      <c r="AD1613" s="5" t="str">
        <f ca="1">IFERROR(__xludf.DUMMYFUNCTION("""COMPUTED_VALUE"""),"No")</f>
        <v>No</v>
      </c>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row>
    <row r="1614" spans="1:34" ht="12.75">
      <c r="A1614" s="5" t="str">
        <f ca="1">IFERROR(__xludf.DUMMYFUNCTION("""COMPUTED_VALUE"""),"19930416WAMOT")</f>
        <v>19930416WAMOT</v>
      </c>
      <c r="B1614" s="8">
        <f ca="1">IFERROR(__xludf.DUMMYFUNCTION("""COMPUTED_VALUE"""),34075)</f>
        <v>34075</v>
      </c>
      <c r="C1614" s="5" t="str">
        <f ca="1">IFERROR(__xludf.DUMMYFUNCTION("""COMPUTED_VALUE"""),"Mount Tahoma High School")</f>
        <v>Mount Tahoma High School</v>
      </c>
      <c r="D1614" s="5">
        <f ca="1">IFERROR(__xludf.DUMMYFUNCTION("""COMPUTED_VALUE"""),0)</f>
        <v>0</v>
      </c>
      <c r="E1614" s="5">
        <f ca="1">IFERROR(__xludf.DUMMYFUNCTION("""COMPUTED_VALUE"""),0)</f>
        <v>0</v>
      </c>
      <c r="F1614" s="5">
        <f ca="1">IFERROR(__xludf.DUMMYFUNCTION("""COMPUTED_VALUE"""),0)</f>
        <v>0</v>
      </c>
      <c r="G1614" s="5">
        <f ca="1">IFERROR(__xludf.DUMMYFUNCTION("""COMPUTED_VALUE"""),1)</f>
        <v>1</v>
      </c>
      <c r="H1614" s="9" t="str">
        <f ca="1">IFERROR(__xludf.DUMMYFUNCTION("""COMPUTED_VALUE"""),"https://people.com/archive/roll-call-of-the-dead-vol-39-no-23/")</f>
        <v>https://people.com/archive/roll-call-of-the-dead-vol-39-no-23/</v>
      </c>
      <c r="I1614" s="5"/>
      <c r="J1614" s="5"/>
      <c r="K1614" s="5">
        <f ca="1">IFERROR(__xludf.DUMMYFUNCTION("""COMPUTED_VALUE"""),2)</f>
        <v>2</v>
      </c>
      <c r="L1614" s="5" t="str">
        <f ca="1">IFERROR(__xludf.DUMMYFUNCTION("""COMPUTED_VALUE"""),"Spring")</f>
        <v>Spring</v>
      </c>
      <c r="M1614" s="5" t="str">
        <f ca="1">IFERROR(__xludf.DUMMYFUNCTION("""COMPUTED_VALUE"""),"Tacoma")</f>
        <v>Tacoma</v>
      </c>
      <c r="N1614" s="5" t="str">
        <f ca="1">IFERROR(__xludf.DUMMYFUNCTION("""COMPUTED_VALUE"""),"WA")</f>
        <v>WA</v>
      </c>
      <c r="O1614" s="5" t="str">
        <f ca="1">IFERROR(__xludf.DUMMYFUNCTION("""COMPUTED_VALUE"""),"High")</f>
        <v>High</v>
      </c>
      <c r="P1614" s="5" t="str">
        <f ca="1">IFERROR(__xludf.DUMMYFUNCTION("""COMPUTED_VALUE"""),"Beside Building")</f>
        <v>Beside Building</v>
      </c>
      <c r="Q1614" s="5" t="str">
        <f ca="1">IFERROR(__xludf.DUMMYFUNCTION("""COMPUTED_VALUE"""),"Outside on School Property")</f>
        <v>Outside on School Property</v>
      </c>
      <c r="R1614" s="5"/>
      <c r="S1614" s="5"/>
      <c r="T1614" s="5"/>
      <c r="U1614" s="5"/>
      <c r="V1614" s="5" t="str">
        <f ca="1">IFERROR(__xludf.DUMMYFUNCTION("""COMPUTED_VALUE"""),"Suicide outside of school")</f>
        <v>Suicide outside of school</v>
      </c>
      <c r="W1614" s="5" t="str">
        <f ca="1">IFERROR(__xludf.DUMMYFUNCTION("""COMPUTED_VALUE"""),"33YOF commit suicide outside of high school. Father reported she had been depressed.")</f>
        <v>33YOF commit suicide outside of high school. Father reported she had been depressed.</v>
      </c>
      <c r="X1614" s="5" t="str">
        <f ca="1">IFERROR(__xludf.DUMMYFUNCTION("""COMPUTED_VALUE"""),"Suicide/Attempted")</f>
        <v>Suicide/Attempted</v>
      </c>
      <c r="Y1614" s="5" t="str">
        <f ca="1">IFERROR(__xludf.DUMMYFUNCTION("""COMPUTED_VALUE"""),"Victims Targeted")</f>
        <v>Victims Targeted</v>
      </c>
      <c r="Z1614" s="5" t="str">
        <f ca="1">IFERROR(__xludf.DUMMYFUNCTION("""COMPUTED_VALUE"""),"No")</f>
        <v>No</v>
      </c>
      <c r="AA1614" s="5"/>
      <c r="AB1614" s="5" t="str">
        <f ca="1">IFERROR(__xludf.DUMMYFUNCTION("""COMPUTED_VALUE"""),"No")</f>
        <v>No</v>
      </c>
      <c r="AC1614" s="5" t="str">
        <f ca="1">IFERROR(__xludf.DUMMYFUNCTION("""COMPUTED_VALUE"""),"No")</f>
        <v>No</v>
      </c>
      <c r="AD1614" s="5" t="str">
        <f ca="1">IFERROR(__xludf.DUMMYFUNCTION("""COMPUTED_VALUE"""),"No")</f>
        <v>No</v>
      </c>
      <c r="AE1614" s="5" t="str">
        <f ca="1">IFERROR(__xludf.DUMMYFUNCTION("""COMPUTED_VALUE"""),"No")</f>
        <v>No</v>
      </c>
      <c r="AF1614" s="5" t="str">
        <f ca="1">IFERROR(__xludf.DUMMYFUNCTION("""COMPUTED_VALUE"""),"No")</f>
        <v>No</v>
      </c>
      <c r="AG1614" s="5" t="str">
        <f ca="1">IFERROR(__xludf.DUMMYFUNCTION("""COMPUTED_VALUE"""),"No")</f>
        <v>No</v>
      </c>
      <c r="AH1614" s="5"/>
    </row>
    <row r="1615" spans="1:34" ht="12.75">
      <c r="A1615" s="5" t="str">
        <f ca="1">IFERROR(__xludf.DUMMYFUNCTION("""COMPUTED_VALUE"""),"19930416CAGRS")</f>
        <v>19930416CAGRS</v>
      </c>
      <c r="B1615" s="8">
        <f ca="1">IFERROR(__xludf.DUMMYFUNCTION("""COMPUTED_VALUE"""),34075)</f>
        <v>34075</v>
      </c>
      <c r="C1615" s="5" t="str">
        <f ca="1">IFERROR(__xludf.DUMMYFUNCTION("""COMPUTED_VALUE"""),"Grant High School")</f>
        <v>Grant High School</v>
      </c>
      <c r="D1615" s="5">
        <f ca="1">IFERROR(__xludf.DUMMYFUNCTION("""COMPUTED_VALUE"""),1)</f>
        <v>1</v>
      </c>
      <c r="E1615" s="5">
        <f ca="1">IFERROR(__xludf.DUMMYFUNCTION("""COMPUTED_VALUE"""),0)</f>
        <v>0</v>
      </c>
      <c r="F1615" s="5">
        <f ca="1">IFERROR(__xludf.DUMMYFUNCTION("""COMPUTED_VALUE"""),1)</f>
        <v>1</v>
      </c>
      <c r="G1615" s="5">
        <f ca="1">IFERROR(__xludf.DUMMYFUNCTION("""COMPUTED_VALUE"""),0)</f>
        <v>0</v>
      </c>
      <c r="H1615"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I1615" s="5"/>
      <c r="J1615" s="5"/>
      <c r="K1615" s="5">
        <f ca="1">IFERROR(__xludf.DUMMYFUNCTION("""COMPUTED_VALUE"""),3)</f>
        <v>3</v>
      </c>
      <c r="L1615" s="5" t="str">
        <f ca="1">IFERROR(__xludf.DUMMYFUNCTION("""COMPUTED_VALUE"""),"Spring")</f>
        <v>Spring</v>
      </c>
      <c r="M1615" s="5" t="str">
        <f ca="1">IFERROR(__xludf.DUMMYFUNCTION("""COMPUTED_VALUE"""),"Sacramento")</f>
        <v>Sacramento</v>
      </c>
      <c r="N1615" s="5" t="str">
        <f ca="1">IFERROR(__xludf.DUMMYFUNCTION("""COMPUTED_VALUE"""),"CA")</f>
        <v>CA</v>
      </c>
      <c r="O1615" s="5" t="str">
        <f ca="1">IFERROR(__xludf.DUMMYFUNCTION("""COMPUTED_VALUE"""),"High")</f>
        <v>High</v>
      </c>
      <c r="P1615" s="5" t="str">
        <f ca="1">IFERROR(__xludf.DUMMYFUNCTION("""COMPUTED_VALUE"""),"Field (General)")</f>
        <v>Field (General)</v>
      </c>
      <c r="Q1615" s="5" t="str">
        <f ca="1">IFERROR(__xludf.DUMMYFUNCTION("""COMPUTED_VALUE"""),"Outside on School Property")</f>
        <v>Outside on School Property</v>
      </c>
      <c r="R1615" s="5" t="str">
        <f ca="1">IFERROR(__xludf.DUMMYFUNCTION("""COMPUTED_VALUE"""),"No")</f>
        <v>No</v>
      </c>
      <c r="S1615" s="5" t="str">
        <f ca="1">IFERROR(__xludf.DUMMYFUNCTION("""COMPUTED_VALUE"""),"Evening")</f>
        <v>Evening</v>
      </c>
      <c r="T1615" s="10">
        <f ca="1">IFERROR(__xludf.DUMMYFUNCTION("""COMPUTED_VALUE"""),0.725694444444444)</f>
        <v>0.72569444444444398</v>
      </c>
      <c r="U1615" s="5">
        <f ca="1">IFERROR(__xludf.DUMMYFUNCTION("""COMPUTED_VALUE"""),1)</f>
        <v>1</v>
      </c>
      <c r="V1615" s="5" t="str">
        <f ca="1">IFERROR(__xludf.DUMMYFUNCTION("""COMPUTED_VALUE"""),"Baseball coach struck by handgun fired 820 feet away")</f>
        <v>Baseball coach struck by handgun fired 820 feet away</v>
      </c>
      <c r="W1615" s="5" t="str">
        <f ca="1">IFERROR(__xludf.DUMMYFUNCTION("""COMPUTED_VALUE"""),"Little league coach on baseball field struck by handgun round fired 820 away. Unknown if he was targeted.")</f>
        <v>Little league coach on baseball field struck by handgun round fired 820 away. Unknown if he was targeted.</v>
      </c>
      <c r="X1615" s="5" t="str">
        <f ca="1">IFERROR(__xludf.DUMMYFUNCTION("""COMPUTED_VALUE"""),"Accidental")</f>
        <v>Accidental</v>
      </c>
      <c r="Y1615" s="5"/>
      <c r="Z1615" s="5" t="str">
        <f ca="1">IFERROR(__xludf.DUMMYFUNCTION("""COMPUTED_VALUE"""),"No")</f>
        <v>No</v>
      </c>
      <c r="AA1615" s="5"/>
      <c r="AB1615" s="5" t="str">
        <f ca="1">IFERROR(__xludf.DUMMYFUNCTION("""COMPUTED_VALUE"""),"No")</f>
        <v>No</v>
      </c>
      <c r="AC1615" s="5" t="str">
        <f ca="1">IFERROR(__xludf.DUMMYFUNCTION("""COMPUTED_VALUE"""),"No")</f>
        <v>No</v>
      </c>
      <c r="AD1615" s="5" t="str">
        <f ca="1">IFERROR(__xludf.DUMMYFUNCTION("""COMPUTED_VALUE"""),"No")</f>
        <v>No</v>
      </c>
      <c r="AE1615" s="5" t="str">
        <f ca="1">IFERROR(__xludf.DUMMYFUNCTION("""COMPUTED_VALUE"""),"No")</f>
        <v>No</v>
      </c>
      <c r="AF1615" s="5" t="str">
        <f ca="1">IFERROR(__xludf.DUMMYFUNCTION("""COMPUTED_VALUE"""),"No")</f>
        <v>No</v>
      </c>
      <c r="AG1615" s="5"/>
      <c r="AH1615" s="5"/>
    </row>
    <row r="1616" spans="1:34" ht="12.75">
      <c r="A1616" s="5" t="str">
        <f ca="1">IFERROR(__xludf.DUMMYFUNCTION("""COMPUTED_VALUE"""),"19930415MAFOA")</f>
        <v>19930415MAFOA</v>
      </c>
      <c r="B1616" s="8">
        <f ca="1">IFERROR(__xludf.DUMMYFUNCTION("""COMPUTED_VALUE"""),34074)</f>
        <v>34074</v>
      </c>
      <c r="C1616" s="5" t="str">
        <f ca="1">IFERROR(__xludf.DUMMYFUNCTION("""COMPUTED_VALUE"""),"Ford Middle School")</f>
        <v>Ford Middle School</v>
      </c>
      <c r="D1616" s="5">
        <f ca="1">IFERROR(__xludf.DUMMYFUNCTION("""COMPUTED_VALUE"""),1)</f>
        <v>1</v>
      </c>
      <c r="E1616" s="5">
        <f ca="1">IFERROR(__xludf.DUMMYFUNCTION("""COMPUTED_VALUE"""),0)</f>
        <v>0</v>
      </c>
      <c r="F1616" s="5">
        <f ca="1">IFERROR(__xludf.DUMMYFUNCTION("""COMPUTED_VALUE"""),1)</f>
        <v>1</v>
      </c>
      <c r="G1616" s="5">
        <f ca="1">IFERROR(__xludf.DUMMYFUNCTION("""COMPUTED_VALUE"""),0)</f>
        <v>0</v>
      </c>
      <c r="H1616" s="9" t="str">
        <f ca="1">IFERROR(__xludf.DUMMYFUNCTION("""COMPUTED_VALUE"""),"http://www.southcoasttoday.com/article/20150617/NEWS/150619469")</f>
        <v>http://www.southcoasttoday.com/article/20150617/NEWS/150619469</v>
      </c>
      <c r="I1616" s="5"/>
      <c r="J1616" s="5"/>
      <c r="K1616" s="5">
        <f ca="1">IFERROR(__xludf.DUMMYFUNCTION("""COMPUTED_VALUE"""),4)</f>
        <v>4</v>
      </c>
      <c r="L1616" s="5" t="str">
        <f ca="1">IFERROR(__xludf.DUMMYFUNCTION("""COMPUTED_VALUE"""),"Spring")</f>
        <v>Spring</v>
      </c>
      <c r="M1616" s="5" t="str">
        <f ca="1">IFERROR(__xludf.DUMMYFUNCTION("""COMPUTED_VALUE"""),"Acushnet")</f>
        <v>Acushnet</v>
      </c>
      <c r="N1616" s="5" t="str">
        <f ca="1">IFERROR(__xludf.DUMMYFUNCTION("""COMPUTED_VALUE"""),"MA")</f>
        <v>MA</v>
      </c>
      <c r="O1616" s="5" t="str">
        <f ca="1">IFERROR(__xludf.DUMMYFUNCTION("""COMPUTED_VALUE"""),"Middle")</f>
        <v>Middle</v>
      </c>
      <c r="P1616" s="5" t="str">
        <f ca="1">IFERROR(__xludf.DUMMYFUNCTION("""COMPUTED_VALUE"""),"Office")</f>
        <v>Office</v>
      </c>
      <c r="Q1616" s="5" t="str">
        <f ca="1">IFERROR(__xludf.DUMMYFUNCTION("""COMPUTED_VALUE"""),"Inside School Building")</f>
        <v>Inside School Building</v>
      </c>
      <c r="R1616" s="5" t="str">
        <f ca="1">IFERROR(__xludf.DUMMYFUNCTION("""COMPUTED_VALUE"""),"Yes")</f>
        <v>Yes</v>
      </c>
      <c r="S1616" s="5" t="str">
        <f ca="1">IFERROR(__xludf.DUMMYFUNCTION("""COMPUTED_VALUE"""),"Unknown")</f>
        <v>Unknown</v>
      </c>
      <c r="T1616" s="5"/>
      <c r="U1616" s="5"/>
      <c r="V1616" s="5" t="str">
        <f ca="1">IFERROR(__xludf.DUMMYFUNCTION("""COMPUTED_VALUE"""),"Burned down house, shot secretary, attempted to take principal hostage - tackled by school staff")</f>
        <v>Burned down house, shot secretary, attempted to take principal hostage - tackled by school staff</v>
      </c>
      <c r="W1616"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X1616" s="5" t="str">
        <f ca="1">IFERROR(__xludf.DUMMYFUNCTION("""COMPUTED_VALUE"""),"Psychosis")</f>
        <v>Psychosis</v>
      </c>
      <c r="Y1616" s="5" t="str">
        <f ca="1">IFERROR(__xludf.DUMMYFUNCTION("""COMPUTED_VALUE"""),"Random Shooting")</f>
        <v>Random Shooting</v>
      </c>
      <c r="Z1616" s="5" t="str">
        <f ca="1">IFERROR(__xludf.DUMMYFUNCTION("""COMPUTED_VALUE"""),"No")</f>
        <v>No</v>
      </c>
      <c r="AA1616" s="5"/>
      <c r="AB1616" s="5" t="str">
        <f ca="1">IFERROR(__xludf.DUMMYFUNCTION("""COMPUTED_VALUE"""),"No")</f>
        <v>No</v>
      </c>
      <c r="AC1616" s="5" t="str">
        <f ca="1">IFERROR(__xludf.DUMMYFUNCTION("""COMPUTED_VALUE"""),"No")</f>
        <v>No</v>
      </c>
      <c r="AD1616" s="5" t="str">
        <f ca="1">IFERROR(__xludf.DUMMYFUNCTION("""COMPUTED_VALUE"""),"No")</f>
        <v>No</v>
      </c>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IFERROR(__xludf.DUMMYFUNCTION("""COMPUTED_VALUE"""),"Yes")</f>
        <v>Yes</v>
      </c>
    </row>
    <row r="1617" spans="1:34" ht="12.75">
      <c r="A1617" s="5" t="str">
        <f ca="1">IFERROR(__xludf.DUMMYFUNCTION("""COMPUTED_VALUE"""),"19930403CAGRS")</f>
        <v>19930403CAGRS</v>
      </c>
      <c r="B1617" s="8">
        <f ca="1">IFERROR(__xludf.DUMMYFUNCTION("""COMPUTED_VALUE"""),34062)</f>
        <v>34062</v>
      </c>
      <c r="C1617" s="5" t="str">
        <f ca="1">IFERROR(__xludf.DUMMYFUNCTION("""COMPUTED_VALUE"""),"Grant High School")</f>
        <v>Grant High School</v>
      </c>
      <c r="D1617" s="5">
        <f ca="1">IFERROR(__xludf.DUMMYFUNCTION("""COMPUTED_VALUE"""),1)</f>
        <v>1</v>
      </c>
      <c r="E1617" s="5">
        <f ca="1">IFERROR(__xludf.DUMMYFUNCTION("""COMPUTED_VALUE"""),1)</f>
        <v>1</v>
      </c>
      <c r="F1617" s="5">
        <f ca="1">IFERROR(__xludf.DUMMYFUNCTION("""COMPUTED_VALUE"""),2)</f>
        <v>2</v>
      </c>
      <c r="G1617" s="5">
        <f ca="1">IFERROR(__xludf.DUMMYFUNCTION("""COMPUTED_VALUE"""),0)</f>
        <v>0</v>
      </c>
      <c r="H1617" s="9" t="str">
        <f ca="1">IFERROR(__xludf.DUMMYFUNCTION("""COMPUTED_VALUE"""),"https://www.newspapers.com/image/384227902/?terms=Vodrick%2BJohnson")</f>
        <v>https://www.newspapers.com/image/384227902/?terms=Vodrick%2BJohnson</v>
      </c>
      <c r="I1617" s="5"/>
      <c r="J1617" s="5"/>
      <c r="K1617" s="5">
        <f ca="1">IFERROR(__xludf.DUMMYFUNCTION("""COMPUTED_VALUE"""),2)</f>
        <v>2</v>
      </c>
      <c r="L1617" s="5" t="str">
        <f ca="1">IFERROR(__xludf.DUMMYFUNCTION("""COMPUTED_VALUE"""),"Spring")</f>
        <v>Spring</v>
      </c>
      <c r="M1617" s="5" t="str">
        <f ca="1">IFERROR(__xludf.DUMMYFUNCTION("""COMPUTED_VALUE"""),"Sacramento")</f>
        <v>Sacramento</v>
      </c>
      <c r="N1617" s="5" t="str">
        <f ca="1">IFERROR(__xludf.DUMMYFUNCTION("""COMPUTED_VALUE"""),"CA")</f>
        <v>CA</v>
      </c>
      <c r="O1617" s="5" t="str">
        <f ca="1">IFERROR(__xludf.DUMMYFUNCTION("""COMPUTED_VALUE"""),"High")</f>
        <v>High</v>
      </c>
      <c r="P1617" s="5" t="str">
        <f ca="1">IFERROR(__xludf.DUMMYFUNCTION("""COMPUTED_VALUE"""),"Field (General)")</f>
        <v>Field (General)</v>
      </c>
      <c r="Q1617" s="5" t="str">
        <f ca="1">IFERROR(__xludf.DUMMYFUNCTION("""COMPUTED_VALUE"""),"Outside on School Property")</f>
        <v>Outside on School Property</v>
      </c>
      <c r="R1617" s="5" t="str">
        <f ca="1">IFERROR(__xludf.DUMMYFUNCTION("""COMPUTED_VALUE"""),"No")</f>
        <v>No</v>
      </c>
      <c r="S1617" s="5" t="str">
        <f ca="1">IFERROR(__xludf.DUMMYFUNCTION("""COMPUTED_VALUE"""),"Not a School Day")</f>
        <v>Not a School Day</v>
      </c>
      <c r="T1617" s="5"/>
      <c r="U1617" s="5">
        <f ca="1">IFERROR(__xludf.DUMMYFUNCTION("""COMPUTED_VALUE"""),1)</f>
        <v>1</v>
      </c>
      <c r="V1617" s="5" t="str">
        <f ca="1">IFERROR(__xludf.DUMMYFUNCTION("""COMPUTED_VALUE"""),"Two students shot walking around school field")</f>
        <v>Two students shot walking around school field</v>
      </c>
      <c r="W1617" s="5" t="str">
        <f ca="1">IFERROR(__xludf.DUMMYFUNCTION("""COMPUTED_VALUE"""),"Unknown shooter with shotgun fired at two students walking around the school baseball field.")</f>
        <v>Unknown shooter with shotgun fired at two students walking around the school baseball field.</v>
      </c>
      <c r="X1617" s="5" t="str">
        <f ca="1">IFERROR(__xludf.DUMMYFUNCTION("""COMPUTED_VALUE"""),"Unknown")</f>
        <v>Unknown</v>
      </c>
      <c r="Y1617" s="5"/>
      <c r="Z1617" s="5" t="str">
        <f ca="1">IFERROR(__xludf.DUMMYFUNCTION("""COMPUTED_VALUE"""),"No")</f>
        <v>No</v>
      </c>
      <c r="AA1617" s="5"/>
      <c r="AB1617" s="5" t="str">
        <f ca="1">IFERROR(__xludf.DUMMYFUNCTION("""COMPUTED_VALUE"""),"No")</f>
        <v>No</v>
      </c>
      <c r="AC1617" s="5" t="str">
        <f ca="1">IFERROR(__xludf.DUMMYFUNCTION("""COMPUTED_VALUE"""),"No")</f>
        <v>No</v>
      </c>
      <c r="AD1617" s="5" t="str">
        <f ca="1">IFERROR(__xludf.DUMMYFUNCTION("""COMPUTED_VALUE"""),"No")</f>
        <v>No</v>
      </c>
      <c r="AE1617" s="5" t="str">
        <f ca="1">IFERROR(__xludf.DUMMYFUNCTION("""COMPUTED_VALUE"""),"No")</f>
        <v>No</v>
      </c>
      <c r="AF1617" s="5" t="str">
        <f ca="1">IFERROR(__xludf.DUMMYFUNCTION("""COMPUTED_VALUE"""),"No")</f>
        <v>No</v>
      </c>
      <c r="AG1617" s="5"/>
      <c r="AH1617" s="5"/>
    </row>
    <row r="1618" spans="1:34" ht="12.75">
      <c r="A1618" s="5" t="str">
        <f ca="1">IFERROR(__xludf.DUMMYFUNCTION("""COMPUTED_VALUE"""),"19930325MOSUS")</f>
        <v>19930325MOSUS</v>
      </c>
      <c r="B1618" s="8">
        <f ca="1">IFERROR(__xludf.DUMMYFUNCTION("""COMPUTED_VALUE"""),34053)</f>
        <v>34053</v>
      </c>
      <c r="C1618" s="5" t="str">
        <f ca="1">IFERROR(__xludf.DUMMYFUNCTION("""COMPUTED_VALUE"""),"Sumner High School")</f>
        <v>Sumner High School</v>
      </c>
      <c r="D1618" s="5">
        <f ca="1">IFERROR(__xludf.DUMMYFUNCTION("""COMPUTED_VALUE"""),1)</f>
        <v>1</v>
      </c>
      <c r="E1618" s="5">
        <f ca="1">IFERROR(__xludf.DUMMYFUNCTION("""COMPUTED_VALUE"""),0)</f>
        <v>0</v>
      </c>
      <c r="F1618" s="5">
        <f ca="1">IFERROR(__xludf.DUMMYFUNCTION("""COMPUTED_VALUE"""),1)</f>
        <v>1</v>
      </c>
      <c r="G1618" s="5">
        <f ca="1">IFERROR(__xludf.DUMMYFUNCTION("""COMPUTED_VALUE"""),0)</f>
        <v>0</v>
      </c>
      <c r="H1618" s="9" t="str">
        <f ca="1">IFERROR(__xludf.DUMMYFUNCTION("""COMPUTED_VALUE"""),"https://www.newspapers.com/image/141626514/?terms=Sumner%2BHigh%2BSchool")</f>
        <v>https://www.newspapers.com/image/141626514/?terms=Sumner%2BHigh%2BSchool</v>
      </c>
      <c r="I1618" s="5"/>
      <c r="J1618" s="5"/>
      <c r="K1618" s="5">
        <f ca="1">IFERROR(__xludf.DUMMYFUNCTION("""COMPUTED_VALUE"""),2)</f>
        <v>2</v>
      </c>
      <c r="L1618" s="5" t="str">
        <f ca="1">IFERROR(__xludf.DUMMYFUNCTION("""COMPUTED_VALUE"""),"Spring")</f>
        <v>Spring</v>
      </c>
      <c r="M1618" s="5" t="str">
        <f ca="1">IFERROR(__xludf.DUMMYFUNCTION("""COMPUTED_VALUE"""),"St. Louis")</f>
        <v>St. Louis</v>
      </c>
      <c r="N1618" s="5" t="str">
        <f ca="1">IFERROR(__xludf.DUMMYFUNCTION("""COMPUTED_VALUE"""),"MO")</f>
        <v>MO</v>
      </c>
      <c r="O1618" s="5" t="str">
        <f ca="1">IFERROR(__xludf.DUMMYFUNCTION("""COMPUTED_VALUE"""),"High")</f>
        <v>High</v>
      </c>
      <c r="P1618" s="5" t="str">
        <f ca="1">IFERROR(__xludf.DUMMYFUNCTION("""COMPUTED_VALUE"""),"Hallway")</f>
        <v>Hallway</v>
      </c>
      <c r="Q1618" s="5" t="str">
        <f ca="1">IFERROR(__xludf.DUMMYFUNCTION("""COMPUTED_VALUE"""),"Inside School Building")</f>
        <v>Inside School Building</v>
      </c>
      <c r="R1618" s="5" t="str">
        <f ca="1">IFERROR(__xludf.DUMMYFUNCTION("""COMPUTED_VALUE"""),"Yes")</f>
        <v>Yes</v>
      </c>
      <c r="S1618" s="5" t="str">
        <f ca="1">IFERROR(__xludf.DUMMYFUNCTION("""COMPUTED_VALUE"""),"School Start")</f>
        <v>School Start</v>
      </c>
      <c r="T1618" s="10">
        <f ca="1">IFERROR(__xludf.DUMMYFUNCTION("""COMPUTED_VALUE"""),0.333333333333333)</f>
        <v>0.33333333333333298</v>
      </c>
      <c r="U1618" s="5">
        <f ca="1">IFERROR(__xludf.DUMMYFUNCTION("""COMPUTED_VALUE"""),1)</f>
        <v>1</v>
      </c>
      <c r="V1618" s="5" t="str">
        <f ca="1">IFERROR(__xludf.DUMMYFUNCTION("""COMPUTED_VALUE"""),"Shot ex-boyfriend in back of head in hallway")</f>
        <v>Shot ex-boyfriend in back of head in hallway</v>
      </c>
      <c r="W1618"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X1618" s="5" t="str">
        <f ca="1">IFERROR(__xludf.DUMMYFUNCTION("""COMPUTED_VALUE"""),"Domestic w/ Targeted Victim")</f>
        <v>Domestic w/ Targeted Victim</v>
      </c>
      <c r="Y1618" s="5" t="str">
        <f ca="1">IFERROR(__xludf.DUMMYFUNCTION("""COMPUTED_VALUE"""),"Victims Targeted")</f>
        <v>Victims Targeted</v>
      </c>
      <c r="Z1618" s="5" t="str">
        <f ca="1">IFERROR(__xludf.DUMMYFUNCTION("""COMPUTED_VALUE"""),"No")</f>
        <v>No</v>
      </c>
      <c r="AA1618" s="5"/>
      <c r="AB1618" s="5" t="str">
        <f ca="1">IFERROR(__xludf.DUMMYFUNCTION("""COMPUTED_VALUE"""),"No")</f>
        <v>No</v>
      </c>
      <c r="AC1618" s="5" t="str">
        <f ca="1">IFERROR(__xludf.DUMMYFUNCTION("""COMPUTED_VALUE"""),"No")</f>
        <v>No</v>
      </c>
      <c r="AD1618" s="5" t="str">
        <f ca="1">IFERROR(__xludf.DUMMYFUNCTION("""COMPUTED_VALUE"""),"No")</f>
        <v>No</v>
      </c>
      <c r="AE1618" s="5" t="str">
        <f ca="1">IFERROR(__xludf.DUMMYFUNCTION("""COMPUTED_VALUE"""),"No")</f>
        <v>No</v>
      </c>
      <c r="AF1618" s="5" t="str">
        <f ca="1">IFERROR(__xludf.DUMMYFUNCTION("""COMPUTED_VALUE"""),"Yes")</f>
        <v>Yes</v>
      </c>
      <c r="AG1618" s="5" t="str">
        <f ca="1">IFERROR(__xludf.DUMMYFUNCTION("""COMPUTED_VALUE"""),"No")</f>
        <v>No</v>
      </c>
      <c r="AH1618" s="5"/>
    </row>
    <row r="1619" spans="1:34" ht="12.75">
      <c r="A1619" s="5" t="str">
        <f ca="1">IFERROR(__xludf.DUMMYFUNCTION("""COMPUTED_VALUE"""),"19930318GAHAH")</f>
        <v>19930318GAHAH</v>
      </c>
      <c r="B1619" s="8">
        <f ca="1">IFERROR(__xludf.DUMMYFUNCTION("""COMPUTED_VALUE"""),34046)</f>
        <v>34046</v>
      </c>
      <c r="C1619" s="5" t="str">
        <f ca="1">IFERROR(__xludf.DUMMYFUNCTION("""COMPUTED_VALUE"""),"Harlem High School")</f>
        <v>Harlem High School</v>
      </c>
      <c r="D1619" s="5">
        <f ca="1">IFERROR(__xludf.DUMMYFUNCTION("""COMPUTED_VALUE"""),1)</f>
        <v>1</v>
      </c>
      <c r="E1619" s="5">
        <f ca="1">IFERROR(__xludf.DUMMYFUNCTION("""COMPUTED_VALUE"""),1)</f>
        <v>1</v>
      </c>
      <c r="F1619" s="5">
        <f ca="1">IFERROR(__xludf.DUMMYFUNCTION("""COMPUTED_VALUE"""),2)</f>
        <v>2</v>
      </c>
      <c r="G1619" s="5">
        <f ca="1">IFERROR(__xludf.DUMMYFUNCTION("""COMPUTED_VALUE"""),0)</f>
        <v>0</v>
      </c>
      <c r="H1619"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I1619" s="5"/>
      <c r="J1619" s="5"/>
      <c r="K1619" s="5">
        <f ca="1">IFERROR(__xludf.DUMMYFUNCTION("""COMPUTED_VALUE"""),2)</f>
        <v>2</v>
      </c>
      <c r="L1619" s="5" t="str">
        <f ca="1">IFERROR(__xludf.DUMMYFUNCTION("""COMPUTED_VALUE"""),"Spring")</f>
        <v>Spring</v>
      </c>
      <c r="M1619" s="5" t="str">
        <f ca="1">IFERROR(__xludf.DUMMYFUNCTION("""COMPUTED_VALUE"""),"Harlem")</f>
        <v>Harlem</v>
      </c>
      <c r="N1619" s="5" t="str">
        <f ca="1">IFERROR(__xludf.DUMMYFUNCTION("""COMPUTED_VALUE"""),"GA")</f>
        <v>GA</v>
      </c>
      <c r="O1619" s="5" t="str">
        <f ca="1">IFERROR(__xludf.DUMMYFUNCTION("""COMPUTED_VALUE"""),"High")</f>
        <v>High</v>
      </c>
      <c r="P1619" s="5" t="str">
        <f ca="1">IFERROR(__xludf.DUMMYFUNCTION("""COMPUTED_VALUE"""),"Hallway")</f>
        <v>Hallway</v>
      </c>
      <c r="Q1619" s="5" t="str">
        <f ca="1">IFERROR(__xludf.DUMMYFUNCTION("""COMPUTED_VALUE"""),"Inside School Building")</f>
        <v>Inside School Building</v>
      </c>
      <c r="R1619" s="5" t="str">
        <f ca="1">IFERROR(__xludf.DUMMYFUNCTION("""COMPUTED_VALUE"""),"Yes")</f>
        <v>Yes</v>
      </c>
      <c r="S1619" s="5" t="str">
        <f ca="1">IFERROR(__xludf.DUMMYFUNCTION("""COMPUTED_VALUE"""),"School Start")</f>
        <v>School Start</v>
      </c>
      <c r="T1619" s="10">
        <f ca="1">IFERROR(__xludf.DUMMYFUNCTION("""COMPUTED_VALUE"""),0.34375)</f>
        <v>0.34375</v>
      </c>
      <c r="U1619" s="5">
        <f ca="1">IFERROR(__xludf.DUMMYFUNCTION("""COMPUTED_VALUE"""),1)</f>
        <v>1</v>
      </c>
      <c r="V1619" s="5" t="str">
        <f ca="1">IFERROR(__xludf.DUMMYFUNCTION("""COMPUTED_VALUE"""),"Shot two students who bullied him")</f>
        <v>Shot two students who bullied him</v>
      </c>
      <c r="W1619"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X1619" s="5" t="str">
        <f ca="1">IFERROR(__xludf.DUMMYFUNCTION("""COMPUTED_VALUE"""),"Bullying")</f>
        <v>Bullying</v>
      </c>
      <c r="Y1619" s="5" t="str">
        <f ca="1">IFERROR(__xludf.DUMMYFUNCTION("""COMPUTED_VALUE"""),"Victims Targeted")</f>
        <v>Victims Targeted</v>
      </c>
      <c r="Z1619" s="5" t="str">
        <f ca="1">IFERROR(__xludf.DUMMYFUNCTION("""COMPUTED_VALUE"""),"No")</f>
        <v>No</v>
      </c>
      <c r="AA1619" s="5"/>
      <c r="AB1619" s="5" t="str">
        <f ca="1">IFERROR(__xludf.DUMMYFUNCTION("""COMPUTED_VALUE"""),"No")</f>
        <v>No</v>
      </c>
      <c r="AC1619" s="5" t="str">
        <f ca="1">IFERROR(__xludf.DUMMYFUNCTION("""COMPUTED_VALUE"""),"No")</f>
        <v>No</v>
      </c>
      <c r="AD1619" s="5" t="str">
        <f ca="1">IFERROR(__xludf.DUMMYFUNCTION("""COMPUTED_VALUE"""),"No")</f>
        <v>No</v>
      </c>
      <c r="AE1619" s="5" t="str">
        <f ca="1">IFERROR(__xludf.DUMMYFUNCTION("""COMPUTED_VALUE"""),"Yes")</f>
        <v>Yes</v>
      </c>
      <c r="AF1619" s="5" t="str">
        <f ca="1">IFERROR(__xludf.DUMMYFUNCTION("""COMPUTED_VALUE"""),"No")</f>
        <v>No</v>
      </c>
      <c r="AG1619" s="5" t="str">
        <f ca="1">IFERROR(__xludf.DUMMYFUNCTION("""COMPUTED_VALUE"""),"No")</f>
        <v>No</v>
      </c>
      <c r="AH1619" s="5"/>
    </row>
    <row r="1620" spans="1:34" ht="12.75">
      <c r="A1620" s="5" t="str">
        <f ca="1">IFERROR(__xludf.DUMMYFUNCTION("""COMPUTED_VALUE"""),"19930308VADOD")</f>
        <v>19930308VADOD</v>
      </c>
      <c r="B1620" s="8">
        <f ca="1">IFERROR(__xludf.DUMMYFUNCTION("""COMPUTED_VALUE"""),34036)</f>
        <v>34036</v>
      </c>
      <c r="C1620" s="5" t="str">
        <f ca="1">IFERROR(__xludf.DUMMYFUNCTION("""COMPUTED_VALUE"""),"Dozier Middle School")</f>
        <v>Dozier Middle School</v>
      </c>
      <c r="D1620" s="5">
        <f ca="1">IFERROR(__xludf.DUMMYFUNCTION("""COMPUTED_VALUE"""),1)</f>
        <v>1</v>
      </c>
      <c r="E1620" s="5">
        <f ca="1">IFERROR(__xludf.DUMMYFUNCTION("""COMPUTED_VALUE"""),0)</f>
        <v>0</v>
      </c>
      <c r="F1620" s="5">
        <f ca="1">IFERROR(__xludf.DUMMYFUNCTION("""COMPUTED_VALUE"""),1)</f>
        <v>1</v>
      </c>
      <c r="G1620" s="5">
        <f ca="1">IFERROR(__xludf.DUMMYFUNCTION("""COMPUTED_VALUE"""),0)</f>
        <v>0</v>
      </c>
      <c r="H1620"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I1620" s="5"/>
      <c r="J1620" s="5"/>
      <c r="K1620" s="5">
        <f ca="1">IFERROR(__xludf.DUMMYFUNCTION("""COMPUTED_VALUE"""),4)</f>
        <v>4</v>
      </c>
      <c r="L1620" s="5" t="str">
        <f ca="1">IFERROR(__xludf.DUMMYFUNCTION("""COMPUTED_VALUE"""),"Spring")</f>
        <v>Spring</v>
      </c>
      <c r="M1620" s="5" t="str">
        <f ca="1">IFERROR(__xludf.DUMMYFUNCTION("""COMPUTED_VALUE"""),"Denbigh")</f>
        <v>Denbigh</v>
      </c>
      <c r="N1620" s="5" t="str">
        <f ca="1">IFERROR(__xludf.DUMMYFUNCTION("""COMPUTED_VALUE"""),"VA")</f>
        <v>VA</v>
      </c>
      <c r="O1620" s="5" t="str">
        <f ca="1">IFERROR(__xludf.DUMMYFUNCTION("""COMPUTED_VALUE"""),"Middle")</f>
        <v>Middle</v>
      </c>
      <c r="P1620" s="5" t="str">
        <f ca="1">IFERROR(__xludf.DUMMYFUNCTION("""COMPUTED_VALUE"""),"Parking Lot")</f>
        <v>Parking Lot</v>
      </c>
      <c r="Q1620" s="5" t="str">
        <f ca="1">IFERROR(__xludf.DUMMYFUNCTION("""COMPUTED_VALUE"""),"Outside on School Property")</f>
        <v>Outside on School Property</v>
      </c>
      <c r="R1620" s="5" t="str">
        <f ca="1">IFERROR(__xludf.DUMMYFUNCTION("""COMPUTED_VALUE"""),"Yes")</f>
        <v>Yes</v>
      </c>
      <c r="S1620" s="5" t="str">
        <f ca="1">IFERROR(__xludf.DUMMYFUNCTION("""COMPUTED_VALUE"""),"School Start")</f>
        <v>School Start</v>
      </c>
      <c r="T1620" s="5"/>
      <c r="U1620" s="5"/>
      <c r="V1620" s="5" t="str">
        <f ca="1">IFERROR(__xludf.DUMMYFUNCTION("""COMPUTED_VALUE"""),"Ex-school athlete shot teacher in school parking lot")</f>
        <v>Ex-school athlete shot teacher in school parking lot</v>
      </c>
      <c r="W1620"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X1620" s="5" t="str">
        <f ca="1">IFERROR(__xludf.DUMMYFUNCTION("""COMPUTED_VALUE"""),"Psychosis")</f>
        <v>Psychosis</v>
      </c>
      <c r="Y1620" s="5" t="str">
        <f ca="1">IFERROR(__xludf.DUMMYFUNCTION("""COMPUTED_VALUE"""),"Victims Targeted")</f>
        <v>Victims Targeted</v>
      </c>
      <c r="Z1620" s="5" t="str">
        <f ca="1">IFERROR(__xludf.DUMMYFUNCTION("""COMPUTED_VALUE"""),"No")</f>
        <v>No</v>
      </c>
      <c r="AA1620" s="5"/>
      <c r="AB1620" s="5" t="str">
        <f ca="1">IFERROR(__xludf.DUMMYFUNCTION("""COMPUTED_VALUE"""),"No")</f>
        <v>No</v>
      </c>
      <c r="AC1620" s="5" t="str">
        <f ca="1">IFERROR(__xludf.DUMMYFUNCTION("""COMPUTED_VALUE"""),"No")</f>
        <v>No</v>
      </c>
      <c r="AD1620" s="5" t="str">
        <f ca="1">IFERROR(__xludf.DUMMYFUNCTION("""COMPUTED_VALUE"""),"No")</f>
        <v>No</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row>
    <row r="1621" spans="1:34" ht="12.75">
      <c r="A1621" s="5" t="str">
        <f ca="1">IFERROR(__xludf.DUMMYFUNCTION("""COMPUTED_VALUE"""),"19930226MAGLG")</f>
        <v>19930226MAGLG</v>
      </c>
      <c r="B1621" s="8">
        <f ca="1">IFERROR(__xludf.DUMMYFUNCTION("""COMPUTED_VALUE"""),34026)</f>
        <v>34026</v>
      </c>
      <c r="C1621" s="5" t="str">
        <f ca="1">IFERROR(__xludf.DUMMYFUNCTION("""COMPUTED_VALUE"""),"Gloucester High School")</f>
        <v>Gloucester High School</v>
      </c>
      <c r="D1621" s="5">
        <f ca="1">IFERROR(__xludf.DUMMYFUNCTION("""COMPUTED_VALUE"""),0)</f>
        <v>0</v>
      </c>
      <c r="E1621" s="5">
        <f ca="1">IFERROR(__xludf.DUMMYFUNCTION("""COMPUTED_VALUE"""),0)</f>
        <v>0</v>
      </c>
      <c r="F1621" s="5">
        <f ca="1">IFERROR(__xludf.DUMMYFUNCTION("""COMPUTED_VALUE"""),0)</f>
        <v>0</v>
      </c>
      <c r="G1621" s="5">
        <f ca="1">IFERROR(__xludf.DUMMYFUNCTION("""COMPUTED_VALUE"""),1)</f>
        <v>1</v>
      </c>
      <c r="H1621" s="9" t="str">
        <f ca="1">IFERROR(__xludf.DUMMYFUNCTION("""COMPUTED_VALUE"""),"https://www.highbeam.com/doc/1P2-8216829.html")</f>
        <v>https://www.highbeam.com/doc/1P2-8216829.html</v>
      </c>
      <c r="I1621" s="5"/>
      <c r="J1621" s="5"/>
      <c r="K1621" s="5">
        <f ca="1">IFERROR(__xludf.DUMMYFUNCTION("""COMPUTED_VALUE"""),2)</f>
        <v>2</v>
      </c>
      <c r="L1621" s="5" t="str">
        <f ca="1">IFERROR(__xludf.DUMMYFUNCTION("""COMPUTED_VALUE"""),"Winter")</f>
        <v>Winter</v>
      </c>
      <c r="M1621" s="5" t="str">
        <f ca="1">IFERROR(__xludf.DUMMYFUNCTION("""COMPUTED_VALUE"""),"Gloucester")</f>
        <v>Gloucester</v>
      </c>
      <c r="N1621" s="5" t="str">
        <f ca="1">IFERROR(__xludf.DUMMYFUNCTION("""COMPUTED_VALUE"""),"MA")</f>
        <v>MA</v>
      </c>
      <c r="O1621" s="5" t="str">
        <f ca="1">IFERROR(__xludf.DUMMYFUNCTION("""COMPUTED_VALUE"""),"High")</f>
        <v>High</v>
      </c>
      <c r="P1621" s="5" t="str">
        <f ca="1">IFERROR(__xludf.DUMMYFUNCTION("""COMPUTED_VALUE"""),"Cafeteria")</f>
        <v>Cafeteria</v>
      </c>
      <c r="Q1621" s="5" t="str">
        <f ca="1">IFERROR(__xludf.DUMMYFUNCTION("""COMPUTED_VALUE"""),"Inside School Building")</f>
        <v>Inside School Building</v>
      </c>
      <c r="R1621" s="5" t="str">
        <f ca="1">IFERROR(__xludf.DUMMYFUNCTION("""COMPUTED_VALUE"""),"Yes")</f>
        <v>Yes</v>
      </c>
      <c r="S1621" s="5" t="str">
        <f ca="1">IFERROR(__xludf.DUMMYFUNCTION("""COMPUTED_VALUE"""),"Lunch")</f>
        <v>Lunch</v>
      </c>
      <c r="T1621" s="5"/>
      <c r="U1621" s="5">
        <f ca="1">IFERROR(__xludf.DUMMYFUNCTION("""COMPUTED_VALUE"""),1)</f>
        <v>1</v>
      </c>
      <c r="V1621" s="5" t="str">
        <f ca="1">IFERROR(__xludf.DUMMYFUNCTION("""COMPUTED_VALUE"""),"Suicide in cafeteria")</f>
        <v>Suicide in cafeteria</v>
      </c>
      <c r="W1621" s="5" t="str">
        <f ca="1">IFERROR(__xludf.DUMMYFUNCTION("""COMPUTED_VALUE"""),"15YOM student commit suicide in cafeteria.")</f>
        <v>15YOM student commit suicide in cafeteria.</v>
      </c>
      <c r="X1621" s="5" t="str">
        <f ca="1">IFERROR(__xludf.DUMMYFUNCTION("""COMPUTED_VALUE"""),"Suicide/Attempted")</f>
        <v>Suicide/Attempted</v>
      </c>
      <c r="Y1621" s="5" t="str">
        <f ca="1">IFERROR(__xludf.DUMMYFUNCTION("""COMPUTED_VALUE"""),"Victims Targeted")</f>
        <v>Victims Targeted</v>
      </c>
      <c r="Z1621" s="5" t="str">
        <f ca="1">IFERROR(__xludf.DUMMYFUNCTION("""COMPUTED_VALUE"""),"No")</f>
        <v>No</v>
      </c>
      <c r="AA1621" s="5"/>
      <c r="AB1621" s="5" t="str">
        <f ca="1">IFERROR(__xludf.DUMMYFUNCTION("""COMPUTED_VALUE"""),"No")</f>
        <v>No</v>
      </c>
      <c r="AC1621" s="5" t="str">
        <f ca="1">IFERROR(__xludf.DUMMYFUNCTION("""COMPUTED_VALUE"""),"No")</f>
        <v>No</v>
      </c>
      <c r="AD1621" s="5" t="str">
        <f ca="1">IFERROR(__xludf.DUMMYFUNCTION("""COMPUTED_VALUE"""),"No")</f>
        <v>No</v>
      </c>
      <c r="AE1621" s="5" t="str">
        <f ca="1">IFERROR(__xludf.DUMMYFUNCTION("""COMPUTED_VALUE"""),"No")</f>
        <v>No</v>
      </c>
      <c r="AF1621" s="5" t="str">
        <f ca="1">IFERROR(__xludf.DUMMYFUNCTION("""COMPUTED_VALUE"""),"No")</f>
        <v>No</v>
      </c>
      <c r="AG1621" s="5" t="str">
        <f ca="1">IFERROR(__xludf.DUMMYFUNCTION("""COMPUTED_VALUE"""),"No")</f>
        <v>No</v>
      </c>
      <c r="AH1621" s="5"/>
    </row>
    <row r="1622" spans="1:34" ht="12.75">
      <c r="A1622" s="5" t="str">
        <f ca="1">IFERROR(__xludf.DUMMYFUNCTION("""COMPUTED_VALUE"""),"19930222CAREL")</f>
        <v>19930222CAREL</v>
      </c>
      <c r="B1622" s="8">
        <f ca="1">IFERROR(__xludf.DUMMYFUNCTION("""COMPUTED_VALUE"""),34022)</f>
        <v>34022</v>
      </c>
      <c r="C1622" s="5" t="str">
        <f ca="1">IFERROR(__xludf.DUMMYFUNCTION("""COMPUTED_VALUE"""),"Reseda High School")</f>
        <v>Reseda High School</v>
      </c>
      <c r="D1622" s="5">
        <f ca="1">IFERROR(__xludf.DUMMYFUNCTION("""COMPUTED_VALUE"""),1)</f>
        <v>1</v>
      </c>
      <c r="E1622" s="5">
        <f ca="1">IFERROR(__xludf.DUMMYFUNCTION("""COMPUTED_VALUE"""),0)</f>
        <v>0</v>
      </c>
      <c r="F1622" s="5">
        <f ca="1">IFERROR(__xludf.DUMMYFUNCTION("""COMPUTED_VALUE"""),1)</f>
        <v>1</v>
      </c>
      <c r="G1622" s="5">
        <f ca="1">IFERROR(__xludf.DUMMYFUNCTION("""COMPUTED_VALUE"""),0)</f>
        <v>0</v>
      </c>
      <c r="H1622"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I1622" s="5"/>
      <c r="J1622" s="5" t="str">
        <f ca="1">IFERROR(__xludf.DUMMYFUNCTION("""COMPUTED_VALUE"""),"Regional")</f>
        <v>Regional</v>
      </c>
      <c r="K1622" s="5">
        <f ca="1">IFERROR(__xludf.DUMMYFUNCTION("""COMPUTED_VALUE"""),4)</f>
        <v>4</v>
      </c>
      <c r="L1622" s="5" t="str">
        <f ca="1">IFERROR(__xludf.DUMMYFUNCTION("""COMPUTED_VALUE"""),"Winter")</f>
        <v>Winter</v>
      </c>
      <c r="M1622" s="5" t="str">
        <f ca="1">IFERROR(__xludf.DUMMYFUNCTION("""COMPUTED_VALUE"""),"Los Angeles")</f>
        <v>Los Angeles</v>
      </c>
      <c r="N1622" s="5" t="str">
        <f ca="1">IFERROR(__xludf.DUMMYFUNCTION("""COMPUTED_VALUE"""),"CA")</f>
        <v>CA</v>
      </c>
      <c r="O1622" s="5" t="str">
        <f ca="1">IFERROR(__xludf.DUMMYFUNCTION("""COMPUTED_VALUE"""),"High")</f>
        <v>High</v>
      </c>
      <c r="P1622" s="5" t="str">
        <f ca="1">IFERROR(__xludf.DUMMYFUNCTION("""COMPUTED_VALUE"""),"Hallway")</f>
        <v>Hallway</v>
      </c>
      <c r="Q1622" s="5" t="str">
        <f ca="1">IFERROR(__xludf.DUMMYFUNCTION("""COMPUTED_VALUE"""),"Inside School Building")</f>
        <v>Inside School Building</v>
      </c>
      <c r="R1622" s="5" t="str">
        <f ca="1">IFERROR(__xludf.DUMMYFUNCTION("""COMPUTED_VALUE"""),"Yes")</f>
        <v>Yes</v>
      </c>
      <c r="S1622" s="5" t="str">
        <f ca="1">IFERROR(__xludf.DUMMYFUNCTION("""COMPUTED_VALUE"""),"Morning Classes")</f>
        <v>Morning Classes</v>
      </c>
      <c r="T1622" s="10">
        <f ca="1">IFERROR(__xludf.DUMMYFUNCTION("""COMPUTED_VALUE"""),0.416666666666666)</f>
        <v>0.41666666666666602</v>
      </c>
      <c r="U1622" s="5">
        <f ca="1">IFERROR(__xludf.DUMMYFUNCTION("""COMPUTED_VALUE"""),1)</f>
        <v>1</v>
      </c>
      <c r="V1622" s="5" t="str">
        <f ca="1">IFERROR(__xludf.DUMMYFUNCTION("""COMPUTED_VALUE"""),"Gang related shooting in school hallway")</f>
        <v>Gang related shooting in school hallway</v>
      </c>
      <c r="W1622"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X1622" s="5" t="str">
        <f ca="1">IFERROR(__xludf.DUMMYFUNCTION("""COMPUTED_VALUE"""),"Escalation of Dispute")</f>
        <v>Escalation of Dispute</v>
      </c>
      <c r="Y1622" s="5" t="str">
        <f ca="1">IFERROR(__xludf.DUMMYFUNCTION("""COMPUTED_VALUE"""),"Victims Targeted")</f>
        <v>Victims Targeted</v>
      </c>
      <c r="Z1622" s="5" t="str">
        <f ca="1">IFERROR(__xludf.DUMMYFUNCTION("""COMPUTED_VALUE"""),"No")</f>
        <v>No</v>
      </c>
      <c r="AA1622" s="5"/>
      <c r="AB1622" s="5" t="str">
        <f ca="1">IFERROR(__xludf.DUMMYFUNCTION("""COMPUTED_VALUE"""),"No")</f>
        <v>No</v>
      </c>
      <c r="AC1622" s="5" t="str">
        <f ca="1">IFERROR(__xludf.DUMMYFUNCTION("""COMPUTED_VALUE"""),"No")</f>
        <v>No</v>
      </c>
      <c r="AD1622" s="5" t="str">
        <f ca="1">IFERROR(__xludf.DUMMYFUNCTION("""COMPUTED_VALUE"""),"No")</f>
        <v>No</v>
      </c>
      <c r="AE1622" s="5" t="str">
        <f ca="1">IFERROR(__xludf.DUMMYFUNCTION("""COMPUTED_VALUE"""),"No")</f>
        <v>No</v>
      </c>
      <c r="AF1622" s="5" t="str">
        <f ca="1">IFERROR(__xludf.DUMMYFUNCTION("""COMPUTED_VALUE"""),"No")</f>
        <v>No</v>
      </c>
      <c r="AG1622" s="5" t="str">
        <f ca="1">IFERROR(__xludf.DUMMYFUNCTION("""COMPUTED_VALUE"""),"Yes")</f>
        <v>Yes</v>
      </c>
      <c r="AH1622" s="5" t="str">
        <f ca="1">IFERROR(__xludf.DUMMYFUNCTION("""COMPUTED_VALUE"""),"No")</f>
        <v>No</v>
      </c>
    </row>
    <row r="1623" spans="1:34" ht="12.75">
      <c r="A1623" s="5" t="str">
        <f ca="1">IFERROR(__xludf.DUMMYFUNCTION("""COMPUTED_VALUE"""),"19930208MNMIM")</f>
        <v>19930208MNMIM</v>
      </c>
      <c r="B1623" s="8">
        <f ca="1">IFERROR(__xludf.DUMMYFUNCTION("""COMPUTED_VALUE"""),34008)</f>
        <v>34008</v>
      </c>
      <c r="C1623" s="5" t="str">
        <f ca="1">IFERROR(__xludf.DUMMYFUNCTION("""COMPUTED_VALUE"""),"Middle River Middle School")</f>
        <v>Middle River Middle School</v>
      </c>
      <c r="D1623" s="5">
        <f ca="1">IFERROR(__xludf.DUMMYFUNCTION("""COMPUTED_VALUE"""),0)</f>
        <v>0</v>
      </c>
      <c r="E1623" s="5">
        <f ca="1">IFERROR(__xludf.DUMMYFUNCTION("""COMPUTED_VALUE"""),0)</f>
        <v>0</v>
      </c>
      <c r="F1623" s="5">
        <f ca="1">IFERROR(__xludf.DUMMYFUNCTION("""COMPUTED_VALUE"""),0)</f>
        <v>0</v>
      </c>
      <c r="G1623" s="5">
        <f ca="1">IFERROR(__xludf.DUMMYFUNCTION("""COMPUTED_VALUE"""),1)</f>
        <v>1</v>
      </c>
      <c r="H1623" s="9" t="str">
        <f ca="1">IFERROR(__xludf.DUMMYFUNCTION("""COMPUTED_VALUE"""),"https://mnmarshallus.genweb.io/people/obituaries/melby-eric-john-1979-1993/")</f>
        <v>https://mnmarshallus.genweb.io/people/obituaries/melby-eric-john-1979-1993/</v>
      </c>
      <c r="I1623" s="5"/>
      <c r="J1623" s="5"/>
      <c r="K1623" s="5">
        <f ca="1">IFERROR(__xludf.DUMMYFUNCTION("""COMPUTED_VALUE"""),2)</f>
        <v>2</v>
      </c>
      <c r="L1623" s="5" t="str">
        <f ca="1">IFERROR(__xludf.DUMMYFUNCTION("""COMPUTED_VALUE"""),"Winter")</f>
        <v>Winter</v>
      </c>
      <c r="M1623" s="5" t="str">
        <f ca="1">IFERROR(__xludf.DUMMYFUNCTION("""COMPUTED_VALUE"""),"Middle River")</f>
        <v>Middle River</v>
      </c>
      <c r="N1623" s="5" t="str">
        <f ca="1">IFERROR(__xludf.DUMMYFUNCTION("""COMPUTED_VALUE"""),"MN")</f>
        <v>MN</v>
      </c>
      <c r="O1623" s="5" t="str">
        <f ca="1">IFERROR(__xludf.DUMMYFUNCTION("""COMPUTED_VALUE"""),"Middle")</f>
        <v>Middle</v>
      </c>
      <c r="P1623" s="5" t="str">
        <f ca="1">IFERROR(__xludf.DUMMYFUNCTION("""COMPUTED_VALUE"""),"Classroom")</f>
        <v>Classroom</v>
      </c>
      <c r="Q1623" s="5" t="str">
        <f ca="1">IFERROR(__xludf.DUMMYFUNCTION("""COMPUTED_VALUE"""),"Inside School Building")</f>
        <v>Inside School Building</v>
      </c>
      <c r="R1623" s="5" t="str">
        <f ca="1">IFERROR(__xludf.DUMMYFUNCTION("""COMPUTED_VALUE"""),"Yes")</f>
        <v>Yes</v>
      </c>
      <c r="S1623" s="5"/>
      <c r="T1623" s="5"/>
      <c r="U1623" s="5">
        <f ca="1">IFERROR(__xludf.DUMMYFUNCTION("""COMPUTED_VALUE"""),1)</f>
        <v>1</v>
      </c>
      <c r="V1623" s="5" t="str">
        <f ca="1">IFERROR(__xludf.DUMMYFUNCTION("""COMPUTED_VALUE"""),"Shot self in classroom")</f>
        <v>Shot self in classroom</v>
      </c>
      <c r="W1623" s="5" t="str">
        <f ca="1">IFERROR(__xludf.DUMMYFUNCTION("""COMPUTED_VALUE"""),"14YOM shot self in classroom.")</f>
        <v>14YOM shot self in classroom.</v>
      </c>
      <c r="X1623" s="5" t="str">
        <f ca="1">IFERROR(__xludf.DUMMYFUNCTION("""COMPUTED_VALUE"""),"Suicide/Attempted")</f>
        <v>Suicide/Attempted</v>
      </c>
      <c r="Y1623" s="5" t="str">
        <f ca="1">IFERROR(__xludf.DUMMYFUNCTION("""COMPUTED_VALUE"""),"Victims Targeted")</f>
        <v>Victims Targeted</v>
      </c>
      <c r="Z1623" s="5" t="str">
        <f ca="1">IFERROR(__xludf.DUMMYFUNCTION("""COMPUTED_VALUE"""),"No")</f>
        <v>No</v>
      </c>
      <c r="AA1623" s="5"/>
      <c r="AB1623" s="5" t="str">
        <f ca="1">IFERROR(__xludf.DUMMYFUNCTION("""COMPUTED_VALUE"""),"No")</f>
        <v>No</v>
      </c>
      <c r="AC1623" s="5" t="str">
        <f ca="1">IFERROR(__xludf.DUMMYFUNCTION("""COMPUTED_VALUE"""),"No")</f>
        <v>No</v>
      </c>
      <c r="AD1623" s="5" t="str">
        <f ca="1">IFERROR(__xludf.DUMMYFUNCTION("""COMPUTED_VALUE"""),"No")</f>
        <v>No</v>
      </c>
      <c r="AE1623" s="5"/>
      <c r="AF1623" s="5" t="str">
        <f ca="1">IFERROR(__xludf.DUMMYFUNCTION("""COMPUTED_VALUE"""),"No")</f>
        <v>No</v>
      </c>
      <c r="AG1623" s="5" t="str">
        <f ca="1">IFERROR(__xludf.DUMMYFUNCTION("""COMPUTED_VALUE"""),"No")</f>
        <v>No</v>
      </c>
      <c r="AH1623" s="5"/>
    </row>
    <row r="1624" spans="1:34" ht="12.75">
      <c r="A1624" s="5" t="str">
        <f ca="1">IFERROR(__xludf.DUMMYFUNCTION("""COMPUTED_VALUE"""),"19930208DCWAW")</f>
        <v>19930208DCWAW</v>
      </c>
      <c r="B1624" s="8">
        <f ca="1">IFERROR(__xludf.DUMMYFUNCTION("""COMPUTED_VALUE"""),34008)</f>
        <v>34008</v>
      </c>
      <c r="C1624" s="5" t="str">
        <f ca="1">IFERROR(__xludf.DUMMYFUNCTION("""COMPUTED_VALUE"""),"Washington-Dix Street Academy (High School)")</f>
        <v>Washington-Dix Street Academy (High School)</v>
      </c>
      <c r="D1624" s="5">
        <f ca="1">IFERROR(__xludf.DUMMYFUNCTION("""COMPUTED_VALUE"""),1)</f>
        <v>1</v>
      </c>
      <c r="E1624" s="5">
        <f ca="1">IFERROR(__xludf.DUMMYFUNCTION("""COMPUTED_VALUE"""),0)</f>
        <v>0</v>
      </c>
      <c r="F1624" s="5">
        <f ca="1">IFERROR(__xludf.DUMMYFUNCTION("""COMPUTED_VALUE"""),1)</f>
        <v>1</v>
      </c>
      <c r="G1624" s="5">
        <f ca="1">IFERROR(__xludf.DUMMYFUNCTION("""COMPUTED_VALUE"""),0)</f>
        <v>0</v>
      </c>
      <c r="H1624" s="5" t="str">
        <f ca="1">IFERROR(__xludf.DUMMYFUNCTION("""COMPUTED_VALUE"""),"Washington Post - D.C. Student is Shot Dead at School; https://www.columbine-angels.com/School_Violence_1992-1993.htm")</f>
        <v>Washington Post - D.C. Student is Shot Dead at School; https://www.columbine-angels.com/School_Violence_1992-1993.htm</v>
      </c>
      <c r="I1624" s="5"/>
      <c r="J1624" s="5"/>
      <c r="K1624" s="5">
        <f ca="1">IFERROR(__xludf.DUMMYFUNCTION("""COMPUTED_VALUE"""),1)</f>
        <v>1</v>
      </c>
      <c r="L1624" s="5" t="str">
        <f ca="1">IFERROR(__xludf.DUMMYFUNCTION("""COMPUTED_VALUE"""),"Winter")</f>
        <v>Winter</v>
      </c>
      <c r="M1624" s="5" t="str">
        <f ca="1">IFERROR(__xludf.DUMMYFUNCTION("""COMPUTED_VALUE"""),"Washington")</f>
        <v>Washington</v>
      </c>
      <c r="N1624" s="5" t="str">
        <f ca="1">IFERROR(__xludf.DUMMYFUNCTION("""COMPUTED_VALUE"""),"DC")</f>
        <v>DC</v>
      </c>
      <c r="O1624" s="5" t="str">
        <f ca="1">IFERROR(__xludf.DUMMYFUNCTION("""COMPUTED_VALUE"""),"High")</f>
        <v>High</v>
      </c>
      <c r="P1624" s="5" t="str">
        <f ca="1">IFERROR(__xludf.DUMMYFUNCTION("""COMPUTED_VALUE"""),"Hallway")</f>
        <v>Hallway</v>
      </c>
      <c r="Q1624" s="5" t="str">
        <f ca="1">IFERROR(__xludf.DUMMYFUNCTION("""COMPUTED_VALUE"""),"Inside School Building")</f>
        <v>Inside School Building</v>
      </c>
      <c r="R1624" s="5" t="str">
        <f ca="1">IFERROR(__xludf.DUMMYFUNCTION("""COMPUTED_VALUE"""),"Yes")</f>
        <v>Yes</v>
      </c>
      <c r="S1624" s="5" t="str">
        <f ca="1">IFERROR(__xludf.DUMMYFUNCTION("""COMPUTED_VALUE"""),"Morning Classes")</f>
        <v>Morning Classes</v>
      </c>
      <c r="T1624" s="10">
        <f ca="1">IFERROR(__xludf.DUMMYFUNCTION("""COMPUTED_VALUE"""),0.458333333333333)</f>
        <v>0.45833333333333298</v>
      </c>
      <c r="U1624" s="5">
        <f ca="1">IFERROR(__xludf.DUMMYFUNCTION("""COMPUTED_VALUE"""),1)</f>
        <v>1</v>
      </c>
      <c r="V1624" s="5" t="str">
        <f ca="1">IFERROR(__xludf.DUMMYFUNCTION("""COMPUTED_VALUE"""),"Shot during robbery")</f>
        <v>Shot during robbery</v>
      </c>
      <c r="W1624"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X1624" s="5" t="str">
        <f ca="1">IFERROR(__xludf.DUMMYFUNCTION("""COMPUTED_VALUE"""),"Illegal Activity")</f>
        <v>Illegal Activity</v>
      </c>
      <c r="Y1624" s="5" t="str">
        <f ca="1">IFERROR(__xludf.DUMMYFUNCTION("""COMPUTED_VALUE"""),"Victims Targeted")</f>
        <v>Victims Targeted</v>
      </c>
      <c r="Z1624" s="5" t="str">
        <f ca="1">IFERROR(__xludf.DUMMYFUNCTION("""COMPUTED_VALUE"""),"No")</f>
        <v>No</v>
      </c>
      <c r="AA1624" s="5"/>
      <c r="AB1624" s="5" t="str">
        <f ca="1">IFERROR(__xludf.DUMMYFUNCTION("""COMPUTED_VALUE"""),"No")</f>
        <v>No</v>
      </c>
      <c r="AC1624" s="5" t="str">
        <f ca="1">IFERROR(__xludf.DUMMYFUNCTION("""COMPUTED_VALUE"""),"No")</f>
        <v>No</v>
      </c>
      <c r="AD1624" s="5" t="str">
        <f ca="1">IFERROR(__xludf.DUMMYFUNCTION("""COMPUTED_VALUE"""),"No")</f>
        <v>No</v>
      </c>
      <c r="AE1624" s="5" t="str">
        <f ca="1">IFERROR(__xludf.DUMMYFUNCTION("""COMPUTED_VALUE"""),"No")</f>
        <v>No</v>
      </c>
      <c r="AF1624" s="5" t="str">
        <f ca="1">IFERROR(__xludf.DUMMYFUNCTION("""COMPUTED_VALUE"""),"No")</f>
        <v>No</v>
      </c>
      <c r="AG1624" s="5" t="str">
        <f ca="1">IFERROR(__xludf.DUMMYFUNCTION("""COMPUTED_VALUE"""),"No")</f>
        <v>No</v>
      </c>
      <c r="AH1624" s="5"/>
    </row>
    <row r="1625" spans="1:34" ht="12.75">
      <c r="A1625" s="5" t="str">
        <f ca="1">IFERROR(__xludf.DUMMYFUNCTION("""COMPUTED_VALUE"""),"19930204GACLA")</f>
        <v>19930204GACLA</v>
      </c>
      <c r="B1625" s="8">
        <f ca="1">IFERROR(__xludf.DUMMYFUNCTION("""COMPUTED_VALUE"""),34004)</f>
        <v>34004</v>
      </c>
      <c r="C1625" s="5" t="str">
        <f ca="1">IFERROR(__xludf.DUMMYFUNCTION("""COMPUTED_VALUE"""),"Clayton High School")</f>
        <v>Clayton High School</v>
      </c>
      <c r="D1625" s="5">
        <f ca="1">IFERROR(__xludf.DUMMYFUNCTION("""COMPUTED_VALUE"""),1)</f>
        <v>1</v>
      </c>
      <c r="E1625" s="5">
        <f ca="1">IFERROR(__xludf.DUMMYFUNCTION("""COMPUTED_VALUE"""),0)</f>
        <v>0</v>
      </c>
      <c r="F1625" s="5">
        <f ca="1">IFERROR(__xludf.DUMMYFUNCTION("""COMPUTED_VALUE"""),1)</f>
        <v>1</v>
      </c>
      <c r="G1625" s="5">
        <f ca="1">IFERROR(__xludf.DUMMYFUNCTION("""COMPUTED_VALUE"""),0)</f>
        <v>0</v>
      </c>
      <c r="H1625" s="9" t="str">
        <f ca="1">IFERROR(__xludf.DUMMYFUNCTION("""COMPUTED_VALUE"""),"https://www.newspapers.com/image/402779742/?terms=North%2BClayton%2BHigh%2BSchool%2Bshooting")</f>
        <v>https://www.newspapers.com/image/402779742/?terms=North%2BClayton%2BHigh%2BSchool%2Bshooting</v>
      </c>
      <c r="I1625" s="5"/>
      <c r="J1625" s="5"/>
      <c r="K1625" s="5">
        <f ca="1">IFERROR(__xludf.DUMMYFUNCTION("""COMPUTED_VALUE"""),2)</f>
        <v>2</v>
      </c>
      <c r="L1625" s="5" t="str">
        <f ca="1">IFERROR(__xludf.DUMMYFUNCTION("""COMPUTED_VALUE"""),"Winter")</f>
        <v>Winter</v>
      </c>
      <c r="M1625" s="5" t="str">
        <f ca="1">IFERROR(__xludf.DUMMYFUNCTION("""COMPUTED_VALUE"""),"Atlanta")</f>
        <v>Atlanta</v>
      </c>
      <c r="N1625" s="5" t="str">
        <f ca="1">IFERROR(__xludf.DUMMYFUNCTION("""COMPUTED_VALUE"""),"GA")</f>
        <v>GA</v>
      </c>
      <c r="O1625" s="5" t="str">
        <f ca="1">IFERROR(__xludf.DUMMYFUNCTION("""COMPUTED_VALUE"""),"High")</f>
        <v>High</v>
      </c>
      <c r="P1625" s="5" t="str">
        <f ca="1">IFERROR(__xludf.DUMMYFUNCTION("""COMPUTED_VALUE"""),"Parking Lot")</f>
        <v>Parking Lot</v>
      </c>
      <c r="Q1625" s="5" t="str">
        <f ca="1">IFERROR(__xludf.DUMMYFUNCTION("""COMPUTED_VALUE"""),"Outside on School Property")</f>
        <v>Outside on School Property</v>
      </c>
      <c r="R1625" s="5" t="str">
        <f ca="1">IFERROR(__xludf.DUMMYFUNCTION("""COMPUTED_VALUE"""),"No")</f>
        <v>No</v>
      </c>
      <c r="S1625" s="5" t="str">
        <f ca="1">IFERROR(__xludf.DUMMYFUNCTION("""COMPUTED_VALUE"""),"After School")</f>
        <v>After School</v>
      </c>
      <c r="T1625" s="10">
        <f ca="1">IFERROR(__xludf.DUMMYFUNCTION("""COMPUTED_VALUE"""),0.645833333333333)</f>
        <v>0.64583333333333304</v>
      </c>
      <c r="U1625" s="5">
        <f ca="1">IFERROR(__xludf.DUMMYFUNCTION("""COMPUTED_VALUE"""),1)</f>
        <v>1</v>
      </c>
      <c r="V1625" s="5" t="str">
        <f ca="1">IFERROR(__xludf.DUMMYFUNCTION("""COMPUTED_VALUE"""),"Bad blood between two non-students fighting in parking lot after school")</f>
        <v>Bad blood between two non-students fighting in parking lot after school</v>
      </c>
      <c r="W1625"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X1625" s="5" t="str">
        <f ca="1">IFERROR(__xludf.DUMMYFUNCTION("""COMPUTED_VALUE"""),"Escalation of Dispute")</f>
        <v>Escalation of Dispute</v>
      </c>
      <c r="Y1625" s="5" t="str">
        <f ca="1">IFERROR(__xludf.DUMMYFUNCTION("""COMPUTED_VALUE"""),"Victims Targeted")</f>
        <v>Victims Targeted</v>
      </c>
      <c r="Z1625" s="5"/>
      <c r="AA1625" s="5"/>
      <c r="AB1625" s="5" t="str">
        <f ca="1">IFERROR(__xludf.DUMMYFUNCTION("""COMPUTED_VALUE"""),"No")</f>
        <v>No</v>
      </c>
      <c r="AC1625" s="5" t="str">
        <f ca="1">IFERROR(__xludf.DUMMYFUNCTION("""COMPUTED_VALUE"""),"No")</f>
        <v>No</v>
      </c>
      <c r="AD1625" s="5" t="str">
        <f ca="1">IFERROR(__xludf.DUMMYFUNCTION("""COMPUTED_VALUE"""),"No")</f>
        <v>No</v>
      </c>
      <c r="AE1625" s="5" t="str">
        <f ca="1">IFERROR(__xludf.DUMMYFUNCTION("""COMPUTED_VALUE"""),"No")</f>
        <v>No</v>
      </c>
      <c r="AF1625" s="5" t="str">
        <f ca="1">IFERROR(__xludf.DUMMYFUNCTION("""COMPUTED_VALUE"""),"No")</f>
        <v>No</v>
      </c>
      <c r="AG1625" s="5" t="str">
        <f ca="1">IFERROR(__xludf.DUMMYFUNCTION("""COMPUTED_VALUE"""),"No")</f>
        <v>No</v>
      </c>
      <c r="AH1625" s="5"/>
    </row>
    <row r="1626" spans="1:34" ht="12.75">
      <c r="A1626" s="5" t="str">
        <f ca="1">IFERROR(__xludf.DUMMYFUNCTION("""COMPUTED_VALUE"""),"19930203SCLEL")</f>
        <v>19930203SCLEL</v>
      </c>
      <c r="B1626" s="8">
        <f ca="1">IFERROR(__xludf.DUMMYFUNCTION("""COMPUTED_VALUE"""),34003)</f>
        <v>34003</v>
      </c>
      <c r="C1626" s="5" t="str">
        <f ca="1">IFERROR(__xludf.DUMMYFUNCTION("""COMPUTED_VALUE"""),"Lexington High School")</f>
        <v>Lexington High School</v>
      </c>
      <c r="D1626" s="5">
        <f ca="1">IFERROR(__xludf.DUMMYFUNCTION("""COMPUTED_VALUE"""),0)</f>
        <v>0</v>
      </c>
      <c r="E1626" s="5">
        <f ca="1">IFERROR(__xludf.DUMMYFUNCTION("""COMPUTED_VALUE"""),1)</f>
        <v>1</v>
      </c>
      <c r="F1626" s="5">
        <f ca="1">IFERROR(__xludf.DUMMYFUNCTION("""COMPUTED_VALUE"""),1)</f>
        <v>1</v>
      </c>
      <c r="G1626" s="5">
        <f ca="1">IFERROR(__xludf.DUMMYFUNCTION("""COMPUTED_VALUE"""),0)</f>
        <v>0</v>
      </c>
      <c r="H1626" s="9" t="str">
        <f ca="1">IFERROR(__xludf.DUMMYFUNCTION("""COMPUTED_VALUE"""),"https://www.newspapers.com/image/752371201/?terms=shot%20at%20school&amp;match=1")</f>
        <v>https://www.newspapers.com/image/752371201/?terms=shot%20at%20school&amp;match=1</v>
      </c>
      <c r="I1626" s="5">
        <f ca="1">IFERROR(__xludf.DUMMYFUNCTION("""COMPUTED_VALUE"""),1)</f>
        <v>1</v>
      </c>
      <c r="J1626" s="5" t="str">
        <f ca="1">IFERROR(__xludf.DUMMYFUNCTION("""COMPUTED_VALUE"""),"Regional")</f>
        <v>Regional</v>
      </c>
      <c r="K1626" s="5">
        <f ca="1">IFERROR(__xludf.DUMMYFUNCTION("""COMPUTED_VALUE"""),3)</f>
        <v>3</v>
      </c>
      <c r="L1626" s="5" t="str">
        <f ca="1">IFERROR(__xludf.DUMMYFUNCTION("""COMPUTED_VALUE"""),"Winter")</f>
        <v>Winter</v>
      </c>
      <c r="M1626" s="5" t="str">
        <f ca="1">IFERROR(__xludf.DUMMYFUNCTION("""COMPUTED_VALUE"""),"Lexington")</f>
        <v>Lexington</v>
      </c>
      <c r="N1626" s="5" t="str">
        <f ca="1">IFERROR(__xludf.DUMMYFUNCTION("""COMPUTED_VALUE"""),"SC")</f>
        <v>SC</v>
      </c>
      <c r="O1626" s="5" t="str">
        <f ca="1">IFERROR(__xludf.DUMMYFUNCTION("""COMPUTED_VALUE"""),"High")</f>
        <v>High</v>
      </c>
      <c r="P1626" s="5" t="str">
        <f ca="1">IFERROR(__xludf.DUMMYFUNCTION("""COMPUTED_VALUE"""),"Outside on School Property")</f>
        <v>Outside on School Property</v>
      </c>
      <c r="Q1626" s="5" t="str">
        <f ca="1">IFERROR(__xludf.DUMMYFUNCTION("""COMPUTED_VALUE"""),"Outside on School Property")</f>
        <v>Outside on School Property</v>
      </c>
      <c r="R1626" s="5" t="str">
        <f ca="1">IFERROR(__xludf.DUMMYFUNCTION("""COMPUTED_VALUE"""),"Yes")</f>
        <v>Yes</v>
      </c>
      <c r="S1626" s="5"/>
      <c r="T1626" s="5"/>
      <c r="U1626" s="5">
        <f ca="1">IFERROR(__xludf.DUMMYFUNCTION("""COMPUTED_VALUE"""),1)</f>
        <v>1</v>
      </c>
      <c r="V1626" s="5" t="str">
        <f ca="1">IFERROR(__xludf.DUMMYFUNCTION("""COMPUTED_VALUE"""),"Student shot at high school")</f>
        <v>Student shot at high school</v>
      </c>
      <c r="W1626" s="5" t="str">
        <f ca="1">IFERROR(__xludf.DUMMYFUNCTION("""COMPUTED_VALUE"""),"17-year-old male student was shot by another student at the school. Critically injured. Shooter arrested.")</f>
        <v>17-year-old male student was shot by another student at the school. Critically injured. Shooter arrested.</v>
      </c>
      <c r="X1626" s="5" t="str">
        <f ca="1">IFERROR(__xludf.DUMMYFUNCTION("""COMPUTED_VALUE"""),"Escalation of Dispute")</f>
        <v>Escalation of Dispute</v>
      </c>
      <c r="Y1626" s="5" t="str">
        <f ca="1">IFERROR(__xludf.DUMMYFUNCTION("""COMPUTED_VALUE"""),"Victims Targeted")</f>
        <v>Victims Targeted</v>
      </c>
      <c r="Z1626" s="5" t="str">
        <f ca="1">IFERROR(__xludf.DUMMYFUNCTION("""COMPUTED_VALUE"""),"No")</f>
        <v>No</v>
      </c>
      <c r="AA1626" s="5"/>
      <c r="AB1626" s="5" t="str">
        <f ca="1">IFERROR(__xludf.DUMMYFUNCTION("""COMPUTED_VALUE"""),"No")</f>
        <v>No</v>
      </c>
      <c r="AC1626" s="5" t="str">
        <f ca="1">IFERROR(__xludf.DUMMYFUNCTION("""COMPUTED_VALUE"""),"No")</f>
        <v>No</v>
      </c>
      <c r="AD1626" s="5" t="str">
        <f ca="1">IFERROR(__xludf.DUMMYFUNCTION("""COMPUTED_VALUE"""),"No")</f>
        <v>No</v>
      </c>
      <c r="AE1626" s="5" t="str">
        <f ca="1">IFERROR(__xludf.DUMMYFUNCTION("""COMPUTED_VALUE"""),"No")</f>
        <v>No</v>
      </c>
      <c r="AF1626" s="5" t="str">
        <f ca="1">IFERROR(__xludf.DUMMYFUNCTION("""COMPUTED_VALUE"""),"No")</f>
        <v>No</v>
      </c>
      <c r="AG1626" s="5"/>
      <c r="AH1626" s="5" t="str">
        <f ca="1">IFERROR(__xludf.DUMMYFUNCTION("""COMPUTED_VALUE"""),"No")</f>
        <v>No</v>
      </c>
    </row>
    <row r="1627" spans="1:34" ht="12.75">
      <c r="A1627" s="5" t="str">
        <f ca="1">IFERROR(__xludf.DUMMYFUNCTION("""COMPUTED_VALUE"""),"19930203SCGAC")</f>
        <v>19930203SCGAC</v>
      </c>
      <c r="B1627" s="8">
        <f ca="1">IFERROR(__xludf.DUMMYFUNCTION("""COMPUTED_VALUE"""),34003)</f>
        <v>34003</v>
      </c>
      <c r="C1627" s="5" t="str">
        <f ca="1">IFERROR(__xludf.DUMMYFUNCTION("""COMPUTED_VALUE"""),"Garrett High School")</f>
        <v>Garrett High School</v>
      </c>
      <c r="D1627" s="5">
        <f ca="1">IFERROR(__xludf.DUMMYFUNCTION("""COMPUTED_VALUE"""),0)</f>
        <v>0</v>
      </c>
      <c r="E1627" s="5">
        <f ca="1">IFERROR(__xludf.DUMMYFUNCTION("""COMPUTED_VALUE"""),1)</f>
        <v>1</v>
      </c>
      <c r="F1627" s="5">
        <f ca="1">IFERROR(__xludf.DUMMYFUNCTION("""COMPUTED_VALUE"""),1)</f>
        <v>1</v>
      </c>
      <c r="G1627" s="5">
        <f ca="1">IFERROR(__xludf.DUMMYFUNCTION("""COMPUTED_VALUE"""),0)</f>
        <v>0</v>
      </c>
      <c r="H1627" s="9" t="str">
        <f ca="1">IFERROR(__xludf.DUMMYFUNCTION("""COMPUTED_VALUE"""),"https://www.newspapers.com/image/752371201/?terms=shot%20at%20school&amp;match=1")</f>
        <v>https://www.newspapers.com/image/752371201/?terms=shot%20at%20school&amp;match=1</v>
      </c>
      <c r="I1627" s="5">
        <f ca="1">IFERROR(__xludf.DUMMYFUNCTION("""COMPUTED_VALUE"""),1)</f>
        <v>1</v>
      </c>
      <c r="J1627" s="5" t="str">
        <f ca="1">IFERROR(__xludf.DUMMYFUNCTION("""COMPUTED_VALUE"""),"Local")</f>
        <v>Local</v>
      </c>
      <c r="K1627" s="5">
        <f ca="1">IFERROR(__xludf.DUMMYFUNCTION("""COMPUTED_VALUE"""),3)</f>
        <v>3</v>
      </c>
      <c r="L1627" s="5" t="str">
        <f ca="1">IFERROR(__xludf.DUMMYFUNCTION("""COMPUTED_VALUE"""),"Winter")</f>
        <v>Winter</v>
      </c>
      <c r="M1627" s="5" t="str">
        <f ca="1">IFERROR(__xludf.DUMMYFUNCTION("""COMPUTED_VALUE"""),"Charleston")</f>
        <v>Charleston</v>
      </c>
      <c r="N1627" s="5" t="str">
        <f ca="1">IFERROR(__xludf.DUMMYFUNCTION("""COMPUTED_VALUE"""),"SC")</f>
        <v>SC</v>
      </c>
      <c r="O1627" s="5" t="str">
        <f ca="1">IFERROR(__xludf.DUMMYFUNCTION("""COMPUTED_VALUE"""),"High")</f>
        <v>High</v>
      </c>
      <c r="P1627" s="5" t="str">
        <f ca="1">IFERROR(__xludf.DUMMYFUNCTION("""COMPUTED_VALUE"""),"Front of School")</f>
        <v>Front of School</v>
      </c>
      <c r="Q1627" s="5" t="str">
        <f ca="1">IFERROR(__xludf.DUMMYFUNCTION("""COMPUTED_VALUE"""),"Outside on School Property")</f>
        <v>Outside on School Property</v>
      </c>
      <c r="R1627" s="5" t="str">
        <f ca="1">IFERROR(__xludf.DUMMYFUNCTION("""COMPUTED_VALUE"""),"Yes")</f>
        <v>Yes</v>
      </c>
      <c r="S1627" s="5" t="str">
        <f ca="1">IFERROR(__xludf.DUMMYFUNCTION("""COMPUTED_VALUE"""),"Evening")</f>
        <v>Evening</v>
      </c>
      <c r="T1627" s="10">
        <f ca="1">IFERROR(__xludf.DUMMYFUNCTION("""COMPUTED_VALUE"""),0.833333333333333)</f>
        <v>0.83333333333333304</v>
      </c>
      <c r="U1627" s="5">
        <f ca="1">IFERROR(__xludf.DUMMYFUNCTION("""COMPUTED_VALUE"""),1)</f>
        <v>1</v>
      </c>
      <c r="V1627" s="5" t="str">
        <f ca="1">IFERROR(__xludf.DUMMYFUNCTION("""COMPUTED_VALUE"""),"Student shot outside during break in night classes")</f>
        <v>Student shot outside during break in night classes</v>
      </c>
      <c r="W1627"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X1627" s="5"/>
      <c r="Y1627" s="5" t="str">
        <f ca="1">IFERROR(__xludf.DUMMYFUNCTION("""COMPUTED_VALUE"""),"Victims Targeted")</f>
        <v>Victims Targeted</v>
      </c>
      <c r="Z1627" s="5" t="str">
        <f ca="1">IFERROR(__xludf.DUMMYFUNCTION("""COMPUTED_VALUE"""),"No")</f>
        <v>No</v>
      </c>
      <c r="AA1627" s="5"/>
      <c r="AB1627" s="5" t="str">
        <f ca="1">IFERROR(__xludf.DUMMYFUNCTION("""COMPUTED_VALUE"""),"No")</f>
        <v>No</v>
      </c>
      <c r="AC1627" s="5" t="str">
        <f ca="1">IFERROR(__xludf.DUMMYFUNCTION("""COMPUTED_VALUE"""),"No")</f>
        <v>No</v>
      </c>
      <c r="AD1627" s="5" t="str">
        <f ca="1">IFERROR(__xludf.DUMMYFUNCTION("""COMPUTED_VALUE"""),"No")</f>
        <v>No</v>
      </c>
      <c r="AE1627" s="5" t="str">
        <f ca="1">IFERROR(__xludf.DUMMYFUNCTION("""COMPUTED_VALUE"""),"No")</f>
        <v>No</v>
      </c>
      <c r="AF1627" s="5" t="str">
        <f ca="1">IFERROR(__xludf.DUMMYFUNCTION("""COMPUTED_VALUE"""),"No")</f>
        <v>No</v>
      </c>
      <c r="AG1627" s="5"/>
      <c r="AH1627" s="5" t="str">
        <f ca="1">IFERROR(__xludf.DUMMYFUNCTION("""COMPUTED_VALUE"""),"No")</f>
        <v>No</v>
      </c>
    </row>
    <row r="1628" spans="1:34" ht="12.75">
      <c r="A1628" s="5" t="str">
        <f ca="1">IFERROR(__xludf.DUMMYFUNCTION("""COMPUTED_VALUE"""),"19930201WARER")</f>
        <v>19930201WARER</v>
      </c>
      <c r="B1628" s="8">
        <f ca="1">IFERROR(__xludf.DUMMYFUNCTION("""COMPUTED_VALUE"""),34001)</f>
        <v>34001</v>
      </c>
      <c r="C1628" s="5" t="str">
        <f ca="1">IFERROR(__xludf.DUMMYFUNCTION("""COMPUTED_VALUE"""),"Redmond Junior High School")</f>
        <v>Redmond Junior High School</v>
      </c>
      <c r="D1628" s="5">
        <f ca="1">IFERROR(__xludf.DUMMYFUNCTION("""COMPUTED_VALUE"""),0)</f>
        <v>0</v>
      </c>
      <c r="E1628" s="5">
        <f ca="1">IFERROR(__xludf.DUMMYFUNCTION("""COMPUTED_VALUE"""),0)</f>
        <v>0</v>
      </c>
      <c r="F1628" s="5">
        <f ca="1">IFERROR(__xludf.DUMMYFUNCTION("""COMPUTED_VALUE"""),0)</f>
        <v>0</v>
      </c>
      <c r="G1628" s="5">
        <f ca="1">IFERROR(__xludf.DUMMYFUNCTION("""COMPUTED_VALUE"""),1)</f>
        <v>1</v>
      </c>
      <c r="H1628" s="9" t="str">
        <f ca="1">IFERROR(__xludf.DUMMYFUNCTION("""COMPUTED_VALUE"""),"https://people.com/archive/roll-call-of-the-dead-vol-39-no-23/")</f>
        <v>https://people.com/archive/roll-call-of-the-dead-vol-39-no-23/</v>
      </c>
      <c r="I1628" s="5"/>
      <c r="J1628" s="5"/>
      <c r="K1628" s="5">
        <f ca="1">IFERROR(__xludf.DUMMYFUNCTION("""COMPUTED_VALUE"""),2)</f>
        <v>2</v>
      </c>
      <c r="L1628" s="5" t="str">
        <f ca="1">IFERROR(__xludf.DUMMYFUNCTION("""COMPUTED_VALUE"""),"Winter")</f>
        <v>Winter</v>
      </c>
      <c r="M1628" s="5" t="str">
        <f ca="1">IFERROR(__xludf.DUMMYFUNCTION("""COMPUTED_VALUE"""),"Redmond")</f>
        <v>Redmond</v>
      </c>
      <c r="N1628" s="5" t="str">
        <f ca="1">IFERROR(__xludf.DUMMYFUNCTION("""COMPUTED_VALUE"""),"WA")</f>
        <v>WA</v>
      </c>
      <c r="O1628" s="5" t="str">
        <f ca="1">IFERROR(__xludf.DUMMYFUNCTION("""COMPUTED_VALUE"""),"High")</f>
        <v>High</v>
      </c>
      <c r="P1628" s="5" t="str">
        <f ca="1">IFERROR(__xludf.DUMMYFUNCTION("""COMPUTED_VALUE"""),"Outside on School Property")</f>
        <v>Outside on School Property</v>
      </c>
      <c r="Q1628" s="5" t="str">
        <f ca="1">IFERROR(__xludf.DUMMYFUNCTION("""COMPUTED_VALUE"""),"Outside on School Property")</f>
        <v>Outside on School Property</v>
      </c>
      <c r="R1628" s="5" t="str">
        <f ca="1">IFERROR(__xludf.DUMMYFUNCTION("""COMPUTED_VALUE"""),"No")</f>
        <v>No</v>
      </c>
      <c r="S1628" s="5" t="str">
        <f ca="1">IFERROR(__xludf.DUMMYFUNCTION("""COMPUTED_VALUE"""),"Before School")</f>
        <v>Before School</v>
      </c>
      <c r="T1628" s="10">
        <f ca="1">IFERROR(__xludf.DUMMYFUNCTION("""COMPUTED_VALUE"""),0.270833333333333)</f>
        <v>0.27083333333333298</v>
      </c>
      <c r="U1628" s="5">
        <f ca="1">IFERROR(__xludf.DUMMYFUNCTION("""COMPUTED_VALUE"""),1)</f>
        <v>1</v>
      </c>
      <c r="V1628" s="5" t="str">
        <f ca="1">IFERROR(__xludf.DUMMYFUNCTION("""COMPUTED_VALUE"""),"Suicide on school grounds")</f>
        <v>Suicide on school grounds</v>
      </c>
      <c r="W1628" s="5" t="str">
        <f ca="1">IFERROR(__xludf.DUMMYFUNCTION("""COMPUTED_VALUE"""),"14YOM student found dead outside of school from self inflicted GSW.")</f>
        <v>14YOM student found dead outside of school from self inflicted GSW.</v>
      </c>
      <c r="X1628" s="5" t="str">
        <f ca="1">IFERROR(__xludf.DUMMYFUNCTION("""COMPUTED_VALUE"""),"Suicide/Attempted")</f>
        <v>Suicide/Attempted</v>
      </c>
      <c r="Y1628" s="5" t="str">
        <f ca="1">IFERROR(__xludf.DUMMYFUNCTION("""COMPUTED_VALUE"""),"Victims Targeted")</f>
        <v>Victims Targeted</v>
      </c>
      <c r="Z1628" s="5" t="str">
        <f ca="1">IFERROR(__xludf.DUMMYFUNCTION("""COMPUTED_VALUE"""),"No")</f>
        <v>No</v>
      </c>
      <c r="AA1628" s="5"/>
      <c r="AB1628" s="5" t="str">
        <f ca="1">IFERROR(__xludf.DUMMYFUNCTION("""COMPUTED_VALUE"""),"No")</f>
        <v>No</v>
      </c>
      <c r="AC1628" s="5" t="str">
        <f ca="1">IFERROR(__xludf.DUMMYFUNCTION("""COMPUTED_VALUE"""),"No")</f>
        <v>No</v>
      </c>
      <c r="AD1628" s="5" t="str">
        <f ca="1">IFERROR(__xludf.DUMMYFUNCTION("""COMPUTED_VALUE"""),"No")</f>
        <v>No</v>
      </c>
      <c r="AE1628" s="5"/>
      <c r="AF1628" s="5" t="str">
        <f ca="1">IFERROR(__xludf.DUMMYFUNCTION("""COMPUTED_VALUE"""),"No")</f>
        <v>No</v>
      </c>
      <c r="AG1628" s="5" t="str">
        <f ca="1">IFERROR(__xludf.DUMMYFUNCTION("""COMPUTED_VALUE"""),"No")</f>
        <v>No</v>
      </c>
      <c r="AH1628" s="5"/>
    </row>
    <row r="1629" spans="1:34" ht="12.75">
      <c r="A1629" s="5" t="str">
        <f ca="1">IFERROR(__xludf.DUMMYFUNCTION("""COMPUTED_VALUE"""),"19930201NYAMA")</f>
        <v>19930201NYAMA</v>
      </c>
      <c r="B1629" s="8">
        <f ca="1">IFERROR(__xludf.DUMMYFUNCTION("""COMPUTED_VALUE"""),34001)</f>
        <v>34001</v>
      </c>
      <c r="C1629" s="5" t="str">
        <f ca="1">IFERROR(__xludf.DUMMYFUNCTION("""COMPUTED_VALUE"""),"Amityville High School")</f>
        <v>Amityville High School</v>
      </c>
      <c r="D1629" s="5">
        <f ca="1">IFERROR(__xludf.DUMMYFUNCTION("""COMPUTED_VALUE"""),1)</f>
        <v>1</v>
      </c>
      <c r="E1629" s="5">
        <f ca="1">IFERROR(__xludf.DUMMYFUNCTION("""COMPUTED_VALUE"""),1)</f>
        <v>1</v>
      </c>
      <c r="F1629" s="5">
        <f ca="1">IFERROR(__xludf.DUMMYFUNCTION("""COMPUTED_VALUE"""),2)</f>
        <v>2</v>
      </c>
      <c r="G1629" s="5">
        <f ca="1">IFERROR(__xludf.DUMMYFUNCTION("""COMPUTED_VALUE"""),0)</f>
        <v>0</v>
      </c>
      <c r="H1629"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I1629" s="5"/>
      <c r="J1629" s="5"/>
      <c r="K1629" s="5">
        <f ca="1">IFERROR(__xludf.DUMMYFUNCTION("""COMPUTED_VALUE"""),2)</f>
        <v>2</v>
      </c>
      <c r="L1629" s="5" t="str">
        <f ca="1">IFERROR(__xludf.DUMMYFUNCTION("""COMPUTED_VALUE"""),"Winter")</f>
        <v>Winter</v>
      </c>
      <c r="M1629" s="5" t="str">
        <f ca="1">IFERROR(__xludf.DUMMYFUNCTION("""COMPUTED_VALUE"""),"Amityville")</f>
        <v>Amityville</v>
      </c>
      <c r="N1629" s="5" t="str">
        <f ca="1">IFERROR(__xludf.DUMMYFUNCTION("""COMPUTED_VALUE"""),"NY")</f>
        <v>NY</v>
      </c>
      <c r="O1629" s="5" t="str">
        <f ca="1">IFERROR(__xludf.DUMMYFUNCTION("""COMPUTED_VALUE"""),"High")</f>
        <v>High</v>
      </c>
      <c r="P1629" s="5" t="str">
        <f ca="1">IFERROR(__xludf.DUMMYFUNCTION("""COMPUTED_VALUE"""),"Beside Building")</f>
        <v>Beside Building</v>
      </c>
      <c r="Q1629" s="5" t="str">
        <f ca="1">IFERROR(__xludf.DUMMYFUNCTION("""COMPUTED_VALUE"""),"Outside on School Property")</f>
        <v>Outside on School Property</v>
      </c>
      <c r="R1629" s="5" t="str">
        <f ca="1">IFERROR(__xludf.DUMMYFUNCTION("""COMPUTED_VALUE"""),"Yes")</f>
        <v>Yes</v>
      </c>
      <c r="S1629" s="5" t="str">
        <f ca="1">IFERROR(__xludf.DUMMYFUNCTION("""COMPUTED_VALUE"""),"Afternoon Classes")</f>
        <v>Afternoon Classes</v>
      </c>
      <c r="T1629" s="10">
        <f ca="1">IFERROR(__xludf.DUMMYFUNCTION("""COMPUTED_VALUE"""),0.59375)</f>
        <v>0.59375</v>
      </c>
      <c r="U1629" s="5">
        <f ca="1">IFERROR(__xludf.DUMMYFUNCTION("""COMPUTED_VALUE"""),1)</f>
        <v>1</v>
      </c>
      <c r="V1629" s="5" t="str">
        <f ca="1">IFERROR(__xludf.DUMMYFUNCTION("""COMPUTED_VALUE"""),"Suspect was in ongoing dispute with victims")</f>
        <v>Suspect was in ongoing dispute with victims</v>
      </c>
      <c r="W1629"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X1629" s="5" t="str">
        <f ca="1">IFERROR(__xludf.DUMMYFUNCTION("""COMPUTED_VALUE"""),"Escalation of Dispute")</f>
        <v>Escalation of Dispute</v>
      </c>
      <c r="Y1629" s="5" t="str">
        <f ca="1">IFERROR(__xludf.DUMMYFUNCTION("""COMPUTED_VALUE"""),"Victims Targeted")</f>
        <v>Victims Targeted</v>
      </c>
      <c r="Z1629" s="5" t="str">
        <f ca="1">IFERROR(__xludf.DUMMYFUNCTION("""COMPUTED_VALUE"""),"No")</f>
        <v>No</v>
      </c>
      <c r="AA1629" s="5"/>
      <c r="AB1629" s="5" t="str">
        <f ca="1">IFERROR(__xludf.DUMMYFUNCTION("""COMPUTED_VALUE"""),"No")</f>
        <v>No</v>
      </c>
      <c r="AC1629" s="5" t="str">
        <f ca="1">IFERROR(__xludf.DUMMYFUNCTION("""COMPUTED_VALUE"""),"No")</f>
        <v>No</v>
      </c>
      <c r="AD1629" s="5" t="str">
        <f ca="1">IFERROR(__xludf.DUMMYFUNCTION("""COMPUTED_VALUE"""),"No")</f>
        <v>No</v>
      </c>
      <c r="AE1629" s="5"/>
      <c r="AF1629" s="5" t="str">
        <f ca="1">IFERROR(__xludf.DUMMYFUNCTION("""COMPUTED_VALUE"""),"No")</f>
        <v>No</v>
      </c>
      <c r="AG1629" s="5" t="str">
        <f ca="1">IFERROR(__xludf.DUMMYFUNCTION("""COMPUTED_VALUE"""),"No")</f>
        <v>No</v>
      </c>
      <c r="AH1629" s="5"/>
    </row>
    <row r="1630" spans="1:34" ht="12.75">
      <c r="A1630" s="5" t="str">
        <f ca="1">IFERROR(__xludf.DUMMYFUNCTION("""COMPUTED_VALUE"""),"19930121CAFAL")</f>
        <v>19930121CAFAL</v>
      </c>
      <c r="B1630" s="8">
        <f ca="1">IFERROR(__xludf.DUMMYFUNCTION("""COMPUTED_VALUE"""),33990)</f>
        <v>33990</v>
      </c>
      <c r="C1630" s="5" t="str">
        <f ca="1">IFERROR(__xludf.DUMMYFUNCTION("""COMPUTED_VALUE"""),"Fairfax High School")</f>
        <v>Fairfax High School</v>
      </c>
      <c r="D1630" s="5">
        <f ca="1">IFERROR(__xludf.DUMMYFUNCTION("""COMPUTED_VALUE"""),1)</f>
        <v>1</v>
      </c>
      <c r="E1630" s="5">
        <f ca="1">IFERROR(__xludf.DUMMYFUNCTION("""COMPUTED_VALUE"""),1)</f>
        <v>1</v>
      </c>
      <c r="F1630" s="5">
        <f ca="1">IFERROR(__xludf.DUMMYFUNCTION("""COMPUTED_VALUE"""),2)</f>
        <v>2</v>
      </c>
      <c r="G1630" s="5">
        <f ca="1">IFERROR(__xludf.DUMMYFUNCTION("""COMPUTED_VALUE"""),0)</f>
        <v>0</v>
      </c>
      <c r="H1630" s="9" t="str">
        <f ca="1">IFERROR(__xludf.DUMMYFUNCTION("""COMPUTED_VALUE"""),"http://articles.latimes.com/1993-01-29/local/me-2165_1_student-body")</f>
        <v>http://articles.latimes.com/1993-01-29/local/me-2165_1_student-body</v>
      </c>
      <c r="I1630" s="5"/>
      <c r="J1630" s="5"/>
      <c r="K1630" s="5">
        <f ca="1">IFERROR(__xludf.DUMMYFUNCTION("""COMPUTED_VALUE"""),2)</f>
        <v>2</v>
      </c>
      <c r="L1630" s="5" t="str">
        <f ca="1">IFERROR(__xludf.DUMMYFUNCTION("""COMPUTED_VALUE"""),"Winter")</f>
        <v>Winter</v>
      </c>
      <c r="M1630" s="5" t="str">
        <f ca="1">IFERROR(__xludf.DUMMYFUNCTION("""COMPUTED_VALUE"""),"Los Angeles")</f>
        <v>Los Angeles</v>
      </c>
      <c r="N1630" s="5" t="str">
        <f ca="1">IFERROR(__xludf.DUMMYFUNCTION("""COMPUTED_VALUE"""),"CA")</f>
        <v>CA</v>
      </c>
      <c r="O1630" s="5" t="str">
        <f ca="1">IFERROR(__xludf.DUMMYFUNCTION("""COMPUTED_VALUE"""),"High")</f>
        <v>High</v>
      </c>
      <c r="P1630" s="5" t="str">
        <f ca="1">IFERROR(__xludf.DUMMYFUNCTION("""COMPUTED_VALUE"""),"Classroom")</f>
        <v>Classroom</v>
      </c>
      <c r="Q1630" s="5" t="str">
        <f ca="1">IFERROR(__xludf.DUMMYFUNCTION("""COMPUTED_VALUE"""),"Inside School Building")</f>
        <v>Inside School Building</v>
      </c>
      <c r="R1630" s="5" t="str">
        <f ca="1">IFERROR(__xludf.DUMMYFUNCTION("""COMPUTED_VALUE"""),"Yes")</f>
        <v>Yes</v>
      </c>
      <c r="S1630" s="5"/>
      <c r="T1630" s="5"/>
      <c r="U1630" s="5">
        <f ca="1">IFERROR(__xludf.DUMMYFUNCTION("""COMPUTED_VALUE"""),1)</f>
        <v>1</v>
      </c>
      <c r="V1630" s="5" t="str">
        <f ca="1">IFERROR(__xludf.DUMMYFUNCTION("""COMPUTED_VALUE"""),"Gun in backpack went off")</f>
        <v>Gun in backpack went off</v>
      </c>
      <c r="W1630"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X1630" s="5" t="str">
        <f ca="1">IFERROR(__xludf.DUMMYFUNCTION("""COMPUTED_VALUE"""),"Accidental")</f>
        <v>Accidental</v>
      </c>
      <c r="Y1630" s="5" t="str">
        <f ca="1">IFERROR(__xludf.DUMMYFUNCTION("""COMPUTED_VALUE"""),"Random Shooting")</f>
        <v>Random Shooting</v>
      </c>
      <c r="Z1630" s="5"/>
      <c r="AA1630" s="5"/>
      <c r="AB1630" s="5" t="str">
        <f ca="1">IFERROR(__xludf.DUMMYFUNCTION("""COMPUTED_VALUE"""),"No")</f>
        <v>No</v>
      </c>
      <c r="AC1630" s="5" t="str">
        <f ca="1">IFERROR(__xludf.DUMMYFUNCTION("""COMPUTED_VALUE"""),"No")</f>
        <v>No</v>
      </c>
      <c r="AD1630" s="5" t="str">
        <f ca="1">IFERROR(__xludf.DUMMYFUNCTION("""COMPUTED_VALUE"""),"No")</f>
        <v>No</v>
      </c>
      <c r="AE1630" s="5" t="str">
        <f ca="1">IFERROR(__xludf.DUMMYFUNCTION("""COMPUTED_VALUE"""),"No")</f>
        <v>No</v>
      </c>
      <c r="AF1630" s="5" t="str">
        <f ca="1">IFERROR(__xludf.DUMMYFUNCTION("""COMPUTED_VALUE"""),"No")</f>
        <v>No</v>
      </c>
      <c r="AG1630" s="5" t="str">
        <f ca="1">IFERROR(__xludf.DUMMYFUNCTION("""COMPUTED_VALUE"""),"No")</f>
        <v>No</v>
      </c>
      <c r="AH1630" s="5"/>
    </row>
    <row r="1631" spans="1:34" ht="12.75">
      <c r="A1631" s="5" t="str">
        <f ca="1">IFERROR(__xludf.DUMMYFUNCTION("""COMPUTED_VALUE"""),"19930118KYEAG")</f>
        <v>19930118KYEAG</v>
      </c>
      <c r="B1631" s="8">
        <f ca="1">IFERROR(__xludf.DUMMYFUNCTION("""COMPUTED_VALUE"""),33987)</f>
        <v>33987</v>
      </c>
      <c r="C1631" s="5" t="str">
        <f ca="1">IFERROR(__xludf.DUMMYFUNCTION("""COMPUTED_VALUE"""),"East Carter High School")</f>
        <v>East Carter High School</v>
      </c>
      <c r="D1631" s="5">
        <f ca="1">IFERROR(__xludf.DUMMYFUNCTION("""COMPUTED_VALUE"""),2)</f>
        <v>2</v>
      </c>
      <c r="E1631" s="5">
        <f ca="1">IFERROR(__xludf.DUMMYFUNCTION("""COMPUTED_VALUE"""),0)</f>
        <v>0</v>
      </c>
      <c r="F1631" s="5">
        <f ca="1">IFERROR(__xludf.DUMMYFUNCTION("""COMPUTED_VALUE"""),2)</f>
        <v>2</v>
      </c>
      <c r="G1631" s="5">
        <f ca="1">IFERROR(__xludf.DUMMYFUNCTION("""COMPUTED_VALUE"""),0)</f>
        <v>0</v>
      </c>
      <c r="H1631" s="5" t="str">
        <f ca="1">IFERROR(__xludf.DUMMYFUNCTION("""COMPUTED_VALUE"""),"https://www.usnews.com/news/articles/1993/10/31/the-tragedy-in-room-108 http://www.dailyindependent.com/news/local_news/years-later-east-carter-school-shooting/article_d98213db-dedb-5edc-9bf9-efa47c2e7d7b.html")</f>
        <v>https://www.usnews.com/news/articles/1993/10/31/the-tragedy-in-room-108 http://www.dailyindependent.com/news/local_news/years-later-east-carter-school-shooting/article_d98213db-dedb-5edc-9bf9-efa47c2e7d7b.html</v>
      </c>
      <c r="I1631" s="5"/>
      <c r="J1631" s="5"/>
      <c r="K1631" s="5">
        <f ca="1">IFERROR(__xludf.DUMMYFUNCTION("""COMPUTED_VALUE"""),4)</f>
        <v>4</v>
      </c>
      <c r="L1631" s="5" t="str">
        <f ca="1">IFERROR(__xludf.DUMMYFUNCTION("""COMPUTED_VALUE"""),"Winter")</f>
        <v>Winter</v>
      </c>
      <c r="M1631" s="5" t="str">
        <f ca="1">IFERROR(__xludf.DUMMYFUNCTION("""COMPUTED_VALUE"""),"Grayson")</f>
        <v>Grayson</v>
      </c>
      <c r="N1631" s="5" t="str">
        <f ca="1">IFERROR(__xludf.DUMMYFUNCTION("""COMPUTED_VALUE"""),"KY")</f>
        <v>KY</v>
      </c>
      <c r="O1631" s="5" t="str">
        <f ca="1">IFERROR(__xludf.DUMMYFUNCTION("""COMPUTED_VALUE"""),"High")</f>
        <v>High</v>
      </c>
      <c r="P1631" s="5" t="str">
        <f ca="1">IFERROR(__xludf.DUMMYFUNCTION("""COMPUTED_VALUE"""),"Classroom")</f>
        <v>Classroom</v>
      </c>
      <c r="Q1631" s="5" t="str">
        <f ca="1">IFERROR(__xludf.DUMMYFUNCTION("""COMPUTED_VALUE"""),"Inside School Building")</f>
        <v>Inside School Building</v>
      </c>
      <c r="R1631" s="5" t="str">
        <f ca="1">IFERROR(__xludf.DUMMYFUNCTION("""COMPUTED_VALUE"""),"Yes")</f>
        <v>Yes</v>
      </c>
      <c r="S1631" s="5" t="str">
        <f ca="1">IFERROR(__xludf.DUMMYFUNCTION("""COMPUTED_VALUE"""),"Afternoon Classes")</f>
        <v>Afternoon Classes</v>
      </c>
      <c r="T1631" s="10">
        <f ca="1">IFERROR(__xludf.DUMMYFUNCTION("""COMPUTED_VALUE"""),0.611111111111111)</f>
        <v>0.61111111111111105</v>
      </c>
      <c r="U1631" s="5">
        <f ca="1">IFERROR(__xludf.DUMMYFUNCTION("""COMPUTED_VALUE"""),21)</f>
        <v>21</v>
      </c>
      <c r="V1631" s="5" t="str">
        <f ca="1">IFERROR(__xludf.DUMMYFUNCTION("""COMPUTED_VALUE"""),"Planned attack, took 22 hostages, upset over grade")</f>
        <v>Planned attack, took 22 hostages, upset over grade</v>
      </c>
      <c r="W1631"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X1631" s="5" t="str">
        <f ca="1">IFERROR(__xludf.DUMMYFUNCTION("""COMPUTED_VALUE"""),"Hostage/Standoff")</f>
        <v>Hostage/Standoff</v>
      </c>
      <c r="Y1631" s="5" t="str">
        <f ca="1">IFERROR(__xludf.DUMMYFUNCTION("""COMPUTED_VALUE"""),"Both")</f>
        <v>Both</v>
      </c>
      <c r="Z1631" s="5" t="str">
        <f ca="1">IFERROR(__xludf.DUMMYFUNCTION("""COMPUTED_VALUE"""),"No")</f>
        <v>No</v>
      </c>
      <c r="AA1631" s="5"/>
      <c r="AB1631" s="5" t="str">
        <f ca="1">IFERROR(__xludf.DUMMYFUNCTION("""COMPUTED_VALUE"""),"Yes")</f>
        <v>Yes</v>
      </c>
      <c r="AC1631" s="5" t="str">
        <f ca="1">IFERROR(__xludf.DUMMYFUNCTION("""COMPUTED_VALUE"""),"Yes")</f>
        <v>Yes</v>
      </c>
      <c r="AD1631" s="5" t="str">
        <f ca="1">IFERROR(__xludf.DUMMYFUNCTION("""COMPUTED_VALUE"""),"No")</f>
        <v>No</v>
      </c>
      <c r="AE1631" s="5" t="str">
        <f ca="1">IFERROR(__xludf.DUMMYFUNCTION("""COMPUTED_VALUE"""),"Yes")</f>
        <v>Yes</v>
      </c>
      <c r="AF1631" s="5" t="str">
        <f ca="1">IFERROR(__xludf.DUMMYFUNCTION("""COMPUTED_VALUE"""),"No")</f>
        <v>No</v>
      </c>
      <c r="AG1631" s="5" t="str">
        <f ca="1">IFERROR(__xludf.DUMMYFUNCTION("""COMPUTED_VALUE"""),"No")</f>
        <v>No</v>
      </c>
      <c r="AH1631" s="5" t="str">
        <f ca="1">IFERROR(__xludf.DUMMYFUNCTION("""COMPUTED_VALUE"""),"Yes")</f>
        <v>Yes</v>
      </c>
    </row>
    <row r="1632" spans="1:34" ht="12.75">
      <c r="A1632" s="5" t="str">
        <f ca="1">IFERROR(__xludf.DUMMYFUNCTION("""COMPUTED_VALUE"""),"19930112FLNOM")</f>
        <v>19930112FLNOM</v>
      </c>
      <c r="B1632" s="8">
        <f ca="1">IFERROR(__xludf.DUMMYFUNCTION("""COMPUTED_VALUE"""),33981)</f>
        <v>33981</v>
      </c>
      <c r="C1632" s="5" t="str">
        <f ca="1">IFERROR(__xludf.DUMMYFUNCTION("""COMPUTED_VALUE"""),"Norland Senior High School")</f>
        <v>Norland Senior High School</v>
      </c>
      <c r="D1632" s="5">
        <f ca="1">IFERROR(__xludf.DUMMYFUNCTION("""COMPUTED_VALUE"""),1)</f>
        <v>1</v>
      </c>
      <c r="E1632" s="5">
        <f ca="1">IFERROR(__xludf.DUMMYFUNCTION("""COMPUTED_VALUE"""),0)</f>
        <v>0</v>
      </c>
      <c r="F1632" s="5">
        <f ca="1">IFERROR(__xludf.DUMMYFUNCTION("""COMPUTED_VALUE"""),1)</f>
        <v>1</v>
      </c>
      <c r="G1632" s="5">
        <f ca="1">IFERROR(__xludf.DUMMYFUNCTION("""COMPUTED_VALUE"""),0)</f>
        <v>0</v>
      </c>
      <c r="H1632" s="9" t="str">
        <f ca="1">IFERROR(__xludf.DUMMYFUNCTION("""COMPUTED_VALUE"""),"https://www.newspapers.com/image/238950794/?terms=Norland%2BSenior%2BHigh%2BSchool%2Bshooting")</f>
        <v>https://www.newspapers.com/image/238950794/?terms=Norland%2BSenior%2BHigh%2BSchool%2Bshooting</v>
      </c>
      <c r="I1632" s="5"/>
      <c r="J1632" s="5"/>
      <c r="K1632" s="5">
        <f ca="1">IFERROR(__xludf.DUMMYFUNCTION("""COMPUTED_VALUE"""),2)</f>
        <v>2</v>
      </c>
      <c r="L1632" s="5" t="str">
        <f ca="1">IFERROR(__xludf.DUMMYFUNCTION("""COMPUTED_VALUE"""),"Winter")</f>
        <v>Winter</v>
      </c>
      <c r="M1632" s="5" t="str">
        <f ca="1">IFERROR(__xludf.DUMMYFUNCTION("""COMPUTED_VALUE"""),"Miami")</f>
        <v>Miami</v>
      </c>
      <c r="N1632" s="5" t="str">
        <f ca="1">IFERROR(__xludf.DUMMYFUNCTION("""COMPUTED_VALUE"""),"FL")</f>
        <v>FL</v>
      </c>
      <c r="O1632" s="5" t="str">
        <f ca="1">IFERROR(__xludf.DUMMYFUNCTION("""COMPUTED_VALUE"""),"High")</f>
        <v>High</v>
      </c>
      <c r="P1632" s="5" t="str">
        <f ca="1">IFERROR(__xludf.DUMMYFUNCTION("""COMPUTED_VALUE"""),"Hallway")</f>
        <v>Hallway</v>
      </c>
      <c r="Q1632" s="5" t="str">
        <f ca="1">IFERROR(__xludf.DUMMYFUNCTION("""COMPUTED_VALUE"""),"Inside School Building")</f>
        <v>Inside School Building</v>
      </c>
      <c r="R1632" s="5" t="str">
        <f ca="1">IFERROR(__xludf.DUMMYFUNCTION("""COMPUTED_VALUE"""),"Yes")</f>
        <v>Yes</v>
      </c>
      <c r="S1632" s="5" t="str">
        <f ca="1">IFERROR(__xludf.DUMMYFUNCTION("""COMPUTED_VALUE"""),"After School")</f>
        <v>After School</v>
      </c>
      <c r="T1632" s="10">
        <f ca="1">IFERROR(__xludf.DUMMYFUNCTION("""COMPUTED_VALUE"""),0.635416666666666)</f>
        <v>0.63541666666666596</v>
      </c>
      <c r="U1632" s="5">
        <f ca="1">IFERROR(__xludf.DUMMYFUNCTION("""COMPUTED_VALUE"""),1)</f>
        <v>1</v>
      </c>
      <c r="V1632" s="5" t="str">
        <f ca="1">IFERROR(__xludf.DUMMYFUNCTION("""COMPUTED_VALUE"""),"Shooting during argument between victim and 3 males over girl")</f>
        <v>Shooting during argument between victim and 3 males over girl</v>
      </c>
      <c r="W1632"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X1632" s="5" t="str">
        <f ca="1">IFERROR(__xludf.DUMMYFUNCTION("""COMPUTED_VALUE"""),"Escalation of Dispute")</f>
        <v>Escalation of Dispute</v>
      </c>
      <c r="Y1632" s="5" t="str">
        <f ca="1">IFERROR(__xludf.DUMMYFUNCTION("""COMPUTED_VALUE"""),"Victims Targeted")</f>
        <v>Victims Targeted</v>
      </c>
      <c r="Z1632" s="5" t="str">
        <f ca="1">IFERROR(__xludf.DUMMYFUNCTION("""COMPUTED_VALUE"""),"No")</f>
        <v>No</v>
      </c>
      <c r="AA1632" s="5"/>
      <c r="AB1632" s="5" t="str">
        <f ca="1">IFERROR(__xludf.DUMMYFUNCTION("""COMPUTED_VALUE"""),"No")</f>
        <v>No</v>
      </c>
      <c r="AC1632" s="5" t="str">
        <f ca="1">IFERROR(__xludf.DUMMYFUNCTION("""COMPUTED_VALUE"""),"No")</f>
        <v>No</v>
      </c>
      <c r="AD1632" s="5" t="str">
        <f ca="1">IFERROR(__xludf.DUMMYFUNCTION("""COMPUTED_VALUE"""),"No")</f>
        <v>No</v>
      </c>
      <c r="AE1632" s="5" t="str">
        <f ca="1">IFERROR(__xludf.DUMMYFUNCTION("""COMPUTED_VALUE"""),"No")</f>
        <v>No</v>
      </c>
      <c r="AF1632" s="5" t="str">
        <f ca="1">IFERROR(__xludf.DUMMYFUNCTION("""COMPUTED_VALUE"""),"No")</f>
        <v>No</v>
      </c>
      <c r="AG1632" s="5" t="str">
        <f ca="1">IFERROR(__xludf.DUMMYFUNCTION("""COMPUTED_VALUE"""),"Yes")</f>
        <v>Yes</v>
      </c>
      <c r="AH1632" s="5"/>
    </row>
    <row r="1633" spans="1:34" ht="12.75">
      <c r="A1633" s="5" t="str">
        <f ca="1">IFERROR(__xludf.DUMMYFUNCTION("""COMPUTED_VALUE"""),"19930108PACRM")</f>
        <v>19930108PACRM</v>
      </c>
      <c r="B1633" s="8">
        <f ca="1">IFERROR(__xludf.DUMMYFUNCTION("""COMPUTED_VALUE"""),33977)</f>
        <v>33977</v>
      </c>
      <c r="C1633" s="5" t="str">
        <f ca="1">IFERROR(__xludf.DUMMYFUNCTION("""COMPUTED_VALUE"""),"Crawford County Joint Vocational Technical School")</f>
        <v>Crawford County Joint Vocational Technical School</v>
      </c>
      <c r="D1633" s="5">
        <f ca="1">IFERROR(__xludf.DUMMYFUNCTION("""COMPUTED_VALUE"""),0)</f>
        <v>0</v>
      </c>
      <c r="E1633" s="5">
        <f ca="1">IFERROR(__xludf.DUMMYFUNCTION("""COMPUTED_VALUE"""),1)</f>
        <v>1</v>
      </c>
      <c r="F1633" s="5">
        <f ca="1">IFERROR(__xludf.DUMMYFUNCTION("""COMPUTED_VALUE"""),1)</f>
        <v>1</v>
      </c>
      <c r="G1633" s="5">
        <f ca="1">IFERROR(__xludf.DUMMYFUNCTION("""COMPUTED_VALUE"""),0)</f>
        <v>0</v>
      </c>
      <c r="H1633" s="9" t="str">
        <f ca="1">IFERROR(__xludf.DUMMYFUNCTION("""COMPUTED_VALUE"""),"https://www.newspapers.com/image/510596731/?terms=shot%20at%20school&amp;match=1")</f>
        <v>https://www.newspapers.com/image/510596731/?terms=shot%20at%20school&amp;match=1</v>
      </c>
      <c r="I1633" s="5">
        <f ca="1">IFERROR(__xludf.DUMMYFUNCTION("""COMPUTED_VALUE"""),1)</f>
        <v>1</v>
      </c>
      <c r="J1633" s="5" t="str">
        <f ca="1">IFERROR(__xludf.DUMMYFUNCTION("""COMPUTED_VALUE"""),"National")</f>
        <v>National</v>
      </c>
      <c r="K1633" s="5">
        <f ca="1">IFERROR(__xludf.DUMMYFUNCTION("""COMPUTED_VALUE"""),3)</f>
        <v>3</v>
      </c>
      <c r="L1633" s="5" t="str">
        <f ca="1">IFERROR(__xludf.DUMMYFUNCTION("""COMPUTED_VALUE"""),"Winter")</f>
        <v>Winter</v>
      </c>
      <c r="M1633" s="5" t="str">
        <f ca="1">IFERROR(__xludf.DUMMYFUNCTION("""COMPUTED_VALUE"""),"Meadville")</f>
        <v>Meadville</v>
      </c>
      <c r="N1633" s="5" t="str">
        <f ca="1">IFERROR(__xludf.DUMMYFUNCTION("""COMPUTED_VALUE"""),"PA")</f>
        <v>PA</v>
      </c>
      <c r="O1633" s="5" t="str">
        <f ca="1">IFERROR(__xludf.DUMMYFUNCTION("""COMPUTED_VALUE"""),"High")</f>
        <v>High</v>
      </c>
      <c r="P1633" s="5" t="str">
        <f ca="1">IFERROR(__xludf.DUMMYFUNCTION("""COMPUTED_VALUE"""),"Hallway")</f>
        <v>Hallway</v>
      </c>
      <c r="Q1633" s="5" t="str">
        <f ca="1">IFERROR(__xludf.DUMMYFUNCTION("""COMPUTED_VALUE"""),"Inside School Building")</f>
        <v>Inside School Building</v>
      </c>
      <c r="R1633" s="5" t="str">
        <f ca="1">IFERROR(__xludf.DUMMYFUNCTION("""COMPUTED_VALUE"""),"Yes")</f>
        <v>Yes</v>
      </c>
      <c r="S1633" s="5" t="str">
        <f ca="1">IFERROR(__xludf.DUMMYFUNCTION("""COMPUTED_VALUE"""),"Morning Classes")</f>
        <v>Morning Classes</v>
      </c>
      <c r="T1633" s="10">
        <f ca="1">IFERROR(__xludf.DUMMYFUNCTION("""COMPUTED_VALUE"""),0.333333333333333)</f>
        <v>0.33333333333333298</v>
      </c>
      <c r="U1633" s="5">
        <f ca="1">IFERROR(__xludf.DUMMYFUNCTION("""COMPUTED_VALUE"""),1)</f>
        <v>1</v>
      </c>
      <c r="V1633" s="5" t="str">
        <f ca="1">IFERROR(__xludf.DUMMYFUNCTION("""COMPUTED_VALUE"""),"Student shot in the head in hallway by unknown shooter")</f>
        <v>Student shot in the head in hallway by unknown shooter</v>
      </c>
      <c r="W1633"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X1633" s="5"/>
      <c r="Y1633" s="5" t="str">
        <f ca="1">IFERROR(__xludf.DUMMYFUNCTION("""COMPUTED_VALUE"""),"Victims Targeted")</f>
        <v>Victims Targeted</v>
      </c>
      <c r="Z1633" s="5" t="str">
        <f ca="1">IFERROR(__xludf.DUMMYFUNCTION("""COMPUTED_VALUE"""),"No")</f>
        <v>No</v>
      </c>
      <c r="AA1633" s="5"/>
      <c r="AB1633" s="5" t="str">
        <f ca="1">IFERROR(__xludf.DUMMYFUNCTION("""COMPUTED_VALUE"""),"No")</f>
        <v>No</v>
      </c>
      <c r="AC1633" s="5" t="str">
        <f ca="1">IFERROR(__xludf.DUMMYFUNCTION("""COMPUTED_VALUE"""),"No")</f>
        <v>No</v>
      </c>
      <c r="AD1633" s="5" t="str">
        <f ca="1">IFERROR(__xludf.DUMMYFUNCTION("""COMPUTED_VALUE"""),"No")</f>
        <v>No</v>
      </c>
      <c r="AE1633" s="5" t="str">
        <f ca="1">IFERROR(__xludf.DUMMYFUNCTION("""COMPUTED_VALUE"""),"No")</f>
        <v>No</v>
      </c>
      <c r="AF1633" s="5" t="str">
        <f ca="1">IFERROR(__xludf.DUMMYFUNCTION("""COMPUTED_VALUE"""),"No")</f>
        <v>No</v>
      </c>
      <c r="AG1633" s="5"/>
      <c r="AH1633" s="5" t="str">
        <f ca="1">IFERROR(__xludf.DUMMYFUNCTION("""COMPUTED_VALUE"""),"No")</f>
        <v>No</v>
      </c>
    </row>
    <row r="1634" spans="1:34" ht="12.75">
      <c r="A1634" s="5" t="str">
        <f ca="1">IFERROR(__xludf.DUMMYFUNCTION("""COMPUTED_VALUE"""),"19930105NYBRB")</f>
        <v>19930105NYBRB</v>
      </c>
      <c r="B1634" s="8">
        <f ca="1">IFERROR(__xludf.DUMMYFUNCTION("""COMPUTED_VALUE"""),33974)</f>
        <v>33974</v>
      </c>
      <c r="C1634" s="5" t="str">
        <f ca="1">IFERROR(__xludf.DUMMYFUNCTION("""COMPUTED_VALUE"""),"Brentwood High School")</f>
        <v>Brentwood High School</v>
      </c>
      <c r="D1634" s="5">
        <f ca="1">IFERROR(__xludf.DUMMYFUNCTION("""COMPUTED_VALUE"""),0)</f>
        <v>0</v>
      </c>
      <c r="E1634" s="5">
        <f ca="1">IFERROR(__xludf.DUMMYFUNCTION("""COMPUTED_VALUE"""),1)</f>
        <v>1</v>
      </c>
      <c r="F1634" s="5">
        <f ca="1">IFERROR(__xludf.DUMMYFUNCTION("""COMPUTED_VALUE"""),1)</f>
        <v>1</v>
      </c>
      <c r="G1634" s="5">
        <f ca="1">IFERROR(__xludf.DUMMYFUNCTION("""COMPUTED_VALUE"""),0)</f>
        <v>0</v>
      </c>
      <c r="H1634" s="9" t="str">
        <f ca="1">IFERROR(__xludf.DUMMYFUNCTION("""COMPUTED_VALUE"""),"https://www.nytimes.com/1993/01/07/nyregion/school-upset-by-shooting-of-teen-ager-during-game.html")</f>
        <v>https://www.nytimes.com/1993/01/07/nyregion/school-upset-by-shooting-of-teen-ager-during-game.html</v>
      </c>
      <c r="I1634" s="5"/>
      <c r="J1634" s="5"/>
      <c r="K1634" s="5">
        <f ca="1">IFERROR(__xludf.DUMMYFUNCTION("""COMPUTED_VALUE"""),2)</f>
        <v>2</v>
      </c>
      <c r="L1634" s="5" t="str">
        <f ca="1">IFERROR(__xludf.DUMMYFUNCTION("""COMPUTED_VALUE"""),"Winter")</f>
        <v>Winter</v>
      </c>
      <c r="M1634" s="5" t="str">
        <f ca="1">IFERROR(__xludf.DUMMYFUNCTION("""COMPUTED_VALUE"""),"Brentwood")</f>
        <v>Brentwood</v>
      </c>
      <c r="N1634" s="5" t="str">
        <f ca="1">IFERROR(__xludf.DUMMYFUNCTION("""COMPUTED_VALUE"""),"NY")</f>
        <v>NY</v>
      </c>
      <c r="O1634" s="5" t="str">
        <f ca="1">IFERROR(__xludf.DUMMYFUNCTION("""COMPUTED_VALUE"""),"High")</f>
        <v>High</v>
      </c>
      <c r="P1634" s="5" t="str">
        <f ca="1">IFERROR(__xludf.DUMMYFUNCTION("""COMPUTED_VALUE"""),"Gym")</f>
        <v>Gym</v>
      </c>
      <c r="Q1634" s="5" t="str">
        <f ca="1">IFERROR(__xludf.DUMMYFUNCTION("""COMPUTED_VALUE"""),"Inside School Building")</f>
        <v>Inside School Building</v>
      </c>
      <c r="R1634" s="5" t="str">
        <f ca="1">IFERROR(__xludf.DUMMYFUNCTION("""COMPUTED_VALUE"""),"No")</f>
        <v>No</v>
      </c>
      <c r="S1634" s="5" t="str">
        <f ca="1">IFERROR(__xludf.DUMMYFUNCTION("""COMPUTED_VALUE"""),"Evening")</f>
        <v>Evening</v>
      </c>
      <c r="T1634" s="10">
        <f ca="1">IFERROR(__xludf.DUMMYFUNCTION("""COMPUTED_VALUE"""),0.727083333333333)</f>
        <v>0.72708333333333297</v>
      </c>
      <c r="U1634" s="5">
        <f ca="1">IFERROR(__xludf.DUMMYFUNCTION("""COMPUTED_VALUE"""),1)</f>
        <v>1</v>
      </c>
      <c r="V1634" s="5" t="str">
        <f ca="1">IFERROR(__xludf.DUMMYFUNCTION("""COMPUTED_VALUE"""),"Dispute over theft of gold chain")</f>
        <v>Dispute over theft of gold chain</v>
      </c>
      <c r="W1634"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X1634" s="5" t="str">
        <f ca="1">IFERROR(__xludf.DUMMYFUNCTION("""COMPUTED_VALUE"""),"Escalation of Dispute")</f>
        <v>Escalation of Dispute</v>
      </c>
      <c r="Y1634" s="5" t="str">
        <f ca="1">IFERROR(__xludf.DUMMYFUNCTION("""COMPUTED_VALUE"""),"Victims Targeted")</f>
        <v>Victims Targeted</v>
      </c>
      <c r="Z1634" s="5" t="str">
        <f ca="1">IFERROR(__xludf.DUMMYFUNCTION("""COMPUTED_VALUE"""),"No")</f>
        <v>No</v>
      </c>
      <c r="AA1634" s="5"/>
      <c r="AB1634" s="5" t="str">
        <f ca="1">IFERROR(__xludf.DUMMYFUNCTION("""COMPUTED_VALUE"""),"No")</f>
        <v>No</v>
      </c>
      <c r="AC1634" s="5" t="str">
        <f ca="1">IFERROR(__xludf.DUMMYFUNCTION("""COMPUTED_VALUE"""),"No")</f>
        <v>No</v>
      </c>
      <c r="AD1634" s="5" t="str">
        <f ca="1">IFERROR(__xludf.DUMMYFUNCTION("""COMPUTED_VALUE"""),"No")</f>
        <v>No</v>
      </c>
      <c r="AE1634" s="5" t="str">
        <f ca="1">IFERROR(__xludf.DUMMYFUNCTION("""COMPUTED_VALUE"""),"No")</f>
        <v>No</v>
      </c>
      <c r="AF1634" s="5" t="str">
        <f ca="1">IFERROR(__xludf.DUMMYFUNCTION("""COMPUTED_VALUE"""),"No")</f>
        <v>No</v>
      </c>
      <c r="AG1634" s="5" t="str">
        <f ca="1">IFERROR(__xludf.DUMMYFUNCTION("""COMPUTED_VALUE"""),"Yes")</f>
        <v>Yes</v>
      </c>
      <c r="AH1634" s="5"/>
    </row>
    <row r="1635" spans="1:34" ht="12.75">
      <c r="A1635" s="5" t="str">
        <f ca="1">IFERROR(__xludf.DUMMYFUNCTION("""COMPUTED_VALUE"""),"19921214NYWAW")</f>
        <v>19921214NYWAW</v>
      </c>
      <c r="B1635" s="8">
        <f ca="1">IFERROR(__xludf.DUMMYFUNCTION("""COMPUTED_VALUE"""),33952)</f>
        <v>33952</v>
      </c>
      <c r="C1635" s="5" t="str">
        <f ca="1">IFERROR(__xludf.DUMMYFUNCTION("""COMPUTED_VALUE"""),"Walton High School")</f>
        <v>Walton High School</v>
      </c>
      <c r="D1635" s="5">
        <f ca="1">IFERROR(__xludf.DUMMYFUNCTION("""COMPUTED_VALUE"""),0)</f>
        <v>0</v>
      </c>
      <c r="E1635" s="5">
        <f ca="1">IFERROR(__xludf.DUMMYFUNCTION("""COMPUTED_VALUE"""),1)</f>
        <v>1</v>
      </c>
      <c r="F1635" s="5">
        <f ca="1">IFERROR(__xludf.DUMMYFUNCTION("""COMPUTED_VALUE"""),1)</f>
        <v>1</v>
      </c>
      <c r="G1635" s="5">
        <f ca="1">IFERROR(__xludf.DUMMYFUNCTION("""COMPUTED_VALUE"""),0)</f>
        <v>0</v>
      </c>
      <c r="H1635" s="9" t="str">
        <f ca="1">IFERROR(__xludf.DUMMYFUNCTION("""COMPUTED_VALUE"""),"https://www.newspapers.com/image/257172973/?terms=Virginia%2BWilcox")</f>
        <v>https://www.newspapers.com/image/257172973/?terms=Virginia%2BWilcox</v>
      </c>
      <c r="I1635" s="5"/>
      <c r="J1635" s="5"/>
      <c r="K1635" s="5">
        <f ca="1">IFERROR(__xludf.DUMMYFUNCTION("""COMPUTED_VALUE"""),2)</f>
        <v>2</v>
      </c>
      <c r="L1635" s="5" t="str">
        <f ca="1">IFERROR(__xludf.DUMMYFUNCTION("""COMPUTED_VALUE"""),"Winter")</f>
        <v>Winter</v>
      </c>
      <c r="M1635" s="5" t="str">
        <f ca="1">IFERROR(__xludf.DUMMYFUNCTION("""COMPUTED_VALUE"""),"Walton")</f>
        <v>Walton</v>
      </c>
      <c r="N1635" s="5" t="str">
        <f ca="1">IFERROR(__xludf.DUMMYFUNCTION("""COMPUTED_VALUE"""),"NY")</f>
        <v>NY</v>
      </c>
      <c r="O1635" s="5" t="str">
        <f ca="1">IFERROR(__xludf.DUMMYFUNCTION("""COMPUTED_VALUE"""),"High")</f>
        <v>High</v>
      </c>
      <c r="P1635" s="5" t="str">
        <f ca="1">IFERROR(__xludf.DUMMYFUNCTION("""COMPUTED_VALUE"""),"Classroom")</f>
        <v>Classroom</v>
      </c>
      <c r="Q1635" s="5" t="str">
        <f ca="1">IFERROR(__xludf.DUMMYFUNCTION("""COMPUTED_VALUE"""),"Inside School Building")</f>
        <v>Inside School Building</v>
      </c>
      <c r="R1635" s="5" t="str">
        <f ca="1">IFERROR(__xludf.DUMMYFUNCTION("""COMPUTED_VALUE"""),"Yes")</f>
        <v>Yes</v>
      </c>
      <c r="S1635" s="5" t="str">
        <f ca="1">IFERROR(__xludf.DUMMYFUNCTION("""COMPUTED_VALUE"""),"Morning Classes")</f>
        <v>Morning Classes</v>
      </c>
      <c r="T1635" s="10">
        <f ca="1">IFERROR(__xludf.DUMMYFUNCTION("""COMPUTED_VALUE"""),0.384722222222222)</f>
        <v>0.38472222222222202</v>
      </c>
      <c r="U1635" s="5">
        <f ca="1">IFERROR(__xludf.DUMMYFUNCTION("""COMPUTED_VALUE"""),1)</f>
        <v>1</v>
      </c>
      <c r="V1635" s="5" t="str">
        <f ca="1">IFERROR(__xludf.DUMMYFUNCTION("""COMPUTED_VALUE"""),"Shot teacher when she would not let him read poem in class")</f>
        <v>Shot teacher when she would not let him read poem in class</v>
      </c>
      <c r="W1635"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X1635" s="5" t="str">
        <f ca="1">IFERROR(__xludf.DUMMYFUNCTION("""COMPUTED_VALUE"""),"Anger Over Grade/Suspension/Discipline")</f>
        <v>Anger Over Grade/Suspension/Discipline</v>
      </c>
      <c r="Y1635" s="5" t="str">
        <f ca="1">IFERROR(__xludf.DUMMYFUNCTION("""COMPUTED_VALUE"""),"Victims Targeted")</f>
        <v>Victims Targeted</v>
      </c>
      <c r="Z1635" s="5"/>
      <c r="AA1635" s="5"/>
      <c r="AB1635" s="5" t="str">
        <f ca="1">IFERROR(__xludf.DUMMYFUNCTION("""COMPUTED_VALUE"""),"No")</f>
        <v>No</v>
      </c>
      <c r="AC1635" s="5" t="str">
        <f ca="1">IFERROR(__xludf.DUMMYFUNCTION("""COMPUTED_VALUE"""),"No")</f>
        <v>No</v>
      </c>
      <c r="AD1635" s="5" t="str">
        <f ca="1">IFERROR(__xludf.DUMMYFUNCTION("""COMPUTED_VALUE"""),"No")</f>
        <v>No</v>
      </c>
      <c r="AE1635" s="5" t="str">
        <f ca="1">IFERROR(__xludf.DUMMYFUNCTION("""COMPUTED_VALUE"""),"No")</f>
        <v>No</v>
      </c>
      <c r="AF1635" s="5" t="str">
        <f ca="1">IFERROR(__xludf.DUMMYFUNCTION("""COMPUTED_VALUE"""),"No")</f>
        <v>No</v>
      </c>
      <c r="AG1635" s="5" t="str">
        <f ca="1">IFERROR(__xludf.DUMMYFUNCTION("""COMPUTED_VALUE"""),"No")</f>
        <v>No</v>
      </c>
      <c r="AH1635" s="5"/>
    </row>
    <row r="1636" spans="1:34" ht="12.75">
      <c r="A1636" s="5" t="str">
        <f ca="1">IFERROR(__xludf.DUMMYFUNCTION("""COMPUTED_VALUE"""),"19921203ILWOC")</f>
        <v>19921203ILWOC</v>
      </c>
      <c r="B1636" s="8">
        <f ca="1">IFERROR(__xludf.DUMMYFUNCTION("""COMPUTED_VALUE"""),33941)</f>
        <v>33941</v>
      </c>
      <c r="C1636" s="5" t="str">
        <f ca="1">IFERROR(__xludf.DUMMYFUNCTION("""COMPUTED_VALUE"""),"Woodson High School")</f>
        <v>Woodson High School</v>
      </c>
      <c r="D1636" s="5">
        <f ca="1">IFERROR(__xludf.DUMMYFUNCTION("""COMPUTED_VALUE"""),1)</f>
        <v>1</v>
      </c>
      <c r="E1636" s="5">
        <f ca="1">IFERROR(__xludf.DUMMYFUNCTION("""COMPUTED_VALUE"""),1)</f>
        <v>1</v>
      </c>
      <c r="F1636" s="5">
        <f ca="1">IFERROR(__xludf.DUMMYFUNCTION("""COMPUTED_VALUE"""),2)</f>
        <v>2</v>
      </c>
      <c r="G1636" s="5">
        <f ca="1">IFERROR(__xludf.DUMMYFUNCTION("""COMPUTED_VALUE"""),0)</f>
        <v>0</v>
      </c>
      <c r="H1636" s="9" t="str">
        <f ca="1">IFERROR(__xludf.DUMMYFUNCTION("""COMPUTED_VALUE"""),"https://www.newspapers.com/image/389807433/")</f>
        <v>https://www.newspapers.com/image/389807433/</v>
      </c>
      <c r="I1636" s="5"/>
      <c r="J1636" s="5"/>
      <c r="K1636" s="5">
        <f ca="1">IFERROR(__xludf.DUMMYFUNCTION("""COMPUTED_VALUE"""),2)</f>
        <v>2</v>
      </c>
      <c r="L1636" s="5" t="str">
        <f ca="1">IFERROR(__xludf.DUMMYFUNCTION("""COMPUTED_VALUE"""),"Winter")</f>
        <v>Winter</v>
      </c>
      <c r="M1636" s="5" t="str">
        <f ca="1">IFERROR(__xludf.DUMMYFUNCTION("""COMPUTED_VALUE"""),"Chicago")</f>
        <v>Chicago</v>
      </c>
      <c r="N1636" s="5" t="str">
        <f ca="1">IFERROR(__xludf.DUMMYFUNCTION("""COMPUTED_VALUE"""),"IL")</f>
        <v>IL</v>
      </c>
      <c r="O1636" s="5" t="str">
        <f ca="1">IFERROR(__xludf.DUMMYFUNCTION("""COMPUTED_VALUE"""),"High")</f>
        <v>High</v>
      </c>
      <c r="P1636" s="5" t="str">
        <f ca="1">IFERROR(__xludf.DUMMYFUNCTION("""COMPUTED_VALUE"""),"Gym")</f>
        <v>Gym</v>
      </c>
      <c r="Q1636" s="5" t="str">
        <f ca="1">IFERROR(__xludf.DUMMYFUNCTION("""COMPUTED_VALUE"""),"Inside School Building")</f>
        <v>Inside School Building</v>
      </c>
      <c r="R1636" s="5" t="str">
        <f ca="1">IFERROR(__xludf.DUMMYFUNCTION("""COMPUTED_VALUE"""),"No")</f>
        <v>No</v>
      </c>
      <c r="S1636" s="5" t="str">
        <f ca="1">IFERROR(__xludf.DUMMYFUNCTION("""COMPUTED_VALUE"""),"Sport Event")</f>
        <v>Sport Event</v>
      </c>
      <c r="T1636" s="10">
        <f ca="1">IFERROR(__xludf.DUMMYFUNCTION("""COMPUTED_VALUE"""),0.791666666666666)</f>
        <v>0.79166666666666596</v>
      </c>
      <c r="U1636" s="5">
        <f ca="1">IFERROR(__xludf.DUMMYFUNCTION("""COMPUTED_VALUE"""),1)</f>
        <v>1</v>
      </c>
      <c r="V1636" s="5" t="str">
        <f ca="1">IFERROR(__xludf.DUMMYFUNCTION("""COMPUTED_VALUE"""),"Shooting during open gym at basketball court")</f>
        <v>Shooting during open gym at basketball court</v>
      </c>
      <c r="W1636"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X1636" s="5" t="str">
        <f ca="1">IFERROR(__xludf.DUMMYFUNCTION("""COMPUTED_VALUE"""),"Escalation of Dispute")</f>
        <v>Escalation of Dispute</v>
      </c>
      <c r="Y1636" s="5" t="str">
        <f ca="1">IFERROR(__xludf.DUMMYFUNCTION("""COMPUTED_VALUE"""),"Victims Targeted")</f>
        <v>Victims Targeted</v>
      </c>
      <c r="Z1636" s="5" t="str">
        <f ca="1">IFERROR(__xludf.DUMMYFUNCTION("""COMPUTED_VALUE"""),"Yes")</f>
        <v>Yes</v>
      </c>
      <c r="AA1636" s="5" t="str">
        <f ca="1">IFERROR(__xludf.DUMMYFUNCTION("""COMPUTED_VALUE"""),"2 shooters")</f>
        <v>2 shooters</v>
      </c>
      <c r="AB1636" s="5" t="str">
        <f ca="1">IFERROR(__xludf.DUMMYFUNCTION("""COMPUTED_VALUE"""),"No")</f>
        <v>No</v>
      </c>
      <c r="AC1636" s="5" t="str">
        <f ca="1">IFERROR(__xludf.DUMMYFUNCTION("""COMPUTED_VALUE"""),"No")</f>
        <v>No</v>
      </c>
      <c r="AD1636" s="5" t="str">
        <f ca="1">IFERROR(__xludf.DUMMYFUNCTION("""COMPUTED_VALUE"""),"No")</f>
        <v>No</v>
      </c>
      <c r="AE1636" s="5" t="str">
        <f ca="1">IFERROR(__xludf.DUMMYFUNCTION("""COMPUTED_VALUE"""),"No")</f>
        <v>No</v>
      </c>
      <c r="AF1636" s="5" t="str">
        <f ca="1">IFERROR(__xludf.DUMMYFUNCTION("""COMPUTED_VALUE"""),"No")</f>
        <v>No</v>
      </c>
      <c r="AG1636" s="5" t="str">
        <f ca="1">IFERROR(__xludf.DUMMYFUNCTION("""COMPUTED_VALUE"""),"Yes")</f>
        <v>Yes</v>
      </c>
      <c r="AH1636" s="5"/>
    </row>
    <row r="1637" spans="1:34" ht="12.75">
      <c r="A1637" s="5" t="str">
        <f ca="1">IFERROR(__xludf.DUMMYFUNCTION("""COMPUTED_VALUE"""),"19921130ILORC")</f>
        <v>19921130ILORC</v>
      </c>
      <c r="B1637" s="8">
        <f ca="1">IFERROR(__xludf.DUMMYFUNCTION("""COMPUTED_VALUE"""),33938)</f>
        <v>33938</v>
      </c>
      <c r="C1637" s="5" t="str">
        <f ca="1">IFERROR(__xludf.DUMMYFUNCTION("""COMPUTED_VALUE"""),"Orr High School")</f>
        <v>Orr High School</v>
      </c>
      <c r="D1637" s="5">
        <f ca="1">IFERROR(__xludf.DUMMYFUNCTION("""COMPUTED_VALUE"""),0)</f>
        <v>0</v>
      </c>
      <c r="E1637" s="5">
        <f ca="1">IFERROR(__xludf.DUMMYFUNCTION("""COMPUTED_VALUE"""),1)</f>
        <v>1</v>
      </c>
      <c r="F1637" s="5">
        <f ca="1">IFERROR(__xludf.DUMMYFUNCTION("""COMPUTED_VALUE"""),1)</f>
        <v>1</v>
      </c>
      <c r="G1637" s="5">
        <f ca="1">IFERROR(__xludf.DUMMYFUNCTION("""COMPUTED_VALUE"""),0)</f>
        <v>0</v>
      </c>
      <c r="H1637" s="9" t="str">
        <f ca="1">IFERROR(__xludf.DUMMYFUNCTION("""COMPUTED_VALUE"""),"https://www.newspapers.com/image/389789093/?terms=laroyal%2Bcrowley")</f>
        <v>https://www.newspapers.com/image/389789093/?terms=laroyal%2Bcrowley</v>
      </c>
      <c r="I1637" s="5"/>
      <c r="J1637" s="5"/>
      <c r="K1637" s="5">
        <f ca="1">IFERROR(__xludf.DUMMYFUNCTION("""COMPUTED_VALUE"""),2)</f>
        <v>2</v>
      </c>
      <c r="L1637" s="5" t="str">
        <f ca="1">IFERROR(__xludf.DUMMYFUNCTION("""COMPUTED_VALUE"""),"Fall")</f>
        <v>Fall</v>
      </c>
      <c r="M1637" s="5" t="str">
        <f ca="1">IFERROR(__xludf.DUMMYFUNCTION("""COMPUTED_VALUE"""),"Chicago")</f>
        <v>Chicago</v>
      </c>
      <c r="N1637" s="5" t="str">
        <f ca="1">IFERROR(__xludf.DUMMYFUNCTION("""COMPUTED_VALUE"""),"IL")</f>
        <v>IL</v>
      </c>
      <c r="O1637" s="5" t="str">
        <f ca="1">IFERROR(__xludf.DUMMYFUNCTION("""COMPUTED_VALUE"""),"High")</f>
        <v>High</v>
      </c>
      <c r="P1637" s="5" t="str">
        <f ca="1">IFERROR(__xludf.DUMMYFUNCTION("""COMPUTED_VALUE"""),"Beside Building")</f>
        <v>Beside Building</v>
      </c>
      <c r="Q1637" s="5" t="str">
        <f ca="1">IFERROR(__xludf.DUMMYFUNCTION("""COMPUTED_VALUE"""),"Outside on School Property")</f>
        <v>Outside on School Property</v>
      </c>
      <c r="R1637" s="5" t="str">
        <f ca="1">IFERROR(__xludf.DUMMYFUNCTION("""COMPUTED_VALUE"""),"Yes")</f>
        <v>Yes</v>
      </c>
      <c r="S1637" s="5" t="str">
        <f ca="1">IFERROR(__xludf.DUMMYFUNCTION("""COMPUTED_VALUE"""),"Dismissal")</f>
        <v>Dismissal</v>
      </c>
      <c r="T1637" s="5"/>
      <c r="U1637" s="5"/>
      <c r="V1637" s="5" t="str">
        <f ca="1">IFERROR(__xludf.DUMMYFUNCTION("""COMPUTED_VALUE"""),"Retaliation for previous beating by victim")</f>
        <v>Retaliation for previous beating by victim</v>
      </c>
      <c r="W1637"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X1637" s="5" t="str">
        <f ca="1">IFERROR(__xludf.DUMMYFUNCTION("""COMPUTED_VALUE"""),"Escalation of Dispute")</f>
        <v>Escalation of Dispute</v>
      </c>
      <c r="Y1637" s="5" t="str">
        <f ca="1">IFERROR(__xludf.DUMMYFUNCTION("""COMPUTED_VALUE"""),"Victims Targeted")</f>
        <v>Victims Targeted</v>
      </c>
      <c r="Z1637" s="5" t="str">
        <f ca="1">IFERROR(__xludf.DUMMYFUNCTION("""COMPUTED_VALUE"""),"No")</f>
        <v>No</v>
      </c>
      <c r="AA1637" s="5"/>
      <c r="AB1637" s="5" t="str">
        <f ca="1">IFERROR(__xludf.DUMMYFUNCTION("""COMPUTED_VALUE"""),"No")</f>
        <v>No</v>
      </c>
      <c r="AC1637" s="5" t="str">
        <f ca="1">IFERROR(__xludf.DUMMYFUNCTION("""COMPUTED_VALUE"""),"No")</f>
        <v>No</v>
      </c>
      <c r="AD1637" s="5" t="str">
        <f ca="1">IFERROR(__xludf.DUMMYFUNCTION("""COMPUTED_VALUE"""),"No")</f>
        <v>No</v>
      </c>
      <c r="AE1637" s="5" t="str">
        <f ca="1">IFERROR(__xludf.DUMMYFUNCTION("""COMPUTED_VALUE"""),"No")</f>
        <v>No</v>
      </c>
      <c r="AF1637" s="5" t="str">
        <f ca="1">IFERROR(__xludf.DUMMYFUNCTION("""COMPUTED_VALUE"""),"No")</f>
        <v>No</v>
      </c>
      <c r="AG1637" s="5" t="str">
        <f ca="1">IFERROR(__xludf.DUMMYFUNCTION("""COMPUTED_VALUE"""),"No")</f>
        <v>No</v>
      </c>
      <c r="AH1637" s="5"/>
    </row>
    <row r="1638" spans="1:34" ht="12.75">
      <c r="A1638" s="5" t="str">
        <f ca="1">IFERROR(__xludf.DUMMYFUNCTION("""COMPUTED_VALUE"""),"19921124ALROM")</f>
        <v>19921124ALROM</v>
      </c>
      <c r="B1638" s="8">
        <f ca="1">IFERROR(__xludf.DUMMYFUNCTION("""COMPUTED_VALUE"""),33932)</f>
        <v>33932</v>
      </c>
      <c r="C1638" s="5" t="str">
        <f ca="1">IFERROR(__xludf.DUMMYFUNCTION("""COMPUTED_VALUE"""),"Robert E. Lee High School")</f>
        <v>Robert E. Lee High School</v>
      </c>
      <c r="D1638" s="5">
        <f ca="1">IFERROR(__xludf.DUMMYFUNCTION("""COMPUTED_VALUE"""),0)</f>
        <v>0</v>
      </c>
      <c r="E1638" s="5">
        <f ca="1">IFERROR(__xludf.DUMMYFUNCTION("""COMPUTED_VALUE"""),1)</f>
        <v>1</v>
      </c>
      <c r="F1638" s="5">
        <f ca="1">IFERROR(__xludf.DUMMYFUNCTION("""COMPUTED_VALUE"""),1)</f>
        <v>1</v>
      </c>
      <c r="G1638" s="5">
        <f ca="1">IFERROR(__xludf.DUMMYFUNCTION("""COMPUTED_VALUE"""),0)</f>
        <v>0</v>
      </c>
      <c r="H1638" s="5" t="str">
        <f ca="1">IFERROR(__xludf.DUMMYFUNCTION("""COMPUTED_VALUE"""),"Mobile Register - Student Shoots Self in Finger; https://www.columbine-angels.com/School_Violence_1992-1993.htm")</f>
        <v>Mobile Register - Student Shoots Self in Finger; https://www.columbine-angels.com/School_Violence_1992-1993.htm</v>
      </c>
      <c r="I1638" s="5"/>
      <c r="J1638" s="5"/>
      <c r="K1638" s="5">
        <f ca="1">IFERROR(__xludf.DUMMYFUNCTION("""COMPUTED_VALUE"""),1)</f>
        <v>1</v>
      </c>
      <c r="L1638" s="5" t="str">
        <f ca="1">IFERROR(__xludf.DUMMYFUNCTION("""COMPUTED_VALUE"""),"Fall")</f>
        <v>Fall</v>
      </c>
      <c r="M1638" s="5" t="str">
        <f ca="1">IFERROR(__xludf.DUMMYFUNCTION("""COMPUTED_VALUE"""),"Montgomery")</f>
        <v>Montgomery</v>
      </c>
      <c r="N1638" s="5" t="str">
        <f ca="1">IFERROR(__xludf.DUMMYFUNCTION("""COMPUTED_VALUE"""),"AL")</f>
        <v>AL</v>
      </c>
      <c r="O1638" s="5" t="str">
        <f ca="1">IFERROR(__xludf.DUMMYFUNCTION("""COMPUTED_VALUE"""),"High")</f>
        <v>High</v>
      </c>
      <c r="P1638" s="5" t="str">
        <f ca="1">IFERROR(__xludf.DUMMYFUNCTION("""COMPUTED_VALUE"""),"Bathroom")</f>
        <v>Bathroom</v>
      </c>
      <c r="Q1638" s="5" t="str">
        <f ca="1">IFERROR(__xludf.DUMMYFUNCTION("""COMPUTED_VALUE"""),"Inside School Building")</f>
        <v>Inside School Building</v>
      </c>
      <c r="R1638" s="5" t="str">
        <f ca="1">IFERROR(__xludf.DUMMYFUNCTION("""COMPUTED_VALUE"""),"Yes")</f>
        <v>Yes</v>
      </c>
      <c r="S1638" s="5"/>
      <c r="T1638" s="5"/>
      <c r="U1638" s="5">
        <f ca="1">IFERROR(__xludf.DUMMYFUNCTION("""COMPUTED_VALUE"""),1)</f>
        <v>1</v>
      </c>
      <c r="V1638" s="5" t="str">
        <f ca="1">IFERROR(__xludf.DUMMYFUNCTION("""COMPUTED_VALUE"""),"Fight between two girls in school bathroom")</f>
        <v>Fight between two girls in school bathroom</v>
      </c>
      <c r="W1638"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X1638" s="5" t="str">
        <f ca="1">IFERROR(__xludf.DUMMYFUNCTION("""COMPUTED_VALUE"""),"Escalation of Dispute")</f>
        <v>Escalation of Dispute</v>
      </c>
      <c r="Y1638" s="5" t="str">
        <f ca="1">IFERROR(__xludf.DUMMYFUNCTION("""COMPUTED_VALUE"""),"Victims Targeted")</f>
        <v>Victims Targeted</v>
      </c>
      <c r="Z1638" s="5" t="str">
        <f ca="1">IFERROR(__xludf.DUMMYFUNCTION("""COMPUTED_VALUE"""),"No")</f>
        <v>No</v>
      </c>
      <c r="AA1638" s="5"/>
      <c r="AB1638" s="5" t="str">
        <f ca="1">IFERROR(__xludf.DUMMYFUNCTION("""COMPUTED_VALUE"""),"No")</f>
        <v>No</v>
      </c>
      <c r="AC1638" s="5" t="str">
        <f ca="1">IFERROR(__xludf.DUMMYFUNCTION("""COMPUTED_VALUE"""),"No")</f>
        <v>No</v>
      </c>
      <c r="AD1638" s="5" t="str">
        <f ca="1">IFERROR(__xludf.DUMMYFUNCTION("""COMPUTED_VALUE"""),"No")</f>
        <v>No</v>
      </c>
      <c r="AE1638" s="5" t="str">
        <f ca="1">IFERROR(__xludf.DUMMYFUNCTION("""COMPUTED_VALUE"""),"No")</f>
        <v>No</v>
      </c>
      <c r="AF1638" s="5" t="str">
        <f ca="1">IFERROR(__xludf.DUMMYFUNCTION("""COMPUTED_VALUE"""),"No")</f>
        <v>No</v>
      </c>
      <c r="AG1638" s="5" t="str">
        <f ca="1">IFERROR(__xludf.DUMMYFUNCTION("""COMPUTED_VALUE"""),"No")</f>
        <v>No</v>
      </c>
      <c r="AH1638" s="5"/>
    </row>
    <row r="1639" spans="1:34" ht="12.75">
      <c r="A1639" s="5" t="str">
        <f ca="1">IFERROR(__xludf.DUMMYFUNCTION("""COMPUTED_VALUE"""),"19921120ILTIC")</f>
        <v>19921120ILTIC</v>
      </c>
      <c r="B1639" s="8">
        <f ca="1">IFERROR(__xludf.DUMMYFUNCTION("""COMPUTED_VALUE"""),33928)</f>
        <v>33928</v>
      </c>
      <c r="C1639" s="5" t="str">
        <f ca="1">IFERROR(__xludf.DUMMYFUNCTION("""COMPUTED_VALUE"""),"Tilden High School")</f>
        <v>Tilden High School</v>
      </c>
      <c r="D1639" s="5">
        <f ca="1">IFERROR(__xludf.DUMMYFUNCTION("""COMPUTED_VALUE"""),1)</f>
        <v>1</v>
      </c>
      <c r="E1639" s="5">
        <f ca="1">IFERROR(__xludf.DUMMYFUNCTION("""COMPUTED_VALUE"""),2)</f>
        <v>2</v>
      </c>
      <c r="F1639" s="5">
        <f ca="1">IFERROR(__xludf.DUMMYFUNCTION("""COMPUTED_VALUE"""),3)</f>
        <v>3</v>
      </c>
      <c r="G1639" s="5">
        <f ca="1">IFERROR(__xludf.DUMMYFUNCTION("""COMPUTED_VALUE"""),0)</f>
        <v>0</v>
      </c>
      <c r="H1639" s="9" t="str">
        <f ca="1">IFERROR(__xludf.DUMMYFUNCTION("""COMPUTED_VALUE"""),"https://www.newspapers.com/image/389765443")</f>
        <v>https://www.newspapers.com/image/389765443</v>
      </c>
      <c r="I1639" s="5"/>
      <c r="J1639" s="5"/>
      <c r="K1639" s="5">
        <f ca="1">IFERROR(__xludf.DUMMYFUNCTION("""COMPUTED_VALUE"""),2)</f>
        <v>2</v>
      </c>
      <c r="L1639" s="5" t="str">
        <f ca="1">IFERROR(__xludf.DUMMYFUNCTION("""COMPUTED_VALUE"""),"Fall")</f>
        <v>Fall</v>
      </c>
      <c r="M1639" s="5" t="str">
        <f ca="1">IFERROR(__xludf.DUMMYFUNCTION("""COMPUTED_VALUE"""),"Chicago")</f>
        <v>Chicago</v>
      </c>
      <c r="N1639" s="5" t="str">
        <f ca="1">IFERROR(__xludf.DUMMYFUNCTION("""COMPUTED_VALUE"""),"IL")</f>
        <v>IL</v>
      </c>
      <c r="O1639" s="5" t="str">
        <f ca="1">IFERROR(__xludf.DUMMYFUNCTION("""COMPUTED_VALUE"""),"High")</f>
        <v>High</v>
      </c>
      <c r="P1639" s="5" t="str">
        <f ca="1">IFERROR(__xludf.DUMMYFUNCTION("""COMPUTED_VALUE"""),"Hallway")</f>
        <v>Hallway</v>
      </c>
      <c r="Q1639" s="5" t="str">
        <f ca="1">IFERROR(__xludf.DUMMYFUNCTION("""COMPUTED_VALUE"""),"Inside School Building")</f>
        <v>Inside School Building</v>
      </c>
      <c r="R1639" s="5" t="str">
        <f ca="1">IFERROR(__xludf.DUMMYFUNCTION("""COMPUTED_VALUE"""),"Yes")</f>
        <v>Yes</v>
      </c>
      <c r="S1639" s="5" t="str">
        <f ca="1">IFERROR(__xludf.DUMMYFUNCTION("""COMPUTED_VALUE"""),"Morning Classes")</f>
        <v>Morning Classes</v>
      </c>
      <c r="T1639" s="10">
        <f ca="1">IFERROR(__xludf.DUMMYFUNCTION("""COMPUTED_VALUE"""),0.416666666666666)</f>
        <v>0.41666666666666602</v>
      </c>
      <c r="U1639" s="5">
        <f ca="1">IFERROR(__xludf.DUMMYFUNCTION("""COMPUTED_VALUE"""),1)</f>
        <v>1</v>
      </c>
      <c r="V1639" s="5" t="str">
        <f ca="1">IFERROR(__xludf.DUMMYFUNCTION("""COMPUTED_VALUE"""),"Fight in the hallway, shooter fired 4 random shots")</f>
        <v>Fight in the hallway, shooter fired 4 random shots</v>
      </c>
      <c r="W1639"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X1639" s="5" t="str">
        <f ca="1">IFERROR(__xludf.DUMMYFUNCTION("""COMPUTED_VALUE"""),"Escalation of Dispute")</f>
        <v>Escalation of Dispute</v>
      </c>
      <c r="Y1639" s="5" t="str">
        <f ca="1">IFERROR(__xludf.DUMMYFUNCTION("""COMPUTED_VALUE"""),"Random Shooting")</f>
        <v>Random Shooting</v>
      </c>
      <c r="Z1639" s="5" t="str">
        <f ca="1">IFERROR(__xludf.DUMMYFUNCTION("""COMPUTED_VALUE"""),"No")</f>
        <v>No</v>
      </c>
      <c r="AA1639" s="5"/>
      <c r="AB1639" s="5" t="str">
        <f ca="1">IFERROR(__xludf.DUMMYFUNCTION("""COMPUTED_VALUE"""),"No")</f>
        <v>No</v>
      </c>
      <c r="AC1639" s="5" t="str">
        <f ca="1">IFERROR(__xludf.DUMMYFUNCTION("""COMPUTED_VALUE"""),"No")</f>
        <v>No</v>
      </c>
      <c r="AD1639" s="5" t="str">
        <f ca="1">IFERROR(__xludf.DUMMYFUNCTION("""COMPUTED_VALUE"""),"No")</f>
        <v>No</v>
      </c>
      <c r="AE1639" s="5" t="str">
        <f ca="1">IFERROR(__xludf.DUMMYFUNCTION("""COMPUTED_VALUE"""),"No")</f>
        <v>No</v>
      </c>
      <c r="AF1639" s="5" t="str">
        <f ca="1">IFERROR(__xludf.DUMMYFUNCTION("""COMPUTED_VALUE"""),"No")</f>
        <v>No</v>
      </c>
      <c r="AG1639" s="5" t="str">
        <f ca="1">IFERROR(__xludf.DUMMYFUNCTION("""COMPUTED_VALUE"""),"No")</f>
        <v>No</v>
      </c>
      <c r="AH1639" s="5"/>
    </row>
    <row r="1640" spans="1:34" ht="12.75">
      <c r="A1640" s="5" t="str">
        <f ca="1">IFERROR(__xludf.DUMMYFUNCTION("""COMPUTED_VALUE"""),"19921116ALFAB")</f>
        <v>19921116ALFAB</v>
      </c>
      <c r="B1640" s="8">
        <f ca="1">IFERROR(__xludf.DUMMYFUNCTION("""COMPUTED_VALUE"""),33924)</f>
        <v>33924</v>
      </c>
      <c r="C1640" s="5" t="str">
        <f ca="1">IFERROR(__xludf.DUMMYFUNCTION("""COMPUTED_VALUE"""),"Fairfield High School")</f>
        <v>Fairfield High School</v>
      </c>
      <c r="D1640" s="5">
        <f ca="1">IFERROR(__xludf.DUMMYFUNCTION("""COMPUTED_VALUE"""),1)</f>
        <v>1</v>
      </c>
      <c r="E1640" s="5">
        <f ca="1">IFERROR(__xludf.DUMMYFUNCTION("""COMPUTED_VALUE"""),0)</f>
        <v>0</v>
      </c>
      <c r="F1640" s="5">
        <f ca="1">IFERROR(__xludf.DUMMYFUNCTION("""COMPUTED_VALUE"""),1)</f>
        <v>1</v>
      </c>
      <c r="G1640" s="5">
        <f ca="1">IFERROR(__xludf.DUMMYFUNCTION("""COMPUTED_VALUE"""),0)</f>
        <v>0</v>
      </c>
      <c r="H1640" s="9" t="str">
        <f ca="1">IFERROR(__xludf.DUMMYFUNCTION("""COMPUTED_VALUE"""),"https://www.newspapers.com/image/106780083/?terms=Michael%2BJackson%2BJr")</f>
        <v>https://www.newspapers.com/image/106780083/?terms=Michael%2BJackson%2BJr</v>
      </c>
      <c r="I1640" s="5"/>
      <c r="J1640" s="5"/>
      <c r="K1640" s="5">
        <f ca="1">IFERROR(__xludf.DUMMYFUNCTION("""COMPUTED_VALUE"""),2)</f>
        <v>2</v>
      </c>
      <c r="L1640" s="5" t="str">
        <f ca="1">IFERROR(__xludf.DUMMYFUNCTION("""COMPUTED_VALUE"""),"Fall")</f>
        <v>Fall</v>
      </c>
      <c r="M1640" s="5" t="str">
        <f ca="1">IFERROR(__xludf.DUMMYFUNCTION("""COMPUTED_VALUE"""),"Birmingham")</f>
        <v>Birmingham</v>
      </c>
      <c r="N1640" s="5" t="str">
        <f ca="1">IFERROR(__xludf.DUMMYFUNCTION("""COMPUTED_VALUE"""),"AL")</f>
        <v>AL</v>
      </c>
      <c r="O1640" s="5" t="str">
        <f ca="1">IFERROR(__xludf.DUMMYFUNCTION("""COMPUTED_VALUE"""),"High")</f>
        <v>High</v>
      </c>
      <c r="P1640" s="5" t="str">
        <f ca="1">IFERROR(__xludf.DUMMYFUNCTION("""COMPUTED_VALUE"""),"Hallway")</f>
        <v>Hallway</v>
      </c>
      <c r="Q1640" s="5" t="str">
        <f ca="1">IFERROR(__xludf.DUMMYFUNCTION("""COMPUTED_VALUE"""),"Inside School Building")</f>
        <v>Inside School Building</v>
      </c>
      <c r="R1640" s="5" t="str">
        <f ca="1">IFERROR(__xludf.DUMMYFUNCTION("""COMPUTED_VALUE"""),"Yes")</f>
        <v>Yes</v>
      </c>
      <c r="S1640" s="5"/>
      <c r="T1640" s="5"/>
      <c r="U1640" s="5">
        <f ca="1">IFERROR(__xludf.DUMMYFUNCTION("""COMPUTED_VALUE"""),1)</f>
        <v>1</v>
      </c>
      <c r="V1640" s="5" t="str">
        <f ca="1">IFERROR(__xludf.DUMMYFUNCTION("""COMPUTED_VALUE"""),"4 youths shot victim during robbery")</f>
        <v>4 youths shot victim during robbery</v>
      </c>
      <c r="W1640" s="5" t="str">
        <f ca="1">IFERROR(__xludf.DUMMYFUNCTION("""COMPUTED_VALUE"""),"16YOM shot during robbery. 4 teens were trying to steal his new jacket.")</f>
        <v>16YOM shot during robbery. 4 teens were trying to steal his new jacket.</v>
      </c>
      <c r="X1640" s="5" t="str">
        <f ca="1">IFERROR(__xludf.DUMMYFUNCTION("""COMPUTED_VALUE"""),"Illegal Activity")</f>
        <v>Illegal Activity</v>
      </c>
      <c r="Y1640" s="5" t="str">
        <f ca="1">IFERROR(__xludf.DUMMYFUNCTION("""COMPUTED_VALUE"""),"Victims Targeted")</f>
        <v>Victims Targeted</v>
      </c>
      <c r="Z1640" s="5" t="str">
        <f ca="1">IFERROR(__xludf.DUMMYFUNCTION("""COMPUTED_VALUE"""),"Yes")</f>
        <v>Yes</v>
      </c>
      <c r="AA1640" s="5" t="str">
        <f ca="1">IFERROR(__xludf.DUMMYFUNCTION("""COMPUTED_VALUE"""),"4 teen involved in robbery")</f>
        <v>4 teen involved in robbery</v>
      </c>
      <c r="AB1640" s="5" t="str">
        <f ca="1">IFERROR(__xludf.DUMMYFUNCTION("""COMPUTED_VALUE"""),"No")</f>
        <v>No</v>
      </c>
      <c r="AC1640" s="5" t="str">
        <f ca="1">IFERROR(__xludf.DUMMYFUNCTION("""COMPUTED_VALUE"""),"No")</f>
        <v>No</v>
      </c>
      <c r="AD1640" s="5" t="str">
        <f ca="1">IFERROR(__xludf.DUMMYFUNCTION("""COMPUTED_VALUE"""),"No")</f>
        <v>No</v>
      </c>
      <c r="AE1640" s="5" t="str">
        <f ca="1">IFERROR(__xludf.DUMMYFUNCTION("""COMPUTED_VALUE"""),"No")</f>
        <v>No</v>
      </c>
      <c r="AF1640" s="5" t="str">
        <f ca="1">IFERROR(__xludf.DUMMYFUNCTION("""COMPUTED_VALUE"""),"No")</f>
        <v>No</v>
      </c>
      <c r="AG1640" s="5" t="str">
        <f ca="1">IFERROR(__xludf.DUMMYFUNCTION("""COMPUTED_VALUE"""),"No")</f>
        <v>No</v>
      </c>
      <c r="AH1640" s="5"/>
    </row>
    <row r="1641" spans="1:34" ht="12.75">
      <c r="A1641" s="5" t="str">
        <f ca="1">IFERROR(__xludf.DUMMYFUNCTION("""COMPUTED_VALUE"""),"19921113TXLAC")</f>
        <v>19921113TXLAC</v>
      </c>
      <c r="B1641" s="8">
        <f ca="1">IFERROR(__xludf.DUMMYFUNCTION("""COMPUTED_VALUE"""),33921)</f>
        <v>33921</v>
      </c>
      <c r="C1641" s="5" t="str">
        <f ca="1">IFERROR(__xludf.DUMMYFUNCTION("""COMPUTED_VALUE"""),"Langham Creek High School")</f>
        <v>Langham Creek High School</v>
      </c>
      <c r="D1641" s="5">
        <f ca="1">IFERROR(__xludf.DUMMYFUNCTION("""COMPUTED_VALUE"""),1)</f>
        <v>1</v>
      </c>
      <c r="E1641" s="5">
        <f ca="1">IFERROR(__xludf.DUMMYFUNCTION("""COMPUTED_VALUE"""),0)</f>
        <v>0</v>
      </c>
      <c r="F1641" s="5">
        <f ca="1">IFERROR(__xludf.DUMMYFUNCTION("""COMPUTED_VALUE"""),1)</f>
        <v>1</v>
      </c>
      <c r="G1641" s="5">
        <f ca="1">IFERROR(__xludf.DUMMYFUNCTION("""COMPUTED_VALUE"""),1)</f>
        <v>1</v>
      </c>
      <c r="H1641"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I1641" s="5"/>
      <c r="J1641" s="5"/>
      <c r="K1641" s="5">
        <f ca="1">IFERROR(__xludf.DUMMYFUNCTION("""COMPUTED_VALUE"""),1)</f>
        <v>1</v>
      </c>
      <c r="L1641" s="5" t="str">
        <f ca="1">IFERROR(__xludf.DUMMYFUNCTION("""COMPUTED_VALUE"""),"Fall")</f>
        <v>Fall</v>
      </c>
      <c r="M1641" s="5" t="str">
        <f ca="1">IFERROR(__xludf.DUMMYFUNCTION("""COMPUTED_VALUE"""),"Cypress")</f>
        <v>Cypress</v>
      </c>
      <c r="N1641" s="5" t="str">
        <f ca="1">IFERROR(__xludf.DUMMYFUNCTION("""COMPUTED_VALUE"""),"TX")</f>
        <v>TX</v>
      </c>
      <c r="O1641" s="5" t="str">
        <f ca="1">IFERROR(__xludf.DUMMYFUNCTION("""COMPUTED_VALUE"""),"High")</f>
        <v>High</v>
      </c>
      <c r="P1641" s="5" t="str">
        <f ca="1">IFERROR(__xludf.DUMMYFUNCTION("""COMPUTED_VALUE"""),"Parking Lot")</f>
        <v>Parking Lot</v>
      </c>
      <c r="Q1641" s="5" t="str">
        <f ca="1">IFERROR(__xludf.DUMMYFUNCTION("""COMPUTED_VALUE"""),"Outside on School Property")</f>
        <v>Outside on School Property</v>
      </c>
      <c r="R1641" s="5" t="str">
        <f ca="1">IFERROR(__xludf.DUMMYFUNCTION("""COMPUTED_VALUE"""),"Yes")</f>
        <v>Yes</v>
      </c>
      <c r="S1641" s="5" t="str">
        <f ca="1">IFERROR(__xludf.DUMMYFUNCTION("""COMPUTED_VALUE"""),"Afternoon Classes")</f>
        <v>Afternoon Classes</v>
      </c>
      <c r="T1641" s="10">
        <f ca="1">IFERROR(__xludf.DUMMYFUNCTION("""COMPUTED_VALUE"""),0.583333333333333)</f>
        <v>0.58333333333333304</v>
      </c>
      <c r="U1641" s="5">
        <f ca="1">IFERROR(__xludf.DUMMYFUNCTION("""COMPUTED_VALUE"""),1)</f>
        <v>1</v>
      </c>
      <c r="V1641" s="5" t="str">
        <f ca="1">IFERROR(__xludf.DUMMYFUNCTION("""COMPUTED_VALUE"""),"Murder suicide of estranged wife in parking lot")</f>
        <v>Murder suicide of estranged wife in parking lot</v>
      </c>
      <c r="W1641"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X1641" s="5" t="str">
        <f ca="1">IFERROR(__xludf.DUMMYFUNCTION("""COMPUTED_VALUE"""),"Murder/Suicide")</f>
        <v>Murder/Suicide</v>
      </c>
      <c r="Y1641" s="5" t="str">
        <f ca="1">IFERROR(__xludf.DUMMYFUNCTION("""COMPUTED_VALUE"""),"Victims Targeted")</f>
        <v>Victims Targeted</v>
      </c>
      <c r="Z1641" s="5" t="str">
        <f ca="1">IFERROR(__xludf.DUMMYFUNCTION("""COMPUTED_VALUE"""),"No")</f>
        <v>No</v>
      </c>
      <c r="AA1641" s="5"/>
      <c r="AB1641" s="5" t="str">
        <f ca="1">IFERROR(__xludf.DUMMYFUNCTION("""COMPUTED_VALUE"""),"No")</f>
        <v>No</v>
      </c>
      <c r="AC1641" s="5" t="str">
        <f ca="1">IFERROR(__xludf.DUMMYFUNCTION("""COMPUTED_VALUE"""),"No")</f>
        <v>No</v>
      </c>
      <c r="AD1641" s="5" t="str">
        <f ca="1">IFERROR(__xludf.DUMMYFUNCTION("""COMPUTED_VALUE"""),"No")</f>
        <v>No</v>
      </c>
      <c r="AE1641" s="5" t="str">
        <f ca="1">IFERROR(__xludf.DUMMYFUNCTION("""COMPUTED_VALUE"""),"No")</f>
        <v>No</v>
      </c>
      <c r="AF1641" s="5" t="str">
        <f ca="1">IFERROR(__xludf.DUMMYFUNCTION("""COMPUTED_VALUE"""),"Yes")</f>
        <v>Yes</v>
      </c>
      <c r="AG1641" s="5" t="str">
        <f ca="1">IFERROR(__xludf.DUMMYFUNCTION("""COMPUTED_VALUE"""),"No")</f>
        <v>No</v>
      </c>
      <c r="AH1641" s="5"/>
    </row>
    <row r="1642" spans="1:34" ht="12.75">
      <c r="A1642" s="5" t="str">
        <f ca="1">IFERROR(__xludf.DUMMYFUNCTION("""COMPUTED_VALUE"""),"19921110ILSHC")</f>
        <v>19921110ILSHC</v>
      </c>
      <c r="B1642" s="8">
        <f ca="1">IFERROR(__xludf.DUMMYFUNCTION("""COMPUTED_VALUE"""),33918)</f>
        <v>33918</v>
      </c>
      <c r="C1642" s="5" t="str">
        <f ca="1">IFERROR(__xludf.DUMMYFUNCTION("""COMPUTED_VALUE"""),"Sherman Elementary School")</f>
        <v>Sherman Elementary School</v>
      </c>
      <c r="D1642" s="5">
        <f ca="1">IFERROR(__xludf.DUMMYFUNCTION("""COMPUTED_VALUE"""),0)</f>
        <v>0</v>
      </c>
      <c r="E1642" s="5">
        <f ca="1">IFERROR(__xludf.DUMMYFUNCTION("""COMPUTED_VALUE"""),0)</f>
        <v>0</v>
      </c>
      <c r="F1642" s="5">
        <f ca="1">IFERROR(__xludf.DUMMYFUNCTION("""COMPUTED_VALUE"""),0)</f>
        <v>0</v>
      </c>
      <c r="G1642" s="5">
        <f ca="1">IFERROR(__xludf.DUMMYFUNCTION("""COMPUTED_VALUE"""),1)</f>
        <v>1</v>
      </c>
      <c r="H1642" s="9" t="str">
        <f ca="1">IFERROR(__xludf.DUMMYFUNCTION("""COMPUTED_VALUE"""),"https://www.newspapers.com/image/389728711/?terms=Willie%2BClayborn")</f>
        <v>https://www.newspapers.com/image/389728711/?terms=Willie%2BClayborn</v>
      </c>
      <c r="I1642" s="5"/>
      <c r="J1642" s="5"/>
      <c r="K1642" s="5">
        <f ca="1">IFERROR(__xludf.DUMMYFUNCTION("""COMPUTED_VALUE"""),2)</f>
        <v>2</v>
      </c>
      <c r="L1642" s="5" t="str">
        <f ca="1">IFERROR(__xludf.DUMMYFUNCTION("""COMPUTED_VALUE"""),"Fall")</f>
        <v>Fall</v>
      </c>
      <c r="M1642" s="5" t="str">
        <f ca="1">IFERROR(__xludf.DUMMYFUNCTION("""COMPUTED_VALUE"""),"Chicago")</f>
        <v>Chicago</v>
      </c>
      <c r="N1642" s="5" t="str">
        <f ca="1">IFERROR(__xludf.DUMMYFUNCTION("""COMPUTED_VALUE"""),"IL")</f>
        <v>IL</v>
      </c>
      <c r="O1642" s="5" t="str">
        <f ca="1">IFERROR(__xludf.DUMMYFUNCTION("""COMPUTED_VALUE"""),"Elementary")</f>
        <v>Elementary</v>
      </c>
      <c r="P1642" s="5" t="str">
        <f ca="1">IFERROR(__xludf.DUMMYFUNCTION("""COMPUTED_VALUE"""),"Classroom")</f>
        <v>Classroom</v>
      </c>
      <c r="Q1642" s="5" t="str">
        <f ca="1">IFERROR(__xludf.DUMMYFUNCTION("""COMPUTED_VALUE"""),"Inside School Building")</f>
        <v>Inside School Building</v>
      </c>
      <c r="R1642" s="5" t="str">
        <f ca="1">IFERROR(__xludf.DUMMYFUNCTION("""COMPUTED_VALUE"""),"Yes")</f>
        <v>Yes</v>
      </c>
      <c r="S1642" s="5"/>
      <c r="T1642" s="5"/>
      <c r="U1642" s="5">
        <f ca="1">IFERROR(__xludf.DUMMYFUNCTION("""COMPUTED_VALUE"""),1)</f>
        <v>1</v>
      </c>
      <c r="V1642" s="5" t="str">
        <f ca="1">IFERROR(__xludf.DUMMYFUNCTION("""COMPUTED_VALUE"""),"Playing with gun in classroom, shot himself in the head")</f>
        <v>Playing with gun in classroom, shot himself in the head</v>
      </c>
      <c r="W1642"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X1642" s="5" t="str">
        <f ca="1">IFERROR(__xludf.DUMMYFUNCTION("""COMPUTED_VALUE"""),"Accidental")</f>
        <v>Accidental</v>
      </c>
      <c r="Y1642" s="5" t="str">
        <f ca="1">IFERROR(__xludf.DUMMYFUNCTION("""COMPUTED_VALUE"""),"Victims Targeted")</f>
        <v>Victims Targeted</v>
      </c>
      <c r="Z1642" s="5" t="str">
        <f ca="1">IFERROR(__xludf.DUMMYFUNCTION("""COMPUTED_VALUE"""),"No")</f>
        <v>No</v>
      </c>
      <c r="AA1642" s="5"/>
      <c r="AB1642" s="5" t="str">
        <f ca="1">IFERROR(__xludf.DUMMYFUNCTION("""COMPUTED_VALUE"""),"No")</f>
        <v>No</v>
      </c>
      <c r="AC1642" s="5" t="str">
        <f ca="1">IFERROR(__xludf.DUMMYFUNCTION("""COMPUTED_VALUE"""),"No")</f>
        <v>No</v>
      </c>
      <c r="AD1642" s="5" t="str">
        <f ca="1">IFERROR(__xludf.DUMMYFUNCTION("""COMPUTED_VALUE"""),"No")</f>
        <v>No</v>
      </c>
      <c r="AE1642" s="5" t="str">
        <f ca="1">IFERROR(__xludf.DUMMYFUNCTION("""COMPUTED_VALUE"""),"No")</f>
        <v>No</v>
      </c>
      <c r="AF1642" s="5" t="str">
        <f ca="1">IFERROR(__xludf.DUMMYFUNCTION("""COMPUTED_VALUE"""),"No")</f>
        <v>No</v>
      </c>
      <c r="AG1642" s="5" t="str">
        <f ca="1">IFERROR(__xludf.DUMMYFUNCTION("""COMPUTED_VALUE"""),"No")</f>
        <v>No</v>
      </c>
      <c r="AH1642" s="5"/>
    </row>
    <row r="1643" spans="1:34" ht="12.75">
      <c r="A1643" s="5" t="str">
        <f ca="1">IFERROR(__xludf.DUMMYFUNCTION("""COMPUTED_VALUE"""),"19921104MIMUD")</f>
        <v>19921104MIMUD</v>
      </c>
      <c r="B1643" s="8">
        <f ca="1">IFERROR(__xludf.DUMMYFUNCTION("""COMPUTED_VALUE"""),33912)</f>
        <v>33912</v>
      </c>
      <c r="C1643" s="5" t="str">
        <f ca="1">IFERROR(__xludf.DUMMYFUNCTION("""COMPUTED_VALUE"""),"Mumford High School")</f>
        <v>Mumford High School</v>
      </c>
      <c r="D1643" s="5">
        <f ca="1">IFERROR(__xludf.DUMMYFUNCTION("""COMPUTED_VALUE"""),0)</f>
        <v>0</v>
      </c>
      <c r="E1643" s="5">
        <f ca="1">IFERROR(__xludf.DUMMYFUNCTION("""COMPUTED_VALUE"""),3)</f>
        <v>3</v>
      </c>
      <c r="F1643" s="5">
        <f ca="1">IFERROR(__xludf.DUMMYFUNCTION("""COMPUTED_VALUE"""),3)</f>
        <v>3</v>
      </c>
      <c r="G1643" s="5">
        <f ca="1">IFERROR(__xludf.DUMMYFUNCTION("""COMPUTED_VALUE"""),0)</f>
        <v>0</v>
      </c>
      <c r="H1643"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I1643" s="5"/>
      <c r="J1643" s="5"/>
      <c r="K1643" s="5">
        <f ca="1">IFERROR(__xludf.DUMMYFUNCTION("""COMPUTED_VALUE"""),3)</f>
        <v>3</v>
      </c>
      <c r="L1643" s="5" t="str">
        <f ca="1">IFERROR(__xludf.DUMMYFUNCTION("""COMPUTED_VALUE"""),"Fall")</f>
        <v>Fall</v>
      </c>
      <c r="M1643" s="5" t="str">
        <f ca="1">IFERROR(__xludf.DUMMYFUNCTION("""COMPUTED_VALUE"""),"Detroit")</f>
        <v>Detroit</v>
      </c>
      <c r="N1643" s="5" t="str">
        <f ca="1">IFERROR(__xludf.DUMMYFUNCTION("""COMPUTED_VALUE"""),"MI")</f>
        <v>MI</v>
      </c>
      <c r="O1643" s="5" t="str">
        <f ca="1">IFERROR(__xludf.DUMMYFUNCTION("""COMPUTED_VALUE"""),"High")</f>
        <v>High</v>
      </c>
      <c r="P1643" s="5" t="str">
        <f ca="1">IFERROR(__xludf.DUMMYFUNCTION("""COMPUTED_VALUE"""),"Front of School")</f>
        <v>Front of School</v>
      </c>
      <c r="Q1643" s="5" t="str">
        <f ca="1">IFERROR(__xludf.DUMMYFUNCTION("""COMPUTED_VALUE"""),"Outside on School Property")</f>
        <v>Outside on School Property</v>
      </c>
      <c r="R1643" s="5" t="str">
        <f ca="1">IFERROR(__xludf.DUMMYFUNCTION("""COMPUTED_VALUE"""),"Yes")</f>
        <v>Yes</v>
      </c>
      <c r="S1643" s="5" t="str">
        <f ca="1">IFERROR(__xludf.DUMMYFUNCTION("""COMPUTED_VALUE"""),"Afternoon Classes")</f>
        <v>Afternoon Classes</v>
      </c>
      <c r="T1643" s="10">
        <f ca="1">IFERROR(__xludf.DUMMYFUNCTION("""COMPUTED_VALUE"""),0.614583333333333)</f>
        <v>0.61458333333333304</v>
      </c>
      <c r="U1643" s="5">
        <f ca="1">IFERROR(__xludf.DUMMYFUNCTION("""COMPUTED_VALUE"""),1)</f>
        <v>1</v>
      </c>
      <c r="V1643" s="5" t="str">
        <f ca="1">IFERROR(__xludf.DUMMYFUNCTION("""COMPUTED_VALUE"""),"Bystander student hit during related drive-by")</f>
        <v>Bystander student hit during related drive-by</v>
      </c>
      <c r="W1643"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X1643" s="5" t="str">
        <f ca="1">IFERROR(__xludf.DUMMYFUNCTION("""COMPUTED_VALUE"""),"Drive-by Shooting")</f>
        <v>Drive-by Shooting</v>
      </c>
      <c r="Y1643" s="5"/>
      <c r="Z1643" s="5" t="str">
        <f ca="1">IFERROR(__xludf.DUMMYFUNCTION("""COMPUTED_VALUE"""),"Yes")</f>
        <v>Yes</v>
      </c>
      <c r="AA1643" s="5" t="str">
        <f ca="1">IFERROR(__xludf.DUMMYFUNCTION("""COMPUTED_VALUE"""),"3 teens involved, unclear how many were shooting")</f>
        <v>3 teens involved, unclear how many were shooting</v>
      </c>
      <c r="AB1643" s="5" t="str">
        <f ca="1">IFERROR(__xludf.DUMMYFUNCTION("""COMPUTED_VALUE"""),"No")</f>
        <v>No</v>
      </c>
      <c r="AC1643" s="5" t="str">
        <f ca="1">IFERROR(__xludf.DUMMYFUNCTION("""COMPUTED_VALUE"""),"No")</f>
        <v>No</v>
      </c>
      <c r="AD1643" s="5" t="str">
        <f ca="1">IFERROR(__xludf.DUMMYFUNCTION("""COMPUTED_VALUE"""),"No")</f>
        <v>No</v>
      </c>
      <c r="AE1643" s="5" t="str">
        <f ca="1">IFERROR(__xludf.DUMMYFUNCTION("""COMPUTED_VALUE"""),"No")</f>
        <v>No</v>
      </c>
      <c r="AF1643" s="5" t="str">
        <f ca="1">IFERROR(__xludf.DUMMYFUNCTION("""COMPUTED_VALUE"""),"No")</f>
        <v>No</v>
      </c>
      <c r="AG1643" s="5" t="str">
        <f ca="1">IFERROR(__xludf.DUMMYFUNCTION("""COMPUTED_VALUE"""),"Yes")</f>
        <v>Yes</v>
      </c>
      <c r="AH1643" s="5"/>
    </row>
    <row r="1644" spans="1:34" ht="12.75">
      <c r="A1644" s="5" t="str">
        <f ca="1">IFERROR(__xludf.DUMMYFUNCTION("""COMPUTED_VALUE"""),"19921104MIMAD")</f>
        <v>19921104MIMAD</v>
      </c>
      <c r="B1644" s="8">
        <f ca="1">IFERROR(__xludf.DUMMYFUNCTION("""COMPUTED_VALUE"""),33912)</f>
        <v>33912</v>
      </c>
      <c r="C1644" s="5" t="str">
        <f ca="1">IFERROR(__xludf.DUMMYFUNCTION("""COMPUTED_VALUE"""),"Marcus Garvey Academy")</f>
        <v>Marcus Garvey Academy</v>
      </c>
      <c r="D1644" s="5">
        <f ca="1">IFERROR(__xludf.DUMMYFUNCTION("""COMPUTED_VALUE"""),0)</f>
        <v>0</v>
      </c>
      <c r="E1644" s="5">
        <f ca="1">IFERROR(__xludf.DUMMYFUNCTION("""COMPUTED_VALUE"""),1)</f>
        <v>1</v>
      </c>
      <c r="F1644" s="5">
        <f ca="1">IFERROR(__xludf.DUMMYFUNCTION("""COMPUTED_VALUE"""),1)</f>
        <v>1</v>
      </c>
      <c r="G1644" s="5">
        <f ca="1">IFERROR(__xludf.DUMMYFUNCTION("""COMPUTED_VALUE"""),0)</f>
        <v>0</v>
      </c>
      <c r="H1644"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I1644" s="5"/>
      <c r="J1644" s="5"/>
      <c r="K1644" s="5">
        <f ca="1">IFERROR(__xludf.DUMMYFUNCTION("""COMPUTED_VALUE"""),3)</f>
        <v>3</v>
      </c>
      <c r="L1644" s="5" t="str">
        <f ca="1">IFERROR(__xludf.DUMMYFUNCTION("""COMPUTED_VALUE"""),"Fall")</f>
        <v>Fall</v>
      </c>
      <c r="M1644" s="5" t="str">
        <f ca="1">IFERROR(__xludf.DUMMYFUNCTION("""COMPUTED_VALUE"""),"Detroit")</f>
        <v>Detroit</v>
      </c>
      <c r="N1644" s="5" t="str">
        <f ca="1">IFERROR(__xludf.DUMMYFUNCTION("""COMPUTED_VALUE"""),"MI")</f>
        <v>MI</v>
      </c>
      <c r="O1644" s="5" t="str">
        <f ca="1">IFERROR(__xludf.DUMMYFUNCTION("""COMPUTED_VALUE"""),"K-8")</f>
        <v>K-8</v>
      </c>
      <c r="P1644" s="5" t="str">
        <f ca="1">IFERROR(__xludf.DUMMYFUNCTION("""COMPUTED_VALUE"""),"Front of School")</f>
        <v>Front of School</v>
      </c>
      <c r="Q1644" s="5" t="str">
        <f ca="1">IFERROR(__xludf.DUMMYFUNCTION("""COMPUTED_VALUE"""),"Outside on School Property")</f>
        <v>Outside on School Property</v>
      </c>
      <c r="R1644" s="5" t="str">
        <f ca="1">IFERROR(__xludf.DUMMYFUNCTION("""COMPUTED_VALUE"""),"Yes")</f>
        <v>Yes</v>
      </c>
      <c r="S1644" s="5" t="str">
        <f ca="1">IFERROR(__xludf.DUMMYFUNCTION("""COMPUTED_VALUE"""),"Dismissal")</f>
        <v>Dismissal</v>
      </c>
      <c r="T1644" s="10">
        <f ca="1">IFERROR(__xludf.DUMMYFUNCTION("""COMPUTED_VALUE"""),0.614583333333333)</f>
        <v>0.61458333333333304</v>
      </c>
      <c r="U1644" s="5">
        <f ca="1">IFERROR(__xludf.DUMMYFUNCTION("""COMPUTED_VALUE"""),1)</f>
        <v>1</v>
      </c>
      <c r="V1644" s="5" t="str">
        <f ca="1">IFERROR(__xludf.DUMMYFUNCTION("""COMPUTED_VALUE"""),"Bystander student hit during related drive-by")</f>
        <v>Bystander student hit during related drive-by</v>
      </c>
      <c r="W1644" s="5" t="str">
        <f ca="1">IFERROR(__xludf.DUMMYFUNCTION("""COMPUTED_VALUE"""),"Student was shot outside of the school during a targeted drive by shootings.")</f>
        <v>Student was shot outside of the school during a targeted drive by shootings.</v>
      </c>
      <c r="X1644" s="5" t="str">
        <f ca="1">IFERROR(__xludf.DUMMYFUNCTION("""COMPUTED_VALUE"""),"Drive-by Shooting")</f>
        <v>Drive-by Shooting</v>
      </c>
      <c r="Y1644" s="5"/>
      <c r="Z1644" s="5" t="str">
        <f ca="1">IFERROR(__xludf.DUMMYFUNCTION("""COMPUTED_VALUE"""),"No")</f>
        <v>No</v>
      </c>
      <c r="AA1644" s="5"/>
      <c r="AB1644" s="5" t="str">
        <f ca="1">IFERROR(__xludf.DUMMYFUNCTION("""COMPUTED_VALUE"""),"No")</f>
        <v>No</v>
      </c>
      <c r="AC1644" s="5" t="str">
        <f ca="1">IFERROR(__xludf.DUMMYFUNCTION("""COMPUTED_VALUE"""),"No")</f>
        <v>No</v>
      </c>
      <c r="AD1644" s="5" t="str">
        <f ca="1">IFERROR(__xludf.DUMMYFUNCTION("""COMPUTED_VALUE"""),"No")</f>
        <v>No</v>
      </c>
      <c r="AE1644" s="5" t="str">
        <f ca="1">IFERROR(__xludf.DUMMYFUNCTION("""COMPUTED_VALUE"""),"No")</f>
        <v>No</v>
      </c>
      <c r="AF1644" s="5" t="str">
        <f ca="1">IFERROR(__xludf.DUMMYFUNCTION("""COMPUTED_VALUE"""),"No")</f>
        <v>No</v>
      </c>
      <c r="AG1644" s="5" t="str">
        <f ca="1">IFERROR(__xludf.DUMMYFUNCTION("""COMPUTED_VALUE"""),"Yes")</f>
        <v>Yes</v>
      </c>
      <c r="AH1644" s="5"/>
    </row>
    <row r="1645" spans="1:34" ht="12.75">
      <c r="A1645" s="5" t="str">
        <f ca="1">IFERROR(__xludf.DUMMYFUNCTION("""COMPUTED_VALUE"""),"19921104MIFID")</f>
        <v>19921104MIFID</v>
      </c>
      <c r="B1645" s="8">
        <f ca="1">IFERROR(__xludf.DUMMYFUNCTION("""COMPUTED_VALUE"""),33912)</f>
        <v>33912</v>
      </c>
      <c r="C1645" s="5" t="str">
        <f ca="1">IFERROR(__xludf.DUMMYFUNCTION("""COMPUTED_VALUE"""),"Finney High School")</f>
        <v>Finney High School</v>
      </c>
      <c r="D1645" s="5">
        <f ca="1">IFERROR(__xludf.DUMMYFUNCTION("""COMPUTED_VALUE"""),0)</f>
        <v>0</v>
      </c>
      <c r="E1645" s="5">
        <f ca="1">IFERROR(__xludf.DUMMYFUNCTION("""COMPUTED_VALUE"""),0)</f>
        <v>0</v>
      </c>
      <c r="F1645" s="5">
        <f ca="1">IFERROR(__xludf.DUMMYFUNCTION("""COMPUTED_VALUE"""),0)</f>
        <v>0</v>
      </c>
      <c r="G1645" s="5">
        <f ca="1">IFERROR(__xludf.DUMMYFUNCTION("""COMPUTED_VALUE"""),0)</f>
        <v>0</v>
      </c>
      <c r="H1645"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I1645" s="5"/>
      <c r="J1645" s="5"/>
      <c r="K1645" s="5">
        <f ca="1">IFERROR(__xludf.DUMMYFUNCTION("""COMPUTED_VALUE"""),3)</f>
        <v>3</v>
      </c>
      <c r="L1645" s="5" t="str">
        <f ca="1">IFERROR(__xludf.DUMMYFUNCTION("""COMPUTED_VALUE"""),"Fall")</f>
        <v>Fall</v>
      </c>
      <c r="M1645" s="5" t="str">
        <f ca="1">IFERROR(__xludf.DUMMYFUNCTION("""COMPUTED_VALUE"""),"Detroit")</f>
        <v>Detroit</v>
      </c>
      <c r="N1645" s="5" t="str">
        <f ca="1">IFERROR(__xludf.DUMMYFUNCTION("""COMPUTED_VALUE"""),"MI")</f>
        <v>MI</v>
      </c>
      <c r="O1645" s="5" t="str">
        <f ca="1">IFERROR(__xludf.DUMMYFUNCTION("""COMPUTED_VALUE"""),"High")</f>
        <v>High</v>
      </c>
      <c r="P1645" s="5" t="str">
        <f ca="1">IFERROR(__xludf.DUMMYFUNCTION("""COMPUTED_VALUE"""),"Hallway")</f>
        <v>Hallway</v>
      </c>
      <c r="Q1645" s="5" t="str">
        <f ca="1">IFERROR(__xludf.DUMMYFUNCTION("""COMPUTED_VALUE"""),"Inside School Building")</f>
        <v>Inside School Building</v>
      </c>
      <c r="R1645" s="5" t="str">
        <f ca="1">IFERROR(__xludf.DUMMYFUNCTION("""COMPUTED_VALUE"""),"Yes")</f>
        <v>Yes</v>
      </c>
      <c r="S1645" s="5" t="str">
        <f ca="1">IFERROR(__xludf.DUMMYFUNCTION("""COMPUTED_VALUE"""),"Morning Classes")</f>
        <v>Morning Classes</v>
      </c>
      <c r="T1645" s="10">
        <f ca="1">IFERROR(__xludf.DUMMYFUNCTION("""COMPUTED_VALUE"""),0.4375)</f>
        <v>0.4375</v>
      </c>
      <c r="U1645" s="5">
        <f ca="1">IFERROR(__xludf.DUMMYFUNCTION("""COMPUTED_VALUE"""),1)</f>
        <v>1</v>
      </c>
      <c r="V1645" s="5" t="str">
        <f ca="1">IFERROR(__xludf.DUMMYFUNCTION("""COMPUTED_VALUE"""),"Gang related shooting in hallway")</f>
        <v>Gang related shooting in hallway</v>
      </c>
      <c r="W1645"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X1645" s="5" t="str">
        <f ca="1">IFERROR(__xludf.DUMMYFUNCTION("""COMPUTED_VALUE"""),"Indiscriminate Shooting")</f>
        <v>Indiscriminate Shooting</v>
      </c>
      <c r="Y1645" s="5" t="str">
        <f ca="1">IFERROR(__xludf.DUMMYFUNCTION("""COMPUTED_VALUE"""),"Both")</f>
        <v>Both</v>
      </c>
      <c r="Z1645" s="5" t="str">
        <f ca="1">IFERROR(__xludf.DUMMYFUNCTION("""COMPUTED_VALUE"""),"Yes")</f>
        <v>Yes</v>
      </c>
      <c r="AA1645" s="5" t="str">
        <f ca="1">IFERROR(__xludf.DUMMYFUNCTION("""COMPUTED_VALUE"""),"Group of three shooters")</f>
        <v>Group of three shooters</v>
      </c>
      <c r="AB1645" s="5" t="str">
        <f ca="1">IFERROR(__xludf.DUMMYFUNCTION("""COMPUTED_VALUE"""),"No")</f>
        <v>No</v>
      </c>
      <c r="AC1645" s="5" t="str">
        <f ca="1">IFERROR(__xludf.DUMMYFUNCTION("""COMPUTED_VALUE"""),"No")</f>
        <v>No</v>
      </c>
      <c r="AD1645" s="5" t="str">
        <f ca="1">IFERROR(__xludf.DUMMYFUNCTION("""COMPUTED_VALUE"""),"No")</f>
        <v>No</v>
      </c>
      <c r="AE1645" s="5" t="str">
        <f ca="1">IFERROR(__xludf.DUMMYFUNCTION("""COMPUTED_VALUE"""),"No")</f>
        <v>No</v>
      </c>
      <c r="AF1645" s="5" t="str">
        <f ca="1">IFERROR(__xludf.DUMMYFUNCTION("""COMPUTED_VALUE"""),"No")</f>
        <v>No</v>
      </c>
      <c r="AG1645" s="5" t="str">
        <f ca="1">IFERROR(__xludf.DUMMYFUNCTION("""COMPUTED_VALUE"""),"Yes")</f>
        <v>Yes</v>
      </c>
      <c r="AH1645" s="5"/>
    </row>
    <row r="1646" spans="1:34" ht="12.75">
      <c r="A1646" s="5" t="str">
        <f ca="1">IFERROR(__xludf.DUMMYFUNCTION("""COMPUTED_VALUE"""),"19921019NYEVB")</f>
        <v>19921019NYEVB</v>
      </c>
      <c r="B1646" s="8">
        <f ca="1">IFERROR(__xludf.DUMMYFUNCTION("""COMPUTED_VALUE"""),33896)</f>
        <v>33896</v>
      </c>
      <c r="C1646" s="5" t="str">
        <f ca="1">IFERROR(__xludf.DUMMYFUNCTION("""COMPUTED_VALUE"""),"Evander Childs High School")</f>
        <v>Evander Childs High School</v>
      </c>
      <c r="D1646" s="5">
        <f ca="1">IFERROR(__xludf.DUMMYFUNCTION("""COMPUTED_VALUE"""),0)</f>
        <v>0</v>
      </c>
      <c r="E1646" s="5">
        <f ca="1">IFERROR(__xludf.DUMMYFUNCTION("""COMPUTED_VALUE"""),3)</f>
        <v>3</v>
      </c>
      <c r="F1646" s="5">
        <f ca="1">IFERROR(__xludf.DUMMYFUNCTION("""COMPUTED_VALUE"""),3)</f>
        <v>3</v>
      </c>
      <c r="G1646" s="5">
        <f ca="1">IFERROR(__xludf.DUMMYFUNCTION("""COMPUTED_VALUE"""),0)</f>
        <v>0</v>
      </c>
      <c r="H1646" s="9" t="str">
        <f ca="1">IFERROR(__xludf.DUMMYFUNCTION("""COMPUTED_VALUE"""),"https://www.nytimes.com/1992/10/20/nyregion/3-teen-agers-shot-in-bronx-near-a-school.html")</f>
        <v>https://www.nytimes.com/1992/10/20/nyregion/3-teen-agers-shot-in-bronx-near-a-school.html</v>
      </c>
      <c r="I1646" s="5"/>
      <c r="J1646" s="5"/>
      <c r="K1646" s="5">
        <f ca="1">IFERROR(__xludf.DUMMYFUNCTION("""COMPUTED_VALUE"""),2)</f>
        <v>2</v>
      </c>
      <c r="L1646" s="5" t="str">
        <f ca="1">IFERROR(__xludf.DUMMYFUNCTION("""COMPUTED_VALUE"""),"Fall")</f>
        <v>Fall</v>
      </c>
      <c r="M1646" s="5" t="str">
        <f ca="1">IFERROR(__xludf.DUMMYFUNCTION("""COMPUTED_VALUE"""),"Bronx")</f>
        <v>Bronx</v>
      </c>
      <c r="N1646" s="5" t="str">
        <f ca="1">IFERROR(__xludf.DUMMYFUNCTION("""COMPUTED_VALUE"""),"NY")</f>
        <v>NY</v>
      </c>
      <c r="O1646" s="5" t="str">
        <f ca="1">IFERROR(__xludf.DUMMYFUNCTION("""COMPUTED_VALUE"""),"High")</f>
        <v>High</v>
      </c>
      <c r="P1646" s="5" t="str">
        <f ca="1">IFERROR(__xludf.DUMMYFUNCTION("""COMPUTED_VALUE"""),"Beside Building")</f>
        <v>Beside Building</v>
      </c>
      <c r="Q1646" s="5" t="str">
        <f ca="1">IFERROR(__xludf.DUMMYFUNCTION("""COMPUTED_VALUE"""),"Outside on School Property")</f>
        <v>Outside on School Property</v>
      </c>
      <c r="R1646" s="5" t="str">
        <f ca="1">IFERROR(__xludf.DUMMYFUNCTION("""COMPUTED_VALUE"""),"Yes")</f>
        <v>Yes</v>
      </c>
      <c r="S1646" s="5" t="str">
        <f ca="1">IFERROR(__xludf.DUMMYFUNCTION("""COMPUTED_VALUE"""),"Afternoon Classes")</f>
        <v>Afternoon Classes</v>
      </c>
      <c r="T1646" s="10">
        <f ca="1">IFERROR(__xludf.DUMMYFUNCTION("""COMPUTED_VALUE"""),0.574305555555555)</f>
        <v>0.57430555555555496</v>
      </c>
      <c r="U1646" s="5">
        <f ca="1">IFERROR(__xludf.DUMMYFUNCTION("""COMPUTED_VALUE"""),1)</f>
        <v>1</v>
      </c>
      <c r="V1646" s="5" t="str">
        <f ca="1">IFERROR(__xludf.DUMMYFUNCTION("""COMPUTED_VALUE"""),"Bystander student shot in hallway during gang shooting")</f>
        <v>Bystander student shot in hallway during gang shooting</v>
      </c>
      <c r="W1646"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X1646" s="5" t="str">
        <f ca="1">IFERROR(__xludf.DUMMYFUNCTION("""COMPUTED_VALUE"""),"Escalation of Dispute")</f>
        <v>Escalation of Dispute</v>
      </c>
      <c r="Y1646" s="5" t="str">
        <f ca="1">IFERROR(__xludf.DUMMYFUNCTION("""COMPUTED_VALUE"""),"Victims Targeted")</f>
        <v>Victims Targeted</v>
      </c>
      <c r="Z1646" s="5" t="str">
        <f ca="1">IFERROR(__xludf.DUMMYFUNCTION("""COMPUTED_VALUE"""),"No")</f>
        <v>No</v>
      </c>
      <c r="AA1646" s="5"/>
      <c r="AB1646" s="5" t="str">
        <f ca="1">IFERROR(__xludf.DUMMYFUNCTION("""COMPUTED_VALUE"""),"No")</f>
        <v>No</v>
      </c>
      <c r="AC1646" s="5" t="str">
        <f ca="1">IFERROR(__xludf.DUMMYFUNCTION("""COMPUTED_VALUE"""),"No")</f>
        <v>No</v>
      </c>
      <c r="AD1646" s="5" t="str">
        <f ca="1">IFERROR(__xludf.DUMMYFUNCTION("""COMPUTED_VALUE"""),"No")</f>
        <v>No</v>
      </c>
      <c r="AE1646" s="5" t="str">
        <f ca="1">IFERROR(__xludf.DUMMYFUNCTION("""COMPUTED_VALUE"""),"No")</f>
        <v>No</v>
      </c>
      <c r="AF1646" s="5" t="str">
        <f ca="1">IFERROR(__xludf.DUMMYFUNCTION("""COMPUTED_VALUE"""),"No")</f>
        <v>No</v>
      </c>
      <c r="AG1646" s="5" t="str">
        <f ca="1">IFERROR(__xludf.DUMMYFUNCTION("""COMPUTED_VALUE"""),"Yes")</f>
        <v>Yes</v>
      </c>
      <c r="AH1646" s="5"/>
    </row>
    <row r="1647" spans="1:34" ht="12.75">
      <c r="A1647" s="5" t="str">
        <f ca="1">IFERROR(__xludf.DUMMYFUNCTION("""COMPUTED_VALUE"""),"19921013AZDET")</f>
        <v>19921013AZDET</v>
      </c>
      <c r="B1647" s="8">
        <f ca="1">IFERROR(__xludf.DUMMYFUNCTION("""COMPUTED_VALUE"""),33890)</f>
        <v>33890</v>
      </c>
      <c r="C1647" s="5" t="str">
        <f ca="1">IFERROR(__xludf.DUMMYFUNCTION("""COMPUTED_VALUE"""),"Desert View High School")</f>
        <v>Desert View High School</v>
      </c>
      <c r="D1647" s="5">
        <f ca="1">IFERROR(__xludf.DUMMYFUNCTION("""COMPUTED_VALUE"""),1)</f>
        <v>1</v>
      </c>
      <c r="E1647" s="5">
        <f ca="1">IFERROR(__xludf.DUMMYFUNCTION("""COMPUTED_VALUE"""),0)</f>
        <v>0</v>
      </c>
      <c r="F1647" s="5">
        <f ca="1">IFERROR(__xludf.DUMMYFUNCTION("""COMPUTED_VALUE"""),1)</f>
        <v>1</v>
      </c>
      <c r="G1647" s="5">
        <f ca="1">IFERROR(__xludf.DUMMYFUNCTION("""COMPUTED_VALUE"""),0)</f>
        <v>0</v>
      </c>
      <c r="H1647"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I1647" s="5"/>
      <c r="J1647" s="5"/>
      <c r="K1647" s="5">
        <f ca="1">IFERROR(__xludf.DUMMYFUNCTION("""COMPUTED_VALUE"""),3)</f>
        <v>3</v>
      </c>
      <c r="L1647" s="5" t="str">
        <f ca="1">IFERROR(__xludf.DUMMYFUNCTION("""COMPUTED_VALUE"""),"Fall")</f>
        <v>Fall</v>
      </c>
      <c r="M1647" s="5" t="str">
        <f ca="1">IFERROR(__xludf.DUMMYFUNCTION("""COMPUTED_VALUE"""),"Tucson")</f>
        <v>Tucson</v>
      </c>
      <c r="N1647" s="5" t="str">
        <f ca="1">IFERROR(__xludf.DUMMYFUNCTION("""COMPUTED_VALUE"""),"AZ")</f>
        <v>AZ</v>
      </c>
      <c r="O1647" s="5" t="str">
        <f ca="1">IFERROR(__xludf.DUMMYFUNCTION("""COMPUTED_VALUE"""),"High")</f>
        <v>High</v>
      </c>
      <c r="P1647" s="5" t="str">
        <f ca="1">IFERROR(__xludf.DUMMYFUNCTION("""COMPUTED_VALUE"""),"Parking Lot")</f>
        <v>Parking Lot</v>
      </c>
      <c r="Q1647" s="5" t="str">
        <f ca="1">IFERROR(__xludf.DUMMYFUNCTION("""COMPUTED_VALUE"""),"Outside on School Property")</f>
        <v>Outside on School Property</v>
      </c>
      <c r="R1647" s="5" t="str">
        <f ca="1">IFERROR(__xludf.DUMMYFUNCTION("""COMPUTED_VALUE"""),"Yes")</f>
        <v>Yes</v>
      </c>
      <c r="S1647" s="5" t="str">
        <f ca="1">IFERROR(__xludf.DUMMYFUNCTION("""COMPUTED_VALUE"""),"Dismissal")</f>
        <v>Dismissal</v>
      </c>
      <c r="T1647" s="5"/>
      <c r="U1647" s="5">
        <f ca="1">IFERROR(__xludf.DUMMYFUNCTION("""COMPUTED_VALUE"""),1)</f>
        <v>1</v>
      </c>
      <c r="V1647" s="5" t="str">
        <f ca="1">IFERROR(__xludf.DUMMYFUNCTION("""COMPUTED_VALUE"""),"Student flashed gang sign at shooter")</f>
        <v>Student flashed gang sign at shooter</v>
      </c>
      <c r="W1647"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X1647" s="5" t="str">
        <f ca="1">IFERROR(__xludf.DUMMYFUNCTION("""COMPUTED_VALUE"""),"Escalation of Dispute")</f>
        <v>Escalation of Dispute</v>
      </c>
      <c r="Y1647" s="5" t="str">
        <f ca="1">IFERROR(__xludf.DUMMYFUNCTION("""COMPUTED_VALUE"""),"Victims Targeted")</f>
        <v>Victims Targeted</v>
      </c>
      <c r="Z1647" s="5" t="str">
        <f ca="1">IFERROR(__xludf.DUMMYFUNCTION("""COMPUTED_VALUE"""),"No")</f>
        <v>No</v>
      </c>
      <c r="AA1647" s="5"/>
      <c r="AB1647" s="5" t="str">
        <f ca="1">IFERROR(__xludf.DUMMYFUNCTION("""COMPUTED_VALUE"""),"No")</f>
        <v>No</v>
      </c>
      <c r="AC1647" s="5" t="str">
        <f ca="1">IFERROR(__xludf.DUMMYFUNCTION("""COMPUTED_VALUE"""),"No")</f>
        <v>No</v>
      </c>
      <c r="AD1647" s="5" t="str">
        <f ca="1">IFERROR(__xludf.DUMMYFUNCTION("""COMPUTED_VALUE"""),"No")</f>
        <v>No</v>
      </c>
      <c r="AE1647" s="5" t="str">
        <f ca="1">IFERROR(__xludf.DUMMYFUNCTION("""COMPUTED_VALUE"""),"No")</f>
        <v>No</v>
      </c>
      <c r="AF1647" s="5" t="str">
        <f ca="1">IFERROR(__xludf.DUMMYFUNCTION("""COMPUTED_VALUE"""),"No")</f>
        <v>No</v>
      </c>
      <c r="AG1647" s="5" t="str">
        <f ca="1">IFERROR(__xludf.DUMMYFUNCTION("""COMPUTED_VALUE"""),"Yes")</f>
        <v>Yes</v>
      </c>
      <c r="AH1647" s="5"/>
    </row>
    <row r="1648" spans="1:34" ht="12.75">
      <c r="A1648" s="5" t="str">
        <f ca="1">IFERROR(__xludf.DUMMYFUNCTION("""COMPUTED_VALUE"""),"19920930TXHOH")</f>
        <v>19920930TXHOH</v>
      </c>
      <c r="B1648" s="8">
        <f ca="1">IFERROR(__xludf.DUMMYFUNCTION("""COMPUTED_VALUE"""),33877)</f>
        <v>33877</v>
      </c>
      <c r="C1648" s="5" t="str">
        <f ca="1">IFERROR(__xludf.DUMMYFUNCTION("""COMPUTED_VALUE"""),"Hollibrook Elementary School")</f>
        <v>Hollibrook Elementary School</v>
      </c>
      <c r="D1648" s="5">
        <f ca="1">IFERROR(__xludf.DUMMYFUNCTION("""COMPUTED_VALUE"""),1)</f>
        <v>1</v>
      </c>
      <c r="E1648" s="5">
        <f ca="1">IFERROR(__xludf.DUMMYFUNCTION("""COMPUTED_VALUE"""),1)</f>
        <v>1</v>
      </c>
      <c r="F1648" s="5">
        <f ca="1">IFERROR(__xludf.DUMMYFUNCTION("""COMPUTED_VALUE"""),2)</f>
        <v>2</v>
      </c>
      <c r="G1648" s="5">
        <f ca="1">IFERROR(__xludf.DUMMYFUNCTION("""COMPUTED_VALUE"""),0)</f>
        <v>0</v>
      </c>
      <c r="H1648"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I1648" s="5"/>
      <c r="J1648" s="5"/>
      <c r="K1648" s="5">
        <f ca="1">IFERROR(__xludf.DUMMYFUNCTION("""COMPUTED_VALUE"""),1)</f>
        <v>1</v>
      </c>
      <c r="L1648" s="5" t="str">
        <f ca="1">IFERROR(__xludf.DUMMYFUNCTION("""COMPUTED_VALUE"""),"Fall")</f>
        <v>Fall</v>
      </c>
      <c r="M1648" s="5" t="str">
        <f ca="1">IFERROR(__xludf.DUMMYFUNCTION("""COMPUTED_VALUE"""),"Houston")</f>
        <v>Houston</v>
      </c>
      <c r="N1648" s="5" t="str">
        <f ca="1">IFERROR(__xludf.DUMMYFUNCTION("""COMPUTED_VALUE"""),"TX")</f>
        <v>TX</v>
      </c>
      <c r="O1648" s="5" t="str">
        <f ca="1">IFERROR(__xludf.DUMMYFUNCTION("""COMPUTED_VALUE"""),"Elementary")</f>
        <v>Elementary</v>
      </c>
      <c r="P1648" s="5" t="str">
        <f ca="1">IFERROR(__xludf.DUMMYFUNCTION("""COMPUTED_VALUE"""),"Outside on School Property")</f>
        <v>Outside on School Property</v>
      </c>
      <c r="Q1648" s="5" t="str">
        <f ca="1">IFERROR(__xludf.DUMMYFUNCTION("""COMPUTED_VALUE"""),"Outside on School Property")</f>
        <v>Outside on School Property</v>
      </c>
      <c r="R1648" s="5" t="str">
        <f ca="1">IFERROR(__xludf.DUMMYFUNCTION("""COMPUTED_VALUE"""),"No")</f>
        <v>No</v>
      </c>
      <c r="S1648" s="5" t="str">
        <f ca="1">IFERROR(__xludf.DUMMYFUNCTION("""COMPUTED_VALUE"""),"Night")</f>
        <v>Night</v>
      </c>
      <c r="T1648" s="10">
        <f ca="1">IFERROR(__xludf.DUMMYFUNCTION("""COMPUTED_VALUE"""),0.9375)</f>
        <v>0.9375</v>
      </c>
      <c r="U1648" s="5">
        <f ca="1">IFERROR(__xludf.DUMMYFUNCTION("""COMPUTED_VALUE"""),1)</f>
        <v>1</v>
      </c>
      <c r="V1648" s="5" t="str">
        <f ca="1">IFERROR(__xludf.DUMMYFUNCTION("""COMPUTED_VALUE"""),"Gang fight at school during night")</f>
        <v>Gang fight at school during night</v>
      </c>
      <c r="W1648" s="5" t="str">
        <f ca="1">IFERROR(__xludf.DUMMYFUNCTION("""COMPUTED_VALUE"""),"Fight between rival gang members. One killed and one injured by shotgun. 15YOM later charged.")</f>
        <v>Fight between rival gang members. One killed and one injured by shotgun. 15YOM later charged.</v>
      </c>
      <c r="X1648" s="5" t="str">
        <f ca="1">IFERROR(__xludf.DUMMYFUNCTION("""COMPUTED_VALUE"""),"Escalation of Dispute")</f>
        <v>Escalation of Dispute</v>
      </c>
      <c r="Y1648" s="5" t="str">
        <f ca="1">IFERROR(__xludf.DUMMYFUNCTION("""COMPUTED_VALUE"""),"Victims Targeted")</f>
        <v>Victims Targeted</v>
      </c>
      <c r="Z1648" s="5" t="str">
        <f ca="1">IFERROR(__xludf.DUMMYFUNCTION("""COMPUTED_VALUE"""),"No")</f>
        <v>No</v>
      </c>
      <c r="AA1648" s="5"/>
      <c r="AB1648" s="5" t="str">
        <f ca="1">IFERROR(__xludf.DUMMYFUNCTION("""COMPUTED_VALUE"""),"No")</f>
        <v>No</v>
      </c>
      <c r="AC1648" s="5" t="str">
        <f ca="1">IFERROR(__xludf.DUMMYFUNCTION("""COMPUTED_VALUE"""),"No")</f>
        <v>No</v>
      </c>
      <c r="AD1648" s="5" t="str">
        <f ca="1">IFERROR(__xludf.DUMMYFUNCTION("""COMPUTED_VALUE"""),"No")</f>
        <v>No</v>
      </c>
      <c r="AE1648" s="5" t="str">
        <f ca="1">IFERROR(__xludf.DUMMYFUNCTION("""COMPUTED_VALUE"""),"No")</f>
        <v>No</v>
      </c>
      <c r="AF1648" s="5" t="str">
        <f ca="1">IFERROR(__xludf.DUMMYFUNCTION("""COMPUTED_VALUE"""),"No")</f>
        <v>No</v>
      </c>
      <c r="AG1648" s="5" t="str">
        <f ca="1">IFERROR(__xludf.DUMMYFUNCTION("""COMPUTED_VALUE"""),"Yes")</f>
        <v>Yes</v>
      </c>
      <c r="AH1648" s="5"/>
    </row>
    <row r="1649" spans="1:34" ht="12.75">
      <c r="A1649" s="5" t="str">
        <f ca="1">IFERROR(__xludf.DUMMYFUNCTION("""COMPUTED_VALUE"""),"19920930CAPAL")</f>
        <v>19920930CAPAL</v>
      </c>
      <c r="B1649" s="8">
        <f ca="1">IFERROR(__xludf.DUMMYFUNCTION("""COMPUTED_VALUE"""),33877)</f>
        <v>33877</v>
      </c>
      <c r="C1649" s="5" t="str">
        <f ca="1">IFERROR(__xludf.DUMMYFUNCTION("""COMPUTED_VALUE"""),"Paramount High School")</f>
        <v>Paramount High School</v>
      </c>
      <c r="D1649" s="5">
        <f ca="1">IFERROR(__xludf.DUMMYFUNCTION("""COMPUTED_VALUE"""),1)</f>
        <v>1</v>
      </c>
      <c r="E1649" s="5">
        <f ca="1">IFERROR(__xludf.DUMMYFUNCTION("""COMPUTED_VALUE"""),0)</f>
        <v>0</v>
      </c>
      <c r="F1649" s="5">
        <f ca="1">IFERROR(__xludf.DUMMYFUNCTION("""COMPUTED_VALUE"""),1)</f>
        <v>1</v>
      </c>
      <c r="G1649" s="5">
        <f ca="1">IFERROR(__xludf.DUMMYFUNCTION("""COMPUTED_VALUE"""),0)</f>
        <v>0</v>
      </c>
      <c r="H1649"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I1649" s="5"/>
      <c r="J1649" s="5" t="str">
        <f ca="1">IFERROR(__xludf.DUMMYFUNCTION("""COMPUTED_VALUE"""),"Regional")</f>
        <v>Regional</v>
      </c>
      <c r="K1649" s="5">
        <f ca="1">IFERROR(__xludf.DUMMYFUNCTION("""COMPUTED_VALUE"""),4)</f>
        <v>4</v>
      </c>
      <c r="L1649" s="5" t="str">
        <f ca="1">IFERROR(__xludf.DUMMYFUNCTION("""COMPUTED_VALUE"""),"Fall")</f>
        <v>Fall</v>
      </c>
      <c r="M1649" s="5" t="str">
        <f ca="1">IFERROR(__xludf.DUMMYFUNCTION("""COMPUTED_VALUE"""),"Los Angeles")</f>
        <v>Los Angeles</v>
      </c>
      <c r="N1649" s="5" t="str">
        <f ca="1">IFERROR(__xludf.DUMMYFUNCTION("""COMPUTED_VALUE"""),"CA")</f>
        <v>CA</v>
      </c>
      <c r="O1649" s="5" t="str">
        <f ca="1">IFERROR(__xludf.DUMMYFUNCTION("""COMPUTED_VALUE"""),"High")</f>
        <v>High</v>
      </c>
      <c r="P1649" s="5" t="str">
        <f ca="1">IFERROR(__xludf.DUMMYFUNCTION("""COMPUTED_VALUE"""),"Front of School")</f>
        <v>Front of School</v>
      </c>
      <c r="Q1649" s="5" t="str">
        <f ca="1">IFERROR(__xludf.DUMMYFUNCTION("""COMPUTED_VALUE"""),"Outside on School Property")</f>
        <v>Outside on School Property</v>
      </c>
      <c r="R1649" s="5" t="str">
        <f ca="1">IFERROR(__xludf.DUMMYFUNCTION("""COMPUTED_VALUE"""),"No")</f>
        <v>No</v>
      </c>
      <c r="S1649" s="5" t="str">
        <f ca="1">IFERROR(__xludf.DUMMYFUNCTION("""COMPUTED_VALUE"""),"After School")</f>
        <v>After School</v>
      </c>
      <c r="T1649" s="10">
        <f ca="1">IFERROR(__xludf.DUMMYFUNCTION("""COMPUTED_VALUE"""),0.625)</f>
        <v>0.625</v>
      </c>
      <c r="U1649" s="5">
        <f ca="1">IFERROR(__xludf.DUMMYFUNCTION("""COMPUTED_VALUE"""),1)</f>
        <v>1</v>
      </c>
      <c r="V1649" s="5" t="str">
        <f ca="1">IFERROR(__xludf.DUMMYFUNCTION("""COMPUTED_VALUE"""),"Student walking to cheerleading practice was fatally shot")</f>
        <v>Student walking to cheerleading practice was fatally shot</v>
      </c>
      <c r="W1649"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X1649" s="5" t="str">
        <f ca="1">IFERROR(__xludf.DUMMYFUNCTION("""COMPUTED_VALUE"""),"Drive-by Shooting")</f>
        <v>Drive-by Shooting</v>
      </c>
      <c r="Y1649" s="5" t="str">
        <f ca="1">IFERROR(__xludf.DUMMYFUNCTION("""COMPUTED_VALUE"""),"Both")</f>
        <v>Both</v>
      </c>
      <c r="Z1649" s="5" t="str">
        <f ca="1">IFERROR(__xludf.DUMMYFUNCTION("""COMPUTED_VALUE"""),"No")</f>
        <v>No</v>
      </c>
      <c r="AA1649" s="5"/>
      <c r="AB1649" s="5" t="str">
        <f ca="1">IFERROR(__xludf.DUMMYFUNCTION("""COMPUTED_VALUE"""),"No")</f>
        <v>No</v>
      </c>
      <c r="AC1649" s="5" t="str">
        <f ca="1">IFERROR(__xludf.DUMMYFUNCTION("""COMPUTED_VALUE"""),"No")</f>
        <v>No</v>
      </c>
      <c r="AD1649" s="5" t="str">
        <f ca="1">IFERROR(__xludf.DUMMYFUNCTION("""COMPUTED_VALUE"""),"No")</f>
        <v>No</v>
      </c>
      <c r="AE1649" s="5" t="str">
        <f ca="1">IFERROR(__xludf.DUMMYFUNCTION("""COMPUTED_VALUE"""),"No")</f>
        <v>No</v>
      </c>
      <c r="AF1649" s="5" t="str">
        <f ca="1">IFERROR(__xludf.DUMMYFUNCTION("""COMPUTED_VALUE"""),"No")</f>
        <v>No</v>
      </c>
      <c r="AG1649" s="5" t="str">
        <f ca="1">IFERROR(__xludf.DUMMYFUNCTION("""COMPUTED_VALUE"""),"Yes")</f>
        <v>Yes</v>
      </c>
      <c r="AH1649" s="5" t="str">
        <f ca="1">IFERROR(__xludf.DUMMYFUNCTION("""COMPUTED_VALUE"""),"No")</f>
        <v>No</v>
      </c>
    </row>
    <row r="1650" spans="1:34" ht="12.75">
      <c r="A1650" s="5" t="str">
        <f ca="1">IFERROR(__xludf.DUMMYFUNCTION("""COMPUTED_VALUE"""),"19920928CAHIS")</f>
        <v>19920928CAHIS</v>
      </c>
      <c r="B1650" s="8">
        <f ca="1">IFERROR(__xludf.DUMMYFUNCTION("""COMPUTED_VALUE"""),33875)</f>
        <v>33875</v>
      </c>
      <c r="C1650" s="5" t="str">
        <f ca="1">IFERROR(__xludf.DUMMYFUNCTION("""COMPUTED_VALUE"""),"Hiram Johnson High School")</f>
        <v>Hiram Johnson High School</v>
      </c>
      <c r="D1650" s="5">
        <f ca="1">IFERROR(__xludf.DUMMYFUNCTION("""COMPUTED_VALUE"""),0)</f>
        <v>0</v>
      </c>
      <c r="E1650" s="5">
        <f ca="1">IFERROR(__xludf.DUMMYFUNCTION("""COMPUTED_VALUE"""),2)</f>
        <v>2</v>
      </c>
      <c r="F1650" s="5">
        <f ca="1">IFERROR(__xludf.DUMMYFUNCTION("""COMPUTED_VALUE"""),2)</f>
        <v>2</v>
      </c>
      <c r="G1650" s="5">
        <f ca="1">IFERROR(__xludf.DUMMYFUNCTION("""COMPUTED_VALUE"""),0)</f>
        <v>0</v>
      </c>
      <c r="H1650" s="9" t="str">
        <f ca="1">IFERROR(__xludf.DUMMYFUNCTION("""COMPUTED_VALUE"""),"https://www.newspapers.com/image/384174219/?terms=Hiram%2BJohnson%2BHigh%2BSchool%2Bshooting")</f>
        <v>https://www.newspapers.com/image/384174219/?terms=Hiram%2BJohnson%2BHigh%2BSchool%2Bshooting</v>
      </c>
      <c r="I1650" s="5"/>
      <c r="J1650" s="5"/>
      <c r="K1650" s="5">
        <f ca="1">IFERROR(__xludf.DUMMYFUNCTION("""COMPUTED_VALUE"""),3)</f>
        <v>3</v>
      </c>
      <c r="L1650" s="5" t="str">
        <f ca="1">IFERROR(__xludf.DUMMYFUNCTION("""COMPUTED_VALUE"""),"Fall")</f>
        <v>Fall</v>
      </c>
      <c r="M1650" s="5" t="str">
        <f ca="1">IFERROR(__xludf.DUMMYFUNCTION("""COMPUTED_VALUE"""),"Sacramento")</f>
        <v>Sacramento</v>
      </c>
      <c r="N1650" s="5" t="str">
        <f ca="1">IFERROR(__xludf.DUMMYFUNCTION("""COMPUTED_VALUE"""),"CA")</f>
        <v>CA</v>
      </c>
      <c r="O1650" s="5" t="str">
        <f ca="1">IFERROR(__xludf.DUMMYFUNCTION("""COMPUTED_VALUE"""),"High")</f>
        <v>High</v>
      </c>
      <c r="P1650" s="5" t="str">
        <f ca="1">IFERROR(__xludf.DUMMYFUNCTION("""COMPUTED_VALUE"""),"Hallway")</f>
        <v>Hallway</v>
      </c>
      <c r="Q1650" s="5" t="str">
        <f ca="1">IFERROR(__xludf.DUMMYFUNCTION("""COMPUTED_VALUE"""),"Inside School Building")</f>
        <v>Inside School Building</v>
      </c>
      <c r="R1650" s="5" t="str">
        <f ca="1">IFERROR(__xludf.DUMMYFUNCTION("""COMPUTED_VALUE"""),"Yes")</f>
        <v>Yes</v>
      </c>
      <c r="S1650" s="5" t="str">
        <f ca="1">IFERROR(__xludf.DUMMYFUNCTION("""COMPUTED_VALUE"""),"Dismissal")</f>
        <v>Dismissal</v>
      </c>
      <c r="T1650" s="10">
        <f ca="1">IFERROR(__xludf.DUMMYFUNCTION("""COMPUTED_VALUE"""),0.631944444444444)</f>
        <v>0.63194444444444398</v>
      </c>
      <c r="U1650" s="5">
        <f ca="1">IFERROR(__xludf.DUMMYFUNCTION("""COMPUTED_VALUE"""),1)</f>
        <v>1</v>
      </c>
      <c r="V1650" s="5" t="str">
        <f ca="1">IFERROR(__xludf.DUMMYFUNCTION("""COMPUTED_VALUE"""),"Fight between Latino and Vietnamese students")</f>
        <v>Fight between Latino and Vietnamese students</v>
      </c>
      <c r="W1650"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X1650" s="5" t="str">
        <f ca="1">IFERROR(__xludf.DUMMYFUNCTION("""COMPUTED_VALUE"""),"Racial")</f>
        <v>Racial</v>
      </c>
      <c r="Y1650" s="5" t="str">
        <f ca="1">IFERROR(__xludf.DUMMYFUNCTION("""COMPUTED_VALUE"""),"Victims Targeted")</f>
        <v>Victims Targeted</v>
      </c>
      <c r="Z1650" s="5" t="str">
        <f ca="1">IFERROR(__xludf.DUMMYFUNCTION("""COMPUTED_VALUE"""),"Yes")</f>
        <v>Yes</v>
      </c>
      <c r="AA1650" s="5" t="str">
        <f ca="1">IFERROR(__xludf.DUMMYFUNCTION("""COMPUTED_VALUE"""),"Three Vietnamese students involved in fight and shooting")</f>
        <v>Three Vietnamese students involved in fight and shooting</v>
      </c>
      <c r="AB1650" s="5" t="str">
        <f ca="1">IFERROR(__xludf.DUMMYFUNCTION("""COMPUTED_VALUE"""),"No")</f>
        <v>No</v>
      </c>
      <c r="AC1650" s="5" t="str">
        <f ca="1">IFERROR(__xludf.DUMMYFUNCTION("""COMPUTED_VALUE"""),"No")</f>
        <v>No</v>
      </c>
      <c r="AD1650" s="5" t="str">
        <f ca="1">IFERROR(__xludf.DUMMYFUNCTION("""COMPUTED_VALUE"""),"No")</f>
        <v>No</v>
      </c>
      <c r="AE1650" s="5" t="str">
        <f ca="1">IFERROR(__xludf.DUMMYFUNCTION("""COMPUTED_VALUE"""),"No")</f>
        <v>No</v>
      </c>
      <c r="AF1650" s="5" t="str">
        <f ca="1">IFERROR(__xludf.DUMMYFUNCTION("""COMPUTED_VALUE"""),"No")</f>
        <v>No</v>
      </c>
      <c r="AG1650" s="5" t="str">
        <f ca="1">IFERROR(__xludf.DUMMYFUNCTION("""COMPUTED_VALUE"""),"No")</f>
        <v>No</v>
      </c>
      <c r="AH1650" s="5"/>
    </row>
    <row r="1651" spans="1:34" ht="12.75">
      <c r="A1651" s="5" t="str">
        <f ca="1">IFERROR(__xludf.DUMMYFUNCTION("""COMPUTED_VALUE"""),"19920911TXPAA")</f>
        <v>19920911TXPAA</v>
      </c>
      <c r="B1651" s="8">
        <f ca="1">IFERROR(__xludf.DUMMYFUNCTION("""COMPUTED_VALUE"""),33858)</f>
        <v>33858</v>
      </c>
      <c r="C1651" s="5" t="str">
        <f ca="1">IFERROR(__xludf.DUMMYFUNCTION("""COMPUTED_VALUE"""),"Palo Duro High School")</f>
        <v>Palo Duro High School</v>
      </c>
      <c r="D1651" s="5">
        <f ca="1">IFERROR(__xludf.DUMMYFUNCTION("""COMPUTED_VALUE"""),0)</f>
        <v>0</v>
      </c>
      <c r="E1651" s="5">
        <f ca="1">IFERROR(__xludf.DUMMYFUNCTION("""COMPUTED_VALUE"""),7)</f>
        <v>7</v>
      </c>
      <c r="F1651" s="5">
        <f ca="1">IFERROR(__xludf.DUMMYFUNCTION("""COMPUTED_VALUE"""),7)</f>
        <v>7</v>
      </c>
      <c r="G1651" s="5">
        <f ca="1">IFERROR(__xludf.DUMMYFUNCTION("""COMPUTED_VALUE"""),0)</f>
        <v>0</v>
      </c>
      <c r="H1651"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I1651" s="5"/>
      <c r="J1651" s="5"/>
      <c r="K1651" s="5">
        <f ca="1">IFERROR(__xludf.DUMMYFUNCTION("""COMPUTED_VALUE"""),3)</f>
        <v>3</v>
      </c>
      <c r="L1651" s="5" t="str">
        <f ca="1">IFERROR(__xludf.DUMMYFUNCTION("""COMPUTED_VALUE"""),"Fall")</f>
        <v>Fall</v>
      </c>
      <c r="M1651" s="5" t="str">
        <f ca="1">IFERROR(__xludf.DUMMYFUNCTION("""COMPUTED_VALUE"""),"Amarillo")</f>
        <v>Amarillo</v>
      </c>
      <c r="N1651" s="5" t="str">
        <f ca="1">IFERROR(__xludf.DUMMYFUNCTION("""COMPUTED_VALUE"""),"TX")</f>
        <v>TX</v>
      </c>
      <c r="O1651" s="5" t="str">
        <f ca="1">IFERROR(__xludf.DUMMYFUNCTION("""COMPUTED_VALUE"""),"High")</f>
        <v>High</v>
      </c>
      <c r="P1651" s="5" t="str">
        <f ca="1">IFERROR(__xludf.DUMMYFUNCTION("""COMPUTED_VALUE"""),"Hallway")</f>
        <v>Hallway</v>
      </c>
      <c r="Q1651" s="5" t="str">
        <f ca="1">IFERROR(__xludf.DUMMYFUNCTION("""COMPUTED_VALUE"""),"Inside School Building")</f>
        <v>Inside School Building</v>
      </c>
      <c r="R1651" s="5" t="str">
        <f ca="1">IFERROR(__xludf.DUMMYFUNCTION("""COMPUTED_VALUE"""),"Yes")</f>
        <v>Yes</v>
      </c>
      <c r="S1651" s="5" t="str">
        <f ca="1">IFERROR(__xludf.DUMMYFUNCTION("""COMPUTED_VALUE"""),"Morning Classes")</f>
        <v>Morning Classes</v>
      </c>
      <c r="T1651" s="10">
        <f ca="1">IFERROR(__xludf.DUMMYFUNCTION("""COMPUTED_VALUE"""),0.416666666666666)</f>
        <v>0.41666666666666602</v>
      </c>
      <c r="U1651" s="5">
        <f ca="1">IFERROR(__xludf.DUMMYFUNCTION("""COMPUTED_VALUE"""),1)</f>
        <v>1</v>
      </c>
      <c r="V1651" s="5" t="str">
        <f ca="1">IFERROR(__xludf.DUMMYFUNCTION("""COMPUTED_VALUE"""),"Shooting spurred from earlier fights")</f>
        <v>Shooting spurred from earlier fights</v>
      </c>
      <c r="W1651"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X1651" s="5" t="str">
        <f ca="1">IFERROR(__xludf.DUMMYFUNCTION("""COMPUTED_VALUE"""),"Escalation of Dispute")</f>
        <v>Escalation of Dispute</v>
      </c>
      <c r="Y1651" s="5" t="str">
        <f ca="1">IFERROR(__xludf.DUMMYFUNCTION("""COMPUTED_VALUE"""),"Both")</f>
        <v>Both</v>
      </c>
      <c r="Z1651" s="5" t="str">
        <f ca="1">IFERROR(__xludf.DUMMYFUNCTION("""COMPUTED_VALUE"""),"No")</f>
        <v>No</v>
      </c>
      <c r="AA1651" s="5"/>
      <c r="AB1651" s="5" t="str">
        <f ca="1">IFERROR(__xludf.DUMMYFUNCTION("""COMPUTED_VALUE"""),"No")</f>
        <v>No</v>
      </c>
      <c r="AC1651" s="5" t="str">
        <f ca="1">IFERROR(__xludf.DUMMYFUNCTION("""COMPUTED_VALUE"""),"No")</f>
        <v>No</v>
      </c>
      <c r="AD1651" s="5" t="str">
        <f ca="1">IFERROR(__xludf.DUMMYFUNCTION("""COMPUTED_VALUE"""),"No")</f>
        <v>No</v>
      </c>
      <c r="AE1651" s="5" t="str">
        <f ca="1">IFERROR(__xludf.DUMMYFUNCTION("""COMPUTED_VALUE"""),"No")</f>
        <v>No</v>
      </c>
      <c r="AF1651" s="5" t="str">
        <f ca="1">IFERROR(__xludf.DUMMYFUNCTION("""COMPUTED_VALUE"""),"No")</f>
        <v>No</v>
      </c>
      <c r="AG1651" s="5" t="str">
        <f ca="1">IFERROR(__xludf.DUMMYFUNCTION("""COMPUTED_VALUE"""),"No")</f>
        <v>No</v>
      </c>
      <c r="AH1651" s="5"/>
    </row>
    <row r="1652" spans="1:34" ht="12.75">
      <c r="A1652" s="5" t="str">
        <f ca="1">IFERROR(__xludf.DUMMYFUNCTION("""COMPUTED_VALUE"""),"19920606CAMEM")</f>
        <v>19920606CAMEM</v>
      </c>
      <c r="B1652" s="8">
        <f ca="1">IFERROR(__xludf.DUMMYFUNCTION("""COMPUTED_VALUE"""),33761)</f>
        <v>33761</v>
      </c>
      <c r="C1652" s="5" t="str">
        <f ca="1">IFERROR(__xludf.DUMMYFUNCTION("""COMPUTED_VALUE"""),"Merced High School")</f>
        <v>Merced High School</v>
      </c>
      <c r="D1652" s="5">
        <f ca="1">IFERROR(__xludf.DUMMYFUNCTION("""COMPUTED_VALUE"""),0)</f>
        <v>0</v>
      </c>
      <c r="E1652" s="5">
        <f ca="1">IFERROR(__xludf.DUMMYFUNCTION("""COMPUTED_VALUE"""),1)</f>
        <v>1</v>
      </c>
      <c r="F1652" s="5">
        <f ca="1">IFERROR(__xludf.DUMMYFUNCTION("""COMPUTED_VALUE"""),1)</f>
        <v>1</v>
      </c>
      <c r="G1652" s="5">
        <f ca="1">IFERROR(__xludf.DUMMYFUNCTION("""COMPUTED_VALUE"""),0)</f>
        <v>0</v>
      </c>
      <c r="H1652" s="5" t="str">
        <f ca="1">IFERROR(__xludf.DUMMYFUNCTION("""COMPUTED_VALUE"""),"Modesto Bee - Boy Held in School Shooting; https://www.columbine-angels.com/School_Violence_1991-1992.htm")</f>
        <v>Modesto Bee - Boy Held in School Shooting; https://www.columbine-angels.com/School_Violence_1991-1992.htm</v>
      </c>
      <c r="I1652" s="5"/>
      <c r="J1652" s="5"/>
      <c r="K1652" s="5">
        <f ca="1">IFERROR(__xludf.DUMMYFUNCTION("""COMPUTED_VALUE"""),1)</f>
        <v>1</v>
      </c>
      <c r="L1652" s="5" t="str">
        <f ca="1">IFERROR(__xludf.DUMMYFUNCTION("""COMPUTED_VALUE"""),"Summer")</f>
        <v>Summer</v>
      </c>
      <c r="M1652" s="5" t="str">
        <f ca="1">IFERROR(__xludf.DUMMYFUNCTION("""COMPUTED_VALUE"""),"Merced")</f>
        <v>Merced</v>
      </c>
      <c r="N1652" s="5" t="str">
        <f ca="1">IFERROR(__xludf.DUMMYFUNCTION("""COMPUTED_VALUE"""),"CA")</f>
        <v>CA</v>
      </c>
      <c r="O1652" s="5" t="str">
        <f ca="1">IFERROR(__xludf.DUMMYFUNCTION("""COMPUTED_VALUE"""),"High")</f>
        <v>High</v>
      </c>
      <c r="P1652" s="5" t="str">
        <f ca="1">IFERROR(__xludf.DUMMYFUNCTION("""COMPUTED_VALUE"""),"Gym")</f>
        <v>Gym</v>
      </c>
      <c r="Q1652" s="5" t="str">
        <f ca="1">IFERROR(__xludf.DUMMYFUNCTION("""COMPUTED_VALUE"""),"Inside School Building")</f>
        <v>Inside School Building</v>
      </c>
      <c r="R1652" s="5" t="str">
        <f ca="1">IFERROR(__xludf.DUMMYFUNCTION("""COMPUTED_VALUE"""),"No")</f>
        <v>No</v>
      </c>
      <c r="S1652" s="5" t="str">
        <f ca="1">IFERROR(__xludf.DUMMYFUNCTION("""COMPUTED_VALUE"""),"School Event")</f>
        <v>School Event</v>
      </c>
      <c r="T1652" s="10">
        <f ca="1">IFERROR(__xludf.DUMMYFUNCTION("""COMPUTED_VALUE"""),0.970833333333333)</f>
        <v>0.97083333333333299</v>
      </c>
      <c r="U1652" s="5">
        <f ca="1">IFERROR(__xludf.DUMMYFUNCTION("""COMPUTED_VALUE"""),1)</f>
        <v>1</v>
      </c>
      <c r="V1652" s="5" t="str">
        <f ca="1">IFERROR(__xludf.DUMMYFUNCTION("""COMPUTED_VALUE"""),"Fight at school dance escalated into shooting")</f>
        <v>Fight at school dance escalated into shooting</v>
      </c>
      <c r="W1652"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X1652" s="5" t="str">
        <f ca="1">IFERROR(__xludf.DUMMYFUNCTION("""COMPUTED_VALUE"""),"Escalation of Dispute")</f>
        <v>Escalation of Dispute</v>
      </c>
      <c r="Y1652" s="5" t="str">
        <f ca="1">IFERROR(__xludf.DUMMYFUNCTION("""COMPUTED_VALUE"""),"Victims Targeted")</f>
        <v>Victims Targeted</v>
      </c>
      <c r="Z1652" s="5" t="str">
        <f ca="1">IFERROR(__xludf.DUMMYFUNCTION("""COMPUTED_VALUE"""),"No")</f>
        <v>No</v>
      </c>
      <c r="AA1652" s="5"/>
      <c r="AB1652" s="5" t="str">
        <f ca="1">IFERROR(__xludf.DUMMYFUNCTION("""COMPUTED_VALUE"""),"No")</f>
        <v>No</v>
      </c>
      <c r="AC1652" s="5" t="str">
        <f ca="1">IFERROR(__xludf.DUMMYFUNCTION("""COMPUTED_VALUE"""),"No")</f>
        <v>No</v>
      </c>
      <c r="AD1652" s="5" t="str">
        <f ca="1">IFERROR(__xludf.DUMMYFUNCTION("""COMPUTED_VALUE"""),"No")</f>
        <v>No</v>
      </c>
      <c r="AE1652" s="5" t="str">
        <f ca="1">IFERROR(__xludf.DUMMYFUNCTION("""COMPUTED_VALUE"""),"No")</f>
        <v>No</v>
      </c>
      <c r="AF1652" s="5" t="str">
        <f ca="1">IFERROR(__xludf.DUMMYFUNCTION("""COMPUTED_VALUE"""),"No")</f>
        <v>No</v>
      </c>
      <c r="AG1652" s="5" t="str">
        <f ca="1">IFERROR(__xludf.DUMMYFUNCTION("""COMPUTED_VALUE"""),"No")</f>
        <v>No</v>
      </c>
      <c r="AH1652" s="5"/>
    </row>
    <row r="1653" spans="1:34" ht="12.75">
      <c r="A1653" s="5" t="str">
        <f ca="1">IFERROR(__xludf.DUMMYFUNCTION("""COMPUTED_VALUE"""),"19920530DCARW")</f>
        <v>19920530DCARW</v>
      </c>
      <c r="B1653" s="8">
        <f ca="1">IFERROR(__xludf.DUMMYFUNCTION("""COMPUTED_VALUE"""),33754)</f>
        <v>33754</v>
      </c>
      <c r="C1653" s="5" t="str">
        <f ca="1">IFERROR(__xludf.DUMMYFUNCTION("""COMPUTED_VALUE"""),"Archbishop Carroll High School")</f>
        <v>Archbishop Carroll High School</v>
      </c>
      <c r="D1653" s="5">
        <f ca="1">IFERROR(__xludf.DUMMYFUNCTION("""COMPUTED_VALUE"""),1)</f>
        <v>1</v>
      </c>
      <c r="E1653" s="5">
        <f ca="1">IFERROR(__xludf.DUMMYFUNCTION("""COMPUTED_VALUE"""),4)</f>
        <v>4</v>
      </c>
      <c r="F1653" s="5">
        <f ca="1">IFERROR(__xludf.DUMMYFUNCTION("""COMPUTED_VALUE"""),5)</f>
        <v>5</v>
      </c>
      <c r="G1653" s="5">
        <f ca="1">IFERROR(__xludf.DUMMYFUNCTION("""COMPUTED_VALUE"""),0)</f>
        <v>0</v>
      </c>
      <c r="H1653" s="9" t="str">
        <f ca="1">IFERROR(__xludf.DUMMYFUNCTION("""COMPUTED_VALUE"""),"https://www.washingtonpost.com/archive/politics/1992/06/01/9-are-slain-in-dc-area-in-2-days/32b3c46c-27dc-45f4-9f60-14ce403dbad5/")</f>
        <v>https://www.washingtonpost.com/archive/politics/1992/06/01/9-are-slain-in-dc-area-in-2-days/32b3c46c-27dc-45f4-9f60-14ce403dbad5/</v>
      </c>
      <c r="I1653" s="5">
        <f ca="1">IFERROR(__xludf.DUMMYFUNCTION("""COMPUTED_VALUE"""),1)</f>
        <v>1</v>
      </c>
      <c r="J1653" s="5" t="str">
        <f ca="1">IFERROR(__xludf.DUMMYFUNCTION("""COMPUTED_VALUE"""),"Local")</f>
        <v>Local</v>
      </c>
      <c r="K1653" s="5">
        <f ca="1">IFERROR(__xludf.DUMMYFUNCTION("""COMPUTED_VALUE"""),3)</f>
        <v>3</v>
      </c>
      <c r="L1653" s="5" t="str">
        <f ca="1">IFERROR(__xludf.DUMMYFUNCTION("""COMPUTED_VALUE"""),"Spring")</f>
        <v>Spring</v>
      </c>
      <c r="M1653" s="5" t="str">
        <f ca="1">IFERROR(__xludf.DUMMYFUNCTION("""COMPUTED_VALUE"""),"Washington")</f>
        <v>Washington</v>
      </c>
      <c r="N1653" s="5" t="str">
        <f ca="1">IFERROR(__xludf.DUMMYFUNCTION("""COMPUTED_VALUE"""),"DC")</f>
        <v>DC</v>
      </c>
      <c r="O1653" s="5" t="str">
        <f ca="1">IFERROR(__xludf.DUMMYFUNCTION("""COMPUTED_VALUE"""),"High")</f>
        <v>High</v>
      </c>
      <c r="P1653" s="5" t="str">
        <f ca="1">IFERROR(__xludf.DUMMYFUNCTION("""COMPUTED_VALUE"""),"Beside Building")</f>
        <v>Beside Building</v>
      </c>
      <c r="Q1653" s="5" t="str">
        <f ca="1">IFERROR(__xludf.DUMMYFUNCTION("""COMPUTED_VALUE"""),"Outside on School Property")</f>
        <v>Outside on School Property</v>
      </c>
      <c r="R1653" s="5" t="str">
        <f ca="1">IFERROR(__xludf.DUMMYFUNCTION("""COMPUTED_VALUE"""),"No")</f>
        <v>No</v>
      </c>
      <c r="S1653" s="5" t="str">
        <f ca="1">IFERROR(__xludf.DUMMYFUNCTION("""COMPUTED_VALUE"""),"School Event")</f>
        <v>School Event</v>
      </c>
      <c r="T1653" s="10">
        <f ca="1">IFERROR(__xludf.DUMMYFUNCTION("""COMPUTED_VALUE"""),0.993055555555555)</f>
        <v>0.99305555555555503</v>
      </c>
      <c r="U1653" s="5">
        <f ca="1">IFERROR(__xludf.DUMMYFUNCTION("""COMPUTED_VALUE"""),1)</f>
        <v>1</v>
      </c>
      <c r="V1653" s="5" t="str">
        <f ca="1">IFERROR(__xludf.DUMMYFUNCTION("""COMPUTED_VALUE"""),"Five teens shot outside of school dance")</f>
        <v>Five teens shot outside of school dance</v>
      </c>
      <c r="W1653"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X1653" s="5" t="str">
        <f ca="1">IFERROR(__xludf.DUMMYFUNCTION("""COMPUTED_VALUE"""),"Escalation of Dispute")</f>
        <v>Escalation of Dispute</v>
      </c>
      <c r="Y1653" s="5" t="str">
        <f ca="1">IFERROR(__xludf.DUMMYFUNCTION("""COMPUTED_VALUE"""),"Both")</f>
        <v>Both</v>
      </c>
      <c r="Z1653" s="5" t="str">
        <f ca="1">IFERROR(__xludf.DUMMYFUNCTION("""COMPUTED_VALUE"""),"No")</f>
        <v>No</v>
      </c>
      <c r="AA1653" s="5"/>
      <c r="AB1653" s="5" t="str">
        <f ca="1">IFERROR(__xludf.DUMMYFUNCTION("""COMPUTED_VALUE"""),"No")</f>
        <v>No</v>
      </c>
      <c r="AC1653" s="5" t="str">
        <f ca="1">IFERROR(__xludf.DUMMYFUNCTION("""COMPUTED_VALUE"""),"No")</f>
        <v>No</v>
      </c>
      <c r="AD1653" s="5" t="str">
        <f ca="1">IFERROR(__xludf.DUMMYFUNCTION("""COMPUTED_VALUE"""),"No")</f>
        <v>No</v>
      </c>
      <c r="AE1653" s="5" t="str">
        <f ca="1">IFERROR(__xludf.DUMMYFUNCTION("""COMPUTED_VALUE"""),"No")</f>
        <v>No</v>
      </c>
      <c r="AF1653" s="5" t="str">
        <f ca="1">IFERROR(__xludf.DUMMYFUNCTION("""COMPUTED_VALUE"""),"No")</f>
        <v>No</v>
      </c>
      <c r="AG1653" s="5"/>
      <c r="AH1653" s="5" t="str">
        <f ca="1">IFERROR(__xludf.DUMMYFUNCTION("""COMPUTED_VALUE"""),"No")</f>
        <v>No</v>
      </c>
    </row>
    <row r="1654" spans="1:34" ht="12.75">
      <c r="A1654" s="5" t="str">
        <f ca="1">IFERROR(__xludf.DUMMYFUNCTION("""COMPUTED_VALUE"""),"19920529CAVEL")</f>
        <v>19920529CAVEL</v>
      </c>
      <c r="B1654" s="8">
        <f ca="1">IFERROR(__xludf.DUMMYFUNCTION("""COMPUTED_VALUE"""),33753)</f>
        <v>33753</v>
      </c>
      <c r="C1654" s="5" t="str">
        <f ca="1">IFERROR(__xludf.DUMMYFUNCTION("""COMPUTED_VALUE"""),"Venice High School")</f>
        <v>Venice High School</v>
      </c>
      <c r="D1654" s="5">
        <f ca="1">IFERROR(__xludf.DUMMYFUNCTION("""COMPUTED_VALUE"""),0)</f>
        <v>0</v>
      </c>
      <c r="E1654" s="5">
        <f ca="1">IFERROR(__xludf.DUMMYFUNCTION("""COMPUTED_VALUE"""),3)</f>
        <v>3</v>
      </c>
      <c r="F1654" s="5">
        <f ca="1">IFERROR(__xludf.DUMMYFUNCTION("""COMPUTED_VALUE"""),3)</f>
        <v>3</v>
      </c>
      <c r="G1654" s="5">
        <f ca="1">IFERROR(__xludf.DUMMYFUNCTION("""COMPUTED_VALUE"""),0)</f>
        <v>0</v>
      </c>
      <c r="H1654" s="9" t="str">
        <f ca="1">IFERROR(__xludf.DUMMYFUNCTION("""COMPUTED_VALUE"""),"https://www.newspapers.com/image/177465085")</f>
        <v>https://www.newspapers.com/image/177465085</v>
      </c>
      <c r="I1654" s="5"/>
      <c r="J1654" s="5"/>
      <c r="K1654" s="5">
        <f ca="1">IFERROR(__xludf.DUMMYFUNCTION("""COMPUTED_VALUE"""),2)</f>
        <v>2</v>
      </c>
      <c r="L1654" s="5" t="str">
        <f ca="1">IFERROR(__xludf.DUMMYFUNCTION("""COMPUTED_VALUE"""),"Spring")</f>
        <v>Spring</v>
      </c>
      <c r="M1654" s="5" t="str">
        <f ca="1">IFERROR(__xludf.DUMMYFUNCTION("""COMPUTED_VALUE"""),"Los Angeles")</f>
        <v>Los Angeles</v>
      </c>
      <c r="N1654" s="5" t="str">
        <f ca="1">IFERROR(__xludf.DUMMYFUNCTION("""COMPUTED_VALUE"""),"CA")</f>
        <v>CA</v>
      </c>
      <c r="O1654" s="5" t="str">
        <f ca="1">IFERROR(__xludf.DUMMYFUNCTION("""COMPUTED_VALUE"""),"High")</f>
        <v>High</v>
      </c>
      <c r="P1654" s="5" t="str">
        <f ca="1">IFERROR(__xludf.DUMMYFUNCTION("""COMPUTED_VALUE"""),"Front of School")</f>
        <v>Front of School</v>
      </c>
      <c r="Q1654" s="5" t="str">
        <f ca="1">IFERROR(__xludf.DUMMYFUNCTION("""COMPUTED_VALUE"""),"Outside on School Property")</f>
        <v>Outside on School Property</v>
      </c>
      <c r="R1654" s="5" t="str">
        <f ca="1">IFERROR(__xludf.DUMMYFUNCTION("""COMPUTED_VALUE"""),"Yes")</f>
        <v>Yes</v>
      </c>
      <c r="S1654" s="5"/>
      <c r="T1654" s="5"/>
      <c r="U1654" s="5">
        <f ca="1">IFERROR(__xludf.DUMMYFUNCTION("""COMPUTED_VALUE"""),1)</f>
        <v>1</v>
      </c>
      <c r="V1654" s="5" t="str">
        <f ca="1">IFERROR(__xludf.DUMMYFUNCTION("""COMPUTED_VALUE"""),"Drive-by, students/shooter yelled gang names")</f>
        <v>Drive-by, students/shooter yelled gang names</v>
      </c>
      <c r="W1654"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X1654" s="5" t="str">
        <f ca="1">IFERROR(__xludf.DUMMYFUNCTION("""COMPUTED_VALUE"""),"Drive-by Shooting")</f>
        <v>Drive-by Shooting</v>
      </c>
      <c r="Y1654" s="5" t="str">
        <f ca="1">IFERROR(__xludf.DUMMYFUNCTION("""COMPUTED_VALUE"""),"Victims Targeted")</f>
        <v>Victims Targeted</v>
      </c>
      <c r="Z1654" s="5" t="str">
        <f ca="1">IFERROR(__xludf.DUMMYFUNCTION("""COMPUTED_VALUE"""),"No")</f>
        <v>No</v>
      </c>
      <c r="AA1654" s="5"/>
      <c r="AB1654" s="5" t="str">
        <f ca="1">IFERROR(__xludf.DUMMYFUNCTION("""COMPUTED_VALUE"""),"No")</f>
        <v>No</v>
      </c>
      <c r="AC1654" s="5" t="str">
        <f ca="1">IFERROR(__xludf.DUMMYFUNCTION("""COMPUTED_VALUE"""),"No")</f>
        <v>No</v>
      </c>
      <c r="AD1654" s="5" t="str">
        <f ca="1">IFERROR(__xludf.DUMMYFUNCTION("""COMPUTED_VALUE"""),"No")</f>
        <v>No</v>
      </c>
      <c r="AE1654" s="5" t="str">
        <f ca="1">IFERROR(__xludf.DUMMYFUNCTION("""COMPUTED_VALUE"""),"No")</f>
        <v>No</v>
      </c>
      <c r="AF1654" s="5" t="str">
        <f ca="1">IFERROR(__xludf.DUMMYFUNCTION("""COMPUTED_VALUE"""),"No")</f>
        <v>No</v>
      </c>
      <c r="AG1654" s="5" t="str">
        <f ca="1">IFERROR(__xludf.DUMMYFUNCTION("""COMPUTED_VALUE"""),"Yes")</f>
        <v>Yes</v>
      </c>
      <c r="AH1654" s="5"/>
    </row>
    <row r="1655" spans="1:34" ht="12.75">
      <c r="A1655" s="5" t="str">
        <f ca="1">IFERROR(__xludf.DUMMYFUNCTION("""COMPUTED_VALUE"""),"19920514TXHUH")</f>
        <v>19920514TXHUH</v>
      </c>
      <c r="B1655" s="8">
        <f ca="1">IFERROR(__xludf.DUMMYFUNCTION("""COMPUTED_VALUE"""),33738)</f>
        <v>33738</v>
      </c>
      <c r="C1655" s="5" t="str">
        <f ca="1">IFERROR(__xludf.DUMMYFUNCTION("""COMPUTED_VALUE"""),"Huntsville Junior High School")</f>
        <v>Huntsville Junior High School</v>
      </c>
      <c r="D1655" s="5">
        <f ca="1">IFERROR(__xludf.DUMMYFUNCTION("""COMPUTED_VALUE"""),0)</f>
        <v>0</v>
      </c>
      <c r="E1655" s="5">
        <f ca="1">IFERROR(__xludf.DUMMYFUNCTION("""COMPUTED_VALUE"""),1)</f>
        <v>1</v>
      </c>
      <c r="F1655" s="5">
        <f ca="1">IFERROR(__xludf.DUMMYFUNCTION("""COMPUTED_VALUE"""),1)</f>
        <v>1</v>
      </c>
      <c r="G1655" s="5">
        <f ca="1">IFERROR(__xludf.DUMMYFUNCTION("""COMPUTED_VALUE"""),0)</f>
        <v>0</v>
      </c>
      <c r="H1655" s="9" t="str">
        <f ca="1">IFERROR(__xludf.DUMMYFUNCTION("""COMPUTED_VALUE"""),"https://www.newspapers.com/image/300277708/?terms=Huntsville%2BJunior%2BHigh%2BSchool%2Bshooting")</f>
        <v>https://www.newspapers.com/image/300277708/?terms=Huntsville%2BJunior%2BHigh%2BSchool%2Bshooting</v>
      </c>
      <c r="I1655" s="5"/>
      <c r="J1655" s="5"/>
      <c r="K1655" s="5">
        <f ca="1">IFERROR(__xludf.DUMMYFUNCTION("""COMPUTED_VALUE"""),2)</f>
        <v>2</v>
      </c>
      <c r="L1655" s="5" t="str">
        <f ca="1">IFERROR(__xludf.DUMMYFUNCTION("""COMPUTED_VALUE"""),"Spring")</f>
        <v>Spring</v>
      </c>
      <c r="M1655" s="5" t="str">
        <f ca="1">IFERROR(__xludf.DUMMYFUNCTION("""COMPUTED_VALUE"""),"Huntsville")</f>
        <v>Huntsville</v>
      </c>
      <c r="N1655" s="5" t="str">
        <f ca="1">IFERROR(__xludf.DUMMYFUNCTION("""COMPUTED_VALUE"""),"TX")</f>
        <v>TX</v>
      </c>
      <c r="O1655" s="5" t="str">
        <f ca="1">IFERROR(__xludf.DUMMYFUNCTION("""COMPUTED_VALUE"""),"Junior High")</f>
        <v>Junior High</v>
      </c>
      <c r="P1655" s="5" t="str">
        <f ca="1">IFERROR(__xludf.DUMMYFUNCTION("""COMPUTED_VALUE"""),"Courtyard")</f>
        <v>Courtyard</v>
      </c>
      <c r="Q1655" s="5" t="str">
        <f ca="1">IFERROR(__xludf.DUMMYFUNCTION("""COMPUTED_VALUE"""),"Outside on School Property")</f>
        <v>Outside on School Property</v>
      </c>
      <c r="R1655" s="5" t="str">
        <f ca="1">IFERROR(__xludf.DUMMYFUNCTION("""COMPUTED_VALUE"""),"Yes")</f>
        <v>Yes</v>
      </c>
      <c r="S1655" s="5" t="str">
        <f ca="1">IFERROR(__xludf.DUMMYFUNCTION("""COMPUTED_VALUE"""),"School Start")</f>
        <v>School Start</v>
      </c>
      <c r="T1655" s="10">
        <f ca="1">IFERROR(__xludf.DUMMYFUNCTION("""COMPUTED_VALUE"""),0.322916666666666)</f>
        <v>0.32291666666666602</v>
      </c>
      <c r="U1655" s="5">
        <f ca="1">IFERROR(__xludf.DUMMYFUNCTION("""COMPUTED_VALUE"""),1)</f>
        <v>1</v>
      </c>
      <c r="V1655" s="5" t="str">
        <f ca="1">IFERROR(__xludf.DUMMYFUNCTION("""COMPUTED_VALUE"""),"Ongoing fight, shooter told victim he was going to kill him tomorrow day prior")</f>
        <v>Ongoing fight, shooter told victim he was going to kill him tomorrow day prior</v>
      </c>
      <c r="W1655"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X1655" s="5" t="str">
        <f ca="1">IFERROR(__xludf.DUMMYFUNCTION("""COMPUTED_VALUE"""),"Escalation of Dispute")</f>
        <v>Escalation of Dispute</v>
      </c>
      <c r="Y1655" s="5" t="str">
        <f ca="1">IFERROR(__xludf.DUMMYFUNCTION("""COMPUTED_VALUE"""),"Victims Targeted")</f>
        <v>Victims Targeted</v>
      </c>
      <c r="Z1655" s="5"/>
      <c r="AA1655" s="5"/>
      <c r="AB1655" s="5" t="str">
        <f ca="1">IFERROR(__xludf.DUMMYFUNCTION("""COMPUTED_VALUE"""),"No")</f>
        <v>No</v>
      </c>
      <c r="AC1655" s="5" t="str">
        <f ca="1">IFERROR(__xludf.DUMMYFUNCTION("""COMPUTED_VALUE"""),"No")</f>
        <v>No</v>
      </c>
      <c r="AD1655" s="5" t="str">
        <f ca="1">IFERROR(__xludf.DUMMYFUNCTION("""COMPUTED_VALUE"""),"No")</f>
        <v>No</v>
      </c>
      <c r="AE1655" s="5" t="str">
        <f ca="1">IFERROR(__xludf.DUMMYFUNCTION("""COMPUTED_VALUE"""),"No")</f>
        <v>No</v>
      </c>
      <c r="AF1655" s="5" t="str">
        <f ca="1">IFERROR(__xludf.DUMMYFUNCTION("""COMPUTED_VALUE"""),"No")</f>
        <v>No</v>
      </c>
      <c r="AG1655" s="5" t="str">
        <f ca="1">IFERROR(__xludf.DUMMYFUNCTION("""COMPUTED_VALUE"""),"No")</f>
        <v>No</v>
      </c>
      <c r="AH1655" s="5"/>
    </row>
    <row r="1656" spans="1:34" ht="12.75">
      <c r="A1656" s="5" t="str">
        <f ca="1">IFERROR(__xludf.DUMMYFUNCTION("""COMPUTED_VALUE"""),"19920514CASIN")</f>
        <v>19920514CASIN</v>
      </c>
      <c r="B1656" s="8">
        <f ca="1">IFERROR(__xludf.DUMMYFUNCTION("""COMPUTED_VALUE"""),33738)</f>
        <v>33738</v>
      </c>
      <c r="C1656" s="5" t="str">
        <f ca="1">IFERROR(__xludf.DUMMYFUNCTION("""COMPUTED_VALUE"""),"Silverado Middle School")</f>
        <v>Silverado Middle School</v>
      </c>
      <c r="D1656" s="5">
        <f ca="1">IFERROR(__xludf.DUMMYFUNCTION("""COMPUTED_VALUE"""),0)</f>
        <v>0</v>
      </c>
      <c r="E1656" s="5">
        <f ca="1">IFERROR(__xludf.DUMMYFUNCTION("""COMPUTED_VALUE"""),2)</f>
        <v>2</v>
      </c>
      <c r="F1656" s="5">
        <f ca="1">IFERROR(__xludf.DUMMYFUNCTION("""COMPUTED_VALUE"""),2)</f>
        <v>2</v>
      </c>
      <c r="G1656" s="5">
        <f ca="1">IFERROR(__xludf.DUMMYFUNCTION("""COMPUTED_VALUE"""),0)</f>
        <v>0</v>
      </c>
      <c r="H1656" s="9" t="str">
        <f ca="1">IFERROR(__xludf.DUMMYFUNCTION("""COMPUTED_VALUE"""),"https://www.upi.com/Archives/1992/05/14/Student-opens-fire-in-school/6395705816000/")</f>
        <v>https://www.upi.com/Archives/1992/05/14/Student-opens-fire-in-school/6395705816000/</v>
      </c>
      <c r="I1656" s="5"/>
      <c r="J1656" s="5"/>
      <c r="K1656" s="5">
        <f ca="1">IFERROR(__xludf.DUMMYFUNCTION("""COMPUTED_VALUE"""),2)</f>
        <v>2</v>
      </c>
      <c r="L1656" s="5" t="str">
        <f ca="1">IFERROR(__xludf.DUMMYFUNCTION("""COMPUTED_VALUE"""),"Spring")</f>
        <v>Spring</v>
      </c>
      <c r="M1656" s="5" t="str">
        <f ca="1">IFERROR(__xludf.DUMMYFUNCTION("""COMPUTED_VALUE"""),"Napa")</f>
        <v>Napa</v>
      </c>
      <c r="N1656" s="5" t="str">
        <f ca="1">IFERROR(__xludf.DUMMYFUNCTION("""COMPUTED_VALUE"""),"CA")</f>
        <v>CA</v>
      </c>
      <c r="O1656" s="5" t="str">
        <f ca="1">IFERROR(__xludf.DUMMYFUNCTION("""COMPUTED_VALUE"""),"Junior High")</f>
        <v>Junior High</v>
      </c>
      <c r="P1656" s="5" t="str">
        <f ca="1">IFERROR(__xludf.DUMMYFUNCTION("""COMPUTED_VALUE"""),"Classroom")</f>
        <v>Classroom</v>
      </c>
      <c r="Q1656" s="5" t="str">
        <f ca="1">IFERROR(__xludf.DUMMYFUNCTION("""COMPUTED_VALUE"""),"Inside School Building")</f>
        <v>Inside School Building</v>
      </c>
      <c r="R1656" s="5" t="str">
        <f ca="1">IFERROR(__xludf.DUMMYFUNCTION("""COMPUTED_VALUE"""),"Yes")</f>
        <v>Yes</v>
      </c>
      <c r="S1656" s="5" t="str">
        <f ca="1">IFERROR(__xludf.DUMMYFUNCTION("""COMPUTED_VALUE"""),"Morning Classes")</f>
        <v>Morning Classes</v>
      </c>
      <c r="T1656" s="10">
        <f ca="1">IFERROR(__xludf.DUMMYFUNCTION("""COMPUTED_VALUE"""),0.34375)</f>
        <v>0.34375</v>
      </c>
      <c r="U1656" s="5"/>
      <c r="V1656" s="5" t="str">
        <f ca="1">IFERROR(__xludf.DUMMYFUNCTION("""COMPUTED_VALUE"""),"Bullied - planned attacked - referred to himself as a ""new Jack City Hustler.""")</f>
        <v>Bullied - planned attacked - referred to himself as a "new Jack City Hustler."</v>
      </c>
      <c r="W1656"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X1656" s="5" t="str">
        <f ca="1">IFERROR(__xludf.DUMMYFUNCTION("""COMPUTED_VALUE"""),"Bullying")</f>
        <v>Bullying</v>
      </c>
      <c r="Y1656" s="5"/>
      <c r="Z1656" s="5"/>
      <c r="AA1656" s="5"/>
      <c r="AB1656" s="5" t="str">
        <f ca="1">IFERROR(__xludf.DUMMYFUNCTION("""COMPUTED_VALUE"""),"No")</f>
        <v>No</v>
      </c>
      <c r="AC1656" s="5" t="str">
        <f ca="1">IFERROR(__xludf.DUMMYFUNCTION("""COMPUTED_VALUE"""),"No")</f>
        <v>No</v>
      </c>
      <c r="AD1656" s="5" t="str">
        <f ca="1">IFERROR(__xludf.DUMMYFUNCTION("""COMPUTED_VALUE"""),"No")</f>
        <v>No</v>
      </c>
      <c r="AE1656" s="5" t="str">
        <f ca="1">IFERROR(__xludf.DUMMYFUNCTION("""COMPUTED_VALUE"""),"Yes")</f>
        <v>Yes</v>
      </c>
      <c r="AF1656" s="5" t="str">
        <f ca="1">IFERROR(__xludf.DUMMYFUNCTION("""COMPUTED_VALUE"""),"No")</f>
        <v>No</v>
      </c>
      <c r="AG1656" s="5" t="str">
        <f ca="1">IFERROR(__xludf.DUMMYFUNCTION("""COMPUTED_VALUE"""),"No")</f>
        <v>No</v>
      </c>
      <c r="AH1656" s="5" t="str">
        <f ca="1">IFERROR(__xludf.DUMMYFUNCTION("""COMPUTED_VALUE"""),"Yes")</f>
        <v>Yes</v>
      </c>
    </row>
    <row r="1657" spans="1:34" ht="12.75">
      <c r="A1657" s="5" t="str">
        <f ca="1">IFERROR(__xludf.DUMMYFUNCTION("""COMPUTED_VALUE"""),"19920501CALIO")</f>
        <v>19920501CALIO</v>
      </c>
      <c r="B1657" s="8">
        <f ca="1">IFERROR(__xludf.DUMMYFUNCTION("""COMPUTED_VALUE"""),33725)</f>
        <v>33725</v>
      </c>
      <c r="C1657" s="5" t="str">
        <f ca="1">IFERROR(__xludf.DUMMYFUNCTION("""COMPUTED_VALUE"""),"Lindhurst High School")</f>
        <v>Lindhurst High School</v>
      </c>
      <c r="D1657" s="5">
        <f ca="1">IFERROR(__xludf.DUMMYFUNCTION("""COMPUTED_VALUE"""),4)</f>
        <v>4</v>
      </c>
      <c r="E1657" s="5">
        <f ca="1">IFERROR(__xludf.DUMMYFUNCTION("""COMPUTED_VALUE"""),10)</f>
        <v>10</v>
      </c>
      <c r="F1657" s="5">
        <f ca="1">IFERROR(__xludf.DUMMYFUNCTION("""COMPUTED_VALUE"""),14)</f>
        <v>14</v>
      </c>
      <c r="G1657" s="5">
        <f ca="1">IFERROR(__xludf.DUMMYFUNCTION("""COMPUTED_VALUE"""),0)</f>
        <v>0</v>
      </c>
      <c r="H1657" s="9" t="str">
        <f ca="1">IFERROR(__xludf.DUMMYFUNCTION("""COMPUTED_VALUE"""),"http://sacramento.cbslocal.com/2012/08/02/state-supreme-court-upholds-death-penalty-for-houston-in-lindhurst-high-rampage/")</f>
        <v>http://sacramento.cbslocal.com/2012/08/02/state-supreme-court-upholds-death-penalty-for-houston-in-lindhurst-high-rampage/</v>
      </c>
      <c r="I1657" s="5"/>
      <c r="J1657" s="5"/>
      <c r="K1657" s="5">
        <f ca="1">IFERROR(__xludf.DUMMYFUNCTION("""COMPUTED_VALUE"""),4)</f>
        <v>4</v>
      </c>
      <c r="L1657" s="5" t="str">
        <f ca="1">IFERROR(__xludf.DUMMYFUNCTION("""COMPUTED_VALUE"""),"Spring")</f>
        <v>Spring</v>
      </c>
      <c r="M1657" s="5" t="str">
        <f ca="1">IFERROR(__xludf.DUMMYFUNCTION("""COMPUTED_VALUE"""),"Olivehurst")</f>
        <v>Olivehurst</v>
      </c>
      <c r="N1657" s="5" t="str">
        <f ca="1">IFERROR(__xludf.DUMMYFUNCTION("""COMPUTED_VALUE"""),"CA")</f>
        <v>CA</v>
      </c>
      <c r="O1657" s="5" t="str">
        <f ca="1">IFERROR(__xludf.DUMMYFUNCTION("""COMPUTED_VALUE"""),"High")</f>
        <v>High</v>
      </c>
      <c r="P1657" s="5" t="str">
        <f ca="1">IFERROR(__xludf.DUMMYFUNCTION("""COMPUTED_VALUE"""),"Hallway")</f>
        <v>Hallway</v>
      </c>
      <c r="Q1657" s="5" t="str">
        <f ca="1">IFERROR(__xludf.DUMMYFUNCTION("""COMPUTED_VALUE"""),"Inside School Building")</f>
        <v>Inside School Building</v>
      </c>
      <c r="R1657" s="5" t="str">
        <f ca="1">IFERROR(__xludf.DUMMYFUNCTION("""COMPUTED_VALUE"""),"Yes")</f>
        <v>Yes</v>
      </c>
      <c r="S1657" s="5" t="str">
        <f ca="1">IFERROR(__xludf.DUMMYFUNCTION("""COMPUTED_VALUE"""),"Afternoon Classes")</f>
        <v>Afternoon Classes</v>
      </c>
      <c r="T1657" s="5"/>
      <c r="U1657" s="5">
        <f ca="1">IFERROR(__xludf.DUMMYFUNCTION("""COMPUTED_VALUE"""),480)</f>
        <v>480</v>
      </c>
      <c r="V1657" s="5" t="str">
        <f ca="1">IFERROR(__xludf.DUMMYFUNCTION("""COMPUTED_VALUE"""),"Planned attack, 80 hostages")</f>
        <v>Planned attack, 80 hostages</v>
      </c>
      <c r="W1657"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X1657" s="5" t="str">
        <f ca="1">IFERROR(__xludf.DUMMYFUNCTION("""COMPUTED_VALUE"""),"Hostage/Standoff")</f>
        <v>Hostage/Standoff</v>
      </c>
      <c r="Y1657" s="5" t="str">
        <f ca="1">IFERROR(__xludf.DUMMYFUNCTION("""COMPUTED_VALUE"""),"Both")</f>
        <v>Both</v>
      </c>
      <c r="Z1657" s="5" t="str">
        <f ca="1">IFERROR(__xludf.DUMMYFUNCTION("""COMPUTED_VALUE"""),"No")</f>
        <v>No</v>
      </c>
      <c r="AA1657" s="5"/>
      <c r="AB1657" s="5" t="str">
        <f ca="1">IFERROR(__xludf.DUMMYFUNCTION("""COMPUTED_VALUE"""),"Yes")</f>
        <v>Yes</v>
      </c>
      <c r="AC1657" s="5" t="str">
        <f ca="1">IFERROR(__xludf.DUMMYFUNCTION("""COMPUTED_VALUE"""),"Yes")</f>
        <v>Yes</v>
      </c>
      <c r="AD1657" s="5" t="str">
        <f ca="1">IFERROR(__xludf.DUMMYFUNCTION("""COMPUTED_VALUE"""),"No")</f>
        <v>No</v>
      </c>
      <c r="AE1657" s="5" t="str">
        <f ca="1">IFERROR(__xludf.DUMMYFUNCTION("""COMPUTED_VALUE"""),"No")</f>
        <v>No</v>
      </c>
      <c r="AF1657" s="5" t="str">
        <f ca="1">IFERROR(__xludf.DUMMYFUNCTION("""COMPUTED_VALUE"""),"No")</f>
        <v>No</v>
      </c>
      <c r="AG1657" s="5" t="str">
        <f ca="1">IFERROR(__xludf.DUMMYFUNCTION("""COMPUTED_VALUE"""),"No")</f>
        <v>No</v>
      </c>
      <c r="AH1657" s="5" t="str">
        <f ca="1">IFERROR(__xludf.DUMMYFUNCTION("""COMPUTED_VALUE"""),"Yes")</f>
        <v>Yes</v>
      </c>
    </row>
    <row r="1658" spans="1:34" ht="12.75">
      <c r="A1658" s="5" t="str">
        <f ca="1">IFERROR(__xludf.DUMMYFUNCTION("""COMPUTED_VALUE"""),"19920417TXLID")</f>
        <v>19920417TXLID</v>
      </c>
      <c r="B1658" s="8">
        <f ca="1">IFERROR(__xludf.DUMMYFUNCTION("""COMPUTED_VALUE"""),33711)</f>
        <v>33711</v>
      </c>
      <c r="C1658" s="5" t="str">
        <f ca="1">IFERROR(__xludf.DUMMYFUNCTION("""COMPUTED_VALUE"""),"Lincoln High School")</f>
        <v>Lincoln High School</v>
      </c>
      <c r="D1658" s="5">
        <f ca="1">IFERROR(__xludf.DUMMYFUNCTION("""COMPUTED_VALUE"""),1)</f>
        <v>1</v>
      </c>
      <c r="E1658" s="5">
        <f ca="1">IFERROR(__xludf.DUMMYFUNCTION("""COMPUTED_VALUE"""),0)</f>
        <v>0</v>
      </c>
      <c r="F1658" s="5">
        <f ca="1">IFERROR(__xludf.DUMMYFUNCTION("""COMPUTED_VALUE"""),1)</f>
        <v>1</v>
      </c>
      <c r="G1658" s="5">
        <f ca="1">IFERROR(__xludf.DUMMYFUNCTION("""COMPUTED_VALUE"""),0)</f>
        <v>0</v>
      </c>
      <c r="H1658"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I1658" s="5"/>
      <c r="J1658" s="5"/>
      <c r="K1658" s="5">
        <f ca="1">IFERROR(__xludf.DUMMYFUNCTION("""COMPUTED_VALUE"""),1)</f>
        <v>1</v>
      </c>
      <c r="L1658" s="5" t="str">
        <f ca="1">IFERROR(__xludf.DUMMYFUNCTION("""COMPUTED_VALUE"""),"Spring")</f>
        <v>Spring</v>
      </c>
      <c r="M1658" s="5" t="str">
        <f ca="1">IFERROR(__xludf.DUMMYFUNCTION("""COMPUTED_VALUE"""),"Dallas")</f>
        <v>Dallas</v>
      </c>
      <c r="N1658" s="5" t="str">
        <f ca="1">IFERROR(__xludf.DUMMYFUNCTION("""COMPUTED_VALUE"""),"TX")</f>
        <v>TX</v>
      </c>
      <c r="O1658" s="5" t="str">
        <f ca="1">IFERROR(__xludf.DUMMYFUNCTION("""COMPUTED_VALUE"""),"High")</f>
        <v>High</v>
      </c>
      <c r="P1658" s="5" t="str">
        <f ca="1">IFERROR(__xludf.DUMMYFUNCTION("""COMPUTED_VALUE"""),"Parking Lot")</f>
        <v>Parking Lot</v>
      </c>
      <c r="Q1658" s="5" t="str">
        <f ca="1">IFERROR(__xludf.DUMMYFUNCTION("""COMPUTED_VALUE"""),"Outside on School Property")</f>
        <v>Outside on School Property</v>
      </c>
      <c r="R1658" s="5" t="str">
        <f ca="1">IFERROR(__xludf.DUMMYFUNCTION("""COMPUTED_VALUE"""),"No")</f>
        <v>No</v>
      </c>
      <c r="S1658" s="5" t="str">
        <f ca="1">IFERROR(__xludf.DUMMYFUNCTION("""COMPUTED_VALUE"""),"Night")</f>
        <v>Night</v>
      </c>
      <c r="T1658" s="5"/>
      <c r="U1658" s="5"/>
      <c r="V1658" s="5" t="str">
        <f ca="1">IFERROR(__xludf.DUMMYFUNCTION("""COMPUTED_VALUE"""),"Accidental, gun fired into air came down and struck 19YOM in head")</f>
        <v>Accidental, gun fired into air came down and struck 19YOM in head</v>
      </c>
      <c r="W1658"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X1658" s="5" t="str">
        <f ca="1">IFERROR(__xludf.DUMMYFUNCTION("""COMPUTED_VALUE"""),"Accidental")</f>
        <v>Accidental</v>
      </c>
      <c r="Y1658" s="5" t="str">
        <f ca="1">IFERROR(__xludf.DUMMYFUNCTION("""COMPUTED_VALUE"""),"Random Shooting")</f>
        <v>Random Shooting</v>
      </c>
      <c r="Z1658" s="5"/>
      <c r="AA1658" s="5"/>
      <c r="AB1658" s="5" t="str">
        <f ca="1">IFERROR(__xludf.DUMMYFUNCTION("""COMPUTED_VALUE"""),"No")</f>
        <v>No</v>
      </c>
      <c r="AC1658" s="5" t="str">
        <f ca="1">IFERROR(__xludf.DUMMYFUNCTION("""COMPUTED_VALUE"""),"No")</f>
        <v>No</v>
      </c>
      <c r="AD1658" s="5" t="str">
        <f ca="1">IFERROR(__xludf.DUMMYFUNCTION("""COMPUTED_VALUE"""),"No")</f>
        <v>No</v>
      </c>
      <c r="AE1658" s="5" t="str">
        <f ca="1">IFERROR(__xludf.DUMMYFUNCTION("""COMPUTED_VALUE"""),"No")</f>
        <v>No</v>
      </c>
      <c r="AF1658" s="5" t="str">
        <f ca="1">IFERROR(__xludf.DUMMYFUNCTION("""COMPUTED_VALUE"""),"No")</f>
        <v>No</v>
      </c>
      <c r="AG1658" s="5" t="str">
        <f ca="1">IFERROR(__xludf.DUMMYFUNCTION("""COMPUTED_VALUE"""),"No")</f>
        <v>No</v>
      </c>
      <c r="AH1658" s="5"/>
    </row>
    <row r="1659" spans="1:34" ht="12.75">
      <c r="A1659" s="5" t="str">
        <f ca="1">IFERROR(__xludf.DUMMYFUNCTION("""COMPUTED_VALUE"""),"19920409FLFOF")</f>
        <v>19920409FLFOF</v>
      </c>
      <c r="B1659" s="8">
        <f ca="1">IFERROR(__xludf.DUMMYFUNCTION("""COMPUTED_VALUE"""),33703)</f>
        <v>33703</v>
      </c>
      <c r="C1659" s="5" t="str">
        <f ca="1">IFERROR(__xludf.DUMMYFUNCTION("""COMPUTED_VALUE"""),"Fort Myers High School")</f>
        <v>Fort Myers High School</v>
      </c>
      <c r="D1659" s="5">
        <f ca="1">IFERROR(__xludf.DUMMYFUNCTION("""COMPUTED_VALUE"""),0)</f>
        <v>0</v>
      </c>
      <c r="E1659" s="5">
        <f ca="1">IFERROR(__xludf.DUMMYFUNCTION("""COMPUTED_VALUE"""),1)</f>
        <v>1</v>
      </c>
      <c r="F1659" s="5">
        <f ca="1">IFERROR(__xludf.DUMMYFUNCTION("""COMPUTED_VALUE"""),1)</f>
        <v>1</v>
      </c>
      <c r="G1659" s="5">
        <f ca="1">IFERROR(__xludf.DUMMYFUNCTION("""COMPUTED_VALUE"""),0)</f>
        <v>0</v>
      </c>
      <c r="H1659"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I1659" s="5"/>
      <c r="J1659" s="5"/>
      <c r="K1659" s="5">
        <f ca="1">IFERROR(__xludf.DUMMYFUNCTION("""COMPUTED_VALUE"""),3)</f>
        <v>3</v>
      </c>
      <c r="L1659" s="5" t="str">
        <f ca="1">IFERROR(__xludf.DUMMYFUNCTION("""COMPUTED_VALUE"""),"Spring")</f>
        <v>Spring</v>
      </c>
      <c r="M1659" s="5" t="str">
        <f ca="1">IFERROR(__xludf.DUMMYFUNCTION("""COMPUTED_VALUE"""),"Fort Myers")</f>
        <v>Fort Myers</v>
      </c>
      <c r="N1659" s="5" t="str">
        <f ca="1">IFERROR(__xludf.DUMMYFUNCTION("""COMPUTED_VALUE"""),"FL")</f>
        <v>FL</v>
      </c>
      <c r="O1659" s="5" t="str">
        <f ca="1">IFERROR(__xludf.DUMMYFUNCTION("""COMPUTED_VALUE"""),"High")</f>
        <v>High</v>
      </c>
      <c r="P1659" s="5" t="str">
        <f ca="1">IFERROR(__xludf.DUMMYFUNCTION("""COMPUTED_VALUE"""),"Field (General)")</f>
        <v>Field (General)</v>
      </c>
      <c r="Q1659" s="5" t="str">
        <f ca="1">IFERROR(__xludf.DUMMYFUNCTION("""COMPUTED_VALUE"""),"Outside on School Property")</f>
        <v>Outside on School Property</v>
      </c>
      <c r="R1659" s="5" t="str">
        <f ca="1">IFERROR(__xludf.DUMMYFUNCTION("""COMPUTED_VALUE"""),"Yes")</f>
        <v>Yes</v>
      </c>
      <c r="S1659" s="5" t="str">
        <f ca="1">IFERROR(__xludf.DUMMYFUNCTION("""COMPUTED_VALUE"""),"Morning Classes")</f>
        <v>Morning Classes</v>
      </c>
      <c r="T1659" s="10">
        <f ca="1">IFERROR(__xludf.DUMMYFUNCTION("""COMPUTED_VALUE"""),0.385416666666666)</f>
        <v>0.38541666666666602</v>
      </c>
      <c r="U1659" s="5">
        <f ca="1">IFERROR(__xludf.DUMMYFUNCTION("""COMPUTED_VALUE"""),1)</f>
        <v>1</v>
      </c>
      <c r="V1659" s="5" t="str">
        <f ca="1">IFERROR(__xludf.DUMMYFUNCTION("""COMPUTED_VALUE"""),"Shots fired during fight in school hallway")</f>
        <v>Shots fired during fight in school hallway</v>
      </c>
      <c r="W1659"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X1659" s="5" t="str">
        <f ca="1">IFERROR(__xludf.DUMMYFUNCTION("""COMPUTED_VALUE"""),"Escalation of Dispute")</f>
        <v>Escalation of Dispute</v>
      </c>
      <c r="Y1659" s="5" t="str">
        <f ca="1">IFERROR(__xludf.DUMMYFUNCTION("""COMPUTED_VALUE"""),"Victims Targeted")</f>
        <v>Victims Targeted</v>
      </c>
      <c r="Z1659" s="5" t="str">
        <f ca="1">IFERROR(__xludf.DUMMYFUNCTION("""COMPUTED_VALUE"""),"No")</f>
        <v>No</v>
      </c>
      <c r="AA1659" s="5"/>
      <c r="AB1659" s="5" t="str">
        <f ca="1">IFERROR(__xludf.DUMMYFUNCTION("""COMPUTED_VALUE"""),"No")</f>
        <v>No</v>
      </c>
      <c r="AC1659" s="5" t="str">
        <f ca="1">IFERROR(__xludf.DUMMYFUNCTION("""COMPUTED_VALUE"""),"No")</f>
        <v>No</v>
      </c>
      <c r="AD1659" s="5" t="str">
        <f ca="1">IFERROR(__xludf.DUMMYFUNCTION("""COMPUTED_VALUE"""),"No")</f>
        <v>No</v>
      </c>
      <c r="AE1659" s="5" t="str">
        <f ca="1">IFERROR(__xludf.DUMMYFUNCTION("""COMPUTED_VALUE"""),"No")</f>
        <v>No</v>
      </c>
      <c r="AF1659" s="5" t="str">
        <f ca="1">IFERROR(__xludf.DUMMYFUNCTION("""COMPUTED_VALUE"""),"No")</f>
        <v>No</v>
      </c>
      <c r="AG1659" s="5" t="str">
        <f ca="1">IFERROR(__xludf.DUMMYFUNCTION("""COMPUTED_VALUE"""),"No")</f>
        <v>No</v>
      </c>
      <c r="AH1659" s="5"/>
    </row>
    <row r="1660" spans="1:34" ht="12.75">
      <c r="A1660" s="5" t="str">
        <f ca="1">IFERROR(__xludf.DUMMYFUNCTION("""COMPUTED_VALUE"""),"19920331LAOPA")</f>
        <v>19920331LAOPA</v>
      </c>
      <c r="B1660" s="8">
        <f ca="1">IFERROR(__xludf.DUMMYFUNCTION("""COMPUTED_VALUE"""),33694)</f>
        <v>33694</v>
      </c>
      <c r="C1660" s="5" t="str">
        <f ca="1">IFERROR(__xludf.DUMMYFUNCTION("""COMPUTED_VALUE"""),"O Perry Walker High School")</f>
        <v>O Perry Walker High School</v>
      </c>
      <c r="D1660" s="5">
        <f ca="1">IFERROR(__xludf.DUMMYFUNCTION("""COMPUTED_VALUE"""),1)</f>
        <v>1</v>
      </c>
      <c r="E1660" s="5">
        <f ca="1">IFERROR(__xludf.DUMMYFUNCTION("""COMPUTED_VALUE"""),0)</f>
        <v>0</v>
      </c>
      <c r="F1660" s="5">
        <f ca="1">IFERROR(__xludf.DUMMYFUNCTION("""COMPUTED_VALUE"""),1)</f>
        <v>1</v>
      </c>
      <c r="G1660" s="5">
        <f ca="1">IFERROR(__xludf.DUMMYFUNCTION("""COMPUTED_VALUE"""),0)</f>
        <v>0</v>
      </c>
      <c r="H1660" s="9" t="str">
        <f ca="1">IFERROR(__xludf.DUMMYFUNCTION("""COMPUTED_VALUE"""),"https://www.nola.com/crime/index.ssf/2017/09/25_years_after_walker_students.html")</f>
        <v>https://www.nola.com/crime/index.ssf/2017/09/25_years_after_walker_students.html</v>
      </c>
      <c r="I1660" s="5"/>
      <c r="J1660" s="5"/>
      <c r="K1660" s="5">
        <f ca="1">IFERROR(__xludf.DUMMYFUNCTION("""COMPUTED_VALUE"""),2)</f>
        <v>2</v>
      </c>
      <c r="L1660" s="5" t="str">
        <f ca="1">IFERROR(__xludf.DUMMYFUNCTION("""COMPUTED_VALUE"""),"Spring")</f>
        <v>Spring</v>
      </c>
      <c r="M1660" s="5" t="str">
        <f ca="1">IFERROR(__xludf.DUMMYFUNCTION("""COMPUTED_VALUE"""),"Algiers")</f>
        <v>Algiers</v>
      </c>
      <c r="N1660" s="5" t="str">
        <f ca="1">IFERROR(__xludf.DUMMYFUNCTION("""COMPUTED_VALUE"""),"LA")</f>
        <v>LA</v>
      </c>
      <c r="O1660" s="5" t="str">
        <f ca="1">IFERROR(__xludf.DUMMYFUNCTION("""COMPUTED_VALUE"""),"High")</f>
        <v>High</v>
      </c>
      <c r="P1660" s="5" t="str">
        <f ca="1">IFERROR(__xludf.DUMMYFUNCTION("""COMPUTED_VALUE"""),"Hallway")</f>
        <v>Hallway</v>
      </c>
      <c r="Q1660" s="5" t="str">
        <f ca="1">IFERROR(__xludf.DUMMYFUNCTION("""COMPUTED_VALUE"""),"Inside School Building")</f>
        <v>Inside School Building</v>
      </c>
      <c r="R1660" s="5" t="str">
        <f ca="1">IFERROR(__xludf.DUMMYFUNCTION("""COMPUTED_VALUE"""),"Yes")</f>
        <v>Yes</v>
      </c>
      <c r="S1660" s="5" t="str">
        <f ca="1">IFERROR(__xludf.DUMMYFUNCTION("""COMPUTED_VALUE"""),"Morning Classes")</f>
        <v>Morning Classes</v>
      </c>
      <c r="T1660" s="10">
        <f ca="1">IFERROR(__xludf.DUMMYFUNCTION("""COMPUTED_VALUE"""),0.34375)</f>
        <v>0.34375</v>
      </c>
      <c r="U1660" s="5">
        <f ca="1">IFERROR(__xludf.DUMMYFUNCTION("""COMPUTED_VALUE"""),1)</f>
        <v>1</v>
      </c>
      <c r="V1660" s="5" t="str">
        <f ca="1">IFERROR(__xludf.DUMMYFUNCTION("""COMPUTED_VALUE"""),"Fight escalated into shooting in the hallways")</f>
        <v>Fight escalated into shooting in the hallways</v>
      </c>
      <c r="W1660"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X1660" s="5" t="str">
        <f ca="1">IFERROR(__xludf.DUMMYFUNCTION("""COMPUTED_VALUE"""),"Escalation of Dispute")</f>
        <v>Escalation of Dispute</v>
      </c>
      <c r="Y1660" s="5" t="str">
        <f ca="1">IFERROR(__xludf.DUMMYFUNCTION("""COMPUTED_VALUE"""),"Victims Targeted")</f>
        <v>Victims Targeted</v>
      </c>
      <c r="Z1660" s="5"/>
      <c r="AA1660" s="5"/>
      <c r="AB1660" s="5" t="str">
        <f ca="1">IFERROR(__xludf.DUMMYFUNCTION("""COMPUTED_VALUE"""),"No")</f>
        <v>No</v>
      </c>
      <c r="AC1660" s="5" t="str">
        <f ca="1">IFERROR(__xludf.DUMMYFUNCTION("""COMPUTED_VALUE"""),"No")</f>
        <v>No</v>
      </c>
      <c r="AD1660" s="5" t="str">
        <f ca="1">IFERROR(__xludf.DUMMYFUNCTION("""COMPUTED_VALUE"""),"No")</f>
        <v>No</v>
      </c>
      <c r="AE1660" s="5" t="str">
        <f ca="1">IFERROR(__xludf.DUMMYFUNCTION("""COMPUTED_VALUE"""),"No")</f>
        <v>No</v>
      </c>
      <c r="AF1660" s="5" t="str">
        <f ca="1">IFERROR(__xludf.DUMMYFUNCTION("""COMPUTED_VALUE"""),"No")</f>
        <v>No</v>
      </c>
      <c r="AG1660" s="5" t="str">
        <f ca="1">IFERROR(__xludf.DUMMYFUNCTION("""COMPUTED_VALUE"""),"No")</f>
        <v>No</v>
      </c>
      <c r="AH1660" s="5"/>
    </row>
    <row r="1661" spans="1:34" ht="12.75">
      <c r="A1661" s="5" t="str">
        <f ca="1">IFERROR(__xludf.DUMMYFUNCTION("""COMPUTED_VALUE"""),"19920305OHHAO")</f>
        <v>19920305OHHAO</v>
      </c>
      <c r="B1661" s="8">
        <f ca="1">IFERROR(__xludf.DUMMYFUNCTION("""COMPUTED_VALUE"""),33668)</f>
        <v>33668</v>
      </c>
      <c r="C1661" s="5" t="str">
        <f ca="1">IFERROR(__xludf.DUMMYFUNCTION("""COMPUTED_VALUE"""),"Hamilton Middle School")</f>
        <v>Hamilton Middle School</v>
      </c>
      <c r="D1661" s="5">
        <f ca="1">IFERROR(__xludf.DUMMYFUNCTION("""COMPUTED_VALUE"""),0)</f>
        <v>0</v>
      </c>
      <c r="E1661" s="5">
        <f ca="1">IFERROR(__xludf.DUMMYFUNCTION("""COMPUTED_VALUE"""),1)</f>
        <v>1</v>
      </c>
      <c r="F1661" s="5">
        <f ca="1">IFERROR(__xludf.DUMMYFUNCTION("""COMPUTED_VALUE"""),1)</f>
        <v>1</v>
      </c>
      <c r="G1661" s="5">
        <f ca="1">IFERROR(__xludf.DUMMYFUNCTION("""COMPUTED_VALUE"""),0)</f>
        <v>0</v>
      </c>
      <c r="H1661" s="9" t="str">
        <f ca="1">IFERROR(__xludf.DUMMYFUNCTION("""COMPUTED_VALUE"""),"https://www.newspapers.com/image/296856537/?terms=Hamilton%2BMiddle%2BSchool%2Bshooting")</f>
        <v>https://www.newspapers.com/image/296856537/?terms=Hamilton%2BMiddle%2BSchool%2Bshooting</v>
      </c>
      <c r="I1661" s="5"/>
      <c r="J1661" s="5"/>
      <c r="K1661" s="5">
        <f ca="1">IFERROR(__xludf.DUMMYFUNCTION("""COMPUTED_VALUE"""),2)</f>
        <v>2</v>
      </c>
      <c r="L1661" s="5" t="str">
        <f ca="1">IFERROR(__xludf.DUMMYFUNCTION("""COMPUTED_VALUE"""),"Spring")</f>
        <v>Spring</v>
      </c>
      <c r="M1661" s="5" t="str">
        <f ca="1">IFERROR(__xludf.DUMMYFUNCTION("""COMPUTED_VALUE"""),"Obetz")</f>
        <v>Obetz</v>
      </c>
      <c r="N1661" s="5" t="str">
        <f ca="1">IFERROR(__xludf.DUMMYFUNCTION("""COMPUTED_VALUE"""),"OH")</f>
        <v>OH</v>
      </c>
      <c r="O1661" s="5" t="str">
        <f ca="1">IFERROR(__xludf.DUMMYFUNCTION("""COMPUTED_VALUE"""),"Middle")</f>
        <v>Middle</v>
      </c>
      <c r="P1661" s="5" t="str">
        <f ca="1">IFERROR(__xludf.DUMMYFUNCTION("""COMPUTED_VALUE"""),"Cafeteria")</f>
        <v>Cafeteria</v>
      </c>
      <c r="Q1661" s="5" t="str">
        <f ca="1">IFERROR(__xludf.DUMMYFUNCTION("""COMPUTED_VALUE"""),"Inside School Building")</f>
        <v>Inside School Building</v>
      </c>
      <c r="R1661" s="5" t="str">
        <f ca="1">IFERROR(__xludf.DUMMYFUNCTION("""COMPUTED_VALUE"""),"Yes")</f>
        <v>Yes</v>
      </c>
      <c r="S1661" s="5" t="str">
        <f ca="1">IFERROR(__xludf.DUMMYFUNCTION("""COMPUTED_VALUE"""),"Lunch")</f>
        <v>Lunch</v>
      </c>
      <c r="T1661" s="5"/>
      <c r="U1661" s="5">
        <f ca="1">IFERROR(__xludf.DUMMYFUNCTION("""COMPUTED_VALUE"""),1)</f>
        <v>1</v>
      </c>
      <c r="V1661" s="5" t="str">
        <f ca="1">IFERROR(__xludf.DUMMYFUNCTION("""COMPUTED_VALUE"""),"Shot specific victim in school cafeteria")</f>
        <v>Shot specific victim in school cafeteria</v>
      </c>
      <c r="W1661"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X1661" s="5" t="str">
        <f ca="1">IFERROR(__xludf.DUMMYFUNCTION("""COMPUTED_VALUE"""),"Escalation of Dispute")</f>
        <v>Escalation of Dispute</v>
      </c>
      <c r="Y1661" s="5" t="str">
        <f ca="1">IFERROR(__xludf.DUMMYFUNCTION("""COMPUTED_VALUE"""),"Victims Targeted")</f>
        <v>Victims Targeted</v>
      </c>
      <c r="Z1661" s="5" t="str">
        <f ca="1">IFERROR(__xludf.DUMMYFUNCTION("""COMPUTED_VALUE"""),"No")</f>
        <v>No</v>
      </c>
      <c r="AA1661" s="5"/>
      <c r="AB1661" s="5" t="str">
        <f ca="1">IFERROR(__xludf.DUMMYFUNCTION("""COMPUTED_VALUE"""),"No")</f>
        <v>No</v>
      </c>
      <c r="AC1661" s="5" t="str">
        <f ca="1">IFERROR(__xludf.DUMMYFUNCTION("""COMPUTED_VALUE"""),"No")</f>
        <v>No</v>
      </c>
      <c r="AD1661" s="5" t="str">
        <f ca="1">IFERROR(__xludf.DUMMYFUNCTION("""COMPUTED_VALUE"""),"No")</f>
        <v>No</v>
      </c>
      <c r="AE1661" s="5"/>
      <c r="AF1661" s="5" t="str">
        <f ca="1">IFERROR(__xludf.DUMMYFUNCTION("""COMPUTED_VALUE"""),"No")</f>
        <v>No</v>
      </c>
      <c r="AG1661" s="5" t="str">
        <f ca="1">IFERROR(__xludf.DUMMYFUNCTION("""COMPUTED_VALUE"""),"No")</f>
        <v>No</v>
      </c>
      <c r="AH1661" s="5"/>
    </row>
    <row r="1662" spans="1:34" ht="12.75">
      <c r="A1662" s="5" t="str">
        <f ca="1">IFERROR(__xludf.DUMMYFUNCTION("""COMPUTED_VALUE"""),"19920226NYTHB")</f>
        <v>19920226NYTHB</v>
      </c>
      <c r="B1662" s="8">
        <f ca="1">IFERROR(__xludf.DUMMYFUNCTION("""COMPUTED_VALUE"""),33660)</f>
        <v>33660</v>
      </c>
      <c r="C1662" s="5" t="str">
        <f ca="1">IFERROR(__xludf.DUMMYFUNCTION("""COMPUTED_VALUE"""),"Thomas Jefferson High School")</f>
        <v>Thomas Jefferson High School</v>
      </c>
      <c r="D1662" s="5">
        <f ca="1">IFERROR(__xludf.DUMMYFUNCTION("""COMPUTED_VALUE"""),2)</f>
        <v>2</v>
      </c>
      <c r="E1662" s="5">
        <f ca="1">IFERROR(__xludf.DUMMYFUNCTION("""COMPUTED_VALUE"""),0)</f>
        <v>0</v>
      </c>
      <c r="F1662" s="5">
        <f ca="1">IFERROR(__xludf.DUMMYFUNCTION("""COMPUTED_VALUE"""),2)</f>
        <v>2</v>
      </c>
      <c r="G1662" s="5">
        <f ca="1">IFERROR(__xludf.DUMMYFUNCTION("""COMPUTED_VALUE"""),0)</f>
        <v>0</v>
      </c>
      <c r="H1662" s="9" t="str">
        <f ca="1">IFERROR(__xludf.DUMMYFUNCTION("""COMPUTED_VALUE"""),"https://www.nytimes.com/1992/02/27/nyregion/2-teen-agers-shot-to-death-in-a-brooklyn-school.html")</f>
        <v>https://www.nytimes.com/1992/02/27/nyregion/2-teen-agers-shot-to-death-in-a-brooklyn-school.html</v>
      </c>
      <c r="I1662" s="5"/>
      <c r="J1662" s="5"/>
      <c r="K1662" s="5">
        <f ca="1">IFERROR(__xludf.DUMMYFUNCTION("""COMPUTED_VALUE"""),2)</f>
        <v>2</v>
      </c>
      <c r="L1662" s="5" t="str">
        <f ca="1">IFERROR(__xludf.DUMMYFUNCTION("""COMPUTED_VALUE"""),"Winter")</f>
        <v>Winter</v>
      </c>
      <c r="M1662" s="5" t="str">
        <f ca="1">IFERROR(__xludf.DUMMYFUNCTION("""COMPUTED_VALUE"""),"Brooklyn")</f>
        <v>Brooklyn</v>
      </c>
      <c r="N1662" s="5" t="str">
        <f ca="1">IFERROR(__xludf.DUMMYFUNCTION("""COMPUTED_VALUE"""),"NY")</f>
        <v>NY</v>
      </c>
      <c r="O1662" s="5" t="str">
        <f ca="1">IFERROR(__xludf.DUMMYFUNCTION("""COMPUTED_VALUE"""),"High")</f>
        <v>High</v>
      </c>
      <c r="P1662" s="5" t="str">
        <f ca="1">IFERROR(__xludf.DUMMYFUNCTION("""COMPUTED_VALUE"""),"Hallway")</f>
        <v>Hallway</v>
      </c>
      <c r="Q1662" s="5" t="str">
        <f ca="1">IFERROR(__xludf.DUMMYFUNCTION("""COMPUTED_VALUE"""),"Inside School Building")</f>
        <v>Inside School Building</v>
      </c>
      <c r="R1662" s="5" t="str">
        <f ca="1">IFERROR(__xludf.DUMMYFUNCTION("""COMPUTED_VALUE"""),"Yes")</f>
        <v>Yes</v>
      </c>
      <c r="S1662" s="5" t="str">
        <f ca="1">IFERROR(__xludf.DUMMYFUNCTION("""COMPUTED_VALUE"""),"Morning Classes")</f>
        <v>Morning Classes</v>
      </c>
      <c r="T1662" s="10">
        <f ca="1">IFERROR(__xludf.DUMMYFUNCTION("""COMPUTED_VALUE"""),0.361111111111111)</f>
        <v>0.36111111111111099</v>
      </c>
      <c r="U1662" s="5">
        <f ca="1">IFERROR(__xludf.DUMMYFUNCTION("""COMPUTED_VALUE"""),1)</f>
        <v>1</v>
      </c>
      <c r="V1662" s="5" t="str">
        <f ca="1">IFERROR(__xludf.DUMMYFUNCTION("""COMPUTED_VALUE"""),"Shots fired during fight in hallway")</f>
        <v>Shots fired during fight in hallway</v>
      </c>
      <c r="W1662"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X1662" s="5" t="str">
        <f ca="1">IFERROR(__xludf.DUMMYFUNCTION("""COMPUTED_VALUE"""),"Escalation of Dispute")</f>
        <v>Escalation of Dispute</v>
      </c>
      <c r="Y1662" s="5" t="str">
        <f ca="1">IFERROR(__xludf.DUMMYFUNCTION("""COMPUTED_VALUE"""),"Victims Targeted")</f>
        <v>Victims Targeted</v>
      </c>
      <c r="Z1662" s="5" t="str">
        <f ca="1">IFERROR(__xludf.DUMMYFUNCTION("""COMPUTED_VALUE"""),"No")</f>
        <v>No</v>
      </c>
      <c r="AA1662" s="5"/>
      <c r="AB1662" s="5" t="str">
        <f ca="1">IFERROR(__xludf.DUMMYFUNCTION("""COMPUTED_VALUE"""),"No")</f>
        <v>No</v>
      </c>
      <c r="AC1662" s="5" t="str">
        <f ca="1">IFERROR(__xludf.DUMMYFUNCTION("""COMPUTED_VALUE"""),"No")</f>
        <v>No</v>
      </c>
      <c r="AD1662" s="5" t="str">
        <f ca="1">IFERROR(__xludf.DUMMYFUNCTION("""COMPUTED_VALUE"""),"No")</f>
        <v>No</v>
      </c>
      <c r="AE1662" s="5"/>
      <c r="AF1662" s="5" t="str">
        <f ca="1">IFERROR(__xludf.DUMMYFUNCTION("""COMPUTED_VALUE"""),"No")</f>
        <v>No</v>
      </c>
      <c r="AG1662" s="5" t="str">
        <f ca="1">IFERROR(__xludf.DUMMYFUNCTION("""COMPUTED_VALUE"""),"No")</f>
        <v>No</v>
      </c>
      <c r="AH1662" s="5"/>
    </row>
    <row r="1663" spans="1:34" ht="12.75">
      <c r="A1663" s="5" t="str">
        <f ca="1">IFERROR(__xludf.DUMMYFUNCTION("""COMPUTED_VALUE"""),"19920207VABON")</f>
        <v>19920207VABON</v>
      </c>
      <c r="B1663" s="8">
        <f ca="1">IFERROR(__xludf.DUMMYFUNCTION("""COMPUTED_VALUE"""),33641)</f>
        <v>33641</v>
      </c>
      <c r="C1663" s="5" t="str">
        <f ca="1">IFERROR(__xludf.DUMMYFUNCTION("""COMPUTED_VALUE"""),"Booker T. Washington High School")</f>
        <v>Booker T. Washington High School</v>
      </c>
      <c r="D1663" s="5">
        <f ca="1">IFERROR(__xludf.DUMMYFUNCTION("""COMPUTED_VALUE"""),1)</f>
        <v>1</v>
      </c>
      <c r="E1663" s="5">
        <f ca="1">IFERROR(__xludf.DUMMYFUNCTION("""COMPUTED_VALUE"""),1)</f>
        <v>1</v>
      </c>
      <c r="F1663" s="5">
        <f ca="1">IFERROR(__xludf.DUMMYFUNCTION("""COMPUTED_VALUE"""),2)</f>
        <v>2</v>
      </c>
      <c r="G1663" s="5">
        <f ca="1">IFERROR(__xludf.DUMMYFUNCTION("""COMPUTED_VALUE"""),0)</f>
        <v>0</v>
      </c>
      <c r="H1663" s="9" t="str">
        <f ca="1">IFERROR(__xludf.DUMMYFUNCTION("""COMPUTED_VALUE"""),"http://articles.dailypress.com/1992-02-08/news/9202080051_1_place-on-school-property-critical-condition-school-officials")</f>
        <v>http://articles.dailypress.com/1992-02-08/news/9202080051_1_place-on-school-property-critical-condition-school-officials</v>
      </c>
      <c r="I1663" s="5"/>
      <c r="J1663" s="5"/>
      <c r="K1663" s="5">
        <f ca="1">IFERROR(__xludf.DUMMYFUNCTION("""COMPUTED_VALUE"""),2)</f>
        <v>2</v>
      </c>
      <c r="L1663" s="5" t="str">
        <f ca="1">IFERROR(__xludf.DUMMYFUNCTION("""COMPUTED_VALUE"""),"Winter")</f>
        <v>Winter</v>
      </c>
      <c r="M1663" s="5" t="str">
        <f ca="1">IFERROR(__xludf.DUMMYFUNCTION("""COMPUTED_VALUE"""),"Norfolk")</f>
        <v>Norfolk</v>
      </c>
      <c r="N1663" s="5" t="str">
        <f ca="1">IFERROR(__xludf.DUMMYFUNCTION("""COMPUTED_VALUE"""),"VA")</f>
        <v>VA</v>
      </c>
      <c r="O1663" s="5" t="str">
        <f ca="1">IFERROR(__xludf.DUMMYFUNCTION("""COMPUTED_VALUE"""),"High")</f>
        <v>High</v>
      </c>
      <c r="P1663" s="5" t="str">
        <f ca="1">IFERROR(__xludf.DUMMYFUNCTION("""COMPUTED_VALUE"""),"Beside Building")</f>
        <v>Beside Building</v>
      </c>
      <c r="Q1663" s="5" t="str">
        <f ca="1">IFERROR(__xludf.DUMMYFUNCTION("""COMPUTED_VALUE"""),"Outside on School Property")</f>
        <v>Outside on School Property</v>
      </c>
      <c r="R1663" s="5" t="str">
        <f ca="1">IFERROR(__xludf.DUMMYFUNCTION("""COMPUTED_VALUE"""),"Yes")</f>
        <v>Yes</v>
      </c>
      <c r="S1663" s="5" t="str">
        <f ca="1">IFERROR(__xludf.DUMMYFUNCTION("""COMPUTED_VALUE"""),"Lunch")</f>
        <v>Lunch</v>
      </c>
      <c r="T1663" s="10">
        <f ca="1">IFERROR(__xludf.DUMMYFUNCTION("""COMPUTED_VALUE"""),0.532638888888888)</f>
        <v>0.532638888888888</v>
      </c>
      <c r="U1663" s="5">
        <f ca="1">IFERROR(__xludf.DUMMYFUNCTION("""COMPUTED_VALUE"""),1)</f>
        <v>1</v>
      </c>
      <c r="V1663" s="5" t="str">
        <f ca="1">IFERROR(__xludf.DUMMYFUNCTION("""COMPUTED_VALUE"""),"Argument over coat stolen in prior burglary")</f>
        <v>Argument over coat stolen in prior burglary</v>
      </c>
      <c r="W1663"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X1663" s="5" t="str">
        <f ca="1">IFERROR(__xludf.DUMMYFUNCTION("""COMPUTED_VALUE"""),"Escalation of Dispute")</f>
        <v>Escalation of Dispute</v>
      </c>
      <c r="Y1663" s="5" t="str">
        <f ca="1">IFERROR(__xludf.DUMMYFUNCTION("""COMPUTED_VALUE"""),"Victims Targeted")</f>
        <v>Victims Targeted</v>
      </c>
      <c r="Z1663" s="5" t="str">
        <f ca="1">IFERROR(__xludf.DUMMYFUNCTION("""COMPUTED_VALUE"""),"No")</f>
        <v>No</v>
      </c>
      <c r="AA1663" s="5"/>
      <c r="AB1663" s="5" t="str">
        <f ca="1">IFERROR(__xludf.DUMMYFUNCTION("""COMPUTED_VALUE"""),"No")</f>
        <v>No</v>
      </c>
      <c r="AC1663" s="5" t="str">
        <f ca="1">IFERROR(__xludf.DUMMYFUNCTION("""COMPUTED_VALUE"""),"No")</f>
        <v>No</v>
      </c>
      <c r="AD1663" s="5" t="str">
        <f ca="1">IFERROR(__xludf.DUMMYFUNCTION("""COMPUTED_VALUE"""),"No")</f>
        <v>No</v>
      </c>
      <c r="AE1663" s="5" t="str">
        <f ca="1">IFERROR(__xludf.DUMMYFUNCTION("""COMPUTED_VALUE"""),"No")</f>
        <v>No</v>
      </c>
      <c r="AF1663" s="5" t="str">
        <f ca="1">IFERROR(__xludf.DUMMYFUNCTION("""COMPUTED_VALUE"""),"No")</f>
        <v>No</v>
      </c>
      <c r="AG1663" s="5" t="str">
        <f ca="1">IFERROR(__xludf.DUMMYFUNCTION("""COMPUTED_VALUE"""),"No")</f>
        <v>No</v>
      </c>
      <c r="AH1663" s="5"/>
    </row>
    <row r="1664" spans="1:34" ht="12.75">
      <c r="A1664" s="5" t="str">
        <f ca="1">IFERROR(__xludf.DUMMYFUNCTION("""COMPUTED_VALUE"""),"19920206OKDOO")</f>
        <v>19920206OKDOO</v>
      </c>
      <c r="B1664" s="8">
        <f ca="1">IFERROR(__xludf.DUMMYFUNCTION("""COMPUTED_VALUE"""),33640)</f>
        <v>33640</v>
      </c>
      <c r="C1664" s="5" t="str">
        <f ca="1">IFERROR(__xludf.DUMMYFUNCTION("""COMPUTED_VALUE"""),"Douglass High School")</f>
        <v>Douglass High School</v>
      </c>
      <c r="D1664" s="5">
        <f ca="1">IFERROR(__xludf.DUMMYFUNCTION("""COMPUTED_VALUE"""),1)</f>
        <v>1</v>
      </c>
      <c r="E1664" s="5">
        <f ca="1">IFERROR(__xludf.DUMMYFUNCTION("""COMPUTED_VALUE"""),0)</f>
        <v>0</v>
      </c>
      <c r="F1664" s="5">
        <f ca="1">IFERROR(__xludf.DUMMYFUNCTION("""COMPUTED_VALUE"""),1)</f>
        <v>1</v>
      </c>
      <c r="G1664" s="5">
        <f ca="1">IFERROR(__xludf.DUMMYFUNCTION("""COMPUTED_VALUE"""),0)</f>
        <v>0</v>
      </c>
      <c r="H1664" s="9" t="str">
        <f ca="1">IFERROR(__xludf.DUMMYFUNCTION("""COMPUTED_VALUE"""),"https://newsok.com/article/2384331/city-campuses-close-after-shooting-death-security-searches-stepped-up")</f>
        <v>https://newsok.com/article/2384331/city-campuses-close-after-shooting-death-security-searches-stepped-up</v>
      </c>
      <c r="I1664" s="5"/>
      <c r="J1664" s="5"/>
      <c r="K1664" s="5">
        <f ca="1">IFERROR(__xludf.DUMMYFUNCTION("""COMPUTED_VALUE"""),2)</f>
        <v>2</v>
      </c>
      <c r="L1664" s="5" t="str">
        <f ca="1">IFERROR(__xludf.DUMMYFUNCTION("""COMPUTED_VALUE"""),"Winter")</f>
        <v>Winter</v>
      </c>
      <c r="M1664" s="5" t="str">
        <f ca="1">IFERROR(__xludf.DUMMYFUNCTION("""COMPUTED_VALUE"""),"Oklahoma City")</f>
        <v>Oklahoma City</v>
      </c>
      <c r="N1664" s="5" t="str">
        <f ca="1">IFERROR(__xludf.DUMMYFUNCTION("""COMPUTED_VALUE"""),"OK")</f>
        <v>OK</v>
      </c>
      <c r="O1664" s="5" t="str">
        <f ca="1">IFERROR(__xludf.DUMMYFUNCTION("""COMPUTED_VALUE"""),"High")</f>
        <v>High</v>
      </c>
      <c r="P1664" s="5" t="str">
        <f ca="1">IFERROR(__xludf.DUMMYFUNCTION("""COMPUTED_VALUE"""),"Inside School Building")</f>
        <v>Inside School Building</v>
      </c>
      <c r="Q1664" s="5" t="str">
        <f ca="1">IFERROR(__xludf.DUMMYFUNCTION("""COMPUTED_VALUE"""),"Inside School Building")</f>
        <v>Inside School Building</v>
      </c>
      <c r="R1664" s="5" t="str">
        <f ca="1">IFERROR(__xludf.DUMMYFUNCTION("""COMPUTED_VALUE"""),"Yes")</f>
        <v>Yes</v>
      </c>
      <c r="S1664" s="5" t="str">
        <f ca="1">IFERROR(__xludf.DUMMYFUNCTION("""COMPUTED_VALUE"""),"Afternoon Classes")</f>
        <v>Afternoon Classes</v>
      </c>
      <c r="T1664" s="10">
        <f ca="1">IFERROR(__xludf.DUMMYFUNCTION("""COMPUTED_VALUE"""),0.597222222222222)</f>
        <v>0.59722222222222199</v>
      </c>
      <c r="U1664" s="5">
        <f ca="1">IFERROR(__xludf.DUMMYFUNCTION("""COMPUTED_VALUE"""),1)</f>
        <v>1</v>
      </c>
      <c r="V1664" s="5" t="str">
        <f ca="1">IFERROR(__xludf.DUMMYFUNCTION("""COMPUTED_VALUE"""),"Shot victim due to jealousy over a girl")</f>
        <v>Shot victim due to jealousy over a girl</v>
      </c>
      <c r="W1664" s="5" t="str">
        <f ca="1">IFERROR(__xludf.DUMMYFUNCTION("""COMPUTED_VALUE"""),"Suspect shoots victim - on going problems between the two - possibly over a girl")</f>
        <v>Suspect shoots victim - on going problems between the two - possibly over a girl</v>
      </c>
      <c r="X1664" s="5" t="str">
        <f ca="1">IFERROR(__xludf.DUMMYFUNCTION("""COMPUTED_VALUE"""),"Escalation of Dispute")</f>
        <v>Escalation of Dispute</v>
      </c>
      <c r="Y1664" s="5" t="str">
        <f ca="1">IFERROR(__xludf.DUMMYFUNCTION("""COMPUTED_VALUE"""),"Victims Targeted")</f>
        <v>Victims Targeted</v>
      </c>
      <c r="Z1664" s="5" t="str">
        <f ca="1">IFERROR(__xludf.DUMMYFUNCTION("""COMPUTED_VALUE"""),"No")</f>
        <v>No</v>
      </c>
      <c r="AA1664" s="5"/>
      <c r="AB1664" s="5" t="str">
        <f ca="1">IFERROR(__xludf.DUMMYFUNCTION("""COMPUTED_VALUE"""),"No")</f>
        <v>No</v>
      </c>
      <c r="AC1664" s="5" t="str">
        <f ca="1">IFERROR(__xludf.DUMMYFUNCTION("""COMPUTED_VALUE"""),"No")</f>
        <v>No</v>
      </c>
      <c r="AD1664" s="5" t="str">
        <f ca="1">IFERROR(__xludf.DUMMYFUNCTION("""COMPUTED_VALUE"""),"No")</f>
        <v>No</v>
      </c>
      <c r="AE1664" s="5" t="str">
        <f ca="1">IFERROR(__xludf.DUMMYFUNCTION("""COMPUTED_VALUE"""),"No")</f>
        <v>No</v>
      </c>
      <c r="AF1664" s="5" t="str">
        <f ca="1">IFERROR(__xludf.DUMMYFUNCTION("""COMPUTED_VALUE"""),"No")</f>
        <v>No</v>
      </c>
      <c r="AG1664" s="5" t="str">
        <f ca="1">IFERROR(__xludf.DUMMYFUNCTION("""COMPUTED_VALUE"""),"No")</f>
        <v>No</v>
      </c>
      <c r="AH1664" s="5"/>
    </row>
    <row r="1665" spans="1:34" ht="12.75">
      <c r="A1665" s="5" t="str">
        <f ca="1">IFERROR(__xludf.DUMMYFUNCTION("""COMPUTED_VALUE"""),"19920131LAFRG")</f>
        <v>19920131LAFRG</v>
      </c>
      <c r="B1665" s="8">
        <f ca="1">IFERROR(__xludf.DUMMYFUNCTION("""COMPUTED_VALUE"""),33634)</f>
        <v>33634</v>
      </c>
      <c r="C1665" s="5" t="str">
        <f ca="1">IFERROR(__xludf.DUMMYFUNCTION("""COMPUTED_VALUE"""),"Francis W. Gregory Junior High School")</f>
        <v>Francis W. Gregory Junior High School</v>
      </c>
      <c r="D1665" s="5">
        <f ca="1">IFERROR(__xludf.DUMMYFUNCTION("""COMPUTED_VALUE"""),0)</f>
        <v>0</v>
      </c>
      <c r="E1665" s="5">
        <f ca="1">IFERROR(__xludf.DUMMYFUNCTION("""COMPUTED_VALUE"""),1)</f>
        <v>1</v>
      </c>
      <c r="F1665" s="5">
        <f ca="1">IFERROR(__xludf.DUMMYFUNCTION("""COMPUTED_VALUE"""),1)</f>
        <v>1</v>
      </c>
      <c r="G1665" s="5">
        <f ca="1">IFERROR(__xludf.DUMMYFUNCTION("""COMPUTED_VALUE"""),0)</f>
        <v>0</v>
      </c>
      <c r="H1665" s="9" t="str">
        <f ca="1">IFERROR(__xludf.DUMMYFUNCTION("""COMPUTED_VALUE"""),"https://www.newspapers.com/image/218234824/?terms=Francis%2BW.%2BGregory%2BJunior%2BHigh%2BSchool%2Bshooting")</f>
        <v>https://www.newspapers.com/image/218234824/?terms=Francis%2BW.%2BGregory%2BJunior%2BHigh%2BSchool%2Bshooting</v>
      </c>
      <c r="I1665" s="5"/>
      <c r="J1665" s="5"/>
      <c r="K1665" s="5">
        <f ca="1">IFERROR(__xludf.DUMMYFUNCTION("""COMPUTED_VALUE"""),2)</f>
        <v>2</v>
      </c>
      <c r="L1665" s="5" t="str">
        <f ca="1">IFERROR(__xludf.DUMMYFUNCTION("""COMPUTED_VALUE"""),"Winter")</f>
        <v>Winter</v>
      </c>
      <c r="M1665" s="5" t="str">
        <f ca="1">IFERROR(__xludf.DUMMYFUNCTION("""COMPUTED_VALUE"""),"Gentilly")</f>
        <v>Gentilly</v>
      </c>
      <c r="N1665" s="5" t="str">
        <f ca="1">IFERROR(__xludf.DUMMYFUNCTION("""COMPUTED_VALUE"""),"LA")</f>
        <v>LA</v>
      </c>
      <c r="O1665" s="5" t="str">
        <f ca="1">IFERROR(__xludf.DUMMYFUNCTION("""COMPUTED_VALUE"""),"Junior High")</f>
        <v>Junior High</v>
      </c>
      <c r="P1665" s="5" t="str">
        <f ca="1">IFERROR(__xludf.DUMMYFUNCTION("""COMPUTED_VALUE"""),"Hallway")</f>
        <v>Hallway</v>
      </c>
      <c r="Q1665" s="5" t="str">
        <f ca="1">IFERROR(__xludf.DUMMYFUNCTION("""COMPUTED_VALUE"""),"Inside School Building")</f>
        <v>Inside School Building</v>
      </c>
      <c r="R1665" s="5" t="str">
        <f ca="1">IFERROR(__xludf.DUMMYFUNCTION("""COMPUTED_VALUE"""),"Yes")</f>
        <v>Yes</v>
      </c>
      <c r="S1665" s="5" t="str">
        <f ca="1">IFERROR(__xludf.DUMMYFUNCTION("""COMPUTED_VALUE"""),"Afternoon Classes")</f>
        <v>Afternoon Classes</v>
      </c>
      <c r="T1665" s="10">
        <f ca="1">IFERROR(__xludf.DUMMYFUNCTION("""COMPUTED_VALUE"""),0.5625)</f>
        <v>0.5625</v>
      </c>
      <c r="U1665" s="5">
        <f ca="1">IFERROR(__xludf.DUMMYFUNCTION("""COMPUTED_VALUE"""),1)</f>
        <v>1</v>
      </c>
      <c r="V1665" s="5" t="str">
        <f ca="1">IFERROR(__xludf.DUMMYFUNCTION("""COMPUTED_VALUE"""),"Student shot in hallway during a fight with 3 other students")</f>
        <v>Student shot in hallway during a fight with 3 other students</v>
      </c>
      <c r="W1665"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X1665" s="5" t="str">
        <f ca="1">IFERROR(__xludf.DUMMYFUNCTION("""COMPUTED_VALUE"""),"Escalation of Dispute")</f>
        <v>Escalation of Dispute</v>
      </c>
      <c r="Y1665" s="5" t="str">
        <f ca="1">IFERROR(__xludf.DUMMYFUNCTION("""COMPUTED_VALUE"""),"Victims Targeted")</f>
        <v>Victims Targeted</v>
      </c>
      <c r="Z1665" s="5" t="str">
        <f ca="1">IFERROR(__xludf.DUMMYFUNCTION("""COMPUTED_VALUE"""),"Unknown")</f>
        <v>Unknown</v>
      </c>
      <c r="AA1665" s="5"/>
      <c r="AB1665" s="5" t="str">
        <f ca="1">IFERROR(__xludf.DUMMYFUNCTION("""COMPUTED_VALUE"""),"No")</f>
        <v>No</v>
      </c>
      <c r="AC1665" s="5" t="str">
        <f ca="1">IFERROR(__xludf.DUMMYFUNCTION("""COMPUTED_VALUE"""),"No")</f>
        <v>No</v>
      </c>
      <c r="AD1665" s="5" t="str">
        <f ca="1">IFERROR(__xludf.DUMMYFUNCTION("""COMPUTED_VALUE"""),"No")</f>
        <v>No</v>
      </c>
      <c r="AE1665" s="5" t="str">
        <f ca="1">IFERROR(__xludf.DUMMYFUNCTION("""COMPUTED_VALUE"""),"No")</f>
        <v>No</v>
      </c>
      <c r="AF1665" s="5" t="str">
        <f ca="1">IFERROR(__xludf.DUMMYFUNCTION("""COMPUTED_VALUE"""),"No")</f>
        <v>No</v>
      </c>
      <c r="AG1665" s="5" t="str">
        <f ca="1">IFERROR(__xludf.DUMMYFUNCTION("""COMPUTED_VALUE"""),"No")</f>
        <v>No</v>
      </c>
      <c r="AH1665" s="5"/>
    </row>
    <row r="1666" spans="1:34" ht="12.75">
      <c r="A1666" s="5" t="str">
        <f ca="1">IFERROR(__xludf.DUMMYFUNCTION("""COMPUTED_VALUE"""),"19920128LAFRG")</f>
        <v>19920128LAFRG</v>
      </c>
      <c r="B1666" s="8">
        <f ca="1">IFERROR(__xludf.DUMMYFUNCTION("""COMPUTED_VALUE"""),33631)</f>
        <v>33631</v>
      </c>
      <c r="C1666" s="5" t="str">
        <f ca="1">IFERROR(__xludf.DUMMYFUNCTION("""COMPUTED_VALUE"""),"Francis W. Gregory Junior High School")</f>
        <v>Francis W. Gregory Junior High School</v>
      </c>
      <c r="D1666" s="5">
        <f ca="1">IFERROR(__xludf.DUMMYFUNCTION("""COMPUTED_VALUE"""),0)</f>
        <v>0</v>
      </c>
      <c r="E1666" s="5">
        <f ca="1">IFERROR(__xludf.DUMMYFUNCTION("""COMPUTED_VALUE"""),1)</f>
        <v>1</v>
      </c>
      <c r="F1666" s="5">
        <f ca="1">IFERROR(__xludf.DUMMYFUNCTION("""COMPUTED_VALUE"""),1)</f>
        <v>1</v>
      </c>
      <c r="G1666" s="5">
        <f ca="1">IFERROR(__xludf.DUMMYFUNCTION("""COMPUTED_VALUE"""),0)</f>
        <v>0</v>
      </c>
      <c r="H1666" s="9" t="str">
        <f ca="1">IFERROR(__xludf.DUMMYFUNCTION("""COMPUTED_VALUE"""),"https://www.newspapers.com/image/218234824/?terms=Francis%2BW.%2BGregory%2BJunior%2BHigh%2BSchool%2Bshooting")</f>
        <v>https://www.newspapers.com/image/218234824/?terms=Francis%2BW.%2BGregory%2BJunior%2BHigh%2BSchool%2Bshooting</v>
      </c>
      <c r="I1666" s="5"/>
      <c r="J1666" s="5"/>
      <c r="K1666" s="5">
        <f ca="1">IFERROR(__xludf.DUMMYFUNCTION("""COMPUTED_VALUE"""),2)</f>
        <v>2</v>
      </c>
      <c r="L1666" s="5" t="str">
        <f ca="1">IFERROR(__xludf.DUMMYFUNCTION("""COMPUTED_VALUE"""),"Winter")</f>
        <v>Winter</v>
      </c>
      <c r="M1666" s="5" t="str">
        <f ca="1">IFERROR(__xludf.DUMMYFUNCTION("""COMPUTED_VALUE"""),"Gentilly")</f>
        <v>Gentilly</v>
      </c>
      <c r="N1666" s="5" t="str">
        <f ca="1">IFERROR(__xludf.DUMMYFUNCTION("""COMPUTED_VALUE"""),"LA")</f>
        <v>LA</v>
      </c>
      <c r="O1666" s="5" t="str">
        <f ca="1">IFERROR(__xludf.DUMMYFUNCTION("""COMPUTED_VALUE"""),"Junior High")</f>
        <v>Junior High</v>
      </c>
      <c r="P1666" s="5" t="str">
        <f ca="1">IFERROR(__xludf.DUMMYFUNCTION("""COMPUTED_VALUE"""),"Beside Building")</f>
        <v>Beside Building</v>
      </c>
      <c r="Q1666" s="5" t="str">
        <f ca="1">IFERROR(__xludf.DUMMYFUNCTION("""COMPUTED_VALUE"""),"Outside on School Property")</f>
        <v>Outside on School Property</v>
      </c>
      <c r="R1666" s="5"/>
      <c r="S1666" s="5"/>
      <c r="T1666" s="5"/>
      <c r="U1666" s="5">
        <f ca="1">IFERROR(__xludf.DUMMYFUNCTION("""COMPUTED_VALUE"""),1)</f>
        <v>1</v>
      </c>
      <c r="V1666" s="5" t="str">
        <f ca="1">IFERROR(__xludf.DUMMYFUNCTION("""COMPUTED_VALUE"""),"Shot during robbery behind school")</f>
        <v>Shot during robbery behind school</v>
      </c>
      <c r="W1666" s="5" t="str">
        <f ca="1">IFERROR(__xludf.DUMMYFUNCTION("""COMPUTED_VALUE"""),"14YOM shot behind the school during attempt to steal his jacket.")</f>
        <v>14YOM shot behind the school during attempt to steal his jacket.</v>
      </c>
      <c r="X1666" s="5" t="str">
        <f ca="1">IFERROR(__xludf.DUMMYFUNCTION("""COMPUTED_VALUE"""),"Illegal Activity")</f>
        <v>Illegal Activity</v>
      </c>
      <c r="Y1666" s="5" t="str">
        <f ca="1">IFERROR(__xludf.DUMMYFUNCTION("""COMPUTED_VALUE"""),"Victims Targeted")</f>
        <v>Victims Targeted</v>
      </c>
      <c r="Z1666" s="5" t="str">
        <f ca="1">IFERROR(__xludf.DUMMYFUNCTION("""COMPUTED_VALUE"""),"No")</f>
        <v>No</v>
      </c>
      <c r="AA1666" s="5"/>
      <c r="AB1666" s="5" t="str">
        <f ca="1">IFERROR(__xludf.DUMMYFUNCTION("""COMPUTED_VALUE"""),"No")</f>
        <v>No</v>
      </c>
      <c r="AC1666" s="5" t="str">
        <f ca="1">IFERROR(__xludf.DUMMYFUNCTION("""COMPUTED_VALUE"""),"No")</f>
        <v>No</v>
      </c>
      <c r="AD1666" s="5" t="str">
        <f ca="1">IFERROR(__xludf.DUMMYFUNCTION("""COMPUTED_VALUE"""),"No")</f>
        <v>No</v>
      </c>
      <c r="AE1666" s="5" t="str">
        <f ca="1">IFERROR(__xludf.DUMMYFUNCTION("""COMPUTED_VALUE"""),"No")</f>
        <v>No</v>
      </c>
      <c r="AF1666" s="5" t="str">
        <f ca="1">IFERROR(__xludf.DUMMYFUNCTION("""COMPUTED_VALUE"""),"No")</f>
        <v>No</v>
      </c>
      <c r="AG1666" s="5" t="str">
        <f ca="1">IFERROR(__xludf.DUMMYFUNCTION("""COMPUTED_VALUE"""),"No")</f>
        <v>No</v>
      </c>
      <c r="AH1666" s="5"/>
    </row>
    <row r="1667" spans="1:34" ht="12.75">
      <c r="A1667" s="5" t="str">
        <f ca="1">IFERROR(__xludf.DUMMYFUNCTION("""COMPUTED_VALUE"""),"19920117SCGRG")</f>
        <v>19920117SCGRG</v>
      </c>
      <c r="B1667" s="8">
        <f ca="1">IFERROR(__xludf.DUMMYFUNCTION("""COMPUTED_VALUE"""),33620)</f>
        <v>33620</v>
      </c>
      <c r="C1667" s="5" t="str">
        <f ca="1">IFERROR(__xludf.DUMMYFUNCTION("""COMPUTED_VALUE"""),"Greenwood High School")</f>
        <v>Greenwood High School</v>
      </c>
      <c r="D1667" s="5">
        <f ca="1">IFERROR(__xludf.DUMMYFUNCTION("""COMPUTED_VALUE"""),0)</f>
        <v>0</v>
      </c>
      <c r="E1667" s="5">
        <f ca="1">IFERROR(__xludf.DUMMYFUNCTION("""COMPUTED_VALUE"""),1)</f>
        <v>1</v>
      </c>
      <c r="F1667" s="5">
        <f ca="1">IFERROR(__xludf.DUMMYFUNCTION("""COMPUTED_VALUE"""),1)</f>
        <v>1</v>
      </c>
      <c r="G1667" s="5">
        <f ca="1">IFERROR(__xludf.DUMMYFUNCTION("""COMPUTED_VALUE"""),0)</f>
        <v>0</v>
      </c>
      <c r="H1667" s="5" t="str">
        <f ca="1">IFERROR(__xludf.DUMMYFUNCTION("""COMPUTED_VALUE"""),"https://www.newspapers.com/image/69815372/ https://www.newspapers.com/image/752371201/?terms=shot%20at%20school&amp;match=1")</f>
        <v>https://www.newspapers.com/image/69815372/ https://www.newspapers.com/image/752371201/?terms=shot%20at%20school&amp;match=1</v>
      </c>
      <c r="I1667" s="5">
        <f ca="1">IFERROR(__xludf.DUMMYFUNCTION("""COMPUTED_VALUE"""),2)</f>
        <v>2</v>
      </c>
      <c r="J1667" s="5" t="str">
        <f ca="1">IFERROR(__xludf.DUMMYFUNCTION("""COMPUTED_VALUE"""),"Regional")</f>
        <v>Regional</v>
      </c>
      <c r="K1667" s="5">
        <f ca="1">IFERROR(__xludf.DUMMYFUNCTION("""COMPUTED_VALUE"""),4)</f>
        <v>4</v>
      </c>
      <c r="L1667" s="5" t="str">
        <f ca="1">IFERROR(__xludf.DUMMYFUNCTION("""COMPUTED_VALUE"""),"Winter")</f>
        <v>Winter</v>
      </c>
      <c r="M1667" s="5" t="str">
        <f ca="1">IFERROR(__xludf.DUMMYFUNCTION("""COMPUTED_VALUE"""),"Greenwood")</f>
        <v>Greenwood</v>
      </c>
      <c r="N1667" s="5" t="str">
        <f ca="1">IFERROR(__xludf.DUMMYFUNCTION("""COMPUTED_VALUE"""),"SC")</f>
        <v>SC</v>
      </c>
      <c r="O1667" s="5" t="str">
        <f ca="1">IFERROR(__xludf.DUMMYFUNCTION("""COMPUTED_VALUE"""),"High")</f>
        <v>High</v>
      </c>
      <c r="P1667" s="5" t="str">
        <f ca="1">IFERROR(__xludf.DUMMYFUNCTION("""COMPUTED_VALUE"""),"Cafeteria")</f>
        <v>Cafeteria</v>
      </c>
      <c r="Q1667" s="5" t="str">
        <f ca="1">IFERROR(__xludf.DUMMYFUNCTION("""COMPUTED_VALUE"""),"Inside School Building")</f>
        <v>Inside School Building</v>
      </c>
      <c r="R1667" s="5" t="str">
        <f ca="1">IFERROR(__xludf.DUMMYFUNCTION("""COMPUTED_VALUE"""),"Yes")</f>
        <v>Yes</v>
      </c>
      <c r="S1667" s="5" t="str">
        <f ca="1">IFERROR(__xludf.DUMMYFUNCTION("""COMPUTED_VALUE"""),"Lunch")</f>
        <v>Lunch</v>
      </c>
      <c r="T1667" s="10">
        <f ca="1">IFERROR(__xludf.DUMMYFUNCTION("""COMPUTED_VALUE"""),0.5)</f>
        <v>0.5</v>
      </c>
      <c r="U1667" s="5">
        <f ca="1">IFERROR(__xludf.DUMMYFUNCTION("""COMPUTED_VALUE"""),1)</f>
        <v>1</v>
      </c>
      <c r="V1667" s="5" t="str">
        <f ca="1">IFERROR(__xludf.DUMMYFUNCTION("""COMPUTED_VALUE"""),"Student shot another student during a dispute near the cafeteria")</f>
        <v>Student shot another student during a dispute near the cafeteria</v>
      </c>
      <c r="W1667"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X1667" s="5" t="str">
        <f ca="1">IFERROR(__xludf.DUMMYFUNCTION("""COMPUTED_VALUE"""),"Escalation of Dispute")</f>
        <v>Escalation of Dispute</v>
      </c>
      <c r="Y1667" s="5" t="str">
        <f ca="1">IFERROR(__xludf.DUMMYFUNCTION("""COMPUTED_VALUE"""),"Victims Targeted")</f>
        <v>Victims Targeted</v>
      </c>
      <c r="Z1667" s="5" t="str">
        <f ca="1">IFERROR(__xludf.DUMMYFUNCTION("""COMPUTED_VALUE"""),"No")</f>
        <v>No</v>
      </c>
      <c r="AA1667" s="5"/>
      <c r="AB1667" s="5" t="str">
        <f ca="1">IFERROR(__xludf.DUMMYFUNCTION("""COMPUTED_VALUE"""),"No")</f>
        <v>No</v>
      </c>
      <c r="AC1667" s="5" t="str">
        <f ca="1">IFERROR(__xludf.DUMMYFUNCTION("""COMPUTED_VALUE"""),"No")</f>
        <v>No</v>
      </c>
      <c r="AD1667" s="5" t="str">
        <f ca="1">IFERROR(__xludf.DUMMYFUNCTION("""COMPUTED_VALUE"""),"No")</f>
        <v>No</v>
      </c>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row>
    <row r="1668" spans="1:34" ht="12.75">
      <c r="A1668" s="5" t="str">
        <f ca="1">IFERROR(__xludf.DUMMYFUNCTION("""COMPUTED_VALUE"""),"19911226NCWHW")</f>
        <v>19911226NCWHW</v>
      </c>
      <c r="B1668" s="8">
        <f ca="1">IFERROR(__xludf.DUMMYFUNCTION("""COMPUTED_VALUE"""),33598)</f>
        <v>33598</v>
      </c>
      <c r="C1668" s="5" t="str">
        <f ca="1">IFERROR(__xludf.DUMMYFUNCTION("""COMPUTED_VALUE"""),"Whiteville High School")</f>
        <v>Whiteville High School</v>
      </c>
      <c r="D1668" s="5">
        <f ca="1">IFERROR(__xludf.DUMMYFUNCTION("""COMPUTED_VALUE"""),0)</f>
        <v>0</v>
      </c>
      <c r="E1668" s="5">
        <f ca="1">IFERROR(__xludf.DUMMYFUNCTION("""COMPUTED_VALUE"""),2)</f>
        <v>2</v>
      </c>
      <c r="F1668" s="5">
        <f ca="1">IFERROR(__xludf.DUMMYFUNCTION("""COMPUTED_VALUE"""),2)</f>
        <v>2</v>
      </c>
      <c r="G1668" s="5">
        <f ca="1">IFERROR(__xludf.DUMMYFUNCTION("""COMPUTED_VALUE"""),0)</f>
        <v>0</v>
      </c>
      <c r="H1668"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I1668" s="5"/>
      <c r="J1668" s="5"/>
      <c r="K1668" s="5">
        <f ca="1">IFERROR(__xludf.DUMMYFUNCTION("""COMPUTED_VALUE"""),1)</f>
        <v>1</v>
      </c>
      <c r="L1668" s="5" t="str">
        <f ca="1">IFERROR(__xludf.DUMMYFUNCTION("""COMPUTED_VALUE"""),"Winter")</f>
        <v>Winter</v>
      </c>
      <c r="M1668" s="5" t="str">
        <f ca="1">IFERROR(__xludf.DUMMYFUNCTION("""COMPUTED_VALUE"""),"Whiteville")</f>
        <v>Whiteville</v>
      </c>
      <c r="N1668" s="5" t="str">
        <f ca="1">IFERROR(__xludf.DUMMYFUNCTION("""COMPUTED_VALUE"""),"NC")</f>
        <v>NC</v>
      </c>
      <c r="O1668" s="5" t="str">
        <f ca="1">IFERROR(__xludf.DUMMYFUNCTION("""COMPUTED_VALUE"""),"High")</f>
        <v>High</v>
      </c>
      <c r="P1668" s="5" t="str">
        <f ca="1">IFERROR(__xludf.DUMMYFUNCTION("""COMPUTED_VALUE"""),"Beside Building")</f>
        <v>Beside Building</v>
      </c>
      <c r="Q1668" s="5" t="str">
        <f ca="1">IFERROR(__xludf.DUMMYFUNCTION("""COMPUTED_VALUE"""),"Outside on School Property")</f>
        <v>Outside on School Property</v>
      </c>
      <c r="R1668" s="5" t="str">
        <f ca="1">IFERROR(__xludf.DUMMYFUNCTION("""COMPUTED_VALUE"""),"No")</f>
        <v>No</v>
      </c>
      <c r="S1668" s="5" t="str">
        <f ca="1">IFERROR(__xludf.DUMMYFUNCTION("""COMPUTED_VALUE"""),"Sport Event")</f>
        <v>Sport Event</v>
      </c>
      <c r="T1668" s="5"/>
      <c r="U1668" s="5">
        <f ca="1">IFERROR(__xludf.DUMMYFUNCTION("""COMPUTED_VALUE"""),1)</f>
        <v>1</v>
      </c>
      <c r="V1668" s="5" t="str">
        <f ca="1">IFERROR(__xludf.DUMMYFUNCTION("""COMPUTED_VALUE"""),"Two shot during basketball tournament outside of gym")</f>
        <v>Two shot during basketball tournament outside of gym</v>
      </c>
      <c r="W1668"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X1668" s="5" t="str">
        <f ca="1">IFERROR(__xludf.DUMMYFUNCTION("""COMPUTED_VALUE"""),"Escalation of Dispute")</f>
        <v>Escalation of Dispute</v>
      </c>
      <c r="Y1668" s="5" t="str">
        <f ca="1">IFERROR(__xludf.DUMMYFUNCTION("""COMPUTED_VALUE"""),"Victims Targeted")</f>
        <v>Victims Targeted</v>
      </c>
      <c r="Z1668" s="5" t="str">
        <f ca="1">IFERROR(__xludf.DUMMYFUNCTION("""COMPUTED_VALUE"""),"No")</f>
        <v>No</v>
      </c>
      <c r="AA1668" s="5"/>
      <c r="AB1668" s="5" t="str">
        <f ca="1">IFERROR(__xludf.DUMMYFUNCTION("""COMPUTED_VALUE"""),"No")</f>
        <v>No</v>
      </c>
      <c r="AC1668" s="5" t="str">
        <f ca="1">IFERROR(__xludf.DUMMYFUNCTION("""COMPUTED_VALUE"""),"No")</f>
        <v>No</v>
      </c>
      <c r="AD1668" s="5" t="str">
        <f ca="1">IFERROR(__xludf.DUMMYFUNCTION("""COMPUTED_VALUE"""),"No")</f>
        <v>No</v>
      </c>
      <c r="AE1668" s="5" t="str">
        <f ca="1">IFERROR(__xludf.DUMMYFUNCTION("""COMPUTED_VALUE"""),"No")</f>
        <v>No</v>
      </c>
      <c r="AF1668" s="5" t="str">
        <f ca="1">IFERROR(__xludf.DUMMYFUNCTION("""COMPUTED_VALUE"""),"No")</f>
        <v>No</v>
      </c>
      <c r="AG1668" s="5"/>
      <c r="AH1668" s="5"/>
    </row>
    <row r="1669" spans="1:34" ht="12.75">
      <c r="A1669" s="5" t="str">
        <f ca="1">IFERROR(__xludf.DUMMYFUNCTION("""COMPUTED_VALUE"""),"19911125NYTHB")</f>
        <v>19911125NYTHB</v>
      </c>
      <c r="B1669" s="8">
        <f ca="1">IFERROR(__xludf.DUMMYFUNCTION("""COMPUTED_VALUE"""),33567)</f>
        <v>33567</v>
      </c>
      <c r="C1669" s="5" t="str">
        <f ca="1">IFERROR(__xludf.DUMMYFUNCTION("""COMPUTED_VALUE"""),"Thomas Jefferson High School")</f>
        <v>Thomas Jefferson High School</v>
      </c>
      <c r="D1669" s="5">
        <f ca="1">IFERROR(__xludf.DUMMYFUNCTION("""COMPUTED_VALUE"""),1)</f>
        <v>1</v>
      </c>
      <c r="E1669" s="5">
        <f ca="1">IFERROR(__xludf.DUMMYFUNCTION("""COMPUTED_VALUE"""),1)</f>
        <v>1</v>
      </c>
      <c r="F1669" s="5">
        <f ca="1">IFERROR(__xludf.DUMMYFUNCTION("""COMPUTED_VALUE"""),2)</f>
        <v>2</v>
      </c>
      <c r="G1669" s="5">
        <f ca="1">IFERROR(__xludf.DUMMYFUNCTION("""COMPUTED_VALUE"""),0)</f>
        <v>0</v>
      </c>
      <c r="H1669" s="9" t="str">
        <f ca="1">IFERROR(__xludf.DUMMYFUNCTION("""COMPUTED_VALUE"""),"https://www.nytimes.com/1991/11/26/nyregion/16-year-old-is-shot-to-death-in-a-high-school-in-brooklyn.html")</f>
        <v>https://www.nytimes.com/1991/11/26/nyregion/16-year-old-is-shot-to-death-in-a-high-school-in-brooklyn.html</v>
      </c>
      <c r="I1669" s="5"/>
      <c r="J1669" s="5"/>
      <c r="K1669" s="5">
        <f ca="1">IFERROR(__xludf.DUMMYFUNCTION("""COMPUTED_VALUE"""),2)</f>
        <v>2</v>
      </c>
      <c r="L1669" s="5" t="str">
        <f ca="1">IFERROR(__xludf.DUMMYFUNCTION("""COMPUTED_VALUE"""),"Fall")</f>
        <v>Fall</v>
      </c>
      <c r="M1669" s="5" t="str">
        <f ca="1">IFERROR(__xludf.DUMMYFUNCTION("""COMPUTED_VALUE"""),"Brooklyn")</f>
        <v>Brooklyn</v>
      </c>
      <c r="N1669" s="5" t="str">
        <f ca="1">IFERROR(__xludf.DUMMYFUNCTION("""COMPUTED_VALUE"""),"NY")</f>
        <v>NY</v>
      </c>
      <c r="O1669" s="5" t="str">
        <f ca="1">IFERROR(__xludf.DUMMYFUNCTION("""COMPUTED_VALUE"""),"High")</f>
        <v>High</v>
      </c>
      <c r="P1669" s="5" t="str">
        <f ca="1">IFERROR(__xludf.DUMMYFUNCTION("""COMPUTED_VALUE"""),"Hallway")</f>
        <v>Hallway</v>
      </c>
      <c r="Q1669" s="5" t="str">
        <f ca="1">IFERROR(__xludf.DUMMYFUNCTION("""COMPUTED_VALUE"""),"Inside School Building")</f>
        <v>Inside School Building</v>
      </c>
      <c r="R1669" s="5" t="str">
        <f ca="1">IFERROR(__xludf.DUMMYFUNCTION("""COMPUTED_VALUE"""),"Yes")</f>
        <v>Yes</v>
      </c>
      <c r="S1669" s="5" t="str">
        <f ca="1">IFERROR(__xludf.DUMMYFUNCTION("""COMPUTED_VALUE"""),"Morning Classes")</f>
        <v>Morning Classes</v>
      </c>
      <c r="T1669" s="10">
        <f ca="1">IFERROR(__xludf.DUMMYFUNCTION("""COMPUTED_VALUE"""),0.4375)</f>
        <v>0.4375</v>
      </c>
      <c r="U1669" s="5">
        <f ca="1">IFERROR(__xludf.DUMMYFUNCTION("""COMPUTED_VALUE"""),1)</f>
        <v>1</v>
      </c>
      <c r="V1669" s="5" t="str">
        <f ca="1">IFERROR(__xludf.DUMMYFUNCTION("""COMPUTED_VALUE"""),"Shots fired during fight in hallway")</f>
        <v>Shots fired during fight in hallway</v>
      </c>
      <c r="W1669"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X1669" s="5" t="str">
        <f ca="1">IFERROR(__xludf.DUMMYFUNCTION("""COMPUTED_VALUE"""),"Escalation of Dispute")</f>
        <v>Escalation of Dispute</v>
      </c>
      <c r="Y1669" s="5" t="str">
        <f ca="1">IFERROR(__xludf.DUMMYFUNCTION("""COMPUTED_VALUE"""),"Both")</f>
        <v>Both</v>
      </c>
      <c r="Z1669" s="5" t="str">
        <f ca="1">IFERROR(__xludf.DUMMYFUNCTION("""COMPUTED_VALUE"""),"No")</f>
        <v>No</v>
      </c>
      <c r="AA1669" s="5"/>
      <c r="AB1669" s="5" t="str">
        <f ca="1">IFERROR(__xludf.DUMMYFUNCTION("""COMPUTED_VALUE"""),"No")</f>
        <v>No</v>
      </c>
      <c r="AC1669" s="5" t="str">
        <f ca="1">IFERROR(__xludf.DUMMYFUNCTION("""COMPUTED_VALUE"""),"No")</f>
        <v>No</v>
      </c>
      <c r="AD1669" s="5" t="str">
        <f ca="1">IFERROR(__xludf.DUMMYFUNCTION("""COMPUTED_VALUE"""),"No")</f>
        <v>No</v>
      </c>
      <c r="AE1669" s="5" t="str">
        <f ca="1">IFERROR(__xludf.DUMMYFUNCTION("""COMPUTED_VALUE"""),"No")</f>
        <v>No</v>
      </c>
      <c r="AF1669" s="5" t="str">
        <f ca="1">IFERROR(__xludf.DUMMYFUNCTION("""COMPUTED_VALUE"""),"No")</f>
        <v>No</v>
      </c>
      <c r="AG1669" s="5" t="str">
        <f ca="1">IFERROR(__xludf.DUMMYFUNCTION("""COMPUTED_VALUE"""),"No")</f>
        <v>No</v>
      </c>
      <c r="AH1669" s="5"/>
    </row>
    <row r="1670" spans="1:34" ht="12.75">
      <c r="A1670" s="5" t="str">
        <f ca="1">IFERROR(__xludf.DUMMYFUNCTION("""COMPUTED_VALUE"""),"19911114TXMIH")</f>
        <v>19911114TXMIH</v>
      </c>
      <c r="B1670" s="8">
        <f ca="1">IFERROR(__xludf.DUMMYFUNCTION("""COMPUTED_VALUE"""),33556)</f>
        <v>33556</v>
      </c>
      <c r="C1670" s="5" t="str">
        <f ca="1">IFERROR(__xludf.DUMMYFUNCTION("""COMPUTED_VALUE"""),"Milby High School")</f>
        <v>Milby High School</v>
      </c>
      <c r="D1670" s="5">
        <f ca="1">IFERROR(__xludf.DUMMYFUNCTION("""COMPUTED_VALUE"""),0)</f>
        <v>0</v>
      </c>
      <c r="E1670" s="5">
        <f ca="1">IFERROR(__xludf.DUMMYFUNCTION("""COMPUTED_VALUE"""),1)</f>
        <v>1</v>
      </c>
      <c r="F1670" s="5">
        <f ca="1">IFERROR(__xludf.DUMMYFUNCTION("""COMPUTED_VALUE"""),1)</f>
        <v>1</v>
      </c>
      <c r="G1670" s="5">
        <f ca="1">IFERROR(__xludf.DUMMYFUNCTION("""COMPUTED_VALUE"""),0)</f>
        <v>0</v>
      </c>
      <c r="H1670" s="9" t="str">
        <f ca="1">IFERROR(__xludf.DUMMYFUNCTION("""COMPUTED_VALUE"""),"https://www.newspapers.com/image/17145244/?terms=Milby%2BHIgh%2BSchool%2Bshot")</f>
        <v>https://www.newspapers.com/image/17145244/?terms=Milby%2BHIgh%2BSchool%2Bshot</v>
      </c>
      <c r="I1670" s="5"/>
      <c r="J1670" s="5"/>
      <c r="K1670" s="5">
        <f ca="1">IFERROR(__xludf.DUMMYFUNCTION("""COMPUTED_VALUE"""),2)</f>
        <v>2</v>
      </c>
      <c r="L1670" s="5" t="str">
        <f ca="1">IFERROR(__xludf.DUMMYFUNCTION("""COMPUTED_VALUE"""),"Fall")</f>
        <v>Fall</v>
      </c>
      <c r="M1670" s="5" t="str">
        <f ca="1">IFERROR(__xludf.DUMMYFUNCTION("""COMPUTED_VALUE"""),"Houston")</f>
        <v>Houston</v>
      </c>
      <c r="N1670" s="5" t="str">
        <f ca="1">IFERROR(__xludf.DUMMYFUNCTION("""COMPUTED_VALUE"""),"TX")</f>
        <v>TX</v>
      </c>
      <c r="O1670" s="5" t="str">
        <f ca="1">IFERROR(__xludf.DUMMYFUNCTION("""COMPUTED_VALUE"""),"High")</f>
        <v>High</v>
      </c>
      <c r="P1670" s="5" t="str">
        <f ca="1">IFERROR(__xludf.DUMMYFUNCTION("""COMPUTED_VALUE"""),"Hallway")</f>
        <v>Hallway</v>
      </c>
      <c r="Q1670" s="5" t="str">
        <f ca="1">IFERROR(__xludf.DUMMYFUNCTION("""COMPUTED_VALUE"""),"Inside School Building")</f>
        <v>Inside School Building</v>
      </c>
      <c r="R1670" s="5" t="str">
        <f ca="1">IFERROR(__xludf.DUMMYFUNCTION("""COMPUTED_VALUE"""),"Yes")</f>
        <v>Yes</v>
      </c>
      <c r="S1670" s="5" t="str">
        <f ca="1">IFERROR(__xludf.DUMMYFUNCTION("""COMPUTED_VALUE"""),"Lunch")</f>
        <v>Lunch</v>
      </c>
      <c r="T1670" s="10">
        <f ca="1">IFERROR(__xludf.DUMMYFUNCTION("""COMPUTED_VALUE"""),0)</f>
        <v>0</v>
      </c>
      <c r="U1670" s="5">
        <f ca="1">IFERROR(__xludf.DUMMYFUNCTION("""COMPUTED_VALUE"""),1)</f>
        <v>1</v>
      </c>
      <c r="V1670" s="5" t="str">
        <f ca="1">IFERROR(__xludf.DUMMYFUNCTION("""COMPUTED_VALUE"""),"18 year old victim was shot 4 time in legs and feet by 16YO student")</f>
        <v>18 year old victim was shot 4 time in legs and feet by 16YO student</v>
      </c>
      <c r="W1670"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X1670" s="5" t="str">
        <f ca="1">IFERROR(__xludf.DUMMYFUNCTION("""COMPUTED_VALUE"""),"Escalation of Dispute")</f>
        <v>Escalation of Dispute</v>
      </c>
      <c r="Y1670" s="5"/>
      <c r="Z1670" s="5" t="str">
        <f ca="1">IFERROR(__xludf.DUMMYFUNCTION("""COMPUTED_VALUE"""),"No")</f>
        <v>No</v>
      </c>
      <c r="AA1670" s="5"/>
      <c r="AB1670" s="5" t="str">
        <f ca="1">IFERROR(__xludf.DUMMYFUNCTION("""COMPUTED_VALUE"""),"No")</f>
        <v>No</v>
      </c>
      <c r="AC1670" s="5" t="str">
        <f ca="1">IFERROR(__xludf.DUMMYFUNCTION("""COMPUTED_VALUE"""),"No")</f>
        <v>No</v>
      </c>
      <c r="AD1670" s="5" t="str">
        <f ca="1">IFERROR(__xludf.DUMMYFUNCTION("""COMPUTED_VALUE"""),"No")</f>
        <v>No</v>
      </c>
      <c r="AE1670" s="5"/>
      <c r="AF1670" s="5" t="str">
        <f ca="1">IFERROR(__xludf.DUMMYFUNCTION("""COMPUTED_VALUE"""),"No")</f>
        <v>No</v>
      </c>
      <c r="AG1670" s="5" t="str">
        <f ca="1">IFERROR(__xludf.DUMMYFUNCTION("""COMPUTED_VALUE"""),"No")</f>
        <v>No</v>
      </c>
      <c r="AH1670" s="5"/>
    </row>
    <row r="1671" spans="1:34" ht="12.75">
      <c r="A1671" s="5" t="str">
        <f ca="1">IFERROR(__xludf.DUMMYFUNCTION("""COMPUTED_VALUE"""),"19911111TXYSE")</f>
        <v>19911111TXYSE</v>
      </c>
      <c r="B1671" s="8">
        <f ca="1">IFERROR(__xludf.DUMMYFUNCTION("""COMPUTED_VALUE"""),33553)</f>
        <v>33553</v>
      </c>
      <c r="C1671" s="5" t="str">
        <f ca="1">IFERROR(__xludf.DUMMYFUNCTION("""COMPUTED_VALUE"""),"Ysleta High School")</f>
        <v>Ysleta High School</v>
      </c>
      <c r="D1671" s="5">
        <f ca="1">IFERROR(__xludf.DUMMYFUNCTION("""COMPUTED_VALUE"""),1)</f>
        <v>1</v>
      </c>
      <c r="E1671" s="5">
        <f ca="1">IFERROR(__xludf.DUMMYFUNCTION("""COMPUTED_VALUE"""),1)</f>
        <v>1</v>
      </c>
      <c r="F1671" s="5">
        <f ca="1">IFERROR(__xludf.DUMMYFUNCTION("""COMPUTED_VALUE"""),2)</f>
        <v>2</v>
      </c>
      <c r="G1671" s="5">
        <f ca="1">IFERROR(__xludf.DUMMYFUNCTION("""COMPUTED_VALUE"""),0)</f>
        <v>0</v>
      </c>
      <c r="H1671"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I1671" s="5"/>
      <c r="J1671" s="5"/>
      <c r="K1671" s="5">
        <f ca="1">IFERROR(__xludf.DUMMYFUNCTION("""COMPUTED_VALUE"""),2)</f>
        <v>2</v>
      </c>
      <c r="L1671" s="5" t="str">
        <f ca="1">IFERROR(__xludf.DUMMYFUNCTION("""COMPUTED_VALUE"""),"Fall")</f>
        <v>Fall</v>
      </c>
      <c r="M1671" s="5" t="str">
        <f ca="1">IFERROR(__xludf.DUMMYFUNCTION("""COMPUTED_VALUE"""),"El Paso")</f>
        <v>El Paso</v>
      </c>
      <c r="N1671" s="5" t="str">
        <f ca="1">IFERROR(__xludf.DUMMYFUNCTION("""COMPUTED_VALUE"""),"TX")</f>
        <v>TX</v>
      </c>
      <c r="O1671" s="5" t="str">
        <f ca="1">IFERROR(__xludf.DUMMYFUNCTION("""COMPUTED_VALUE"""),"High")</f>
        <v>High</v>
      </c>
      <c r="P1671" s="5" t="str">
        <f ca="1">IFERROR(__xludf.DUMMYFUNCTION("""COMPUTED_VALUE"""),"Front of School")</f>
        <v>Front of School</v>
      </c>
      <c r="Q1671" s="5" t="str">
        <f ca="1">IFERROR(__xludf.DUMMYFUNCTION("""COMPUTED_VALUE"""),"Outside on School Property")</f>
        <v>Outside on School Property</v>
      </c>
      <c r="R1671" s="5" t="str">
        <f ca="1">IFERROR(__xludf.DUMMYFUNCTION("""COMPUTED_VALUE"""),"Yes")</f>
        <v>Yes</v>
      </c>
      <c r="S1671" s="5" t="str">
        <f ca="1">IFERROR(__xludf.DUMMYFUNCTION("""COMPUTED_VALUE"""),"After School")</f>
        <v>After School</v>
      </c>
      <c r="T1671" s="5"/>
      <c r="U1671" s="5">
        <f ca="1">IFERROR(__xludf.DUMMYFUNCTION("""COMPUTED_VALUE"""),1)</f>
        <v>1</v>
      </c>
      <c r="V1671" s="5" t="str">
        <f ca="1">IFERROR(__xludf.DUMMYFUNCTION("""COMPUTED_VALUE"""),"Gang related shooting at group outside of high school")</f>
        <v>Gang related shooting at group outside of high school</v>
      </c>
      <c r="W1671"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X1671" s="5" t="str">
        <f ca="1">IFERROR(__xludf.DUMMYFUNCTION("""COMPUTED_VALUE"""),"Drive-by Shooting")</f>
        <v>Drive-by Shooting</v>
      </c>
      <c r="Y1671" s="5"/>
      <c r="Z1671" s="5" t="str">
        <f ca="1">IFERROR(__xludf.DUMMYFUNCTION("""COMPUTED_VALUE"""),"Yes")</f>
        <v>Yes</v>
      </c>
      <c r="AA1671" s="5" t="str">
        <f ca="1">IFERROR(__xludf.DUMMYFUNCTION("""COMPUTED_VALUE"""),"4 arrested and charged")</f>
        <v>4 arrested and charged</v>
      </c>
      <c r="AB1671" s="5" t="str">
        <f ca="1">IFERROR(__xludf.DUMMYFUNCTION("""COMPUTED_VALUE"""),"No")</f>
        <v>No</v>
      </c>
      <c r="AC1671" s="5" t="str">
        <f ca="1">IFERROR(__xludf.DUMMYFUNCTION("""COMPUTED_VALUE"""),"No")</f>
        <v>No</v>
      </c>
      <c r="AD1671" s="5" t="str">
        <f ca="1">IFERROR(__xludf.DUMMYFUNCTION("""COMPUTED_VALUE"""),"No")</f>
        <v>No</v>
      </c>
      <c r="AE1671" s="5" t="str">
        <f ca="1">IFERROR(__xludf.DUMMYFUNCTION("""COMPUTED_VALUE"""),"No")</f>
        <v>No</v>
      </c>
      <c r="AF1671" s="5" t="str">
        <f ca="1">IFERROR(__xludf.DUMMYFUNCTION("""COMPUTED_VALUE"""),"No")</f>
        <v>No</v>
      </c>
      <c r="AG1671" s="5" t="str">
        <f ca="1">IFERROR(__xludf.DUMMYFUNCTION("""COMPUTED_VALUE"""),"Yes")</f>
        <v>Yes</v>
      </c>
      <c r="AH1671" s="5"/>
    </row>
    <row r="1672" spans="1:34" ht="12.75">
      <c r="A1672" s="5" t="str">
        <f ca="1">IFERROR(__xludf.DUMMYFUNCTION("""COMPUTED_VALUE"""),"19911106LAWAN")</f>
        <v>19911106LAWAN</v>
      </c>
      <c r="B1672" s="8">
        <f ca="1">IFERROR(__xludf.DUMMYFUNCTION("""COMPUTED_VALUE"""),33548)</f>
        <v>33548</v>
      </c>
      <c r="C1672" s="5" t="str">
        <f ca="1">IFERROR(__xludf.DUMMYFUNCTION("""COMPUTED_VALUE"""),"Walter L. Cohen Senior High School")</f>
        <v>Walter L. Cohen Senior High School</v>
      </c>
      <c r="D1672" s="5">
        <f ca="1">IFERROR(__xludf.DUMMYFUNCTION("""COMPUTED_VALUE"""),1)</f>
        <v>1</v>
      </c>
      <c r="E1672" s="5">
        <f ca="1">IFERROR(__xludf.DUMMYFUNCTION("""COMPUTED_VALUE"""),1)</f>
        <v>1</v>
      </c>
      <c r="F1672" s="5">
        <f ca="1">IFERROR(__xludf.DUMMYFUNCTION("""COMPUTED_VALUE"""),2)</f>
        <v>2</v>
      </c>
      <c r="G1672" s="5">
        <f ca="1">IFERROR(__xludf.DUMMYFUNCTION("""COMPUTED_VALUE"""),0)</f>
        <v>0</v>
      </c>
      <c r="H1672"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I1672" s="5"/>
      <c r="J1672" s="5"/>
      <c r="K1672" s="5">
        <f ca="1">IFERROR(__xludf.DUMMYFUNCTION("""COMPUTED_VALUE"""),1)</f>
        <v>1</v>
      </c>
      <c r="L1672" s="5" t="str">
        <f ca="1">IFERROR(__xludf.DUMMYFUNCTION("""COMPUTED_VALUE"""),"Fall")</f>
        <v>Fall</v>
      </c>
      <c r="M1672" s="5" t="str">
        <f ca="1">IFERROR(__xludf.DUMMYFUNCTION("""COMPUTED_VALUE"""),"New Orleans")</f>
        <v>New Orleans</v>
      </c>
      <c r="N1672" s="5" t="str">
        <f ca="1">IFERROR(__xludf.DUMMYFUNCTION("""COMPUTED_VALUE"""),"LA")</f>
        <v>LA</v>
      </c>
      <c r="O1672" s="5" t="str">
        <f ca="1">IFERROR(__xludf.DUMMYFUNCTION("""COMPUTED_VALUE"""),"High")</f>
        <v>High</v>
      </c>
      <c r="P1672" s="5" t="str">
        <f ca="1">IFERROR(__xludf.DUMMYFUNCTION("""COMPUTED_VALUE"""),"Parking Lot")</f>
        <v>Parking Lot</v>
      </c>
      <c r="Q1672" s="5" t="str">
        <f ca="1">IFERROR(__xludf.DUMMYFUNCTION("""COMPUTED_VALUE"""),"Outside on School Property")</f>
        <v>Outside on School Property</v>
      </c>
      <c r="R1672" s="5" t="str">
        <f ca="1">IFERROR(__xludf.DUMMYFUNCTION("""COMPUTED_VALUE"""),"No")</f>
        <v>No</v>
      </c>
      <c r="S1672" s="5" t="str">
        <f ca="1">IFERROR(__xludf.DUMMYFUNCTION("""COMPUTED_VALUE"""),"After School")</f>
        <v>After School</v>
      </c>
      <c r="T1672" s="10">
        <f ca="1">IFERROR(__xludf.DUMMYFUNCTION("""COMPUTED_VALUE"""),0.645833333333333)</f>
        <v>0.64583333333333304</v>
      </c>
      <c r="U1672" s="5">
        <f ca="1">IFERROR(__xludf.DUMMYFUNCTION("""COMPUTED_VALUE"""),1)</f>
        <v>1</v>
      </c>
      <c r="V1672" s="5" t="str">
        <f ca="1">IFERROR(__xludf.DUMMYFUNCTION("""COMPUTED_VALUE"""),"Fight between 8 students escalated into shooting outside school")</f>
        <v>Fight between 8 students escalated into shooting outside school</v>
      </c>
      <c r="W1672"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X1672" s="5" t="str">
        <f ca="1">IFERROR(__xludf.DUMMYFUNCTION("""COMPUTED_VALUE"""),"Drive-by Shooting")</f>
        <v>Drive-by Shooting</v>
      </c>
      <c r="Y1672" s="5" t="str">
        <f ca="1">IFERROR(__xludf.DUMMYFUNCTION("""COMPUTED_VALUE"""),"Victims Targeted")</f>
        <v>Victims Targeted</v>
      </c>
      <c r="Z1672" s="5" t="str">
        <f ca="1">IFERROR(__xludf.DUMMYFUNCTION("""COMPUTED_VALUE"""),"No")</f>
        <v>No</v>
      </c>
      <c r="AA1672" s="5"/>
      <c r="AB1672" s="5" t="str">
        <f ca="1">IFERROR(__xludf.DUMMYFUNCTION("""COMPUTED_VALUE"""),"No")</f>
        <v>No</v>
      </c>
      <c r="AC1672" s="5" t="str">
        <f ca="1">IFERROR(__xludf.DUMMYFUNCTION("""COMPUTED_VALUE"""),"No")</f>
        <v>No</v>
      </c>
      <c r="AD1672" s="5" t="str">
        <f ca="1">IFERROR(__xludf.DUMMYFUNCTION("""COMPUTED_VALUE"""),"No")</f>
        <v>No</v>
      </c>
      <c r="AE1672" s="5" t="str">
        <f ca="1">IFERROR(__xludf.DUMMYFUNCTION("""COMPUTED_VALUE"""),"No")</f>
        <v>No</v>
      </c>
      <c r="AF1672" s="5" t="str">
        <f ca="1">IFERROR(__xludf.DUMMYFUNCTION("""COMPUTED_VALUE"""),"No")</f>
        <v>No</v>
      </c>
      <c r="AG1672" s="5" t="str">
        <f ca="1">IFERROR(__xludf.DUMMYFUNCTION("""COMPUTED_VALUE"""),"No")</f>
        <v>No</v>
      </c>
      <c r="AH1672" s="5"/>
    </row>
    <row r="1673" spans="1:34" ht="12.75">
      <c r="A1673" s="5" t="str">
        <f ca="1">IFERROR(__xludf.DUMMYFUNCTION("""COMPUTED_VALUE"""),"19911023TXOAD")</f>
        <v>19911023TXOAD</v>
      </c>
      <c r="B1673" s="8">
        <f ca="1">IFERROR(__xludf.DUMMYFUNCTION("""COMPUTED_VALUE"""),33534)</f>
        <v>33534</v>
      </c>
      <c r="C1673" s="5" t="str">
        <f ca="1">IFERROR(__xludf.DUMMYFUNCTION("""COMPUTED_VALUE"""),"Oak Cliff High School")</f>
        <v>Oak Cliff High School</v>
      </c>
      <c r="D1673" s="5">
        <f ca="1">IFERROR(__xludf.DUMMYFUNCTION("""COMPUTED_VALUE"""),1)</f>
        <v>1</v>
      </c>
      <c r="E1673" s="5">
        <f ca="1">IFERROR(__xludf.DUMMYFUNCTION("""COMPUTED_VALUE"""),0)</f>
        <v>0</v>
      </c>
      <c r="F1673" s="5">
        <f ca="1">IFERROR(__xludf.DUMMYFUNCTION("""COMPUTED_VALUE"""),1)</f>
        <v>1</v>
      </c>
      <c r="G1673" s="5">
        <f ca="1">IFERROR(__xludf.DUMMYFUNCTION("""COMPUTED_VALUE"""),0)</f>
        <v>0</v>
      </c>
      <c r="H1673" s="9" t="str">
        <f ca="1">IFERROR(__xludf.DUMMYFUNCTION("""COMPUTED_VALUE"""),"https://www.newspapers.com/image/300241588/?terms=Spring%2BWoods%2BHigh%2BSchool%2Bstudent%2Bshot")</f>
        <v>https://www.newspapers.com/image/300241588/?terms=Spring%2BWoods%2BHigh%2BSchool%2Bstudent%2Bshot</v>
      </c>
      <c r="I1673" s="5"/>
      <c r="J1673" s="5"/>
      <c r="K1673" s="5">
        <f ca="1">IFERROR(__xludf.DUMMYFUNCTION("""COMPUTED_VALUE"""),2)</f>
        <v>2</v>
      </c>
      <c r="L1673" s="5" t="str">
        <f ca="1">IFERROR(__xludf.DUMMYFUNCTION("""COMPUTED_VALUE"""),"Fall")</f>
        <v>Fall</v>
      </c>
      <c r="M1673" s="5" t="str">
        <f ca="1">IFERROR(__xludf.DUMMYFUNCTION("""COMPUTED_VALUE"""),"Dallas")</f>
        <v>Dallas</v>
      </c>
      <c r="N1673" s="5" t="str">
        <f ca="1">IFERROR(__xludf.DUMMYFUNCTION("""COMPUTED_VALUE"""),"TX")</f>
        <v>TX</v>
      </c>
      <c r="O1673" s="5" t="str">
        <f ca="1">IFERROR(__xludf.DUMMYFUNCTION("""COMPUTED_VALUE"""),"High")</f>
        <v>High</v>
      </c>
      <c r="P1673" s="5" t="str">
        <f ca="1">IFERROR(__xludf.DUMMYFUNCTION("""COMPUTED_VALUE"""),"Hallway")</f>
        <v>Hallway</v>
      </c>
      <c r="Q1673" s="5" t="str">
        <f ca="1">IFERROR(__xludf.DUMMYFUNCTION("""COMPUTED_VALUE"""),"Inside School Building")</f>
        <v>Inside School Building</v>
      </c>
      <c r="R1673" s="5" t="str">
        <f ca="1">IFERROR(__xludf.DUMMYFUNCTION("""COMPUTED_VALUE"""),"Yes")</f>
        <v>Yes</v>
      </c>
      <c r="S1673" s="5" t="str">
        <f ca="1">IFERROR(__xludf.DUMMYFUNCTION("""COMPUTED_VALUE"""),"School Start")</f>
        <v>School Start</v>
      </c>
      <c r="T1673" s="10">
        <f ca="1">IFERROR(__xludf.DUMMYFUNCTION("""COMPUTED_VALUE"""),0.322916666666666)</f>
        <v>0.32291666666666602</v>
      </c>
      <c r="U1673" s="5">
        <f ca="1">IFERROR(__xludf.DUMMYFUNCTION("""COMPUTED_VALUE"""),1)</f>
        <v>1</v>
      </c>
      <c r="V1673" s="5" t="str">
        <f ca="1">IFERROR(__xludf.DUMMYFUNCTION("""COMPUTED_VALUE"""),"Shooter younger brother was bullied. Shot bully during confrontation.")</f>
        <v>Shooter younger brother was bullied. Shot bully during confrontation.</v>
      </c>
      <c r="W1673"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X1673" s="5" t="str">
        <f ca="1">IFERROR(__xludf.DUMMYFUNCTION("""COMPUTED_VALUE"""),"Bullying")</f>
        <v>Bullying</v>
      </c>
      <c r="Y1673" s="5" t="str">
        <f ca="1">IFERROR(__xludf.DUMMYFUNCTION("""COMPUTED_VALUE"""),"Victims Targeted")</f>
        <v>Victims Targeted</v>
      </c>
      <c r="Z1673" s="5" t="str">
        <f ca="1">IFERROR(__xludf.DUMMYFUNCTION("""COMPUTED_VALUE"""),"No")</f>
        <v>No</v>
      </c>
      <c r="AA1673" s="5"/>
      <c r="AB1673" s="5" t="str">
        <f ca="1">IFERROR(__xludf.DUMMYFUNCTION("""COMPUTED_VALUE"""),"No")</f>
        <v>No</v>
      </c>
      <c r="AC1673" s="5" t="str">
        <f ca="1">IFERROR(__xludf.DUMMYFUNCTION("""COMPUTED_VALUE"""),"No")</f>
        <v>No</v>
      </c>
      <c r="AD1673" s="5" t="str">
        <f ca="1">IFERROR(__xludf.DUMMYFUNCTION("""COMPUTED_VALUE"""),"No")</f>
        <v>No</v>
      </c>
      <c r="AE1673" s="5" t="str">
        <f ca="1">IFERROR(__xludf.DUMMYFUNCTION("""COMPUTED_VALUE"""),"Yes")</f>
        <v>Yes</v>
      </c>
      <c r="AF1673" s="5" t="str">
        <f ca="1">IFERROR(__xludf.DUMMYFUNCTION("""COMPUTED_VALUE"""),"No")</f>
        <v>No</v>
      </c>
      <c r="AG1673" s="5" t="str">
        <f ca="1">IFERROR(__xludf.DUMMYFUNCTION("""COMPUTED_VALUE"""),"No")</f>
        <v>No</v>
      </c>
      <c r="AH1673" s="5"/>
    </row>
    <row r="1674" spans="1:34" ht="12.75">
      <c r="A1674" s="5" t="str">
        <f ca="1">IFERROR(__xludf.DUMMYFUNCTION("""COMPUTED_VALUE"""),"19911015TXGEP")</f>
        <v>19911015TXGEP</v>
      </c>
      <c r="B1674" s="8">
        <f ca="1">IFERROR(__xludf.DUMMYFUNCTION("""COMPUTED_VALUE"""),33526)</f>
        <v>33526</v>
      </c>
      <c r="C1674" s="5" t="str">
        <f ca="1">IFERROR(__xludf.DUMMYFUNCTION("""COMPUTED_VALUE"""),"Genevieve Sparks Elementary School")</f>
        <v>Genevieve Sparks Elementary School</v>
      </c>
      <c r="D1674" s="5">
        <f ca="1">IFERROR(__xludf.DUMMYFUNCTION("""COMPUTED_VALUE"""),0)</f>
        <v>0</v>
      </c>
      <c r="E1674" s="5">
        <f ca="1">IFERROR(__xludf.DUMMYFUNCTION("""COMPUTED_VALUE"""),1)</f>
        <v>1</v>
      </c>
      <c r="F1674" s="5">
        <f ca="1">IFERROR(__xludf.DUMMYFUNCTION("""COMPUTED_VALUE"""),1)</f>
        <v>1</v>
      </c>
      <c r="G1674" s="5">
        <f ca="1">IFERROR(__xludf.DUMMYFUNCTION("""COMPUTED_VALUE"""),0)</f>
        <v>0</v>
      </c>
      <c r="H1674" s="9" t="str">
        <f ca="1">IFERROR(__xludf.DUMMYFUNCTION("""COMPUTED_VALUE"""),"https://www.newspapers.com/image/300231582/?terms=Genevieve%2BSparks%2BElementary%2BSchool")</f>
        <v>https://www.newspapers.com/image/300231582/?terms=Genevieve%2BSparks%2BElementary%2BSchool</v>
      </c>
      <c r="I1674" s="5"/>
      <c r="J1674" s="5"/>
      <c r="K1674" s="5">
        <f ca="1">IFERROR(__xludf.DUMMYFUNCTION("""COMPUTED_VALUE"""),2)</f>
        <v>2</v>
      </c>
      <c r="L1674" s="5" t="str">
        <f ca="1">IFERROR(__xludf.DUMMYFUNCTION("""COMPUTED_VALUE"""),"Fall")</f>
        <v>Fall</v>
      </c>
      <c r="M1674" s="5" t="str">
        <f ca="1">IFERROR(__xludf.DUMMYFUNCTION("""COMPUTED_VALUE"""),"Pasadena")</f>
        <v>Pasadena</v>
      </c>
      <c r="N1674" s="5" t="str">
        <f ca="1">IFERROR(__xludf.DUMMYFUNCTION("""COMPUTED_VALUE"""),"TX")</f>
        <v>TX</v>
      </c>
      <c r="O1674" s="5" t="str">
        <f ca="1">IFERROR(__xludf.DUMMYFUNCTION("""COMPUTED_VALUE"""),"Elementary")</f>
        <v>Elementary</v>
      </c>
      <c r="P1674" s="5" t="str">
        <f ca="1">IFERROR(__xludf.DUMMYFUNCTION("""COMPUTED_VALUE"""),"Field (General)")</f>
        <v>Field (General)</v>
      </c>
      <c r="Q1674" s="5" t="str">
        <f ca="1">IFERROR(__xludf.DUMMYFUNCTION("""COMPUTED_VALUE"""),"Outside on School Property")</f>
        <v>Outside on School Property</v>
      </c>
      <c r="R1674" s="5" t="str">
        <f ca="1">IFERROR(__xludf.DUMMYFUNCTION("""COMPUTED_VALUE"""),"Yes")</f>
        <v>Yes</v>
      </c>
      <c r="S1674" s="5" t="str">
        <f ca="1">IFERROR(__xludf.DUMMYFUNCTION("""COMPUTED_VALUE"""),"Afternoon Classes")</f>
        <v>Afternoon Classes</v>
      </c>
      <c r="T1674" s="10">
        <f ca="1">IFERROR(__xludf.DUMMYFUNCTION("""COMPUTED_VALUE"""),0.552083333333333)</f>
        <v>0.55208333333333304</v>
      </c>
      <c r="U1674" s="5">
        <f ca="1">IFERROR(__xludf.DUMMYFUNCTION("""COMPUTED_VALUE"""),1)</f>
        <v>1</v>
      </c>
      <c r="V1674" s="5" t="str">
        <f ca="1">IFERROR(__xludf.DUMMYFUNCTION("""COMPUTED_VALUE"""),"Accidental. 13YO boy in woods nearby was shooting at squirrels, didn't realize how far bullets traveled.")</f>
        <v>Accidental. 13YO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X1674" s="5" t="str">
        <f ca="1">IFERROR(__xludf.DUMMYFUNCTION("""COMPUTED_VALUE"""),"Accidental")</f>
        <v>Accidental</v>
      </c>
      <c r="Y1674" s="5" t="str">
        <f ca="1">IFERROR(__xludf.DUMMYFUNCTION("""COMPUTED_VALUE"""),"Random Shooting")</f>
        <v>Random Shooting</v>
      </c>
      <c r="Z1674" s="5" t="str">
        <f ca="1">IFERROR(__xludf.DUMMYFUNCTION("""COMPUTED_VALUE"""),"No")</f>
        <v>No</v>
      </c>
      <c r="AA1674" s="5"/>
      <c r="AB1674" s="5" t="str">
        <f ca="1">IFERROR(__xludf.DUMMYFUNCTION("""COMPUTED_VALUE"""),"No")</f>
        <v>No</v>
      </c>
      <c r="AC1674" s="5" t="str">
        <f ca="1">IFERROR(__xludf.DUMMYFUNCTION("""COMPUTED_VALUE"""),"No")</f>
        <v>No</v>
      </c>
      <c r="AD1674" s="5" t="str">
        <f ca="1">IFERROR(__xludf.DUMMYFUNCTION("""COMPUTED_VALUE"""),"No")</f>
        <v>No</v>
      </c>
      <c r="AE1674" s="5" t="str">
        <f ca="1">IFERROR(__xludf.DUMMYFUNCTION("""COMPUTED_VALUE"""),"No")</f>
        <v>No</v>
      </c>
      <c r="AF1674" s="5" t="str">
        <f ca="1">IFERROR(__xludf.DUMMYFUNCTION("""COMPUTED_VALUE"""),"No")</f>
        <v>No</v>
      </c>
      <c r="AG1674" s="5" t="str">
        <f ca="1">IFERROR(__xludf.DUMMYFUNCTION("""COMPUTED_VALUE"""),"No")</f>
        <v>No</v>
      </c>
      <c r="AH1674" s="5"/>
    </row>
    <row r="1675" spans="1:34" ht="12.75">
      <c r="A1675" s="5" t="str">
        <f ca="1">IFERROR(__xludf.DUMMYFUNCTION("""COMPUTED_VALUE"""),"19911015SCWOW")</f>
        <v>19911015SCWOW</v>
      </c>
      <c r="B1675" s="8">
        <f ca="1">IFERROR(__xludf.DUMMYFUNCTION("""COMPUTED_VALUE"""),33526)</f>
        <v>33526</v>
      </c>
      <c r="C1675" s="5" t="str">
        <f ca="1">IFERROR(__xludf.DUMMYFUNCTION("""COMPUTED_VALUE"""),"Woodruff High School")</f>
        <v>Woodruff High School</v>
      </c>
      <c r="D1675" s="5">
        <f ca="1">IFERROR(__xludf.DUMMYFUNCTION("""COMPUTED_VALUE"""),0)</f>
        <v>0</v>
      </c>
      <c r="E1675" s="5">
        <f ca="1">IFERROR(__xludf.DUMMYFUNCTION("""COMPUTED_VALUE"""),0)</f>
        <v>0</v>
      </c>
      <c r="F1675" s="5">
        <f ca="1">IFERROR(__xludf.DUMMYFUNCTION("""COMPUTED_VALUE"""),0)</f>
        <v>0</v>
      </c>
      <c r="G1675" s="5">
        <f ca="1">IFERROR(__xludf.DUMMYFUNCTION("""COMPUTED_VALUE"""),0)</f>
        <v>0</v>
      </c>
      <c r="H1675" s="9" t="str">
        <f ca="1">IFERROR(__xludf.DUMMYFUNCTION("""COMPUTED_VALUE"""),"https://www.newspapers.com/image/191964993/?terms=Woodruff%2BHigh%2BSchool%2Bshooting")</f>
        <v>https://www.newspapers.com/image/191964993/?terms=Woodruff%2BHigh%2BSchool%2Bshooting</v>
      </c>
      <c r="I1675" s="5"/>
      <c r="J1675" s="5"/>
      <c r="K1675" s="5">
        <f ca="1">IFERROR(__xludf.DUMMYFUNCTION("""COMPUTED_VALUE"""),2)</f>
        <v>2</v>
      </c>
      <c r="L1675" s="5" t="str">
        <f ca="1">IFERROR(__xludf.DUMMYFUNCTION("""COMPUTED_VALUE"""),"Fall")</f>
        <v>Fall</v>
      </c>
      <c r="M1675" s="5" t="str">
        <f ca="1">IFERROR(__xludf.DUMMYFUNCTION("""COMPUTED_VALUE"""),"Woodruff")</f>
        <v>Woodruff</v>
      </c>
      <c r="N1675" s="5" t="str">
        <f ca="1">IFERROR(__xludf.DUMMYFUNCTION("""COMPUTED_VALUE"""),"SC")</f>
        <v>SC</v>
      </c>
      <c r="O1675" s="5" t="str">
        <f ca="1">IFERROR(__xludf.DUMMYFUNCTION("""COMPUTED_VALUE"""),"High")</f>
        <v>High</v>
      </c>
      <c r="P1675" s="5" t="str">
        <f ca="1">IFERROR(__xludf.DUMMYFUNCTION("""COMPUTED_VALUE"""),"Hallway")</f>
        <v>Hallway</v>
      </c>
      <c r="Q1675" s="5" t="str">
        <f ca="1">IFERROR(__xludf.DUMMYFUNCTION("""COMPUTED_VALUE"""),"Inside School Building")</f>
        <v>Inside School Building</v>
      </c>
      <c r="R1675" s="5" t="str">
        <f ca="1">IFERROR(__xludf.DUMMYFUNCTION("""COMPUTED_VALUE"""),"Yes")</f>
        <v>Yes</v>
      </c>
      <c r="S1675" s="5" t="str">
        <f ca="1">IFERROR(__xludf.DUMMYFUNCTION("""COMPUTED_VALUE"""),"Lunch")</f>
        <v>Lunch</v>
      </c>
      <c r="T1675" s="10">
        <f ca="1">IFERROR(__xludf.DUMMYFUNCTION("""COMPUTED_VALUE"""),0.520833333333333)</f>
        <v>0.52083333333333304</v>
      </c>
      <c r="U1675" s="5">
        <f ca="1">IFERROR(__xludf.DUMMYFUNCTION("""COMPUTED_VALUE"""),1)</f>
        <v>1</v>
      </c>
      <c r="V1675" s="5" t="str">
        <f ca="1">IFERROR(__xludf.DUMMYFUNCTION("""COMPUTED_VALUE"""),"Shooter fired shots into the air while being harassed by two bullies. Fled scene after firing.")</f>
        <v>Shooter fired shots into the air while being harassed by two bullies. Fled scene after firing.</v>
      </c>
      <c r="W1675"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X1675" s="5" t="str">
        <f ca="1">IFERROR(__xludf.DUMMYFUNCTION("""COMPUTED_VALUE"""),"Bullying")</f>
        <v>Bullying</v>
      </c>
      <c r="Y1675" s="5" t="str">
        <f ca="1">IFERROR(__xludf.DUMMYFUNCTION("""COMPUTED_VALUE"""),"Victims Targeted")</f>
        <v>Victims Targeted</v>
      </c>
      <c r="Z1675" s="5" t="str">
        <f ca="1">IFERROR(__xludf.DUMMYFUNCTION("""COMPUTED_VALUE"""),"No")</f>
        <v>No</v>
      </c>
      <c r="AA1675" s="5"/>
      <c r="AB1675" s="5" t="str">
        <f ca="1">IFERROR(__xludf.DUMMYFUNCTION("""COMPUTED_VALUE"""),"No")</f>
        <v>No</v>
      </c>
      <c r="AC1675" s="5" t="str">
        <f ca="1">IFERROR(__xludf.DUMMYFUNCTION("""COMPUTED_VALUE"""),"No")</f>
        <v>No</v>
      </c>
      <c r="AD1675" s="5" t="str">
        <f ca="1">IFERROR(__xludf.DUMMYFUNCTION("""COMPUTED_VALUE"""),"No")</f>
        <v>No</v>
      </c>
      <c r="AE1675" s="5" t="str">
        <f ca="1">IFERROR(__xludf.DUMMYFUNCTION("""COMPUTED_VALUE"""),"Yes")</f>
        <v>Yes</v>
      </c>
      <c r="AF1675" s="5" t="str">
        <f ca="1">IFERROR(__xludf.DUMMYFUNCTION("""COMPUTED_VALUE"""),"No")</f>
        <v>No</v>
      </c>
      <c r="AG1675" s="5" t="str">
        <f ca="1">IFERROR(__xludf.DUMMYFUNCTION("""COMPUTED_VALUE"""),"No")</f>
        <v>No</v>
      </c>
      <c r="AH1675" s="5"/>
    </row>
    <row r="1676" spans="1:34" ht="12.75">
      <c r="A1676" s="5" t="str">
        <f ca="1">IFERROR(__xludf.DUMMYFUNCTION("""COMPUTED_VALUE"""),"19911015NHMOS")</f>
        <v>19911015NHMOS</v>
      </c>
      <c r="B1676" s="8">
        <f ca="1">IFERROR(__xludf.DUMMYFUNCTION("""COMPUTED_VALUE"""),33526)</f>
        <v>33526</v>
      </c>
      <c r="C1676" s="5" t="str">
        <f ca="1">IFERROR(__xludf.DUMMYFUNCTION("""COMPUTED_VALUE"""),"Monadnock Regional High School")</f>
        <v>Monadnock Regional High School</v>
      </c>
      <c r="D1676" s="5">
        <f ca="1">IFERROR(__xludf.DUMMYFUNCTION("""COMPUTED_VALUE"""),0)</f>
        <v>0</v>
      </c>
      <c r="E1676" s="5">
        <f ca="1">IFERROR(__xludf.DUMMYFUNCTION("""COMPUTED_VALUE"""),2)</f>
        <v>2</v>
      </c>
      <c r="F1676" s="5">
        <f ca="1">IFERROR(__xludf.DUMMYFUNCTION("""COMPUTED_VALUE"""),2)</f>
        <v>2</v>
      </c>
      <c r="G1676" s="5">
        <f ca="1">IFERROR(__xludf.DUMMYFUNCTION("""COMPUTED_VALUE"""),0)</f>
        <v>0</v>
      </c>
      <c r="H1676"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I1676" s="5"/>
      <c r="J1676" s="5"/>
      <c r="K1676" s="5">
        <f ca="1">IFERROR(__xludf.DUMMYFUNCTION("""COMPUTED_VALUE"""),2)</f>
        <v>2</v>
      </c>
      <c r="L1676" s="5" t="str">
        <f ca="1">IFERROR(__xludf.DUMMYFUNCTION("""COMPUTED_VALUE"""),"Fall")</f>
        <v>Fall</v>
      </c>
      <c r="M1676" s="5" t="str">
        <f ca="1">IFERROR(__xludf.DUMMYFUNCTION("""COMPUTED_VALUE"""),"Swanzey")</f>
        <v>Swanzey</v>
      </c>
      <c r="N1676" s="5" t="str">
        <f ca="1">IFERROR(__xludf.DUMMYFUNCTION("""COMPUTED_VALUE"""),"NH")</f>
        <v>NH</v>
      </c>
      <c r="O1676" s="5" t="str">
        <f ca="1">IFERROR(__xludf.DUMMYFUNCTION("""COMPUTED_VALUE"""),"High")</f>
        <v>High</v>
      </c>
      <c r="P1676" s="5" t="str">
        <f ca="1">IFERROR(__xludf.DUMMYFUNCTION("""COMPUTED_VALUE"""),"Hallway")</f>
        <v>Hallway</v>
      </c>
      <c r="Q1676" s="5" t="str">
        <f ca="1">IFERROR(__xludf.DUMMYFUNCTION("""COMPUTED_VALUE"""),"Inside School Building")</f>
        <v>Inside School Building</v>
      </c>
      <c r="R1676" s="5" t="str">
        <f ca="1">IFERROR(__xludf.DUMMYFUNCTION("""COMPUTED_VALUE"""),"Yes")</f>
        <v>Yes</v>
      </c>
      <c r="S1676" s="5" t="str">
        <f ca="1">IFERROR(__xludf.DUMMYFUNCTION("""COMPUTED_VALUE"""),"Morning Classes")</f>
        <v>Morning Classes</v>
      </c>
      <c r="T1676" s="5"/>
      <c r="U1676" s="5">
        <f ca="1">IFERROR(__xludf.DUMMYFUNCTION("""COMPUTED_VALUE"""),15)</f>
        <v>15</v>
      </c>
      <c r="V1676"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W1676"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X1676" s="5" t="str">
        <f ca="1">IFERROR(__xludf.DUMMYFUNCTION("""COMPUTED_VALUE"""),"Anger Over Grade/Suspension/Discipline")</f>
        <v>Anger Over Grade/Suspension/Discipline</v>
      </c>
      <c r="Y1676" s="5" t="str">
        <f ca="1">IFERROR(__xludf.DUMMYFUNCTION("""COMPUTED_VALUE"""),"Random Shooting")</f>
        <v>Random Shooting</v>
      </c>
      <c r="Z1676" s="5" t="str">
        <f ca="1">IFERROR(__xludf.DUMMYFUNCTION("""COMPUTED_VALUE"""),"No")</f>
        <v>No</v>
      </c>
      <c r="AA1676" s="5"/>
      <c r="AB1676" s="5" t="str">
        <f ca="1">IFERROR(__xludf.DUMMYFUNCTION("""COMPUTED_VALUE"""),"No")</f>
        <v>No</v>
      </c>
      <c r="AC1676" s="5" t="str">
        <f ca="1">IFERROR(__xludf.DUMMYFUNCTION("""COMPUTED_VALUE"""),"Yes")</f>
        <v>Yes</v>
      </c>
      <c r="AD1676" s="5" t="str">
        <f ca="1">IFERROR(__xludf.DUMMYFUNCTION("""COMPUTED_VALUE"""),"No")</f>
        <v>No</v>
      </c>
      <c r="AE1676" s="5" t="str">
        <f ca="1">IFERROR(__xludf.DUMMYFUNCTION("""COMPUTED_VALUE"""),"No")</f>
        <v>No</v>
      </c>
      <c r="AF1676" s="5"/>
      <c r="AG1676" s="5" t="str">
        <f ca="1">IFERROR(__xludf.DUMMYFUNCTION("""COMPUTED_VALUE"""),"No")</f>
        <v>No</v>
      </c>
      <c r="AH1676" s="5" t="str">
        <f ca="1">IFERROR(__xludf.DUMMYFUNCTION("""COMPUTED_VALUE"""),"Yes")</f>
        <v>Yes</v>
      </c>
    </row>
    <row r="1677" spans="1:34" ht="12.75">
      <c r="A1677" s="5" t="str">
        <f ca="1">IFERROR(__xludf.DUMMYFUNCTION("""COMPUTED_VALUE"""),"19911011MAMAR")</f>
        <v>19911011MAMAR</v>
      </c>
      <c r="B1677" s="8">
        <f ca="1">IFERROR(__xludf.DUMMYFUNCTION("""COMPUTED_VALUE"""),33522)</f>
        <v>33522</v>
      </c>
      <c r="C1677" s="5" t="str">
        <f ca="1">IFERROR(__xludf.DUMMYFUNCTION("""COMPUTED_VALUE"""),"Madison Park High School")</f>
        <v>Madison Park High School</v>
      </c>
      <c r="D1677" s="5">
        <f ca="1">IFERROR(__xludf.DUMMYFUNCTION("""COMPUTED_VALUE"""),0)</f>
        <v>0</v>
      </c>
      <c r="E1677" s="5">
        <f ca="1">IFERROR(__xludf.DUMMYFUNCTION("""COMPUTED_VALUE"""),1)</f>
        <v>1</v>
      </c>
      <c r="F1677" s="5">
        <f ca="1">IFERROR(__xludf.DUMMYFUNCTION("""COMPUTED_VALUE"""),1)</f>
        <v>1</v>
      </c>
      <c r="G1677" s="5">
        <f ca="1">IFERROR(__xludf.DUMMYFUNCTION("""COMPUTED_VALUE"""),0)</f>
        <v>0</v>
      </c>
      <c r="H1677"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I1677" s="5">
        <f ca="1">IFERROR(__xludf.DUMMYFUNCTION("""COMPUTED_VALUE"""),2)</f>
        <v>2</v>
      </c>
      <c r="J1677" s="5" t="str">
        <f ca="1">IFERROR(__xludf.DUMMYFUNCTION("""COMPUTED_VALUE"""),"National")</f>
        <v>National</v>
      </c>
      <c r="K1677" s="5">
        <f ca="1">IFERROR(__xludf.DUMMYFUNCTION("""COMPUTED_VALUE"""),3)</f>
        <v>3</v>
      </c>
      <c r="L1677" s="5" t="str">
        <f ca="1">IFERROR(__xludf.DUMMYFUNCTION("""COMPUTED_VALUE"""),"Fall")</f>
        <v>Fall</v>
      </c>
      <c r="M1677" s="5" t="str">
        <f ca="1">IFERROR(__xludf.DUMMYFUNCTION("""COMPUTED_VALUE"""),"Roxbury")</f>
        <v>Roxbury</v>
      </c>
      <c r="N1677" s="5" t="str">
        <f ca="1">IFERROR(__xludf.DUMMYFUNCTION("""COMPUTED_VALUE"""),"MA")</f>
        <v>MA</v>
      </c>
      <c r="O1677" s="5" t="str">
        <f ca="1">IFERROR(__xludf.DUMMYFUNCTION("""COMPUTED_VALUE"""),"High")</f>
        <v>High</v>
      </c>
      <c r="P1677" s="5" t="str">
        <f ca="1">IFERROR(__xludf.DUMMYFUNCTION("""COMPUTED_VALUE"""),"Football Field/Track")</f>
        <v>Football Field/Track</v>
      </c>
      <c r="Q1677" s="5" t="str">
        <f ca="1">IFERROR(__xludf.DUMMYFUNCTION("""COMPUTED_VALUE"""),"Outside on School Property")</f>
        <v>Outside on School Property</v>
      </c>
      <c r="R1677" s="5" t="str">
        <f ca="1">IFERROR(__xludf.DUMMYFUNCTION("""COMPUTED_VALUE"""),"Yes")</f>
        <v>Yes</v>
      </c>
      <c r="S1677" s="5" t="str">
        <f ca="1">IFERROR(__xludf.DUMMYFUNCTION("""COMPUTED_VALUE"""),"After School")</f>
        <v>After School</v>
      </c>
      <c r="T1677" s="10">
        <f ca="1">IFERROR(__xludf.DUMMYFUNCTION("""COMPUTED_VALUE"""),0.663194444444444)</f>
        <v>0.66319444444444398</v>
      </c>
      <c r="U1677" s="5">
        <f ca="1">IFERROR(__xludf.DUMMYFUNCTION("""COMPUTED_VALUE"""),1)</f>
        <v>1</v>
      </c>
      <c r="V1677" s="5" t="str">
        <f ca="1">IFERROR(__xludf.DUMMYFUNCTION("""COMPUTED_VALUE"""),"Teen shot during halftime of football game")</f>
        <v>Teen shot during halftime of football game</v>
      </c>
      <c r="W1677"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X1677" s="5" t="str">
        <f ca="1">IFERROR(__xludf.DUMMYFUNCTION("""COMPUTED_VALUE"""),"Escalation of Dispute")</f>
        <v>Escalation of Dispute</v>
      </c>
      <c r="Y1677" s="5" t="str">
        <f ca="1">IFERROR(__xludf.DUMMYFUNCTION("""COMPUTED_VALUE"""),"Victims Targeted")</f>
        <v>Victims Targeted</v>
      </c>
      <c r="Z1677" s="5" t="str">
        <f ca="1">IFERROR(__xludf.DUMMYFUNCTION("""COMPUTED_VALUE"""),"Yes")</f>
        <v>Yes</v>
      </c>
      <c r="AA1677" s="5" t="str">
        <f ca="1">IFERROR(__xludf.DUMMYFUNCTION("""COMPUTED_VALUE"""),"Multiple youths beating up victim prior to shooting.")</f>
        <v>Multiple youths beating up victim prior to shooting.</v>
      </c>
      <c r="AB1677" s="5" t="str">
        <f ca="1">IFERROR(__xludf.DUMMYFUNCTION("""COMPUTED_VALUE"""),"No")</f>
        <v>No</v>
      </c>
      <c r="AC1677" s="5" t="str">
        <f ca="1">IFERROR(__xludf.DUMMYFUNCTION("""COMPUTED_VALUE"""),"No")</f>
        <v>No</v>
      </c>
      <c r="AD1677" s="5" t="str">
        <f ca="1">IFERROR(__xludf.DUMMYFUNCTION("""COMPUTED_VALUE"""),"No")</f>
        <v>No</v>
      </c>
      <c r="AE1677" s="5" t="str">
        <f ca="1">IFERROR(__xludf.DUMMYFUNCTION("""COMPUTED_VALUE"""),"No")</f>
        <v>No</v>
      </c>
      <c r="AF1677" s="5" t="str">
        <f ca="1">IFERROR(__xludf.DUMMYFUNCTION("""COMPUTED_VALUE"""),"No")</f>
        <v>No</v>
      </c>
      <c r="AG1677" s="5" t="str">
        <f ca="1">IFERROR(__xludf.DUMMYFUNCTION("""COMPUTED_VALUE"""),"Yes")</f>
        <v>Yes</v>
      </c>
      <c r="AH1677" s="5" t="str">
        <f ca="1">IFERROR(__xludf.DUMMYFUNCTION("""COMPUTED_VALUE"""),"No")</f>
        <v>No</v>
      </c>
    </row>
    <row r="1678" spans="1:34" ht="12.75">
      <c r="A1678" s="5" t="str">
        <f ca="1">IFERROR(__xludf.DUMMYFUNCTION("""COMPUTED_VALUE"""),"19911009NYJAB")</f>
        <v>19911009NYJAB</v>
      </c>
      <c r="B1678" s="8">
        <f ca="1">IFERROR(__xludf.DUMMYFUNCTION("""COMPUTED_VALUE"""),33520)</f>
        <v>33520</v>
      </c>
      <c r="C1678" s="5" t="str">
        <f ca="1">IFERROR(__xludf.DUMMYFUNCTION("""COMPUTED_VALUE"""),"James Monroe High School")</f>
        <v>James Monroe High School</v>
      </c>
      <c r="D1678" s="5">
        <f ca="1">IFERROR(__xludf.DUMMYFUNCTION("""COMPUTED_VALUE"""),1)</f>
        <v>1</v>
      </c>
      <c r="E1678" s="5">
        <f ca="1">IFERROR(__xludf.DUMMYFUNCTION("""COMPUTED_VALUE"""),0)</f>
        <v>0</v>
      </c>
      <c r="F1678" s="5">
        <f ca="1">IFERROR(__xludf.DUMMYFUNCTION("""COMPUTED_VALUE"""),1)</f>
        <v>1</v>
      </c>
      <c r="G1678" s="5">
        <f ca="1">IFERROR(__xludf.DUMMYFUNCTION("""COMPUTED_VALUE"""),0)</f>
        <v>0</v>
      </c>
      <c r="H1678" s="9" t="str">
        <f ca="1">IFERROR(__xludf.DUMMYFUNCTION("""COMPUTED_VALUE"""),"https://www.nytimes.com/1991/10/09/nyregion/a-bronx-youth-is-shot-to-death-outside-a-school.html")</f>
        <v>https://www.nytimes.com/1991/10/09/nyregion/a-bronx-youth-is-shot-to-death-outside-a-school.html</v>
      </c>
      <c r="I1678" s="5"/>
      <c r="J1678" s="5"/>
      <c r="K1678" s="5">
        <f ca="1">IFERROR(__xludf.DUMMYFUNCTION("""COMPUTED_VALUE"""),2)</f>
        <v>2</v>
      </c>
      <c r="L1678" s="5" t="str">
        <f ca="1">IFERROR(__xludf.DUMMYFUNCTION("""COMPUTED_VALUE"""),"Fall")</f>
        <v>Fall</v>
      </c>
      <c r="M1678" s="5" t="str">
        <f ca="1">IFERROR(__xludf.DUMMYFUNCTION("""COMPUTED_VALUE"""),"Bronx")</f>
        <v>Bronx</v>
      </c>
      <c r="N1678" s="5" t="str">
        <f ca="1">IFERROR(__xludf.DUMMYFUNCTION("""COMPUTED_VALUE"""),"NY")</f>
        <v>NY</v>
      </c>
      <c r="O1678" s="5" t="str">
        <f ca="1">IFERROR(__xludf.DUMMYFUNCTION("""COMPUTED_VALUE"""),"High")</f>
        <v>High</v>
      </c>
      <c r="P1678" s="5" t="str">
        <f ca="1">IFERROR(__xludf.DUMMYFUNCTION("""COMPUTED_VALUE"""),"Outside on School Property")</f>
        <v>Outside on School Property</v>
      </c>
      <c r="Q1678" s="5" t="str">
        <f ca="1">IFERROR(__xludf.DUMMYFUNCTION("""COMPUTED_VALUE"""),"Outside on School Property")</f>
        <v>Outside on School Property</v>
      </c>
      <c r="R1678" s="5" t="str">
        <f ca="1">IFERROR(__xludf.DUMMYFUNCTION("""COMPUTED_VALUE"""),"Yes")</f>
        <v>Yes</v>
      </c>
      <c r="S1678" s="5" t="str">
        <f ca="1">IFERROR(__xludf.DUMMYFUNCTION("""COMPUTED_VALUE"""),"Morning Classes")</f>
        <v>Morning Classes</v>
      </c>
      <c r="T1678" s="10">
        <f ca="1">IFERROR(__xludf.DUMMYFUNCTION("""COMPUTED_VALUE"""),0.385416666666666)</f>
        <v>0.38541666666666602</v>
      </c>
      <c r="U1678" s="5">
        <f ca="1">IFERROR(__xludf.DUMMYFUNCTION("""COMPUTED_VALUE"""),1)</f>
        <v>1</v>
      </c>
      <c r="V1678" s="5" t="str">
        <f ca="1">IFERROR(__xludf.DUMMYFUNCTION("""COMPUTED_VALUE"""),"Planned fight outside of school")</f>
        <v>Planned fight outside of school</v>
      </c>
      <c r="W1678"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X1678" s="5" t="str">
        <f ca="1">IFERROR(__xludf.DUMMYFUNCTION("""COMPUTED_VALUE"""),"Escalation of Dispute")</f>
        <v>Escalation of Dispute</v>
      </c>
      <c r="Y1678" s="5" t="str">
        <f ca="1">IFERROR(__xludf.DUMMYFUNCTION("""COMPUTED_VALUE"""),"Victims Targeted")</f>
        <v>Victims Targeted</v>
      </c>
      <c r="Z1678" s="5" t="str">
        <f ca="1">IFERROR(__xludf.DUMMYFUNCTION("""COMPUTED_VALUE"""),"No")</f>
        <v>No</v>
      </c>
      <c r="AA1678" s="5"/>
      <c r="AB1678" s="5" t="str">
        <f ca="1">IFERROR(__xludf.DUMMYFUNCTION("""COMPUTED_VALUE"""),"No")</f>
        <v>No</v>
      </c>
      <c r="AC1678" s="5" t="str">
        <f ca="1">IFERROR(__xludf.DUMMYFUNCTION("""COMPUTED_VALUE"""),"No")</f>
        <v>No</v>
      </c>
      <c r="AD1678" s="5" t="str">
        <f ca="1">IFERROR(__xludf.DUMMYFUNCTION("""COMPUTED_VALUE"""),"No")</f>
        <v>No</v>
      </c>
      <c r="AE1678" s="5" t="str">
        <f ca="1">IFERROR(__xludf.DUMMYFUNCTION("""COMPUTED_VALUE"""),"No")</f>
        <v>No</v>
      </c>
      <c r="AF1678" s="5" t="str">
        <f ca="1">IFERROR(__xludf.DUMMYFUNCTION("""COMPUTED_VALUE"""),"No")</f>
        <v>No</v>
      </c>
      <c r="AG1678" s="5" t="str">
        <f ca="1">IFERROR(__xludf.DUMMYFUNCTION("""COMPUTED_VALUE"""),"No")</f>
        <v>No</v>
      </c>
      <c r="AH1678" s="5"/>
    </row>
    <row r="1679" spans="1:34" ht="12.75">
      <c r="A1679" s="5" t="str">
        <f ca="1">IFERROR(__xludf.DUMMYFUNCTION("""COMPUTED_VALUE"""),"19911004CAROL")</f>
        <v>19911004CAROL</v>
      </c>
      <c r="B1679" s="8">
        <f ca="1">IFERROR(__xludf.DUMMYFUNCTION("""COMPUTED_VALUE"""),33515)</f>
        <v>33515</v>
      </c>
      <c r="C1679" s="5" t="str">
        <f ca="1">IFERROR(__xludf.DUMMYFUNCTION("""COMPUTED_VALUE"""),"Roosevelt High School")</f>
        <v>Roosevelt High School</v>
      </c>
      <c r="D1679" s="5">
        <f ca="1">IFERROR(__xludf.DUMMYFUNCTION("""COMPUTED_VALUE"""),0)</f>
        <v>0</v>
      </c>
      <c r="E1679" s="5">
        <f ca="1">IFERROR(__xludf.DUMMYFUNCTION("""COMPUTED_VALUE"""),0)</f>
        <v>0</v>
      </c>
      <c r="F1679" s="5">
        <f ca="1">IFERROR(__xludf.DUMMYFUNCTION("""COMPUTED_VALUE"""),0)</f>
        <v>0</v>
      </c>
      <c r="G1679" s="5">
        <f ca="1">IFERROR(__xludf.DUMMYFUNCTION("""COMPUTED_VALUE"""),0)</f>
        <v>0</v>
      </c>
      <c r="H1679" s="9" t="str">
        <f ca="1">IFERROR(__xludf.DUMMYFUNCTION("""COMPUTED_VALUE"""),"https://www.newspapers.com/image/176460783/?terms=Dorsey%2BHigh%2BSchool%2Bshooting")</f>
        <v>https://www.newspapers.com/image/176460783/?terms=Dorsey%2BHigh%2BSchool%2Bshooting</v>
      </c>
      <c r="I1679" s="5"/>
      <c r="J1679" s="5"/>
      <c r="K1679" s="5">
        <f ca="1">IFERROR(__xludf.DUMMYFUNCTION("""COMPUTED_VALUE"""),2)</f>
        <v>2</v>
      </c>
      <c r="L1679" s="5" t="str">
        <f ca="1">IFERROR(__xludf.DUMMYFUNCTION("""COMPUTED_VALUE"""),"Fall")</f>
        <v>Fall</v>
      </c>
      <c r="M1679" s="5" t="str">
        <f ca="1">IFERROR(__xludf.DUMMYFUNCTION("""COMPUTED_VALUE"""),"Los Angeles")</f>
        <v>Los Angeles</v>
      </c>
      <c r="N1679" s="5" t="str">
        <f ca="1">IFERROR(__xludf.DUMMYFUNCTION("""COMPUTED_VALUE"""),"CA")</f>
        <v>CA</v>
      </c>
      <c r="O1679" s="5" t="str">
        <f ca="1">IFERROR(__xludf.DUMMYFUNCTION("""COMPUTED_VALUE"""),"High")</f>
        <v>High</v>
      </c>
      <c r="P1679" s="5" t="str">
        <f ca="1">IFERROR(__xludf.DUMMYFUNCTION("""COMPUTED_VALUE"""),"Football Field/Track")</f>
        <v>Football Field/Track</v>
      </c>
      <c r="Q1679" s="5" t="str">
        <f ca="1">IFERROR(__xludf.DUMMYFUNCTION("""COMPUTED_VALUE"""),"Outside on School Property")</f>
        <v>Outside on School Property</v>
      </c>
      <c r="R1679" s="5" t="str">
        <f ca="1">IFERROR(__xludf.DUMMYFUNCTION("""COMPUTED_VALUE"""),"No")</f>
        <v>No</v>
      </c>
      <c r="S1679" s="5" t="str">
        <f ca="1">IFERROR(__xludf.DUMMYFUNCTION("""COMPUTED_VALUE"""),"Sport Event")</f>
        <v>Sport Event</v>
      </c>
      <c r="T1679" s="5"/>
      <c r="U1679" s="5">
        <f ca="1">IFERROR(__xludf.DUMMYFUNCTION("""COMPUTED_VALUE"""),1)</f>
        <v>1</v>
      </c>
      <c r="V1679" s="5" t="str">
        <f ca="1">IFERROR(__xludf.DUMMYFUNCTION("""COMPUTED_VALUE"""),"Shooting at football game between rival teams")</f>
        <v>Shooting at football game between rival teams</v>
      </c>
      <c r="W1679" s="5" t="str">
        <f ca="1">IFERROR(__xludf.DUMMYFUNCTION("""COMPUTED_VALUE"""),"Shots fired during fight between fans of rival schools. Game had to be stopped. No injuries reported.")</f>
        <v>Shots fired during fight between fans of rival schools. Game had to be stopped. No injuries reported.</v>
      </c>
      <c r="X1679" s="5" t="str">
        <f ca="1">IFERROR(__xludf.DUMMYFUNCTION("""COMPUTED_VALUE"""),"Escalation of Dispute")</f>
        <v>Escalation of Dispute</v>
      </c>
      <c r="Y1679" s="5"/>
      <c r="Z1679" s="5" t="str">
        <f ca="1">IFERROR(__xludf.DUMMYFUNCTION("""COMPUTED_VALUE"""),"No")</f>
        <v>No</v>
      </c>
      <c r="AA1679" s="5"/>
      <c r="AB1679" s="5" t="str">
        <f ca="1">IFERROR(__xludf.DUMMYFUNCTION("""COMPUTED_VALUE"""),"No")</f>
        <v>No</v>
      </c>
      <c r="AC1679" s="5" t="str">
        <f ca="1">IFERROR(__xludf.DUMMYFUNCTION("""COMPUTED_VALUE"""),"No")</f>
        <v>No</v>
      </c>
      <c r="AD1679" s="5" t="str">
        <f ca="1">IFERROR(__xludf.DUMMYFUNCTION("""COMPUTED_VALUE"""),"No")</f>
        <v>No</v>
      </c>
      <c r="AE1679" s="5" t="str">
        <f ca="1">IFERROR(__xludf.DUMMYFUNCTION("""COMPUTED_VALUE"""),"No")</f>
        <v>No</v>
      </c>
      <c r="AF1679" s="5" t="str">
        <f ca="1">IFERROR(__xludf.DUMMYFUNCTION("""COMPUTED_VALUE"""),"No")</f>
        <v>No</v>
      </c>
      <c r="AG1679" s="5" t="str">
        <f ca="1">IFERROR(__xludf.DUMMYFUNCTION("""COMPUTED_VALUE"""),"Yes")</f>
        <v>Yes</v>
      </c>
      <c r="AH1679" s="5"/>
    </row>
    <row r="1680" spans="1:34" ht="12.75">
      <c r="A1680" s="5" t="str">
        <f ca="1">IFERROR(__xludf.DUMMYFUNCTION("""COMPUTED_VALUE"""),"19911004CADOL")</f>
        <v>19911004CADOL</v>
      </c>
      <c r="B1680" s="8">
        <f ca="1">IFERROR(__xludf.DUMMYFUNCTION("""COMPUTED_VALUE"""),33515)</f>
        <v>33515</v>
      </c>
      <c r="C1680" s="5" t="str">
        <f ca="1">IFERROR(__xludf.DUMMYFUNCTION("""COMPUTED_VALUE"""),"Dorsey High School")</f>
        <v>Dorsey High School</v>
      </c>
      <c r="D1680" s="5">
        <f ca="1">IFERROR(__xludf.DUMMYFUNCTION("""COMPUTED_VALUE"""),0)</f>
        <v>0</v>
      </c>
      <c r="E1680" s="5">
        <f ca="1">IFERROR(__xludf.DUMMYFUNCTION("""COMPUTED_VALUE"""),2)</f>
        <v>2</v>
      </c>
      <c r="F1680" s="5">
        <f ca="1">IFERROR(__xludf.DUMMYFUNCTION("""COMPUTED_VALUE"""),2)</f>
        <v>2</v>
      </c>
      <c r="G1680" s="5">
        <f ca="1">IFERROR(__xludf.DUMMYFUNCTION("""COMPUTED_VALUE"""),0)</f>
        <v>0</v>
      </c>
      <c r="H1680" s="9" t="str">
        <f ca="1">IFERROR(__xludf.DUMMYFUNCTION("""COMPUTED_VALUE"""),"https://www.newspapers.com/image/176460783/?terms=Dorsey%2BHigh%2BSchool%2Bshooting")</f>
        <v>https://www.newspapers.com/image/176460783/?terms=Dorsey%2BHigh%2BSchool%2Bshooting</v>
      </c>
      <c r="I1680" s="5"/>
      <c r="J1680" s="5"/>
      <c r="K1680" s="5">
        <f ca="1">IFERROR(__xludf.DUMMYFUNCTION("""COMPUTED_VALUE"""),2)</f>
        <v>2</v>
      </c>
      <c r="L1680" s="5" t="str">
        <f ca="1">IFERROR(__xludf.DUMMYFUNCTION("""COMPUTED_VALUE"""),"Fall")</f>
        <v>Fall</v>
      </c>
      <c r="M1680" s="5" t="str">
        <f ca="1">IFERROR(__xludf.DUMMYFUNCTION("""COMPUTED_VALUE"""),"Los Angeles")</f>
        <v>Los Angeles</v>
      </c>
      <c r="N1680" s="5" t="str">
        <f ca="1">IFERROR(__xludf.DUMMYFUNCTION("""COMPUTED_VALUE"""),"CA")</f>
        <v>CA</v>
      </c>
      <c r="O1680" s="5" t="str">
        <f ca="1">IFERROR(__xludf.DUMMYFUNCTION("""COMPUTED_VALUE"""),"High")</f>
        <v>High</v>
      </c>
      <c r="P1680" s="5" t="str">
        <f ca="1">IFERROR(__xludf.DUMMYFUNCTION("""COMPUTED_VALUE"""),"Football Field/Track")</f>
        <v>Football Field/Track</v>
      </c>
      <c r="Q1680" s="5" t="str">
        <f ca="1">IFERROR(__xludf.DUMMYFUNCTION("""COMPUTED_VALUE"""),"Outside on School Property")</f>
        <v>Outside on School Property</v>
      </c>
      <c r="R1680" s="5" t="str">
        <f ca="1">IFERROR(__xludf.DUMMYFUNCTION("""COMPUTED_VALUE"""),"No")</f>
        <v>No</v>
      </c>
      <c r="S1680" s="5" t="str">
        <f ca="1">IFERROR(__xludf.DUMMYFUNCTION("""COMPUTED_VALUE"""),"Sport Event")</f>
        <v>Sport Event</v>
      </c>
      <c r="T1680" s="10">
        <f ca="1">IFERROR(__xludf.DUMMYFUNCTION("""COMPUTED_VALUE"""),0.727083333333333)</f>
        <v>0.72708333333333297</v>
      </c>
      <c r="U1680" s="5">
        <f ca="1">IFERROR(__xludf.DUMMYFUNCTION("""COMPUTED_VALUE"""),3)</f>
        <v>3</v>
      </c>
      <c r="V1680" s="5" t="str">
        <f ca="1">IFERROR(__xludf.DUMMYFUNCTION("""COMPUTED_VALUE"""),"Shooting between 15-20 rival gang members at football game")</f>
        <v>Shooting between 15-20 rival gang members at football game</v>
      </c>
      <c r="W1680"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X1680" s="5" t="str">
        <f ca="1">IFERROR(__xludf.DUMMYFUNCTION("""COMPUTED_VALUE"""),"Escalation of Dispute")</f>
        <v>Escalation of Dispute</v>
      </c>
      <c r="Y1680" s="5" t="str">
        <f ca="1">IFERROR(__xludf.DUMMYFUNCTION("""COMPUTED_VALUE"""),"Random Shooting")</f>
        <v>Random Shooting</v>
      </c>
      <c r="Z1680" s="5" t="str">
        <f ca="1">IFERROR(__xludf.DUMMYFUNCTION("""COMPUTED_VALUE"""),"No")</f>
        <v>No</v>
      </c>
      <c r="AA1680" s="5"/>
      <c r="AB1680" s="5" t="str">
        <f ca="1">IFERROR(__xludf.DUMMYFUNCTION("""COMPUTED_VALUE"""),"No")</f>
        <v>No</v>
      </c>
      <c r="AC1680" s="5" t="str">
        <f ca="1">IFERROR(__xludf.DUMMYFUNCTION("""COMPUTED_VALUE"""),"No")</f>
        <v>No</v>
      </c>
      <c r="AD1680" s="5" t="str">
        <f ca="1">IFERROR(__xludf.DUMMYFUNCTION("""COMPUTED_VALUE"""),"No")</f>
        <v>No</v>
      </c>
      <c r="AE1680" s="5" t="str">
        <f ca="1">IFERROR(__xludf.DUMMYFUNCTION("""COMPUTED_VALUE"""),"No")</f>
        <v>No</v>
      </c>
      <c r="AF1680" s="5" t="str">
        <f ca="1">IFERROR(__xludf.DUMMYFUNCTION("""COMPUTED_VALUE"""),"No")</f>
        <v>No</v>
      </c>
      <c r="AG1680" s="5" t="str">
        <f ca="1">IFERROR(__xludf.DUMMYFUNCTION("""COMPUTED_VALUE"""),"Yes")</f>
        <v>Yes</v>
      </c>
      <c r="AH1680" s="5"/>
    </row>
    <row r="1681" spans="1:34" ht="12.75">
      <c r="A1681" s="5" t="str">
        <f ca="1">IFERROR(__xludf.DUMMYFUNCTION("""COMPUTED_VALUE"""),"19911002TXSPH")</f>
        <v>19911002TXSPH</v>
      </c>
      <c r="B1681" s="8">
        <f ca="1">IFERROR(__xludf.DUMMYFUNCTION("""COMPUTED_VALUE"""),33513)</f>
        <v>33513</v>
      </c>
      <c r="C1681" s="5" t="str">
        <f ca="1">IFERROR(__xludf.DUMMYFUNCTION("""COMPUTED_VALUE"""),"Spring Woods High School (bus)")</f>
        <v>Spring Woods High School (bus)</v>
      </c>
      <c r="D1681" s="5">
        <f ca="1">IFERROR(__xludf.DUMMYFUNCTION("""COMPUTED_VALUE"""),0)</f>
        <v>0</v>
      </c>
      <c r="E1681" s="5">
        <f ca="1">IFERROR(__xludf.DUMMYFUNCTION("""COMPUTED_VALUE"""),1)</f>
        <v>1</v>
      </c>
      <c r="F1681" s="5">
        <f ca="1">IFERROR(__xludf.DUMMYFUNCTION("""COMPUTED_VALUE"""),1)</f>
        <v>1</v>
      </c>
      <c r="G1681" s="5">
        <f ca="1">IFERROR(__xludf.DUMMYFUNCTION("""COMPUTED_VALUE"""),0)</f>
        <v>0</v>
      </c>
      <c r="H1681"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I1681" s="5"/>
      <c r="J1681" s="5"/>
      <c r="K1681" s="5">
        <f ca="1">IFERROR(__xludf.DUMMYFUNCTION("""COMPUTED_VALUE"""),1)</f>
        <v>1</v>
      </c>
      <c r="L1681" s="5" t="str">
        <f ca="1">IFERROR(__xludf.DUMMYFUNCTION("""COMPUTED_VALUE"""),"Fall")</f>
        <v>Fall</v>
      </c>
      <c r="M1681" s="5" t="str">
        <f ca="1">IFERROR(__xludf.DUMMYFUNCTION("""COMPUTED_VALUE"""),"Houston")</f>
        <v>Houston</v>
      </c>
      <c r="N1681" s="5" t="str">
        <f ca="1">IFERROR(__xludf.DUMMYFUNCTION("""COMPUTED_VALUE"""),"TX")</f>
        <v>TX</v>
      </c>
      <c r="O1681" s="5" t="str">
        <f ca="1">IFERROR(__xludf.DUMMYFUNCTION("""COMPUTED_VALUE"""),"High")</f>
        <v>High</v>
      </c>
      <c r="P1681" s="5" t="str">
        <f ca="1">IFERROR(__xludf.DUMMYFUNCTION("""COMPUTED_VALUE"""),"School Bus")</f>
        <v>School Bus</v>
      </c>
      <c r="Q1681" s="5" t="str">
        <f ca="1">IFERROR(__xludf.DUMMYFUNCTION("""COMPUTED_VALUE"""),"School Bus")</f>
        <v>School Bus</v>
      </c>
      <c r="R1681" s="5" t="str">
        <f ca="1">IFERROR(__xludf.DUMMYFUNCTION("""COMPUTED_VALUE"""),"No")</f>
        <v>No</v>
      </c>
      <c r="S1681" s="5" t="str">
        <f ca="1">IFERROR(__xludf.DUMMYFUNCTION("""COMPUTED_VALUE"""),"Before School")</f>
        <v>Before School</v>
      </c>
      <c r="T1681" s="10">
        <f ca="1">IFERROR(__xludf.DUMMYFUNCTION("""COMPUTED_VALUE"""),0.301388888888888)</f>
        <v>0.30138888888888798</v>
      </c>
      <c r="U1681" s="5">
        <f ca="1">IFERROR(__xludf.DUMMYFUNCTION("""COMPUTED_VALUE"""),1)</f>
        <v>1</v>
      </c>
      <c r="V1681" s="5" t="str">
        <f ca="1">IFERROR(__xludf.DUMMYFUNCTION("""COMPUTED_VALUE"""),"Accidental while showing off gun")</f>
        <v>Accidental while showing off gun</v>
      </c>
      <c r="W1681"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X1681" s="5" t="str">
        <f ca="1">IFERROR(__xludf.DUMMYFUNCTION("""COMPUTED_VALUE"""),"Accidental")</f>
        <v>Accidental</v>
      </c>
      <c r="Y1681" s="5" t="str">
        <f ca="1">IFERROR(__xludf.DUMMYFUNCTION("""COMPUTED_VALUE"""),"Random Shooting")</f>
        <v>Random Shooting</v>
      </c>
      <c r="Z1681" s="5" t="str">
        <f ca="1">IFERROR(__xludf.DUMMYFUNCTION("""COMPUTED_VALUE"""),"No")</f>
        <v>No</v>
      </c>
      <c r="AA1681" s="5"/>
      <c r="AB1681" s="5" t="str">
        <f ca="1">IFERROR(__xludf.DUMMYFUNCTION("""COMPUTED_VALUE"""),"No")</f>
        <v>No</v>
      </c>
      <c r="AC1681" s="5" t="str">
        <f ca="1">IFERROR(__xludf.DUMMYFUNCTION("""COMPUTED_VALUE"""),"No")</f>
        <v>No</v>
      </c>
      <c r="AD1681" s="5" t="str">
        <f ca="1">IFERROR(__xludf.DUMMYFUNCTION("""COMPUTED_VALUE"""),"No")</f>
        <v>No</v>
      </c>
      <c r="AE1681" s="5" t="str">
        <f ca="1">IFERROR(__xludf.DUMMYFUNCTION("""COMPUTED_VALUE"""),"No")</f>
        <v>No</v>
      </c>
      <c r="AF1681" s="5" t="str">
        <f ca="1">IFERROR(__xludf.DUMMYFUNCTION("""COMPUTED_VALUE"""),"No")</f>
        <v>No</v>
      </c>
      <c r="AG1681" s="5" t="str">
        <f ca="1">IFERROR(__xludf.DUMMYFUNCTION("""COMPUTED_VALUE"""),"No")</f>
        <v>No</v>
      </c>
      <c r="AH1681" s="5"/>
    </row>
    <row r="1682" spans="1:34" ht="12.75">
      <c r="A1682" s="5" t="str">
        <f ca="1">IFERROR(__xludf.DUMMYFUNCTION("""COMPUTED_VALUE"""),"19910918TXCRC")</f>
        <v>19910918TXCRC</v>
      </c>
      <c r="B1682" s="8">
        <f ca="1">IFERROR(__xludf.DUMMYFUNCTION("""COMPUTED_VALUE"""),33499)</f>
        <v>33499</v>
      </c>
      <c r="C1682" s="5" t="str">
        <f ca="1">IFERROR(__xludf.DUMMYFUNCTION("""COMPUTED_VALUE"""),"Crosby High School")</f>
        <v>Crosby High School</v>
      </c>
      <c r="D1682" s="5">
        <f ca="1">IFERROR(__xludf.DUMMYFUNCTION("""COMPUTED_VALUE"""),1)</f>
        <v>1</v>
      </c>
      <c r="E1682" s="5">
        <f ca="1">IFERROR(__xludf.DUMMYFUNCTION("""COMPUTED_VALUE"""),0)</f>
        <v>0</v>
      </c>
      <c r="F1682" s="5">
        <f ca="1">IFERROR(__xludf.DUMMYFUNCTION("""COMPUTED_VALUE"""),1)</f>
        <v>1</v>
      </c>
      <c r="G1682" s="5">
        <f ca="1">IFERROR(__xludf.DUMMYFUNCTION("""COMPUTED_VALUE"""),0)</f>
        <v>0</v>
      </c>
      <c r="H1682"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I1682" s="5"/>
      <c r="J1682" s="5"/>
      <c r="K1682" s="5">
        <f ca="1">IFERROR(__xludf.DUMMYFUNCTION("""COMPUTED_VALUE"""),3)</f>
        <v>3</v>
      </c>
      <c r="L1682" s="5" t="str">
        <f ca="1">IFERROR(__xludf.DUMMYFUNCTION("""COMPUTED_VALUE"""),"Fall")</f>
        <v>Fall</v>
      </c>
      <c r="M1682" s="5" t="str">
        <f ca="1">IFERROR(__xludf.DUMMYFUNCTION("""COMPUTED_VALUE"""),"Crosby")</f>
        <v>Crosby</v>
      </c>
      <c r="N1682" s="5" t="str">
        <f ca="1">IFERROR(__xludf.DUMMYFUNCTION("""COMPUTED_VALUE"""),"TX")</f>
        <v>TX</v>
      </c>
      <c r="O1682" s="5" t="str">
        <f ca="1">IFERROR(__xludf.DUMMYFUNCTION("""COMPUTED_VALUE"""),"High")</f>
        <v>High</v>
      </c>
      <c r="P1682" s="5" t="str">
        <f ca="1">IFERROR(__xludf.DUMMYFUNCTION("""COMPUTED_VALUE"""),"Cafeteria")</f>
        <v>Cafeteria</v>
      </c>
      <c r="Q1682" s="5" t="str">
        <f ca="1">IFERROR(__xludf.DUMMYFUNCTION("""COMPUTED_VALUE"""),"Inside School Building")</f>
        <v>Inside School Building</v>
      </c>
      <c r="R1682" s="5" t="str">
        <f ca="1">IFERROR(__xludf.DUMMYFUNCTION("""COMPUTED_VALUE"""),"Yes")</f>
        <v>Yes</v>
      </c>
      <c r="S1682" s="5" t="str">
        <f ca="1">IFERROR(__xludf.DUMMYFUNCTION("""COMPUTED_VALUE"""),"School Start")</f>
        <v>School Start</v>
      </c>
      <c r="T1682" s="5"/>
      <c r="U1682" s="5">
        <f ca="1">IFERROR(__xludf.DUMMYFUNCTION("""COMPUTED_VALUE"""),1)</f>
        <v>1</v>
      </c>
      <c r="V1682" s="5" t="str">
        <f ca="1">IFERROR(__xludf.DUMMYFUNCTION("""COMPUTED_VALUE"""),"Victim insulted shooter in cafeteria")</f>
        <v>Victim insulted shooter in cafeteria</v>
      </c>
      <c r="W1682"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X1682" s="5" t="str">
        <f ca="1">IFERROR(__xludf.DUMMYFUNCTION("""COMPUTED_VALUE"""),"Escalation of Dispute")</f>
        <v>Escalation of Dispute</v>
      </c>
      <c r="Y1682" s="5" t="str">
        <f ca="1">IFERROR(__xludf.DUMMYFUNCTION("""COMPUTED_VALUE"""),"Victims Targeted")</f>
        <v>Victims Targeted</v>
      </c>
      <c r="Z1682" s="5" t="str">
        <f ca="1">IFERROR(__xludf.DUMMYFUNCTION("""COMPUTED_VALUE"""),"No")</f>
        <v>No</v>
      </c>
      <c r="AA1682" s="5"/>
      <c r="AB1682" s="5" t="str">
        <f ca="1">IFERROR(__xludf.DUMMYFUNCTION("""COMPUTED_VALUE"""),"No")</f>
        <v>No</v>
      </c>
      <c r="AC1682" s="5" t="str">
        <f ca="1">IFERROR(__xludf.DUMMYFUNCTION("""COMPUTED_VALUE"""),"No")</f>
        <v>No</v>
      </c>
      <c r="AD1682" s="5" t="str">
        <f ca="1">IFERROR(__xludf.DUMMYFUNCTION("""COMPUTED_VALUE"""),"No")</f>
        <v>No</v>
      </c>
      <c r="AE1682" s="5" t="str">
        <f ca="1">IFERROR(__xludf.DUMMYFUNCTION("""COMPUTED_VALUE"""),"No")</f>
        <v>No</v>
      </c>
      <c r="AF1682" s="5" t="str">
        <f ca="1">IFERROR(__xludf.DUMMYFUNCTION("""COMPUTED_VALUE"""),"No")</f>
        <v>No</v>
      </c>
      <c r="AG1682" s="5" t="str">
        <f ca="1">IFERROR(__xludf.DUMMYFUNCTION("""COMPUTED_VALUE"""),"No")</f>
        <v>No</v>
      </c>
      <c r="AH1682" s="5"/>
    </row>
    <row r="1683" spans="1:34" ht="12.75">
      <c r="A1683" s="5" t="str">
        <f ca="1">IFERROR(__xludf.DUMMYFUNCTION("""COMPUTED_VALUE"""),"19910917ILWOC")</f>
        <v>19910917ILWOC</v>
      </c>
      <c r="B1683" s="8">
        <f ca="1">IFERROR(__xludf.DUMMYFUNCTION("""COMPUTED_VALUE"""),33498)</f>
        <v>33498</v>
      </c>
      <c r="C1683" s="5" t="str">
        <f ca="1">IFERROR(__xludf.DUMMYFUNCTION("""COMPUTED_VALUE"""),"Woodson High School")</f>
        <v>Woodson High School</v>
      </c>
      <c r="D1683" s="5">
        <f ca="1">IFERROR(__xludf.DUMMYFUNCTION("""COMPUTED_VALUE"""),0)</f>
        <v>0</v>
      </c>
      <c r="E1683" s="5">
        <f ca="1">IFERROR(__xludf.DUMMYFUNCTION("""COMPUTED_VALUE"""),1)</f>
        <v>1</v>
      </c>
      <c r="F1683" s="5">
        <f ca="1">IFERROR(__xludf.DUMMYFUNCTION("""COMPUTED_VALUE"""),1)</f>
        <v>1</v>
      </c>
      <c r="G1683" s="5">
        <f ca="1">IFERROR(__xludf.DUMMYFUNCTION("""COMPUTED_VALUE"""),0)</f>
        <v>0</v>
      </c>
      <c r="H1683" s="9" t="str">
        <f ca="1">IFERROR(__xludf.DUMMYFUNCTION("""COMPUTED_VALUE"""),"https://www.newspapers.com/image/389496363/?terms=Woodson%2BHigh%2BSchool%2Bshooting")</f>
        <v>https://www.newspapers.com/image/389496363/?terms=Woodson%2BHigh%2BSchool%2Bshooting</v>
      </c>
      <c r="I1683" s="5"/>
      <c r="J1683" s="5"/>
      <c r="K1683" s="5">
        <f ca="1">IFERROR(__xludf.DUMMYFUNCTION("""COMPUTED_VALUE"""),2)</f>
        <v>2</v>
      </c>
      <c r="L1683" s="5" t="str">
        <f ca="1">IFERROR(__xludf.DUMMYFUNCTION("""COMPUTED_VALUE"""),"Fall")</f>
        <v>Fall</v>
      </c>
      <c r="M1683" s="5" t="str">
        <f ca="1">IFERROR(__xludf.DUMMYFUNCTION("""COMPUTED_VALUE"""),"Chicago")</f>
        <v>Chicago</v>
      </c>
      <c r="N1683" s="5" t="str">
        <f ca="1">IFERROR(__xludf.DUMMYFUNCTION("""COMPUTED_VALUE"""),"IL")</f>
        <v>IL</v>
      </c>
      <c r="O1683" s="5" t="str">
        <f ca="1">IFERROR(__xludf.DUMMYFUNCTION("""COMPUTED_VALUE"""),"High")</f>
        <v>High</v>
      </c>
      <c r="P1683" s="5" t="str">
        <f ca="1">IFERROR(__xludf.DUMMYFUNCTION("""COMPUTED_VALUE"""),"Gym")</f>
        <v>Gym</v>
      </c>
      <c r="Q1683" s="5" t="str">
        <f ca="1">IFERROR(__xludf.DUMMYFUNCTION("""COMPUTED_VALUE"""),"Inside School Building")</f>
        <v>Inside School Building</v>
      </c>
      <c r="R1683" s="5" t="str">
        <f ca="1">IFERROR(__xludf.DUMMYFUNCTION("""COMPUTED_VALUE"""),"No")</f>
        <v>No</v>
      </c>
      <c r="S1683" s="5" t="str">
        <f ca="1">IFERROR(__xludf.DUMMYFUNCTION("""COMPUTED_VALUE"""),"After School")</f>
        <v>After School</v>
      </c>
      <c r="T1683" s="10">
        <f ca="1">IFERROR(__xludf.DUMMYFUNCTION("""COMPUTED_VALUE"""),0.708333333333333)</f>
        <v>0.70833333333333304</v>
      </c>
      <c r="U1683" s="5">
        <f ca="1">IFERROR(__xludf.DUMMYFUNCTION("""COMPUTED_VALUE"""),1)</f>
        <v>1</v>
      </c>
      <c r="V1683" s="5" t="str">
        <f ca="1">IFERROR(__xludf.DUMMYFUNCTION("""COMPUTED_VALUE"""),"Shooter fired crowd during basketball game in retaliation for previous gang shooting")</f>
        <v>Shooter fired crowd during basketball game in retaliation for previous gang shooting</v>
      </c>
      <c r="W1683"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X1683" s="5" t="str">
        <f ca="1">IFERROR(__xludf.DUMMYFUNCTION("""COMPUTED_VALUE"""),"Indiscriminate Shooting")</f>
        <v>Indiscriminate Shooting</v>
      </c>
      <c r="Y1683" s="5" t="str">
        <f ca="1">IFERROR(__xludf.DUMMYFUNCTION("""COMPUTED_VALUE"""),"Random Shooting")</f>
        <v>Random Shooting</v>
      </c>
      <c r="Z1683" s="5" t="str">
        <f ca="1">IFERROR(__xludf.DUMMYFUNCTION("""COMPUTED_VALUE"""),"No")</f>
        <v>No</v>
      </c>
      <c r="AA1683" s="5"/>
      <c r="AB1683" s="5" t="str">
        <f ca="1">IFERROR(__xludf.DUMMYFUNCTION("""COMPUTED_VALUE"""),"No")</f>
        <v>No</v>
      </c>
      <c r="AC1683" s="5" t="str">
        <f ca="1">IFERROR(__xludf.DUMMYFUNCTION("""COMPUTED_VALUE"""),"No")</f>
        <v>No</v>
      </c>
      <c r="AD1683" s="5" t="str">
        <f ca="1">IFERROR(__xludf.DUMMYFUNCTION("""COMPUTED_VALUE"""),"No")</f>
        <v>No</v>
      </c>
      <c r="AE1683" s="5" t="str">
        <f ca="1">IFERROR(__xludf.DUMMYFUNCTION("""COMPUTED_VALUE"""),"No")</f>
        <v>No</v>
      </c>
      <c r="AF1683" s="5" t="str">
        <f ca="1">IFERROR(__xludf.DUMMYFUNCTION("""COMPUTED_VALUE"""),"No")</f>
        <v>No</v>
      </c>
      <c r="AG1683" s="5" t="str">
        <f ca="1">IFERROR(__xludf.DUMMYFUNCTION("""COMPUTED_VALUE"""),"Yes")</f>
        <v>Yes</v>
      </c>
      <c r="AH1683" s="5"/>
    </row>
    <row r="1684" spans="1:34" ht="12.75">
      <c r="A1684" s="5" t="str">
        <f ca="1">IFERROR(__xludf.DUMMYFUNCTION("""COMPUTED_VALUE"""),"19910913TXMAH")</f>
        <v>19910913TXMAH</v>
      </c>
      <c r="B1684" s="8">
        <f ca="1">IFERROR(__xludf.DUMMYFUNCTION("""COMPUTED_VALUE"""),33494)</f>
        <v>33494</v>
      </c>
      <c r="C1684" s="5" t="str">
        <f ca="1">IFERROR(__xludf.DUMMYFUNCTION("""COMPUTED_VALUE"""),"Madison High School")</f>
        <v>Madison High School</v>
      </c>
      <c r="D1684" s="5">
        <f ca="1">IFERROR(__xludf.DUMMYFUNCTION("""COMPUTED_VALUE"""),1)</f>
        <v>1</v>
      </c>
      <c r="E1684" s="5">
        <f ca="1">IFERROR(__xludf.DUMMYFUNCTION("""COMPUTED_VALUE"""),0)</f>
        <v>0</v>
      </c>
      <c r="F1684" s="5">
        <f ca="1">IFERROR(__xludf.DUMMYFUNCTION("""COMPUTED_VALUE"""),1)</f>
        <v>1</v>
      </c>
      <c r="G1684" s="5">
        <f ca="1">IFERROR(__xludf.DUMMYFUNCTION("""COMPUTED_VALUE"""),0)</f>
        <v>0</v>
      </c>
      <c r="H1684" s="9" t="str">
        <f ca="1">IFERROR(__xludf.DUMMYFUNCTION("""COMPUTED_VALUE"""),"https://www.newspapers.com/image/300249662/?terms=Madison%2BHigh%2BSchool%2Bshooting%2Bhouston")</f>
        <v>https://www.newspapers.com/image/300249662/?terms=Madison%2BHigh%2BSchool%2Bshooting%2Bhouston</v>
      </c>
      <c r="I1684" s="5"/>
      <c r="J1684" s="5"/>
      <c r="K1684" s="5">
        <f ca="1">IFERROR(__xludf.DUMMYFUNCTION("""COMPUTED_VALUE"""),2)</f>
        <v>2</v>
      </c>
      <c r="L1684" s="5" t="str">
        <f ca="1">IFERROR(__xludf.DUMMYFUNCTION("""COMPUTED_VALUE"""),"Fall")</f>
        <v>Fall</v>
      </c>
      <c r="M1684" s="5" t="str">
        <f ca="1">IFERROR(__xludf.DUMMYFUNCTION("""COMPUTED_VALUE"""),"Houston")</f>
        <v>Houston</v>
      </c>
      <c r="N1684" s="5" t="str">
        <f ca="1">IFERROR(__xludf.DUMMYFUNCTION("""COMPUTED_VALUE"""),"TX")</f>
        <v>TX</v>
      </c>
      <c r="O1684" s="5" t="str">
        <f ca="1">IFERROR(__xludf.DUMMYFUNCTION("""COMPUTED_VALUE"""),"High")</f>
        <v>High</v>
      </c>
      <c r="P1684" s="5" t="str">
        <f ca="1">IFERROR(__xludf.DUMMYFUNCTION("""COMPUTED_VALUE"""),"Parking Lot")</f>
        <v>Parking Lot</v>
      </c>
      <c r="Q1684" s="5" t="str">
        <f ca="1">IFERROR(__xludf.DUMMYFUNCTION("""COMPUTED_VALUE"""),"Outside on School Property")</f>
        <v>Outside on School Property</v>
      </c>
      <c r="R1684" s="5" t="str">
        <f ca="1">IFERROR(__xludf.DUMMYFUNCTION("""COMPUTED_VALUE"""),"No")</f>
        <v>No</v>
      </c>
      <c r="S1684" s="5" t="str">
        <f ca="1">IFERROR(__xludf.DUMMYFUNCTION("""COMPUTED_VALUE"""),"Sport Event")</f>
        <v>Sport Event</v>
      </c>
      <c r="T1684" s="10">
        <f ca="1">IFERROR(__xludf.DUMMYFUNCTION("""COMPUTED_VALUE"""),0.958333333333333)</f>
        <v>0.95833333333333304</v>
      </c>
      <c r="U1684" s="5">
        <f ca="1">IFERROR(__xludf.DUMMYFUNCTION("""COMPUTED_VALUE"""),1)</f>
        <v>1</v>
      </c>
      <c r="V1684" s="5" t="str">
        <f ca="1">IFERROR(__xludf.DUMMYFUNCTION("""COMPUTED_VALUE"""),"Shots fired during large fighter between rival football teams")</f>
        <v>Shots fired during large fighter between rival football teams</v>
      </c>
      <c r="W1684"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X1684" s="5" t="str">
        <f ca="1">IFERROR(__xludf.DUMMYFUNCTION("""COMPUTED_VALUE"""),"Escalation of Dispute")</f>
        <v>Escalation of Dispute</v>
      </c>
      <c r="Y1684" s="5" t="str">
        <f ca="1">IFERROR(__xludf.DUMMYFUNCTION("""COMPUTED_VALUE"""),"Random Shooting")</f>
        <v>Random Shooting</v>
      </c>
      <c r="Z1684" s="5" t="str">
        <f ca="1">IFERROR(__xludf.DUMMYFUNCTION("""COMPUTED_VALUE"""),"No")</f>
        <v>No</v>
      </c>
      <c r="AA1684" s="5"/>
      <c r="AB1684" s="5" t="str">
        <f ca="1">IFERROR(__xludf.DUMMYFUNCTION("""COMPUTED_VALUE"""),"No")</f>
        <v>No</v>
      </c>
      <c r="AC1684" s="5" t="str">
        <f ca="1">IFERROR(__xludf.DUMMYFUNCTION("""COMPUTED_VALUE"""),"No")</f>
        <v>No</v>
      </c>
      <c r="AD1684" s="5" t="str">
        <f ca="1">IFERROR(__xludf.DUMMYFUNCTION("""COMPUTED_VALUE"""),"No")</f>
        <v>No</v>
      </c>
      <c r="AE1684" s="5" t="str">
        <f ca="1">IFERROR(__xludf.DUMMYFUNCTION("""COMPUTED_VALUE"""),"No")</f>
        <v>No</v>
      </c>
      <c r="AF1684" s="5" t="str">
        <f ca="1">IFERROR(__xludf.DUMMYFUNCTION("""COMPUTED_VALUE"""),"No")</f>
        <v>No</v>
      </c>
      <c r="AG1684" s="5" t="str">
        <f ca="1">IFERROR(__xludf.DUMMYFUNCTION("""COMPUTED_VALUE"""),"Yes")</f>
        <v>Yes</v>
      </c>
      <c r="AH1684" s="5"/>
    </row>
    <row r="1685" spans="1:34" ht="12.75">
      <c r="A1685" s="5" t="str">
        <f ca="1">IFERROR(__xludf.DUMMYFUNCTION("""COMPUTED_VALUE"""),"19910730CAENC")</f>
        <v>19910730CAENC</v>
      </c>
      <c r="B1685" s="8">
        <f ca="1">IFERROR(__xludf.DUMMYFUNCTION("""COMPUTED_VALUE"""),33449)</f>
        <v>33449</v>
      </c>
      <c r="C1685" s="5" t="str">
        <f ca="1">IFERROR(__xludf.DUMMYFUNCTION("""COMPUTED_VALUE"""),"Enterprise Middle School")</f>
        <v>Enterprise Middle School</v>
      </c>
      <c r="D1685" s="5">
        <f ca="1">IFERROR(__xludf.DUMMYFUNCTION("""COMPUTED_VALUE"""),0)</f>
        <v>0</v>
      </c>
      <c r="E1685" s="5">
        <f ca="1">IFERROR(__xludf.DUMMYFUNCTION("""COMPUTED_VALUE"""),1)</f>
        <v>1</v>
      </c>
      <c r="F1685" s="5">
        <f ca="1">IFERROR(__xludf.DUMMYFUNCTION("""COMPUTED_VALUE"""),1)</f>
        <v>1</v>
      </c>
      <c r="G1685" s="5">
        <f ca="1">IFERROR(__xludf.DUMMYFUNCTION("""COMPUTED_VALUE"""),0)</f>
        <v>0</v>
      </c>
      <c r="H1685" s="9" t="str">
        <f ca="1">IFERROR(__xludf.DUMMYFUNCTION("""COMPUTED_VALUE"""),"https://www.newspapers.com/image/176991255/?terms=Enterprise%2BMiddle%2BSchool%2Bshot%2Bcompton")</f>
        <v>https://www.newspapers.com/image/176991255/?terms=Enterprise%2BMiddle%2BSchool%2Bshot%2Bcompton</v>
      </c>
      <c r="I1685" s="5"/>
      <c r="J1685" s="5"/>
      <c r="K1685" s="5">
        <f ca="1">IFERROR(__xludf.DUMMYFUNCTION("""COMPUTED_VALUE"""),2)</f>
        <v>2</v>
      </c>
      <c r="L1685" s="5" t="str">
        <f ca="1">IFERROR(__xludf.DUMMYFUNCTION("""COMPUTED_VALUE"""),"Summer")</f>
        <v>Summer</v>
      </c>
      <c r="M1685" s="5" t="str">
        <f ca="1">IFERROR(__xludf.DUMMYFUNCTION("""COMPUTED_VALUE"""),"Compton")</f>
        <v>Compton</v>
      </c>
      <c r="N1685" s="5" t="str">
        <f ca="1">IFERROR(__xludf.DUMMYFUNCTION("""COMPUTED_VALUE"""),"CA")</f>
        <v>CA</v>
      </c>
      <c r="O1685" s="5" t="str">
        <f ca="1">IFERROR(__xludf.DUMMYFUNCTION("""COMPUTED_VALUE"""),"Middle")</f>
        <v>Middle</v>
      </c>
      <c r="P1685" s="5" t="str">
        <f ca="1">IFERROR(__xludf.DUMMYFUNCTION("""COMPUTED_VALUE"""),"Hallway")</f>
        <v>Hallway</v>
      </c>
      <c r="Q1685" s="5" t="str">
        <f ca="1">IFERROR(__xludf.DUMMYFUNCTION("""COMPUTED_VALUE"""),"Inside School Building")</f>
        <v>Inside School Building</v>
      </c>
      <c r="R1685" s="5" t="str">
        <f ca="1">IFERROR(__xludf.DUMMYFUNCTION("""COMPUTED_VALUE"""),"Yes")</f>
        <v>Yes</v>
      </c>
      <c r="S1685" s="5" t="str">
        <f ca="1">IFERROR(__xludf.DUMMYFUNCTION("""COMPUTED_VALUE"""),"Afternoon Classes")</f>
        <v>Afternoon Classes</v>
      </c>
      <c r="T1685" s="5"/>
      <c r="U1685" s="5">
        <f ca="1">IFERROR(__xludf.DUMMYFUNCTION("""COMPUTED_VALUE"""),1)</f>
        <v>1</v>
      </c>
      <c r="V1685" s="5" t="str">
        <f ca="1">IFERROR(__xludf.DUMMYFUNCTION("""COMPUTED_VALUE"""),"Victim was beat and shot by two gang members in school")</f>
        <v>Victim was beat and shot by two gang members in school</v>
      </c>
      <c r="W1685" s="5" t="str">
        <f ca="1">IFERROR(__xludf.DUMMYFUNCTION("""COMPUTED_VALUE"""),"Victim and friend were challenge by two gang members to a fight. Victim was shot in the leg during the fight.")</f>
        <v>Victim and friend were challenge by two gang members to a fight. Victim was shot in the leg during the fight.</v>
      </c>
      <c r="X1685" s="5" t="str">
        <f ca="1">IFERROR(__xludf.DUMMYFUNCTION("""COMPUTED_VALUE"""),"Escalation of Dispute")</f>
        <v>Escalation of Dispute</v>
      </c>
      <c r="Y1685" s="5" t="str">
        <f ca="1">IFERROR(__xludf.DUMMYFUNCTION("""COMPUTED_VALUE"""),"Victims Targeted")</f>
        <v>Victims Targeted</v>
      </c>
      <c r="Z1685" s="5" t="str">
        <f ca="1">IFERROR(__xludf.DUMMYFUNCTION("""COMPUTED_VALUE"""),"No")</f>
        <v>No</v>
      </c>
      <c r="AA1685" s="5"/>
      <c r="AB1685" s="5" t="str">
        <f ca="1">IFERROR(__xludf.DUMMYFUNCTION("""COMPUTED_VALUE"""),"No")</f>
        <v>No</v>
      </c>
      <c r="AC1685" s="5" t="str">
        <f ca="1">IFERROR(__xludf.DUMMYFUNCTION("""COMPUTED_VALUE"""),"No")</f>
        <v>No</v>
      </c>
      <c r="AD1685" s="5" t="str">
        <f ca="1">IFERROR(__xludf.DUMMYFUNCTION("""COMPUTED_VALUE"""),"No")</f>
        <v>No</v>
      </c>
      <c r="AE1685" s="5" t="str">
        <f ca="1">IFERROR(__xludf.DUMMYFUNCTION("""COMPUTED_VALUE"""),"No")</f>
        <v>No</v>
      </c>
      <c r="AF1685" s="5" t="str">
        <f ca="1">IFERROR(__xludf.DUMMYFUNCTION("""COMPUTED_VALUE"""),"No")</f>
        <v>No</v>
      </c>
      <c r="AG1685" s="5" t="str">
        <f ca="1">IFERROR(__xludf.DUMMYFUNCTION("""COMPUTED_VALUE"""),"Yes")</f>
        <v>Yes</v>
      </c>
      <c r="AH1685" s="5"/>
    </row>
    <row r="1686" spans="1:34" ht="12.75">
      <c r="A1686" s="5" t="str">
        <f ca="1">IFERROR(__xludf.DUMMYFUNCTION("""COMPUTED_VALUE"""),"19910722CAWEL")</f>
        <v>19910722CAWEL</v>
      </c>
      <c r="B1686" s="8">
        <f ca="1">IFERROR(__xludf.DUMMYFUNCTION("""COMPUTED_VALUE"""),33441)</f>
        <v>33441</v>
      </c>
      <c r="C1686" s="5" t="str">
        <f ca="1">IFERROR(__xludf.DUMMYFUNCTION("""COMPUTED_VALUE"""),"Westchester High School")</f>
        <v>Westchester High School</v>
      </c>
      <c r="D1686" s="5">
        <f ca="1">IFERROR(__xludf.DUMMYFUNCTION("""COMPUTED_VALUE"""),0)</f>
        <v>0</v>
      </c>
      <c r="E1686" s="5">
        <f ca="1">IFERROR(__xludf.DUMMYFUNCTION("""COMPUTED_VALUE"""),1)</f>
        <v>1</v>
      </c>
      <c r="F1686" s="5">
        <f ca="1">IFERROR(__xludf.DUMMYFUNCTION("""COMPUTED_VALUE"""),1)</f>
        <v>1</v>
      </c>
      <c r="G1686" s="5">
        <f ca="1">IFERROR(__xludf.DUMMYFUNCTION("""COMPUTED_VALUE"""),0)</f>
        <v>0</v>
      </c>
      <c r="H1686" s="9" t="str">
        <f ca="1">IFERROR(__xludf.DUMMYFUNCTION("""COMPUTED_VALUE"""),"https://www.newspapers.com/image/176655612/?terms=Westchester%2BHigh%2BSchool%2Bshooting")</f>
        <v>https://www.newspapers.com/image/176655612/?terms=Westchester%2BHigh%2BSchool%2Bshooting</v>
      </c>
      <c r="I1686" s="5"/>
      <c r="J1686" s="5"/>
      <c r="K1686" s="5">
        <f ca="1">IFERROR(__xludf.DUMMYFUNCTION("""COMPUTED_VALUE"""),2)</f>
        <v>2</v>
      </c>
      <c r="L1686" s="5" t="str">
        <f ca="1">IFERROR(__xludf.DUMMYFUNCTION("""COMPUTED_VALUE"""),"Summer")</f>
        <v>Summer</v>
      </c>
      <c r="M1686" s="5" t="str">
        <f ca="1">IFERROR(__xludf.DUMMYFUNCTION("""COMPUTED_VALUE"""),"Los Angeles")</f>
        <v>Los Angeles</v>
      </c>
      <c r="N1686" s="5" t="str">
        <f ca="1">IFERROR(__xludf.DUMMYFUNCTION("""COMPUTED_VALUE"""),"CA")</f>
        <v>CA</v>
      </c>
      <c r="O1686" s="5" t="str">
        <f ca="1">IFERROR(__xludf.DUMMYFUNCTION("""COMPUTED_VALUE"""),"High")</f>
        <v>High</v>
      </c>
      <c r="P1686" s="5" t="str">
        <f ca="1">IFERROR(__xludf.DUMMYFUNCTION("""COMPUTED_VALUE"""),"Front of School")</f>
        <v>Front of School</v>
      </c>
      <c r="Q1686" s="5" t="str">
        <f ca="1">IFERROR(__xludf.DUMMYFUNCTION("""COMPUTED_VALUE"""),"Outside on School Property")</f>
        <v>Outside on School Property</v>
      </c>
      <c r="R1686" s="5" t="str">
        <f ca="1">IFERROR(__xludf.DUMMYFUNCTION("""COMPUTED_VALUE"""),"Yes")</f>
        <v>Yes</v>
      </c>
      <c r="S1686" s="5" t="str">
        <f ca="1">IFERROR(__xludf.DUMMYFUNCTION("""COMPUTED_VALUE"""),"Morning Classes")</f>
        <v>Morning Classes</v>
      </c>
      <c r="T1686" s="10">
        <f ca="1">IFERROR(__xludf.DUMMYFUNCTION("""COMPUTED_VALUE"""),0.4375)</f>
        <v>0.4375</v>
      </c>
      <c r="U1686" s="5">
        <f ca="1">IFERROR(__xludf.DUMMYFUNCTION("""COMPUTED_VALUE"""),1)</f>
        <v>1</v>
      </c>
      <c r="V1686" s="5" t="str">
        <f ca="1">IFERROR(__xludf.DUMMYFUNCTION("""COMPUTED_VALUE"""),"Gang members shot a student outside of school")</f>
        <v>Gang members shot a student outside of school</v>
      </c>
      <c r="W1686"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X1686" s="5" t="str">
        <f ca="1">IFERROR(__xludf.DUMMYFUNCTION("""COMPUTED_VALUE"""),"Drive-by Shooting")</f>
        <v>Drive-by Shooting</v>
      </c>
      <c r="Y1686" s="5" t="str">
        <f ca="1">IFERROR(__xludf.DUMMYFUNCTION("""COMPUTED_VALUE"""),"Victims Targeted")</f>
        <v>Victims Targeted</v>
      </c>
      <c r="Z1686" s="5" t="str">
        <f ca="1">IFERROR(__xludf.DUMMYFUNCTION("""COMPUTED_VALUE"""),"No")</f>
        <v>No</v>
      </c>
      <c r="AA1686" s="5"/>
      <c r="AB1686" s="5" t="str">
        <f ca="1">IFERROR(__xludf.DUMMYFUNCTION("""COMPUTED_VALUE"""),"No")</f>
        <v>No</v>
      </c>
      <c r="AC1686" s="5" t="str">
        <f ca="1">IFERROR(__xludf.DUMMYFUNCTION("""COMPUTED_VALUE"""),"No")</f>
        <v>No</v>
      </c>
      <c r="AD1686" s="5" t="str">
        <f ca="1">IFERROR(__xludf.DUMMYFUNCTION("""COMPUTED_VALUE"""),"No")</f>
        <v>No</v>
      </c>
      <c r="AE1686" s="5" t="str">
        <f ca="1">IFERROR(__xludf.DUMMYFUNCTION("""COMPUTED_VALUE"""),"No")</f>
        <v>No</v>
      </c>
      <c r="AF1686" s="5" t="str">
        <f ca="1">IFERROR(__xludf.DUMMYFUNCTION("""COMPUTED_VALUE"""),"No")</f>
        <v>No</v>
      </c>
      <c r="AG1686" s="5" t="str">
        <f ca="1">IFERROR(__xludf.DUMMYFUNCTION("""COMPUTED_VALUE"""),"Yes")</f>
        <v>Yes</v>
      </c>
      <c r="AH1686" s="5"/>
    </row>
    <row r="1687" spans="1:34" ht="12.75">
      <c r="A1687" s="5" t="str">
        <f ca="1">IFERROR(__xludf.DUMMYFUNCTION("""COMPUTED_VALUE"""),"19910521FLSCP")</f>
        <v>19910521FLSCP</v>
      </c>
      <c r="B1687" s="8">
        <f ca="1">IFERROR(__xludf.DUMMYFUNCTION("""COMPUTED_VALUE"""),33379)</f>
        <v>33379</v>
      </c>
      <c r="C1687" s="5" t="str">
        <f ca="1">IFERROR(__xludf.DUMMYFUNCTION("""COMPUTED_VALUE"""),"School of Choice")</f>
        <v>School of Choice</v>
      </c>
      <c r="D1687" s="5">
        <f ca="1">IFERROR(__xludf.DUMMYFUNCTION("""COMPUTED_VALUE"""),1)</f>
        <v>1</v>
      </c>
      <c r="E1687" s="5">
        <f ca="1">IFERROR(__xludf.DUMMYFUNCTION("""COMPUTED_VALUE"""),2)</f>
        <v>2</v>
      </c>
      <c r="F1687" s="5">
        <f ca="1">IFERROR(__xludf.DUMMYFUNCTION("""COMPUTED_VALUE"""),3)</f>
        <v>3</v>
      </c>
      <c r="G1687" s="5">
        <f ca="1">IFERROR(__xludf.DUMMYFUNCTION("""COMPUTED_VALUE"""),0)</f>
        <v>0</v>
      </c>
      <c r="H1687"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I1687" s="5"/>
      <c r="J1687" s="5"/>
      <c r="K1687" s="5">
        <f ca="1">IFERROR(__xludf.DUMMYFUNCTION("""COMPUTED_VALUE"""),3)</f>
        <v>3</v>
      </c>
      <c r="L1687" s="5" t="str">
        <f ca="1">IFERROR(__xludf.DUMMYFUNCTION("""COMPUTED_VALUE"""),"Spring")</f>
        <v>Spring</v>
      </c>
      <c r="M1687" s="5" t="str">
        <f ca="1">IFERROR(__xludf.DUMMYFUNCTION("""COMPUTED_VALUE"""),"Pahokee")</f>
        <v>Pahokee</v>
      </c>
      <c r="N1687" s="5" t="str">
        <f ca="1">IFERROR(__xludf.DUMMYFUNCTION("""COMPUTED_VALUE"""),"FL")</f>
        <v>FL</v>
      </c>
      <c r="O1687" s="5" t="str">
        <f ca="1">IFERROR(__xludf.DUMMYFUNCTION("""COMPUTED_VALUE"""),"Unknown")</f>
        <v>Unknown</v>
      </c>
      <c r="P1687" s="5" t="str">
        <f ca="1">IFERROR(__xludf.DUMMYFUNCTION("""COMPUTED_VALUE"""),"Beside Building")</f>
        <v>Beside Building</v>
      </c>
      <c r="Q1687" s="5" t="str">
        <f ca="1">IFERROR(__xludf.DUMMYFUNCTION("""COMPUTED_VALUE"""),"Outside on School Property")</f>
        <v>Outside on School Property</v>
      </c>
      <c r="R1687" s="5" t="str">
        <f ca="1">IFERROR(__xludf.DUMMYFUNCTION("""COMPUTED_VALUE"""),"Yes")</f>
        <v>Yes</v>
      </c>
      <c r="S1687" s="5" t="str">
        <f ca="1">IFERROR(__xludf.DUMMYFUNCTION("""COMPUTED_VALUE"""),"Morning Classes")</f>
        <v>Morning Classes</v>
      </c>
      <c r="T1687" s="10">
        <f ca="1">IFERROR(__xludf.DUMMYFUNCTION("""COMPUTED_VALUE"""),0.4375)</f>
        <v>0.4375</v>
      </c>
      <c r="U1687" s="5">
        <f ca="1">IFERROR(__xludf.DUMMYFUNCTION("""COMPUTED_VALUE"""),1)</f>
        <v>1</v>
      </c>
      <c r="V1687" s="5" t="str">
        <f ca="1">IFERROR(__xludf.DUMMYFUNCTION("""COMPUTED_VALUE"""),"Three students shot following fight the prior night")</f>
        <v>Three students shot following fight the prior night</v>
      </c>
      <c r="W1687"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X1687" s="5" t="str">
        <f ca="1">IFERROR(__xludf.DUMMYFUNCTION("""COMPUTED_VALUE"""),"Escalation of Dispute")</f>
        <v>Escalation of Dispute</v>
      </c>
      <c r="Y1687" s="5" t="str">
        <f ca="1">IFERROR(__xludf.DUMMYFUNCTION("""COMPUTED_VALUE"""),"Both")</f>
        <v>Both</v>
      </c>
      <c r="Z1687" s="5" t="str">
        <f ca="1">IFERROR(__xludf.DUMMYFUNCTION("""COMPUTED_VALUE"""),"No")</f>
        <v>No</v>
      </c>
      <c r="AA1687" s="5"/>
      <c r="AB1687" s="5" t="str">
        <f ca="1">IFERROR(__xludf.DUMMYFUNCTION("""COMPUTED_VALUE"""),"No")</f>
        <v>No</v>
      </c>
      <c r="AC1687" s="5" t="str">
        <f ca="1">IFERROR(__xludf.DUMMYFUNCTION("""COMPUTED_VALUE"""),"No")</f>
        <v>No</v>
      </c>
      <c r="AD1687" s="5" t="str">
        <f ca="1">IFERROR(__xludf.DUMMYFUNCTION("""COMPUTED_VALUE"""),"No")</f>
        <v>No</v>
      </c>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row>
    <row r="1688" spans="1:34" ht="12.75">
      <c r="A1688" s="5" t="str">
        <f ca="1">IFERROR(__xludf.DUMMYFUNCTION("""COMPUTED_VALUE"""),"19910521CAROS")</f>
        <v>19910521CAROS</v>
      </c>
      <c r="B1688" s="8">
        <f ca="1">IFERROR(__xludf.DUMMYFUNCTION("""COMPUTED_VALUE"""),33379)</f>
        <v>33379</v>
      </c>
      <c r="C1688" s="5" t="str">
        <f ca="1">IFERROR(__xludf.DUMMYFUNCTION("""COMPUTED_VALUE"""),"Robert A. Millikan Junior High School")</f>
        <v>Robert A. Millikan Junior High School</v>
      </c>
      <c r="D1688" s="5">
        <f ca="1">IFERROR(__xludf.DUMMYFUNCTION("""COMPUTED_VALUE"""),1)</f>
        <v>1</v>
      </c>
      <c r="E1688" s="5">
        <f ca="1">IFERROR(__xludf.DUMMYFUNCTION("""COMPUTED_VALUE"""),0)</f>
        <v>0</v>
      </c>
      <c r="F1688" s="5">
        <f ca="1">IFERROR(__xludf.DUMMYFUNCTION("""COMPUTED_VALUE"""),1)</f>
        <v>1</v>
      </c>
      <c r="G1688" s="5">
        <f ca="1">IFERROR(__xludf.DUMMYFUNCTION("""COMPUTED_VALUE"""),0)</f>
        <v>0</v>
      </c>
      <c r="H1688" s="9" t="str">
        <f ca="1">IFERROR(__xludf.DUMMYFUNCTION("""COMPUTED_VALUE"""),"https://www.newspapers.com/image/176951271/?terms=Robert%2BA.%2BMillikan%2BJunior%2BHigh%2BSchool%2Bshooting")</f>
        <v>https://www.newspapers.com/image/176951271/?terms=Robert%2BA.%2BMillikan%2BJunior%2BHigh%2BSchool%2Bshooting</v>
      </c>
      <c r="I1688" s="5"/>
      <c r="J1688" s="5"/>
      <c r="K1688" s="5">
        <f ca="1">IFERROR(__xludf.DUMMYFUNCTION("""COMPUTED_VALUE"""),2)</f>
        <v>2</v>
      </c>
      <c r="L1688" s="5" t="str">
        <f ca="1">IFERROR(__xludf.DUMMYFUNCTION("""COMPUTED_VALUE"""),"Spring")</f>
        <v>Spring</v>
      </c>
      <c r="M1688" s="5" t="str">
        <f ca="1">IFERROR(__xludf.DUMMYFUNCTION("""COMPUTED_VALUE"""),"Sherman Oaks")</f>
        <v>Sherman Oaks</v>
      </c>
      <c r="N1688" s="5" t="str">
        <f ca="1">IFERROR(__xludf.DUMMYFUNCTION("""COMPUTED_VALUE"""),"CA")</f>
        <v>CA</v>
      </c>
      <c r="O1688" s="5" t="str">
        <f ca="1">IFERROR(__xludf.DUMMYFUNCTION("""COMPUTED_VALUE"""),"Junior High")</f>
        <v>Junior High</v>
      </c>
      <c r="P1688" s="5" t="str">
        <f ca="1">IFERROR(__xludf.DUMMYFUNCTION("""COMPUTED_VALUE"""),"Front of School")</f>
        <v>Front of School</v>
      </c>
      <c r="Q1688" s="5" t="str">
        <f ca="1">IFERROR(__xludf.DUMMYFUNCTION("""COMPUTED_VALUE"""),"Outside on School Property")</f>
        <v>Outside on School Property</v>
      </c>
      <c r="R1688" s="5" t="str">
        <f ca="1">IFERROR(__xludf.DUMMYFUNCTION("""COMPUTED_VALUE"""),"No")</f>
        <v>No</v>
      </c>
      <c r="S1688" s="5" t="str">
        <f ca="1">IFERROR(__xludf.DUMMYFUNCTION("""COMPUTED_VALUE"""),"After School")</f>
        <v>After School</v>
      </c>
      <c r="T1688" s="5"/>
      <c r="U1688" s="5">
        <f ca="1">IFERROR(__xludf.DUMMYFUNCTION("""COMPUTED_VALUE"""),1)</f>
        <v>1</v>
      </c>
      <c r="V1688" s="5" t="str">
        <f ca="1">IFERROR(__xludf.DUMMYFUNCTION("""COMPUTED_VALUE"""),"Victim flashed gang signs at a male in a van outside of school, shooter fired multiple shots killing him")</f>
        <v>Victim flashed gang signs at a male in a van outside of school, shooter fired multiple shots killing him</v>
      </c>
      <c r="W1688"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X1688" s="5" t="str">
        <f ca="1">IFERROR(__xludf.DUMMYFUNCTION("""COMPUTED_VALUE"""),"Drive-by Shooting")</f>
        <v>Drive-by Shooting</v>
      </c>
      <c r="Y1688" s="5" t="str">
        <f ca="1">IFERROR(__xludf.DUMMYFUNCTION("""COMPUTED_VALUE"""),"Victims Targeted")</f>
        <v>Victims Targeted</v>
      </c>
      <c r="Z1688" s="5" t="str">
        <f ca="1">IFERROR(__xludf.DUMMYFUNCTION("""COMPUTED_VALUE"""),"No")</f>
        <v>No</v>
      </c>
      <c r="AA1688" s="5"/>
      <c r="AB1688" s="5" t="str">
        <f ca="1">IFERROR(__xludf.DUMMYFUNCTION("""COMPUTED_VALUE"""),"No")</f>
        <v>No</v>
      </c>
      <c r="AC1688" s="5" t="str">
        <f ca="1">IFERROR(__xludf.DUMMYFUNCTION("""COMPUTED_VALUE"""),"No")</f>
        <v>No</v>
      </c>
      <c r="AD1688" s="5" t="str">
        <f ca="1">IFERROR(__xludf.DUMMYFUNCTION("""COMPUTED_VALUE"""),"No")</f>
        <v>No</v>
      </c>
      <c r="AE1688" s="5" t="str">
        <f ca="1">IFERROR(__xludf.DUMMYFUNCTION("""COMPUTED_VALUE"""),"No")</f>
        <v>No</v>
      </c>
      <c r="AF1688" s="5" t="str">
        <f ca="1">IFERROR(__xludf.DUMMYFUNCTION("""COMPUTED_VALUE"""),"No")</f>
        <v>No</v>
      </c>
      <c r="AG1688" s="5" t="str">
        <f ca="1">IFERROR(__xludf.DUMMYFUNCTION("""COMPUTED_VALUE"""),"Yes")</f>
        <v>Yes</v>
      </c>
      <c r="AH1688" s="5"/>
    </row>
    <row r="1689" spans="1:34" ht="12.75">
      <c r="A1689" s="5" t="str">
        <f ca="1">IFERROR(__xludf.DUMMYFUNCTION("""COMPUTED_VALUE"""),"19910516KSCOK")</f>
        <v>19910516KSCOK</v>
      </c>
      <c r="B1689" s="8">
        <f ca="1">IFERROR(__xludf.DUMMYFUNCTION("""COMPUTED_VALUE"""),33374)</f>
        <v>33374</v>
      </c>
      <c r="C1689" s="5" t="str">
        <f ca="1">IFERROR(__xludf.DUMMYFUNCTION("""COMPUTED_VALUE"""),"Coronado Middle School")</f>
        <v>Coronado Middle School</v>
      </c>
      <c r="D1689" s="5">
        <f ca="1">IFERROR(__xludf.DUMMYFUNCTION("""COMPUTED_VALUE"""),0)</f>
        <v>0</v>
      </c>
      <c r="E1689" s="5">
        <f ca="1">IFERROR(__xludf.DUMMYFUNCTION("""COMPUTED_VALUE"""),2)</f>
        <v>2</v>
      </c>
      <c r="F1689" s="5">
        <f ca="1">IFERROR(__xludf.DUMMYFUNCTION("""COMPUTED_VALUE"""),2)</f>
        <v>2</v>
      </c>
      <c r="G1689" s="5">
        <f ca="1">IFERROR(__xludf.DUMMYFUNCTION("""COMPUTED_VALUE"""),0)</f>
        <v>0</v>
      </c>
      <c r="H1689" s="9" t="str">
        <f ca="1">IFERROR(__xludf.DUMMYFUNCTION("""COMPUTED_VALUE"""),"https://www.newspapers.com/image/424939665/?terms=Coronado%2BMiddle%2BSchool")</f>
        <v>https://www.newspapers.com/image/424939665/?terms=Coronado%2BMiddle%2BSchool</v>
      </c>
      <c r="I1689" s="5"/>
      <c r="J1689" s="5"/>
      <c r="K1689" s="5">
        <f ca="1">IFERROR(__xludf.DUMMYFUNCTION("""COMPUTED_VALUE"""),2)</f>
        <v>2</v>
      </c>
      <c r="L1689" s="5" t="str">
        <f ca="1">IFERROR(__xludf.DUMMYFUNCTION("""COMPUTED_VALUE"""),"Spring")</f>
        <v>Spring</v>
      </c>
      <c r="M1689" s="5" t="str">
        <f ca="1">IFERROR(__xludf.DUMMYFUNCTION("""COMPUTED_VALUE"""),"Kansas City")</f>
        <v>Kansas City</v>
      </c>
      <c r="N1689" s="5" t="str">
        <f ca="1">IFERROR(__xludf.DUMMYFUNCTION("""COMPUTED_VALUE"""),"KS")</f>
        <v>KS</v>
      </c>
      <c r="O1689" s="5" t="str">
        <f ca="1">IFERROR(__xludf.DUMMYFUNCTION("""COMPUTED_VALUE"""),"Middle")</f>
        <v>Middle</v>
      </c>
      <c r="P1689" s="5" t="str">
        <f ca="1">IFERROR(__xludf.DUMMYFUNCTION("""COMPUTED_VALUE"""),"Inside School Building")</f>
        <v>Inside School Building</v>
      </c>
      <c r="Q1689" s="5" t="str">
        <f ca="1">IFERROR(__xludf.DUMMYFUNCTION("""COMPUTED_VALUE"""),"Inside School Building")</f>
        <v>Inside School Building</v>
      </c>
      <c r="R1689" s="5" t="str">
        <f ca="1">IFERROR(__xludf.DUMMYFUNCTION("""COMPUTED_VALUE"""),"Yes")</f>
        <v>Yes</v>
      </c>
      <c r="S1689" s="5"/>
      <c r="T1689" s="5"/>
      <c r="U1689" s="5">
        <f ca="1">IFERROR(__xludf.DUMMYFUNCTION("""COMPUTED_VALUE"""),1)</f>
        <v>1</v>
      </c>
      <c r="V1689" s="5" t="str">
        <f ca="1">IFERROR(__xludf.DUMMYFUNCTION("""COMPUTED_VALUE"""),"Gang-initiation shooting at school")</f>
        <v>Gang-initiation shooting at school</v>
      </c>
      <c r="W1689" s="5" t="str">
        <f ca="1">IFERROR(__xludf.DUMMYFUNCTION("""COMPUTED_VALUE"""),"Gang initiation  - a 13 year old and two 15 year olds were charged with attempted murder")</f>
        <v>Gang initiation  - a 13 year old and two 15 year olds were charged with attempted murder</v>
      </c>
      <c r="X1689" s="5" t="str">
        <f ca="1">IFERROR(__xludf.DUMMYFUNCTION("""COMPUTED_VALUE"""),"Illegal Activity")</f>
        <v>Illegal Activity</v>
      </c>
      <c r="Y1689" s="5"/>
      <c r="Z1689" s="5" t="str">
        <f ca="1">IFERROR(__xludf.DUMMYFUNCTION("""COMPUTED_VALUE"""),"Yes")</f>
        <v>Yes</v>
      </c>
      <c r="AA1689" s="5" t="str">
        <f ca="1">IFERROR(__xludf.DUMMYFUNCTION("""COMPUTED_VALUE"""),"3 students charged in connection")</f>
        <v>3 students charged in connection</v>
      </c>
      <c r="AB1689" s="5" t="str">
        <f ca="1">IFERROR(__xludf.DUMMYFUNCTION("""COMPUTED_VALUE"""),"No")</f>
        <v>No</v>
      </c>
      <c r="AC1689" s="5" t="str">
        <f ca="1">IFERROR(__xludf.DUMMYFUNCTION("""COMPUTED_VALUE"""),"No")</f>
        <v>No</v>
      </c>
      <c r="AD1689" s="5" t="str">
        <f ca="1">IFERROR(__xludf.DUMMYFUNCTION("""COMPUTED_VALUE"""),"No")</f>
        <v>No</v>
      </c>
      <c r="AE1689" s="5" t="str">
        <f ca="1">IFERROR(__xludf.DUMMYFUNCTION("""COMPUTED_VALUE"""),"No")</f>
        <v>No</v>
      </c>
      <c r="AF1689" s="5" t="str">
        <f ca="1">IFERROR(__xludf.DUMMYFUNCTION("""COMPUTED_VALUE"""),"No")</f>
        <v>No</v>
      </c>
      <c r="AG1689" s="5" t="str">
        <f ca="1">IFERROR(__xludf.DUMMYFUNCTION("""COMPUTED_VALUE"""),"Yes")</f>
        <v>Yes</v>
      </c>
      <c r="AH1689" s="5"/>
    </row>
    <row r="1690" spans="1:34" ht="12.75">
      <c r="A1690" s="5" t="str">
        <f ca="1">IFERROR(__xludf.DUMMYFUNCTION("""COMPUTED_VALUE"""),"19910510OHFRC")</f>
        <v>19910510OHFRC</v>
      </c>
      <c r="B1690" s="8">
        <f ca="1">IFERROR(__xludf.DUMMYFUNCTION("""COMPUTED_VALUE"""),33368)</f>
        <v>33368</v>
      </c>
      <c r="C1690" s="5" t="str">
        <f ca="1">IFERROR(__xludf.DUMMYFUNCTION("""COMPUTED_VALUE"""),"Franklin Alternative Middle School")</f>
        <v>Franklin Alternative Middle School</v>
      </c>
      <c r="D1690" s="5">
        <f ca="1">IFERROR(__xludf.DUMMYFUNCTION("""COMPUTED_VALUE"""),1)</f>
        <v>1</v>
      </c>
      <c r="E1690" s="5">
        <f ca="1">IFERROR(__xludf.DUMMYFUNCTION("""COMPUTED_VALUE"""),0)</f>
        <v>0</v>
      </c>
      <c r="F1690" s="5">
        <f ca="1">IFERROR(__xludf.DUMMYFUNCTION("""COMPUTED_VALUE"""),1)</f>
        <v>1</v>
      </c>
      <c r="G1690" s="5">
        <f ca="1">IFERROR(__xludf.DUMMYFUNCTION("""COMPUTED_VALUE"""),0)</f>
        <v>0</v>
      </c>
      <c r="H1690" s="9" t="str">
        <f ca="1">IFERROR(__xludf.DUMMYFUNCTION("""COMPUTED_VALUE"""),"https://www.newspapers.com/image/289233212/?terms=Franklin%2BAlternative%2BMiddle%2BSchool%2Bshooting")</f>
        <v>https://www.newspapers.com/image/289233212/?terms=Franklin%2BAlternative%2BMiddle%2BSchool%2Bshooting</v>
      </c>
      <c r="I1690" s="5"/>
      <c r="J1690" s="5"/>
      <c r="K1690" s="5">
        <f ca="1">IFERROR(__xludf.DUMMYFUNCTION("""COMPUTED_VALUE"""),2)</f>
        <v>2</v>
      </c>
      <c r="L1690" s="5" t="str">
        <f ca="1">IFERROR(__xludf.DUMMYFUNCTION("""COMPUTED_VALUE"""),"Spring")</f>
        <v>Spring</v>
      </c>
      <c r="M1690" s="5" t="str">
        <f ca="1">IFERROR(__xludf.DUMMYFUNCTION("""COMPUTED_VALUE"""),"Columbus")</f>
        <v>Columbus</v>
      </c>
      <c r="N1690" s="5" t="str">
        <f ca="1">IFERROR(__xludf.DUMMYFUNCTION("""COMPUTED_VALUE"""),"OH")</f>
        <v>OH</v>
      </c>
      <c r="O1690" s="5" t="str">
        <f ca="1">IFERROR(__xludf.DUMMYFUNCTION("""COMPUTED_VALUE"""),"Middle")</f>
        <v>Middle</v>
      </c>
      <c r="P1690" s="5" t="str">
        <f ca="1">IFERROR(__xludf.DUMMYFUNCTION("""COMPUTED_VALUE"""),"Front of School")</f>
        <v>Front of School</v>
      </c>
      <c r="Q1690" s="5" t="str">
        <f ca="1">IFERROR(__xludf.DUMMYFUNCTION("""COMPUTED_VALUE"""),"Outside on School Property")</f>
        <v>Outside on School Property</v>
      </c>
      <c r="R1690" s="5" t="str">
        <f ca="1">IFERROR(__xludf.DUMMYFUNCTION("""COMPUTED_VALUE"""),"No")</f>
        <v>No</v>
      </c>
      <c r="S1690" s="5" t="str">
        <f ca="1">IFERROR(__xludf.DUMMYFUNCTION("""COMPUTED_VALUE"""),"After School")</f>
        <v>After School</v>
      </c>
      <c r="T1690" s="10">
        <f ca="1">IFERROR(__xludf.DUMMYFUNCTION("""COMPUTED_VALUE"""),0.583333333333333)</f>
        <v>0.58333333333333304</v>
      </c>
      <c r="U1690" s="5">
        <f ca="1">IFERROR(__xludf.DUMMYFUNCTION("""COMPUTED_VALUE"""),1)</f>
        <v>1</v>
      </c>
      <c r="V1690" s="5" t="str">
        <f ca="1">IFERROR(__xludf.DUMMYFUNCTION("""COMPUTED_VALUE"""),"Shooter fired at group of students standing outside the school, previous conflict with the group")</f>
        <v>Shooter fired at group of students standing outside the school, previous conflict with the group</v>
      </c>
      <c r="W1690"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X1690" s="5" t="str">
        <f ca="1">IFERROR(__xludf.DUMMYFUNCTION("""COMPUTED_VALUE"""),"Escalation of Dispute")</f>
        <v>Escalation of Dispute</v>
      </c>
      <c r="Y1690" s="5" t="str">
        <f ca="1">IFERROR(__xludf.DUMMYFUNCTION("""COMPUTED_VALUE"""),"Victims Targeted")</f>
        <v>Victims Targeted</v>
      </c>
      <c r="Z1690" s="5" t="str">
        <f ca="1">IFERROR(__xludf.DUMMYFUNCTION("""COMPUTED_VALUE"""),"No")</f>
        <v>No</v>
      </c>
      <c r="AA1690" s="5"/>
      <c r="AB1690" s="5" t="str">
        <f ca="1">IFERROR(__xludf.DUMMYFUNCTION("""COMPUTED_VALUE"""),"No")</f>
        <v>No</v>
      </c>
      <c r="AC1690" s="5" t="str">
        <f ca="1">IFERROR(__xludf.DUMMYFUNCTION("""COMPUTED_VALUE"""),"No")</f>
        <v>No</v>
      </c>
      <c r="AD1690" s="5" t="str">
        <f ca="1">IFERROR(__xludf.DUMMYFUNCTION("""COMPUTED_VALUE"""),"No")</f>
        <v>No</v>
      </c>
      <c r="AE1690" s="5" t="str">
        <f ca="1">IFERROR(__xludf.DUMMYFUNCTION("""COMPUTED_VALUE"""),"No")</f>
        <v>No</v>
      </c>
      <c r="AF1690" s="5" t="str">
        <f ca="1">IFERROR(__xludf.DUMMYFUNCTION("""COMPUTED_VALUE"""),"No")</f>
        <v>No</v>
      </c>
      <c r="AG1690" s="5"/>
      <c r="AH1690" s="5"/>
    </row>
    <row r="1691" spans="1:34" ht="12.75">
      <c r="A1691" s="5" t="str">
        <f ca="1">IFERROR(__xludf.DUMMYFUNCTION("""COMPUTED_VALUE"""),"19910423MSHUB")</f>
        <v>19910423MSHUB</v>
      </c>
      <c r="B1691" s="8">
        <f ca="1">IFERROR(__xludf.DUMMYFUNCTION("""COMPUTED_VALUE"""),33351)</f>
        <v>33351</v>
      </c>
      <c r="C1691" s="5" t="str">
        <f ca="1">IFERROR(__xludf.DUMMYFUNCTION("""COMPUTED_VALUE"""),"Humphrey's County High School")</f>
        <v>Humphrey's County High School</v>
      </c>
      <c r="D1691" s="5">
        <f ca="1">IFERROR(__xludf.DUMMYFUNCTION("""COMPUTED_VALUE"""),0)</f>
        <v>0</v>
      </c>
      <c r="E1691" s="5">
        <f ca="1">IFERROR(__xludf.DUMMYFUNCTION("""COMPUTED_VALUE"""),1)</f>
        <v>1</v>
      </c>
      <c r="F1691" s="5">
        <f ca="1">IFERROR(__xludf.DUMMYFUNCTION("""COMPUTED_VALUE"""),1)</f>
        <v>1</v>
      </c>
      <c r="G1691" s="5">
        <f ca="1">IFERROR(__xludf.DUMMYFUNCTION("""COMPUTED_VALUE"""),0)</f>
        <v>0</v>
      </c>
      <c r="H1691"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I1691" s="5"/>
      <c r="J1691" s="5"/>
      <c r="K1691" s="5">
        <f ca="1">IFERROR(__xludf.DUMMYFUNCTION("""COMPUTED_VALUE"""),2)</f>
        <v>2</v>
      </c>
      <c r="L1691" s="5" t="str">
        <f ca="1">IFERROR(__xludf.DUMMYFUNCTION("""COMPUTED_VALUE"""),"Spring")</f>
        <v>Spring</v>
      </c>
      <c r="M1691" s="5" t="str">
        <f ca="1">IFERROR(__xludf.DUMMYFUNCTION("""COMPUTED_VALUE"""),"Belzoni")</f>
        <v>Belzoni</v>
      </c>
      <c r="N1691" s="5" t="str">
        <f ca="1">IFERROR(__xludf.DUMMYFUNCTION("""COMPUTED_VALUE"""),"MS")</f>
        <v>MS</v>
      </c>
      <c r="O1691" s="5" t="str">
        <f ca="1">IFERROR(__xludf.DUMMYFUNCTION("""COMPUTED_VALUE"""),"High")</f>
        <v>High</v>
      </c>
      <c r="P1691" s="5" t="str">
        <f ca="1">IFERROR(__xludf.DUMMYFUNCTION("""COMPUTED_VALUE"""),"Classroom")</f>
        <v>Classroom</v>
      </c>
      <c r="Q1691" s="5" t="str">
        <f ca="1">IFERROR(__xludf.DUMMYFUNCTION("""COMPUTED_VALUE"""),"Inside School Building")</f>
        <v>Inside School Building</v>
      </c>
      <c r="R1691" s="5" t="str">
        <f ca="1">IFERROR(__xludf.DUMMYFUNCTION("""COMPUTED_VALUE"""),"Yes")</f>
        <v>Yes</v>
      </c>
      <c r="S1691" s="5" t="str">
        <f ca="1">IFERROR(__xludf.DUMMYFUNCTION("""COMPUTED_VALUE"""),"Afternoon Classes")</f>
        <v>Afternoon Classes</v>
      </c>
      <c r="T1691" s="5"/>
      <c r="U1691" s="5">
        <f ca="1">IFERROR(__xludf.DUMMYFUNCTION("""COMPUTED_VALUE"""),1)</f>
        <v>1</v>
      </c>
      <c r="V1691" s="5" t="str">
        <f ca="1">IFERROR(__xludf.DUMMYFUNCTION("""COMPUTED_VALUE"""),"Accidental discharge playing with gun in classroom")</f>
        <v>Accidental discharge playing with gun in classroom</v>
      </c>
      <c r="W1691" s="5" t="str">
        <f ca="1">IFERROR(__xludf.DUMMYFUNCTION("""COMPUTED_VALUE"""),"16 year old teen accidentally shot his friend during class. Victim refused to testify against shooter.")</f>
        <v>16 year old teen accidentally shot his friend during class. Victim refused to testify against shooter.</v>
      </c>
      <c r="X1691" s="5" t="str">
        <f ca="1">IFERROR(__xludf.DUMMYFUNCTION("""COMPUTED_VALUE"""),"Accidental")</f>
        <v>Accidental</v>
      </c>
      <c r="Y1691" s="5" t="str">
        <f ca="1">IFERROR(__xludf.DUMMYFUNCTION("""COMPUTED_VALUE"""),"Random Shooting")</f>
        <v>Random Shooting</v>
      </c>
      <c r="Z1691" s="5" t="str">
        <f ca="1">IFERROR(__xludf.DUMMYFUNCTION("""COMPUTED_VALUE"""),"No")</f>
        <v>No</v>
      </c>
      <c r="AA1691" s="5"/>
      <c r="AB1691" s="5" t="str">
        <f ca="1">IFERROR(__xludf.DUMMYFUNCTION("""COMPUTED_VALUE"""),"No")</f>
        <v>No</v>
      </c>
      <c r="AC1691" s="5" t="str">
        <f ca="1">IFERROR(__xludf.DUMMYFUNCTION("""COMPUTED_VALUE"""),"No")</f>
        <v>No</v>
      </c>
      <c r="AD1691" s="5" t="str">
        <f ca="1">IFERROR(__xludf.DUMMYFUNCTION("""COMPUTED_VALUE"""),"No")</f>
        <v>No</v>
      </c>
      <c r="AE1691" s="5" t="str">
        <f ca="1">IFERROR(__xludf.DUMMYFUNCTION("""COMPUTED_VALUE"""),"No")</f>
        <v>No</v>
      </c>
      <c r="AF1691" s="5" t="str">
        <f ca="1">IFERROR(__xludf.DUMMYFUNCTION("""COMPUTED_VALUE"""),"No")</f>
        <v>No</v>
      </c>
      <c r="AG1691" s="5" t="str">
        <f ca="1">IFERROR(__xludf.DUMMYFUNCTION("""COMPUTED_VALUE"""),"No")</f>
        <v>No</v>
      </c>
      <c r="AH1691" s="5"/>
    </row>
    <row r="1692" spans="1:34" ht="12.75">
      <c r="A1692" s="5" t="str">
        <f ca="1">IFERROR(__xludf.DUMMYFUNCTION("""COMPUTED_VALUE"""),"19910423CARAC")</f>
        <v>19910423CARAC</v>
      </c>
      <c r="B1692" s="8">
        <f ca="1">IFERROR(__xludf.DUMMYFUNCTION("""COMPUTED_VALUE"""),33351)</f>
        <v>33351</v>
      </c>
      <c r="C1692" s="5" t="str">
        <f ca="1">IFERROR(__xludf.DUMMYFUNCTION("""COMPUTED_VALUE"""),"Ralph J. Bunche Middle School")</f>
        <v>Ralph J. Bunche Middle School</v>
      </c>
      <c r="D1692" s="5">
        <f ca="1">IFERROR(__xludf.DUMMYFUNCTION("""COMPUTED_VALUE"""),1)</f>
        <v>1</v>
      </c>
      <c r="E1692" s="5">
        <f ca="1">IFERROR(__xludf.DUMMYFUNCTION("""COMPUTED_VALUE"""),0)</f>
        <v>0</v>
      </c>
      <c r="F1692" s="5">
        <f ca="1">IFERROR(__xludf.DUMMYFUNCTION("""COMPUTED_VALUE"""),1)</f>
        <v>1</v>
      </c>
      <c r="G1692" s="5">
        <f ca="1">IFERROR(__xludf.DUMMYFUNCTION("""COMPUTED_VALUE"""),0)</f>
        <v>0</v>
      </c>
      <c r="H1692" s="9" t="str">
        <f ca="1">IFERROR(__xludf.DUMMYFUNCTION("""COMPUTED_VALUE"""),"http://articles.latimes.com/1991-04-25/news/mn-828_1_school-district")</f>
        <v>http://articles.latimes.com/1991-04-25/news/mn-828_1_school-district</v>
      </c>
      <c r="I1692" s="5"/>
      <c r="J1692" s="5"/>
      <c r="K1692" s="5">
        <f ca="1">IFERROR(__xludf.DUMMYFUNCTION("""COMPUTED_VALUE"""),2)</f>
        <v>2</v>
      </c>
      <c r="L1692" s="5" t="str">
        <f ca="1">IFERROR(__xludf.DUMMYFUNCTION("""COMPUTED_VALUE"""),"Spring")</f>
        <v>Spring</v>
      </c>
      <c r="M1692" s="5" t="str">
        <f ca="1">IFERROR(__xludf.DUMMYFUNCTION("""COMPUTED_VALUE"""),"Compton")</f>
        <v>Compton</v>
      </c>
      <c r="N1692" s="5" t="str">
        <f ca="1">IFERROR(__xludf.DUMMYFUNCTION("""COMPUTED_VALUE"""),"CA")</f>
        <v>CA</v>
      </c>
      <c r="O1692" s="5" t="str">
        <f ca="1">IFERROR(__xludf.DUMMYFUNCTION("""COMPUTED_VALUE"""),"Middle")</f>
        <v>Middle</v>
      </c>
      <c r="P1692" s="5" t="str">
        <f ca="1">IFERROR(__xludf.DUMMYFUNCTION("""COMPUTED_VALUE"""),"Beside Building")</f>
        <v>Beside Building</v>
      </c>
      <c r="Q1692" s="5" t="str">
        <f ca="1">IFERROR(__xludf.DUMMYFUNCTION("""COMPUTED_VALUE"""),"Outside on School Property")</f>
        <v>Outside on School Property</v>
      </c>
      <c r="R1692" s="5" t="str">
        <f ca="1">IFERROR(__xludf.DUMMYFUNCTION("""COMPUTED_VALUE"""),"Yes")</f>
        <v>Yes</v>
      </c>
      <c r="S1692" s="5"/>
      <c r="T1692" s="5"/>
      <c r="U1692" s="5">
        <f ca="1">IFERROR(__xludf.DUMMYFUNCTION("""COMPUTED_VALUE"""),1)</f>
        <v>1</v>
      </c>
      <c r="V1692" s="5" t="str">
        <f ca="1">IFERROR(__xludf.DUMMYFUNCTION("""COMPUTED_VALUE"""),"Gang-related shooting in school hallway")</f>
        <v>Gang-related shooting in school hallway</v>
      </c>
      <c r="W1692"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X1692" s="5" t="str">
        <f ca="1">IFERROR(__xludf.DUMMYFUNCTION("""COMPUTED_VALUE"""),"Illegal Activity")</f>
        <v>Illegal Activity</v>
      </c>
      <c r="Y1692" s="5" t="str">
        <f ca="1">IFERROR(__xludf.DUMMYFUNCTION("""COMPUTED_VALUE"""),"Random Shooting")</f>
        <v>Random Shooting</v>
      </c>
      <c r="Z1692" s="5" t="str">
        <f ca="1">IFERROR(__xludf.DUMMYFUNCTION("""COMPUTED_VALUE"""),"No")</f>
        <v>No</v>
      </c>
      <c r="AA1692" s="5"/>
      <c r="AB1692" s="5" t="str">
        <f ca="1">IFERROR(__xludf.DUMMYFUNCTION("""COMPUTED_VALUE"""),"No")</f>
        <v>No</v>
      </c>
      <c r="AC1692" s="5" t="str">
        <f ca="1">IFERROR(__xludf.DUMMYFUNCTION("""COMPUTED_VALUE"""),"No")</f>
        <v>No</v>
      </c>
      <c r="AD1692" s="5" t="str">
        <f ca="1">IFERROR(__xludf.DUMMYFUNCTION("""COMPUTED_VALUE"""),"No")</f>
        <v>No</v>
      </c>
      <c r="AE1692" s="5" t="str">
        <f ca="1">IFERROR(__xludf.DUMMYFUNCTION("""COMPUTED_VALUE"""),"No")</f>
        <v>No</v>
      </c>
      <c r="AF1692" s="5" t="str">
        <f ca="1">IFERROR(__xludf.DUMMYFUNCTION("""COMPUTED_VALUE"""),"No")</f>
        <v>No</v>
      </c>
      <c r="AG1692" s="5" t="str">
        <f ca="1">IFERROR(__xludf.DUMMYFUNCTION("""COMPUTED_VALUE"""),"Yes")</f>
        <v>Yes</v>
      </c>
      <c r="AH1692" s="5"/>
    </row>
    <row r="1693" spans="1:34" ht="12.75">
      <c r="A1693" s="5" t="str">
        <f ca="1">IFERROR(__xludf.DUMMYFUNCTION("""COMPUTED_VALUE"""),"19910411SCNOR")</f>
        <v>19910411SCNOR</v>
      </c>
      <c r="B1693" s="8">
        <f ca="1">IFERROR(__xludf.DUMMYFUNCTION("""COMPUTED_VALUE"""),33339)</f>
        <v>33339</v>
      </c>
      <c r="C1693" s="5" t="str">
        <f ca="1">IFERROR(__xludf.DUMMYFUNCTION("""COMPUTED_VALUE"""),"Northwest High School")</f>
        <v>Northwest High School</v>
      </c>
      <c r="D1693" s="5">
        <f ca="1">IFERROR(__xludf.DUMMYFUNCTION("""COMPUTED_VALUE"""),0)</f>
        <v>0</v>
      </c>
      <c r="E1693" s="5">
        <f ca="1">IFERROR(__xludf.DUMMYFUNCTION("""COMPUTED_VALUE"""),0)</f>
        <v>0</v>
      </c>
      <c r="F1693" s="5">
        <f ca="1">IFERROR(__xludf.DUMMYFUNCTION("""COMPUTED_VALUE"""),0)</f>
        <v>0</v>
      </c>
      <c r="G1693" s="5">
        <f ca="1">IFERROR(__xludf.DUMMYFUNCTION("""COMPUTED_VALUE"""),1)</f>
        <v>1</v>
      </c>
      <c r="H1693"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I1693" s="5"/>
      <c r="J1693" s="5"/>
      <c r="K1693" s="5">
        <f ca="1">IFERROR(__xludf.DUMMYFUNCTION("""COMPUTED_VALUE"""),1)</f>
        <v>1</v>
      </c>
      <c r="L1693" s="5" t="str">
        <f ca="1">IFERROR(__xludf.DUMMYFUNCTION("""COMPUTED_VALUE"""),"Spring")</f>
        <v>Spring</v>
      </c>
      <c r="M1693" s="5" t="str">
        <f ca="1">IFERROR(__xludf.DUMMYFUNCTION("""COMPUTED_VALUE"""),"Rock Hill")</f>
        <v>Rock Hill</v>
      </c>
      <c r="N1693" s="5" t="str">
        <f ca="1">IFERROR(__xludf.DUMMYFUNCTION("""COMPUTED_VALUE"""),"SC")</f>
        <v>SC</v>
      </c>
      <c r="O1693" s="5" t="str">
        <f ca="1">IFERROR(__xludf.DUMMYFUNCTION("""COMPUTED_VALUE"""),"High")</f>
        <v>High</v>
      </c>
      <c r="P1693" s="5" t="str">
        <f ca="1">IFERROR(__xludf.DUMMYFUNCTION("""COMPUTED_VALUE"""),"Cafeteria")</f>
        <v>Cafeteria</v>
      </c>
      <c r="Q1693" s="5" t="str">
        <f ca="1">IFERROR(__xludf.DUMMYFUNCTION("""COMPUTED_VALUE"""),"Inside School Building")</f>
        <v>Inside School Building</v>
      </c>
      <c r="R1693" s="5" t="str">
        <f ca="1">IFERROR(__xludf.DUMMYFUNCTION("""COMPUTED_VALUE"""),"Yes")</f>
        <v>Yes</v>
      </c>
      <c r="S1693" s="5" t="str">
        <f ca="1">IFERROR(__xludf.DUMMYFUNCTION("""COMPUTED_VALUE"""),"School Start")</f>
        <v>School Start</v>
      </c>
      <c r="T1693" s="10">
        <f ca="1">IFERROR(__xludf.DUMMYFUNCTION("""COMPUTED_VALUE"""),0.333333333333333)</f>
        <v>0.33333333333333298</v>
      </c>
      <c r="U1693" s="5">
        <f ca="1">IFERROR(__xludf.DUMMYFUNCTION("""COMPUTED_VALUE"""),1)</f>
        <v>1</v>
      </c>
      <c r="V1693" s="5" t="str">
        <f ca="1">IFERROR(__xludf.DUMMYFUNCTION("""COMPUTED_VALUE"""),"Student commit suicide in school cafeteria after break-up with gf")</f>
        <v>Student commit suicide in school cafeteria after break-up with gf</v>
      </c>
      <c r="W1693"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X1693" s="5" t="str">
        <f ca="1">IFERROR(__xludf.DUMMYFUNCTION("""COMPUTED_VALUE"""),"Suicide/Attempted")</f>
        <v>Suicide/Attempted</v>
      </c>
      <c r="Y1693" s="5" t="str">
        <f ca="1">IFERROR(__xludf.DUMMYFUNCTION("""COMPUTED_VALUE"""),"Victims Targeted")</f>
        <v>Victims Targeted</v>
      </c>
      <c r="Z1693" s="5" t="str">
        <f ca="1">IFERROR(__xludf.DUMMYFUNCTION("""COMPUTED_VALUE"""),"No")</f>
        <v>No</v>
      </c>
      <c r="AA1693" s="5"/>
      <c r="AB1693" s="5" t="str">
        <f ca="1">IFERROR(__xludf.DUMMYFUNCTION("""COMPUTED_VALUE"""),"No")</f>
        <v>No</v>
      </c>
      <c r="AC1693" s="5" t="str">
        <f ca="1">IFERROR(__xludf.DUMMYFUNCTION("""COMPUTED_VALUE"""),"No")</f>
        <v>No</v>
      </c>
      <c r="AD1693" s="5" t="str">
        <f ca="1">IFERROR(__xludf.DUMMYFUNCTION("""COMPUTED_VALUE"""),"No")</f>
        <v>No</v>
      </c>
      <c r="AE1693" s="5" t="str">
        <f ca="1">IFERROR(__xludf.DUMMYFUNCTION("""COMPUTED_VALUE"""),"No")</f>
        <v>No</v>
      </c>
      <c r="AF1693" s="5" t="str">
        <f ca="1">IFERROR(__xludf.DUMMYFUNCTION("""COMPUTED_VALUE"""),"No")</f>
        <v>No</v>
      </c>
      <c r="AG1693" s="5" t="str">
        <f ca="1">IFERROR(__xludf.DUMMYFUNCTION("""COMPUTED_VALUE"""),"No")</f>
        <v>No</v>
      </c>
      <c r="AH1693" s="5"/>
    </row>
    <row r="1694" spans="1:34" ht="12.75">
      <c r="A1694" s="5" t="str">
        <f ca="1">IFERROR(__xludf.DUMMYFUNCTION("""COMPUTED_VALUE"""),"19910325NCGAC")</f>
        <v>19910325NCGAC</v>
      </c>
      <c r="B1694" s="8">
        <f ca="1">IFERROR(__xludf.DUMMYFUNCTION("""COMPUTED_VALUE"""),33322)</f>
        <v>33322</v>
      </c>
      <c r="C1694" s="5" t="str">
        <f ca="1">IFERROR(__xludf.DUMMYFUNCTION("""COMPUTED_VALUE"""),"Garinger High School")</f>
        <v>Garinger High School</v>
      </c>
      <c r="D1694" s="5">
        <f ca="1">IFERROR(__xludf.DUMMYFUNCTION("""COMPUTED_VALUE"""),1)</f>
        <v>1</v>
      </c>
      <c r="E1694" s="5">
        <f ca="1">IFERROR(__xludf.DUMMYFUNCTION("""COMPUTED_VALUE"""),0)</f>
        <v>0</v>
      </c>
      <c r="F1694" s="5">
        <f ca="1">IFERROR(__xludf.DUMMYFUNCTION("""COMPUTED_VALUE"""),1)</f>
        <v>1</v>
      </c>
      <c r="G1694" s="5">
        <f ca="1">IFERROR(__xludf.DUMMYFUNCTION("""COMPUTED_VALUE"""),0)</f>
        <v>0</v>
      </c>
      <c r="H1694" s="9" t="str">
        <f ca="1">IFERROR(__xludf.DUMMYFUNCTION("""COMPUTED_VALUE"""),"https://www.newspapers.com/image/200149579/?terms=Garinger%2BHigh%2BSchool%2Bshooting")</f>
        <v>https://www.newspapers.com/image/200149579/?terms=Garinger%2BHigh%2BSchool%2Bshooting</v>
      </c>
      <c r="I1694" s="5"/>
      <c r="J1694" s="5"/>
      <c r="K1694" s="5">
        <f ca="1">IFERROR(__xludf.DUMMYFUNCTION("""COMPUTED_VALUE"""),2)</f>
        <v>2</v>
      </c>
      <c r="L1694" s="5" t="str">
        <f ca="1">IFERROR(__xludf.DUMMYFUNCTION("""COMPUTED_VALUE"""),"Spring")</f>
        <v>Spring</v>
      </c>
      <c r="M1694" s="5" t="str">
        <f ca="1">IFERROR(__xludf.DUMMYFUNCTION("""COMPUTED_VALUE"""),"Charlotte")</f>
        <v>Charlotte</v>
      </c>
      <c r="N1694" s="5" t="str">
        <f ca="1">IFERROR(__xludf.DUMMYFUNCTION("""COMPUTED_VALUE"""),"NC")</f>
        <v>NC</v>
      </c>
      <c r="O1694" s="5" t="str">
        <f ca="1">IFERROR(__xludf.DUMMYFUNCTION("""COMPUTED_VALUE"""),"High")</f>
        <v>High</v>
      </c>
      <c r="P1694" s="5" t="str">
        <f ca="1">IFERROR(__xludf.DUMMYFUNCTION("""COMPUTED_VALUE"""),"Front of School")</f>
        <v>Front of School</v>
      </c>
      <c r="Q1694" s="5" t="str">
        <f ca="1">IFERROR(__xludf.DUMMYFUNCTION("""COMPUTED_VALUE"""),"Outside on School Property")</f>
        <v>Outside on School Property</v>
      </c>
      <c r="R1694" s="5" t="str">
        <f ca="1">IFERROR(__xludf.DUMMYFUNCTION("""COMPUTED_VALUE"""),"No")</f>
        <v>No</v>
      </c>
      <c r="S1694" s="5" t="str">
        <f ca="1">IFERROR(__xludf.DUMMYFUNCTION("""COMPUTED_VALUE"""),"Dismissal")</f>
        <v>Dismissal</v>
      </c>
      <c r="T1694" s="10">
        <f ca="1">IFERROR(__xludf.DUMMYFUNCTION("""COMPUTED_VALUE"""),0.597222222222222)</f>
        <v>0.59722222222222199</v>
      </c>
      <c r="U1694" s="5">
        <f ca="1">IFERROR(__xludf.DUMMYFUNCTION("""COMPUTED_VALUE"""),1)</f>
        <v>1</v>
      </c>
      <c r="V1694" s="5" t="str">
        <f ca="1">IFERROR(__xludf.DUMMYFUNCTION("""COMPUTED_VALUE"""),"Drive-by shooting at end of school day")</f>
        <v>Drive-by shooting at end of school day</v>
      </c>
      <c r="W1694"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X1694" s="5" t="str">
        <f ca="1">IFERROR(__xludf.DUMMYFUNCTION("""COMPUTED_VALUE"""),"Drive-by Shooting")</f>
        <v>Drive-by Shooting</v>
      </c>
      <c r="Y1694" s="5" t="str">
        <f ca="1">IFERROR(__xludf.DUMMYFUNCTION("""COMPUTED_VALUE"""),"Victims Targeted")</f>
        <v>Victims Targeted</v>
      </c>
      <c r="Z1694" s="5" t="str">
        <f ca="1">IFERROR(__xludf.DUMMYFUNCTION("""COMPUTED_VALUE"""),"No")</f>
        <v>No</v>
      </c>
      <c r="AA1694" s="5"/>
      <c r="AB1694" s="5" t="str">
        <f ca="1">IFERROR(__xludf.DUMMYFUNCTION("""COMPUTED_VALUE"""),"No")</f>
        <v>No</v>
      </c>
      <c r="AC1694" s="5" t="str">
        <f ca="1">IFERROR(__xludf.DUMMYFUNCTION("""COMPUTED_VALUE"""),"No")</f>
        <v>No</v>
      </c>
      <c r="AD1694" s="5" t="str">
        <f ca="1">IFERROR(__xludf.DUMMYFUNCTION("""COMPUTED_VALUE"""),"No")</f>
        <v>No</v>
      </c>
      <c r="AE1694" s="5" t="str">
        <f ca="1">IFERROR(__xludf.DUMMYFUNCTION("""COMPUTED_VALUE"""),"No")</f>
        <v>No</v>
      </c>
      <c r="AF1694" s="5" t="str">
        <f ca="1">IFERROR(__xludf.DUMMYFUNCTION("""COMPUTED_VALUE"""),"No")</f>
        <v>No</v>
      </c>
      <c r="AG1694" s="5"/>
      <c r="AH1694" s="5"/>
    </row>
    <row r="1695" spans="1:34" ht="12.75">
      <c r="A1695" s="5" t="str">
        <f ca="1">IFERROR(__xludf.DUMMYFUNCTION("""COMPUTED_VALUE"""),"19910314SCWOP")</f>
        <v>19910314SCWOP</v>
      </c>
      <c r="B1695" s="8">
        <f ca="1">IFERROR(__xludf.DUMMYFUNCTION("""COMPUTED_VALUE"""),33311)</f>
        <v>33311</v>
      </c>
      <c r="C1695" s="5" t="str">
        <f ca="1">IFERROR(__xludf.DUMMYFUNCTION("""COMPUTED_VALUE"""),"Woodmont High School")</f>
        <v>Woodmont High School</v>
      </c>
      <c r="D1695" s="5">
        <f ca="1">IFERROR(__xludf.DUMMYFUNCTION("""COMPUTED_VALUE"""),0)</f>
        <v>0</v>
      </c>
      <c r="E1695" s="5">
        <f ca="1">IFERROR(__xludf.DUMMYFUNCTION("""COMPUTED_VALUE"""),4)</f>
        <v>4</v>
      </c>
      <c r="F1695" s="5">
        <f ca="1">IFERROR(__xludf.DUMMYFUNCTION("""COMPUTED_VALUE"""),4)</f>
        <v>4</v>
      </c>
      <c r="G1695" s="5">
        <f ca="1">IFERROR(__xludf.DUMMYFUNCTION("""COMPUTED_VALUE"""),0)</f>
        <v>0</v>
      </c>
      <c r="H1695"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I1695" s="5"/>
      <c r="J1695" s="5"/>
      <c r="K1695" s="5">
        <f ca="1">IFERROR(__xludf.DUMMYFUNCTION("""COMPUTED_VALUE"""),3)</f>
        <v>3</v>
      </c>
      <c r="L1695" s="5" t="str">
        <f ca="1">IFERROR(__xludf.DUMMYFUNCTION("""COMPUTED_VALUE"""),"Spring")</f>
        <v>Spring</v>
      </c>
      <c r="M1695" s="5" t="str">
        <f ca="1">IFERROR(__xludf.DUMMYFUNCTION("""COMPUTED_VALUE"""),"Piedmont")</f>
        <v>Piedmont</v>
      </c>
      <c r="N1695" s="5" t="str">
        <f ca="1">IFERROR(__xludf.DUMMYFUNCTION("""COMPUTED_VALUE"""),"SC")</f>
        <v>SC</v>
      </c>
      <c r="O1695" s="5" t="str">
        <f ca="1">IFERROR(__xludf.DUMMYFUNCTION("""COMPUTED_VALUE"""),"High")</f>
        <v>High</v>
      </c>
      <c r="P1695" s="5" t="str">
        <f ca="1">IFERROR(__xludf.DUMMYFUNCTION("""COMPUTED_VALUE"""),"Parking Lot")</f>
        <v>Parking Lot</v>
      </c>
      <c r="Q1695" s="5" t="str">
        <f ca="1">IFERROR(__xludf.DUMMYFUNCTION("""COMPUTED_VALUE"""),"Outside on School Property")</f>
        <v>Outside on School Property</v>
      </c>
      <c r="R1695" s="5" t="str">
        <f ca="1">IFERROR(__xludf.DUMMYFUNCTION("""COMPUTED_VALUE"""),"No")</f>
        <v>No</v>
      </c>
      <c r="S1695" s="5" t="str">
        <f ca="1">IFERROR(__xludf.DUMMYFUNCTION("""COMPUTED_VALUE"""),"School Event")</f>
        <v>School Event</v>
      </c>
      <c r="T1695" s="5"/>
      <c r="U1695" s="5"/>
      <c r="V1695" s="5" t="str">
        <f ca="1">IFERROR(__xludf.DUMMYFUNCTION("""COMPUTED_VALUE"""),"Following talent show, large fight broke out in school parking lot. 2 shooters fired during fight.")</f>
        <v>Following talent show, large fight broke out in school parking lot. 2 shooters fired during fight.</v>
      </c>
      <c r="W1695"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X1695" s="5" t="str">
        <f ca="1">IFERROR(__xludf.DUMMYFUNCTION("""COMPUTED_VALUE"""),"Escalation of Dispute")</f>
        <v>Escalation of Dispute</v>
      </c>
      <c r="Y1695" s="5" t="str">
        <f ca="1">IFERROR(__xludf.DUMMYFUNCTION("""COMPUTED_VALUE"""),"Both")</f>
        <v>Both</v>
      </c>
      <c r="Z1695" s="5" t="str">
        <f ca="1">IFERROR(__xludf.DUMMYFUNCTION("""COMPUTED_VALUE"""),"Yes")</f>
        <v>Yes</v>
      </c>
      <c r="AA1695" s="5" t="str">
        <f ca="1">IFERROR(__xludf.DUMMYFUNCTION("""COMPUTED_VALUE"""),"2 arrested")</f>
        <v>2 arrested</v>
      </c>
      <c r="AB1695" s="5" t="str">
        <f ca="1">IFERROR(__xludf.DUMMYFUNCTION("""COMPUTED_VALUE"""),"No")</f>
        <v>No</v>
      </c>
      <c r="AC1695" s="5" t="str">
        <f ca="1">IFERROR(__xludf.DUMMYFUNCTION("""COMPUTED_VALUE"""),"No")</f>
        <v>No</v>
      </c>
      <c r="AD1695" s="5" t="str">
        <f ca="1">IFERROR(__xludf.DUMMYFUNCTION("""COMPUTED_VALUE"""),"No")</f>
        <v>No</v>
      </c>
      <c r="AE1695" s="5" t="str">
        <f ca="1">IFERROR(__xludf.DUMMYFUNCTION("""COMPUTED_VALUE"""),"No")</f>
        <v>No</v>
      </c>
      <c r="AF1695" s="5" t="str">
        <f ca="1">IFERROR(__xludf.DUMMYFUNCTION("""COMPUTED_VALUE"""),"No")</f>
        <v>No</v>
      </c>
      <c r="AG1695" s="5" t="str">
        <f ca="1">IFERROR(__xludf.DUMMYFUNCTION("""COMPUTED_VALUE"""),"No")</f>
        <v>No</v>
      </c>
      <c r="AH1695" s="5"/>
    </row>
    <row r="1696" spans="1:34" ht="12.75">
      <c r="A1696" s="5" t="str">
        <f ca="1">IFERROR(__xludf.DUMMYFUNCTION("""COMPUTED_VALUE"""),"19910313ALSES")</f>
        <v>19910313ALSES</v>
      </c>
      <c r="B1696" s="8">
        <f ca="1">IFERROR(__xludf.DUMMYFUNCTION("""COMPUTED_VALUE"""),33310)</f>
        <v>33310</v>
      </c>
      <c r="C1696" s="5" t="str">
        <f ca="1">IFERROR(__xludf.DUMMYFUNCTION("""COMPUTED_VALUE"""),"Selma High School")</f>
        <v>Selma High School</v>
      </c>
      <c r="D1696" s="5">
        <f ca="1">IFERROR(__xludf.DUMMYFUNCTION("""COMPUTED_VALUE"""),0)</f>
        <v>0</v>
      </c>
      <c r="E1696" s="5">
        <f ca="1">IFERROR(__xludf.DUMMYFUNCTION("""COMPUTED_VALUE"""),2)</f>
        <v>2</v>
      </c>
      <c r="F1696" s="5">
        <f ca="1">IFERROR(__xludf.DUMMYFUNCTION("""COMPUTED_VALUE"""),2)</f>
        <v>2</v>
      </c>
      <c r="G1696" s="5">
        <f ca="1">IFERROR(__xludf.DUMMYFUNCTION("""COMPUTED_VALUE"""),0)</f>
        <v>0</v>
      </c>
      <c r="H1696"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I1696" s="5"/>
      <c r="J1696" s="5"/>
      <c r="K1696" s="5">
        <f ca="1">IFERROR(__xludf.DUMMYFUNCTION("""COMPUTED_VALUE"""),3)</f>
        <v>3</v>
      </c>
      <c r="L1696" s="5" t="str">
        <f ca="1">IFERROR(__xludf.DUMMYFUNCTION("""COMPUTED_VALUE"""),"Spring")</f>
        <v>Spring</v>
      </c>
      <c r="M1696" s="5" t="str">
        <f ca="1">IFERROR(__xludf.DUMMYFUNCTION("""COMPUTED_VALUE"""),"Selma")</f>
        <v>Selma</v>
      </c>
      <c r="N1696" s="5" t="str">
        <f ca="1">IFERROR(__xludf.DUMMYFUNCTION("""COMPUTED_VALUE"""),"AL")</f>
        <v>AL</v>
      </c>
      <c r="O1696" s="5" t="str">
        <f ca="1">IFERROR(__xludf.DUMMYFUNCTION("""COMPUTED_VALUE"""),"High")</f>
        <v>High</v>
      </c>
      <c r="P1696" s="5" t="str">
        <f ca="1">IFERROR(__xludf.DUMMYFUNCTION("""COMPUTED_VALUE"""),"Gym")</f>
        <v>Gym</v>
      </c>
      <c r="Q1696" s="5" t="str">
        <f ca="1">IFERROR(__xludf.DUMMYFUNCTION("""COMPUTED_VALUE"""),"Inside School Building")</f>
        <v>Inside School Building</v>
      </c>
      <c r="R1696" s="5" t="str">
        <f ca="1">IFERROR(__xludf.DUMMYFUNCTION("""COMPUTED_VALUE"""),"Yes")</f>
        <v>Yes</v>
      </c>
      <c r="S1696" s="5" t="str">
        <f ca="1">IFERROR(__xludf.DUMMYFUNCTION("""COMPUTED_VALUE"""),"Morning Classes")</f>
        <v>Morning Classes</v>
      </c>
      <c r="T1696" s="10">
        <f ca="1">IFERROR(__xludf.DUMMYFUNCTION("""COMPUTED_VALUE"""),0.399305555555555)</f>
        <v>0.39930555555555503</v>
      </c>
      <c r="U1696" s="5">
        <f ca="1">IFERROR(__xludf.DUMMYFUNCTION("""COMPUTED_VALUE"""),1)</f>
        <v>1</v>
      </c>
      <c r="V1696" s="5" t="str">
        <f ca="1">IFERROR(__xludf.DUMMYFUNCTION("""COMPUTED_VALUE"""),"Targeted victim after fight the prior weekend")</f>
        <v>Targeted victim after fight the prior weekend</v>
      </c>
      <c r="W1696"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X1696" s="5" t="str">
        <f ca="1">IFERROR(__xludf.DUMMYFUNCTION("""COMPUTED_VALUE"""),"Escalation of Dispute")</f>
        <v>Escalation of Dispute</v>
      </c>
      <c r="Y1696" s="5" t="str">
        <f ca="1">IFERROR(__xludf.DUMMYFUNCTION("""COMPUTED_VALUE"""),"Both")</f>
        <v>Both</v>
      </c>
      <c r="Z1696" s="5" t="str">
        <f ca="1">IFERROR(__xludf.DUMMYFUNCTION("""COMPUTED_VALUE"""),"No")</f>
        <v>No</v>
      </c>
      <c r="AA1696" s="5"/>
      <c r="AB1696" s="5" t="str">
        <f ca="1">IFERROR(__xludf.DUMMYFUNCTION("""COMPUTED_VALUE"""),"No")</f>
        <v>No</v>
      </c>
      <c r="AC1696" s="5" t="str">
        <f ca="1">IFERROR(__xludf.DUMMYFUNCTION("""COMPUTED_VALUE"""),"No")</f>
        <v>No</v>
      </c>
      <c r="AD1696" s="5" t="str">
        <f ca="1">IFERROR(__xludf.DUMMYFUNCTION("""COMPUTED_VALUE"""),"No")</f>
        <v>No</v>
      </c>
      <c r="AE1696" s="5" t="str">
        <f ca="1">IFERROR(__xludf.DUMMYFUNCTION("""COMPUTED_VALUE"""),"No")</f>
        <v>No</v>
      </c>
      <c r="AF1696" s="5" t="str">
        <f ca="1">IFERROR(__xludf.DUMMYFUNCTION("""COMPUTED_VALUE"""),"No")</f>
        <v>No</v>
      </c>
      <c r="AG1696" s="5" t="str">
        <f ca="1">IFERROR(__xludf.DUMMYFUNCTION("""COMPUTED_VALUE"""),"No")</f>
        <v>No</v>
      </c>
      <c r="AH1696" s="5"/>
    </row>
    <row r="1697" spans="1:34" ht="12.75">
      <c r="A1697" s="5" t="str">
        <f ca="1">IFERROR(__xludf.DUMMYFUNCTION("""COMPUTED_VALUE"""),"19910219LABON")</f>
        <v>19910219LABON</v>
      </c>
      <c r="B1697" s="8">
        <f ca="1">IFERROR(__xludf.DUMMYFUNCTION("""COMPUTED_VALUE"""),33288)</f>
        <v>33288</v>
      </c>
      <c r="C1697" s="5" t="str">
        <f ca="1">IFERROR(__xludf.DUMMYFUNCTION("""COMPUTED_VALUE"""),"Booker T. Washington High School")</f>
        <v>Booker T. Washington High School</v>
      </c>
      <c r="D1697" s="5">
        <f ca="1">IFERROR(__xludf.DUMMYFUNCTION("""COMPUTED_VALUE"""),1)</f>
        <v>1</v>
      </c>
      <c r="E1697" s="5">
        <f ca="1">IFERROR(__xludf.DUMMYFUNCTION("""COMPUTED_VALUE"""),1)</f>
        <v>1</v>
      </c>
      <c r="F1697" s="5">
        <f ca="1">IFERROR(__xludf.DUMMYFUNCTION("""COMPUTED_VALUE"""),2)</f>
        <v>2</v>
      </c>
      <c r="G1697" s="5">
        <f ca="1">IFERROR(__xludf.DUMMYFUNCTION("""COMPUTED_VALUE"""),0)</f>
        <v>0</v>
      </c>
      <c r="H1697" s="9" t="str">
        <f ca="1">IFERROR(__xludf.DUMMYFUNCTION("""COMPUTED_VALUE"""),"https://www.newspapers.com/image/216895876/?terms=Booker%2BT.%2BWashington%2BHigh%2BSchool%2Bshooting")</f>
        <v>https://www.newspapers.com/image/216895876/?terms=Booker%2BT.%2BWashington%2BHigh%2BSchool%2Bshooting</v>
      </c>
      <c r="I1697" s="5"/>
      <c r="J1697" s="5" t="str">
        <f ca="1">IFERROR(__xludf.DUMMYFUNCTION("""COMPUTED_VALUE"""),"Local")</f>
        <v>Local</v>
      </c>
      <c r="K1697" s="5">
        <f ca="1">IFERROR(__xludf.DUMMYFUNCTION("""COMPUTED_VALUE"""),2)</f>
        <v>2</v>
      </c>
      <c r="L1697" s="5" t="str">
        <f ca="1">IFERROR(__xludf.DUMMYFUNCTION("""COMPUTED_VALUE"""),"Winter")</f>
        <v>Winter</v>
      </c>
      <c r="M1697" s="5" t="str">
        <f ca="1">IFERROR(__xludf.DUMMYFUNCTION("""COMPUTED_VALUE"""),"New Orleans")</f>
        <v>New Orleans</v>
      </c>
      <c r="N1697" s="5" t="str">
        <f ca="1">IFERROR(__xludf.DUMMYFUNCTION("""COMPUTED_VALUE"""),"LA")</f>
        <v>LA</v>
      </c>
      <c r="O1697" s="5" t="str">
        <f ca="1">IFERROR(__xludf.DUMMYFUNCTION("""COMPUTED_VALUE"""),"High")</f>
        <v>High</v>
      </c>
      <c r="P1697" s="5" t="str">
        <f ca="1">IFERROR(__xludf.DUMMYFUNCTION("""COMPUTED_VALUE"""),"Outside on School Property")</f>
        <v>Outside on School Property</v>
      </c>
      <c r="Q1697" s="5" t="str">
        <f ca="1">IFERROR(__xludf.DUMMYFUNCTION("""COMPUTED_VALUE"""),"Outside on School Property")</f>
        <v>Outside on School Property</v>
      </c>
      <c r="R1697" s="5" t="str">
        <f ca="1">IFERROR(__xludf.DUMMYFUNCTION("""COMPUTED_VALUE"""),"Yes")</f>
        <v>Yes</v>
      </c>
      <c r="S1697" s="5" t="str">
        <f ca="1">IFERROR(__xludf.DUMMYFUNCTION("""COMPUTED_VALUE"""),"Lunch")</f>
        <v>Lunch</v>
      </c>
      <c r="T1697" s="10">
        <f ca="1">IFERROR(__xludf.DUMMYFUNCTION("""COMPUTED_VALUE"""),0.541666666666666)</f>
        <v>0.54166666666666596</v>
      </c>
      <c r="U1697" s="5">
        <f ca="1">IFERROR(__xludf.DUMMYFUNCTION("""COMPUTED_VALUE"""),1)</f>
        <v>1</v>
      </c>
      <c r="V1697"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W1697"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X1697" s="5" t="str">
        <f ca="1">IFERROR(__xludf.DUMMYFUNCTION("""COMPUTED_VALUE"""),"Illegal Activity")</f>
        <v>Illegal Activity</v>
      </c>
      <c r="Y1697" s="5" t="str">
        <f ca="1">IFERROR(__xludf.DUMMYFUNCTION("""COMPUTED_VALUE"""),"Both")</f>
        <v>Both</v>
      </c>
      <c r="Z1697" s="5" t="str">
        <f ca="1">IFERROR(__xludf.DUMMYFUNCTION("""COMPUTED_VALUE"""),"No")</f>
        <v>No</v>
      </c>
      <c r="AA1697" s="5"/>
      <c r="AB1697" s="5" t="str">
        <f ca="1">IFERROR(__xludf.DUMMYFUNCTION("""COMPUTED_VALUE"""),"No")</f>
        <v>No</v>
      </c>
      <c r="AC1697" s="5" t="str">
        <f ca="1">IFERROR(__xludf.DUMMYFUNCTION("""COMPUTED_VALUE"""),"No")</f>
        <v>No</v>
      </c>
      <c r="AD1697" s="5" t="str">
        <f ca="1">IFERROR(__xludf.DUMMYFUNCTION("""COMPUTED_VALUE"""),"No")</f>
        <v>No</v>
      </c>
      <c r="AE1697" s="5" t="str">
        <f ca="1">IFERROR(__xludf.DUMMYFUNCTION("""COMPUTED_VALUE"""),"No")</f>
        <v>No</v>
      </c>
      <c r="AF1697" s="5" t="str">
        <f ca="1">IFERROR(__xludf.DUMMYFUNCTION("""COMPUTED_VALUE"""),"No")</f>
        <v>No</v>
      </c>
      <c r="AG1697" s="5" t="str">
        <f ca="1">IFERROR(__xludf.DUMMYFUNCTION("""COMPUTED_VALUE"""),"No")</f>
        <v>No</v>
      </c>
      <c r="AH1697" s="5"/>
    </row>
    <row r="1698" spans="1:34" ht="12.75">
      <c r="A1698" s="5" t="str">
        <f ca="1">IFERROR(__xludf.DUMMYFUNCTION("""COMPUTED_VALUE"""),"19910117TXHOD")</f>
        <v>19910117TXHOD</v>
      </c>
      <c r="B1698" s="8">
        <f ca="1">IFERROR(__xludf.DUMMYFUNCTION("""COMPUTED_VALUE"""),33255)</f>
        <v>33255</v>
      </c>
      <c r="C1698" s="5" t="str">
        <f ca="1">IFERROR(__xludf.DUMMYFUNCTION("""COMPUTED_VALUE"""),"Hood Middle School")</f>
        <v>Hood Middle School</v>
      </c>
      <c r="D1698" s="5">
        <f ca="1">IFERROR(__xludf.DUMMYFUNCTION("""COMPUTED_VALUE"""),0)</f>
        <v>0</v>
      </c>
      <c r="E1698" s="5">
        <f ca="1">IFERROR(__xludf.DUMMYFUNCTION("""COMPUTED_VALUE"""),1)</f>
        <v>1</v>
      </c>
      <c r="F1698" s="5">
        <f ca="1">IFERROR(__xludf.DUMMYFUNCTION("""COMPUTED_VALUE"""),1)</f>
        <v>1</v>
      </c>
      <c r="G1698" s="5">
        <f ca="1">IFERROR(__xludf.DUMMYFUNCTION("""COMPUTED_VALUE"""),0)</f>
        <v>0</v>
      </c>
      <c r="H1698"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I1698" s="5"/>
      <c r="J1698" s="5"/>
      <c r="K1698" s="5">
        <f ca="1">IFERROR(__xludf.DUMMYFUNCTION("""COMPUTED_VALUE"""),1)</f>
        <v>1</v>
      </c>
      <c r="L1698" s="5" t="str">
        <f ca="1">IFERROR(__xludf.DUMMYFUNCTION("""COMPUTED_VALUE"""),"Winter")</f>
        <v>Winter</v>
      </c>
      <c r="M1698" s="5" t="str">
        <f ca="1">IFERROR(__xludf.DUMMYFUNCTION("""COMPUTED_VALUE"""),"Dallas")</f>
        <v>Dallas</v>
      </c>
      <c r="N1698" s="5" t="str">
        <f ca="1">IFERROR(__xludf.DUMMYFUNCTION("""COMPUTED_VALUE"""),"TX")</f>
        <v>TX</v>
      </c>
      <c r="O1698" s="5" t="str">
        <f ca="1">IFERROR(__xludf.DUMMYFUNCTION("""COMPUTED_VALUE"""),"Middle")</f>
        <v>Middle</v>
      </c>
      <c r="P1698" s="5" t="str">
        <f ca="1">IFERROR(__xludf.DUMMYFUNCTION("""COMPUTED_VALUE"""),"Outside on School Property")</f>
        <v>Outside on School Property</v>
      </c>
      <c r="Q1698" s="5" t="str">
        <f ca="1">IFERROR(__xludf.DUMMYFUNCTION("""COMPUTED_VALUE"""),"Outside on School Property")</f>
        <v>Outside on School Property</v>
      </c>
      <c r="R1698" s="5" t="str">
        <f ca="1">IFERROR(__xludf.DUMMYFUNCTION("""COMPUTED_VALUE"""),"No")</f>
        <v>No</v>
      </c>
      <c r="S1698" s="5" t="str">
        <f ca="1">IFERROR(__xludf.DUMMYFUNCTION("""COMPUTED_VALUE"""),"Before School")</f>
        <v>Before School</v>
      </c>
      <c r="T1698" s="5"/>
      <c r="U1698" s="5"/>
      <c r="V1698" s="5" t="str">
        <f ca="1">IFERROR(__xludf.DUMMYFUNCTION("""COMPUTED_VALUE"""),"Large fight occurred between students from rival neighborhood. Shots fired by two students. One was injured.")</f>
        <v>Large fight occurred between students from rival neighborhood. Shots fired by two students. One was injured.</v>
      </c>
      <c r="W1698"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X1698" s="5" t="str">
        <f ca="1">IFERROR(__xludf.DUMMYFUNCTION("""COMPUTED_VALUE"""),"Escalation of Dispute")</f>
        <v>Escalation of Dispute</v>
      </c>
      <c r="Y1698" s="5" t="str">
        <f ca="1">IFERROR(__xludf.DUMMYFUNCTION("""COMPUTED_VALUE"""),"Random Shooting")</f>
        <v>Random Shooting</v>
      </c>
      <c r="Z1698" s="5" t="str">
        <f ca="1">IFERROR(__xludf.DUMMYFUNCTION("""COMPUTED_VALUE"""),"Yes")</f>
        <v>Yes</v>
      </c>
      <c r="AA1698" s="5" t="str">
        <f ca="1">IFERROR(__xludf.DUMMYFUNCTION("""COMPUTED_VALUE"""),"20-30 students involved in fight")</f>
        <v>20-30 students involved in fight</v>
      </c>
      <c r="AB1698" s="5" t="str">
        <f ca="1">IFERROR(__xludf.DUMMYFUNCTION("""COMPUTED_VALUE"""),"No")</f>
        <v>No</v>
      </c>
      <c r="AC1698" s="5" t="str">
        <f ca="1">IFERROR(__xludf.DUMMYFUNCTION("""COMPUTED_VALUE"""),"No")</f>
        <v>No</v>
      </c>
      <c r="AD1698" s="5" t="str">
        <f ca="1">IFERROR(__xludf.DUMMYFUNCTION("""COMPUTED_VALUE"""),"No")</f>
        <v>No</v>
      </c>
      <c r="AE1698" s="5" t="str">
        <f ca="1">IFERROR(__xludf.DUMMYFUNCTION("""COMPUTED_VALUE"""),"No")</f>
        <v>No</v>
      </c>
      <c r="AF1698" s="5" t="str">
        <f ca="1">IFERROR(__xludf.DUMMYFUNCTION("""COMPUTED_VALUE"""),"No")</f>
        <v>No</v>
      </c>
      <c r="AG1698" s="5" t="str">
        <f ca="1">IFERROR(__xludf.DUMMYFUNCTION("""COMPUTED_VALUE"""),"Yes")</f>
        <v>Yes</v>
      </c>
      <c r="AH1698" s="5"/>
    </row>
    <row r="1699" spans="1:34" ht="12.75">
      <c r="A1699" s="5" t="str">
        <f ca="1">IFERROR(__xludf.DUMMYFUNCTION("""COMPUTED_VALUE"""),"19910108TXRIR")</f>
        <v>19910108TXRIR</v>
      </c>
      <c r="B1699" s="8">
        <f ca="1">IFERROR(__xludf.DUMMYFUNCTION("""COMPUTED_VALUE"""),33246)</f>
        <v>33246</v>
      </c>
      <c r="C1699" s="5" t="str">
        <f ca="1">IFERROR(__xludf.DUMMYFUNCTION("""COMPUTED_VALUE"""),"Richardson High School")</f>
        <v>Richardson High School</v>
      </c>
      <c r="D1699" s="5">
        <f ca="1">IFERROR(__xludf.DUMMYFUNCTION("""COMPUTED_VALUE"""),0)</f>
        <v>0</v>
      </c>
      <c r="E1699" s="5">
        <f ca="1">IFERROR(__xludf.DUMMYFUNCTION("""COMPUTED_VALUE"""),0)</f>
        <v>0</v>
      </c>
      <c r="F1699" s="5">
        <f ca="1">IFERROR(__xludf.DUMMYFUNCTION("""COMPUTED_VALUE"""),0)</f>
        <v>0</v>
      </c>
      <c r="G1699" s="5">
        <f ca="1">IFERROR(__xludf.DUMMYFUNCTION("""COMPUTED_VALUE"""),1)</f>
        <v>1</v>
      </c>
      <c r="H1699"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I1699" s="5"/>
      <c r="J1699" s="5"/>
      <c r="K1699" s="5">
        <f ca="1">IFERROR(__xludf.DUMMYFUNCTION("""COMPUTED_VALUE"""),3)</f>
        <v>3</v>
      </c>
      <c r="L1699" s="5" t="str">
        <f ca="1">IFERROR(__xludf.DUMMYFUNCTION("""COMPUTED_VALUE"""),"Winter")</f>
        <v>Winter</v>
      </c>
      <c r="M1699" s="5" t="str">
        <f ca="1">IFERROR(__xludf.DUMMYFUNCTION("""COMPUTED_VALUE"""),"Richardson")</f>
        <v>Richardson</v>
      </c>
      <c r="N1699" s="5" t="str">
        <f ca="1">IFERROR(__xludf.DUMMYFUNCTION("""COMPUTED_VALUE"""),"TX")</f>
        <v>TX</v>
      </c>
      <c r="O1699" s="5" t="str">
        <f ca="1">IFERROR(__xludf.DUMMYFUNCTION("""COMPUTED_VALUE"""),"High")</f>
        <v>High</v>
      </c>
      <c r="P1699" s="5" t="str">
        <f ca="1">IFERROR(__xludf.DUMMYFUNCTION("""COMPUTED_VALUE"""),"Classroom")</f>
        <v>Classroom</v>
      </c>
      <c r="Q1699" s="5" t="str">
        <f ca="1">IFERROR(__xludf.DUMMYFUNCTION("""COMPUTED_VALUE"""),"Inside School Building")</f>
        <v>Inside School Building</v>
      </c>
      <c r="R1699" s="5" t="str">
        <f ca="1">IFERROR(__xludf.DUMMYFUNCTION("""COMPUTED_VALUE"""),"Yes")</f>
        <v>Yes</v>
      </c>
      <c r="S1699" s="5" t="str">
        <f ca="1">IFERROR(__xludf.DUMMYFUNCTION("""COMPUTED_VALUE"""),"Morning Classes")</f>
        <v>Morning Classes</v>
      </c>
      <c r="T1699" s="10">
        <f ca="1">IFERROR(__xludf.DUMMYFUNCTION("""COMPUTED_VALUE"""),0.40625)</f>
        <v>0.40625</v>
      </c>
      <c r="U1699" s="5">
        <f ca="1">IFERROR(__xludf.DUMMYFUNCTION("""COMPUTED_VALUE"""),1)</f>
        <v>1</v>
      </c>
      <c r="V1699" s="5" t="str">
        <f ca="1">IFERROR(__xludf.DUMMYFUNCTION("""COMPUTED_VALUE"""),"Student walked into class room, put .357 into mouth, and commit suicide")</f>
        <v>Student walked into class room, put .357 into mouth, and commit suicide</v>
      </c>
      <c r="W1699"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X1699" s="5" t="str">
        <f ca="1">IFERROR(__xludf.DUMMYFUNCTION("""COMPUTED_VALUE"""),"Suicide/Attempted")</f>
        <v>Suicide/Attempted</v>
      </c>
      <c r="Y1699" s="5" t="str">
        <f ca="1">IFERROR(__xludf.DUMMYFUNCTION("""COMPUTED_VALUE"""),"Victims Targeted")</f>
        <v>Victims Targeted</v>
      </c>
      <c r="Z1699" s="5" t="str">
        <f ca="1">IFERROR(__xludf.DUMMYFUNCTION("""COMPUTED_VALUE"""),"No")</f>
        <v>No</v>
      </c>
      <c r="AA1699" s="5"/>
      <c r="AB1699" s="5" t="str">
        <f ca="1">IFERROR(__xludf.DUMMYFUNCTION("""COMPUTED_VALUE"""),"No")</f>
        <v>No</v>
      </c>
      <c r="AC1699" s="5" t="str">
        <f ca="1">IFERROR(__xludf.DUMMYFUNCTION("""COMPUTED_VALUE"""),"No")</f>
        <v>No</v>
      </c>
      <c r="AD1699" s="5" t="str">
        <f ca="1">IFERROR(__xludf.DUMMYFUNCTION("""COMPUTED_VALUE"""),"No")</f>
        <v>No</v>
      </c>
      <c r="AE1699" s="5" t="str">
        <f ca="1">IFERROR(__xludf.DUMMYFUNCTION("""COMPUTED_VALUE"""),"No")</f>
        <v>No</v>
      </c>
      <c r="AF1699" s="5" t="str">
        <f ca="1">IFERROR(__xludf.DUMMYFUNCTION("""COMPUTED_VALUE"""),"No")</f>
        <v>No</v>
      </c>
      <c r="AG1699" s="5" t="str">
        <f ca="1">IFERROR(__xludf.DUMMYFUNCTION("""COMPUTED_VALUE"""),"No")</f>
        <v>No</v>
      </c>
      <c r="AH1699" s="5"/>
    </row>
    <row r="1700" spans="1:34" ht="12.75">
      <c r="A1700" s="5" t="str">
        <f ca="1">IFERROR(__xludf.DUMMYFUNCTION("""COMPUTED_VALUE"""),"19901213LASAS")</f>
        <v>19901213LASAS</v>
      </c>
      <c r="B1700" s="8">
        <f ca="1">IFERROR(__xludf.DUMMYFUNCTION("""COMPUTED_VALUE"""),33220)</f>
        <v>33220</v>
      </c>
      <c r="C1700" s="5" t="str">
        <f ca="1">IFERROR(__xludf.DUMMYFUNCTION("""COMPUTED_VALUE"""),"Salmen High School")</f>
        <v>Salmen High School</v>
      </c>
      <c r="D1700" s="5">
        <f ca="1">IFERROR(__xludf.DUMMYFUNCTION("""COMPUTED_VALUE"""),0)</f>
        <v>0</v>
      </c>
      <c r="E1700" s="5">
        <f ca="1">IFERROR(__xludf.DUMMYFUNCTION("""COMPUTED_VALUE"""),0)</f>
        <v>0</v>
      </c>
      <c r="F1700" s="5">
        <f ca="1">IFERROR(__xludf.DUMMYFUNCTION("""COMPUTED_VALUE"""),0)</f>
        <v>0</v>
      </c>
      <c r="G1700" s="5">
        <f ca="1">IFERROR(__xludf.DUMMYFUNCTION("""COMPUTED_VALUE"""),0)</f>
        <v>0</v>
      </c>
      <c r="H1700"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I1700" s="5"/>
      <c r="J1700" s="5"/>
      <c r="K1700" s="5">
        <f ca="1">IFERROR(__xludf.DUMMYFUNCTION("""COMPUTED_VALUE"""),1)</f>
        <v>1</v>
      </c>
      <c r="L1700" s="5" t="str">
        <f ca="1">IFERROR(__xludf.DUMMYFUNCTION("""COMPUTED_VALUE"""),"Winter")</f>
        <v>Winter</v>
      </c>
      <c r="M1700" s="5" t="str">
        <f ca="1">IFERROR(__xludf.DUMMYFUNCTION("""COMPUTED_VALUE"""),"Slidell")</f>
        <v>Slidell</v>
      </c>
      <c r="N1700" s="5" t="str">
        <f ca="1">IFERROR(__xludf.DUMMYFUNCTION("""COMPUTED_VALUE"""),"LA")</f>
        <v>LA</v>
      </c>
      <c r="O1700" s="5" t="str">
        <f ca="1">IFERROR(__xludf.DUMMYFUNCTION("""COMPUTED_VALUE"""),"High")</f>
        <v>High</v>
      </c>
      <c r="P1700" s="5" t="str">
        <f ca="1">IFERROR(__xludf.DUMMYFUNCTION("""COMPUTED_VALUE"""),"Parking Lot")</f>
        <v>Parking Lot</v>
      </c>
      <c r="Q1700" s="5" t="str">
        <f ca="1">IFERROR(__xludf.DUMMYFUNCTION("""COMPUTED_VALUE"""),"Outside on School Property")</f>
        <v>Outside on School Property</v>
      </c>
      <c r="R1700" s="5" t="str">
        <f ca="1">IFERROR(__xludf.DUMMYFUNCTION("""COMPUTED_VALUE"""),"No")</f>
        <v>No</v>
      </c>
      <c r="S1700" s="5" t="str">
        <f ca="1">IFERROR(__xludf.DUMMYFUNCTION("""COMPUTED_VALUE"""),"Sport Event")</f>
        <v>Sport Event</v>
      </c>
      <c r="T1700" s="10">
        <f ca="1">IFERROR(__xludf.DUMMYFUNCTION("""COMPUTED_VALUE"""),0.869444444444444)</f>
        <v>0.86944444444444402</v>
      </c>
      <c r="U1700" s="5">
        <f ca="1">IFERROR(__xludf.DUMMYFUNCTION("""COMPUTED_VALUE"""),1)</f>
        <v>1</v>
      </c>
      <c r="V1700"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W1700"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X1700" s="5" t="str">
        <f ca="1">IFERROR(__xludf.DUMMYFUNCTION("""COMPUTED_VALUE"""),"Illegal Activity")</f>
        <v>Illegal Activity</v>
      </c>
      <c r="Y1700" s="5" t="str">
        <f ca="1">IFERROR(__xludf.DUMMYFUNCTION("""COMPUTED_VALUE"""),"Victims Targeted")</f>
        <v>Victims Targeted</v>
      </c>
      <c r="Z1700" s="5" t="str">
        <f ca="1">IFERROR(__xludf.DUMMYFUNCTION("""COMPUTED_VALUE"""),"No")</f>
        <v>No</v>
      </c>
      <c r="AA1700" s="5"/>
      <c r="AB1700" s="5" t="str">
        <f ca="1">IFERROR(__xludf.DUMMYFUNCTION("""COMPUTED_VALUE"""),"No")</f>
        <v>No</v>
      </c>
      <c r="AC1700" s="5" t="str">
        <f ca="1">IFERROR(__xludf.DUMMYFUNCTION("""COMPUTED_VALUE"""),"No")</f>
        <v>No</v>
      </c>
      <c r="AD1700" s="5" t="str">
        <f ca="1">IFERROR(__xludf.DUMMYFUNCTION("""COMPUTED_VALUE"""),"No")</f>
        <v>No</v>
      </c>
      <c r="AE1700" s="5" t="str">
        <f ca="1">IFERROR(__xludf.DUMMYFUNCTION("""COMPUTED_VALUE"""),"No")</f>
        <v>No</v>
      </c>
      <c r="AF1700" s="5" t="str">
        <f ca="1">IFERROR(__xludf.DUMMYFUNCTION("""COMPUTED_VALUE"""),"No")</f>
        <v>No</v>
      </c>
      <c r="AG1700" s="5" t="str">
        <f ca="1">IFERROR(__xludf.DUMMYFUNCTION("""COMPUTED_VALUE"""),"Yes")</f>
        <v>Yes</v>
      </c>
      <c r="AH1700" s="5"/>
    </row>
    <row r="1701" spans="1:34" ht="12.75">
      <c r="A1701" s="5" t="str">
        <f ca="1">IFERROR(__xludf.DUMMYFUNCTION("""COMPUTED_VALUE"""),"19901110TXJUD")</f>
        <v>19901110TXJUD</v>
      </c>
      <c r="B1701" s="8">
        <f ca="1">IFERROR(__xludf.DUMMYFUNCTION("""COMPUTED_VALUE"""),33187)</f>
        <v>33187</v>
      </c>
      <c r="C1701" s="5" t="str">
        <f ca="1">IFERROR(__xludf.DUMMYFUNCTION("""COMPUTED_VALUE"""),"Justin Kimball High School")</f>
        <v>Justin Kimball High School</v>
      </c>
      <c r="D1701" s="5">
        <f ca="1">IFERROR(__xludf.DUMMYFUNCTION("""COMPUTED_VALUE"""),0)</f>
        <v>0</v>
      </c>
      <c r="E1701" s="5">
        <f ca="1">IFERROR(__xludf.DUMMYFUNCTION("""COMPUTED_VALUE"""),1)</f>
        <v>1</v>
      </c>
      <c r="F1701" s="5">
        <f ca="1">IFERROR(__xludf.DUMMYFUNCTION("""COMPUTED_VALUE"""),1)</f>
        <v>1</v>
      </c>
      <c r="G1701" s="5">
        <f ca="1">IFERROR(__xludf.DUMMYFUNCTION("""COMPUTED_VALUE"""),0)</f>
        <v>0</v>
      </c>
      <c r="H1701" s="9" t="str">
        <f ca="1">IFERROR(__xludf.DUMMYFUNCTION("""COMPUTED_VALUE"""),"https://www.newspapers.com/image/16849683/?terms=%22shot%20high%20school%20football%22&amp;match=1")</f>
        <v>https://www.newspapers.com/image/16849683/?terms=%22shot%20high%20school%20football%22&amp;match=1</v>
      </c>
      <c r="I1701" s="5">
        <f ca="1">IFERROR(__xludf.DUMMYFUNCTION("""COMPUTED_VALUE"""),1)</f>
        <v>1</v>
      </c>
      <c r="J1701" s="5" t="str">
        <f ca="1">IFERROR(__xludf.DUMMYFUNCTION("""COMPUTED_VALUE"""),"Regional")</f>
        <v>Regional</v>
      </c>
      <c r="K1701" s="5">
        <f ca="1">IFERROR(__xludf.DUMMYFUNCTION("""COMPUTED_VALUE"""),3)</f>
        <v>3</v>
      </c>
      <c r="L1701" s="5" t="str">
        <f ca="1">IFERROR(__xludf.DUMMYFUNCTION("""COMPUTED_VALUE"""),"Fall")</f>
        <v>Fall</v>
      </c>
      <c r="M1701" s="5" t="str">
        <f ca="1">IFERROR(__xludf.DUMMYFUNCTION("""COMPUTED_VALUE"""),"Dallas")</f>
        <v>Dallas</v>
      </c>
      <c r="N1701" s="5" t="str">
        <f ca="1">IFERROR(__xludf.DUMMYFUNCTION("""COMPUTED_VALUE"""),"TX")</f>
        <v>TX</v>
      </c>
      <c r="O1701" s="5" t="str">
        <f ca="1">IFERROR(__xludf.DUMMYFUNCTION("""COMPUTED_VALUE"""),"High")</f>
        <v>High</v>
      </c>
      <c r="P1701" s="5" t="str">
        <f ca="1">IFERROR(__xludf.DUMMYFUNCTION("""COMPUTED_VALUE"""),"Football Field/Track")</f>
        <v>Football Field/Track</v>
      </c>
      <c r="Q1701" s="5" t="str">
        <f ca="1">IFERROR(__xludf.DUMMYFUNCTION("""COMPUTED_VALUE"""),"Outside on School Property")</f>
        <v>Outside on School Property</v>
      </c>
      <c r="R1701" s="5" t="str">
        <f ca="1">IFERROR(__xludf.DUMMYFUNCTION("""COMPUTED_VALUE"""),"No")</f>
        <v>No</v>
      </c>
      <c r="S1701" s="5" t="str">
        <f ca="1">IFERROR(__xludf.DUMMYFUNCTION("""COMPUTED_VALUE"""),"Sport Event")</f>
        <v>Sport Event</v>
      </c>
      <c r="T1701" s="10">
        <f ca="1">IFERROR(__xludf.DUMMYFUNCTION("""COMPUTED_VALUE"""),0.861111111111111)</f>
        <v>0.86111111111111105</v>
      </c>
      <c r="U1701" s="5">
        <f ca="1">IFERROR(__xludf.DUMMYFUNCTION("""COMPUTED_VALUE"""),1)</f>
        <v>1</v>
      </c>
      <c r="V1701" s="5" t="str">
        <f ca="1">IFERROR(__xludf.DUMMYFUNCTION("""COMPUTED_VALUE"""),"Teen shot in the neck in the stands during football game")</f>
        <v>Teen shot in the neck in the stands during football game</v>
      </c>
      <c r="W1701"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X1701" s="5" t="str">
        <f ca="1">IFERROR(__xludf.DUMMYFUNCTION("""COMPUTED_VALUE"""),"Unknown")</f>
        <v>Unknown</v>
      </c>
      <c r="Y1701" s="5" t="str">
        <f ca="1">IFERROR(__xludf.DUMMYFUNCTION("""COMPUTED_VALUE"""),"Both")</f>
        <v>Both</v>
      </c>
      <c r="Z1701" s="5" t="str">
        <f ca="1">IFERROR(__xludf.DUMMYFUNCTION("""COMPUTED_VALUE"""),"No")</f>
        <v>No</v>
      </c>
      <c r="AA1701" s="5"/>
      <c r="AB1701" s="5" t="str">
        <f ca="1">IFERROR(__xludf.DUMMYFUNCTION("""COMPUTED_VALUE"""),"No")</f>
        <v>No</v>
      </c>
      <c r="AC1701" s="5" t="str">
        <f ca="1">IFERROR(__xludf.DUMMYFUNCTION("""COMPUTED_VALUE"""),"No")</f>
        <v>No</v>
      </c>
      <c r="AD1701" s="5" t="str">
        <f ca="1">IFERROR(__xludf.DUMMYFUNCTION("""COMPUTED_VALUE"""),"No")</f>
        <v>No</v>
      </c>
      <c r="AE1701" s="5" t="str">
        <f ca="1">IFERROR(__xludf.DUMMYFUNCTION("""COMPUTED_VALUE"""),"No")</f>
        <v>No</v>
      </c>
      <c r="AF1701" s="5" t="str">
        <f ca="1">IFERROR(__xludf.DUMMYFUNCTION("""COMPUTED_VALUE"""),"No")</f>
        <v>No</v>
      </c>
      <c r="AG1701" s="5"/>
      <c r="AH1701" s="5" t="str">
        <f ca="1">IFERROR(__xludf.DUMMYFUNCTION("""COMPUTED_VALUE"""),"No")</f>
        <v>No</v>
      </c>
    </row>
    <row r="1702" spans="1:34" ht="12.75">
      <c r="A1702" s="5" t="str">
        <f ca="1">IFERROR(__xludf.DUMMYFUNCTION("""COMPUTED_VALUE"""),"19901030TXNAG")</f>
        <v>19901030TXNAG</v>
      </c>
      <c r="B1702" s="8">
        <f ca="1">IFERROR(__xludf.DUMMYFUNCTION("""COMPUTED_VALUE"""),33176)</f>
        <v>33176</v>
      </c>
      <c r="C1702" s="5" t="str">
        <f ca="1">IFERROR(__xludf.DUMMYFUNCTION("""COMPUTED_VALUE"""),"Naaman Forest High School")</f>
        <v>Naaman Forest High School</v>
      </c>
      <c r="D1702" s="5">
        <f ca="1">IFERROR(__xludf.DUMMYFUNCTION("""COMPUTED_VALUE"""),0)</f>
        <v>0</v>
      </c>
      <c r="E1702" s="5">
        <f ca="1">IFERROR(__xludf.DUMMYFUNCTION("""COMPUTED_VALUE"""),1)</f>
        <v>1</v>
      </c>
      <c r="F1702" s="5">
        <f ca="1">IFERROR(__xludf.DUMMYFUNCTION("""COMPUTED_VALUE"""),1)</f>
        <v>1</v>
      </c>
      <c r="G1702" s="5">
        <f ca="1">IFERROR(__xludf.DUMMYFUNCTION("""COMPUTED_VALUE"""),0)</f>
        <v>0</v>
      </c>
      <c r="H1702" s="9" t="str">
        <f ca="1">IFERROR(__xludf.DUMMYFUNCTION("""COMPUTED_VALUE"""),"https://www.newspapers.com/image/300370142/?terms=Naaman%2BForest%2BHigh%2BSchool")</f>
        <v>https://www.newspapers.com/image/300370142/?terms=Naaman%2BForest%2BHigh%2BSchool</v>
      </c>
      <c r="I1702" s="5"/>
      <c r="J1702" s="5"/>
      <c r="K1702" s="5">
        <f ca="1">IFERROR(__xludf.DUMMYFUNCTION("""COMPUTED_VALUE"""),2)</f>
        <v>2</v>
      </c>
      <c r="L1702" s="5" t="str">
        <f ca="1">IFERROR(__xludf.DUMMYFUNCTION("""COMPUTED_VALUE"""),"Fall")</f>
        <v>Fall</v>
      </c>
      <c r="M1702" s="5" t="str">
        <f ca="1">IFERROR(__xludf.DUMMYFUNCTION("""COMPUTED_VALUE"""),"Garland")</f>
        <v>Garland</v>
      </c>
      <c r="N1702" s="5" t="str">
        <f ca="1">IFERROR(__xludf.DUMMYFUNCTION("""COMPUTED_VALUE"""),"TX")</f>
        <v>TX</v>
      </c>
      <c r="O1702" s="5" t="str">
        <f ca="1">IFERROR(__xludf.DUMMYFUNCTION("""COMPUTED_VALUE"""),"High")</f>
        <v>High</v>
      </c>
      <c r="P1702" s="5" t="str">
        <f ca="1">IFERROR(__xludf.DUMMYFUNCTION("""COMPUTED_VALUE"""),"Office")</f>
        <v>Office</v>
      </c>
      <c r="Q1702" s="5" t="str">
        <f ca="1">IFERROR(__xludf.DUMMYFUNCTION("""COMPUTED_VALUE"""),"Inside School Building")</f>
        <v>Inside School Building</v>
      </c>
      <c r="R1702" s="5" t="str">
        <f ca="1">IFERROR(__xludf.DUMMYFUNCTION("""COMPUTED_VALUE"""),"No")</f>
        <v>No</v>
      </c>
      <c r="S1702" s="5" t="str">
        <f ca="1">IFERROR(__xludf.DUMMYFUNCTION("""COMPUTED_VALUE"""),"Morning Classes")</f>
        <v>Morning Classes</v>
      </c>
      <c r="T1702" s="5"/>
      <c r="U1702" s="5">
        <f ca="1">IFERROR(__xludf.DUMMYFUNCTION("""COMPUTED_VALUE"""),1)</f>
        <v>1</v>
      </c>
      <c r="V1702" s="5" t="str">
        <f ca="1">IFERROR(__xludf.DUMMYFUNCTION("""COMPUTED_VALUE"""),"Mother of student shot principal for suspending son")</f>
        <v>Mother of student shot principal for suspending son</v>
      </c>
      <c r="W1702"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X1702" s="5" t="str">
        <f ca="1">IFERROR(__xludf.DUMMYFUNCTION("""COMPUTED_VALUE"""),"Anger Over Grade/Suspension/Discipline")</f>
        <v>Anger Over Grade/Suspension/Discipline</v>
      </c>
      <c r="Y1702" s="5" t="str">
        <f ca="1">IFERROR(__xludf.DUMMYFUNCTION("""COMPUTED_VALUE"""),"Victims Targeted")</f>
        <v>Victims Targeted</v>
      </c>
      <c r="Z1702" s="5" t="str">
        <f ca="1">IFERROR(__xludf.DUMMYFUNCTION("""COMPUTED_VALUE"""),"No")</f>
        <v>No</v>
      </c>
      <c r="AA1702" s="5"/>
      <c r="AB1702" s="5" t="str">
        <f ca="1">IFERROR(__xludf.DUMMYFUNCTION("""COMPUTED_VALUE"""),"No")</f>
        <v>No</v>
      </c>
      <c r="AC1702" s="5" t="str">
        <f ca="1">IFERROR(__xludf.DUMMYFUNCTION("""COMPUTED_VALUE"""),"No")</f>
        <v>No</v>
      </c>
      <c r="AD1702" s="5" t="str">
        <f ca="1">IFERROR(__xludf.DUMMYFUNCTION("""COMPUTED_VALUE"""),"No")</f>
        <v>No</v>
      </c>
      <c r="AE1702" s="5" t="str">
        <f ca="1">IFERROR(__xludf.DUMMYFUNCTION("""COMPUTED_VALUE"""),"No")</f>
        <v>No</v>
      </c>
      <c r="AF1702" s="5" t="str">
        <f ca="1">IFERROR(__xludf.DUMMYFUNCTION("""COMPUTED_VALUE"""),"No")</f>
        <v>No</v>
      </c>
      <c r="AG1702" s="5" t="str">
        <f ca="1">IFERROR(__xludf.DUMMYFUNCTION("""COMPUTED_VALUE"""),"No")</f>
        <v>No</v>
      </c>
      <c r="AH1702" s="5"/>
    </row>
    <row r="1703" spans="1:34" ht="12.75">
      <c r="A1703" s="5" t="str">
        <f ca="1">IFERROR(__xludf.DUMMYFUNCTION("""COMPUTED_VALUE"""),"19901029INCHC")</f>
        <v>19901029INCHC</v>
      </c>
      <c r="B1703" s="8">
        <f ca="1">IFERROR(__xludf.DUMMYFUNCTION("""COMPUTED_VALUE"""),33175)</f>
        <v>33175</v>
      </c>
      <c r="C1703" s="5" t="str">
        <f ca="1">IFERROR(__xludf.DUMMYFUNCTION("""COMPUTED_VALUE"""),"Charlestown High School")</f>
        <v>Charlestown High School</v>
      </c>
      <c r="D1703" s="5">
        <f ca="1">IFERROR(__xludf.DUMMYFUNCTION("""COMPUTED_VALUE"""),0)</f>
        <v>0</v>
      </c>
      <c r="E1703" s="5">
        <f ca="1">IFERROR(__xludf.DUMMYFUNCTION("""COMPUTED_VALUE"""),0)</f>
        <v>0</v>
      </c>
      <c r="F1703" s="5">
        <f ca="1">IFERROR(__xludf.DUMMYFUNCTION("""COMPUTED_VALUE"""),0)</f>
        <v>0</v>
      </c>
      <c r="G1703" s="5">
        <f ca="1">IFERROR(__xludf.DUMMYFUNCTION("""COMPUTED_VALUE"""),0)</f>
        <v>0</v>
      </c>
      <c r="H1703" s="9" t="str">
        <f ca="1">IFERROR(__xludf.DUMMYFUNCTION("""COMPUTED_VALUE"""),"https://www.upi.com/Archives/1990/10/29/Teenager-holds-hostages-at-high-school-for-more-than-8-hours/6921657176400/")</f>
        <v>https://www.upi.com/Archives/1990/10/29/Teenager-holds-hostages-at-high-school-for-more-than-8-hours/6921657176400/</v>
      </c>
      <c r="I1703" s="5"/>
      <c r="J1703" s="5" t="str">
        <f ca="1">IFERROR(__xludf.DUMMYFUNCTION("""COMPUTED_VALUE"""),"Local")</f>
        <v>Local</v>
      </c>
      <c r="K1703" s="5">
        <f ca="1">IFERROR(__xludf.DUMMYFUNCTION("""COMPUTED_VALUE"""),2)</f>
        <v>2</v>
      </c>
      <c r="L1703" s="5" t="str">
        <f ca="1">IFERROR(__xludf.DUMMYFUNCTION("""COMPUTED_VALUE"""),"Fall")</f>
        <v>Fall</v>
      </c>
      <c r="M1703" s="5" t="str">
        <f ca="1">IFERROR(__xludf.DUMMYFUNCTION("""COMPUTED_VALUE"""),"Charlestown")</f>
        <v>Charlestown</v>
      </c>
      <c r="N1703" s="5" t="str">
        <f ca="1">IFERROR(__xludf.DUMMYFUNCTION("""COMPUTED_VALUE"""),"IN")</f>
        <v>IN</v>
      </c>
      <c r="O1703" s="5" t="str">
        <f ca="1">IFERROR(__xludf.DUMMYFUNCTION("""COMPUTED_VALUE"""),"High")</f>
        <v>High</v>
      </c>
      <c r="P1703" s="5" t="str">
        <f ca="1">IFERROR(__xludf.DUMMYFUNCTION("""COMPUTED_VALUE"""),"Classroom")</f>
        <v>Classroom</v>
      </c>
      <c r="Q1703" s="5" t="str">
        <f ca="1">IFERROR(__xludf.DUMMYFUNCTION("""COMPUTED_VALUE"""),"Inside School Building")</f>
        <v>Inside School Building</v>
      </c>
      <c r="R1703" s="5" t="str">
        <f ca="1">IFERROR(__xludf.DUMMYFUNCTION("""COMPUTED_VALUE"""),"Yes")</f>
        <v>Yes</v>
      </c>
      <c r="S1703" s="5" t="str">
        <f ca="1">IFERROR(__xludf.DUMMYFUNCTION("""COMPUTED_VALUE"""),"Morning Classes")</f>
        <v>Morning Classes</v>
      </c>
      <c r="T1703" s="10">
        <f ca="1">IFERROR(__xludf.DUMMYFUNCTION("""COMPUTED_VALUE"""),0.465277777777777)</f>
        <v>0.46527777777777701</v>
      </c>
      <c r="U1703" s="5">
        <f ca="1">IFERROR(__xludf.DUMMYFUNCTION("""COMPUTED_VALUE"""),500)</f>
        <v>500</v>
      </c>
      <c r="V1703" s="5" t="str">
        <f ca="1">IFERROR(__xludf.DUMMYFUNCTION("""COMPUTED_VALUE"""),"Armed student took teacher and 15 students hostage in classroom for 8 hours")</f>
        <v>Armed student took teacher and 15 students hostage in classroom for 8 hours</v>
      </c>
      <c r="W1703"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X1703" s="5" t="str">
        <f ca="1">IFERROR(__xludf.DUMMYFUNCTION("""COMPUTED_VALUE"""),"Hostage/Standoff")</f>
        <v>Hostage/Standoff</v>
      </c>
      <c r="Y1703" s="5" t="str">
        <f ca="1">IFERROR(__xludf.DUMMYFUNCTION("""COMPUTED_VALUE"""),"Neither")</f>
        <v>Neither</v>
      </c>
      <c r="Z1703" s="5" t="str">
        <f ca="1">IFERROR(__xludf.DUMMYFUNCTION("""COMPUTED_VALUE"""),"No")</f>
        <v>No</v>
      </c>
      <c r="AA1703" s="5"/>
      <c r="AB1703" s="5" t="str">
        <f ca="1">IFERROR(__xludf.DUMMYFUNCTION("""COMPUTED_VALUE"""),"Yes")</f>
        <v>Yes</v>
      </c>
      <c r="AC1703" s="5" t="str">
        <f ca="1">IFERROR(__xludf.DUMMYFUNCTION("""COMPUTED_VALUE"""),"Yes")</f>
        <v>Yes</v>
      </c>
      <c r="AD1703" s="5" t="str">
        <f ca="1">IFERROR(__xludf.DUMMYFUNCTION("""COMPUTED_VALUE"""),"No")</f>
        <v>No</v>
      </c>
      <c r="AE1703" s="5" t="str">
        <f ca="1">IFERROR(__xludf.DUMMYFUNCTION("""COMPUTED_VALUE"""),"No")</f>
        <v>No</v>
      </c>
      <c r="AF1703" s="5" t="str">
        <f ca="1">IFERROR(__xludf.DUMMYFUNCTION("""COMPUTED_VALUE"""),"No")</f>
        <v>No</v>
      </c>
      <c r="AG1703" s="5" t="str">
        <f ca="1">IFERROR(__xludf.DUMMYFUNCTION("""COMPUTED_VALUE"""),"No")</f>
        <v>No</v>
      </c>
      <c r="AH1703" s="5" t="str">
        <f ca="1">IFERROR(__xludf.DUMMYFUNCTION("""COMPUTED_VALUE"""),"Yes")</f>
        <v>Yes</v>
      </c>
    </row>
    <row r="1704" spans="1:34" ht="12.75">
      <c r="A1704" s="5" t="str">
        <f ca="1">IFERROR(__xludf.DUMMYFUNCTION("""COMPUTED_VALUE"""),"19901002TXWHD")</f>
        <v>19901002TXWHD</v>
      </c>
      <c r="B1704" s="8">
        <f ca="1">IFERROR(__xludf.DUMMYFUNCTION("""COMPUTED_VALUE"""),33148)</f>
        <v>33148</v>
      </c>
      <c r="C1704" s="5" t="str">
        <f ca="1">IFERROR(__xludf.DUMMYFUNCTION("""COMPUTED_VALUE"""),"W H Adamson High School")</f>
        <v>W H Adamson High School</v>
      </c>
      <c r="D1704" s="5">
        <f ca="1">IFERROR(__xludf.DUMMYFUNCTION("""COMPUTED_VALUE"""),0)</f>
        <v>0</v>
      </c>
      <c r="E1704" s="5">
        <f ca="1">IFERROR(__xludf.DUMMYFUNCTION("""COMPUTED_VALUE"""),1)</f>
        <v>1</v>
      </c>
      <c r="F1704" s="5">
        <f ca="1">IFERROR(__xludf.DUMMYFUNCTION("""COMPUTED_VALUE"""),1)</f>
        <v>1</v>
      </c>
      <c r="G1704" s="5">
        <f ca="1">IFERROR(__xludf.DUMMYFUNCTION("""COMPUTED_VALUE"""),0)</f>
        <v>0</v>
      </c>
      <c r="H1704" s="9" t="str">
        <f ca="1">IFERROR(__xludf.DUMMYFUNCTION("""COMPUTED_VALUE"""),"https://www.columbine-angels.com/School_Violence_1990-1991.htm")</f>
        <v>https://www.columbine-angels.com/School_Violence_1990-1991.htm</v>
      </c>
      <c r="I1704" s="5"/>
      <c r="J1704" s="5"/>
      <c r="K1704" s="5">
        <f ca="1">IFERROR(__xludf.DUMMYFUNCTION("""COMPUTED_VALUE"""),1)</f>
        <v>1</v>
      </c>
      <c r="L1704" s="5" t="str">
        <f ca="1">IFERROR(__xludf.DUMMYFUNCTION("""COMPUTED_VALUE"""),"Fall")</f>
        <v>Fall</v>
      </c>
      <c r="M1704" s="5" t="str">
        <f ca="1">IFERROR(__xludf.DUMMYFUNCTION("""COMPUTED_VALUE"""),"Dallas")</f>
        <v>Dallas</v>
      </c>
      <c r="N1704" s="5" t="str">
        <f ca="1">IFERROR(__xludf.DUMMYFUNCTION("""COMPUTED_VALUE"""),"TX")</f>
        <v>TX</v>
      </c>
      <c r="O1704" s="5" t="str">
        <f ca="1">IFERROR(__xludf.DUMMYFUNCTION("""COMPUTED_VALUE"""),"High")</f>
        <v>High</v>
      </c>
      <c r="P1704" s="5" t="str">
        <f ca="1">IFERROR(__xludf.DUMMYFUNCTION("""COMPUTED_VALUE"""),"Parking Lot")</f>
        <v>Parking Lot</v>
      </c>
      <c r="Q1704" s="5" t="str">
        <f ca="1">IFERROR(__xludf.DUMMYFUNCTION("""COMPUTED_VALUE"""),"Outside on School Property")</f>
        <v>Outside on School Property</v>
      </c>
      <c r="R1704" s="5" t="str">
        <f ca="1">IFERROR(__xludf.DUMMYFUNCTION("""COMPUTED_VALUE"""),"No")</f>
        <v>No</v>
      </c>
      <c r="S1704" s="5" t="str">
        <f ca="1">IFERROR(__xludf.DUMMYFUNCTION("""COMPUTED_VALUE"""),"After School")</f>
        <v>After School</v>
      </c>
      <c r="T1704" s="10">
        <f ca="1">IFERROR(__xludf.DUMMYFUNCTION("""COMPUTED_VALUE"""),0.701388888888888)</f>
        <v>0.70138888888888795</v>
      </c>
      <c r="U1704" s="5">
        <f ca="1">IFERROR(__xludf.DUMMYFUNCTION("""COMPUTED_VALUE"""),1)</f>
        <v>1</v>
      </c>
      <c r="V1704" s="5" t="str">
        <f ca="1">IFERROR(__xludf.DUMMYFUNCTION("""COMPUTED_VALUE"""),"Drive-by in school parking lot, vehicle had covered license plate")</f>
        <v>Drive-by in school parking lot, vehicle had covered license plate</v>
      </c>
      <c r="W1704"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X1704" s="5" t="str">
        <f ca="1">IFERROR(__xludf.DUMMYFUNCTION("""COMPUTED_VALUE"""),"Drive-by Shooting")</f>
        <v>Drive-by Shooting</v>
      </c>
      <c r="Y1704" s="5" t="str">
        <f ca="1">IFERROR(__xludf.DUMMYFUNCTION("""COMPUTED_VALUE"""),"Random Shooting")</f>
        <v>Random Shooting</v>
      </c>
      <c r="Z1704" s="5" t="str">
        <f ca="1">IFERROR(__xludf.DUMMYFUNCTION("""COMPUTED_VALUE"""),"Yes")</f>
        <v>Yes</v>
      </c>
      <c r="AA1704" s="5" t="str">
        <f ca="1">IFERROR(__xludf.DUMMYFUNCTION("""COMPUTED_VALUE"""),"Two women in car")</f>
        <v>Two women in car</v>
      </c>
      <c r="AB1704" s="5" t="str">
        <f ca="1">IFERROR(__xludf.DUMMYFUNCTION("""COMPUTED_VALUE"""),"No")</f>
        <v>No</v>
      </c>
      <c r="AC1704" s="5" t="str">
        <f ca="1">IFERROR(__xludf.DUMMYFUNCTION("""COMPUTED_VALUE"""),"No")</f>
        <v>No</v>
      </c>
      <c r="AD1704" s="5" t="str">
        <f ca="1">IFERROR(__xludf.DUMMYFUNCTION("""COMPUTED_VALUE"""),"No")</f>
        <v>No</v>
      </c>
      <c r="AE1704" s="5" t="str">
        <f ca="1">IFERROR(__xludf.DUMMYFUNCTION("""COMPUTED_VALUE"""),"No")</f>
        <v>No</v>
      </c>
      <c r="AF1704" s="5" t="str">
        <f ca="1">IFERROR(__xludf.DUMMYFUNCTION("""COMPUTED_VALUE"""),"No")</f>
        <v>No</v>
      </c>
      <c r="AG1704" s="5"/>
      <c r="AH1704" s="5"/>
    </row>
    <row r="1705" spans="1:34" ht="12.75">
      <c r="A1705" s="5" t="str">
        <f ca="1">IFERROR(__xludf.DUMMYFUNCTION("""COMPUTED_VALUE"""),"19900922ALLEB")</f>
        <v>19900922ALLEB</v>
      </c>
      <c r="B1705" s="8">
        <f ca="1">IFERROR(__xludf.DUMMYFUNCTION("""COMPUTED_VALUE"""),33138)</f>
        <v>33138</v>
      </c>
      <c r="C1705" s="5" t="str">
        <f ca="1">IFERROR(__xludf.DUMMYFUNCTION("""COMPUTED_VALUE"""),"Legion Field Statium (high school game)")</f>
        <v>Legion Field Statium (high school game)</v>
      </c>
      <c r="D1705" s="5">
        <f ca="1">IFERROR(__xludf.DUMMYFUNCTION("""COMPUTED_VALUE"""),0)</f>
        <v>0</v>
      </c>
      <c r="E1705" s="5">
        <f ca="1">IFERROR(__xludf.DUMMYFUNCTION("""COMPUTED_VALUE"""),2)</f>
        <v>2</v>
      </c>
      <c r="F1705" s="5">
        <f ca="1">IFERROR(__xludf.DUMMYFUNCTION("""COMPUTED_VALUE"""),2)</f>
        <v>2</v>
      </c>
      <c r="G1705" s="5">
        <f ca="1">IFERROR(__xludf.DUMMYFUNCTION("""COMPUTED_VALUE"""),0)</f>
        <v>0</v>
      </c>
      <c r="H1705" s="9" t="str">
        <f ca="1">IFERROR(__xludf.DUMMYFUNCTION("""COMPUTED_VALUE"""),"https://www.newspapers.com/image/106533912/?terms=shot%2Bat%2Bfootball%2Bgame")</f>
        <v>https://www.newspapers.com/image/106533912/?terms=shot%2Bat%2Bfootball%2Bgame</v>
      </c>
      <c r="I1705" s="5"/>
      <c r="J1705" s="5"/>
      <c r="K1705" s="5">
        <f ca="1">IFERROR(__xludf.DUMMYFUNCTION("""COMPUTED_VALUE"""),3)</f>
        <v>3</v>
      </c>
      <c r="L1705" s="5" t="str">
        <f ca="1">IFERROR(__xludf.DUMMYFUNCTION("""COMPUTED_VALUE"""),"Fall")</f>
        <v>Fall</v>
      </c>
      <c r="M1705" s="5" t="str">
        <f ca="1">IFERROR(__xludf.DUMMYFUNCTION("""COMPUTED_VALUE"""),"Birmingham")</f>
        <v>Birmingham</v>
      </c>
      <c r="N1705" s="5" t="str">
        <f ca="1">IFERROR(__xludf.DUMMYFUNCTION("""COMPUTED_VALUE"""),"AL")</f>
        <v>AL</v>
      </c>
      <c r="O1705" s="5" t="str">
        <f ca="1">IFERROR(__xludf.DUMMYFUNCTION("""COMPUTED_VALUE"""),"High")</f>
        <v>High</v>
      </c>
      <c r="P1705" s="5" t="str">
        <f ca="1">IFERROR(__xludf.DUMMYFUNCTION("""COMPUTED_VALUE"""),"Football Field/Track")</f>
        <v>Football Field/Track</v>
      </c>
      <c r="Q1705" s="5" t="str">
        <f ca="1">IFERROR(__xludf.DUMMYFUNCTION("""COMPUTED_VALUE"""),"Outside on School Property")</f>
        <v>Outside on School Property</v>
      </c>
      <c r="R1705" s="5" t="str">
        <f ca="1">IFERROR(__xludf.DUMMYFUNCTION("""COMPUTED_VALUE"""),"No")</f>
        <v>No</v>
      </c>
      <c r="S1705" s="5" t="str">
        <f ca="1">IFERROR(__xludf.DUMMYFUNCTION("""COMPUTED_VALUE"""),"Sport Event")</f>
        <v>Sport Event</v>
      </c>
      <c r="T1705" s="5"/>
      <c r="U1705" s="5">
        <f ca="1">IFERROR(__xludf.DUMMYFUNCTION("""COMPUTED_VALUE"""),1)</f>
        <v>1</v>
      </c>
      <c r="V1705" s="5" t="str">
        <f ca="1">IFERROR(__xludf.DUMMYFUNCTION("""COMPUTED_VALUE"""),"Two teens shot during football game inside stadium, remainder of game cancelled.")</f>
        <v>Two teens shot during football game inside stadium, remainder of game cancelled.</v>
      </c>
      <c r="W1705"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X1705" s="5" t="str">
        <f ca="1">IFERROR(__xludf.DUMMYFUNCTION("""COMPUTED_VALUE"""),"Escalation of Dispute")</f>
        <v>Escalation of Dispute</v>
      </c>
      <c r="Y1705" s="5"/>
      <c r="Z1705" s="5" t="str">
        <f ca="1">IFERROR(__xludf.DUMMYFUNCTION("""COMPUTED_VALUE"""),"No")</f>
        <v>No</v>
      </c>
      <c r="AA1705" s="5"/>
      <c r="AB1705" s="5" t="str">
        <f ca="1">IFERROR(__xludf.DUMMYFUNCTION("""COMPUTED_VALUE"""),"No")</f>
        <v>No</v>
      </c>
      <c r="AC1705" s="5" t="str">
        <f ca="1">IFERROR(__xludf.DUMMYFUNCTION("""COMPUTED_VALUE"""),"No")</f>
        <v>No</v>
      </c>
      <c r="AD1705" s="5" t="str">
        <f ca="1">IFERROR(__xludf.DUMMYFUNCTION("""COMPUTED_VALUE"""),"No")</f>
        <v>No</v>
      </c>
      <c r="AE1705" s="5" t="str">
        <f ca="1">IFERROR(__xludf.DUMMYFUNCTION("""COMPUTED_VALUE"""),"No")</f>
        <v>No</v>
      </c>
      <c r="AF1705" s="5" t="str">
        <f ca="1">IFERROR(__xludf.DUMMYFUNCTION("""COMPUTED_VALUE"""),"No")</f>
        <v>No</v>
      </c>
      <c r="AG1705" s="5"/>
      <c r="AH1705" s="5" t="str">
        <f ca="1">IFERROR(__xludf.DUMMYFUNCTION("""COMPUTED_VALUE"""),"No")</f>
        <v>No</v>
      </c>
    </row>
    <row r="1706" spans="1:34" ht="12.75">
      <c r="A1706" s="5" t="str">
        <f ca="1">IFERROR(__xludf.DUMMYFUNCTION("""COMPUTED_VALUE"""),"19900911TXSAS")</f>
        <v>19900911TXSAS</v>
      </c>
      <c r="B1706" s="8">
        <f ca="1">IFERROR(__xludf.DUMMYFUNCTION("""COMPUTED_VALUE"""),33127)</f>
        <v>33127</v>
      </c>
      <c r="C1706" s="5" t="str">
        <f ca="1">IFERROR(__xludf.DUMMYFUNCTION("""COMPUTED_VALUE"""),"Sam Houston High School")</f>
        <v>Sam Houston High School</v>
      </c>
      <c r="D1706" s="5">
        <f ca="1">IFERROR(__xludf.DUMMYFUNCTION("""COMPUTED_VALUE"""),0)</f>
        <v>0</v>
      </c>
      <c r="E1706" s="5">
        <f ca="1">IFERROR(__xludf.DUMMYFUNCTION("""COMPUTED_VALUE"""),3)</f>
        <v>3</v>
      </c>
      <c r="F1706" s="5">
        <f ca="1">IFERROR(__xludf.DUMMYFUNCTION("""COMPUTED_VALUE"""),3)</f>
        <v>3</v>
      </c>
      <c r="G1706" s="5">
        <f ca="1">IFERROR(__xludf.DUMMYFUNCTION("""COMPUTED_VALUE"""),0)</f>
        <v>0</v>
      </c>
      <c r="H1706" s="9" t="str">
        <f ca="1">IFERROR(__xludf.DUMMYFUNCTION("""COMPUTED_VALUE"""),"https://www.upi.com/Archives/1990/09/11/Three-shot-wounded-in-confrontation-on-school-grounds/4334653025600/")</f>
        <v>https://www.upi.com/Archives/1990/09/11/Three-shot-wounded-in-confrontation-on-school-grounds/4334653025600/</v>
      </c>
      <c r="I1706" s="5"/>
      <c r="J1706" s="5"/>
      <c r="K1706" s="5">
        <f ca="1">IFERROR(__xludf.DUMMYFUNCTION("""COMPUTED_VALUE"""),2)</f>
        <v>2</v>
      </c>
      <c r="L1706" s="5" t="str">
        <f ca="1">IFERROR(__xludf.DUMMYFUNCTION("""COMPUTED_VALUE"""),"Fall")</f>
        <v>Fall</v>
      </c>
      <c r="M1706" s="5" t="str">
        <f ca="1">IFERROR(__xludf.DUMMYFUNCTION("""COMPUTED_VALUE"""),"San Antonio")</f>
        <v>San Antonio</v>
      </c>
      <c r="N1706" s="5" t="str">
        <f ca="1">IFERROR(__xludf.DUMMYFUNCTION("""COMPUTED_VALUE"""),"TX")</f>
        <v>TX</v>
      </c>
      <c r="O1706" s="5" t="str">
        <f ca="1">IFERROR(__xludf.DUMMYFUNCTION("""COMPUTED_VALUE"""),"High")</f>
        <v>High</v>
      </c>
      <c r="P1706" s="5" t="str">
        <f ca="1">IFERROR(__xludf.DUMMYFUNCTION("""COMPUTED_VALUE"""),"Beside Building")</f>
        <v>Beside Building</v>
      </c>
      <c r="Q1706" s="5" t="str">
        <f ca="1">IFERROR(__xludf.DUMMYFUNCTION("""COMPUTED_VALUE"""),"Outside on School Property")</f>
        <v>Outside on School Property</v>
      </c>
      <c r="R1706" s="5" t="str">
        <f ca="1">IFERROR(__xludf.DUMMYFUNCTION("""COMPUTED_VALUE"""),"Yes")</f>
        <v>Yes</v>
      </c>
      <c r="S1706" s="5" t="str">
        <f ca="1">IFERROR(__xludf.DUMMYFUNCTION("""COMPUTED_VALUE"""),"Lunch")</f>
        <v>Lunch</v>
      </c>
      <c r="T1706" s="10">
        <f ca="1">IFERROR(__xludf.DUMMYFUNCTION("""COMPUTED_VALUE"""),0.496527777777777)</f>
        <v>0.49652777777777701</v>
      </c>
      <c r="U1706" s="5">
        <f ca="1">IFERROR(__xludf.DUMMYFUNCTION("""COMPUTED_VALUE"""),1)</f>
        <v>1</v>
      </c>
      <c r="V1706" s="5" t="str">
        <f ca="1">IFERROR(__xludf.DUMMYFUNCTION("""COMPUTED_VALUE"""),"Bystander students shot during gang shooting outside of school")</f>
        <v>Bystander students shot during gang shooting outside of school</v>
      </c>
      <c r="W1706"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X1706" s="5" t="str">
        <f ca="1">IFERROR(__xludf.DUMMYFUNCTION("""COMPUTED_VALUE"""),"Escalation of Dispute")</f>
        <v>Escalation of Dispute</v>
      </c>
      <c r="Y1706" s="5" t="str">
        <f ca="1">IFERROR(__xludf.DUMMYFUNCTION("""COMPUTED_VALUE"""),"Victims Targeted")</f>
        <v>Victims Targeted</v>
      </c>
      <c r="Z1706" s="5" t="str">
        <f ca="1">IFERROR(__xludf.DUMMYFUNCTION("""COMPUTED_VALUE"""),"Yes")</f>
        <v>Yes</v>
      </c>
      <c r="AA1706" s="5" t="str">
        <f ca="1">IFERROR(__xludf.DUMMYFUNCTION("""COMPUTED_VALUE"""),"Three arrested")</f>
        <v>Three arrested</v>
      </c>
      <c r="AB1706" s="5" t="str">
        <f ca="1">IFERROR(__xludf.DUMMYFUNCTION("""COMPUTED_VALUE"""),"No")</f>
        <v>No</v>
      </c>
      <c r="AC1706" s="5" t="str">
        <f ca="1">IFERROR(__xludf.DUMMYFUNCTION("""COMPUTED_VALUE"""),"No")</f>
        <v>No</v>
      </c>
      <c r="AD1706" s="5" t="str">
        <f ca="1">IFERROR(__xludf.DUMMYFUNCTION("""COMPUTED_VALUE"""),"No")</f>
        <v>No</v>
      </c>
      <c r="AE1706" s="5" t="str">
        <f ca="1">IFERROR(__xludf.DUMMYFUNCTION("""COMPUTED_VALUE"""),"No")</f>
        <v>No</v>
      </c>
      <c r="AF1706" s="5" t="str">
        <f ca="1">IFERROR(__xludf.DUMMYFUNCTION("""COMPUTED_VALUE"""),"No")</f>
        <v>No</v>
      </c>
      <c r="AG1706" s="5" t="str">
        <f ca="1">IFERROR(__xludf.DUMMYFUNCTION("""COMPUTED_VALUE"""),"Yes")</f>
        <v>Yes</v>
      </c>
      <c r="AH1706" s="5"/>
    </row>
    <row r="1707" spans="1:34" ht="12.75">
      <c r="A1707" s="5" t="str">
        <f ca="1">IFERROR(__xludf.DUMMYFUNCTION("""COMPUTED_VALUE"""),"19900906GASOC")</f>
        <v>19900906GASOC</v>
      </c>
      <c r="B1707" s="8">
        <f ca="1">IFERROR(__xludf.DUMMYFUNCTION("""COMPUTED_VALUE"""),33122)</f>
        <v>33122</v>
      </c>
      <c r="C1707" s="5" t="str">
        <f ca="1">IFERROR(__xludf.DUMMYFUNCTION("""COMPUTED_VALUE"""),"South Forsyth Middle School - High School")</f>
        <v>South Forsyth Middle School - High School</v>
      </c>
      <c r="D1707" s="5">
        <f ca="1">IFERROR(__xludf.DUMMYFUNCTION("""COMPUTED_VALUE"""),0)</f>
        <v>0</v>
      </c>
      <c r="E1707" s="5">
        <f ca="1">IFERROR(__xludf.DUMMYFUNCTION("""COMPUTED_VALUE"""),0)</f>
        <v>0</v>
      </c>
      <c r="F1707" s="5">
        <f ca="1">IFERROR(__xludf.DUMMYFUNCTION("""COMPUTED_VALUE"""),0)</f>
        <v>0</v>
      </c>
      <c r="G1707" s="5">
        <f ca="1">IFERROR(__xludf.DUMMYFUNCTION("""COMPUTED_VALUE"""),0)</f>
        <v>0</v>
      </c>
      <c r="H1707"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I1707" s="5">
        <f ca="1">IFERROR(__xludf.DUMMYFUNCTION("""COMPUTED_VALUE"""),100)</f>
        <v>100</v>
      </c>
      <c r="J1707" s="5" t="str">
        <f ca="1">IFERROR(__xludf.DUMMYFUNCTION("""COMPUTED_VALUE"""),"National")</f>
        <v>National</v>
      </c>
      <c r="K1707" s="5">
        <f ca="1">IFERROR(__xludf.DUMMYFUNCTION("""COMPUTED_VALUE"""),4)</f>
        <v>4</v>
      </c>
      <c r="L1707" s="5" t="str">
        <f ca="1">IFERROR(__xludf.DUMMYFUNCTION("""COMPUTED_VALUE"""),"Fall")</f>
        <v>Fall</v>
      </c>
      <c r="M1707" s="5" t="str">
        <f ca="1">IFERROR(__xludf.DUMMYFUNCTION("""COMPUTED_VALUE"""),"Cumming")</f>
        <v>Cumming</v>
      </c>
      <c r="N1707" s="5" t="str">
        <f ca="1">IFERROR(__xludf.DUMMYFUNCTION("""COMPUTED_VALUE"""),"GA")</f>
        <v>GA</v>
      </c>
      <c r="O1707" s="11">
        <f ca="1">IFERROR(__xludf.DUMMYFUNCTION("""COMPUTED_VALUE"""),44724)</f>
        <v>44724</v>
      </c>
      <c r="P1707" s="5" t="str">
        <f ca="1">IFERROR(__xludf.DUMMYFUNCTION("""COMPUTED_VALUE"""),"Classroom")</f>
        <v>Classroom</v>
      </c>
      <c r="Q1707" s="5" t="str">
        <f ca="1">IFERROR(__xludf.DUMMYFUNCTION("""COMPUTED_VALUE"""),"Inside School Building")</f>
        <v>Inside School Building</v>
      </c>
      <c r="R1707" s="5" t="str">
        <f ca="1">IFERROR(__xludf.DUMMYFUNCTION("""COMPUTED_VALUE"""),"Yes")</f>
        <v>Yes</v>
      </c>
      <c r="S1707" s="5" t="str">
        <f ca="1">IFERROR(__xludf.DUMMYFUNCTION("""COMPUTED_VALUE"""),"Morning Classes")</f>
        <v>Morning Classes</v>
      </c>
      <c r="T1707" s="10">
        <f ca="1">IFERROR(__xludf.DUMMYFUNCTION("""COMPUTED_VALUE"""),0.350694444444444)</f>
        <v>0.35069444444444398</v>
      </c>
      <c r="U1707" s="5">
        <f ca="1">IFERROR(__xludf.DUMMYFUNCTION("""COMPUTED_VALUE"""),330)</f>
        <v>330</v>
      </c>
      <c r="V1707" s="5" t="str">
        <f ca="1">IFERROR(__xludf.DUMMYFUNCTION("""COMPUTED_VALUE"""),"Student took 53 students hostage at gunpoint in classroom for 5.5 hours")</f>
        <v>Student took 53 students hostage at gunpoint in classroom for 5.5 hours</v>
      </c>
      <c r="W1707"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X1707" s="5" t="str">
        <f ca="1">IFERROR(__xludf.DUMMYFUNCTION("""COMPUTED_VALUE"""),"Hostage/Standoff")</f>
        <v>Hostage/Standoff</v>
      </c>
      <c r="Y1707" s="5" t="str">
        <f ca="1">IFERROR(__xludf.DUMMYFUNCTION("""COMPUTED_VALUE"""),"Both")</f>
        <v>Both</v>
      </c>
      <c r="Z1707" s="5" t="str">
        <f ca="1">IFERROR(__xludf.DUMMYFUNCTION("""COMPUTED_VALUE"""),"No")</f>
        <v>No</v>
      </c>
      <c r="AA1707" s="5"/>
      <c r="AB1707" s="5" t="str">
        <f ca="1">IFERROR(__xludf.DUMMYFUNCTION("""COMPUTED_VALUE"""),"Yes")</f>
        <v>Yes</v>
      </c>
      <c r="AC1707" s="5" t="str">
        <f ca="1">IFERROR(__xludf.DUMMYFUNCTION("""COMPUTED_VALUE"""),"Yes")</f>
        <v>Yes</v>
      </c>
      <c r="AD1707" s="5" t="str">
        <f ca="1">IFERROR(__xludf.DUMMYFUNCTION("""COMPUTED_VALUE"""),"No")</f>
        <v>No</v>
      </c>
      <c r="AE1707" s="5"/>
      <c r="AF1707" s="5" t="str">
        <f ca="1">IFERROR(__xludf.DUMMYFUNCTION("""COMPUTED_VALUE"""),"No")</f>
        <v>No</v>
      </c>
      <c r="AG1707" s="5" t="str">
        <f ca="1">IFERROR(__xludf.DUMMYFUNCTION("""COMPUTED_VALUE"""),"No")</f>
        <v>No</v>
      </c>
      <c r="AH1707" s="5" t="str">
        <f ca="1">IFERROR(__xludf.DUMMYFUNCTION("""COMPUTED_VALUE"""),"Yes")</f>
        <v>Yes</v>
      </c>
    </row>
    <row r="1708" spans="1:34" ht="12.75">
      <c r="A1708" s="5" t="str">
        <f ca="1">IFERROR(__xludf.DUMMYFUNCTION("""COMPUTED_VALUE"""),"19900827TXWHD")</f>
        <v>19900827TXWHD</v>
      </c>
      <c r="B1708" s="8">
        <f ca="1">IFERROR(__xludf.DUMMYFUNCTION("""COMPUTED_VALUE"""),33112)</f>
        <v>33112</v>
      </c>
      <c r="C1708" s="5" t="str">
        <f ca="1">IFERROR(__xludf.DUMMYFUNCTION("""COMPUTED_VALUE"""),"W H Adamson High School")</f>
        <v>W H Adamson High School</v>
      </c>
      <c r="D1708" s="5">
        <f ca="1">IFERROR(__xludf.DUMMYFUNCTION("""COMPUTED_VALUE"""),0)</f>
        <v>0</v>
      </c>
      <c r="E1708" s="5">
        <f ca="1">IFERROR(__xludf.DUMMYFUNCTION("""COMPUTED_VALUE"""),0)</f>
        <v>0</v>
      </c>
      <c r="F1708" s="5">
        <f ca="1">IFERROR(__xludf.DUMMYFUNCTION("""COMPUTED_VALUE"""),0)</f>
        <v>0</v>
      </c>
      <c r="G1708" s="5">
        <f ca="1">IFERROR(__xludf.DUMMYFUNCTION("""COMPUTED_VALUE"""),0)</f>
        <v>0</v>
      </c>
      <c r="H1708" s="9" t="str">
        <f ca="1">IFERROR(__xludf.DUMMYFUNCTION("""COMPUTED_VALUE"""),"https://www.columbine-angels.com/School_Violence_1990-1991.htm")</f>
        <v>https://www.columbine-angels.com/School_Violence_1990-1991.htm</v>
      </c>
      <c r="I1708" s="5"/>
      <c r="J1708" s="5"/>
      <c r="K1708" s="5">
        <f ca="1">IFERROR(__xludf.DUMMYFUNCTION("""COMPUTED_VALUE"""),1)</f>
        <v>1</v>
      </c>
      <c r="L1708" s="5" t="str">
        <f ca="1">IFERROR(__xludf.DUMMYFUNCTION("""COMPUTED_VALUE"""),"Summer")</f>
        <v>Summer</v>
      </c>
      <c r="M1708" s="5" t="str">
        <f ca="1">IFERROR(__xludf.DUMMYFUNCTION("""COMPUTED_VALUE"""),"Dallas")</f>
        <v>Dallas</v>
      </c>
      <c r="N1708" s="5" t="str">
        <f ca="1">IFERROR(__xludf.DUMMYFUNCTION("""COMPUTED_VALUE"""),"TX")</f>
        <v>TX</v>
      </c>
      <c r="O1708" s="5" t="str">
        <f ca="1">IFERROR(__xludf.DUMMYFUNCTION("""COMPUTED_VALUE"""),"High")</f>
        <v>High</v>
      </c>
      <c r="P1708" s="5" t="str">
        <f ca="1">IFERROR(__xludf.DUMMYFUNCTION("""COMPUTED_VALUE"""),"Outside on School Property")</f>
        <v>Outside on School Property</v>
      </c>
      <c r="Q1708" s="5" t="str">
        <f ca="1">IFERROR(__xludf.DUMMYFUNCTION("""COMPUTED_VALUE"""),"Outside on School Property")</f>
        <v>Outside on School Property</v>
      </c>
      <c r="R1708" s="5" t="str">
        <f ca="1">IFERROR(__xludf.DUMMYFUNCTION("""COMPUTED_VALUE"""),"Yes")</f>
        <v>Yes</v>
      </c>
      <c r="S1708" s="5" t="str">
        <f ca="1">IFERROR(__xludf.DUMMYFUNCTION("""COMPUTED_VALUE"""),"Morning Classes")</f>
        <v>Morning Classes</v>
      </c>
      <c r="T1708" s="10">
        <f ca="1">IFERROR(__xludf.DUMMYFUNCTION("""COMPUTED_VALUE"""),0.427083333333333)</f>
        <v>0.42708333333333298</v>
      </c>
      <c r="U1708" s="5">
        <f ca="1">IFERROR(__xludf.DUMMYFUNCTION("""COMPUTED_VALUE"""),1)</f>
        <v>1</v>
      </c>
      <c r="V1708" s="5" t="str">
        <f ca="1">IFERROR(__xludf.DUMMYFUNCTION("""COMPUTED_VALUE"""),"5 gang members fired shots at a student, all shots missed.")</f>
        <v>5 gang members fired shots at a student, all shots missed.</v>
      </c>
      <c r="W1708" s="5" t="str">
        <f ca="1">IFERROR(__xludf.DUMMYFUNCTION("""COMPUTED_VALUE"""),"5 gang members approached a student outside of the school and fired 3 shots during a confrontation.")</f>
        <v>5 gang members approached a student outside of the school and fired 3 shots during a confrontation.</v>
      </c>
      <c r="X1708" s="5" t="str">
        <f ca="1">IFERROR(__xludf.DUMMYFUNCTION("""COMPUTED_VALUE"""),"Escalation of Dispute")</f>
        <v>Escalation of Dispute</v>
      </c>
      <c r="Y1708" s="5" t="str">
        <f ca="1">IFERROR(__xludf.DUMMYFUNCTION("""COMPUTED_VALUE"""),"Victims Targeted")</f>
        <v>Victims Targeted</v>
      </c>
      <c r="Z1708" s="5" t="str">
        <f ca="1">IFERROR(__xludf.DUMMYFUNCTION("""COMPUTED_VALUE"""),"Yes")</f>
        <v>Yes</v>
      </c>
      <c r="AA1708" s="5" t="str">
        <f ca="1">IFERROR(__xludf.DUMMYFUNCTION("""COMPUTED_VALUE"""),"Multiple gang members involved")</f>
        <v>Multiple gang members involved</v>
      </c>
      <c r="AB1708" s="5" t="str">
        <f ca="1">IFERROR(__xludf.DUMMYFUNCTION("""COMPUTED_VALUE"""),"No")</f>
        <v>No</v>
      </c>
      <c r="AC1708" s="5" t="str">
        <f ca="1">IFERROR(__xludf.DUMMYFUNCTION("""COMPUTED_VALUE"""),"No")</f>
        <v>No</v>
      </c>
      <c r="AD1708" s="5" t="str">
        <f ca="1">IFERROR(__xludf.DUMMYFUNCTION("""COMPUTED_VALUE"""),"No")</f>
        <v>No</v>
      </c>
      <c r="AE1708" s="5" t="str">
        <f ca="1">IFERROR(__xludf.DUMMYFUNCTION("""COMPUTED_VALUE"""),"No")</f>
        <v>No</v>
      </c>
      <c r="AF1708" s="5" t="str">
        <f ca="1">IFERROR(__xludf.DUMMYFUNCTION("""COMPUTED_VALUE"""),"No")</f>
        <v>No</v>
      </c>
      <c r="AG1708" s="5" t="str">
        <f ca="1">IFERROR(__xludf.DUMMYFUNCTION("""COMPUTED_VALUE"""),"Yes")</f>
        <v>Yes</v>
      </c>
      <c r="AH1708" s="5"/>
    </row>
    <row r="1709" spans="1:34" ht="12.75">
      <c r="A1709" s="5" t="str">
        <f ca="1">IFERROR(__xludf.DUMMYFUNCTION("""COMPUTED_VALUE"""),"19900827NVELL")</f>
        <v>19900827NVELL</v>
      </c>
      <c r="B1709" s="8">
        <f ca="1">IFERROR(__xludf.DUMMYFUNCTION("""COMPUTED_VALUE"""),33112)</f>
        <v>33112</v>
      </c>
      <c r="C1709" s="5" t="str">
        <f ca="1">IFERROR(__xludf.DUMMYFUNCTION("""COMPUTED_VALUE"""),"Eldorado High School")</f>
        <v>Eldorado High School</v>
      </c>
      <c r="D1709" s="5">
        <f ca="1">IFERROR(__xludf.DUMMYFUNCTION("""COMPUTED_VALUE"""),1)</f>
        <v>1</v>
      </c>
      <c r="E1709" s="5">
        <f ca="1">IFERROR(__xludf.DUMMYFUNCTION("""COMPUTED_VALUE"""),0)</f>
        <v>0</v>
      </c>
      <c r="F1709" s="5">
        <f ca="1">IFERROR(__xludf.DUMMYFUNCTION("""COMPUTED_VALUE"""),1)</f>
        <v>1</v>
      </c>
      <c r="G1709" s="5">
        <f ca="1">IFERROR(__xludf.DUMMYFUNCTION("""COMPUTED_VALUE"""),0)</f>
        <v>0</v>
      </c>
      <c r="H1709" s="9" t="str">
        <f ca="1">IFERROR(__xludf.DUMMYFUNCTION("""COMPUTED_VALUE"""),"https://lasvegassun.com/news/1998/jun/20/memories-linger-for-victims-mother/")</f>
        <v>https://lasvegassun.com/news/1998/jun/20/memories-linger-for-victims-mother/</v>
      </c>
      <c r="I1709" s="5"/>
      <c r="J1709" s="5"/>
      <c r="K1709" s="5">
        <f ca="1">IFERROR(__xludf.DUMMYFUNCTION("""COMPUTED_VALUE"""),2)</f>
        <v>2</v>
      </c>
      <c r="L1709" s="5" t="str">
        <f ca="1">IFERROR(__xludf.DUMMYFUNCTION("""COMPUTED_VALUE"""),"Summer")</f>
        <v>Summer</v>
      </c>
      <c r="M1709" s="5" t="str">
        <f ca="1">IFERROR(__xludf.DUMMYFUNCTION("""COMPUTED_VALUE"""),"Las Vegas")</f>
        <v>Las Vegas</v>
      </c>
      <c r="N1709" s="5" t="str">
        <f ca="1">IFERROR(__xludf.DUMMYFUNCTION("""COMPUTED_VALUE"""),"NV")</f>
        <v>NV</v>
      </c>
      <c r="O1709" s="5" t="str">
        <f ca="1">IFERROR(__xludf.DUMMYFUNCTION("""COMPUTED_VALUE"""),"High")</f>
        <v>High</v>
      </c>
      <c r="P1709" s="5" t="str">
        <f ca="1">IFERROR(__xludf.DUMMYFUNCTION("""COMPUTED_VALUE"""),"Hallway")</f>
        <v>Hallway</v>
      </c>
      <c r="Q1709" s="5" t="str">
        <f ca="1">IFERROR(__xludf.DUMMYFUNCTION("""COMPUTED_VALUE"""),"Inside School Building")</f>
        <v>Inside School Building</v>
      </c>
      <c r="R1709" s="5" t="str">
        <f ca="1">IFERROR(__xludf.DUMMYFUNCTION("""COMPUTED_VALUE"""),"Yes")</f>
        <v>Yes</v>
      </c>
      <c r="S1709" s="5" t="str">
        <f ca="1">IFERROR(__xludf.DUMMYFUNCTION("""COMPUTED_VALUE"""),"Before School")</f>
        <v>Before School</v>
      </c>
      <c r="T1709" s="10">
        <f ca="1">IFERROR(__xludf.DUMMYFUNCTION("""COMPUTED_VALUE"""),0.302083333333333)</f>
        <v>0.30208333333333298</v>
      </c>
      <c r="U1709" s="5">
        <f ca="1">IFERROR(__xludf.DUMMYFUNCTION("""COMPUTED_VALUE"""),1)</f>
        <v>1</v>
      </c>
      <c r="V1709" s="5" t="str">
        <f ca="1">IFERROR(__xludf.DUMMYFUNCTION("""COMPUTED_VALUE"""),"Gang related shooting involving large group of students")</f>
        <v>Gang related shooting involving large group of students</v>
      </c>
      <c r="W1709" s="5" t="str">
        <f ca="1">IFERROR(__xludf.DUMMYFUNCTION("""COMPUTED_VALUE"""),"Gang related - stemmed from previous fights in the past. Bystander student struck and killed.")</f>
        <v>Gang related - stemmed from previous fights in the past. Bystander student struck and killed.</v>
      </c>
      <c r="X1709" s="5" t="str">
        <f ca="1">IFERROR(__xludf.DUMMYFUNCTION("""COMPUTED_VALUE"""),"Escalation of Dispute")</f>
        <v>Escalation of Dispute</v>
      </c>
      <c r="Y1709" s="5" t="str">
        <f ca="1">IFERROR(__xludf.DUMMYFUNCTION("""COMPUTED_VALUE"""),"Victims Targeted")</f>
        <v>Victims Targeted</v>
      </c>
      <c r="Z1709" s="5" t="str">
        <f ca="1">IFERROR(__xludf.DUMMYFUNCTION("""COMPUTED_VALUE"""),"No")</f>
        <v>No</v>
      </c>
      <c r="AA1709" s="5"/>
      <c r="AB1709" s="5" t="str">
        <f ca="1">IFERROR(__xludf.DUMMYFUNCTION("""COMPUTED_VALUE"""),"No")</f>
        <v>No</v>
      </c>
      <c r="AC1709" s="5" t="str">
        <f ca="1">IFERROR(__xludf.DUMMYFUNCTION("""COMPUTED_VALUE"""),"No")</f>
        <v>No</v>
      </c>
      <c r="AD1709" s="5" t="str">
        <f ca="1">IFERROR(__xludf.DUMMYFUNCTION("""COMPUTED_VALUE"""),"No")</f>
        <v>No</v>
      </c>
      <c r="AE1709" s="5" t="str">
        <f ca="1">IFERROR(__xludf.DUMMYFUNCTION("""COMPUTED_VALUE"""),"No")</f>
        <v>No</v>
      </c>
      <c r="AF1709" s="5" t="str">
        <f ca="1">IFERROR(__xludf.DUMMYFUNCTION("""COMPUTED_VALUE"""),"No")</f>
        <v>No</v>
      </c>
      <c r="AG1709" s="5" t="str">
        <f ca="1">IFERROR(__xludf.DUMMYFUNCTION("""COMPUTED_VALUE"""),"Yes")</f>
        <v>Yes</v>
      </c>
      <c r="AH1709" s="5"/>
    </row>
    <row r="1710" spans="1:34" ht="12.75">
      <c r="A1710" s="5" t="str">
        <f ca="1">IFERROR(__xludf.DUMMYFUNCTION("""COMPUTED_VALUE"""),"19900824NCMYC")</f>
        <v>19900824NCMYC</v>
      </c>
      <c r="B1710" s="8">
        <f ca="1">IFERROR(__xludf.DUMMYFUNCTION("""COMPUTED_VALUE"""),33109)</f>
        <v>33109</v>
      </c>
      <c r="C1710" s="5" t="str">
        <f ca="1">IFERROR(__xludf.DUMMYFUNCTION("""COMPUTED_VALUE"""),"Myers Park High School")</f>
        <v>Myers Park High School</v>
      </c>
      <c r="D1710" s="5">
        <f ca="1">IFERROR(__xludf.DUMMYFUNCTION("""COMPUTED_VALUE"""),1)</f>
        <v>1</v>
      </c>
      <c r="E1710" s="5">
        <f ca="1">IFERROR(__xludf.DUMMYFUNCTION("""COMPUTED_VALUE"""),0)</f>
        <v>0</v>
      </c>
      <c r="F1710" s="5">
        <f ca="1">IFERROR(__xludf.DUMMYFUNCTION("""COMPUTED_VALUE"""),1)</f>
        <v>1</v>
      </c>
      <c r="G1710" s="5">
        <f ca="1">IFERROR(__xludf.DUMMYFUNCTION("""COMPUTED_VALUE"""),0)</f>
        <v>0</v>
      </c>
      <c r="H1710" s="9" t="str">
        <f ca="1">IFERROR(__xludf.DUMMYFUNCTION("""COMPUTED_VALUE"""),"https://www.newspapers.com/image/400340582/?terms=Myers%2BPark%2BHigh%2BSchool%2Bshooting")</f>
        <v>https://www.newspapers.com/image/400340582/?terms=Myers%2BPark%2BHigh%2BSchool%2Bshooting</v>
      </c>
      <c r="I1710" s="5"/>
      <c r="J1710" s="5"/>
      <c r="K1710" s="5">
        <f ca="1">IFERROR(__xludf.DUMMYFUNCTION("""COMPUTED_VALUE"""),2)</f>
        <v>2</v>
      </c>
      <c r="L1710" s="5" t="str">
        <f ca="1">IFERROR(__xludf.DUMMYFUNCTION("""COMPUTED_VALUE"""),"Summer")</f>
        <v>Summer</v>
      </c>
      <c r="M1710" s="5" t="str">
        <f ca="1">IFERROR(__xludf.DUMMYFUNCTION("""COMPUTED_VALUE"""),"Charlotte")</f>
        <v>Charlotte</v>
      </c>
      <c r="N1710" s="5" t="str">
        <f ca="1">IFERROR(__xludf.DUMMYFUNCTION("""COMPUTED_VALUE"""),"NC")</f>
        <v>NC</v>
      </c>
      <c r="O1710" s="5" t="str">
        <f ca="1">IFERROR(__xludf.DUMMYFUNCTION("""COMPUTED_VALUE"""),"High")</f>
        <v>High</v>
      </c>
      <c r="P1710" s="5" t="str">
        <f ca="1">IFERROR(__xludf.DUMMYFUNCTION("""COMPUTED_VALUE"""),"Football Field/Track")</f>
        <v>Football Field/Track</v>
      </c>
      <c r="Q1710" s="5" t="str">
        <f ca="1">IFERROR(__xludf.DUMMYFUNCTION("""COMPUTED_VALUE"""),"Outside on School Property")</f>
        <v>Outside on School Property</v>
      </c>
      <c r="R1710" s="5" t="str">
        <f ca="1">IFERROR(__xludf.DUMMYFUNCTION("""COMPUTED_VALUE"""),"No")</f>
        <v>No</v>
      </c>
      <c r="S1710" s="5" t="str">
        <f ca="1">IFERROR(__xludf.DUMMYFUNCTION("""COMPUTED_VALUE"""),"Sport Event")</f>
        <v>Sport Event</v>
      </c>
      <c r="T1710" s="5"/>
      <c r="U1710" s="5">
        <f ca="1">IFERROR(__xludf.DUMMYFUNCTION("""COMPUTED_VALUE"""),1)</f>
        <v>1</v>
      </c>
      <c r="V1710" s="5" t="str">
        <f ca="1">IFERROR(__xludf.DUMMYFUNCTION("""COMPUTED_VALUE"""),"Student shot during football game by unknown shooter who fled")</f>
        <v>Student shot during football game by unknown shooter who fled</v>
      </c>
      <c r="W1710" s="5" t="str">
        <f ca="1">IFERROR(__xludf.DUMMYFUNCTION("""COMPUTED_VALUE"""),"15 year old student shot and killed during football game by unknown suspect.")</f>
        <v>15 year old student shot and killed during football game by unknown suspect.</v>
      </c>
      <c r="X1710" s="5" t="str">
        <f ca="1">IFERROR(__xludf.DUMMYFUNCTION("""COMPUTED_VALUE"""),"Unknown")</f>
        <v>Unknown</v>
      </c>
      <c r="Y1710" s="5"/>
      <c r="Z1710" s="5" t="str">
        <f ca="1">IFERROR(__xludf.DUMMYFUNCTION("""COMPUTED_VALUE"""),"No")</f>
        <v>No</v>
      </c>
      <c r="AA1710" s="5"/>
      <c r="AB1710" s="5" t="str">
        <f ca="1">IFERROR(__xludf.DUMMYFUNCTION("""COMPUTED_VALUE"""),"No")</f>
        <v>No</v>
      </c>
      <c r="AC1710" s="5" t="str">
        <f ca="1">IFERROR(__xludf.DUMMYFUNCTION("""COMPUTED_VALUE"""),"No")</f>
        <v>No</v>
      </c>
      <c r="AD1710" s="5" t="str">
        <f ca="1">IFERROR(__xludf.DUMMYFUNCTION("""COMPUTED_VALUE"""),"No")</f>
        <v>No</v>
      </c>
      <c r="AE1710" s="5" t="str">
        <f ca="1">IFERROR(__xludf.DUMMYFUNCTION("""COMPUTED_VALUE"""),"No")</f>
        <v>No</v>
      </c>
      <c r="AF1710" s="5" t="str">
        <f ca="1">IFERROR(__xludf.DUMMYFUNCTION("""COMPUTED_VALUE"""),"No")</f>
        <v>No</v>
      </c>
      <c r="AG1710" s="5"/>
      <c r="AH1710" s="5"/>
    </row>
    <row r="1711" spans="1:34" ht="12.75">
      <c r="A1711" s="5" t="str">
        <f ca="1">IFERROR(__xludf.DUMMYFUNCTION("""COMPUTED_VALUE"""),"19900531TXSUF")</f>
        <v>19900531TXSUF</v>
      </c>
      <c r="B1711" s="8">
        <f ca="1">IFERROR(__xludf.DUMMYFUNCTION("""COMPUTED_VALUE"""),33024)</f>
        <v>33024</v>
      </c>
      <c r="C1711" s="5" t="str">
        <f ca="1">IFERROR(__xludf.DUMMYFUNCTION("""COMPUTED_VALUE"""),"Sunrise Elementary School")</f>
        <v>Sunrise Elementary School</v>
      </c>
      <c r="D1711" s="5">
        <f ca="1">IFERROR(__xludf.DUMMYFUNCTION("""COMPUTED_VALUE"""),0)</f>
        <v>0</v>
      </c>
      <c r="E1711" s="5">
        <f ca="1">IFERROR(__xludf.DUMMYFUNCTION("""COMPUTED_VALUE"""),2)</f>
        <v>2</v>
      </c>
      <c r="F1711" s="5">
        <f ca="1">IFERROR(__xludf.DUMMYFUNCTION("""COMPUTED_VALUE"""),2)</f>
        <v>2</v>
      </c>
      <c r="G1711" s="5">
        <f ca="1">IFERROR(__xludf.DUMMYFUNCTION("""COMPUTED_VALUE"""),0)</f>
        <v>0</v>
      </c>
      <c r="H1711"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I1711" s="5"/>
      <c r="J1711" s="5"/>
      <c r="K1711" s="5">
        <f ca="1">IFERROR(__xludf.DUMMYFUNCTION("""COMPUTED_VALUE"""),2)</f>
        <v>2</v>
      </c>
      <c r="L1711" s="5" t="str">
        <f ca="1">IFERROR(__xludf.DUMMYFUNCTION("""COMPUTED_VALUE"""),"Spring")</f>
        <v>Spring</v>
      </c>
      <c r="M1711" s="5" t="str">
        <f ca="1">IFERROR(__xludf.DUMMYFUNCTION("""COMPUTED_VALUE"""),"Fort Worth")</f>
        <v>Fort Worth</v>
      </c>
      <c r="N1711" s="5" t="str">
        <f ca="1">IFERROR(__xludf.DUMMYFUNCTION("""COMPUTED_VALUE"""),"TX")</f>
        <v>TX</v>
      </c>
      <c r="O1711" s="5" t="str">
        <f ca="1">IFERROR(__xludf.DUMMYFUNCTION("""COMPUTED_VALUE"""),"Elementary")</f>
        <v>Elementary</v>
      </c>
      <c r="P1711" s="5" t="str">
        <f ca="1">IFERROR(__xludf.DUMMYFUNCTION("""COMPUTED_VALUE"""),"Playground")</f>
        <v>Playground</v>
      </c>
      <c r="Q1711" s="5" t="str">
        <f ca="1">IFERROR(__xludf.DUMMYFUNCTION("""COMPUTED_VALUE"""),"Outside on School Property")</f>
        <v>Outside on School Property</v>
      </c>
      <c r="R1711" s="5" t="str">
        <f ca="1">IFERROR(__xludf.DUMMYFUNCTION("""COMPUTED_VALUE"""),"Yes")</f>
        <v>Yes</v>
      </c>
      <c r="S1711" s="5" t="str">
        <f ca="1">IFERROR(__xludf.DUMMYFUNCTION("""COMPUTED_VALUE"""),"Morning Classes")</f>
        <v>Morning Classes</v>
      </c>
      <c r="T1711" s="10">
        <f ca="1">IFERROR(__xludf.DUMMYFUNCTION("""COMPUTED_VALUE"""),0.427083333333333)</f>
        <v>0.42708333333333298</v>
      </c>
      <c r="U1711" s="5">
        <f ca="1">IFERROR(__xludf.DUMMYFUNCTION("""COMPUTED_VALUE"""),1)</f>
        <v>1</v>
      </c>
      <c r="V1711" s="5" t="str">
        <f ca="1">IFERROR(__xludf.DUMMYFUNCTION("""COMPUTED_VALUE"""),"Teenagers joyriding fired at two elementary school students on a school playground")</f>
        <v>Teenagers joyriding fired at two elementary school students on a school playground</v>
      </c>
      <c r="W1711"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X1711" s="5" t="str">
        <f ca="1">IFERROR(__xludf.DUMMYFUNCTION("""COMPUTED_VALUE"""),"Indiscriminate Shooting")</f>
        <v>Indiscriminate Shooting</v>
      </c>
      <c r="Y1711" s="5" t="str">
        <f ca="1">IFERROR(__xludf.DUMMYFUNCTION("""COMPUTED_VALUE"""),"Random Shooting")</f>
        <v>Random Shooting</v>
      </c>
      <c r="Z1711" s="5" t="str">
        <f ca="1">IFERROR(__xludf.DUMMYFUNCTION("""COMPUTED_VALUE"""),"No")</f>
        <v>No</v>
      </c>
      <c r="AA1711" s="5"/>
      <c r="AB1711" s="5" t="str">
        <f ca="1">IFERROR(__xludf.DUMMYFUNCTION("""COMPUTED_VALUE"""),"No")</f>
        <v>No</v>
      </c>
      <c r="AC1711" s="5" t="str">
        <f ca="1">IFERROR(__xludf.DUMMYFUNCTION("""COMPUTED_VALUE"""),"No")</f>
        <v>No</v>
      </c>
      <c r="AD1711" s="5" t="str">
        <f ca="1">IFERROR(__xludf.DUMMYFUNCTION("""COMPUTED_VALUE"""),"No")</f>
        <v>No</v>
      </c>
      <c r="AE1711" s="5" t="str">
        <f ca="1">IFERROR(__xludf.DUMMYFUNCTION("""COMPUTED_VALUE"""),"No")</f>
        <v>No</v>
      </c>
      <c r="AF1711" s="5" t="str">
        <f ca="1">IFERROR(__xludf.DUMMYFUNCTION("""COMPUTED_VALUE"""),"No")</f>
        <v>No</v>
      </c>
      <c r="AG1711" s="5" t="str">
        <f ca="1">IFERROR(__xludf.DUMMYFUNCTION("""COMPUTED_VALUE"""),"No")</f>
        <v>No</v>
      </c>
      <c r="AH1711" s="5"/>
    </row>
    <row r="1712" spans="1:34" ht="12.75">
      <c r="A1712" s="5" t="str">
        <f ca="1">IFERROR(__xludf.DUMMYFUNCTION("""COMPUTED_VALUE"""),"19900520TNHIC")</f>
        <v>19900520TNHIC</v>
      </c>
      <c r="B1712" s="8">
        <f ca="1">IFERROR(__xludf.DUMMYFUNCTION("""COMPUTED_VALUE"""),33013)</f>
        <v>33013</v>
      </c>
      <c r="C1712" s="5" t="str">
        <f ca="1">IFERROR(__xludf.DUMMYFUNCTION("""COMPUTED_VALUE"""),"Hickman County High School")</f>
        <v>Hickman County High School</v>
      </c>
      <c r="D1712" s="5">
        <f ca="1">IFERROR(__xludf.DUMMYFUNCTION("""COMPUTED_VALUE"""),1)</f>
        <v>1</v>
      </c>
      <c r="E1712" s="5">
        <f ca="1">IFERROR(__xludf.DUMMYFUNCTION("""COMPUTED_VALUE"""),0)</f>
        <v>0</v>
      </c>
      <c r="F1712" s="5">
        <f ca="1">IFERROR(__xludf.DUMMYFUNCTION("""COMPUTED_VALUE"""),1)</f>
        <v>1</v>
      </c>
      <c r="G1712" s="5">
        <f ca="1">IFERROR(__xludf.DUMMYFUNCTION("""COMPUTED_VALUE"""),0)</f>
        <v>0</v>
      </c>
      <c r="H1712" s="9" t="str">
        <f ca="1">IFERROR(__xludf.DUMMYFUNCTION("""COMPUTED_VALUE"""),"https://news.google.com/newspapers?nid=1310&amp;dat=19900521&amp;id=wcJWAAAAIBAJ&amp;sjid=0eoDAAAAIBAJ&amp;pg=6655,5338612,")</f>
        <v>https://news.google.com/newspapers?nid=1310&amp;dat=19900521&amp;id=wcJWAAAAIBAJ&amp;sjid=0eoDAAAAIBAJ&amp;pg=6655,5338612,</v>
      </c>
      <c r="I1712" s="5"/>
      <c r="J1712" s="5"/>
      <c r="K1712" s="5">
        <f ca="1">IFERROR(__xludf.DUMMYFUNCTION("""COMPUTED_VALUE"""),2)</f>
        <v>2</v>
      </c>
      <c r="L1712" s="5" t="str">
        <f ca="1">IFERROR(__xludf.DUMMYFUNCTION("""COMPUTED_VALUE"""),"Spring")</f>
        <v>Spring</v>
      </c>
      <c r="M1712" s="5" t="str">
        <f ca="1">IFERROR(__xludf.DUMMYFUNCTION("""COMPUTED_VALUE"""),"Centerville")</f>
        <v>Centerville</v>
      </c>
      <c r="N1712" s="5" t="str">
        <f ca="1">IFERROR(__xludf.DUMMYFUNCTION("""COMPUTED_VALUE"""),"TN")</f>
        <v>TN</v>
      </c>
      <c r="O1712" s="5" t="str">
        <f ca="1">IFERROR(__xludf.DUMMYFUNCTION("""COMPUTED_VALUE"""),"High")</f>
        <v>High</v>
      </c>
      <c r="P1712" s="5" t="str">
        <f ca="1">IFERROR(__xludf.DUMMYFUNCTION("""COMPUTED_VALUE"""),"Hallway")</f>
        <v>Hallway</v>
      </c>
      <c r="Q1712" s="5" t="str">
        <f ca="1">IFERROR(__xludf.DUMMYFUNCTION("""COMPUTED_VALUE"""),"Inside School Building")</f>
        <v>Inside School Building</v>
      </c>
      <c r="R1712" s="5" t="str">
        <f ca="1">IFERROR(__xludf.DUMMYFUNCTION("""COMPUTED_VALUE"""),"No")</f>
        <v>No</v>
      </c>
      <c r="S1712" s="5" t="str">
        <f ca="1">IFERROR(__xludf.DUMMYFUNCTION("""COMPUTED_VALUE"""),"Not a School Day")</f>
        <v>Not a School Day</v>
      </c>
      <c r="T1712" s="10">
        <f ca="1">IFERROR(__xludf.DUMMYFUNCTION("""COMPUTED_VALUE"""),0.375)</f>
        <v>0.375</v>
      </c>
      <c r="U1712" s="5"/>
      <c r="V1712" s="5" t="str">
        <f ca="1">IFERROR(__xludf.DUMMYFUNCTION("""COMPUTED_VALUE"""),"Caught trying to set fire to school")</f>
        <v>Caught trying to set fire to school</v>
      </c>
      <c r="W1712"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X1712" s="5" t="str">
        <f ca="1">IFERROR(__xludf.DUMMYFUNCTION("""COMPUTED_VALUE"""),"Psychosis")</f>
        <v>Psychosis</v>
      </c>
      <c r="Y1712" s="5" t="str">
        <f ca="1">IFERROR(__xludf.DUMMYFUNCTION("""COMPUTED_VALUE"""),"Victims Targeted")</f>
        <v>Victims Targeted</v>
      </c>
      <c r="Z1712" s="5" t="str">
        <f ca="1">IFERROR(__xludf.DUMMYFUNCTION("""COMPUTED_VALUE"""),"No")</f>
        <v>No</v>
      </c>
      <c r="AA1712" s="5"/>
      <c r="AB1712" s="5" t="str">
        <f ca="1">IFERROR(__xludf.DUMMYFUNCTION("""COMPUTED_VALUE"""),"No")</f>
        <v>No</v>
      </c>
      <c r="AC1712" s="5" t="str">
        <f ca="1">IFERROR(__xludf.DUMMYFUNCTION("""COMPUTED_VALUE"""),"No")</f>
        <v>No</v>
      </c>
      <c r="AD1712" s="5" t="str">
        <f ca="1">IFERROR(__xludf.DUMMYFUNCTION("""COMPUTED_VALUE"""),"No")</f>
        <v>No</v>
      </c>
      <c r="AE1712" s="5" t="str">
        <f ca="1">IFERROR(__xludf.DUMMYFUNCTION("""COMPUTED_VALUE"""),"No")</f>
        <v>No</v>
      </c>
      <c r="AF1712" s="5" t="str">
        <f ca="1">IFERROR(__xludf.DUMMYFUNCTION("""COMPUTED_VALUE"""),"No")</f>
        <v>No</v>
      </c>
      <c r="AG1712" s="5" t="str">
        <f ca="1">IFERROR(__xludf.DUMMYFUNCTION("""COMPUTED_VALUE"""),"No")</f>
        <v>No</v>
      </c>
      <c r="AH1712" s="5"/>
    </row>
    <row r="1713" spans="1:34" ht="12.75">
      <c r="A1713" s="5" t="str">
        <f ca="1">IFERROR(__xludf.DUMMYFUNCTION("""COMPUTED_VALUE"""),"19900504CAMOE")</f>
        <v>19900504CAMOE</v>
      </c>
      <c r="B1713" s="8">
        <f ca="1">IFERROR(__xludf.DUMMYFUNCTION("""COMPUTED_VALUE"""),32997)</f>
        <v>32997</v>
      </c>
      <c r="C1713" s="5" t="str">
        <f ca="1">IFERROR(__xludf.DUMMYFUNCTION("""COMPUTED_VALUE"""),"Mount Pleasant High School")</f>
        <v>Mount Pleasant High School</v>
      </c>
      <c r="D1713" s="5">
        <f ca="1">IFERROR(__xludf.DUMMYFUNCTION("""COMPUTED_VALUE"""),1)</f>
        <v>1</v>
      </c>
      <c r="E1713" s="5">
        <f ca="1">IFERROR(__xludf.DUMMYFUNCTION("""COMPUTED_VALUE"""),1)</f>
        <v>1</v>
      </c>
      <c r="F1713" s="5">
        <f ca="1">IFERROR(__xludf.DUMMYFUNCTION("""COMPUTED_VALUE"""),2)</f>
        <v>2</v>
      </c>
      <c r="G1713" s="5">
        <f ca="1">IFERROR(__xludf.DUMMYFUNCTION("""COMPUTED_VALUE"""),0)</f>
        <v>0</v>
      </c>
      <c r="H1713" s="9" t="str">
        <f ca="1">IFERROR(__xludf.DUMMYFUNCTION("""COMPUTED_VALUE"""),"https://www.newspapers.com/image/462261165/?terms=Mount%2BPleasant%2BHigh%2BSchool%2Bshooting")</f>
        <v>https://www.newspapers.com/image/462261165/?terms=Mount%2BPleasant%2BHigh%2BSchool%2Bshooting</v>
      </c>
      <c r="I1713" s="5"/>
      <c r="J1713" s="5"/>
      <c r="K1713" s="5">
        <f ca="1">IFERROR(__xludf.DUMMYFUNCTION("""COMPUTED_VALUE"""),2)</f>
        <v>2</v>
      </c>
      <c r="L1713" s="5" t="str">
        <f ca="1">IFERROR(__xludf.DUMMYFUNCTION("""COMPUTED_VALUE"""),"Spring")</f>
        <v>Spring</v>
      </c>
      <c r="M1713" s="5" t="str">
        <f ca="1">IFERROR(__xludf.DUMMYFUNCTION("""COMPUTED_VALUE"""),"East San Jose")</f>
        <v>East San Jose</v>
      </c>
      <c r="N1713" s="5" t="str">
        <f ca="1">IFERROR(__xludf.DUMMYFUNCTION("""COMPUTED_VALUE"""),"CA")</f>
        <v>CA</v>
      </c>
      <c r="O1713" s="5" t="str">
        <f ca="1">IFERROR(__xludf.DUMMYFUNCTION("""COMPUTED_VALUE"""),"High")</f>
        <v>High</v>
      </c>
      <c r="P1713" s="5" t="str">
        <f ca="1">IFERROR(__xludf.DUMMYFUNCTION("""COMPUTED_VALUE"""),"Hallway")</f>
        <v>Hallway</v>
      </c>
      <c r="Q1713" s="5" t="str">
        <f ca="1">IFERROR(__xludf.DUMMYFUNCTION("""COMPUTED_VALUE"""),"Inside School Building")</f>
        <v>Inside School Building</v>
      </c>
      <c r="R1713" s="5" t="str">
        <f ca="1">IFERROR(__xludf.DUMMYFUNCTION("""COMPUTED_VALUE"""),"Yes")</f>
        <v>Yes</v>
      </c>
      <c r="S1713" s="5"/>
      <c r="T1713" s="5"/>
      <c r="U1713" s="5">
        <f ca="1">IFERROR(__xludf.DUMMYFUNCTION("""COMPUTED_VALUE"""),1)</f>
        <v>1</v>
      </c>
      <c r="V1713" s="5" t="str">
        <f ca="1">IFERROR(__xludf.DUMMYFUNCTION("""COMPUTED_VALUE"""),"Group of Vietnamese students had Ongoing argument with group of white students")</f>
        <v>Group of Vietnamese students had Ongoing argument with group of white students</v>
      </c>
      <c r="W1713"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X1713" s="5" t="str">
        <f ca="1">IFERROR(__xludf.DUMMYFUNCTION("""COMPUTED_VALUE"""),"Racial")</f>
        <v>Racial</v>
      </c>
      <c r="Y1713" s="5" t="str">
        <f ca="1">IFERROR(__xludf.DUMMYFUNCTION("""COMPUTED_VALUE"""),"Both")</f>
        <v>Both</v>
      </c>
      <c r="Z1713" s="5" t="str">
        <f ca="1">IFERROR(__xludf.DUMMYFUNCTION("""COMPUTED_VALUE"""),"Yes")</f>
        <v>Yes</v>
      </c>
      <c r="AA1713" s="5" t="str">
        <f ca="1">IFERROR(__xludf.DUMMYFUNCTION("""COMPUTED_VALUE"""),"16YOM and 14 YOF arrested")</f>
        <v>16YOM and 14 YOF arrested</v>
      </c>
      <c r="AB1713" s="5" t="str">
        <f ca="1">IFERROR(__xludf.DUMMYFUNCTION("""COMPUTED_VALUE"""),"No")</f>
        <v>No</v>
      </c>
      <c r="AC1713" s="5" t="str">
        <f ca="1">IFERROR(__xludf.DUMMYFUNCTION("""COMPUTED_VALUE"""),"No")</f>
        <v>No</v>
      </c>
      <c r="AD1713" s="5" t="str">
        <f ca="1">IFERROR(__xludf.DUMMYFUNCTION("""COMPUTED_VALUE"""),"No")</f>
        <v>No</v>
      </c>
      <c r="AE1713" s="5" t="str">
        <f ca="1">IFERROR(__xludf.DUMMYFUNCTION("""COMPUTED_VALUE"""),"No")</f>
        <v>No</v>
      </c>
      <c r="AF1713" s="5" t="str">
        <f ca="1">IFERROR(__xludf.DUMMYFUNCTION("""COMPUTED_VALUE"""),"No")</f>
        <v>No</v>
      </c>
      <c r="AG1713" s="5" t="str">
        <f ca="1">IFERROR(__xludf.DUMMYFUNCTION("""COMPUTED_VALUE"""),"No")</f>
        <v>No</v>
      </c>
      <c r="AH1713" s="5"/>
    </row>
    <row r="1714" spans="1:34" ht="12.75">
      <c r="A1714" s="5" t="str">
        <f ca="1">IFERROR(__xludf.DUMMYFUNCTION("""COMPUTED_VALUE"""),"19900403TXSKD")</f>
        <v>19900403TXSKD</v>
      </c>
      <c r="B1714" s="8">
        <f ca="1">IFERROR(__xludf.DUMMYFUNCTION("""COMPUTED_VALUE"""),32966)</f>
        <v>32966</v>
      </c>
      <c r="C1714" s="5" t="str">
        <f ca="1">IFERROR(__xludf.DUMMYFUNCTION("""COMPUTED_VALUE"""),"Skyline High School")</f>
        <v>Skyline High School</v>
      </c>
      <c r="D1714" s="5">
        <f ca="1">IFERROR(__xludf.DUMMYFUNCTION("""COMPUTED_VALUE"""),0)</f>
        <v>0</v>
      </c>
      <c r="E1714" s="5">
        <f ca="1">IFERROR(__xludf.DUMMYFUNCTION("""COMPUTED_VALUE"""),1)</f>
        <v>1</v>
      </c>
      <c r="F1714" s="5">
        <f ca="1">IFERROR(__xludf.DUMMYFUNCTION("""COMPUTED_VALUE"""),1)</f>
        <v>1</v>
      </c>
      <c r="G1714" s="5">
        <f ca="1">IFERROR(__xludf.DUMMYFUNCTION("""COMPUTED_VALUE"""),0)</f>
        <v>0</v>
      </c>
      <c r="H1714" s="9" t="str">
        <f ca="1">IFERROR(__xludf.DUMMYFUNCTION("""COMPUTED_VALUE"""),"https://www.newspapers.com/image/13852014/?terms=Skyline%2BHigh%2BSchool%2Bshooting")</f>
        <v>https://www.newspapers.com/image/13852014/?terms=Skyline%2BHigh%2BSchool%2Bshooting</v>
      </c>
      <c r="I1714" s="5"/>
      <c r="J1714" s="5"/>
      <c r="K1714" s="5">
        <f ca="1">IFERROR(__xludf.DUMMYFUNCTION("""COMPUTED_VALUE"""),2)</f>
        <v>2</v>
      </c>
      <c r="L1714" s="5" t="str">
        <f ca="1">IFERROR(__xludf.DUMMYFUNCTION("""COMPUTED_VALUE"""),"Spring")</f>
        <v>Spring</v>
      </c>
      <c r="M1714" s="5" t="str">
        <f ca="1">IFERROR(__xludf.DUMMYFUNCTION("""COMPUTED_VALUE"""),"Dallas")</f>
        <v>Dallas</v>
      </c>
      <c r="N1714" s="5" t="str">
        <f ca="1">IFERROR(__xludf.DUMMYFUNCTION("""COMPUTED_VALUE"""),"TX")</f>
        <v>TX</v>
      </c>
      <c r="O1714" s="5" t="str">
        <f ca="1">IFERROR(__xludf.DUMMYFUNCTION("""COMPUTED_VALUE"""),"High")</f>
        <v>High</v>
      </c>
      <c r="P1714" s="5" t="str">
        <f ca="1">IFERROR(__xludf.DUMMYFUNCTION("""COMPUTED_VALUE"""),"Hallway")</f>
        <v>Hallway</v>
      </c>
      <c r="Q1714" s="5" t="str">
        <f ca="1">IFERROR(__xludf.DUMMYFUNCTION("""COMPUTED_VALUE"""),"Inside School Building")</f>
        <v>Inside School Building</v>
      </c>
      <c r="R1714" s="5" t="str">
        <f ca="1">IFERROR(__xludf.DUMMYFUNCTION("""COMPUTED_VALUE"""),"Yes")</f>
        <v>Yes</v>
      </c>
      <c r="S1714" s="5"/>
      <c r="T1714" s="5"/>
      <c r="U1714" s="5"/>
      <c r="V1714" s="5" t="str">
        <f ca="1">IFERROR(__xludf.DUMMYFUNCTION("""COMPUTED_VALUE"""),"Earlier fight escalated into shooting in school hallway")</f>
        <v>Earlier fight escalated into shooting in school hallway</v>
      </c>
      <c r="W1714"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X1714" s="5" t="str">
        <f ca="1">IFERROR(__xludf.DUMMYFUNCTION("""COMPUTED_VALUE"""),"Escalation of Dispute")</f>
        <v>Escalation of Dispute</v>
      </c>
      <c r="Y1714" s="5" t="str">
        <f ca="1">IFERROR(__xludf.DUMMYFUNCTION("""COMPUTED_VALUE"""),"Victims Targeted")</f>
        <v>Victims Targeted</v>
      </c>
      <c r="Z1714" s="5" t="str">
        <f ca="1">IFERROR(__xludf.DUMMYFUNCTION("""COMPUTED_VALUE"""),"No")</f>
        <v>No</v>
      </c>
      <c r="AA1714" s="5"/>
      <c r="AB1714" s="5" t="str">
        <f ca="1">IFERROR(__xludf.DUMMYFUNCTION("""COMPUTED_VALUE"""),"No")</f>
        <v>No</v>
      </c>
      <c r="AC1714" s="5" t="str">
        <f ca="1">IFERROR(__xludf.DUMMYFUNCTION("""COMPUTED_VALUE"""),"No")</f>
        <v>No</v>
      </c>
      <c r="AD1714" s="5" t="str">
        <f ca="1">IFERROR(__xludf.DUMMYFUNCTION("""COMPUTED_VALUE"""),"No")</f>
        <v>No</v>
      </c>
      <c r="AE1714" s="5" t="str">
        <f ca="1">IFERROR(__xludf.DUMMYFUNCTION("""COMPUTED_VALUE"""),"No")</f>
        <v>No</v>
      </c>
      <c r="AF1714" s="5" t="str">
        <f ca="1">IFERROR(__xludf.DUMMYFUNCTION("""COMPUTED_VALUE"""),"No")</f>
        <v>No</v>
      </c>
      <c r="AG1714" s="5" t="str">
        <f ca="1">IFERROR(__xludf.DUMMYFUNCTION("""COMPUTED_VALUE"""),"No")</f>
        <v>No</v>
      </c>
      <c r="AH1714" s="5"/>
    </row>
    <row r="1715" spans="1:34" ht="12.75">
      <c r="A1715" s="5" t="str">
        <f ca="1">IFERROR(__xludf.DUMMYFUNCTION("""COMPUTED_VALUE"""),"19900327NYNEB")</f>
        <v>19900327NYNEB</v>
      </c>
      <c r="B1715" s="8">
        <f ca="1">IFERROR(__xludf.DUMMYFUNCTION("""COMPUTED_VALUE"""),32959)</f>
        <v>32959</v>
      </c>
      <c r="C1715" s="5" t="str">
        <f ca="1">IFERROR(__xludf.DUMMYFUNCTION("""COMPUTED_VALUE"""),"New Utrecht High School")</f>
        <v>New Utrecht High School</v>
      </c>
      <c r="D1715" s="5">
        <f ca="1">IFERROR(__xludf.DUMMYFUNCTION("""COMPUTED_VALUE"""),0)</f>
        <v>0</v>
      </c>
      <c r="E1715" s="5">
        <f ca="1">IFERROR(__xludf.DUMMYFUNCTION("""COMPUTED_VALUE"""),1)</f>
        <v>1</v>
      </c>
      <c r="F1715" s="5">
        <f ca="1">IFERROR(__xludf.DUMMYFUNCTION("""COMPUTED_VALUE"""),1)</f>
        <v>1</v>
      </c>
      <c r="G1715" s="5">
        <f ca="1">IFERROR(__xludf.DUMMYFUNCTION("""COMPUTED_VALUE"""),0)</f>
        <v>0</v>
      </c>
      <c r="H1715" s="9" t="str">
        <f ca="1">IFERROR(__xludf.DUMMYFUNCTION("""COMPUTED_VALUE"""),"https://www.nytimes.com/1990/03/28/nyregion/a-black-is-shot-in-a-high-school-in-bensonshurst.html")</f>
        <v>https://www.nytimes.com/1990/03/28/nyregion/a-black-is-shot-in-a-high-school-in-bensonshurst.html</v>
      </c>
      <c r="I1715" s="5"/>
      <c r="J1715" s="5"/>
      <c r="K1715" s="5">
        <f ca="1">IFERROR(__xludf.DUMMYFUNCTION("""COMPUTED_VALUE"""),2)</f>
        <v>2</v>
      </c>
      <c r="L1715" s="5" t="str">
        <f ca="1">IFERROR(__xludf.DUMMYFUNCTION("""COMPUTED_VALUE"""),"Spring")</f>
        <v>Spring</v>
      </c>
      <c r="M1715" s="5" t="str">
        <f ca="1">IFERROR(__xludf.DUMMYFUNCTION("""COMPUTED_VALUE"""),"Brooklyn")</f>
        <v>Brooklyn</v>
      </c>
      <c r="N1715" s="5" t="str">
        <f ca="1">IFERROR(__xludf.DUMMYFUNCTION("""COMPUTED_VALUE"""),"NY")</f>
        <v>NY</v>
      </c>
      <c r="O1715" s="5" t="str">
        <f ca="1">IFERROR(__xludf.DUMMYFUNCTION("""COMPUTED_VALUE"""),"High")</f>
        <v>High</v>
      </c>
      <c r="P1715" s="5" t="str">
        <f ca="1">IFERROR(__xludf.DUMMYFUNCTION("""COMPUTED_VALUE"""),"Hallway")</f>
        <v>Hallway</v>
      </c>
      <c r="Q1715" s="5" t="str">
        <f ca="1">IFERROR(__xludf.DUMMYFUNCTION("""COMPUTED_VALUE"""),"Inside School Building")</f>
        <v>Inside School Building</v>
      </c>
      <c r="R1715" s="5" t="str">
        <f ca="1">IFERROR(__xludf.DUMMYFUNCTION("""COMPUTED_VALUE"""),"Yes")</f>
        <v>Yes</v>
      </c>
      <c r="S1715" s="5" t="str">
        <f ca="1">IFERROR(__xludf.DUMMYFUNCTION("""COMPUTED_VALUE"""),"Morning Classes")</f>
        <v>Morning Classes</v>
      </c>
      <c r="T1715" s="10">
        <f ca="1">IFERROR(__xludf.DUMMYFUNCTION("""COMPUTED_VALUE"""),0.361111111111111)</f>
        <v>0.36111111111111099</v>
      </c>
      <c r="U1715" s="5">
        <f ca="1">IFERROR(__xludf.DUMMYFUNCTION("""COMPUTED_VALUE"""),1)</f>
        <v>1</v>
      </c>
      <c r="V1715" s="5" t="str">
        <f ca="1">IFERROR(__xludf.DUMMYFUNCTION("""COMPUTED_VALUE"""),"Racially motivated, three older white students confronted a black student and shot him")</f>
        <v>Racially motivated, three older white students confronted a black student and shot him</v>
      </c>
      <c r="W1715"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X1715" s="5" t="str">
        <f ca="1">IFERROR(__xludf.DUMMYFUNCTION("""COMPUTED_VALUE"""),"Racial")</f>
        <v>Racial</v>
      </c>
      <c r="Y1715" s="5" t="str">
        <f ca="1">IFERROR(__xludf.DUMMYFUNCTION("""COMPUTED_VALUE"""),"Victims Targeted")</f>
        <v>Victims Targeted</v>
      </c>
      <c r="Z1715" s="5" t="str">
        <f ca="1">IFERROR(__xludf.DUMMYFUNCTION("""COMPUTED_VALUE"""),"Yes")</f>
        <v>Yes</v>
      </c>
      <c r="AA1715" s="5" t="str">
        <f ca="1">IFERROR(__xludf.DUMMYFUNCTION("""COMPUTED_VALUE"""),"Three white teens involved")</f>
        <v>Three white teens involved</v>
      </c>
      <c r="AB1715" s="5" t="str">
        <f ca="1">IFERROR(__xludf.DUMMYFUNCTION("""COMPUTED_VALUE"""),"No")</f>
        <v>No</v>
      </c>
      <c r="AC1715" s="5" t="str">
        <f ca="1">IFERROR(__xludf.DUMMYFUNCTION("""COMPUTED_VALUE"""),"No")</f>
        <v>No</v>
      </c>
      <c r="AD1715" s="5" t="str">
        <f ca="1">IFERROR(__xludf.DUMMYFUNCTION("""COMPUTED_VALUE"""),"No")</f>
        <v>No</v>
      </c>
      <c r="AE1715" s="5" t="str">
        <f ca="1">IFERROR(__xludf.DUMMYFUNCTION("""COMPUTED_VALUE"""),"No")</f>
        <v>No</v>
      </c>
      <c r="AF1715" s="5" t="str">
        <f ca="1">IFERROR(__xludf.DUMMYFUNCTION("""COMPUTED_VALUE"""),"No")</f>
        <v>No</v>
      </c>
      <c r="AG1715" s="5" t="str">
        <f ca="1">IFERROR(__xludf.DUMMYFUNCTION("""COMPUTED_VALUE"""),"No")</f>
        <v>No</v>
      </c>
      <c r="AH1715" s="5"/>
    </row>
    <row r="1716" spans="1:34" ht="12.75">
      <c r="A1716" s="5" t="str">
        <f ca="1">IFERROR(__xludf.DUMMYFUNCTION("""COMPUTED_VALUE"""),"19900220OHTAC")</f>
        <v>19900220OHTAC</v>
      </c>
      <c r="B1716" s="8">
        <f ca="1">IFERROR(__xludf.DUMMYFUNCTION("""COMPUTED_VALUE"""),32924)</f>
        <v>32924</v>
      </c>
      <c r="C1716" s="5" t="str">
        <f ca="1">IFERROR(__xludf.DUMMYFUNCTION("""COMPUTED_VALUE"""),"Taft High School")</f>
        <v>Taft High School</v>
      </c>
      <c r="D1716" s="5">
        <f ca="1">IFERROR(__xludf.DUMMYFUNCTION("""COMPUTED_VALUE"""),1)</f>
        <v>1</v>
      </c>
      <c r="E1716" s="5">
        <f ca="1">IFERROR(__xludf.DUMMYFUNCTION("""COMPUTED_VALUE"""),0)</f>
        <v>0</v>
      </c>
      <c r="F1716" s="5">
        <f ca="1">IFERROR(__xludf.DUMMYFUNCTION("""COMPUTED_VALUE"""),1)</f>
        <v>1</v>
      </c>
      <c r="G1716" s="5">
        <f ca="1">IFERROR(__xludf.DUMMYFUNCTION("""COMPUTED_VALUE"""),0)</f>
        <v>0</v>
      </c>
      <c r="H1716" s="9" t="str">
        <f ca="1">IFERROR(__xludf.DUMMYFUNCTION("""COMPUTED_VALUE"""),"https://www.newspapers.com/image/101597966/?terms=Taft%2BHigh%2BSchool%2Bshooting")</f>
        <v>https://www.newspapers.com/image/101597966/?terms=Taft%2BHigh%2BSchool%2Bshooting</v>
      </c>
      <c r="I1716" s="5"/>
      <c r="J1716" s="5"/>
      <c r="K1716" s="5">
        <f ca="1">IFERROR(__xludf.DUMMYFUNCTION("""COMPUTED_VALUE"""),2)</f>
        <v>2</v>
      </c>
      <c r="L1716" s="5" t="str">
        <f ca="1">IFERROR(__xludf.DUMMYFUNCTION("""COMPUTED_VALUE"""),"Winter")</f>
        <v>Winter</v>
      </c>
      <c r="M1716" s="5" t="str">
        <f ca="1">IFERROR(__xludf.DUMMYFUNCTION("""COMPUTED_VALUE"""),"Cincinnati")</f>
        <v>Cincinnati</v>
      </c>
      <c r="N1716" s="5" t="str">
        <f ca="1">IFERROR(__xludf.DUMMYFUNCTION("""COMPUTED_VALUE"""),"OH")</f>
        <v>OH</v>
      </c>
      <c r="O1716" s="5" t="str">
        <f ca="1">IFERROR(__xludf.DUMMYFUNCTION("""COMPUTED_VALUE"""),"High")</f>
        <v>High</v>
      </c>
      <c r="P1716" s="5" t="str">
        <f ca="1">IFERROR(__xludf.DUMMYFUNCTION("""COMPUTED_VALUE"""),"Outside on School Property")</f>
        <v>Outside on School Property</v>
      </c>
      <c r="Q1716" s="5" t="str">
        <f ca="1">IFERROR(__xludf.DUMMYFUNCTION("""COMPUTED_VALUE"""),"Outside on School Property")</f>
        <v>Outside on School Property</v>
      </c>
      <c r="R1716" s="5" t="str">
        <f ca="1">IFERROR(__xludf.DUMMYFUNCTION("""COMPUTED_VALUE"""),"No")</f>
        <v>No</v>
      </c>
      <c r="S1716" s="5" t="str">
        <f ca="1">IFERROR(__xludf.DUMMYFUNCTION("""COMPUTED_VALUE"""),"Dismissal")</f>
        <v>Dismissal</v>
      </c>
      <c r="T1716" s="10">
        <f ca="1">IFERROR(__xludf.DUMMYFUNCTION("""COMPUTED_VALUE"""),0.625)</f>
        <v>0.625</v>
      </c>
      <c r="U1716" s="5">
        <f ca="1">IFERROR(__xludf.DUMMYFUNCTION("""COMPUTED_VALUE"""),1)</f>
        <v>1</v>
      </c>
      <c r="V1716" s="5" t="str">
        <f ca="1">IFERROR(__xludf.DUMMYFUNCTION("""COMPUTED_VALUE"""),"Struck by bullet while watching fight at school")</f>
        <v>Struck by bullet while watching fight at school</v>
      </c>
      <c r="W1716" s="5" t="str">
        <f ca="1">IFERROR(__xludf.DUMMYFUNCTION("""COMPUTED_VALUE"""),"Fight outside school escalated into a shooting. Bystander was struck and killed.")</f>
        <v>Fight outside school escalated into a shooting. Bystander was struck and killed.</v>
      </c>
      <c r="X1716" s="5" t="str">
        <f ca="1">IFERROR(__xludf.DUMMYFUNCTION("""COMPUTED_VALUE"""),"Escalation of Dispute")</f>
        <v>Escalation of Dispute</v>
      </c>
      <c r="Y1716" s="5" t="str">
        <f ca="1">IFERROR(__xludf.DUMMYFUNCTION("""COMPUTED_VALUE"""),"Both")</f>
        <v>Both</v>
      </c>
      <c r="Z1716" s="5" t="str">
        <f ca="1">IFERROR(__xludf.DUMMYFUNCTION("""COMPUTED_VALUE"""),"No")</f>
        <v>No</v>
      </c>
      <c r="AA1716" s="5"/>
      <c r="AB1716" s="5" t="str">
        <f ca="1">IFERROR(__xludf.DUMMYFUNCTION("""COMPUTED_VALUE"""),"No")</f>
        <v>No</v>
      </c>
      <c r="AC1716" s="5" t="str">
        <f ca="1">IFERROR(__xludf.DUMMYFUNCTION("""COMPUTED_VALUE"""),"No")</f>
        <v>No</v>
      </c>
      <c r="AD1716" s="5" t="str">
        <f ca="1">IFERROR(__xludf.DUMMYFUNCTION("""COMPUTED_VALUE"""),"No")</f>
        <v>No</v>
      </c>
      <c r="AE1716" s="5" t="str">
        <f ca="1">IFERROR(__xludf.DUMMYFUNCTION("""COMPUTED_VALUE"""),"No")</f>
        <v>No</v>
      </c>
      <c r="AF1716" s="5" t="str">
        <f ca="1">IFERROR(__xludf.DUMMYFUNCTION("""COMPUTED_VALUE"""),"No")</f>
        <v>No</v>
      </c>
      <c r="AG1716" s="5" t="str">
        <f ca="1">IFERROR(__xludf.DUMMYFUNCTION("""COMPUTED_VALUE"""),"No")</f>
        <v>No</v>
      </c>
      <c r="AH1716" s="5"/>
    </row>
    <row r="1717" spans="1:34" ht="12.75">
      <c r="A1717" s="5" t="str">
        <f ca="1">IFERROR(__xludf.DUMMYFUNCTION("""COMPUTED_VALUE"""),"19900116RICEP")</f>
        <v>19900116RICEP</v>
      </c>
      <c r="B1717" s="8">
        <f ca="1">IFERROR(__xludf.DUMMYFUNCTION("""COMPUTED_VALUE"""),32889)</f>
        <v>32889</v>
      </c>
      <c r="C1717" s="5" t="str">
        <f ca="1">IFERROR(__xludf.DUMMYFUNCTION("""COMPUTED_VALUE"""),"Central High School")</f>
        <v>Central High School</v>
      </c>
      <c r="D1717" s="5">
        <f ca="1">IFERROR(__xludf.DUMMYFUNCTION("""COMPUTED_VALUE"""),0)</f>
        <v>0</v>
      </c>
      <c r="E1717" s="5">
        <f ca="1">IFERROR(__xludf.DUMMYFUNCTION("""COMPUTED_VALUE"""),2)</f>
        <v>2</v>
      </c>
      <c r="F1717" s="5">
        <f ca="1">IFERROR(__xludf.DUMMYFUNCTION("""COMPUTED_VALUE"""),2)</f>
        <v>2</v>
      </c>
      <c r="G1717" s="5">
        <f ca="1">IFERROR(__xludf.DUMMYFUNCTION("""COMPUTED_VALUE"""),0)</f>
        <v>0</v>
      </c>
      <c r="H1717" s="9" t="str">
        <f ca="1">IFERROR(__xludf.DUMMYFUNCTION("""COMPUTED_VALUE"""),"https://www.upi.com/Archives/1990/01/16/Two-wounded-in-school-shooting-racial-tensions-blamed/1799632466000/")</f>
        <v>https://www.upi.com/Archives/1990/01/16/Two-wounded-in-school-shooting-racial-tensions-blamed/1799632466000/</v>
      </c>
      <c r="I1717" s="5"/>
      <c r="J1717" s="5"/>
      <c r="K1717" s="5">
        <f ca="1">IFERROR(__xludf.DUMMYFUNCTION("""COMPUTED_VALUE"""),2)</f>
        <v>2</v>
      </c>
      <c r="L1717" s="5" t="str">
        <f ca="1">IFERROR(__xludf.DUMMYFUNCTION("""COMPUTED_VALUE"""),"Winter")</f>
        <v>Winter</v>
      </c>
      <c r="M1717" s="5" t="str">
        <f ca="1">IFERROR(__xludf.DUMMYFUNCTION("""COMPUTED_VALUE"""),"Providence")</f>
        <v>Providence</v>
      </c>
      <c r="N1717" s="5" t="str">
        <f ca="1">IFERROR(__xludf.DUMMYFUNCTION("""COMPUTED_VALUE"""),"RI")</f>
        <v>RI</v>
      </c>
      <c r="O1717" s="5" t="str">
        <f ca="1">IFERROR(__xludf.DUMMYFUNCTION("""COMPUTED_VALUE"""),"High")</f>
        <v>High</v>
      </c>
      <c r="P1717" s="5" t="str">
        <f ca="1">IFERROR(__xludf.DUMMYFUNCTION("""COMPUTED_VALUE"""),"Beside Building")</f>
        <v>Beside Building</v>
      </c>
      <c r="Q1717" s="5" t="str">
        <f ca="1">IFERROR(__xludf.DUMMYFUNCTION("""COMPUTED_VALUE"""),"Outside on School Property")</f>
        <v>Outside on School Property</v>
      </c>
      <c r="R1717" s="5" t="str">
        <f ca="1">IFERROR(__xludf.DUMMYFUNCTION("""COMPUTED_VALUE"""),"Yes")</f>
        <v>Yes</v>
      </c>
      <c r="S1717" s="5" t="str">
        <f ca="1">IFERROR(__xludf.DUMMYFUNCTION("""COMPUTED_VALUE"""),"Lunch")</f>
        <v>Lunch</v>
      </c>
      <c r="T1717" s="5"/>
      <c r="U1717" s="5">
        <f ca="1">IFERROR(__xludf.DUMMYFUNCTION("""COMPUTED_VALUE"""),1)</f>
        <v>1</v>
      </c>
      <c r="V1717" s="5" t="str">
        <f ca="1">IFERROR(__xludf.DUMMYFUNCTION("""COMPUTED_VALUE"""),"Racial shooting between Asian and White students")</f>
        <v>Racial shooting between Asian and White students</v>
      </c>
      <c r="W1717"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X1717" s="5" t="str">
        <f ca="1">IFERROR(__xludf.DUMMYFUNCTION("""COMPUTED_VALUE"""),"Bullying")</f>
        <v>Bullying</v>
      </c>
      <c r="Y1717" s="5" t="str">
        <f ca="1">IFERROR(__xludf.DUMMYFUNCTION("""COMPUTED_VALUE"""),"Random Shooting")</f>
        <v>Random Shooting</v>
      </c>
      <c r="Z1717" s="5" t="str">
        <f ca="1">IFERROR(__xludf.DUMMYFUNCTION("""COMPUTED_VALUE"""),"No")</f>
        <v>No</v>
      </c>
      <c r="AA1717" s="5"/>
      <c r="AB1717" s="5" t="str">
        <f ca="1">IFERROR(__xludf.DUMMYFUNCTION("""COMPUTED_VALUE"""),"No")</f>
        <v>No</v>
      </c>
      <c r="AC1717" s="5" t="str">
        <f ca="1">IFERROR(__xludf.DUMMYFUNCTION("""COMPUTED_VALUE"""),"No")</f>
        <v>No</v>
      </c>
      <c r="AD1717" s="5" t="str">
        <f ca="1">IFERROR(__xludf.DUMMYFUNCTION("""COMPUTED_VALUE"""),"No")</f>
        <v>No</v>
      </c>
      <c r="AE1717" s="5" t="str">
        <f ca="1">IFERROR(__xludf.DUMMYFUNCTION("""COMPUTED_VALUE"""),"Yes")</f>
        <v>Yes</v>
      </c>
      <c r="AF1717" s="5" t="str">
        <f ca="1">IFERROR(__xludf.DUMMYFUNCTION("""COMPUTED_VALUE"""),"No")</f>
        <v>No</v>
      </c>
      <c r="AG1717" s="5" t="str">
        <f ca="1">IFERROR(__xludf.DUMMYFUNCTION("""COMPUTED_VALUE"""),"No")</f>
        <v>No</v>
      </c>
      <c r="AH1717" s="5"/>
    </row>
    <row r="1718" spans="1:34" ht="12.75">
      <c r="A1718" s="5" t="str">
        <f ca="1">IFERROR(__xludf.DUMMYFUNCTION("""COMPUTED_VALUE"""),"19891212SCCHC")</f>
        <v>19891212SCCHC</v>
      </c>
      <c r="B1718" s="8">
        <f ca="1">IFERROR(__xludf.DUMMYFUNCTION("""COMPUTED_VALUE"""),32854)</f>
        <v>32854</v>
      </c>
      <c r="C1718" s="5" t="str">
        <f ca="1">IFERROR(__xludf.DUMMYFUNCTION("""COMPUTED_VALUE"""),"Chester High School")</f>
        <v>Chester High School</v>
      </c>
      <c r="D1718" s="5">
        <f ca="1">IFERROR(__xludf.DUMMYFUNCTION("""COMPUTED_VALUE"""),0)</f>
        <v>0</v>
      </c>
      <c r="E1718" s="5">
        <f ca="1">IFERROR(__xludf.DUMMYFUNCTION("""COMPUTED_VALUE"""),1)</f>
        <v>1</v>
      </c>
      <c r="F1718" s="5">
        <f ca="1">IFERROR(__xludf.DUMMYFUNCTION("""COMPUTED_VALUE"""),1)</f>
        <v>1</v>
      </c>
      <c r="G1718" s="5">
        <f ca="1">IFERROR(__xludf.DUMMYFUNCTION("""COMPUTED_VALUE"""),0)</f>
        <v>0</v>
      </c>
      <c r="H1718" s="9" t="str">
        <f ca="1">IFERROR(__xludf.DUMMYFUNCTION("""COMPUTED_VALUE"""),"https://www.newspapers.com/image/192086573/?terms=STUDENT%2BSHOT")</f>
        <v>https://www.newspapers.com/image/192086573/?terms=STUDENT%2BSHOT</v>
      </c>
      <c r="I1718" s="5"/>
      <c r="J1718" s="5"/>
      <c r="K1718" s="5">
        <f ca="1">IFERROR(__xludf.DUMMYFUNCTION("""COMPUTED_VALUE"""),2)</f>
        <v>2</v>
      </c>
      <c r="L1718" s="5" t="str">
        <f ca="1">IFERROR(__xludf.DUMMYFUNCTION("""COMPUTED_VALUE"""),"Winter")</f>
        <v>Winter</v>
      </c>
      <c r="M1718" s="5" t="str">
        <f ca="1">IFERROR(__xludf.DUMMYFUNCTION("""COMPUTED_VALUE"""),"Chester")</f>
        <v>Chester</v>
      </c>
      <c r="N1718" s="5" t="str">
        <f ca="1">IFERROR(__xludf.DUMMYFUNCTION("""COMPUTED_VALUE"""),"SC")</f>
        <v>SC</v>
      </c>
      <c r="O1718" s="5" t="str">
        <f ca="1">IFERROR(__xludf.DUMMYFUNCTION("""COMPUTED_VALUE"""),"High")</f>
        <v>High</v>
      </c>
      <c r="P1718" s="5" t="str">
        <f ca="1">IFERROR(__xludf.DUMMYFUNCTION("""COMPUTED_VALUE"""),"Courtyard")</f>
        <v>Courtyard</v>
      </c>
      <c r="Q1718" s="5" t="str">
        <f ca="1">IFERROR(__xludf.DUMMYFUNCTION("""COMPUTED_VALUE"""),"Outside on School Property")</f>
        <v>Outside on School Property</v>
      </c>
      <c r="R1718" s="5" t="str">
        <f ca="1">IFERROR(__xludf.DUMMYFUNCTION("""COMPUTED_VALUE"""),"Yes")</f>
        <v>Yes</v>
      </c>
      <c r="S1718" s="5" t="str">
        <f ca="1">IFERROR(__xludf.DUMMYFUNCTION("""COMPUTED_VALUE"""),"Dismissal")</f>
        <v>Dismissal</v>
      </c>
      <c r="T1718" s="5"/>
      <c r="U1718" s="5">
        <f ca="1">IFERROR(__xludf.DUMMYFUNCTION("""COMPUTED_VALUE"""),1)</f>
        <v>1</v>
      </c>
      <c r="V1718" s="5" t="str">
        <f ca="1">IFERROR(__xludf.DUMMYFUNCTION("""COMPUTED_VALUE"""),"Targeted victim after fight")</f>
        <v>Targeted victim after fight</v>
      </c>
      <c r="W1718"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X1718" s="5" t="str">
        <f ca="1">IFERROR(__xludf.DUMMYFUNCTION("""COMPUTED_VALUE"""),"Escalation of Dispute")</f>
        <v>Escalation of Dispute</v>
      </c>
      <c r="Y1718" s="5" t="str">
        <f ca="1">IFERROR(__xludf.DUMMYFUNCTION("""COMPUTED_VALUE"""),"Victims Targeted")</f>
        <v>Victims Targeted</v>
      </c>
      <c r="Z1718" s="5" t="str">
        <f ca="1">IFERROR(__xludf.DUMMYFUNCTION("""COMPUTED_VALUE"""),"No")</f>
        <v>No</v>
      </c>
      <c r="AA1718" s="5"/>
      <c r="AB1718" s="5" t="str">
        <f ca="1">IFERROR(__xludf.DUMMYFUNCTION("""COMPUTED_VALUE"""),"No")</f>
        <v>No</v>
      </c>
      <c r="AC1718" s="5" t="str">
        <f ca="1">IFERROR(__xludf.DUMMYFUNCTION("""COMPUTED_VALUE"""),"No")</f>
        <v>No</v>
      </c>
      <c r="AD1718" s="5" t="str">
        <f ca="1">IFERROR(__xludf.DUMMYFUNCTION("""COMPUTED_VALUE"""),"No")</f>
        <v>No</v>
      </c>
      <c r="AE1718" s="5" t="str">
        <f ca="1">IFERROR(__xludf.DUMMYFUNCTION("""COMPUTED_VALUE"""),"No")</f>
        <v>No</v>
      </c>
      <c r="AF1718" s="5" t="str">
        <f ca="1">IFERROR(__xludf.DUMMYFUNCTION("""COMPUTED_VALUE"""),"No")</f>
        <v>No</v>
      </c>
      <c r="AG1718" s="5" t="str">
        <f ca="1">IFERROR(__xludf.DUMMYFUNCTION("""COMPUTED_VALUE"""),"No")</f>
        <v>No</v>
      </c>
      <c r="AH1718" s="5"/>
    </row>
    <row r="1719" spans="1:34" ht="12.75">
      <c r="A1719" s="5" t="str">
        <f ca="1">IFERROR(__xludf.DUMMYFUNCTION("""COMPUTED_VALUE"""),"19891205TXWWD")</f>
        <v>19891205TXWWD</v>
      </c>
      <c r="B1719" s="8">
        <f ca="1">IFERROR(__xludf.DUMMYFUNCTION("""COMPUTED_VALUE"""),32847)</f>
        <v>32847</v>
      </c>
      <c r="C1719" s="5" t="str">
        <f ca="1">IFERROR(__xludf.DUMMYFUNCTION("""COMPUTED_VALUE"""),"W W Samuell High School")</f>
        <v>W W Samuell High School</v>
      </c>
      <c r="D1719" s="5">
        <f ca="1">IFERROR(__xludf.DUMMYFUNCTION("""COMPUTED_VALUE"""),0)</f>
        <v>0</v>
      </c>
      <c r="E1719" s="5">
        <f ca="1">IFERROR(__xludf.DUMMYFUNCTION("""COMPUTED_VALUE"""),1)</f>
        <v>1</v>
      </c>
      <c r="F1719" s="5">
        <f ca="1">IFERROR(__xludf.DUMMYFUNCTION("""COMPUTED_VALUE"""),1)</f>
        <v>1</v>
      </c>
      <c r="G1719" s="5">
        <f ca="1">IFERROR(__xludf.DUMMYFUNCTION("""COMPUTED_VALUE"""),0)</f>
        <v>0</v>
      </c>
      <c r="H1719" s="9" t="str">
        <f ca="1">IFERROR(__xludf.DUMMYFUNCTION("""COMPUTED_VALUE"""),"https://www.newspapers.com/image/410785023/?terms=W.%2BW.%2BSamuell%2BHigh%2BSchool")</f>
        <v>https://www.newspapers.com/image/410785023/?terms=W.%2BW.%2BSamuell%2BHigh%2BSchool</v>
      </c>
      <c r="I1719" s="5"/>
      <c r="J1719" s="5"/>
      <c r="K1719" s="5">
        <f ca="1">IFERROR(__xludf.DUMMYFUNCTION("""COMPUTED_VALUE"""),2)</f>
        <v>2</v>
      </c>
      <c r="L1719" s="5" t="str">
        <f ca="1">IFERROR(__xludf.DUMMYFUNCTION("""COMPUTED_VALUE"""),"Winter")</f>
        <v>Winter</v>
      </c>
      <c r="M1719" s="5" t="str">
        <f ca="1">IFERROR(__xludf.DUMMYFUNCTION("""COMPUTED_VALUE"""),"Dallas")</f>
        <v>Dallas</v>
      </c>
      <c r="N1719" s="5" t="str">
        <f ca="1">IFERROR(__xludf.DUMMYFUNCTION("""COMPUTED_VALUE"""),"TX")</f>
        <v>TX</v>
      </c>
      <c r="O1719" s="5" t="str">
        <f ca="1">IFERROR(__xludf.DUMMYFUNCTION("""COMPUTED_VALUE"""),"High")</f>
        <v>High</v>
      </c>
      <c r="P1719" s="5" t="str">
        <f ca="1">IFERROR(__xludf.DUMMYFUNCTION("""COMPUTED_VALUE"""),"Hallway")</f>
        <v>Hallway</v>
      </c>
      <c r="Q1719" s="5" t="str">
        <f ca="1">IFERROR(__xludf.DUMMYFUNCTION("""COMPUTED_VALUE"""),"Inside School Building")</f>
        <v>Inside School Building</v>
      </c>
      <c r="R1719" s="5" t="str">
        <f ca="1">IFERROR(__xludf.DUMMYFUNCTION("""COMPUTED_VALUE"""),"Yes")</f>
        <v>Yes</v>
      </c>
      <c r="S1719" s="5" t="str">
        <f ca="1">IFERROR(__xludf.DUMMYFUNCTION("""COMPUTED_VALUE"""),"Morning Classes")</f>
        <v>Morning Classes</v>
      </c>
      <c r="T1719" s="10">
        <f ca="1">IFERROR(__xludf.DUMMYFUNCTION("""COMPUTED_VALUE"""),0.347222222222222)</f>
        <v>0.34722222222222199</v>
      </c>
      <c r="U1719" s="5">
        <f ca="1">IFERROR(__xludf.DUMMYFUNCTION("""COMPUTED_VALUE"""),1)</f>
        <v>1</v>
      </c>
      <c r="V1719" s="5" t="str">
        <f ca="1">IFERROR(__xludf.DUMMYFUNCTION("""COMPUTED_VALUE"""),"Gang members fired shots, ricocheted and hit teacher")</f>
        <v>Gang members fired shots, ricocheted and hit teacher</v>
      </c>
      <c r="W1719"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X1719" s="5" t="str">
        <f ca="1">IFERROR(__xludf.DUMMYFUNCTION("""COMPUTED_VALUE"""),"Escalation of Dispute")</f>
        <v>Escalation of Dispute</v>
      </c>
      <c r="Y1719" s="5" t="str">
        <f ca="1">IFERROR(__xludf.DUMMYFUNCTION("""COMPUTED_VALUE"""),"Both")</f>
        <v>Both</v>
      </c>
      <c r="Z1719" s="5" t="str">
        <f ca="1">IFERROR(__xludf.DUMMYFUNCTION("""COMPUTED_VALUE"""),"No")</f>
        <v>No</v>
      </c>
      <c r="AA1719" s="5"/>
      <c r="AB1719" s="5" t="str">
        <f ca="1">IFERROR(__xludf.DUMMYFUNCTION("""COMPUTED_VALUE"""),"No")</f>
        <v>No</v>
      </c>
      <c r="AC1719" s="5" t="str">
        <f ca="1">IFERROR(__xludf.DUMMYFUNCTION("""COMPUTED_VALUE"""),"No")</f>
        <v>No</v>
      </c>
      <c r="AD1719" s="5" t="str">
        <f ca="1">IFERROR(__xludf.DUMMYFUNCTION("""COMPUTED_VALUE"""),"No")</f>
        <v>No</v>
      </c>
      <c r="AE1719" s="5" t="str">
        <f ca="1">IFERROR(__xludf.DUMMYFUNCTION("""COMPUTED_VALUE"""),"No")</f>
        <v>No</v>
      </c>
      <c r="AF1719" s="5" t="str">
        <f ca="1">IFERROR(__xludf.DUMMYFUNCTION("""COMPUTED_VALUE"""),"No")</f>
        <v>No</v>
      </c>
      <c r="AG1719" s="5" t="str">
        <f ca="1">IFERROR(__xludf.DUMMYFUNCTION("""COMPUTED_VALUE"""),"Yes")</f>
        <v>Yes</v>
      </c>
      <c r="AH1719" s="5"/>
    </row>
    <row r="1720" spans="1:34" ht="12.75">
      <c r="A1720" s="5" t="str">
        <f ca="1">IFERROR(__xludf.DUMMYFUNCTION("""COMPUTED_VALUE"""),"19891205PASEM")</f>
        <v>19891205PASEM</v>
      </c>
      <c r="B1720" s="8">
        <f ca="1">IFERROR(__xludf.DUMMYFUNCTION("""COMPUTED_VALUE"""),32847)</f>
        <v>32847</v>
      </c>
      <c r="C1720" s="5" t="str">
        <f ca="1">IFERROR(__xludf.DUMMYFUNCTION("""COMPUTED_VALUE"""),"Serra Catholic High School bus")</f>
        <v>Serra Catholic High School bus</v>
      </c>
      <c r="D1720" s="5">
        <f ca="1">IFERROR(__xludf.DUMMYFUNCTION("""COMPUTED_VALUE"""),0)</f>
        <v>0</v>
      </c>
      <c r="E1720" s="5">
        <f ca="1">IFERROR(__xludf.DUMMYFUNCTION("""COMPUTED_VALUE"""),1)</f>
        <v>1</v>
      </c>
      <c r="F1720" s="5">
        <f ca="1">IFERROR(__xludf.DUMMYFUNCTION("""COMPUTED_VALUE"""),1)</f>
        <v>1</v>
      </c>
      <c r="G1720" s="5">
        <f ca="1">IFERROR(__xludf.DUMMYFUNCTION("""COMPUTED_VALUE"""),1)</f>
        <v>1</v>
      </c>
      <c r="H1720"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I1720" s="5">
        <f ca="1">IFERROR(__xludf.DUMMYFUNCTION("""COMPUTED_VALUE"""),1)</f>
        <v>1</v>
      </c>
      <c r="J1720" s="5" t="str">
        <f ca="1">IFERROR(__xludf.DUMMYFUNCTION("""COMPUTED_VALUE"""),"Local")</f>
        <v>Local</v>
      </c>
      <c r="K1720" s="5">
        <f ca="1">IFERROR(__xludf.DUMMYFUNCTION("""COMPUTED_VALUE"""),2)</f>
        <v>2</v>
      </c>
      <c r="L1720" s="5" t="str">
        <f ca="1">IFERROR(__xludf.DUMMYFUNCTION("""COMPUTED_VALUE"""),"Winter")</f>
        <v>Winter</v>
      </c>
      <c r="M1720" s="5" t="str">
        <f ca="1">IFERROR(__xludf.DUMMYFUNCTION("""COMPUTED_VALUE"""),"McKeesport")</f>
        <v>McKeesport</v>
      </c>
      <c r="N1720" s="5" t="str">
        <f ca="1">IFERROR(__xludf.DUMMYFUNCTION("""COMPUTED_VALUE"""),"PA")</f>
        <v>PA</v>
      </c>
      <c r="O1720" s="5" t="str">
        <f ca="1">IFERROR(__xludf.DUMMYFUNCTION("""COMPUTED_VALUE"""),"High")</f>
        <v>High</v>
      </c>
      <c r="P1720" s="5" t="str">
        <f ca="1">IFERROR(__xludf.DUMMYFUNCTION("""COMPUTED_VALUE"""),"School Bus")</f>
        <v>School Bus</v>
      </c>
      <c r="Q1720" s="5" t="str">
        <f ca="1">IFERROR(__xludf.DUMMYFUNCTION("""COMPUTED_VALUE"""),"School Bus")</f>
        <v>School Bus</v>
      </c>
      <c r="R1720" s="5" t="str">
        <f ca="1">IFERROR(__xludf.DUMMYFUNCTION("""COMPUTED_VALUE"""),"No")</f>
        <v>No</v>
      </c>
      <c r="S1720" s="5" t="str">
        <f ca="1">IFERROR(__xludf.DUMMYFUNCTION("""COMPUTED_VALUE"""),"Before School")</f>
        <v>Before School</v>
      </c>
      <c r="T1720" s="5"/>
      <c r="U1720" s="5"/>
      <c r="V1720" s="5" t="str">
        <f ca="1">IFERROR(__xludf.DUMMYFUNCTION("""COMPUTED_VALUE"""),"Shot student in front of him on bus then killed self")</f>
        <v>Shot student in front of him on bus then killed self</v>
      </c>
      <c r="W1720"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X1720" s="5" t="str">
        <f ca="1">IFERROR(__xludf.DUMMYFUNCTION("""COMPUTED_VALUE"""),"Murder/Suicide")</f>
        <v>Murder/Suicide</v>
      </c>
      <c r="Y1720" s="5" t="str">
        <f ca="1">IFERROR(__xludf.DUMMYFUNCTION("""COMPUTED_VALUE"""),"Victims Targeted")</f>
        <v>Victims Targeted</v>
      </c>
      <c r="Z1720" s="5" t="str">
        <f ca="1">IFERROR(__xludf.DUMMYFUNCTION("""COMPUTED_VALUE"""),"No")</f>
        <v>No</v>
      </c>
      <c r="AA1720" s="5"/>
      <c r="AB1720" s="5" t="str">
        <f ca="1">IFERROR(__xludf.DUMMYFUNCTION("""COMPUTED_VALUE"""),"No")</f>
        <v>No</v>
      </c>
      <c r="AC1720" s="5" t="str">
        <f ca="1">IFERROR(__xludf.DUMMYFUNCTION("""COMPUTED_VALUE"""),"No")</f>
        <v>No</v>
      </c>
      <c r="AD1720" s="5" t="str">
        <f ca="1">IFERROR(__xludf.DUMMYFUNCTION("""COMPUTED_VALUE"""),"No")</f>
        <v>No</v>
      </c>
      <c r="AE1720" s="5" t="str">
        <f ca="1">IFERROR(__xludf.DUMMYFUNCTION("""COMPUTED_VALUE"""),"No")</f>
        <v>No</v>
      </c>
      <c r="AF1720" s="5" t="str">
        <f ca="1">IFERROR(__xludf.DUMMYFUNCTION("""COMPUTED_VALUE"""),"No")</f>
        <v>No</v>
      </c>
      <c r="AG1720" s="5" t="str">
        <f ca="1">IFERROR(__xludf.DUMMYFUNCTION("""COMPUTED_VALUE"""),"No")</f>
        <v>No</v>
      </c>
      <c r="AH1720" s="5"/>
    </row>
    <row r="1721" spans="1:34" ht="12.75">
      <c r="A1721" s="5" t="str">
        <f ca="1">IFERROR(__xludf.DUMMYFUNCTION("""COMPUTED_VALUE"""),"19891204LACAS")</f>
        <v>19891204LACAS</v>
      </c>
      <c r="B1721" s="8">
        <f ca="1">IFERROR(__xludf.DUMMYFUNCTION("""COMPUTED_VALUE"""),32846)</f>
        <v>32846</v>
      </c>
      <c r="C1721" s="5" t="str">
        <f ca="1">IFERROR(__xludf.DUMMYFUNCTION("""COMPUTED_VALUE"""),"Caddo Magnet High School")</f>
        <v>Caddo Magnet High School</v>
      </c>
      <c r="D1721" s="5">
        <f ca="1">IFERROR(__xludf.DUMMYFUNCTION("""COMPUTED_VALUE"""),0)</f>
        <v>0</v>
      </c>
      <c r="E1721" s="5">
        <f ca="1">IFERROR(__xludf.DUMMYFUNCTION("""COMPUTED_VALUE"""),1)</f>
        <v>1</v>
      </c>
      <c r="F1721" s="5">
        <f ca="1">IFERROR(__xludf.DUMMYFUNCTION("""COMPUTED_VALUE"""),1)</f>
        <v>1</v>
      </c>
      <c r="G1721" s="5">
        <f ca="1">IFERROR(__xludf.DUMMYFUNCTION("""COMPUTED_VALUE"""),0)</f>
        <v>0</v>
      </c>
      <c r="H1721" s="9" t="str">
        <f ca="1">IFERROR(__xludf.DUMMYFUNCTION("""COMPUTED_VALUE"""),"https://www.newspapers.com/image/228504621/?terms=student%2Bshot")</f>
        <v>https://www.newspapers.com/image/228504621/?terms=student%2Bshot</v>
      </c>
      <c r="I1721" s="5"/>
      <c r="J1721" s="5"/>
      <c r="K1721" s="5">
        <f ca="1">IFERROR(__xludf.DUMMYFUNCTION("""COMPUTED_VALUE"""),2)</f>
        <v>2</v>
      </c>
      <c r="L1721" s="5" t="str">
        <f ca="1">IFERROR(__xludf.DUMMYFUNCTION("""COMPUTED_VALUE"""),"Winter")</f>
        <v>Winter</v>
      </c>
      <c r="M1721" s="5" t="str">
        <f ca="1">IFERROR(__xludf.DUMMYFUNCTION("""COMPUTED_VALUE"""),"Shreveport")</f>
        <v>Shreveport</v>
      </c>
      <c r="N1721" s="5" t="str">
        <f ca="1">IFERROR(__xludf.DUMMYFUNCTION("""COMPUTED_VALUE"""),"LA")</f>
        <v>LA</v>
      </c>
      <c r="O1721" s="5" t="str">
        <f ca="1">IFERROR(__xludf.DUMMYFUNCTION("""COMPUTED_VALUE"""),"High")</f>
        <v>High</v>
      </c>
      <c r="P1721" s="5" t="str">
        <f ca="1">IFERROR(__xludf.DUMMYFUNCTION("""COMPUTED_VALUE"""),"School Bus")</f>
        <v>School Bus</v>
      </c>
      <c r="Q1721" s="5" t="str">
        <f ca="1">IFERROR(__xludf.DUMMYFUNCTION("""COMPUTED_VALUE"""),"School Bus")</f>
        <v>School Bus</v>
      </c>
      <c r="R1721" s="5" t="str">
        <f ca="1">IFERROR(__xludf.DUMMYFUNCTION("""COMPUTED_VALUE"""),"No")</f>
        <v>No</v>
      </c>
      <c r="S1721" s="5" t="str">
        <f ca="1">IFERROR(__xludf.DUMMYFUNCTION("""COMPUTED_VALUE"""),"After School")</f>
        <v>After School</v>
      </c>
      <c r="T1721" s="5"/>
      <c r="U1721" s="5">
        <f ca="1">IFERROR(__xludf.DUMMYFUNCTION("""COMPUTED_VALUE"""),1)</f>
        <v>1</v>
      </c>
      <c r="V1721" s="5" t="str">
        <f ca="1">IFERROR(__xludf.DUMMYFUNCTION("""COMPUTED_VALUE"""),"Fight on school bus")</f>
        <v>Fight on school bus</v>
      </c>
      <c r="W1721"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X1721" s="5" t="str">
        <f ca="1">IFERROR(__xludf.DUMMYFUNCTION("""COMPUTED_VALUE"""),"Escalation of Dispute")</f>
        <v>Escalation of Dispute</v>
      </c>
      <c r="Y1721" s="5" t="str">
        <f ca="1">IFERROR(__xludf.DUMMYFUNCTION("""COMPUTED_VALUE"""),"Victims Targeted")</f>
        <v>Victims Targeted</v>
      </c>
      <c r="Z1721" s="5" t="str">
        <f ca="1">IFERROR(__xludf.DUMMYFUNCTION("""COMPUTED_VALUE"""),"No")</f>
        <v>No</v>
      </c>
      <c r="AA1721" s="5"/>
      <c r="AB1721" s="5" t="str">
        <f ca="1">IFERROR(__xludf.DUMMYFUNCTION("""COMPUTED_VALUE"""),"No")</f>
        <v>No</v>
      </c>
      <c r="AC1721" s="5" t="str">
        <f ca="1">IFERROR(__xludf.DUMMYFUNCTION("""COMPUTED_VALUE"""),"No")</f>
        <v>No</v>
      </c>
      <c r="AD1721" s="5" t="str">
        <f ca="1">IFERROR(__xludf.DUMMYFUNCTION("""COMPUTED_VALUE"""),"No")</f>
        <v>No</v>
      </c>
      <c r="AE1721" s="5" t="str">
        <f ca="1">IFERROR(__xludf.DUMMYFUNCTION("""COMPUTED_VALUE"""),"No")</f>
        <v>No</v>
      </c>
      <c r="AF1721" s="5" t="str">
        <f ca="1">IFERROR(__xludf.DUMMYFUNCTION("""COMPUTED_VALUE"""),"No")</f>
        <v>No</v>
      </c>
      <c r="AG1721" s="5" t="str">
        <f ca="1">IFERROR(__xludf.DUMMYFUNCTION("""COMPUTED_VALUE"""),"No")</f>
        <v>No</v>
      </c>
      <c r="AH1721" s="5"/>
    </row>
    <row r="1722" spans="1:34" ht="12.75">
      <c r="A1722" s="5" t="str">
        <f ca="1">IFERROR(__xludf.DUMMYFUNCTION("""COMPUTED_VALUE"""),"19891122CACHO")</f>
        <v>19891122CACHO</v>
      </c>
      <c r="B1722" s="8">
        <f ca="1">IFERROR(__xludf.DUMMYFUNCTION("""COMPUTED_VALUE"""),32834)</f>
        <v>32834</v>
      </c>
      <c r="C1722" s="5" t="str">
        <f ca="1">IFERROR(__xludf.DUMMYFUNCTION("""COMPUTED_VALUE"""),"Channel Islands High School")</f>
        <v>Channel Islands High School</v>
      </c>
      <c r="D1722" s="5">
        <f ca="1">IFERROR(__xludf.DUMMYFUNCTION("""COMPUTED_VALUE"""),1)</f>
        <v>1</v>
      </c>
      <c r="E1722" s="5">
        <f ca="1">IFERROR(__xludf.DUMMYFUNCTION("""COMPUTED_VALUE"""),0)</f>
        <v>0</v>
      </c>
      <c r="F1722" s="5">
        <f ca="1">IFERROR(__xludf.DUMMYFUNCTION("""COMPUTED_VALUE"""),1)</f>
        <v>1</v>
      </c>
      <c r="G1722" s="5">
        <f ca="1">IFERROR(__xludf.DUMMYFUNCTION("""COMPUTED_VALUE"""),0)</f>
        <v>0</v>
      </c>
      <c r="H1722" s="9" t="str">
        <f ca="1">IFERROR(__xludf.DUMMYFUNCTION("""COMPUTED_VALUE"""),"http://articles.latimes.com/1990-06-15/local/me-106_1_rival-gang-member")</f>
        <v>http://articles.latimes.com/1990-06-15/local/me-106_1_rival-gang-member</v>
      </c>
      <c r="I1722" s="5"/>
      <c r="J1722" s="5"/>
      <c r="K1722" s="5">
        <f ca="1">IFERROR(__xludf.DUMMYFUNCTION("""COMPUTED_VALUE"""),2)</f>
        <v>2</v>
      </c>
      <c r="L1722" s="5" t="str">
        <f ca="1">IFERROR(__xludf.DUMMYFUNCTION("""COMPUTED_VALUE"""),"Fall")</f>
        <v>Fall</v>
      </c>
      <c r="M1722" s="5" t="str">
        <f ca="1">IFERROR(__xludf.DUMMYFUNCTION("""COMPUTED_VALUE"""),"Oxnard")</f>
        <v>Oxnard</v>
      </c>
      <c r="N1722" s="5" t="str">
        <f ca="1">IFERROR(__xludf.DUMMYFUNCTION("""COMPUTED_VALUE"""),"CA")</f>
        <v>CA</v>
      </c>
      <c r="O1722" s="5" t="str">
        <f ca="1">IFERROR(__xludf.DUMMYFUNCTION("""COMPUTED_VALUE"""),"High")</f>
        <v>High</v>
      </c>
      <c r="P1722" s="5" t="str">
        <f ca="1">IFERROR(__xludf.DUMMYFUNCTION("""COMPUTED_VALUE"""),"Beside Building")</f>
        <v>Beside Building</v>
      </c>
      <c r="Q1722" s="5" t="str">
        <f ca="1">IFERROR(__xludf.DUMMYFUNCTION("""COMPUTED_VALUE"""),"Outside on School Property")</f>
        <v>Outside on School Property</v>
      </c>
      <c r="R1722" s="5" t="str">
        <f ca="1">IFERROR(__xludf.DUMMYFUNCTION("""COMPUTED_VALUE"""),"No")</f>
        <v>No</v>
      </c>
      <c r="S1722" s="5" t="str">
        <f ca="1">IFERROR(__xludf.DUMMYFUNCTION("""COMPUTED_VALUE"""),"After School")</f>
        <v>After School</v>
      </c>
      <c r="T1722" s="10">
        <f ca="1">IFERROR(__xludf.DUMMYFUNCTION("""COMPUTED_VALUE"""),0.625)</f>
        <v>0.625</v>
      </c>
      <c r="U1722" s="5">
        <f ca="1">IFERROR(__xludf.DUMMYFUNCTION("""COMPUTED_VALUE"""),1)</f>
        <v>1</v>
      </c>
      <c r="V1722" s="5" t="str">
        <f ca="1">IFERROR(__xludf.DUMMYFUNCTION("""COMPUTED_VALUE"""),"Fight between rival gang members outside of school")</f>
        <v>Fight between rival gang members outside of school</v>
      </c>
      <c r="W1722"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X1722" s="5" t="str">
        <f ca="1">IFERROR(__xludf.DUMMYFUNCTION("""COMPUTED_VALUE"""),"Escalation of Dispute")</f>
        <v>Escalation of Dispute</v>
      </c>
      <c r="Y1722" s="5" t="str">
        <f ca="1">IFERROR(__xludf.DUMMYFUNCTION("""COMPUTED_VALUE"""),"Victims Targeted")</f>
        <v>Victims Targeted</v>
      </c>
      <c r="Z1722" s="5" t="str">
        <f ca="1">IFERROR(__xludf.DUMMYFUNCTION("""COMPUTED_VALUE"""),"No")</f>
        <v>No</v>
      </c>
      <c r="AA1722" s="5"/>
      <c r="AB1722" s="5" t="str">
        <f ca="1">IFERROR(__xludf.DUMMYFUNCTION("""COMPUTED_VALUE"""),"No")</f>
        <v>No</v>
      </c>
      <c r="AC1722" s="5" t="str">
        <f ca="1">IFERROR(__xludf.DUMMYFUNCTION("""COMPUTED_VALUE"""),"No")</f>
        <v>No</v>
      </c>
      <c r="AD1722" s="5" t="str">
        <f ca="1">IFERROR(__xludf.DUMMYFUNCTION("""COMPUTED_VALUE"""),"No")</f>
        <v>No</v>
      </c>
      <c r="AE1722" s="5" t="str">
        <f ca="1">IFERROR(__xludf.DUMMYFUNCTION("""COMPUTED_VALUE"""),"No")</f>
        <v>No</v>
      </c>
      <c r="AF1722" s="5" t="str">
        <f ca="1">IFERROR(__xludf.DUMMYFUNCTION("""COMPUTED_VALUE"""),"No")</f>
        <v>No</v>
      </c>
      <c r="AG1722" s="5" t="str">
        <f ca="1">IFERROR(__xludf.DUMMYFUNCTION("""COMPUTED_VALUE"""),"Yes")</f>
        <v>Yes</v>
      </c>
      <c r="AH1722" s="5"/>
    </row>
    <row r="1723" spans="1:34" ht="12.75">
      <c r="A1723" s="5" t="str">
        <f ca="1">IFERROR(__xludf.DUMMYFUNCTION("""COMPUTED_VALUE"""),"19891115TXWOA")</f>
        <v>19891115TXWOA</v>
      </c>
      <c r="B1723" s="8">
        <f ca="1">IFERROR(__xludf.DUMMYFUNCTION("""COMPUTED_VALUE"""),32827)</f>
        <v>32827</v>
      </c>
      <c r="C1723" s="5" t="str">
        <f ca="1">IFERROR(__xludf.DUMMYFUNCTION("""COMPUTED_VALUE"""),"Workman Junior High School")</f>
        <v>Workman Junior High School</v>
      </c>
      <c r="D1723" s="5">
        <f ca="1">IFERROR(__xludf.DUMMYFUNCTION("""COMPUTED_VALUE"""),0)</f>
        <v>0</v>
      </c>
      <c r="E1723" s="5">
        <f ca="1">IFERROR(__xludf.DUMMYFUNCTION("""COMPUTED_VALUE"""),1)</f>
        <v>1</v>
      </c>
      <c r="F1723" s="5">
        <f ca="1">IFERROR(__xludf.DUMMYFUNCTION("""COMPUTED_VALUE"""),1)</f>
        <v>1</v>
      </c>
      <c r="G1723" s="5">
        <f ca="1">IFERROR(__xludf.DUMMYFUNCTION("""COMPUTED_VALUE"""),0)</f>
        <v>0</v>
      </c>
      <c r="H1723"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I1723" s="5"/>
      <c r="J1723" s="5"/>
      <c r="K1723" s="5">
        <f ca="1">IFERROR(__xludf.DUMMYFUNCTION("""COMPUTED_VALUE"""),2)</f>
        <v>2</v>
      </c>
      <c r="L1723" s="5" t="str">
        <f ca="1">IFERROR(__xludf.DUMMYFUNCTION("""COMPUTED_VALUE"""),"Fall")</f>
        <v>Fall</v>
      </c>
      <c r="M1723" s="5" t="str">
        <f ca="1">IFERROR(__xludf.DUMMYFUNCTION("""COMPUTED_VALUE"""),"Arlington")</f>
        <v>Arlington</v>
      </c>
      <c r="N1723" s="5" t="str">
        <f ca="1">IFERROR(__xludf.DUMMYFUNCTION("""COMPUTED_VALUE"""),"TX")</f>
        <v>TX</v>
      </c>
      <c r="O1723" s="5" t="str">
        <f ca="1">IFERROR(__xludf.DUMMYFUNCTION("""COMPUTED_VALUE"""),"Junior High")</f>
        <v>Junior High</v>
      </c>
      <c r="P1723" s="5" t="str">
        <f ca="1">IFERROR(__xludf.DUMMYFUNCTION("""COMPUTED_VALUE"""),"Parking Lot")</f>
        <v>Parking Lot</v>
      </c>
      <c r="Q1723" s="5" t="str">
        <f ca="1">IFERROR(__xludf.DUMMYFUNCTION("""COMPUTED_VALUE"""),"Outside on School Property")</f>
        <v>Outside on School Property</v>
      </c>
      <c r="R1723" s="5" t="str">
        <f ca="1">IFERROR(__xludf.DUMMYFUNCTION("""COMPUTED_VALUE"""),"Yes")</f>
        <v>Yes</v>
      </c>
      <c r="S1723" s="5" t="str">
        <f ca="1">IFERROR(__xludf.DUMMYFUNCTION("""COMPUTED_VALUE"""),"Dismissal")</f>
        <v>Dismissal</v>
      </c>
      <c r="T1723" s="10">
        <f ca="1">IFERROR(__xludf.DUMMYFUNCTION("""COMPUTED_VALUE"""),0.65625)</f>
        <v>0.65625</v>
      </c>
      <c r="U1723" s="5">
        <f ca="1">IFERROR(__xludf.DUMMYFUNCTION("""COMPUTED_VALUE"""),1)</f>
        <v>1</v>
      </c>
      <c r="V1723" s="5" t="str">
        <f ca="1">IFERROR(__xludf.DUMMYFUNCTION("""COMPUTED_VALUE"""),"Shot vice principal in back during dismissal")</f>
        <v>Shot vice principal in back during dismissal</v>
      </c>
      <c r="W1723"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X1723" s="5" t="str">
        <f ca="1">IFERROR(__xludf.DUMMYFUNCTION("""COMPUTED_VALUE"""),"Anger Over Grade/Suspension/Discipline")</f>
        <v>Anger Over Grade/Suspension/Discipline</v>
      </c>
      <c r="Y1723" s="5" t="str">
        <f ca="1">IFERROR(__xludf.DUMMYFUNCTION("""COMPUTED_VALUE"""),"Victims Targeted")</f>
        <v>Victims Targeted</v>
      </c>
      <c r="Z1723" s="5" t="str">
        <f ca="1">IFERROR(__xludf.DUMMYFUNCTION("""COMPUTED_VALUE"""),"No")</f>
        <v>No</v>
      </c>
      <c r="AA1723" s="5"/>
      <c r="AB1723" s="5" t="str">
        <f ca="1">IFERROR(__xludf.DUMMYFUNCTION("""COMPUTED_VALUE"""),"No")</f>
        <v>No</v>
      </c>
      <c r="AC1723" s="5" t="str">
        <f ca="1">IFERROR(__xludf.DUMMYFUNCTION("""COMPUTED_VALUE"""),"No")</f>
        <v>No</v>
      </c>
      <c r="AD1723" s="5" t="str">
        <f ca="1">IFERROR(__xludf.DUMMYFUNCTION("""COMPUTED_VALUE"""),"No")</f>
        <v>No</v>
      </c>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IFERROR(__xludf.DUMMYFUNCTION("""COMPUTED_VALUE"""),"No")</f>
        <v>No</v>
      </c>
    </row>
    <row r="1724" spans="1:34" ht="12.75">
      <c r="A1724" s="5" t="str">
        <f ca="1">IFERROR(__xludf.DUMMYFUNCTION("""COMPUTED_VALUE"""),"19891113NYALN")</f>
        <v>19891113NYALN</v>
      </c>
      <c r="B1724" s="8">
        <f ca="1">IFERROR(__xludf.DUMMYFUNCTION("""COMPUTED_VALUE"""),32825)</f>
        <v>32825</v>
      </c>
      <c r="C1724" s="5" t="str">
        <f ca="1">IFERROR(__xludf.DUMMYFUNCTION("""COMPUTED_VALUE"""),"Alfred E. Smith High School")</f>
        <v>Alfred E. Smith High School</v>
      </c>
      <c r="D1724" s="5">
        <f ca="1">IFERROR(__xludf.DUMMYFUNCTION("""COMPUTED_VALUE"""),1)</f>
        <v>1</v>
      </c>
      <c r="E1724" s="5">
        <f ca="1">IFERROR(__xludf.DUMMYFUNCTION("""COMPUTED_VALUE"""),0)</f>
        <v>0</v>
      </c>
      <c r="F1724" s="5">
        <f ca="1">IFERROR(__xludf.DUMMYFUNCTION("""COMPUTED_VALUE"""),1)</f>
        <v>1</v>
      </c>
      <c r="G1724" s="5">
        <f ca="1">IFERROR(__xludf.DUMMYFUNCTION("""COMPUTED_VALUE"""),0)</f>
        <v>0</v>
      </c>
      <c r="H1724" s="9" t="str">
        <f ca="1">IFERROR(__xludf.DUMMYFUNCTION("""COMPUTED_VALUE"""),"https://www.newspapers.com/image/112524612/?terms=Alfred%2BE.%2BSmith%2BHigh%2BSchool")</f>
        <v>https://www.newspapers.com/image/112524612/?terms=Alfred%2BE.%2BSmith%2BHigh%2BSchool</v>
      </c>
      <c r="I1724" s="5"/>
      <c r="J1724" s="5"/>
      <c r="K1724" s="5">
        <f ca="1">IFERROR(__xludf.DUMMYFUNCTION("""COMPUTED_VALUE"""),2)</f>
        <v>2</v>
      </c>
      <c r="L1724" s="5" t="str">
        <f ca="1">IFERROR(__xludf.DUMMYFUNCTION("""COMPUTED_VALUE"""),"Fall")</f>
        <v>Fall</v>
      </c>
      <c r="M1724" s="5" t="str">
        <f ca="1">IFERROR(__xludf.DUMMYFUNCTION("""COMPUTED_VALUE"""),"New York")</f>
        <v>New York</v>
      </c>
      <c r="N1724" s="5" t="str">
        <f ca="1">IFERROR(__xludf.DUMMYFUNCTION("""COMPUTED_VALUE"""),"NY")</f>
        <v>NY</v>
      </c>
      <c r="O1724" s="5" t="str">
        <f ca="1">IFERROR(__xludf.DUMMYFUNCTION("""COMPUTED_VALUE"""),"High")</f>
        <v>High</v>
      </c>
      <c r="P1724" s="5" t="str">
        <f ca="1">IFERROR(__xludf.DUMMYFUNCTION("""COMPUTED_VALUE"""),"Inside School Building")</f>
        <v>Inside School Building</v>
      </c>
      <c r="Q1724" s="5" t="str">
        <f ca="1">IFERROR(__xludf.DUMMYFUNCTION("""COMPUTED_VALUE"""),"Inside School Building")</f>
        <v>Inside School Building</v>
      </c>
      <c r="R1724" s="5" t="str">
        <f ca="1">IFERROR(__xludf.DUMMYFUNCTION("""COMPUTED_VALUE"""),"Yes")</f>
        <v>Yes</v>
      </c>
      <c r="S1724" s="5" t="str">
        <f ca="1">IFERROR(__xludf.DUMMYFUNCTION("""COMPUTED_VALUE"""),"Afternoon Classes")</f>
        <v>Afternoon Classes</v>
      </c>
      <c r="T1724" s="5"/>
      <c r="U1724" s="5">
        <f ca="1">IFERROR(__xludf.DUMMYFUNCTION("""COMPUTED_VALUE"""),1)</f>
        <v>1</v>
      </c>
      <c r="V1724" s="5" t="str">
        <f ca="1">IFERROR(__xludf.DUMMYFUNCTION("""COMPUTED_VALUE"""),"Showing off gun, accidental discharge struck victim in chest")</f>
        <v>Showing off gun, accidental discharge struck victim in chest</v>
      </c>
      <c r="W1724"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X1724" s="5" t="str">
        <f ca="1">IFERROR(__xludf.DUMMYFUNCTION("""COMPUTED_VALUE"""),"Accidental")</f>
        <v>Accidental</v>
      </c>
      <c r="Y1724" s="5" t="str">
        <f ca="1">IFERROR(__xludf.DUMMYFUNCTION("""COMPUTED_VALUE"""),"Random Shooting")</f>
        <v>Random Shooting</v>
      </c>
      <c r="Z1724" s="5" t="str">
        <f ca="1">IFERROR(__xludf.DUMMYFUNCTION("""COMPUTED_VALUE"""),"No")</f>
        <v>No</v>
      </c>
      <c r="AA1724" s="5"/>
      <c r="AB1724" s="5" t="str">
        <f ca="1">IFERROR(__xludf.DUMMYFUNCTION("""COMPUTED_VALUE"""),"No")</f>
        <v>No</v>
      </c>
      <c r="AC1724" s="5" t="str">
        <f ca="1">IFERROR(__xludf.DUMMYFUNCTION("""COMPUTED_VALUE"""),"No")</f>
        <v>No</v>
      </c>
      <c r="AD1724" s="5" t="str">
        <f ca="1">IFERROR(__xludf.DUMMYFUNCTION("""COMPUTED_VALUE"""),"No")</f>
        <v>No</v>
      </c>
      <c r="AE1724" s="5" t="str">
        <f ca="1">IFERROR(__xludf.DUMMYFUNCTION("""COMPUTED_VALUE"""),"No")</f>
        <v>No</v>
      </c>
      <c r="AF1724" s="5" t="str">
        <f ca="1">IFERROR(__xludf.DUMMYFUNCTION("""COMPUTED_VALUE"""),"No")</f>
        <v>No</v>
      </c>
      <c r="AG1724" s="5" t="str">
        <f ca="1">IFERROR(__xludf.DUMMYFUNCTION("""COMPUTED_VALUE"""),"No")</f>
        <v>No</v>
      </c>
      <c r="AH1724" s="5"/>
    </row>
    <row r="1725" spans="1:34" ht="12.75">
      <c r="A1725" s="5" t="str">
        <f ca="1">IFERROR(__xludf.DUMMYFUNCTION("""COMPUTED_VALUE"""),"19891031TXOLD")</f>
        <v>19891031TXOLD</v>
      </c>
      <c r="B1725" s="8">
        <f ca="1">IFERROR(__xludf.DUMMYFUNCTION("""COMPUTED_VALUE"""),32812)</f>
        <v>32812</v>
      </c>
      <c r="C1725" s="5" t="str">
        <f ca="1">IFERROR(__xludf.DUMMYFUNCTION("""COMPUTED_VALUE"""),"Oliver Wendell Holmes Middle School")</f>
        <v>Oliver Wendell Holmes Middle School</v>
      </c>
      <c r="D1725" s="5">
        <f ca="1">IFERROR(__xludf.DUMMYFUNCTION("""COMPUTED_VALUE"""),0)</f>
        <v>0</v>
      </c>
      <c r="E1725" s="5">
        <f ca="1">IFERROR(__xludf.DUMMYFUNCTION("""COMPUTED_VALUE"""),1)</f>
        <v>1</v>
      </c>
      <c r="F1725" s="5">
        <f ca="1">IFERROR(__xludf.DUMMYFUNCTION("""COMPUTED_VALUE"""),1)</f>
        <v>1</v>
      </c>
      <c r="G1725" s="5">
        <f ca="1">IFERROR(__xludf.DUMMYFUNCTION("""COMPUTED_VALUE"""),0)</f>
        <v>0</v>
      </c>
      <c r="H1725" s="9" t="str">
        <f ca="1">IFERROR(__xludf.DUMMYFUNCTION("""COMPUTED_VALUE"""),"https://www.newspapers.com/image/300055668/?terms=Oliver%2BWendell%2BHolmes%2BMiddle%2BSchool%2Bshooting")</f>
        <v>https://www.newspapers.com/image/300055668/?terms=Oliver%2BWendell%2BHolmes%2BMiddle%2BSchool%2Bshooting</v>
      </c>
      <c r="I1725" s="5"/>
      <c r="J1725" s="5"/>
      <c r="K1725" s="5">
        <f ca="1">IFERROR(__xludf.DUMMYFUNCTION("""COMPUTED_VALUE"""),2)</f>
        <v>2</v>
      </c>
      <c r="L1725" s="5" t="str">
        <f ca="1">IFERROR(__xludf.DUMMYFUNCTION("""COMPUTED_VALUE"""),"Fall")</f>
        <v>Fall</v>
      </c>
      <c r="M1725" s="5" t="str">
        <f ca="1">IFERROR(__xludf.DUMMYFUNCTION("""COMPUTED_VALUE"""),"Dallas")</f>
        <v>Dallas</v>
      </c>
      <c r="N1725" s="5" t="str">
        <f ca="1">IFERROR(__xludf.DUMMYFUNCTION("""COMPUTED_VALUE"""),"TX")</f>
        <v>TX</v>
      </c>
      <c r="O1725" s="5" t="str">
        <f ca="1">IFERROR(__xludf.DUMMYFUNCTION("""COMPUTED_VALUE"""),"Middle")</f>
        <v>Middle</v>
      </c>
      <c r="P1725" s="5" t="str">
        <f ca="1">IFERROR(__xludf.DUMMYFUNCTION("""COMPUTED_VALUE"""),"Inside School Building")</f>
        <v>Inside School Building</v>
      </c>
      <c r="Q1725" s="5" t="str">
        <f ca="1">IFERROR(__xludf.DUMMYFUNCTION("""COMPUTED_VALUE"""),"Inside School Building")</f>
        <v>Inside School Building</v>
      </c>
      <c r="R1725" s="5" t="str">
        <f ca="1">IFERROR(__xludf.DUMMYFUNCTION("""COMPUTED_VALUE"""),"Yes")</f>
        <v>Yes</v>
      </c>
      <c r="S1725" s="5" t="str">
        <f ca="1">IFERROR(__xludf.DUMMYFUNCTION("""COMPUTED_VALUE"""),"School Start")</f>
        <v>School Start</v>
      </c>
      <c r="T1725" s="5"/>
      <c r="U1725" s="5">
        <f ca="1">IFERROR(__xludf.DUMMYFUNCTION("""COMPUTED_VALUE"""),1)</f>
        <v>1</v>
      </c>
      <c r="V1725" s="5" t="str">
        <f ca="1">IFERROR(__xludf.DUMMYFUNCTION("""COMPUTED_VALUE"""),"Student shot with bb gun in spine")</f>
        <v>Student shot with bb gun in spine</v>
      </c>
      <c r="W1725"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X1725" s="5" t="str">
        <f ca="1">IFERROR(__xludf.DUMMYFUNCTION("""COMPUTED_VALUE"""),"Accidental")</f>
        <v>Accidental</v>
      </c>
      <c r="Y1725" s="5" t="str">
        <f ca="1">IFERROR(__xludf.DUMMYFUNCTION("""COMPUTED_VALUE"""),"Random Shooting")</f>
        <v>Random Shooting</v>
      </c>
      <c r="Z1725" s="5"/>
      <c r="AA1725" s="5"/>
      <c r="AB1725" s="5" t="str">
        <f ca="1">IFERROR(__xludf.DUMMYFUNCTION("""COMPUTED_VALUE"""),"No")</f>
        <v>No</v>
      </c>
      <c r="AC1725" s="5" t="str">
        <f ca="1">IFERROR(__xludf.DUMMYFUNCTION("""COMPUTED_VALUE"""),"No")</f>
        <v>No</v>
      </c>
      <c r="AD1725" s="5" t="str">
        <f ca="1">IFERROR(__xludf.DUMMYFUNCTION("""COMPUTED_VALUE"""),"No")</f>
        <v>No</v>
      </c>
      <c r="AE1725" s="5" t="str">
        <f ca="1">IFERROR(__xludf.DUMMYFUNCTION("""COMPUTED_VALUE"""),"No")</f>
        <v>No</v>
      </c>
      <c r="AF1725" s="5" t="str">
        <f ca="1">IFERROR(__xludf.DUMMYFUNCTION("""COMPUTED_VALUE"""),"No")</f>
        <v>No</v>
      </c>
      <c r="AG1725" s="5" t="str">
        <f ca="1">IFERROR(__xludf.DUMMYFUNCTION("""COMPUTED_VALUE"""),"No")</f>
        <v>No</v>
      </c>
      <c r="AH1725" s="5"/>
    </row>
    <row r="1726" spans="1:34" ht="12.75">
      <c r="A1726" s="5" t="str">
        <f ca="1">IFERROR(__xludf.DUMMYFUNCTION("""COMPUTED_VALUE"""),"19891005CALOA")</f>
        <v>19891005CALOA</v>
      </c>
      <c r="B1726" s="8">
        <f ca="1">IFERROR(__xludf.DUMMYFUNCTION("""COMPUTED_VALUE"""),32786)</f>
        <v>32786</v>
      </c>
      <c r="C1726" s="5" t="str">
        <f ca="1">IFERROR(__xludf.DUMMYFUNCTION("""COMPUTED_VALUE"""),"Loara High School")</f>
        <v>Loara High School</v>
      </c>
      <c r="D1726" s="5">
        <f ca="1">IFERROR(__xludf.DUMMYFUNCTION("""COMPUTED_VALUE"""),0)</f>
        <v>0</v>
      </c>
      <c r="E1726" s="5">
        <f ca="1">IFERROR(__xludf.DUMMYFUNCTION("""COMPUTED_VALUE"""),1)</f>
        <v>1</v>
      </c>
      <c r="F1726" s="5">
        <f ca="1">IFERROR(__xludf.DUMMYFUNCTION("""COMPUTED_VALUE"""),1)</f>
        <v>1</v>
      </c>
      <c r="G1726" s="5">
        <f ca="1">IFERROR(__xludf.DUMMYFUNCTION("""COMPUTED_VALUE"""),0)</f>
        <v>0</v>
      </c>
      <c r="H1726" s="5" t="str">
        <f ca="1">IFERROR(__xludf.DUMMYFUNCTION("""COMPUTED_VALUE"""),"https://www.newspapers.com/image/181739390/?terms=student%2Bshot https://www.latimes.com/archives/la-xpm-1989-10-06-mn-808-story.html")</f>
        <v>https://www.newspapers.com/image/181739390/?terms=student%2Bshot https://www.latimes.com/archives/la-xpm-1989-10-06-mn-808-story.html</v>
      </c>
      <c r="I1726" s="5"/>
      <c r="J1726" s="5"/>
      <c r="K1726" s="5">
        <f ca="1">IFERROR(__xludf.DUMMYFUNCTION("""COMPUTED_VALUE"""),3)</f>
        <v>3</v>
      </c>
      <c r="L1726" s="5" t="str">
        <f ca="1">IFERROR(__xludf.DUMMYFUNCTION("""COMPUTED_VALUE"""),"Fall")</f>
        <v>Fall</v>
      </c>
      <c r="M1726" s="5" t="str">
        <f ca="1">IFERROR(__xludf.DUMMYFUNCTION("""COMPUTED_VALUE"""),"Anaheim")</f>
        <v>Anaheim</v>
      </c>
      <c r="N1726" s="5" t="str">
        <f ca="1">IFERROR(__xludf.DUMMYFUNCTION("""COMPUTED_VALUE"""),"CA")</f>
        <v>CA</v>
      </c>
      <c r="O1726" s="5" t="str">
        <f ca="1">IFERROR(__xludf.DUMMYFUNCTION("""COMPUTED_VALUE"""),"High")</f>
        <v>High</v>
      </c>
      <c r="P1726" s="5" t="str">
        <f ca="1">IFERROR(__xludf.DUMMYFUNCTION("""COMPUTED_VALUE"""),"Classroom")</f>
        <v>Classroom</v>
      </c>
      <c r="Q1726" s="5" t="str">
        <f ca="1">IFERROR(__xludf.DUMMYFUNCTION("""COMPUTED_VALUE"""),"Inside School Building")</f>
        <v>Inside School Building</v>
      </c>
      <c r="R1726" s="5" t="str">
        <f ca="1">IFERROR(__xludf.DUMMYFUNCTION("""COMPUTED_VALUE"""),"Yes")</f>
        <v>Yes</v>
      </c>
      <c r="S1726" s="5" t="str">
        <f ca="1">IFERROR(__xludf.DUMMYFUNCTION("""COMPUTED_VALUE"""),"Morning Classes")</f>
        <v>Morning Classes</v>
      </c>
      <c r="T1726" s="10">
        <f ca="1">IFERROR(__xludf.DUMMYFUNCTION("""COMPUTED_VALUE"""),0.395833333333333)</f>
        <v>0.39583333333333298</v>
      </c>
      <c r="U1726" s="5">
        <f ca="1">IFERROR(__xludf.DUMMYFUNCTION("""COMPUTED_VALUE"""),40)</f>
        <v>40</v>
      </c>
      <c r="V1726" s="5" t="str">
        <f ca="1">IFERROR(__xludf.DUMMYFUNCTION("""COMPUTED_VALUE"""),"Suspect held 35 students in drama class hostage for 40 minutes before surrendering to police")</f>
        <v>Suspect held 35 students in drama class hostage for 40 minutes before surrendering to police</v>
      </c>
      <c r="W1726"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X1726" s="5" t="str">
        <f ca="1">IFERROR(__xludf.DUMMYFUNCTION("""COMPUTED_VALUE"""),"Hostage/Standoff")</f>
        <v>Hostage/Standoff</v>
      </c>
      <c r="Y1726" s="5" t="str">
        <f ca="1">IFERROR(__xludf.DUMMYFUNCTION("""COMPUTED_VALUE"""),"Victims Targeted")</f>
        <v>Victims Targeted</v>
      </c>
      <c r="Z1726" s="5" t="str">
        <f ca="1">IFERROR(__xludf.DUMMYFUNCTION("""COMPUTED_VALUE"""),"No")</f>
        <v>No</v>
      </c>
      <c r="AA1726" s="5"/>
      <c r="AB1726" s="5" t="str">
        <f ca="1">IFERROR(__xludf.DUMMYFUNCTION("""COMPUTED_VALUE"""),"Yes")</f>
        <v>Yes</v>
      </c>
      <c r="AC1726" s="5" t="str">
        <f ca="1">IFERROR(__xludf.DUMMYFUNCTION("""COMPUTED_VALUE"""),"Yes")</f>
        <v>Yes</v>
      </c>
      <c r="AD1726" s="5" t="str">
        <f ca="1">IFERROR(__xludf.DUMMYFUNCTION("""COMPUTED_VALUE"""),"No")</f>
        <v>No</v>
      </c>
      <c r="AE1726" s="5" t="str">
        <f ca="1">IFERROR(__xludf.DUMMYFUNCTION("""COMPUTED_VALUE"""),"No")</f>
        <v>No</v>
      </c>
      <c r="AF1726" s="5" t="str">
        <f ca="1">IFERROR(__xludf.DUMMYFUNCTION("""COMPUTED_VALUE"""),"No")</f>
        <v>No</v>
      </c>
      <c r="AG1726" s="5" t="str">
        <f ca="1">IFERROR(__xludf.DUMMYFUNCTION("""COMPUTED_VALUE"""),"No")</f>
        <v>No</v>
      </c>
      <c r="AH1726" s="5" t="str">
        <f ca="1">IFERROR(__xludf.DUMMYFUNCTION("""COMPUTED_VALUE"""),"Yes")</f>
        <v>Yes</v>
      </c>
    </row>
    <row r="1727" spans="1:34" ht="12.75">
      <c r="A1727" s="5" t="str">
        <f ca="1">IFERROR(__xludf.DUMMYFUNCTION("""COMPUTED_VALUE"""),"19890918KYJAM")</f>
        <v>19890918KYJAM</v>
      </c>
      <c r="B1727" s="8">
        <f ca="1">IFERROR(__xludf.DUMMYFUNCTION("""COMPUTED_VALUE"""),32769)</f>
        <v>32769</v>
      </c>
      <c r="C1727" s="5" t="str">
        <f ca="1">IFERROR(__xludf.DUMMYFUNCTION("""COMPUTED_VALUE"""),"Jackson County High School")</f>
        <v>Jackson County High School</v>
      </c>
      <c r="D1727" s="5">
        <f ca="1">IFERROR(__xludf.DUMMYFUNCTION("""COMPUTED_VALUE"""),0)</f>
        <v>0</v>
      </c>
      <c r="E1727" s="5">
        <f ca="1">IFERROR(__xludf.DUMMYFUNCTION("""COMPUTED_VALUE"""),0)</f>
        <v>0</v>
      </c>
      <c r="F1727" s="5">
        <f ca="1">IFERROR(__xludf.DUMMYFUNCTION("""COMPUTED_VALUE"""),0)</f>
        <v>0</v>
      </c>
      <c r="G1727" s="5">
        <f ca="1">IFERROR(__xludf.DUMMYFUNCTION("""COMPUTED_VALUE"""),0)</f>
        <v>0</v>
      </c>
      <c r="H1727"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I1727" s="5"/>
      <c r="J1727" s="5"/>
      <c r="K1727" s="5">
        <f ca="1">IFERROR(__xludf.DUMMYFUNCTION("""COMPUTED_VALUE"""),2)</f>
        <v>2</v>
      </c>
      <c r="L1727" s="5" t="str">
        <f ca="1">IFERROR(__xludf.DUMMYFUNCTION("""COMPUTED_VALUE"""),"Fall")</f>
        <v>Fall</v>
      </c>
      <c r="M1727" s="5" t="str">
        <f ca="1">IFERROR(__xludf.DUMMYFUNCTION("""COMPUTED_VALUE"""),"McKee")</f>
        <v>McKee</v>
      </c>
      <c r="N1727" s="5" t="str">
        <f ca="1">IFERROR(__xludf.DUMMYFUNCTION("""COMPUTED_VALUE"""),"KY")</f>
        <v>KY</v>
      </c>
      <c r="O1727" s="5" t="str">
        <f ca="1">IFERROR(__xludf.DUMMYFUNCTION("""COMPUTED_VALUE"""),"High")</f>
        <v>High</v>
      </c>
      <c r="P1727" s="5" t="str">
        <f ca="1">IFERROR(__xludf.DUMMYFUNCTION("""COMPUTED_VALUE"""),"Classroom")</f>
        <v>Classroom</v>
      </c>
      <c r="Q1727" s="5" t="str">
        <f ca="1">IFERROR(__xludf.DUMMYFUNCTION("""COMPUTED_VALUE"""),"Inside School Building")</f>
        <v>Inside School Building</v>
      </c>
      <c r="R1727" s="5" t="str">
        <f ca="1">IFERROR(__xludf.DUMMYFUNCTION("""COMPUTED_VALUE"""),"Yes")</f>
        <v>Yes</v>
      </c>
      <c r="S1727" s="5"/>
      <c r="T1727" s="5"/>
      <c r="U1727" s="5"/>
      <c r="V1727" s="5" t="str">
        <f ca="1">IFERROR(__xludf.DUMMYFUNCTION("""COMPUTED_VALUE"""),"Took class hostage, fired 2 shots, no injuries")</f>
        <v>Took class hostage, fired 2 shots, no injuries</v>
      </c>
      <c r="W1727"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X1727" s="5" t="str">
        <f ca="1">IFERROR(__xludf.DUMMYFUNCTION("""COMPUTED_VALUE"""),"Hostage/Standoff")</f>
        <v>Hostage/Standoff</v>
      </c>
      <c r="Y1727" s="5" t="str">
        <f ca="1">IFERROR(__xludf.DUMMYFUNCTION("""COMPUTED_VALUE"""),"Random Shooting")</f>
        <v>Random Shooting</v>
      </c>
      <c r="Z1727" s="5"/>
      <c r="AA1727" s="5"/>
      <c r="AB1727" s="5" t="str">
        <f ca="1">IFERROR(__xludf.DUMMYFUNCTION("""COMPUTED_VALUE"""),"Yes")</f>
        <v>Yes</v>
      </c>
      <c r="AC1727" s="5" t="str">
        <f ca="1">IFERROR(__xludf.DUMMYFUNCTION("""COMPUTED_VALUE"""),"Yes")</f>
        <v>Yes</v>
      </c>
      <c r="AD1727" s="5" t="str">
        <f ca="1">IFERROR(__xludf.DUMMYFUNCTION("""COMPUTED_VALUE"""),"No")</f>
        <v>No</v>
      </c>
      <c r="AE1727" s="5" t="str">
        <f ca="1">IFERROR(__xludf.DUMMYFUNCTION("""COMPUTED_VALUE"""),"Yes")</f>
        <v>Yes</v>
      </c>
      <c r="AF1727" s="5" t="str">
        <f ca="1">IFERROR(__xludf.DUMMYFUNCTION("""COMPUTED_VALUE"""),"No")</f>
        <v>No</v>
      </c>
      <c r="AG1727" s="5" t="str">
        <f ca="1">IFERROR(__xludf.DUMMYFUNCTION("""COMPUTED_VALUE"""),"No")</f>
        <v>No</v>
      </c>
      <c r="AH1727" s="5" t="str">
        <f ca="1">IFERROR(__xludf.DUMMYFUNCTION("""COMPUTED_VALUE"""),"Yes")</f>
        <v>Yes</v>
      </c>
    </row>
    <row r="1728" spans="1:34" ht="12.75">
      <c r="A1728" s="5" t="str">
        <f ca="1">IFERROR(__xludf.DUMMYFUNCTION("""COMPUTED_VALUE"""),"19890911AZDYE")</f>
        <v>19890911AZDYE</v>
      </c>
      <c r="B1728" s="8">
        <f ca="1">IFERROR(__xludf.DUMMYFUNCTION("""COMPUTED_VALUE"""),32762)</f>
        <v>32762</v>
      </c>
      <c r="C1728" s="5" t="str">
        <f ca="1">IFERROR(__xludf.DUMMYFUNCTION("""COMPUTED_VALUE"""),"Dysart High School")</f>
        <v>Dysart High School</v>
      </c>
      <c r="D1728" s="5">
        <f ca="1">IFERROR(__xludf.DUMMYFUNCTION("""COMPUTED_VALUE"""),1)</f>
        <v>1</v>
      </c>
      <c r="E1728" s="5">
        <f ca="1">IFERROR(__xludf.DUMMYFUNCTION("""COMPUTED_VALUE"""),0)</f>
        <v>0</v>
      </c>
      <c r="F1728" s="5">
        <f ca="1">IFERROR(__xludf.DUMMYFUNCTION("""COMPUTED_VALUE"""),1)</f>
        <v>1</v>
      </c>
      <c r="G1728" s="5">
        <f ca="1">IFERROR(__xludf.DUMMYFUNCTION("""COMPUTED_VALUE"""),0)</f>
        <v>0</v>
      </c>
      <c r="H1728" s="9" t="str">
        <f ca="1">IFERROR(__xludf.DUMMYFUNCTION("""COMPUTED_VALUE"""),"https://www.newspapers.com/image/121870781/?terms=student%2Bshot")</f>
        <v>https://www.newspapers.com/image/121870781/?terms=student%2Bshot</v>
      </c>
      <c r="I1728" s="5"/>
      <c r="J1728" s="5"/>
      <c r="K1728" s="5">
        <f ca="1">IFERROR(__xludf.DUMMYFUNCTION("""COMPUTED_VALUE"""),2)</f>
        <v>2</v>
      </c>
      <c r="L1728" s="5" t="str">
        <f ca="1">IFERROR(__xludf.DUMMYFUNCTION("""COMPUTED_VALUE"""),"Fall")</f>
        <v>Fall</v>
      </c>
      <c r="M1728" s="5" t="str">
        <f ca="1">IFERROR(__xludf.DUMMYFUNCTION("""COMPUTED_VALUE"""),"El Mirage")</f>
        <v>El Mirage</v>
      </c>
      <c r="N1728" s="5" t="str">
        <f ca="1">IFERROR(__xludf.DUMMYFUNCTION("""COMPUTED_VALUE"""),"AZ")</f>
        <v>AZ</v>
      </c>
      <c r="O1728" s="5" t="str">
        <f ca="1">IFERROR(__xludf.DUMMYFUNCTION("""COMPUTED_VALUE"""),"High")</f>
        <v>High</v>
      </c>
      <c r="P1728" s="5" t="str">
        <f ca="1">IFERROR(__xludf.DUMMYFUNCTION("""COMPUTED_VALUE"""),"Inside School Building")</f>
        <v>Inside School Building</v>
      </c>
      <c r="Q1728" s="5" t="str">
        <f ca="1">IFERROR(__xludf.DUMMYFUNCTION("""COMPUTED_VALUE"""),"Inside School Building")</f>
        <v>Inside School Building</v>
      </c>
      <c r="R1728" s="5" t="str">
        <f ca="1">IFERROR(__xludf.DUMMYFUNCTION("""COMPUTED_VALUE"""),"Yes")</f>
        <v>Yes</v>
      </c>
      <c r="S1728" s="5" t="str">
        <f ca="1">IFERROR(__xludf.DUMMYFUNCTION("""COMPUTED_VALUE"""),"Before School")</f>
        <v>Before School</v>
      </c>
      <c r="T1728" s="10">
        <f ca="1">IFERROR(__xludf.DUMMYFUNCTION("""COMPUTED_VALUE"""),0.3125)</f>
        <v>0.3125</v>
      </c>
      <c r="U1728" s="5">
        <f ca="1">IFERROR(__xludf.DUMMYFUNCTION("""COMPUTED_VALUE"""),1)</f>
        <v>1</v>
      </c>
      <c r="V1728" s="5" t="str">
        <f ca="1">IFERROR(__xludf.DUMMYFUNCTION("""COMPUTED_VALUE"""),"Accidental discharge while showing off gun in school")</f>
        <v>Accidental discharge while showing off gun in school</v>
      </c>
      <c r="W1728" s="5" t="str">
        <f ca="1">IFERROR(__xludf.DUMMYFUNCTION("""COMPUTED_VALUE"""),"Gang members looking at gun during school - gun goes off and shoots/kills victim - unknown who shooter was.")</f>
        <v>Gang members looking at gun during school - gun goes off and shoots/kills victim - unknown who shooter was.</v>
      </c>
      <c r="X1728" s="5" t="str">
        <f ca="1">IFERROR(__xludf.DUMMYFUNCTION("""COMPUTED_VALUE"""),"Accidental")</f>
        <v>Accidental</v>
      </c>
      <c r="Y1728" s="5" t="str">
        <f ca="1">IFERROR(__xludf.DUMMYFUNCTION("""COMPUTED_VALUE"""),"Random Shooting")</f>
        <v>Random Shooting</v>
      </c>
      <c r="Z1728" s="5" t="str">
        <f ca="1">IFERROR(__xludf.DUMMYFUNCTION("""COMPUTED_VALUE"""),"No")</f>
        <v>No</v>
      </c>
      <c r="AA1728" s="5"/>
      <c r="AB1728" s="5" t="str">
        <f ca="1">IFERROR(__xludf.DUMMYFUNCTION("""COMPUTED_VALUE"""),"No")</f>
        <v>No</v>
      </c>
      <c r="AC1728" s="5" t="str">
        <f ca="1">IFERROR(__xludf.DUMMYFUNCTION("""COMPUTED_VALUE"""),"No")</f>
        <v>No</v>
      </c>
      <c r="AD1728" s="5" t="str">
        <f ca="1">IFERROR(__xludf.DUMMYFUNCTION("""COMPUTED_VALUE"""),"No")</f>
        <v>No</v>
      </c>
      <c r="AE1728" s="5" t="str">
        <f ca="1">IFERROR(__xludf.DUMMYFUNCTION("""COMPUTED_VALUE"""),"No")</f>
        <v>No</v>
      </c>
      <c r="AF1728" s="5" t="str">
        <f ca="1">IFERROR(__xludf.DUMMYFUNCTION("""COMPUTED_VALUE"""),"No")</f>
        <v>No</v>
      </c>
      <c r="AG1728" s="5" t="str">
        <f ca="1">IFERROR(__xludf.DUMMYFUNCTION("""COMPUTED_VALUE"""),"No")</f>
        <v>No</v>
      </c>
      <c r="AH1728" s="5"/>
    </row>
    <row r="1729" spans="1:34" ht="12.75">
      <c r="A1729" s="5" t="str">
        <f ca="1">IFERROR(__xludf.DUMMYFUNCTION("""COMPUTED_VALUE"""),"19890901VASAV")</f>
        <v>19890901VASAV</v>
      </c>
      <c r="B1729" s="8">
        <f ca="1">IFERROR(__xludf.DUMMYFUNCTION("""COMPUTED_VALUE"""),32752)</f>
        <v>32752</v>
      </c>
      <c r="C1729" s="5" t="str">
        <f ca="1">IFERROR(__xludf.DUMMYFUNCTION("""COMPUTED_VALUE"""),"Salem High School")</f>
        <v>Salem High School</v>
      </c>
      <c r="D1729" s="5">
        <f ca="1">IFERROR(__xludf.DUMMYFUNCTION("""COMPUTED_VALUE"""),0)</f>
        <v>0</v>
      </c>
      <c r="E1729" s="5">
        <f ca="1">IFERROR(__xludf.DUMMYFUNCTION("""COMPUTED_VALUE"""),2)</f>
        <v>2</v>
      </c>
      <c r="F1729" s="5">
        <f ca="1">IFERROR(__xludf.DUMMYFUNCTION("""COMPUTED_VALUE"""),2)</f>
        <v>2</v>
      </c>
      <c r="G1729" s="5">
        <f ca="1">IFERROR(__xludf.DUMMYFUNCTION("""COMPUTED_VALUE"""),0)</f>
        <v>0</v>
      </c>
      <c r="H1729" s="9" t="str">
        <f ca="1">IFERROR(__xludf.DUMMYFUNCTION("""COMPUTED_VALUE"""),"https://www.newspapers.com/image/129470000/?terms=%22shot%20high%20school%20football%22&amp;match=1")</f>
        <v>https://www.newspapers.com/image/129470000/?terms=%22shot%20high%20school%20football%22&amp;match=1</v>
      </c>
      <c r="I1729" s="5">
        <f ca="1">IFERROR(__xludf.DUMMYFUNCTION("""COMPUTED_VALUE"""),1)</f>
        <v>1</v>
      </c>
      <c r="J1729" s="5" t="str">
        <f ca="1">IFERROR(__xludf.DUMMYFUNCTION("""COMPUTED_VALUE"""),"National")</f>
        <v>National</v>
      </c>
      <c r="K1729" s="5">
        <f ca="1">IFERROR(__xludf.DUMMYFUNCTION("""COMPUTED_VALUE"""),3)</f>
        <v>3</v>
      </c>
      <c r="L1729" s="5" t="str">
        <f ca="1">IFERROR(__xludf.DUMMYFUNCTION("""COMPUTED_VALUE"""),"Fall")</f>
        <v>Fall</v>
      </c>
      <c r="M1729" s="5" t="str">
        <f ca="1">IFERROR(__xludf.DUMMYFUNCTION("""COMPUTED_VALUE"""),"Virginia Beach")</f>
        <v>Virginia Beach</v>
      </c>
      <c r="N1729" s="5" t="str">
        <f ca="1">IFERROR(__xludf.DUMMYFUNCTION("""COMPUTED_VALUE"""),"VA")</f>
        <v>VA</v>
      </c>
      <c r="O1729" s="5" t="str">
        <f ca="1">IFERROR(__xludf.DUMMYFUNCTION("""COMPUTED_VALUE"""),"High")</f>
        <v>High</v>
      </c>
      <c r="P1729" s="5" t="str">
        <f ca="1">IFERROR(__xludf.DUMMYFUNCTION("""COMPUTED_VALUE"""),"Parking Lot")</f>
        <v>Parking Lot</v>
      </c>
      <c r="Q1729" s="5" t="str">
        <f ca="1">IFERROR(__xludf.DUMMYFUNCTION("""COMPUTED_VALUE"""),"Outside on School Property")</f>
        <v>Outside on School Property</v>
      </c>
      <c r="R1729" s="5" t="str">
        <f ca="1">IFERROR(__xludf.DUMMYFUNCTION("""COMPUTED_VALUE"""),"No")</f>
        <v>No</v>
      </c>
      <c r="S1729" s="5" t="str">
        <f ca="1">IFERROR(__xludf.DUMMYFUNCTION("""COMPUTED_VALUE"""),"Sport Event")</f>
        <v>Sport Event</v>
      </c>
      <c r="T1729" s="10">
        <f ca="1">IFERROR(__xludf.DUMMYFUNCTION("""COMPUTED_VALUE"""),0.875)</f>
        <v>0.875</v>
      </c>
      <c r="U1729" s="5">
        <f ca="1">IFERROR(__xludf.DUMMYFUNCTION("""COMPUTED_VALUE"""),1)</f>
        <v>1</v>
      </c>
      <c r="V1729" s="5" t="str">
        <f ca="1">IFERROR(__xludf.DUMMYFUNCTION("""COMPUTED_VALUE"""),"Two teens shot during fight in the parking lot following football game")</f>
        <v>Two teens shot during fight in the parking lot following football game</v>
      </c>
      <c r="W1729"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X1729" s="5" t="str">
        <f ca="1">IFERROR(__xludf.DUMMYFUNCTION("""COMPUTED_VALUE"""),"Escalation of Dispute")</f>
        <v>Escalation of Dispute</v>
      </c>
      <c r="Y1729" s="5" t="str">
        <f ca="1">IFERROR(__xludf.DUMMYFUNCTION("""COMPUTED_VALUE"""),"Victims Targeted")</f>
        <v>Victims Targeted</v>
      </c>
      <c r="Z1729" s="5" t="str">
        <f ca="1">IFERROR(__xludf.DUMMYFUNCTION("""COMPUTED_VALUE"""),"Yes")</f>
        <v>Yes</v>
      </c>
      <c r="AA1729" s="5" t="str">
        <f ca="1">IFERROR(__xludf.DUMMYFUNCTION("""COMPUTED_VALUE"""),"30 teens involved")</f>
        <v>30 teens involved</v>
      </c>
      <c r="AB1729" s="5" t="str">
        <f ca="1">IFERROR(__xludf.DUMMYFUNCTION("""COMPUTED_VALUE"""),"No")</f>
        <v>No</v>
      </c>
      <c r="AC1729" s="5" t="str">
        <f ca="1">IFERROR(__xludf.DUMMYFUNCTION("""COMPUTED_VALUE"""),"No")</f>
        <v>No</v>
      </c>
      <c r="AD1729" s="5" t="str">
        <f ca="1">IFERROR(__xludf.DUMMYFUNCTION("""COMPUTED_VALUE"""),"No")</f>
        <v>No</v>
      </c>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row>
    <row r="1730" spans="1:34" ht="12.75">
      <c r="A1730" s="5" t="str">
        <f ca="1">IFERROR(__xludf.DUMMYFUNCTION("""COMPUTED_VALUE"""),"19890426TXAMD")</f>
        <v>19890426TXAMD</v>
      </c>
      <c r="B1730" s="8">
        <f ca="1">IFERROR(__xludf.DUMMYFUNCTION("""COMPUTED_VALUE"""),32624)</f>
        <v>32624</v>
      </c>
      <c r="C1730" s="5" t="str">
        <f ca="1">IFERROR(__xludf.DUMMYFUNCTION("""COMPUTED_VALUE"""),"A Maceo Smith High School")</f>
        <v>A Maceo Smith High School</v>
      </c>
      <c r="D1730" s="5">
        <f ca="1">IFERROR(__xludf.DUMMYFUNCTION("""COMPUTED_VALUE"""),0)</f>
        <v>0</v>
      </c>
      <c r="E1730" s="5">
        <f ca="1">IFERROR(__xludf.DUMMYFUNCTION("""COMPUTED_VALUE"""),1)</f>
        <v>1</v>
      </c>
      <c r="F1730" s="5">
        <f ca="1">IFERROR(__xludf.DUMMYFUNCTION("""COMPUTED_VALUE"""),1)</f>
        <v>1</v>
      </c>
      <c r="G1730" s="5">
        <f ca="1">IFERROR(__xludf.DUMMYFUNCTION("""COMPUTED_VALUE"""),0)</f>
        <v>0</v>
      </c>
      <c r="H1730"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I1730" s="5"/>
      <c r="J1730" s="5"/>
      <c r="K1730" s="5">
        <f ca="1">IFERROR(__xludf.DUMMYFUNCTION("""COMPUTED_VALUE"""),1)</f>
        <v>1</v>
      </c>
      <c r="L1730" s="5" t="str">
        <f ca="1">IFERROR(__xludf.DUMMYFUNCTION("""COMPUTED_VALUE"""),"Spring")</f>
        <v>Spring</v>
      </c>
      <c r="M1730" s="5" t="str">
        <f ca="1">IFERROR(__xludf.DUMMYFUNCTION("""COMPUTED_VALUE"""),"Dallas")</f>
        <v>Dallas</v>
      </c>
      <c r="N1730" s="5" t="str">
        <f ca="1">IFERROR(__xludf.DUMMYFUNCTION("""COMPUTED_VALUE"""),"TX")</f>
        <v>TX</v>
      </c>
      <c r="O1730" s="5" t="str">
        <f ca="1">IFERROR(__xludf.DUMMYFUNCTION("""COMPUTED_VALUE"""),"High")</f>
        <v>High</v>
      </c>
      <c r="P1730" s="5" t="str">
        <f ca="1">IFERROR(__xludf.DUMMYFUNCTION("""COMPUTED_VALUE"""),"Parking Lot")</f>
        <v>Parking Lot</v>
      </c>
      <c r="Q1730" s="5" t="str">
        <f ca="1">IFERROR(__xludf.DUMMYFUNCTION("""COMPUTED_VALUE"""),"Outside on School Property")</f>
        <v>Outside on School Property</v>
      </c>
      <c r="R1730" s="5" t="str">
        <f ca="1">IFERROR(__xludf.DUMMYFUNCTION("""COMPUTED_VALUE"""),"Yes")</f>
        <v>Yes</v>
      </c>
      <c r="S1730" s="5" t="str">
        <f ca="1">IFERROR(__xludf.DUMMYFUNCTION("""COMPUTED_VALUE"""),"School Start")</f>
        <v>School Start</v>
      </c>
      <c r="T1730" s="5"/>
      <c r="U1730" s="5">
        <f ca="1">IFERROR(__xludf.DUMMYFUNCTION("""COMPUTED_VALUE"""),1)</f>
        <v>1</v>
      </c>
      <c r="V1730" s="5" t="str">
        <f ca="1">IFERROR(__xludf.DUMMYFUNCTION("""COMPUTED_VALUE"""),"Argument about shooter female cousin, fired shots")</f>
        <v>Argument about shooter female cousin, fired shots</v>
      </c>
      <c r="W1730"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X1730" s="5" t="str">
        <f ca="1">IFERROR(__xludf.DUMMYFUNCTION("""COMPUTED_VALUE"""),"Escalation of Dispute")</f>
        <v>Escalation of Dispute</v>
      </c>
      <c r="Y1730" s="5" t="str">
        <f ca="1">IFERROR(__xludf.DUMMYFUNCTION("""COMPUTED_VALUE"""),"Victims Targeted")</f>
        <v>Victims Targeted</v>
      </c>
      <c r="Z1730" s="5" t="str">
        <f ca="1">IFERROR(__xludf.DUMMYFUNCTION("""COMPUTED_VALUE"""),"Yes")</f>
        <v>Yes</v>
      </c>
      <c r="AA1730" s="5" t="str">
        <f ca="1">IFERROR(__xludf.DUMMYFUNCTION("""COMPUTED_VALUE"""),"Shooter was in car with 2 other teenage males")</f>
        <v>Shooter was in car with 2 other teenage males</v>
      </c>
      <c r="AB1730" s="5" t="str">
        <f ca="1">IFERROR(__xludf.DUMMYFUNCTION("""COMPUTED_VALUE"""),"No")</f>
        <v>No</v>
      </c>
      <c r="AC1730" s="5" t="str">
        <f ca="1">IFERROR(__xludf.DUMMYFUNCTION("""COMPUTED_VALUE"""),"No")</f>
        <v>No</v>
      </c>
      <c r="AD1730" s="5" t="str">
        <f ca="1">IFERROR(__xludf.DUMMYFUNCTION("""COMPUTED_VALUE"""),"No")</f>
        <v>No</v>
      </c>
      <c r="AE1730" s="5" t="str">
        <f ca="1">IFERROR(__xludf.DUMMYFUNCTION("""COMPUTED_VALUE"""),"No")</f>
        <v>No</v>
      </c>
      <c r="AF1730" s="5" t="str">
        <f ca="1">IFERROR(__xludf.DUMMYFUNCTION("""COMPUTED_VALUE"""),"Yes")</f>
        <v>Yes</v>
      </c>
      <c r="AG1730" s="5" t="str">
        <f ca="1">IFERROR(__xludf.DUMMYFUNCTION("""COMPUTED_VALUE"""),"No")</f>
        <v>No</v>
      </c>
      <c r="AH1730" s="5"/>
    </row>
    <row r="1731" spans="1:34" ht="12.75">
      <c r="A1731" s="5" t="str">
        <f ca="1">IFERROR(__xludf.DUMMYFUNCTION("""COMPUTED_VALUE"""),"19890303INWIG")</f>
        <v>19890303INWIG</v>
      </c>
      <c r="B1731" s="8">
        <f ca="1">IFERROR(__xludf.DUMMYFUNCTION("""COMPUTED_VALUE"""),32570)</f>
        <v>32570</v>
      </c>
      <c r="C1731" s="5" t="str">
        <f ca="1">IFERROR(__xludf.DUMMYFUNCTION("""COMPUTED_VALUE"""),"Wirt High School")</f>
        <v>Wirt High School</v>
      </c>
      <c r="D1731" s="5">
        <f ca="1">IFERROR(__xludf.DUMMYFUNCTION("""COMPUTED_VALUE"""),1)</f>
        <v>1</v>
      </c>
      <c r="E1731" s="5">
        <f ca="1">IFERROR(__xludf.DUMMYFUNCTION("""COMPUTED_VALUE"""),0)</f>
        <v>0</v>
      </c>
      <c r="F1731" s="5">
        <f ca="1">IFERROR(__xludf.DUMMYFUNCTION("""COMPUTED_VALUE"""),1)</f>
        <v>1</v>
      </c>
      <c r="G1731" s="5">
        <f ca="1">IFERROR(__xludf.DUMMYFUNCTION("""COMPUTED_VALUE"""),0)</f>
        <v>0</v>
      </c>
      <c r="H1731"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I1731" s="5"/>
      <c r="J1731" s="5"/>
      <c r="K1731" s="5">
        <f ca="1">IFERROR(__xludf.DUMMYFUNCTION("""COMPUTED_VALUE"""),4)</f>
        <v>4</v>
      </c>
      <c r="L1731" s="5" t="str">
        <f ca="1">IFERROR(__xludf.DUMMYFUNCTION("""COMPUTED_VALUE"""),"Spring")</f>
        <v>Spring</v>
      </c>
      <c r="M1731" s="5" t="str">
        <f ca="1">IFERROR(__xludf.DUMMYFUNCTION("""COMPUTED_VALUE"""),"Gary")</f>
        <v>Gary</v>
      </c>
      <c r="N1731" s="5" t="str">
        <f ca="1">IFERROR(__xludf.DUMMYFUNCTION("""COMPUTED_VALUE"""),"IN")</f>
        <v>IN</v>
      </c>
      <c r="O1731" s="5" t="str">
        <f ca="1">IFERROR(__xludf.DUMMYFUNCTION("""COMPUTED_VALUE"""),"High")</f>
        <v>High</v>
      </c>
      <c r="P1731" s="5" t="str">
        <f ca="1">IFERROR(__xludf.DUMMYFUNCTION("""COMPUTED_VALUE"""),"Beside Building")</f>
        <v>Beside Building</v>
      </c>
      <c r="Q1731" s="5" t="str">
        <f ca="1">IFERROR(__xludf.DUMMYFUNCTION("""COMPUTED_VALUE"""),"Outside on School Property")</f>
        <v>Outside on School Property</v>
      </c>
      <c r="R1731" s="5" t="str">
        <f ca="1">IFERROR(__xludf.DUMMYFUNCTION("""COMPUTED_VALUE"""),"Yes")</f>
        <v>Yes</v>
      </c>
      <c r="S1731" s="5" t="str">
        <f ca="1">IFERROR(__xludf.DUMMYFUNCTION("""COMPUTED_VALUE"""),"Lunch")</f>
        <v>Lunch</v>
      </c>
      <c r="T1731" s="10">
        <f ca="1">IFERROR(__xludf.DUMMYFUNCTION("""COMPUTED_VALUE"""),0.50625)</f>
        <v>0.50624999999999998</v>
      </c>
      <c r="U1731" s="5">
        <f ca="1">IFERROR(__xludf.DUMMYFUNCTION("""COMPUTED_VALUE"""),1)</f>
        <v>1</v>
      </c>
      <c r="V1731" s="5" t="str">
        <f ca="1">IFERROR(__xludf.DUMMYFUNCTION("""COMPUTED_VALUE"""),"Dispute between students in gym class")</f>
        <v>Dispute between students in gym class</v>
      </c>
      <c r="W1731"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X1731" s="5" t="str">
        <f ca="1">IFERROR(__xludf.DUMMYFUNCTION("""COMPUTED_VALUE"""),"Escalation of Dispute")</f>
        <v>Escalation of Dispute</v>
      </c>
      <c r="Y1731" s="5" t="str">
        <f ca="1">IFERROR(__xludf.DUMMYFUNCTION("""COMPUTED_VALUE"""),"Victims Targeted")</f>
        <v>Victims Targeted</v>
      </c>
      <c r="Z1731" s="5" t="str">
        <f ca="1">IFERROR(__xludf.DUMMYFUNCTION("""COMPUTED_VALUE"""),"No")</f>
        <v>No</v>
      </c>
      <c r="AA1731" s="5"/>
      <c r="AB1731" s="5" t="str">
        <f ca="1">IFERROR(__xludf.DUMMYFUNCTION("""COMPUTED_VALUE"""),"No")</f>
        <v>No</v>
      </c>
      <c r="AC1731" s="5" t="str">
        <f ca="1">IFERROR(__xludf.DUMMYFUNCTION("""COMPUTED_VALUE"""),"No")</f>
        <v>No</v>
      </c>
      <c r="AD1731" s="5" t="str">
        <f ca="1">IFERROR(__xludf.DUMMYFUNCTION("""COMPUTED_VALUE"""),"No")</f>
        <v>No</v>
      </c>
      <c r="AE1731" s="5" t="str">
        <f ca="1">IFERROR(__xludf.DUMMYFUNCTION("""COMPUTED_VALUE"""),"No")</f>
        <v>No</v>
      </c>
      <c r="AF1731" s="5" t="str">
        <f ca="1">IFERROR(__xludf.DUMMYFUNCTION("""COMPUTED_VALUE"""),"No")</f>
        <v>No</v>
      </c>
      <c r="AG1731" s="5" t="str">
        <f ca="1">IFERROR(__xludf.DUMMYFUNCTION("""COMPUTED_VALUE"""),"No")</f>
        <v>No</v>
      </c>
      <c r="AH1731" s="5"/>
    </row>
    <row r="1732" spans="1:34" ht="12.75">
      <c r="A1732" s="5" t="str">
        <f ca="1">IFERROR(__xludf.DUMMYFUNCTION("""COMPUTED_VALUE"""),"19890210UTTHK")</f>
        <v>19890210UTTHK</v>
      </c>
      <c r="B1732" s="8">
        <f ca="1">IFERROR(__xludf.DUMMYFUNCTION("""COMPUTED_VALUE"""),32549)</f>
        <v>32549</v>
      </c>
      <c r="C1732" s="5" t="str">
        <f ca="1">IFERROR(__xludf.DUMMYFUNCTION("""COMPUTED_VALUE"""),"Thomas Jefferson Junior High School")</f>
        <v>Thomas Jefferson Junior High School</v>
      </c>
      <c r="D1732" s="5">
        <f ca="1">IFERROR(__xludf.DUMMYFUNCTION("""COMPUTED_VALUE"""),0)</f>
        <v>0</v>
      </c>
      <c r="E1732" s="5">
        <f ca="1">IFERROR(__xludf.DUMMYFUNCTION("""COMPUTED_VALUE"""),0)</f>
        <v>0</v>
      </c>
      <c r="F1732" s="5">
        <f ca="1">IFERROR(__xludf.DUMMYFUNCTION("""COMPUTED_VALUE"""),0)</f>
        <v>0</v>
      </c>
      <c r="G1732" s="5">
        <f ca="1">IFERROR(__xludf.DUMMYFUNCTION("""COMPUTED_VALUE"""),0)</f>
        <v>0</v>
      </c>
      <c r="H1732" s="9" t="str">
        <f ca="1">IFERROR(__xludf.DUMMYFUNCTION("""COMPUTED_VALUE"""),"https://www.deseretnews.com/article/34103/OFFICERS-SEEKING-ANSWERS-AFTER-JUNIOR-HIGH-SHOOTING.html")</f>
        <v>https://www.deseretnews.com/article/34103/OFFICERS-SEEKING-ANSWERS-AFTER-JUNIOR-HIGH-SHOOTING.html</v>
      </c>
      <c r="I1732" s="5"/>
      <c r="J1732" s="5"/>
      <c r="K1732" s="5">
        <f ca="1">IFERROR(__xludf.DUMMYFUNCTION("""COMPUTED_VALUE"""),2)</f>
        <v>2</v>
      </c>
      <c r="L1732" s="5" t="str">
        <f ca="1">IFERROR(__xludf.DUMMYFUNCTION("""COMPUTED_VALUE"""),"Winter")</f>
        <v>Winter</v>
      </c>
      <c r="M1732" s="5" t="str">
        <f ca="1">IFERROR(__xludf.DUMMYFUNCTION("""COMPUTED_VALUE"""),"Kearns")</f>
        <v>Kearns</v>
      </c>
      <c r="N1732" s="5" t="str">
        <f ca="1">IFERROR(__xludf.DUMMYFUNCTION("""COMPUTED_VALUE"""),"UT")</f>
        <v>UT</v>
      </c>
      <c r="O1732" s="5" t="str">
        <f ca="1">IFERROR(__xludf.DUMMYFUNCTION("""COMPUTED_VALUE"""),"Junior High")</f>
        <v>Junior High</v>
      </c>
      <c r="P1732" s="5" t="str">
        <f ca="1">IFERROR(__xludf.DUMMYFUNCTION("""COMPUTED_VALUE"""),"Parking Lot")</f>
        <v>Parking Lot</v>
      </c>
      <c r="Q1732" s="5" t="str">
        <f ca="1">IFERROR(__xludf.DUMMYFUNCTION("""COMPUTED_VALUE"""),"Outside on School Property")</f>
        <v>Outside on School Property</v>
      </c>
      <c r="R1732" s="5" t="str">
        <f ca="1">IFERROR(__xludf.DUMMYFUNCTION("""COMPUTED_VALUE"""),"Yes")</f>
        <v>Yes</v>
      </c>
      <c r="S1732" s="5"/>
      <c r="T1732" s="5"/>
      <c r="U1732" s="5">
        <f ca="1">IFERROR(__xludf.DUMMYFUNCTION("""COMPUTED_VALUE"""),1)</f>
        <v>1</v>
      </c>
      <c r="V1732" s="5" t="str">
        <f ca="1">IFERROR(__xludf.DUMMYFUNCTION("""COMPUTED_VALUE"""),"Shooter (12YM) fired twice at principal but missed.")</f>
        <v>Shooter (12YM) fired twice at principal but missed.</v>
      </c>
      <c r="W1732"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X1732" s="5" t="str">
        <f ca="1">IFERROR(__xludf.DUMMYFUNCTION("""COMPUTED_VALUE"""),"Anger Over Grade/Suspension/Discipline")</f>
        <v>Anger Over Grade/Suspension/Discipline</v>
      </c>
      <c r="Y1732" s="5" t="str">
        <f ca="1">IFERROR(__xludf.DUMMYFUNCTION("""COMPUTED_VALUE"""),"Neither")</f>
        <v>Neither</v>
      </c>
      <c r="Z1732" s="5" t="str">
        <f ca="1">IFERROR(__xludf.DUMMYFUNCTION("""COMPUTED_VALUE"""),"No")</f>
        <v>No</v>
      </c>
      <c r="AA1732" s="5"/>
      <c r="AB1732" s="5" t="str">
        <f ca="1">IFERROR(__xludf.DUMMYFUNCTION("""COMPUTED_VALUE"""),"No")</f>
        <v>No</v>
      </c>
      <c r="AC1732" s="5" t="str">
        <f ca="1">IFERROR(__xludf.DUMMYFUNCTION("""COMPUTED_VALUE"""),"No")</f>
        <v>No</v>
      </c>
      <c r="AD1732" s="5" t="str">
        <f ca="1">IFERROR(__xludf.DUMMYFUNCTION("""COMPUTED_VALUE"""),"No")</f>
        <v>No</v>
      </c>
      <c r="AE1732" s="5"/>
      <c r="AF1732" s="5" t="str">
        <f ca="1">IFERROR(__xludf.DUMMYFUNCTION("""COMPUTED_VALUE"""),"No")</f>
        <v>No</v>
      </c>
      <c r="AG1732" s="5" t="str">
        <f ca="1">IFERROR(__xludf.DUMMYFUNCTION("""COMPUTED_VALUE"""),"No")</f>
        <v>No</v>
      </c>
      <c r="AH1732" s="5"/>
    </row>
    <row r="1733" spans="1:34" ht="12.75">
      <c r="A1733" s="5" t="str">
        <f ca="1">IFERROR(__xludf.DUMMYFUNCTION("""COMPUTED_VALUE"""),"19890209IDRIR")</f>
        <v>19890209IDRIR</v>
      </c>
      <c r="B1733" s="8">
        <f ca="1">IFERROR(__xludf.DUMMYFUNCTION("""COMPUTED_VALUE"""),32548)</f>
        <v>32548</v>
      </c>
      <c r="C1733" s="5" t="str">
        <f ca="1">IFERROR(__xludf.DUMMYFUNCTION("""COMPUTED_VALUE"""),"Rigby Junior High School")</f>
        <v>Rigby Junior High School</v>
      </c>
      <c r="D1733" s="5">
        <f ca="1">IFERROR(__xludf.DUMMYFUNCTION("""COMPUTED_VALUE"""),0)</f>
        <v>0</v>
      </c>
      <c r="E1733" s="5">
        <f ca="1">IFERROR(__xludf.DUMMYFUNCTION("""COMPUTED_VALUE"""),0)</f>
        <v>0</v>
      </c>
      <c r="F1733" s="5">
        <f ca="1">IFERROR(__xludf.DUMMYFUNCTION("""COMPUTED_VALUE"""),0)</f>
        <v>0</v>
      </c>
      <c r="G1733" s="5">
        <f ca="1">IFERROR(__xludf.DUMMYFUNCTION("""COMPUTED_VALUE"""),0)</f>
        <v>0</v>
      </c>
      <c r="H1733" s="5" t="str">
        <f ca="1">IFERROR(__xludf.DUMMYFUNCTION("""COMPUTED_VALUE"""),"https://kutv.com/news/nation-world/student-opens-fire-at-rigby-middle-school-injuring-three https://www.deseret.com/1989/2/9/18794568/idaho-boy-14-in-custody-after-taking-hostage?fbclid=IwAR0TwCLhd7_2mvJMqoP9zln4P4hqoLoFWsetQx3WwDkMcWikB2pNy0egEKk")</f>
        <v>https://kutv.com/news/nation-world/student-opens-fire-at-rigby-middle-school-injuring-three https://www.deseret.com/1989/2/9/18794568/idaho-boy-14-in-custody-after-taking-hostage?fbclid=IwAR0TwCLhd7_2mvJMqoP9zln4P4hqoLoFWsetQx3WwDkMcWikB2pNy0egEKk</v>
      </c>
      <c r="I1733" s="5">
        <f ca="1">IFERROR(__xludf.DUMMYFUNCTION("""COMPUTED_VALUE"""),2)</f>
        <v>2</v>
      </c>
      <c r="J1733" s="5" t="str">
        <f ca="1">IFERROR(__xludf.DUMMYFUNCTION("""COMPUTED_VALUE"""),"Local")</f>
        <v>Local</v>
      </c>
      <c r="K1733" s="5">
        <f ca="1">IFERROR(__xludf.DUMMYFUNCTION("""COMPUTED_VALUE"""),3)</f>
        <v>3</v>
      </c>
      <c r="L1733" s="5" t="str">
        <f ca="1">IFERROR(__xludf.DUMMYFUNCTION("""COMPUTED_VALUE"""),"Fall")</f>
        <v>Fall</v>
      </c>
      <c r="M1733" s="5" t="str">
        <f ca="1">IFERROR(__xludf.DUMMYFUNCTION("""COMPUTED_VALUE"""),"Rigby")</f>
        <v>Rigby</v>
      </c>
      <c r="N1733" s="5" t="str">
        <f ca="1">IFERROR(__xludf.DUMMYFUNCTION("""COMPUTED_VALUE"""),"ID")</f>
        <v>ID</v>
      </c>
      <c r="O1733" s="5"/>
      <c r="P1733" s="5"/>
      <c r="Q1733" s="5"/>
      <c r="R1733" s="5"/>
      <c r="S1733" s="5"/>
      <c r="T1733" s="10">
        <f ca="1">IFERROR(__xludf.DUMMYFUNCTION("""COMPUTED_VALUE"""),0.458333333333333)</f>
        <v>0.45833333333333298</v>
      </c>
      <c r="U1733" s="5">
        <f ca="1">IFERROR(__xludf.DUMMYFUNCTION("""COMPUTED_VALUE"""),60)</f>
        <v>60</v>
      </c>
      <c r="V1733" s="5" t="str">
        <f ca="1">IFERROR(__xludf.DUMMYFUNCTION("""COMPUTED_VALUE"""),"Student threatened class with gun then held female student hostage during 1 hour standoff")</f>
        <v>Student threatened class with gun then held female student hostage during 1 hour standoff</v>
      </c>
      <c r="W1733"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X1733" s="5" t="str">
        <f ca="1">IFERROR(__xludf.DUMMYFUNCTION("""COMPUTED_VALUE"""),"Hostage/Standoff")</f>
        <v>Hostage/Standoff</v>
      </c>
      <c r="Y1733" s="5"/>
      <c r="Z1733" s="5" t="str">
        <f ca="1">IFERROR(__xludf.DUMMYFUNCTION("""COMPUTED_VALUE"""),"No")</f>
        <v>No</v>
      </c>
      <c r="AA1733" s="5"/>
      <c r="AB1733" s="5" t="str">
        <f ca="1">IFERROR(__xludf.DUMMYFUNCTION("""COMPUTED_VALUE"""),"Yes")</f>
        <v>Yes</v>
      </c>
      <c r="AC1733" s="5" t="str">
        <f ca="1">IFERROR(__xludf.DUMMYFUNCTION("""COMPUTED_VALUE"""),"No")</f>
        <v>No</v>
      </c>
      <c r="AD1733" s="5" t="str">
        <f ca="1">IFERROR(__xludf.DUMMYFUNCTION("""COMPUTED_VALUE"""),"No")</f>
        <v>No</v>
      </c>
      <c r="AE1733" s="5"/>
      <c r="AF1733" s="5"/>
      <c r="AG1733" s="5" t="str">
        <f ca="1">IFERROR(__xludf.DUMMYFUNCTION("""COMPUTED_VALUE"""),"No")</f>
        <v>No</v>
      </c>
      <c r="AH1733" s="5" t="str">
        <f ca="1">IFERROR(__xludf.DUMMYFUNCTION("""COMPUTED_VALUE"""),"Yes")</f>
        <v>Yes</v>
      </c>
    </row>
    <row r="1734" spans="1:34" ht="12.75">
      <c r="A1734" s="5" t="str">
        <f ca="1">IFERROR(__xludf.DUMMYFUNCTION("""COMPUTED_VALUE"""),"19890126DCWOW")</f>
        <v>19890126DCWOW</v>
      </c>
      <c r="B1734" s="8">
        <f ca="1">IFERROR(__xludf.DUMMYFUNCTION("""COMPUTED_VALUE"""),32534)</f>
        <v>32534</v>
      </c>
      <c r="C1734" s="5" t="str">
        <f ca="1">IFERROR(__xludf.DUMMYFUNCTION("""COMPUTED_VALUE"""),"Woodrow Wilson HIgh School")</f>
        <v>Woodrow Wilson HIgh School</v>
      </c>
      <c r="D1734" s="5">
        <f ca="1">IFERROR(__xludf.DUMMYFUNCTION("""COMPUTED_VALUE"""),0)</f>
        <v>0</v>
      </c>
      <c r="E1734" s="5">
        <f ca="1">IFERROR(__xludf.DUMMYFUNCTION("""COMPUTED_VALUE"""),4)</f>
        <v>4</v>
      </c>
      <c r="F1734" s="5">
        <f ca="1">IFERROR(__xludf.DUMMYFUNCTION("""COMPUTED_VALUE"""),4)</f>
        <v>4</v>
      </c>
      <c r="G1734" s="5">
        <f ca="1">IFERROR(__xludf.DUMMYFUNCTION("""COMPUTED_VALUE"""),0)</f>
        <v>0</v>
      </c>
      <c r="H1734"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I1734" s="5"/>
      <c r="J1734" s="5"/>
      <c r="K1734" s="5">
        <f ca="1">IFERROR(__xludf.DUMMYFUNCTION("""COMPUTED_VALUE"""),3)</f>
        <v>3</v>
      </c>
      <c r="L1734" s="5" t="str">
        <f ca="1">IFERROR(__xludf.DUMMYFUNCTION("""COMPUTED_VALUE"""),"Winter")</f>
        <v>Winter</v>
      </c>
      <c r="M1734" s="5" t="str">
        <f ca="1">IFERROR(__xludf.DUMMYFUNCTION("""COMPUTED_VALUE"""),"Washington")</f>
        <v>Washington</v>
      </c>
      <c r="N1734" s="5" t="str">
        <f ca="1">IFERROR(__xludf.DUMMYFUNCTION("""COMPUTED_VALUE"""),"DC")</f>
        <v>DC</v>
      </c>
      <c r="O1734" s="5" t="str">
        <f ca="1">IFERROR(__xludf.DUMMYFUNCTION("""COMPUTED_VALUE"""),"High")</f>
        <v>High</v>
      </c>
      <c r="P1734" s="5" t="str">
        <f ca="1">IFERROR(__xludf.DUMMYFUNCTION("""COMPUTED_VALUE"""),"Parking Lot")</f>
        <v>Parking Lot</v>
      </c>
      <c r="Q1734" s="5" t="str">
        <f ca="1">IFERROR(__xludf.DUMMYFUNCTION("""COMPUTED_VALUE"""),"Outside on School Property")</f>
        <v>Outside on School Property</v>
      </c>
      <c r="R1734" s="5" t="str">
        <f ca="1">IFERROR(__xludf.DUMMYFUNCTION("""COMPUTED_VALUE"""),"Yes")</f>
        <v>Yes</v>
      </c>
      <c r="S1734" s="5" t="str">
        <f ca="1">IFERROR(__xludf.DUMMYFUNCTION("""COMPUTED_VALUE"""),"Dismissal")</f>
        <v>Dismissal</v>
      </c>
      <c r="T1734" s="10">
        <f ca="1">IFERROR(__xludf.DUMMYFUNCTION("""COMPUTED_VALUE"""),0.600694444444444)</f>
        <v>0.60069444444444398</v>
      </c>
      <c r="U1734" s="5">
        <f ca="1">IFERROR(__xludf.DUMMYFUNCTION("""COMPUTED_VALUE"""),1)</f>
        <v>1</v>
      </c>
      <c r="V1734" s="5" t="str">
        <f ca="1">IFERROR(__xludf.DUMMYFUNCTION("""COMPUTED_VALUE"""),"Escalation of on going fight about a girl")</f>
        <v>Escalation of on going fight about a girl</v>
      </c>
      <c r="W1734"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X1734" s="5" t="str">
        <f ca="1">IFERROR(__xludf.DUMMYFUNCTION("""COMPUTED_VALUE"""),"Escalation of Dispute")</f>
        <v>Escalation of Dispute</v>
      </c>
      <c r="Y1734" s="5" t="str">
        <f ca="1">IFERROR(__xludf.DUMMYFUNCTION("""COMPUTED_VALUE"""),"Victims Targeted")</f>
        <v>Victims Targeted</v>
      </c>
      <c r="Z1734" s="5" t="str">
        <f ca="1">IFERROR(__xludf.DUMMYFUNCTION("""COMPUTED_VALUE"""),"No")</f>
        <v>No</v>
      </c>
      <c r="AA1734" s="5"/>
      <c r="AB1734" s="5" t="str">
        <f ca="1">IFERROR(__xludf.DUMMYFUNCTION("""COMPUTED_VALUE"""),"No")</f>
        <v>No</v>
      </c>
      <c r="AC1734" s="5" t="str">
        <f ca="1">IFERROR(__xludf.DUMMYFUNCTION("""COMPUTED_VALUE"""),"No")</f>
        <v>No</v>
      </c>
      <c r="AD1734" s="5" t="str">
        <f ca="1">IFERROR(__xludf.DUMMYFUNCTION("""COMPUTED_VALUE"""),"No")</f>
        <v>No</v>
      </c>
      <c r="AE1734" s="5" t="str">
        <f ca="1">IFERROR(__xludf.DUMMYFUNCTION("""COMPUTED_VALUE"""),"No")</f>
        <v>No</v>
      </c>
      <c r="AF1734" s="5" t="str">
        <f ca="1">IFERROR(__xludf.DUMMYFUNCTION("""COMPUTED_VALUE"""),"No")</f>
        <v>No</v>
      </c>
      <c r="AG1734" s="5" t="str">
        <f ca="1">IFERROR(__xludf.DUMMYFUNCTION("""COMPUTED_VALUE"""),"No")</f>
        <v>No</v>
      </c>
      <c r="AH1734" s="5"/>
    </row>
    <row r="1735" spans="1:34" ht="12.75">
      <c r="A1735" s="5" t="str">
        <f ca="1">IFERROR(__xludf.DUMMYFUNCTION("""COMPUTED_VALUE"""),"19890117CACLS")</f>
        <v>19890117CACLS</v>
      </c>
      <c r="B1735" s="8">
        <f ca="1">IFERROR(__xludf.DUMMYFUNCTION("""COMPUTED_VALUE"""),32525)</f>
        <v>32525</v>
      </c>
      <c r="C1735" s="5" t="str">
        <f ca="1">IFERROR(__xludf.DUMMYFUNCTION("""COMPUTED_VALUE"""),"Cleveland Elementary School")</f>
        <v>Cleveland Elementary School</v>
      </c>
      <c r="D1735" s="5">
        <f ca="1">IFERROR(__xludf.DUMMYFUNCTION("""COMPUTED_VALUE"""),5)</f>
        <v>5</v>
      </c>
      <c r="E1735" s="5">
        <f ca="1">IFERROR(__xludf.DUMMYFUNCTION("""COMPUTED_VALUE"""),30)</f>
        <v>30</v>
      </c>
      <c r="F1735" s="5">
        <f ca="1">IFERROR(__xludf.DUMMYFUNCTION("""COMPUTED_VALUE"""),35)</f>
        <v>35</v>
      </c>
      <c r="G1735" s="5">
        <f ca="1">IFERROR(__xludf.DUMMYFUNCTION("""COMPUTED_VALUE"""),1)</f>
        <v>1</v>
      </c>
      <c r="H1735"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I1735" s="5"/>
      <c r="J1735" s="5" t="str">
        <f ca="1">IFERROR(__xludf.DUMMYFUNCTION("""COMPUTED_VALUE"""),"National")</f>
        <v>National</v>
      </c>
      <c r="K1735" s="5">
        <f ca="1">IFERROR(__xludf.DUMMYFUNCTION("""COMPUTED_VALUE"""),2)</f>
        <v>2</v>
      </c>
      <c r="L1735" s="5" t="str">
        <f ca="1">IFERROR(__xludf.DUMMYFUNCTION("""COMPUTED_VALUE"""),"Winter")</f>
        <v>Winter</v>
      </c>
      <c r="M1735" s="5" t="str">
        <f ca="1">IFERROR(__xludf.DUMMYFUNCTION("""COMPUTED_VALUE"""),"Stockton")</f>
        <v>Stockton</v>
      </c>
      <c r="N1735" s="5" t="str">
        <f ca="1">IFERROR(__xludf.DUMMYFUNCTION("""COMPUTED_VALUE"""),"CA")</f>
        <v>CA</v>
      </c>
      <c r="O1735" s="5" t="str">
        <f ca="1">IFERROR(__xludf.DUMMYFUNCTION("""COMPUTED_VALUE"""),"Elementary")</f>
        <v>Elementary</v>
      </c>
      <c r="P1735" s="5" t="str">
        <f ca="1">IFERROR(__xludf.DUMMYFUNCTION("""COMPUTED_VALUE"""),"Beside Building")</f>
        <v>Beside Building</v>
      </c>
      <c r="Q1735" s="5" t="str">
        <f ca="1">IFERROR(__xludf.DUMMYFUNCTION("""COMPUTED_VALUE"""),"Outside on School Property")</f>
        <v>Outside on School Property</v>
      </c>
      <c r="R1735" s="5" t="str">
        <f ca="1">IFERROR(__xludf.DUMMYFUNCTION("""COMPUTED_VALUE"""),"Yes")</f>
        <v>Yes</v>
      </c>
      <c r="S1735" s="5"/>
      <c r="T1735" s="10">
        <f ca="1">IFERROR(__xludf.DUMMYFUNCTION("""COMPUTED_VALUE"""),0.499305555555555)</f>
        <v>0.499305555555555</v>
      </c>
      <c r="U1735" s="5">
        <f ca="1">IFERROR(__xludf.DUMMYFUNCTION("""COMPUTED_VALUE"""),3)</f>
        <v>3</v>
      </c>
      <c r="V1735" s="5" t="str">
        <f ca="1">IFERROR(__xludf.DUMMYFUNCTION("""COMPUTED_VALUE"""),"Planned attack, shooter had severe mental illness")</f>
        <v>Planned attack, shooter had severe mental illness</v>
      </c>
      <c r="W1735"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X1735" s="5" t="str">
        <f ca="1">IFERROR(__xludf.DUMMYFUNCTION("""COMPUTED_VALUE"""),"Indiscriminate Shooting")</f>
        <v>Indiscriminate Shooting</v>
      </c>
      <c r="Y1735" s="5" t="str">
        <f ca="1">IFERROR(__xludf.DUMMYFUNCTION("""COMPUTED_VALUE"""),"Random Shooting")</f>
        <v>Random Shooting</v>
      </c>
      <c r="Z1735" s="5" t="str">
        <f ca="1">IFERROR(__xludf.DUMMYFUNCTION("""COMPUTED_VALUE"""),"No")</f>
        <v>No</v>
      </c>
      <c r="AA1735" s="5"/>
      <c r="AB1735" s="5" t="str">
        <f ca="1">IFERROR(__xludf.DUMMYFUNCTION("""COMPUTED_VALUE"""),"No")</f>
        <v>No</v>
      </c>
      <c r="AC1735" s="5" t="str">
        <f ca="1">IFERROR(__xludf.DUMMYFUNCTION("""COMPUTED_VALUE"""),"No")</f>
        <v>No</v>
      </c>
      <c r="AD1735" s="5" t="str">
        <f ca="1">IFERROR(__xludf.DUMMYFUNCTION("""COMPUTED_VALUE"""),"No")</f>
        <v>No</v>
      </c>
      <c r="AE1735" s="5"/>
      <c r="AF1735" s="5" t="str">
        <f ca="1">IFERROR(__xludf.DUMMYFUNCTION("""COMPUTED_VALUE"""),"No")</f>
        <v>No</v>
      </c>
      <c r="AG1735" s="5" t="str">
        <f ca="1">IFERROR(__xludf.DUMMYFUNCTION("""COMPUTED_VALUE"""),"No")</f>
        <v>No</v>
      </c>
      <c r="AH1735" s="5" t="str">
        <f ca="1">IFERROR(__xludf.DUMMYFUNCTION("""COMPUTED_VALUE"""),"Yes")</f>
        <v>Yes</v>
      </c>
    </row>
    <row r="1736" spans="1:34" ht="12.75">
      <c r="A1736" s="5" t="str">
        <f ca="1">IFERROR(__xludf.DUMMYFUNCTION("""COMPUTED_VALUE"""),"19890105ARHEL")</f>
        <v>19890105ARHEL</v>
      </c>
      <c r="B1736" s="8">
        <f ca="1">IFERROR(__xludf.DUMMYFUNCTION("""COMPUTED_VALUE"""),32513)</f>
        <v>32513</v>
      </c>
      <c r="C1736" s="5" t="str">
        <f ca="1">IFERROR(__xludf.DUMMYFUNCTION("""COMPUTED_VALUE"""),"Henderson Junior High School")</f>
        <v>Henderson Junior High School</v>
      </c>
      <c r="D1736" s="5">
        <f ca="1">IFERROR(__xludf.DUMMYFUNCTION("""COMPUTED_VALUE"""),1)</f>
        <v>1</v>
      </c>
      <c r="E1736" s="5">
        <f ca="1">IFERROR(__xludf.DUMMYFUNCTION("""COMPUTED_VALUE"""),0)</f>
        <v>0</v>
      </c>
      <c r="F1736" s="5">
        <f ca="1">IFERROR(__xludf.DUMMYFUNCTION("""COMPUTED_VALUE"""),1)</f>
        <v>1</v>
      </c>
      <c r="G1736" s="5">
        <f ca="1">IFERROR(__xludf.DUMMYFUNCTION("""COMPUTED_VALUE"""),0)</f>
        <v>0</v>
      </c>
      <c r="H1736"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I1736" s="5"/>
      <c r="J1736" s="5"/>
      <c r="K1736" s="5">
        <f ca="1">IFERROR(__xludf.DUMMYFUNCTION("""COMPUTED_VALUE"""),3)</f>
        <v>3</v>
      </c>
      <c r="L1736" s="5" t="str">
        <f ca="1">IFERROR(__xludf.DUMMYFUNCTION("""COMPUTED_VALUE"""),"Winter")</f>
        <v>Winter</v>
      </c>
      <c r="M1736" s="5" t="str">
        <f ca="1">IFERROR(__xludf.DUMMYFUNCTION("""COMPUTED_VALUE"""),"Little Rock")</f>
        <v>Little Rock</v>
      </c>
      <c r="N1736" s="5" t="str">
        <f ca="1">IFERROR(__xludf.DUMMYFUNCTION("""COMPUTED_VALUE"""),"AR")</f>
        <v>AR</v>
      </c>
      <c r="O1736" s="5" t="str">
        <f ca="1">IFERROR(__xludf.DUMMYFUNCTION("""COMPUTED_VALUE"""),"Middle")</f>
        <v>Middle</v>
      </c>
      <c r="P1736" s="5" t="str">
        <f ca="1">IFERROR(__xludf.DUMMYFUNCTION("""COMPUTED_VALUE"""),"Basketball Court")</f>
        <v>Basketball Court</v>
      </c>
      <c r="Q1736" s="5" t="str">
        <f ca="1">IFERROR(__xludf.DUMMYFUNCTION("""COMPUTED_VALUE"""),"Outside on School Property")</f>
        <v>Outside on School Property</v>
      </c>
      <c r="R1736" s="5" t="str">
        <f ca="1">IFERROR(__xludf.DUMMYFUNCTION("""COMPUTED_VALUE"""),"Yes")</f>
        <v>Yes</v>
      </c>
      <c r="S1736" s="5" t="str">
        <f ca="1">IFERROR(__xludf.DUMMYFUNCTION("""COMPUTED_VALUE"""),"School Start")</f>
        <v>School Start</v>
      </c>
      <c r="T1736" s="10">
        <f ca="1">IFERROR(__xludf.DUMMYFUNCTION("""COMPUTED_VALUE"""),0.333333333333333)</f>
        <v>0.33333333333333298</v>
      </c>
      <c r="U1736" s="5">
        <f ca="1">IFERROR(__xludf.DUMMYFUNCTION("""COMPUTED_VALUE"""),1)</f>
        <v>1</v>
      </c>
      <c r="V1736" s="5" t="str">
        <f ca="1">IFERROR(__xludf.DUMMYFUNCTION("""COMPUTED_VALUE"""),"19-year-old male shot 16-year-old student on the basketball court as school was opening")</f>
        <v>19-year-old male shot 16-year-old student on the basketball court as school was opening</v>
      </c>
      <c r="W1736"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X1736" s="5" t="str">
        <f ca="1">IFERROR(__xludf.DUMMYFUNCTION("""COMPUTED_VALUE"""),"Escalation of Dispute")</f>
        <v>Escalation of Dispute</v>
      </c>
      <c r="Y1736" s="5" t="str">
        <f ca="1">IFERROR(__xludf.DUMMYFUNCTION("""COMPUTED_VALUE"""),"Victims Targeted")</f>
        <v>Victims Targeted</v>
      </c>
      <c r="Z1736" s="5" t="str">
        <f ca="1">IFERROR(__xludf.DUMMYFUNCTION("""COMPUTED_VALUE"""),"No")</f>
        <v>No</v>
      </c>
      <c r="AA1736" s="5"/>
      <c r="AB1736" s="5" t="str">
        <f ca="1">IFERROR(__xludf.DUMMYFUNCTION("""COMPUTED_VALUE"""),"No")</f>
        <v>No</v>
      </c>
      <c r="AC1736" s="5"/>
      <c r="AD1736" s="5" t="str">
        <f ca="1">IFERROR(__xludf.DUMMYFUNCTION("""COMPUTED_VALUE"""),"No")</f>
        <v>No</v>
      </c>
      <c r="AE1736" s="5" t="str">
        <f ca="1">IFERROR(__xludf.DUMMYFUNCTION("""COMPUTED_VALUE"""),"No")</f>
        <v>No</v>
      </c>
      <c r="AF1736" s="5" t="str">
        <f ca="1">IFERROR(__xludf.DUMMYFUNCTION("""COMPUTED_VALUE"""),"No")</f>
        <v>No</v>
      </c>
      <c r="AG1736" s="5"/>
      <c r="AH1736" s="5" t="str">
        <f ca="1">IFERROR(__xludf.DUMMYFUNCTION("""COMPUTED_VALUE"""),"No")</f>
        <v>No</v>
      </c>
    </row>
    <row r="1737" spans="1:34" ht="12.75">
      <c r="A1737" s="5" t="str">
        <f ca="1">IFERROR(__xludf.DUMMYFUNCTION("""COMPUTED_VALUE"""),"19881216VAATV")</f>
        <v>19881216VAATV</v>
      </c>
      <c r="B1737" s="8">
        <f ca="1">IFERROR(__xludf.DUMMYFUNCTION("""COMPUTED_VALUE"""),32493)</f>
        <v>32493</v>
      </c>
      <c r="C1737" s="5" t="str">
        <f ca="1">IFERROR(__xludf.DUMMYFUNCTION("""COMPUTED_VALUE"""),"Atlantic Shores Christian School")</f>
        <v>Atlantic Shores Christian School</v>
      </c>
      <c r="D1737" s="5">
        <f ca="1">IFERROR(__xludf.DUMMYFUNCTION("""COMPUTED_VALUE"""),1)</f>
        <v>1</v>
      </c>
      <c r="E1737" s="5">
        <f ca="1">IFERROR(__xludf.DUMMYFUNCTION("""COMPUTED_VALUE"""),1)</f>
        <v>1</v>
      </c>
      <c r="F1737" s="5">
        <f ca="1">IFERROR(__xludf.DUMMYFUNCTION("""COMPUTED_VALUE"""),2)</f>
        <v>2</v>
      </c>
      <c r="G1737" s="5">
        <f ca="1">IFERROR(__xludf.DUMMYFUNCTION("""COMPUTED_VALUE"""),0)</f>
        <v>0</v>
      </c>
      <c r="H1737"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I1737" s="5"/>
      <c r="J1737" s="5" t="str">
        <f ca="1">IFERROR(__xludf.DUMMYFUNCTION("""COMPUTED_VALUE"""),"National")</f>
        <v>National</v>
      </c>
      <c r="K1737" s="5">
        <f ca="1">IFERROR(__xludf.DUMMYFUNCTION("""COMPUTED_VALUE"""),3)</f>
        <v>3</v>
      </c>
      <c r="L1737" s="5" t="str">
        <f ca="1">IFERROR(__xludf.DUMMYFUNCTION("""COMPUTED_VALUE"""),"Winter")</f>
        <v>Winter</v>
      </c>
      <c r="M1737" s="5" t="str">
        <f ca="1">IFERROR(__xludf.DUMMYFUNCTION("""COMPUTED_VALUE"""),"Virginia Beach")</f>
        <v>Virginia Beach</v>
      </c>
      <c r="N1737" s="5" t="str">
        <f ca="1">IFERROR(__xludf.DUMMYFUNCTION("""COMPUTED_VALUE"""),"VA")</f>
        <v>VA</v>
      </c>
      <c r="O1737" s="5" t="str">
        <f ca="1">IFERROR(__xludf.DUMMYFUNCTION("""COMPUTED_VALUE"""),"K-12")</f>
        <v>K-12</v>
      </c>
      <c r="P1737" s="5" t="str">
        <f ca="1">IFERROR(__xludf.DUMMYFUNCTION("""COMPUTED_VALUE"""),"Classroom")</f>
        <v>Classroom</v>
      </c>
      <c r="Q1737" s="5" t="str">
        <f ca="1">IFERROR(__xludf.DUMMYFUNCTION("""COMPUTED_VALUE"""),"Inside School Building")</f>
        <v>Inside School Building</v>
      </c>
      <c r="R1737" s="5" t="str">
        <f ca="1">IFERROR(__xludf.DUMMYFUNCTION("""COMPUTED_VALUE"""),"Yes")</f>
        <v>Yes</v>
      </c>
      <c r="S1737" s="5" t="str">
        <f ca="1">IFERROR(__xludf.DUMMYFUNCTION("""COMPUTED_VALUE"""),"Morning Classes")</f>
        <v>Morning Classes</v>
      </c>
      <c r="T1737" s="10">
        <f ca="1">IFERROR(__xludf.DUMMYFUNCTION("""COMPUTED_VALUE"""),0.4375)</f>
        <v>0.4375</v>
      </c>
      <c r="U1737" s="5">
        <f ca="1">IFERROR(__xludf.DUMMYFUNCTION("""COMPUTED_VALUE"""),1)</f>
        <v>1</v>
      </c>
      <c r="V1737" s="5" t="str">
        <f ca="1">IFERROR(__xludf.DUMMYFUNCTION("""COMPUTED_VALUE"""),"Killed two teachers and pointed gun at class but it jammed; bullied extensively")</f>
        <v>Killed two teachers and pointed gun at class but it jammed; bullied extensively</v>
      </c>
      <c r="W1737"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X1737" s="5" t="str">
        <f ca="1">IFERROR(__xludf.DUMMYFUNCTION("""COMPUTED_VALUE"""),"Bullying")</f>
        <v>Bullying</v>
      </c>
      <c r="Y1737" s="5" t="str">
        <f ca="1">IFERROR(__xludf.DUMMYFUNCTION("""COMPUTED_VALUE"""),"Both")</f>
        <v>Both</v>
      </c>
      <c r="Z1737" s="5" t="str">
        <f ca="1">IFERROR(__xludf.DUMMYFUNCTION("""COMPUTED_VALUE"""),"No")</f>
        <v>No</v>
      </c>
      <c r="AA1737" s="5"/>
      <c r="AB1737" s="5" t="str">
        <f ca="1">IFERROR(__xludf.DUMMYFUNCTION("""COMPUTED_VALUE"""),"No")</f>
        <v>No</v>
      </c>
      <c r="AC1737" s="5" t="str">
        <f ca="1">IFERROR(__xludf.DUMMYFUNCTION("""COMPUTED_VALUE"""),"No")</f>
        <v>No</v>
      </c>
      <c r="AD1737" s="5" t="str">
        <f ca="1">IFERROR(__xludf.DUMMYFUNCTION("""COMPUTED_VALUE"""),"No")</f>
        <v>No</v>
      </c>
      <c r="AE1737" s="5" t="str">
        <f ca="1">IFERROR(__xludf.DUMMYFUNCTION("""COMPUTED_VALUE"""),"Yes")</f>
        <v>Yes</v>
      </c>
      <c r="AF1737" s="5" t="str">
        <f ca="1">IFERROR(__xludf.DUMMYFUNCTION("""COMPUTED_VALUE"""),"No")</f>
        <v>No</v>
      </c>
      <c r="AG1737" s="5" t="str">
        <f ca="1">IFERROR(__xludf.DUMMYFUNCTION("""COMPUTED_VALUE"""),"No")</f>
        <v>No</v>
      </c>
      <c r="AH1737" s="5" t="str">
        <f ca="1">IFERROR(__xludf.DUMMYFUNCTION("""COMPUTED_VALUE"""),"Yes")</f>
        <v>Yes</v>
      </c>
    </row>
    <row r="1738" spans="1:34" ht="12.75">
      <c r="A1738" s="5" t="str">
        <f ca="1">IFERROR(__xludf.DUMMYFUNCTION("""COMPUTED_VALUE"""),"19881122TXABA")</f>
        <v>19881122TXABA</v>
      </c>
      <c r="B1738" s="8">
        <f ca="1">IFERROR(__xludf.DUMMYFUNCTION("""COMPUTED_VALUE"""),32469)</f>
        <v>32469</v>
      </c>
      <c r="C1738" s="5" t="str">
        <f ca="1">IFERROR(__xludf.DUMMYFUNCTION("""COMPUTED_VALUE"""),"Abilene Cooper High School")</f>
        <v>Abilene Cooper High School</v>
      </c>
      <c r="D1738" s="5">
        <f ca="1">IFERROR(__xludf.DUMMYFUNCTION("""COMPUTED_VALUE"""),0)</f>
        <v>0</v>
      </c>
      <c r="E1738" s="5">
        <f ca="1">IFERROR(__xludf.DUMMYFUNCTION("""COMPUTED_VALUE"""),1)</f>
        <v>1</v>
      </c>
      <c r="F1738" s="5">
        <f ca="1">IFERROR(__xludf.DUMMYFUNCTION("""COMPUTED_VALUE"""),1)</f>
        <v>1</v>
      </c>
      <c r="G1738" s="5">
        <f ca="1">IFERROR(__xludf.DUMMYFUNCTION("""COMPUTED_VALUE"""),0)</f>
        <v>0</v>
      </c>
      <c r="H1738" s="9" t="str">
        <f ca="1">IFERROR(__xludf.DUMMYFUNCTION("""COMPUTED_VALUE"""),"https://www.upi.com/Archives/1988/11/22/High-school-student-shoots-history-teacher-in-face/3742596178000/")</f>
        <v>https://www.upi.com/Archives/1988/11/22/High-school-student-shoots-history-teacher-in-face/3742596178000/</v>
      </c>
      <c r="I1738" s="5"/>
      <c r="J1738" s="5"/>
      <c r="K1738" s="5">
        <f ca="1">IFERROR(__xludf.DUMMYFUNCTION("""COMPUTED_VALUE"""),2)</f>
        <v>2</v>
      </c>
      <c r="L1738" s="5" t="str">
        <f ca="1">IFERROR(__xludf.DUMMYFUNCTION("""COMPUTED_VALUE"""),"Fall")</f>
        <v>Fall</v>
      </c>
      <c r="M1738" s="5" t="str">
        <f ca="1">IFERROR(__xludf.DUMMYFUNCTION("""COMPUTED_VALUE"""),"Abilene")</f>
        <v>Abilene</v>
      </c>
      <c r="N1738" s="5" t="str">
        <f ca="1">IFERROR(__xludf.DUMMYFUNCTION("""COMPUTED_VALUE"""),"TX")</f>
        <v>TX</v>
      </c>
      <c r="O1738" s="5" t="str">
        <f ca="1">IFERROR(__xludf.DUMMYFUNCTION("""COMPUTED_VALUE"""),"High")</f>
        <v>High</v>
      </c>
      <c r="P1738" s="5" t="str">
        <f ca="1">IFERROR(__xludf.DUMMYFUNCTION("""COMPUTED_VALUE"""),"Classroom")</f>
        <v>Classroom</v>
      </c>
      <c r="Q1738" s="5" t="str">
        <f ca="1">IFERROR(__xludf.DUMMYFUNCTION("""COMPUTED_VALUE"""),"Inside School Building")</f>
        <v>Inside School Building</v>
      </c>
      <c r="R1738" s="5" t="str">
        <f ca="1">IFERROR(__xludf.DUMMYFUNCTION("""COMPUTED_VALUE"""),"Yes")</f>
        <v>Yes</v>
      </c>
      <c r="S1738" s="5" t="str">
        <f ca="1">IFERROR(__xludf.DUMMYFUNCTION("""COMPUTED_VALUE"""),"Morning Classes")</f>
        <v>Morning Classes</v>
      </c>
      <c r="T1738" s="5"/>
      <c r="U1738" s="5"/>
      <c r="V1738" s="5" t="str">
        <f ca="1">IFERROR(__xludf.DUMMYFUNCTION("""COMPUTED_VALUE"""),"Student shot teacher in the face and walked out of classroom")</f>
        <v>Student shot teacher in the face and walked out of classroom</v>
      </c>
      <c r="W1738"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X1738" s="5" t="str">
        <f ca="1">IFERROR(__xludf.DUMMYFUNCTION("""COMPUTED_VALUE"""),"Anger Over Grade/Suspension/Discipline")</f>
        <v>Anger Over Grade/Suspension/Discipline</v>
      </c>
      <c r="Y1738" s="5" t="str">
        <f ca="1">IFERROR(__xludf.DUMMYFUNCTION("""COMPUTED_VALUE"""),"Victims Targeted")</f>
        <v>Victims Targeted</v>
      </c>
      <c r="Z1738" s="5" t="str">
        <f ca="1">IFERROR(__xludf.DUMMYFUNCTION("""COMPUTED_VALUE"""),"No")</f>
        <v>No</v>
      </c>
      <c r="AA1738" s="5"/>
      <c r="AB1738" s="5" t="str">
        <f ca="1">IFERROR(__xludf.DUMMYFUNCTION("""COMPUTED_VALUE"""),"No")</f>
        <v>No</v>
      </c>
      <c r="AC1738" s="5" t="str">
        <f ca="1">IFERROR(__xludf.DUMMYFUNCTION("""COMPUTED_VALUE"""),"No")</f>
        <v>No</v>
      </c>
      <c r="AD1738" s="5" t="str">
        <f ca="1">IFERROR(__xludf.DUMMYFUNCTION("""COMPUTED_VALUE"""),"No")</f>
        <v>No</v>
      </c>
      <c r="AE1738" s="5"/>
      <c r="AF1738" s="5" t="str">
        <f ca="1">IFERROR(__xludf.DUMMYFUNCTION("""COMPUTED_VALUE"""),"No")</f>
        <v>No</v>
      </c>
      <c r="AG1738" s="5" t="str">
        <f ca="1">IFERROR(__xludf.DUMMYFUNCTION("""COMPUTED_VALUE"""),"No")</f>
        <v>No</v>
      </c>
      <c r="AH1738" s="5"/>
    </row>
    <row r="1739" spans="1:34" ht="12.75">
      <c r="A1739" s="5" t="str">
        <f ca="1">IFERROR(__xludf.DUMMYFUNCTION("""COMPUTED_VALUE"""),"19881107UTGLS")</f>
        <v>19881107UTGLS</v>
      </c>
      <c r="B1739" s="8">
        <f ca="1">IFERROR(__xludf.DUMMYFUNCTION("""COMPUTED_VALUE"""),32454)</f>
        <v>32454</v>
      </c>
      <c r="C1739" s="5" t="str">
        <f ca="1">IFERROR(__xludf.DUMMYFUNCTION("""COMPUTED_VALUE"""),"Glendale Intermediate School")</f>
        <v>Glendale Intermediate School</v>
      </c>
      <c r="D1739" s="5">
        <f ca="1">IFERROR(__xludf.DUMMYFUNCTION("""COMPUTED_VALUE"""),0)</f>
        <v>0</v>
      </c>
      <c r="E1739" s="5">
        <f ca="1">IFERROR(__xludf.DUMMYFUNCTION("""COMPUTED_VALUE"""),1)</f>
        <v>1</v>
      </c>
      <c r="F1739" s="5">
        <f ca="1">IFERROR(__xludf.DUMMYFUNCTION("""COMPUTED_VALUE"""),1)</f>
        <v>1</v>
      </c>
      <c r="G1739" s="5">
        <f ca="1">IFERROR(__xludf.DUMMYFUNCTION("""COMPUTED_VALUE"""),0)</f>
        <v>0</v>
      </c>
      <c r="H1739" s="9" t="str">
        <f ca="1">IFERROR(__xludf.DUMMYFUNCTION("""COMPUTED_VALUE"""),"https://www.deseretnews.com/article/34103/OFFICERS-SEEKING-ANSWERS-AFTER-JUNIOR-HIGH-SHOOTING.html")</f>
        <v>https://www.deseretnews.com/article/34103/OFFICERS-SEEKING-ANSWERS-AFTER-JUNIOR-HIGH-SHOOTING.html</v>
      </c>
      <c r="I1739" s="5"/>
      <c r="J1739" s="5"/>
      <c r="K1739" s="5">
        <f ca="1">IFERROR(__xludf.DUMMYFUNCTION("""COMPUTED_VALUE"""),2)</f>
        <v>2</v>
      </c>
      <c r="L1739" s="5" t="str">
        <f ca="1">IFERROR(__xludf.DUMMYFUNCTION("""COMPUTED_VALUE"""),"Fall")</f>
        <v>Fall</v>
      </c>
      <c r="M1739" s="5" t="str">
        <f ca="1">IFERROR(__xludf.DUMMYFUNCTION("""COMPUTED_VALUE"""),"Salt Lake City")</f>
        <v>Salt Lake City</v>
      </c>
      <c r="N1739" s="5" t="str">
        <f ca="1">IFERROR(__xludf.DUMMYFUNCTION("""COMPUTED_VALUE"""),"UT")</f>
        <v>UT</v>
      </c>
      <c r="O1739" s="5" t="str">
        <f ca="1">IFERROR(__xludf.DUMMYFUNCTION("""COMPUTED_VALUE"""),"Middle")</f>
        <v>Middle</v>
      </c>
      <c r="P1739" s="5" t="str">
        <f ca="1">IFERROR(__xludf.DUMMYFUNCTION("""COMPUTED_VALUE"""),"Classroom")</f>
        <v>Classroom</v>
      </c>
      <c r="Q1739" s="5" t="str">
        <f ca="1">IFERROR(__xludf.DUMMYFUNCTION("""COMPUTED_VALUE"""),"Inside School Building")</f>
        <v>Inside School Building</v>
      </c>
      <c r="R1739" s="5" t="str">
        <f ca="1">IFERROR(__xludf.DUMMYFUNCTION("""COMPUTED_VALUE"""),"Yes")</f>
        <v>Yes</v>
      </c>
      <c r="S1739" s="5"/>
      <c r="T1739" s="5"/>
      <c r="U1739" s="5">
        <f ca="1">IFERROR(__xludf.DUMMYFUNCTION("""COMPUTED_VALUE"""),1)</f>
        <v>1</v>
      </c>
      <c r="V1739" s="5" t="str">
        <f ca="1">IFERROR(__xludf.DUMMYFUNCTION("""COMPUTED_VALUE"""),"Accidental Discharge while showing the gun off in classroom")</f>
        <v>Accidental Discharge while showing the gun off in classroom</v>
      </c>
      <c r="W1739" s="5" t="str">
        <f ca="1">IFERROR(__xludf.DUMMYFUNCTION("""COMPUTED_VALUE"""),"Accidental discharge while showing .22 handgun off in classroom.")</f>
        <v>Accidental discharge while showing .22 handgun off in classroom.</v>
      </c>
      <c r="X1739" s="5" t="str">
        <f ca="1">IFERROR(__xludf.DUMMYFUNCTION("""COMPUTED_VALUE"""),"Accidental")</f>
        <v>Accidental</v>
      </c>
      <c r="Y1739" s="5"/>
      <c r="Z1739" s="5" t="str">
        <f ca="1">IFERROR(__xludf.DUMMYFUNCTION("""COMPUTED_VALUE"""),"No")</f>
        <v>No</v>
      </c>
      <c r="AA1739" s="5"/>
      <c r="AB1739" s="5" t="str">
        <f ca="1">IFERROR(__xludf.DUMMYFUNCTION("""COMPUTED_VALUE"""),"No")</f>
        <v>No</v>
      </c>
      <c r="AC1739" s="5" t="str">
        <f ca="1">IFERROR(__xludf.DUMMYFUNCTION("""COMPUTED_VALUE"""),"No")</f>
        <v>No</v>
      </c>
      <c r="AD1739" s="5" t="str">
        <f ca="1">IFERROR(__xludf.DUMMYFUNCTION("""COMPUTED_VALUE"""),"No")</f>
        <v>No</v>
      </c>
      <c r="AE1739" s="5"/>
      <c r="AF1739" s="5" t="str">
        <f ca="1">IFERROR(__xludf.DUMMYFUNCTION("""COMPUTED_VALUE"""),"No")</f>
        <v>No</v>
      </c>
      <c r="AG1739" s="5" t="str">
        <f ca="1">IFERROR(__xludf.DUMMYFUNCTION("""COMPUTED_VALUE"""),"No")</f>
        <v>No</v>
      </c>
      <c r="AH1739" s="5"/>
    </row>
    <row r="1740" spans="1:34" ht="12.75">
      <c r="A1740" s="5" t="str">
        <f ca="1">IFERROR(__xludf.DUMMYFUNCTION("""COMPUTED_VALUE"""),"19881101FLPAJ")</f>
        <v>19881101FLPAJ</v>
      </c>
      <c r="B1740" s="8">
        <f ca="1">IFERROR(__xludf.DUMMYFUNCTION("""COMPUTED_VALUE"""),32448)</f>
        <v>32448</v>
      </c>
      <c r="C1740" s="5" t="str">
        <f ca="1">IFERROR(__xludf.DUMMYFUNCTION("""COMPUTED_VALUE"""),"Paxon High School")</f>
        <v>Paxon High School</v>
      </c>
      <c r="D1740" s="5">
        <f ca="1">IFERROR(__xludf.DUMMYFUNCTION("""COMPUTED_VALUE"""),0)</f>
        <v>0</v>
      </c>
      <c r="E1740" s="5">
        <f ca="1">IFERROR(__xludf.DUMMYFUNCTION("""COMPUTED_VALUE"""),0)</f>
        <v>0</v>
      </c>
      <c r="F1740" s="5">
        <f ca="1">IFERROR(__xludf.DUMMYFUNCTION("""COMPUTED_VALUE"""),0)</f>
        <v>0</v>
      </c>
      <c r="G1740" s="5">
        <f ca="1">IFERROR(__xludf.DUMMYFUNCTION("""COMPUTED_VALUE"""),0)</f>
        <v>0</v>
      </c>
      <c r="H1740" s="9" t="str">
        <f ca="1">IFERROR(__xludf.DUMMYFUNCTION("""COMPUTED_VALUE"""),"https://www.newspapers.com/image/177559696/?terms=jacksonville%2Bhigh%2Bschool%2Bshooting")</f>
        <v>https://www.newspapers.com/image/177559696/?terms=jacksonville%2Bhigh%2Bschool%2Bshooting</v>
      </c>
      <c r="I1740" s="5"/>
      <c r="J1740" s="5"/>
      <c r="K1740" s="5">
        <f ca="1">IFERROR(__xludf.DUMMYFUNCTION("""COMPUTED_VALUE"""),2)</f>
        <v>2</v>
      </c>
      <c r="L1740" s="5" t="str">
        <f ca="1">IFERROR(__xludf.DUMMYFUNCTION("""COMPUTED_VALUE"""),"Fall")</f>
        <v>Fall</v>
      </c>
      <c r="M1740" s="5" t="str">
        <f ca="1">IFERROR(__xludf.DUMMYFUNCTION("""COMPUTED_VALUE"""),"Jacksonville")</f>
        <v>Jacksonville</v>
      </c>
      <c r="N1740" s="5" t="str">
        <f ca="1">IFERROR(__xludf.DUMMYFUNCTION("""COMPUTED_VALUE"""),"FL")</f>
        <v>FL</v>
      </c>
      <c r="O1740" s="5" t="str">
        <f ca="1">IFERROR(__xludf.DUMMYFUNCTION("""COMPUTED_VALUE"""),"High")</f>
        <v>High</v>
      </c>
      <c r="P1740" s="5" t="str">
        <f ca="1">IFERROR(__xludf.DUMMYFUNCTION("""COMPUTED_VALUE"""),"Inside School Building")</f>
        <v>Inside School Building</v>
      </c>
      <c r="Q1740" s="5" t="str">
        <f ca="1">IFERROR(__xludf.DUMMYFUNCTION("""COMPUTED_VALUE"""),"Inside School Building")</f>
        <v>Inside School Building</v>
      </c>
      <c r="R1740" s="5" t="str">
        <f ca="1">IFERROR(__xludf.DUMMYFUNCTION("""COMPUTED_VALUE"""),"Yes")</f>
        <v>Yes</v>
      </c>
      <c r="S1740" s="5"/>
      <c r="T1740" s="5"/>
      <c r="U1740" s="5">
        <f ca="1">IFERROR(__xludf.DUMMYFUNCTION("""COMPUTED_VALUE"""),1)</f>
        <v>1</v>
      </c>
      <c r="V1740" s="5" t="str">
        <f ca="1">IFERROR(__xludf.DUMMYFUNCTION("""COMPUTED_VALUE"""),"Escalation of ongoing argument")</f>
        <v>Escalation of ongoing argument</v>
      </c>
      <c r="W1740"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X1740" s="5" t="str">
        <f ca="1">IFERROR(__xludf.DUMMYFUNCTION("""COMPUTED_VALUE"""),"Escalation of Dispute")</f>
        <v>Escalation of Dispute</v>
      </c>
      <c r="Y1740" s="5" t="str">
        <f ca="1">IFERROR(__xludf.DUMMYFUNCTION("""COMPUTED_VALUE"""),"Victims Targeted")</f>
        <v>Victims Targeted</v>
      </c>
      <c r="Z1740" s="5" t="str">
        <f ca="1">IFERROR(__xludf.DUMMYFUNCTION("""COMPUTED_VALUE"""),"No")</f>
        <v>No</v>
      </c>
      <c r="AA1740" s="5"/>
      <c r="AB1740" s="5" t="str">
        <f ca="1">IFERROR(__xludf.DUMMYFUNCTION("""COMPUTED_VALUE"""),"No")</f>
        <v>No</v>
      </c>
      <c r="AC1740" s="5" t="str">
        <f ca="1">IFERROR(__xludf.DUMMYFUNCTION("""COMPUTED_VALUE"""),"No")</f>
        <v>No</v>
      </c>
      <c r="AD1740" s="5" t="str">
        <f ca="1">IFERROR(__xludf.DUMMYFUNCTION("""COMPUTED_VALUE"""),"No")</f>
        <v>No</v>
      </c>
      <c r="AE1740" s="5"/>
      <c r="AF1740" s="5"/>
      <c r="AG1740" s="5" t="str">
        <f ca="1">IFERROR(__xludf.DUMMYFUNCTION("""COMPUTED_VALUE"""),"No")</f>
        <v>No</v>
      </c>
      <c r="AH1740" s="5"/>
    </row>
    <row r="1741" spans="1:34" ht="12.75">
      <c r="A1741" s="5" t="str">
        <f ca="1">IFERROR(__xludf.DUMMYFUNCTION("""COMPUTED_VALUE"""),"19881007TXDIP")</f>
        <v>19881007TXDIP</v>
      </c>
      <c r="B1741" s="8">
        <f ca="1">IFERROR(__xludf.DUMMYFUNCTION("""COMPUTED_VALUE"""),32423)</f>
        <v>32423</v>
      </c>
      <c r="C1741" s="5" t="str">
        <f ca="1">IFERROR(__xludf.DUMMYFUNCTION("""COMPUTED_VALUE"""),"Dick Dowling Elementary School")</f>
        <v>Dick Dowling Elementary School</v>
      </c>
      <c r="D1741" s="5">
        <f ca="1">IFERROR(__xludf.DUMMYFUNCTION("""COMPUTED_VALUE"""),0)</f>
        <v>0</v>
      </c>
      <c r="E1741" s="5">
        <f ca="1">IFERROR(__xludf.DUMMYFUNCTION("""COMPUTED_VALUE"""),1)</f>
        <v>1</v>
      </c>
      <c r="F1741" s="5">
        <f ca="1">IFERROR(__xludf.DUMMYFUNCTION("""COMPUTED_VALUE"""),1)</f>
        <v>1</v>
      </c>
      <c r="G1741" s="5">
        <f ca="1">IFERROR(__xludf.DUMMYFUNCTION("""COMPUTED_VALUE"""),0)</f>
        <v>0</v>
      </c>
      <c r="H1741" s="5" t="str">
        <f ca="1">IFERROR(__xludf.DUMMYFUNCTION("""COMPUTED_VALUE"""),"https://www.newspapers.com/image/353952540/?terms=port%2Barthur; https://www.newspapers.com/image/364054210/?terms=port%2Barthur")</f>
        <v>https://www.newspapers.com/image/353952540/?terms=port%2Barthur; https://www.newspapers.com/image/364054210/?terms=port%2Barthur</v>
      </c>
      <c r="I1741" s="5"/>
      <c r="J1741" s="5"/>
      <c r="K1741" s="5">
        <f ca="1">IFERROR(__xludf.DUMMYFUNCTION("""COMPUTED_VALUE"""),3)</f>
        <v>3</v>
      </c>
      <c r="L1741" s="5" t="str">
        <f ca="1">IFERROR(__xludf.DUMMYFUNCTION("""COMPUTED_VALUE"""),"Fall")</f>
        <v>Fall</v>
      </c>
      <c r="M1741" s="5" t="str">
        <f ca="1">IFERROR(__xludf.DUMMYFUNCTION("""COMPUTED_VALUE"""),"Port Arthur")</f>
        <v>Port Arthur</v>
      </c>
      <c r="N1741" s="5" t="str">
        <f ca="1">IFERROR(__xludf.DUMMYFUNCTION("""COMPUTED_VALUE"""),"TX")</f>
        <v>TX</v>
      </c>
      <c r="O1741" s="5" t="str">
        <f ca="1">IFERROR(__xludf.DUMMYFUNCTION("""COMPUTED_VALUE"""),"Elementary")</f>
        <v>Elementary</v>
      </c>
      <c r="P1741" s="5" t="str">
        <f ca="1">IFERROR(__xludf.DUMMYFUNCTION("""COMPUTED_VALUE"""),"School Bus")</f>
        <v>School Bus</v>
      </c>
      <c r="Q1741" s="5" t="str">
        <f ca="1">IFERROR(__xludf.DUMMYFUNCTION("""COMPUTED_VALUE"""),"School Bus")</f>
        <v>School Bus</v>
      </c>
      <c r="R1741" s="5" t="str">
        <f ca="1">IFERROR(__xludf.DUMMYFUNCTION("""COMPUTED_VALUE"""),"Yes")</f>
        <v>Yes</v>
      </c>
      <c r="S1741" s="5" t="str">
        <f ca="1">IFERROR(__xludf.DUMMYFUNCTION("""COMPUTED_VALUE"""),"Before School")</f>
        <v>Before School</v>
      </c>
      <c r="T1741" s="10">
        <f ca="1">IFERROR(__xludf.DUMMYFUNCTION("""COMPUTED_VALUE"""),0.347222222222222)</f>
        <v>0.34722222222222199</v>
      </c>
      <c r="U1741" s="5">
        <f ca="1">IFERROR(__xludf.DUMMYFUNCTION("""COMPUTED_VALUE"""),1)</f>
        <v>1</v>
      </c>
      <c r="V1741" s="5" t="str">
        <f ca="1">IFERROR(__xludf.DUMMYFUNCTION("""COMPUTED_VALUE"""),"Shot bus driver in back of head during trip to school")</f>
        <v>Shot bus driver in back of head during trip to school</v>
      </c>
      <c r="W1741"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X1741" s="5" t="str">
        <f ca="1">IFERROR(__xludf.DUMMYFUNCTION("""COMPUTED_VALUE"""),"Unknown")</f>
        <v>Unknown</v>
      </c>
      <c r="Y1741" s="5" t="str">
        <f ca="1">IFERROR(__xludf.DUMMYFUNCTION("""COMPUTED_VALUE"""),"Victims Targeted")</f>
        <v>Victims Targeted</v>
      </c>
      <c r="Z1741" s="5" t="str">
        <f ca="1">IFERROR(__xludf.DUMMYFUNCTION("""COMPUTED_VALUE"""),"No")</f>
        <v>No</v>
      </c>
      <c r="AA1741" s="5"/>
      <c r="AB1741" s="5" t="str">
        <f ca="1">IFERROR(__xludf.DUMMYFUNCTION("""COMPUTED_VALUE"""),"No")</f>
        <v>No</v>
      </c>
      <c r="AC1741" s="5" t="str">
        <f ca="1">IFERROR(__xludf.DUMMYFUNCTION("""COMPUTED_VALUE"""),"No")</f>
        <v>No</v>
      </c>
      <c r="AD1741" s="5" t="str">
        <f ca="1">IFERROR(__xludf.DUMMYFUNCTION("""COMPUTED_VALUE"""),"No")</f>
        <v>No</v>
      </c>
      <c r="AE1741" s="5" t="str">
        <f ca="1">IFERROR(__xludf.DUMMYFUNCTION("""COMPUTED_VALUE"""),"No")</f>
        <v>No</v>
      </c>
      <c r="AF1741" s="5" t="str">
        <f ca="1">IFERROR(__xludf.DUMMYFUNCTION("""COMPUTED_VALUE"""),"No")</f>
        <v>No</v>
      </c>
      <c r="AG1741" s="5" t="str">
        <f ca="1">IFERROR(__xludf.DUMMYFUNCTION("""COMPUTED_VALUE"""),"No")</f>
        <v>No</v>
      </c>
      <c r="AH1741" s="5"/>
    </row>
    <row r="1742" spans="1:34" ht="12.75">
      <c r="A1742" s="5" t="str">
        <f ca="1">IFERROR(__xludf.DUMMYFUNCTION("""COMPUTED_VALUE"""),"19881007MDSOB")</f>
        <v>19881007MDSOB</v>
      </c>
      <c r="B1742" s="8">
        <f ca="1">IFERROR(__xludf.DUMMYFUNCTION("""COMPUTED_VALUE"""),32423)</f>
        <v>32423</v>
      </c>
      <c r="C1742" s="5" t="str">
        <f ca="1">IFERROR(__xludf.DUMMYFUNCTION("""COMPUTED_VALUE"""),"Southwestern Senior High School")</f>
        <v>Southwestern Senior High School</v>
      </c>
      <c r="D1742" s="5">
        <f ca="1">IFERROR(__xludf.DUMMYFUNCTION("""COMPUTED_VALUE"""),0)</f>
        <v>0</v>
      </c>
      <c r="E1742" s="5">
        <f ca="1">IFERROR(__xludf.DUMMYFUNCTION("""COMPUTED_VALUE"""),1)</f>
        <v>1</v>
      </c>
      <c r="F1742" s="5">
        <f ca="1">IFERROR(__xludf.DUMMYFUNCTION("""COMPUTED_VALUE"""),1)</f>
        <v>1</v>
      </c>
      <c r="G1742" s="5">
        <f ca="1">IFERROR(__xludf.DUMMYFUNCTION("""COMPUTED_VALUE"""),0)</f>
        <v>0</v>
      </c>
      <c r="H1742"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I1742" s="5"/>
      <c r="J1742" s="5"/>
      <c r="K1742" s="5">
        <f ca="1">IFERROR(__xludf.DUMMYFUNCTION("""COMPUTED_VALUE"""),3)</f>
        <v>3</v>
      </c>
      <c r="L1742" s="5" t="str">
        <f ca="1">IFERROR(__xludf.DUMMYFUNCTION("""COMPUTED_VALUE"""),"Fall")</f>
        <v>Fall</v>
      </c>
      <c r="M1742" s="5" t="str">
        <f ca="1">IFERROR(__xludf.DUMMYFUNCTION("""COMPUTED_VALUE"""),"Baltimore")</f>
        <v>Baltimore</v>
      </c>
      <c r="N1742" s="5" t="str">
        <f ca="1">IFERROR(__xludf.DUMMYFUNCTION("""COMPUTED_VALUE"""),"MD")</f>
        <v>MD</v>
      </c>
      <c r="O1742" s="5" t="str">
        <f ca="1">IFERROR(__xludf.DUMMYFUNCTION("""COMPUTED_VALUE"""),"High")</f>
        <v>High</v>
      </c>
      <c r="P1742" s="5" t="str">
        <f ca="1">IFERROR(__xludf.DUMMYFUNCTION("""COMPUTED_VALUE"""),"Inside School Building")</f>
        <v>Inside School Building</v>
      </c>
      <c r="Q1742" s="5" t="str">
        <f ca="1">IFERROR(__xludf.DUMMYFUNCTION("""COMPUTED_VALUE"""),"Inside School Building")</f>
        <v>Inside School Building</v>
      </c>
      <c r="R1742" s="5" t="str">
        <f ca="1">IFERROR(__xludf.DUMMYFUNCTION("""COMPUTED_VALUE"""),"Yes")</f>
        <v>Yes</v>
      </c>
      <c r="S1742" s="5"/>
      <c r="T1742" s="5"/>
      <c r="U1742" s="5">
        <f ca="1">IFERROR(__xludf.DUMMYFUNCTION("""COMPUTED_VALUE"""),1)</f>
        <v>1</v>
      </c>
      <c r="V1742" s="5" t="str">
        <f ca="1">IFERROR(__xludf.DUMMYFUNCTION("""COMPUTED_VALUE"""),"Escalation of gang related dispute - victim accidentally shot - not intended target, but reports conflict")</f>
        <v>Escalation of gang related dispute - victim accidentally shot - not intended target, but reports conflict</v>
      </c>
      <c r="W1742" s="5" t="str">
        <f ca="1">IFERROR(__xludf.DUMMYFUNCTION("""COMPUTED_VALUE"""),"On going gang related tension - Victim was not intended target - conflicting reports")</f>
        <v>On going gang related tension - Victim was not intended target - conflicting reports</v>
      </c>
      <c r="X1742" s="5" t="str">
        <f ca="1">IFERROR(__xludf.DUMMYFUNCTION("""COMPUTED_VALUE"""),"Escalation of Dispute")</f>
        <v>Escalation of Dispute</v>
      </c>
      <c r="Y1742" s="5" t="str">
        <f ca="1">IFERROR(__xludf.DUMMYFUNCTION("""COMPUTED_VALUE"""),"Random Shooting")</f>
        <v>Random Shooting</v>
      </c>
      <c r="Z1742" s="5" t="str">
        <f ca="1">IFERROR(__xludf.DUMMYFUNCTION("""COMPUTED_VALUE"""),"Yes")</f>
        <v>Yes</v>
      </c>
      <c r="AA1742" s="5" t="str">
        <f ca="1">IFERROR(__xludf.DUMMYFUNCTION("""COMPUTED_VALUE"""),"Leo Sean Palmer 17 YOM")</f>
        <v>Leo Sean Palmer 17 YOM</v>
      </c>
      <c r="AB1742" s="5" t="str">
        <f ca="1">IFERROR(__xludf.DUMMYFUNCTION("""COMPUTED_VALUE"""),"No")</f>
        <v>No</v>
      </c>
      <c r="AC1742" s="5" t="str">
        <f ca="1">IFERROR(__xludf.DUMMYFUNCTION("""COMPUTED_VALUE"""),"No")</f>
        <v>No</v>
      </c>
      <c r="AD1742" s="5" t="str">
        <f ca="1">IFERROR(__xludf.DUMMYFUNCTION("""COMPUTED_VALUE"""),"No")</f>
        <v>No</v>
      </c>
      <c r="AE1742" s="5" t="str">
        <f ca="1">IFERROR(__xludf.DUMMYFUNCTION("""COMPUTED_VALUE"""),"No")</f>
        <v>No</v>
      </c>
      <c r="AF1742" s="5" t="str">
        <f ca="1">IFERROR(__xludf.DUMMYFUNCTION("""COMPUTED_VALUE"""),"No")</f>
        <v>No</v>
      </c>
      <c r="AG1742" s="5" t="str">
        <f ca="1">IFERROR(__xludf.DUMMYFUNCTION("""COMPUTED_VALUE"""),"Yes")</f>
        <v>Yes</v>
      </c>
      <c r="AH1742" s="5"/>
    </row>
    <row r="1743" spans="1:34" ht="12.75">
      <c r="A1743" s="5" t="str">
        <f ca="1">IFERROR(__xludf.DUMMYFUNCTION("""COMPUTED_VALUE"""),"19881006ALMOM")</f>
        <v>19881006ALMOM</v>
      </c>
      <c r="B1743" s="8">
        <f ca="1">IFERROR(__xludf.DUMMYFUNCTION("""COMPUTED_VALUE"""),32422)</f>
        <v>32422</v>
      </c>
      <c r="C1743" s="5" t="str">
        <f ca="1">IFERROR(__xludf.DUMMYFUNCTION("""COMPUTED_VALUE"""),"Most Pure Heart of Mary School")</f>
        <v>Most Pure Heart of Mary School</v>
      </c>
      <c r="D1743" s="5">
        <f ca="1">IFERROR(__xludf.DUMMYFUNCTION("""COMPUTED_VALUE"""),0)</f>
        <v>0</v>
      </c>
      <c r="E1743" s="5">
        <f ca="1">IFERROR(__xludf.DUMMYFUNCTION("""COMPUTED_VALUE"""),1)</f>
        <v>1</v>
      </c>
      <c r="F1743" s="5">
        <f ca="1">IFERROR(__xludf.DUMMYFUNCTION("""COMPUTED_VALUE"""),1)</f>
        <v>1</v>
      </c>
      <c r="G1743" s="5">
        <f ca="1">IFERROR(__xludf.DUMMYFUNCTION("""COMPUTED_VALUE"""),0)</f>
        <v>0</v>
      </c>
      <c r="H1743" s="9" t="str">
        <f ca="1">IFERROR(__xludf.DUMMYFUNCTION("""COMPUTED_VALUE"""),"https://www.newspapers.com/image/200956524/?terms=arilyn%2Bjean%2BLelande")</f>
        <v>https://www.newspapers.com/image/200956524/?terms=arilyn%2Bjean%2BLelande</v>
      </c>
      <c r="I1743" s="5"/>
      <c r="J1743" s="5"/>
      <c r="K1743" s="5">
        <f ca="1">IFERROR(__xludf.DUMMYFUNCTION("""COMPUTED_VALUE"""),2)</f>
        <v>2</v>
      </c>
      <c r="L1743" s="5" t="str">
        <f ca="1">IFERROR(__xludf.DUMMYFUNCTION("""COMPUTED_VALUE"""),"Fall")</f>
        <v>Fall</v>
      </c>
      <c r="M1743" s="5" t="str">
        <f ca="1">IFERROR(__xludf.DUMMYFUNCTION("""COMPUTED_VALUE"""),"Mobile")</f>
        <v>Mobile</v>
      </c>
      <c r="N1743" s="5" t="str">
        <f ca="1">IFERROR(__xludf.DUMMYFUNCTION("""COMPUTED_VALUE"""),"AL")</f>
        <v>AL</v>
      </c>
      <c r="O1743" s="5" t="str">
        <f ca="1">IFERROR(__xludf.DUMMYFUNCTION("""COMPUTED_VALUE"""),"Elementary")</f>
        <v>Elementary</v>
      </c>
      <c r="P1743" s="5" t="str">
        <f ca="1">IFERROR(__xludf.DUMMYFUNCTION("""COMPUTED_VALUE"""),"Classroom")</f>
        <v>Classroom</v>
      </c>
      <c r="Q1743" s="5" t="str">
        <f ca="1">IFERROR(__xludf.DUMMYFUNCTION("""COMPUTED_VALUE"""),"Inside School Building")</f>
        <v>Inside School Building</v>
      </c>
      <c r="R1743" s="5" t="str">
        <f ca="1">IFERROR(__xludf.DUMMYFUNCTION("""COMPUTED_VALUE"""),"Yes")</f>
        <v>Yes</v>
      </c>
      <c r="S1743" s="5"/>
      <c r="T1743" s="5"/>
      <c r="U1743" s="5">
        <f ca="1">IFERROR(__xludf.DUMMYFUNCTION("""COMPUTED_VALUE"""),1)</f>
        <v>1</v>
      </c>
      <c r="V1743" s="5" t="str">
        <f ca="1">IFERROR(__xludf.DUMMYFUNCTION("""COMPUTED_VALUE"""),"Shot sister in class over dispute about money")</f>
        <v>Shot sister in class over dispute about money</v>
      </c>
      <c r="W1743"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X1743" s="5" t="str">
        <f ca="1">IFERROR(__xludf.DUMMYFUNCTION("""COMPUTED_VALUE"""),"Domestic w/ Targeted Victim")</f>
        <v>Domestic w/ Targeted Victim</v>
      </c>
      <c r="Y1743" s="5" t="str">
        <f ca="1">IFERROR(__xludf.DUMMYFUNCTION("""COMPUTED_VALUE"""),"Victims Targeted")</f>
        <v>Victims Targeted</v>
      </c>
      <c r="Z1743" s="5" t="str">
        <f ca="1">IFERROR(__xludf.DUMMYFUNCTION("""COMPUTED_VALUE"""),"No")</f>
        <v>No</v>
      </c>
      <c r="AA1743" s="5"/>
      <c r="AB1743" s="5" t="str">
        <f ca="1">IFERROR(__xludf.DUMMYFUNCTION("""COMPUTED_VALUE"""),"No")</f>
        <v>No</v>
      </c>
      <c r="AC1743" s="5" t="str">
        <f ca="1">IFERROR(__xludf.DUMMYFUNCTION("""COMPUTED_VALUE"""),"No")</f>
        <v>No</v>
      </c>
      <c r="AD1743" s="5" t="str">
        <f ca="1">IFERROR(__xludf.DUMMYFUNCTION("""COMPUTED_VALUE"""),"No")</f>
        <v>No</v>
      </c>
      <c r="AE1743" s="5" t="str">
        <f ca="1">IFERROR(__xludf.DUMMYFUNCTION("""COMPUTED_VALUE"""),"No")</f>
        <v>No</v>
      </c>
      <c r="AF1743" s="5" t="str">
        <f ca="1">IFERROR(__xludf.DUMMYFUNCTION("""COMPUTED_VALUE"""),"Yes")</f>
        <v>Yes</v>
      </c>
      <c r="AG1743" s="5" t="str">
        <f ca="1">IFERROR(__xludf.DUMMYFUNCTION("""COMPUTED_VALUE"""),"No")</f>
        <v>No</v>
      </c>
      <c r="AH1743" s="5"/>
    </row>
    <row r="1744" spans="1:34" ht="12.75">
      <c r="A1744" s="5" t="str">
        <f ca="1">IFERROR(__xludf.DUMMYFUNCTION("""COMPUTED_VALUE"""),"19881005MDEDB")</f>
        <v>19881005MDEDB</v>
      </c>
      <c r="B1744" s="8">
        <f ca="1">IFERROR(__xludf.DUMMYFUNCTION("""COMPUTED_VALUE"""),32421)</f>
        <v>32421</v>
      </c>
      <c r="C1744" s="5" t="str">
        <f ca="1">IFERROR(__xludf.DUMMYFUNCTION("""COMPUTED_VALUE"""),"Edmondson Westside Senior High School")</f>
        <v>Edmondson Westside Senior High School</v>
      </c>
      <c r="D1744" s="5">
        <f ca="1">IFERROR(__xludf.DUMMYFUNCTION("""COMPUTED_VALUE"""),0)</f>
        <v>0</v>
      </c>
      <c r="E1744" s="5">
        <f ca="1">IFERROR(__xludf.DUMMYFUNCTION("""COMPUTED_VALUE"""),1)</f>
        <v>1</v>
      </c>
      <c r="F1744" s="5">
        <f ca="1">IFERROR(__xludf.DUMMYFUNCTION("""COMPUTED_VALUE"""),1)</f>
        <v>1</v>
      </c>
      <c r="G1744" s="5">
        <f ca="1">IFERROR(__xludf.DUMMYFUNCTION("""COMPUTED_VALUE"""),0)</f>
        <v>0</v>
      </c>
      <c r="H1744" s="9" t="str">
        <f ca="1">IFERROR(__xludf.DUMMYFUNCTION("""COMPUTED_VALUE"""),"https://www.newspapers.com/image/378123968/?terms=anita%2Bmoore")</f>
        <v>https://www.newspapers.com/image/378123968/?terms=anita%2Bmoore</v>
      </c>
      <c r="I1744" s="5"/>
      <c r="J1744" s="5"/>
      <c r="K1744" s="5">
        <f ca="1">IFERROR(__xludf.DUMMYFUNCTION("""COMPUTED_VALUE"""),2)</f>
        <v>2</v>
      </c>
      <c r="L1744" s="5" t="str">
        <f ca="1">IFERROR(__xludf.DUMMYFUNCTION("""COMPUTED_VALUE"""),"Fall")</f>
        <v>Fall</v>
      </c>
      <c r="M1744" s="5" t="str">
        <f ca="1">IFERROR(__xludf.DUMMYFUNCTION("""COMPUTED_VALUE"""),"Baltimore")</f>
        <v>Baltimore</v>
      </c>
      <c r="N1744" s="5" t="str">
        <f ca="1">IFERROR(__xludf.DUMMYFUNCTION("""COMPUTED_VALUE"""),"MD")</f>
        <v>MD</v>
      </c>
      <c r="O1744" s="5" t="str">
        <f ca="1">IFERROR(__xludf.DUMMYFUNCTION("""COMPUTED_VALUE"""),"High")</f>
        <v>High</v>
      </c>
      <c r="P1744" s="5" t="str">
        <f ca="1">IFERROR(__xludf.DUMMYFUNCTION("""COMPUTED_VALUE"""),"Inside School Building")</f>
        <v>Inside School Building</v>
      </c>
      <c r="Q1744" s="5" t="str">
        <f ca="1">IFERROR(__xludf.DUMMYFUNCTION("""COMPUTED_VALUE"""),"Inside School Building")</f>
        <v>Inside School Building</v>
      </c>
      <c r="R1744" s="5" t="str">
        <f ca="1">IFERROR(__xludf.DUMMYFUNCTION("""COMPUTED_VALUE"""),"Yes")</f>
        <v>Yes</v>
      </c>
      <c r="S1744" s="5" t="str">
        <f ca="1">IFERROR(__xludf.DUMMYFUNCTION("""COMPUTED_VALUE"""),"Lunch")</f>
        <v>Lunch</v>
      </c>
      <c r="T1744" s="10">
        <f ca="1">IFERROR(__xludf.DUMMYFUNCTION("""COMPUTED_VALUE"""),0.5)</f>
        <v>0.5</v>
      </c>
      <c r="U1744" s="5">
        <f ca="1">IFERROR(__xludf.DUMMYFUNCTION("""COMPUTED_VALUE"""),1)</f>
        <v>1</v>
      </c>
      <c r="V1744" s="5" t="str">
        <f ca="1">IFERROR(__xludf.DUMMYFUNCTION("""COMPUTED_VALUE"""),"Victim was innocent bystander during argument between two boys in which shots were fired")</f>
        <v>Victim was innocent bystander during argument between two boys in which shots were fired</v>
      </c>
      <c r="W1744" s="5" t="str">
        <f ca="1">IFERROR(__xludf.DUMMYFUNCTION("""COMPUTED_VALUE"""),"Victim hit after fight between two boys erupted into gun fire")</f>
        <v>Victim hit after fight between two boys erupted into gun fire</v>
      </c>
      <c r="X1744" s="5" t="str">
        <f ca="1">IFERROR(__xludf.DUMMYFUNCTION("""COMPUTED_VALUE"""),"Escalation of Dispute")</f>
        <v>Escalation of Dispute</v>
      </c>
      <c r="Y1744" s="5" t="str">
        <f ca="1">IFERROR(__xludf.DUMMYFUNCTION("""COMPUTED_VALUE"""),"Random Shooting")</f>
        <v>Random Shooting</v>
      </c>
      <c r="Z1744" s="5" t="str">
        <f ca="1">IFERROR(__xludf.DUMMYFUNCTION("""COMPUTED_VALUE"""),"No")</f>
        <v>No</v>
      </c>
      <c r="AA1744" s="5"/>
      <c r="AB1744" s="5" t="str">
        <f ca="1">IFERROR(__xludf.DUMMYFUNCTION("""COMPUTED_VALUE"""),"No")</f>
        <v>No</v>
      </c>
      <c r="AC1744" s="5" t="str">
        <f ca="1">IFERROR(__xludf.DUMMYFUNCTION("""COMPUTED_VALUE"""),"No")</f>
        <v>No</v>
      </c>
      <c r="AD1744" s="5" t="str">
        <f ca="1">IFERROR(__xludf.DUMMYFUNCTION("""COMPUTED_VALUE"""),"No")</f>
        <v>No</v>
      </c>
      <c r="AE1744" s="5" t="str">
        <f ca="1">IFERROR(__xludf.DUMMYFUNCTION("""COMPUTED_VALUE"""),"No")</f>
        <v>No</v>
      </c>
      <c r="AF1744" s="5" t="str">
        <f ca="1">IFERROR(__xludf.DUMMYFUNCTION("""COMPUTED_VALUE"""),"No")</f>
        <v>No</v>
      </c>
      <c r="AG1744" s="5" t="str">
        <f ca="1">IFERROR(__xludf.DUMMYFUNCTION("""COMPUTED_VALUE"""),"No")</f>
        <v>No</v>
      </c>
      <c r="AH1744" s="5"/>
    </row>
    <row r="1745" spans="1:34" ht="12.75">
      <c r="A1745" s="5" t="str">
        <f ca="1">IFERROR(__xludf.DUMMYFUNCTION("""COMPUTED_VALUE"""),"19881004LAISB")</f>
        <v>19881004LAISB</v>
      </c>
      <c r="B1745" s="8">
        <f ca="1">IFERROR(__xludf.DUMMYFUNCTION("""COMPUTED_VALUE"""),32420)</f>
        <v>32420</v>
      </c>
      <c r="C1745" s="5" t="str">
        <f ca="1">IFERROR(__xludf.DUMMYFUNCTION("""COMPUTED_VALUE"""),"Istrouma Senior High School")</f>
        <v>Istrouma Senior High School</v>
      </c>
      <c r="D1745" s="5">
        <f ca="1">IFERROR(__xludf.DUMMYFUNCTION("""COMPUTED_VALUE"""),0)</f>
        <v>0</v>
      </c>
      <c r="E1745" s="5">
        <f ca="1">IFERROR(__xludf.DUMMYFUNCTION("""COMPUTED_VALUE"""),0)</f>
        <v>0</v>
      </c>
      <c r="F1745" s="5">
        <f ca="1">IFERROR(__xludf.DUMMYFUNCTION("""COMPUTED_VALUE"""),0)</f>
        <v>0</v>
      </c>
      <c r="G1745" s="5">
        <f ca="1">IFERROR(__xludf.DUMMYFUNCTION("""COMPUTED_VALUE"""),0)</f>
        <v>0</v>
      </c>
      <c r="H1745"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I1745" s="5"/>
      <c r="J1745" s="5"/>
      <c r="K1745" s="5">
        <f ca="1">IFERROR(__xludf.DUMMYFUNCTION("""COMPUTED_VALUE"""),1)</f>
        <v>1</v>
      </c>
      <c r="L1745" s="5" t="str">
        <f ca="1">IFERROR(__xludf.DUMMYFUNCTION("""COMPUTED_VALUE"""),"Fall")</f>
        <v>Fall</v>
      </c>
      <c r="M1745" s="5" t="str">
        <f ca="1">IFERROR(__xludf.DUMMYFUNCTION("""COMPUTED_VALUE"""),"Baton Rouge")</f>
        <v>Baton Rouge</v>
      </c>
      <c r="N1745" s="5" t="str">
        <f ca="1">IFERROR(__xludf.DUMMYFUNCTION("""COMPUTED_VALUE"""),"LA")</f>
        <v>LA</v>
      </c>
      <c r="O1745" s="5" t="str">
        <f ca="1">IFERROR(__xludf.DUMMYFUNCTION("""COMPUTED_VALUE"""),"High")</f>
        <v>High</v>
      </c>
      <c r="P1745" s="5" t="str">
        <f ca="1">IFERROR(__xludf.DUMMYFUNCTION("""COMPUTED_VALUE"""),"Parking Lot")</f>
        <v>Parking Lot</v>
      </c>
      <c r="Q1745" s="5" t="str">
        <f ca="1">IFERROR(__xludf.DUMMYFUNCTION("""COMPUTED_VALUE"""),"Outside on School Property")</f>
        <v>Outside on School Property</v>
      </c>
      <c r="R1745" s="5"/>
      <c r="S1745" s="5"/>
      <c r="T1745" s="5"/>
      <c r="U1745" s="5">
        <f ca="1">IFERROR(__xludf.DUMMYFUNCTION("""COMPUTED_VALUE"""),1)</f>
        <v>1</v>
      </c>
      <c r="V1745" s="5" t="str">
        <f ca="1">IFERROR(__xludf.DUMMYFUNCTION("""COMPUTED_VALUE"""),"Teacher fired shots at cafeteria worker in parking lot")</f>
        <v>Teacher fired shots at cafeteria worker in parking lot</v>
      </c>
      <c r="W1745"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X1745" s="5" t="str">
        <f ca="1">IFERROR(__xludf.DUMMYFUNCTION("""COMPUTED_VALUE"""),"Escalation of Dispute")</f>
        <v>Escalation of Dispute</v>
      </c>
      <c r="Y1745" s="5" t="str">
        <f ca="1">IFERROR(__xludf.DUMMYFUNCTION("""COMPUTED_VALUE"""),"Victims Targeted")</f>
        <v>Victims Targeted</v>
      </c>
      <c r="Z1745" s="5" t="str">
        <f ca="1">IFERROR(__xludf.DUMMYFUNCTION("""COMPUTED_VALUE"""),"No")</f>
        <v>No</v>
      </c>
      <c r="AA1745" s="5"/>
      <c r="AB1745" s="5" t="str">
        <f ca="1">IFERROR(__xludf.DUMMYFUNCTION("""COMPUTED_VALUE"""),"No")</f>
        <v>No</v>
      </c>
      <c r="AC1745" s="5" t="str">
        <f ca="1">IFERROR(__xludf.DUMMYFUNCTION("""COMPUTED_VALUE"""),"No")</f>
        <v>No</v>
      </c>
      <c r="AD1745" s="5" t="str">
        <f ca="1">IFERROR(__xludf.DUMMYFUNCTION("""COMPUTED_VALUE"""),"No")</f>
        <v>No</v>
      </c>
      <c r="AE1745" s="5" t="str">
        <f ca="1">IFERROR(__xludf.DUMMYFUNCTION("""COMPUTED_VALUE"""),"No")</f>
        <v>No</v>
      </c>
      <c r="AF1745" s="5" t="str">
        <f ca="1">IFERROR(__xludf.DUMMYFUNCTION("""COMPUTED_VALUE"""),"No")</f>
        <v>No</v>
      </c>
      <c r="AG1745" s="5" t="str">
        <f ca="1">IFERROR(__xludf.DUMMYFUNCTION("""COMPUTED_VALUE"""),"No")</f>
        <v>No</v>
      </c>
      <c r="AH1745" s="5"/>
    </row>
    <row r="1746" spans="1:34" ht="12.75">
      <c r="A1746" s="5" t="str">
        <f ca="1">IFERROR(__xludf.DUMMYFUNCTION("""COMPUTED_VALUE"""),"19881004FLJEJ")</f>
        <v>19881004FLJEJ</v>
      </c>
      <c r="B1746" s="8">
        <f ca="1">IFERROR(__xludf.DUMMYFUNCTION("""COMPUTED_VALUE"""),32420)</f>
        <v>32420</v>
      </c>
      <c r="C1746" s="5" t="str">
        <f ca="1">IFERROR(__xludf.DUMMYFUNCTION("""COMPUTED_VALUE"""),"J E B Stuart Junior High School (bus)")</f>
        <v>J E B Stuart Junior High School (bus)</v>
      </c>
      <c r="D1746" s="5">
        <f ca="1">IFERROR(__xludf.DUMMYFUNCTION("""COMPUTED_VALUE"""),0)</f>
        <v>0</v>
      </c>
      <c r="E1746" s="5">
        <f ca="1">IFERROR(__xludf.DUMMYFUNCTION("""COMPUTED_VALUE"""),5)</f>
        <v>5</v>
      </c>
      <c r="F1746" s="5">
        <f ca="1">IFERROR(__xludf.DUMMYFUNCTION("""COMPUTED_VALUE"""),5)</f>
        <v>5</v>
      </c>
      <c r="G1746" s="5">
        <f ca="1">IFERROR(__xludf.DUMMYFUNCTION("""COMPUTED_VALUE"""),0)</f>
        <v>0</v>
      </c>
      <c r="H1746" s="9" t="str">
        <f ca="1">IFERROR(__xludf.DUMMYFUNCTION("""COMPUTED_VALUE"""),"https://www.newspapers.com/image/229988989/?terms=J.%2BE.%2BB.%2BStuart%2BJunior%2BHigh%2BSchool%2Bbus%2Bshooting")</f>
        <v>https://www.newspapers.com/image/229988989/?terms=J.%2BE.%2BB.%2BStuart%2BJunior%2BHigh%2BSchool%2Bbus%2Bshooting</v>
      </c>
      <c r="I1746" s="5"/>
      <c r="J1746" s="5"/>
      <c r="K1746" s="5">
        <f ca="1">IFERROR(__xludf.DUMMYFUNCTION("""COMPUTED_VALUE"""),2)</f>
        <v>2</v>
      </c>
      <c r="L1746" s="5" t="str">
        <f ca="1">IFERROR(__xludf.DUMMYFUNCTION("""COMPUTED_VALUE"""),"Fall")</f>
        <v>Fall</v>
      </c>
      <c r="M1746" s="5" t="str">
        <f ca="1">IFERROR(__xludf.DUMMYFUNCTION("""COMPUTED_VALUE"""),"Jacksonville")</f>
        <v>Jacksonville</v>
      </c>
      <c r="N1746" s="5" t="str">
        <f ca="1">IFERROR(__xludf.DUMMYFUNCTION("""COMPUTED_VALUE"""),"FL")</f>
        <v>FL</v>
      </c>
      <c r="O1746" s="5" t="str">
        <f ca="1">IFERROR(__xludf.DUMMYFUNCTION("""COMPUTED_VALUE"""),"Junior High")</f>
        <v>Junior High</v>
      </c>
      <c r="P1746" s="5" t="str">
        <f ca="1">IFERROR(__xludf.DUMMYFUNCTION("""COMPUTED_VALUE"""),"School Bus")</f>
        <v>School Bus</v>
      </c>
      <c r="Q1746" s="5" t="str">
        <f ca="1">IFERROR(__xludf.DUMMYFUNCTION("""COMPUTED_VALUE"""),"School Bus")</f>
        <v>School Bus</v>
      </c>
      <c r="R1746" s="5" t="str">
        <f ca="1">IFERROR(__xludf.DUMMYFUNCTION("""COMPUTED_VALUE"""),"No")</f>
        <v>No</v>
      </c>
      <c r="S1746" s="5" t="str">
        <f ca="1">IFERROR(__xludf.DUMMYFUNCTION("""COMPUTED_VALUE"""),"Sport Event")</f>
        <v>Sport Event</v>
      </c>
      <c r="T1746" s="5"/>
      <c r="U1746" s="5">
        <f ca="1">IFERROR(__xludf.DUMMYFUNCTION("""COMPUTED_VALUE"""),1)</f>
        <v>1</v>
      </c>
      <c r="V1746" s="5" t="str">
        <f ca="1">IFERROR(__xludf.DUMMYFUNCTION("""COMPUTED_VALUE"""),"Shots fired a bus after football game")</f>
        <v>Shots fired a bus after football game</v>
      </c>
      <c r="W1746"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X1746" s="5" t="str">
        <f ca="1">IFERROR(__xludf.DUMMYFUNCTION("""COMPUTED_VALUE"""),"Indiscriminate Shooting")</f>
        <v>Indiscriminate Shooting</v>
      </c>
      <c r="Y1746" s="5" t="str">
        <f ca="1">IFERROR(__xludf.DUMMYFUNCTION("""COMPUTED_VALUE"""),"Both")</f>
        <v>Both</v>
      </c>
      <c r="Z1746" s="5" t="str">
        <f ca="1">IFERROR(__xludf.DUMMYFUNCTION("""COMPUTED_VALUE"""),"No")</f>
        <v>No</v>
      </c>
      <c r="AA1746" s="5"/>
      <c r="AB1746" s="5" t="str">
        <f ca="1">IFERROR(__xludf.DUMMYFUNCTION("""COMPUTED_VALUE"""),"No")</f>
        <v>No</v>
      </c>
      <c r="AC1746" s="5" t="str">
        <f ca="1">IFERROR(__xludf.DUMMYFUNCTION("""COMPUTED_VALUE"""),"No")</f>
        <v>No</v>
      </c>
      <c r="AD1746" s="5" t="str">
        <f ca="1">IFERROR(__xludf.DUMMYFUNCTION("""COMPUTED_VALUE"""),"No")</f>
        <v>No</v>
      </c>
      <c r="AE1746" s="5" t="str">
        <f ca="1">IFERROR(__xludf.DUMMYFUNCTION("""COMPUTED_VALUE"""),"No")</f>
        <v>No</v>
      </c>
      <c r="AF1746" s="5" t="str">
        <f ca="1">IFERROR(__xludf.DUMMYFUNCTION("""COMPUTED_VALUE"""),"No")</f>
        <v>No</v>
      </c>
      <c r="AG1746" s="5"/>
      <c r="AH1746" s="5"/>
    </row>
    <row r="1747" spans="1:34" ht="12.75">
      <c r="A1747" s="5" t="str">
        <f ca="1">IFERROR(__xludf.DUMMYFUNCTION("""COMPUTED_VALUE"""),"19881003FLMAM")</f>
        <v>19881003FLMAM</v>
      </c>
      <c r="B1747" s="8">
        <f ca="1">IFERROR(__xludf.DUMMYFUNCTION("""COMPUTED_VALUE"""),32419)</f>
        <v>32419</v>
      </c>
      <c r="C1747" s="5" t="str">
        <f ca="1">IFERROR(__xludf.DUMMYFUNCTION("""COMPUTED_VALUE"""),"Mascotte Elementary School")</f>
        <v>Mascotte Elementary School</v>
      </c>
      <c r="D1747" s="5">
        <f ca="1">IFERROR(__xludf.DUMMYFUNCTION("""COMPUTED_VALUE"""),0)</f>
        <v>0</v>
      </c>
      <c r="E1747" s="5">
        <f ca="1">IFERROR(__xludf.DUMMYFUNCTION("""COMPUTED_VALUE"""),1)</f>
        <v>1</v>
      </c>
      <c r="F1747" s="5">
        <f ca="1">IFERROR(__xludf.DUMMYFUNCTION("""COMPUTED_VALUE"""),1)</f>
        <v>1</v>
      </c>
      <c r="G1747" s="5">
        <f ca="1">IFERROR(__xludf.DUMMYFUNCTION("""COMPUTED_VALUE"""),0)</f>
        <v>0</v>
      </c>
      <c r="H1747" s="9" t="str">
        <f ca="1">IFERROR(__xludf.DUMMYFUNCTION("""COMPUTED_VALUE"""),"http://articles.latimes.com/1988-10-04/news/mn-3503_1_elementary-school")</f>
        <v>http://articles.latimes.com/1988-10-04/news/mn-3503_1_elementary-school</v>
      </c>
      <c r="I1747" s="5"/>
      <c r="J1747" s="5" t="str">
        <f ca="1">IFERROR(__xludf.DUMMYFUNCTION("""COMPUTED_VALUE"""),"Local")</f>
        <v>Local</v>
      </c>
      <c r="K1747" s="5">
        <f ca="1">IFERROR(__xludf.DUMMYFUNCTION("""COMPUTED_VALUE"""),2)</f>
        <v>2</v>
      </c>
      <c r="L1747" s="5" t="str">
        <f ca="1">IFERROR(__xludf.DUMMYFUNCTION("""COMPUTED_VALUE"""),"Fall")</f>
        <v>Fall</v>
      </c>
      <c r="M1747" s="5" t="str">
        <f ca="1">IFERROR(__xludf.DUMMYFUNCTION("""COMPUTED_VALUE"""),"Mascotte")</f>
        <v>Mascotte</v>
      </c>
      <c r="N1747" s="5" t="str">
        <f ca="1">IFERROR(__xludf.DUMMYFUNCTION("""COMPUTED_VALUE"""),"FL")</f>
        <v>FL</v>
      </c>
      <c r="O1747" s="5" t="str">
        <f ca="1">IFERROR(__xludf.DUMMYFUNCTION("""COMPUTED_VALUE"""),"Elementary")</f>
        <v>Elementary</v>
      </c>
      <c r="P1747" s="5" t="str">
        <f ca="1">IFERROR(__xludf.DUMMYFUNCTION("""COMPUTED_VALUE"""),"Playground")</f>
        <v>Playground</v>
      </c>
      <c r="Q1747" s="5" t="str">
        <f ca="1">IFERROR(__xludf.DUMMYFUNCTION("""COMPUTED_VALUE"""),"Outside on School Property")</f>
        <v>Outside on School Property</v>
      </c>
      <c r="R1747" s="5" t="str">
        <f ca="1">IFERROR(__xludf.DUMMYFUNCTION("""COMPUTED_VALUE"""),"Yes")</f>
        <v>Yes</v>
      </c>
      <c r="S1747" s="5" t="str">
        <f ca="1">IFERROR(__xludf.DUMMYFUNCTION("""COMPUTED_VALUE"""),"Morning Classes")</f>
        <v>Morning Classes</v>
      </c>
      <c r="T1747" s="10">
        <f ca="1">IFERROR(__xludf.DUMMYFUNCTION("""COMPUTED_VALUE"""),0.458333333333333)</f>
        <v>0.45833333333333298</v>
      </c>
      <c r="U1747" s="5">
        <f ca="1">IFERROR(__xludf.DUMMYFUNCTION("""COMPUTED_VALUE"""),1)</f>
        <v>1</v>
      </c>
      <c r="V1747" s="5" t="str">
        <f ca="1">IFERROR(__xludf.DUMMYFUNCTION("""COMPUTED_VALUE"""),"Gunman in camo fired rifle from woods near school striking a girl on the playground")</f>
        <v>Gunman in camo fired rifle from woods near school striking a girl on the playground</v>
      </c>
      <c r="W1747"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X1747" s="5" t="str">
        <f ca="1">IFERROR(__xludf.DUMMYFUNCTION("""COMPUTED_VALUE"""),"Indiscriminate Shooting")</f>
        <v>Indiscriminate Shooting</v>
      </c>
      <c r="Y1747" s="5"/>
      <c r="Z1747" s="5" t="str">
        <f ca="1">IFERROR(__xludf.DUMMYFUNCTION("""COMPUTED_VALUE"""),"No")</f>
        <v>No</v>
      </c>
      <c r="AA1747" s="5"/>
      <c r="AB1747" s="5" t="str">
        <f ca="1">IFERROR(__xludf.DUMMYFUNCTION("""COMPUTED_VALUE"""),"No")</f>
        <v>No</v>
      </c>
      <c r="AC1747" s="5" t="str">
        <f ca="1">IFERROR(__xludf.DUMMYFUNCTION("""COMPUTED_VALUE"""),"No")</f>
        <v>No</v>
      </c>
      <c r="AD1747" s="5" t="str">
        <f ca="1">IFERROR(__xludf.DUMMYFUNCTION("""COMPUTED_VALUE"""),"No")</f>
        <v>No</v>
      </c>
      <c r="AE1747" s="5"/>
      <c r="AF1747" s="5" t="str">
        <f ca="1">IFERROR(__xludf.DUMMYFUNCTION("""COMPUTED_VALUE"""),"No")</f>
        <v>No</v>
      </c>
      <c r="AG1747" s="5" t="str">
        <f ca="1">IFERROR(__xludf.DUMMYFUNCTION("""COMPUTED_VALUE"""),"No")</f>
        <v>No</v>
      </c>
      <c r="AH1747" s="5" t="str">
        <f ca="1">IFERROR(__xludf.DUMMYFUNCTION("""COMPUTED_VALUE"""),"Yes")</f>
        <v>Yes</v>
      </c>
    </row>
    <row r="1748" spans="1:34" ht="12.75">
      <c r="A1748" s="5" t="str">
        <f ca="1">IFERROR(__xludf.DUMMYFUNCTION("""COMPUTED_VALUE"""),"19880926SCOAG")</f>
        <v>19880926SCOAG</v>
      </c>
      <c r="B1748" s="8">
        <f ca="1">IFERROR(__xludf.DUMMYFUNCTION("""COMPUTED_VALUE"""),32412)</f>
        <v>32412</v>
      </c>
      <c r="C1748" s="5" t="str">
        <f ca="1">IFERROR(__xludf.DUMMYFUNCTION("""COMPUTED_VALUE"""),"Oakland Elementary School")</f>
        <v>Oakland Elementary School</v>
      </c>
      <c r="D1748" s="5">
        <f ca="1">IFERROR(__xludf.DUMMYFUNCTION("""COMPUTED_VALUE"""),2)</f>
        <v>2</v>
      </c>
      <c r="E1748" s="5">
        <f ca="1">IFERROR(__xludf.DUMMYFUNCTION("""COMPUTED_VALUE"""),9)</f>
        <v>9</v>
      </c>
      <c r="F1748" s="5">
        <f ca="1">IFERROR(__xludf.DUMMYFUNCTION("""COMPUTED_VALUE"""),11)</f>
        <v>11</v>
      </c>
      <c r="G1748" s="5">
        <f ca="1">IFERROR(__xludf.DUMMYFUNCTION("""COMPUTED_VALUE"""),0)</f>
        <v>0</v>
      </c>
      <c r="H1748"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I1748" s="5"/>
      <c r="J1748" s="5" t="str">
        <f ca="1">IFERROR(__xludf.DUMMYFUNCTION("""COMPUTED_VALUE"""),"National")</f>
        <v>National</v>
      </c>
      <c r="K1748" s="5">
        <f ca="1">IFERROR(__xludf.DUMMYFUNCTION("""COMPUTED_VALUE"""),4)</f>
        <v>4</v>
      </c>
      <c r="L1748" s="5" t="str">
        <f ca="1">IFERROR(__xludf.DUMMYFUNCTION("""COMPUTED_VALUE"""),"Fall")</f>
        <v>Fall</v>
      </c>
      <c r="M1748" s="5" t="str">
        <f ca="1">IFERROR(__xludf.DUMMYFUNCTION("""COMPUTED_VALUE"""),"Greenwood")</f>
        <v>Greenwood</v>
      </c>
      <c r="N1748" s="5" t="str">
        <f ca="1">IFERROR(__xludf.DUMMYFUNCTION("""COMPUTED_VALUE"""),"SC")</f>
        <v>SC</v>
      </c>
      <c r="O1748" s="5" t="str">
        <f ca="1">IFERROR(__xludf.DUMMYFUNCTION("""COMPUTED_VALUE"""),"Elementary")</f>
        <v>Elementary</v>
      </c>
      <c r="P1748" s="5" t="str">
        <f ca="1">IFERROR(__xludf.DUMMYFUNCTION("""COMPUTED_VALUE"""),"Cafeteria")</f>
        <v>Cafeteria</v>
      </c>
      <c r="Q1748" s="5" t="str">
        <f ca="1">IFERROR(__xludf.DUMMYFUNCTION("""COMPUTED_VALUE"""),"Inside School Building")</f>
        <v>Inside School Building</v>
      </c>
      <c r="R1748" s="5" t="str">
        <f ca="1">IFERROR(__xludf.DUMMYFUNCTION("""COMPUTED_VALUE"""),"Yes")</f>
        <v>Yes</v>
      </c>
      <c r="S1748" s="5" t="str">
        <f ca="1">IFERROR(__xludf.DUMMYFUNCTION("""COMPUTED_VALUE"""),"Lunch")</f>
        <v>Lunch</v>
      </c>
      <c r="T1748" s="10">
        <f ca="1">IFERROR(__xludf.DUMMYFUNCTION("""COMPUTED_VALUE"""),0.479166666666666)</f>
        <v>0.47916666666666602</v>
      </c>
      <c r="U1748" s="5"/>
      <c r="V1748" s="5" t="str">
        <f ca="1">IFERROR(__xludf.DUMMYFUNCTION("""COMPUTED_VALUE"""),"Man with gun walked into cafeteria and started shooting")</f>
        <v>Man with gun walked into cafeteria and started shooting</v>
      </c>
      <c r="W1748"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X1748" s="5" t="str">
        <f ca="1">IFERROR(__xludf.DUMMYFUNCTION("""COMPUTED_VALUE"""),"Psychosis")</f>
        <v>Psychosis</v>
      </c>
      <c r="Y1748" s="5" t="str">
        <f ca="1">IFERROR(__xludf.DUMMYFUNCTION("""COMPUTED_VALUE"""),"Random Shooting")</f>
        <v>Random Shooting</v>
      </c>
      <c r="Z1748" s="5" t="str">
        <f ca="1">IFERROR(__xludf.DUMMYFUNCTION("""COMPUTED_VALUE"""),"No")</f>
        <v>No</v>
      </c>
      <c r="AA1748" s="5"/>
      <c r="AB1748" s="5" t="str">
        <f ca="1">IFERROR(__xludf.DUMMYFUNCTION("""COMPUTED_VALUE"""),"No")</f>
        <v>No</v>
      </c>
      <c r="AC1748" s="5" t="str">
        <f ca="1">IFERROR(__xludf.DUMMYFUNCTION("""COMPUTED_VALUE"""),"No")</f>
        <v>No</v>
      </c>
      <c r="AD1748" s="5" t="str">
        <f ca="1">IFERROR(__xludf.DUMMYFUNCTION("""COMPUTED_VALUE"""),"No")</f>
        <v>No</v>
      </c>
      <c r="AE1748" s="5" t="str">
        <f ca="1">IFERROR(__xludf.DUMMYFUNCTION("""COMPUTED_VALUE"""),"Yes")</f>
        <v>Yes</v>
      </c>
      <c r="AF1748" s="5" t="str">
        <f ca="1">IFERROR(__xludf.DUMMYFUNCTION("""COMPUTED_VALUE"""),"No")</f>
        <v>No</v>
      </c>
      <c r="AG1748" s="5" t="str">
        <f ca="1">IFERROR(__xludf.DUMMYFUNCTION("""COMPUTED_VALUE"""),"No")</f>
        <v>No</v>
      </c>
      <c r="AH1748" s="5" t="str">
        <f ca="1">IFERROR(__xludf.DUMMYFUNCTION("""COMPUTED_VALUE"""),"Yes")</f>
        <v>Yes</v>
      </c>
    </row>
    <row r="1749" spans="1:34" ht="12.75">
      <c r="A1749" s="5" t="str">
        <f ca="1">IFERROR(__xludf.DUMMYFUNCTION("""COMPUTED_VALUE"""),"19880922ILMOC")</f>
        <v>19880922ILMOC</v>
      </c>
      <c r="B1749" s="8">
        <f ca="1">IFERROR(__xludf.DUMMYFUNCTION("""COMPUTED_VALUE"""),32408)</f>
        <v>32408</v>
      </c>
      <c r="C1749" s="5" t="str">
        <f ca="1">IFERROR(__xludf.DUMMYFUNCTION("""COMPUTED_VALUE"""),"Moses Montefoire Public School")</f>
        <v>Moses Montefoire Public School</v>
      </c>
      <c r="D1749" s="5">
        <f ca="1">IFERROR(__xludf.DUMMYFUNCTION("""COMPUTED_VALUE"""),4)</f>
        <v>4</v>
      </c>
      <c r="E1749" s="5">
        <f ca="1">IFERROR(__xludf.DUMMYFUNCTION("""COMPUTED_VALUE"""),2)</f>
        <v>2</v>
      </c>
      <c r="F1749" s="5">
        <f ca="1">IFERROR(__xludf.DUMMYFUNCTION("""COMPUTED_VALUE"""),6)</f>
        <v>6</v>
      </c>
      <c r="G1749" s="5">
        <f ca="1">IFERROR(__xludf.DUMMYFUNCTION("""COMPUTED_VALUE"""),1)</f>
        <v>1</v>
      </c>
      <c r="H1749" s="5" t="str">
        <f ca="1">IFERROR(__xludf.DUMMYFUNCTION("""COMPUTED_VALUE"""),"https://www.newspapers.com/image/388358003/ http://www.chicagotribune.com/news/ct-met-irma-ruiz-30-years-20180928-story.html")</f>
        <v>https://www.newspapers.com/image/388358003/ http://www.chicagotribune.com/news/ct-met-irma-ruiz-30-years-20180928-story.html</v>
      </c>
      <c r="I1749" s="5"/>
      <c r="J1749" s="5"/>
      <c r="K1749" s="5">
        <f ca="1">IFERROR(__xludf.DUMMYFUNCTION("""COMPUTED_VALUE"""),3)</f>
        <v>3</v>
      </c>
      <c r="L1749" s="5" t="str">
        <f ca="1">IFERROR(__xludf.DUMMYFUNCTION("""COMPUTED_VALUE"""),"Fall")</f>
        <v>Fall</v>
      </c>
      <c r="M1749" s="5" t="str">
        <f ca="1">IFERROR(__xludf.DUMMYFUNCTION("""COMPUTED_VALUE"""),"Chicago")</f>
        <v>Chicago</v>
      </c>
      <c r="N1749" s="5" t="str">
        <f ca="1">IFERROR(__xludf.DUMMYFUNCTION("""COMPUTED_VALUE"""),"IL")</f>
        <v>IL</v>
      </c>
      <c r="O1749" s="5" t="str">
        <f ca="1">IFERROR(__xludf.DUMMYFUNCTION("""COMPUTED_VALUE"""),"Elementary")</f>
        <v>Elementary</v>
      </c>
      <c r="P1749" s="5" t="str">
        <f ca="1">IFERROR(__xludf.DUMMYFUNCTION("""COMPUTED_VALUE"""),"Front of School")</f>
        <v>Front of School</v>
      </c>
      <c r="Q1749" s="5" t="str">
        <f ca="1">IFERROR(__xludf.DUMMYFUNCTION("""COMPUTED_VALUE"""),"Outside on School Property")</f>
        <v>Outside on School Property</v>
      </c>
      <c r="R1749" s="5" t="str">
        <f ca="1">IFERROR(__xludf.DUMMYFUNCTION("""COMPUTED_VALUE"""),"Yes")</f>
        <v>Yes</v>
      </c>
      <c r="S1749" s="5" t="str">
        <f ca="1">IFERROR(__xludf.DUMMYFUNCTION("""COMPUTED_VALUE"""),"Morning Classes")</f>
        <v>Morning Classes</v>
      </c>
      <c r="T1749" s="10">
        <f ca="1">IFERROR(__xludf.DUMMYFUNCTION("""COMPUTED_VALUE"""),0.416666666666666)</f>
        <v>0.41666666666666602</v>
      </c>
      <c r="U1749" s="5">
        <f ca="1">IFERROR(__xludf.DUMMYFUNCTION("""COMPUTED_VALUE"""),20)</f>
        <v>20</v>
      </c>
      <c r="V1749" s="5" t="str">
        <f ca="1">IFERROR(__xludf.DUMMYFUNCTION("""COMPUTED_VALUE"""),"Shot 6 people (2 cops, 2 garbage workers, 2 school employees) outside school, killed by wounded officer")</f>
        <v>Shot 6 people (2 cops, 2 garbage workers, 2 school employees) outside school, killed by wounded officer</v>
      </c>
      <c r="W1749"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X1749" s="5" t="str">
        <f ca="1">IFERROR(__xludf.DUMMYFUNCTION("""COMPUTED_VALUE"""),"Psychosis")</f>
        <v>Psychosis</v>
      </c>
      <c r="Y1749" s="5" t="str">
        <f ca="1">IFERROR(__xludf.DUMMYFUNCTION("""COMPUTED_VALUE"""),"Random Shooting")</f>
        <v>Random Shooting</v>
      </c>
      <c r="Z1749" s="5" t="str">
        <f ca="1">IFERROR(__xludf.DUMMYFUNCTION("""COMPUTED_VALUE"""),"No")</f>
        <v>No</v>
      </c>
      <c r="AA1749" s="5"/>
      <c r="AB1749" s="5" t="str">
        <f ca="1">IFERROR(__xludf.DUMMYFUNCTION("""COMPUTED_VALUE"""),"No")</f>
        <v>No</v>
      </c>
      <c r="AC1749" s="5" t="str">
        <f ca="1">IFERROR(__xludf.DUMMYFUNCTION("""COMPUTED_VALUE"""),"No")</f>
        <v>No</v>
      </c>
      <c r="AD1749" s="5" t="str">
        <f ca="1">IFERROR(__xludf.DUMMYFUNCTION("""COMPUTED_VALUE"""),"No")</f>
        <v>No</v>
      </c>
      <c r="AE1749" s="5" t="str">
        <f ca="1">IFERROR(__xludf.DUMMYFUNCTION("""COMPUTED_VALUE"""),"No")</f>
        <v>No</v>
      </c>
      <c r="AF1749" s="5" t="str">
        <f ca="1">IFERROR(__xludf.DUMMYFUNCTION("""COMPUTED_VALUE"""),"No")</f>
        <v>No</v>
      </c>
      <c r="AG1749" s="5" t="str">
        <f ca="1">IFERROR(__xludf.DUMMYFUNCTION("""COMPUTED_VALUE"""),"No")</f>
        <v>No</v>
      </c>
      <c r="AH1749" s="5" t="str">
        <f ca="1">IFERROR(__xludf.DUMMYFUNCTION("""COMPUTED_VALUE"""),"Yes")</f>
        <v>Yes</v>
      </c>
    </row>
    <row r="1750" spans="1:34" ht="12.75">
      <c r="A1750" s="5" t="str">
        <f ca="1">IFERROR(__xludf.DUMMYFUNCTION("""COMPUTED_VALUE"""),"19880903TXLID")</f>
        <v>19880903TXLID</v>
      </c>
      <c r="B1750" s="8">
        <f ca="1">IFERROR(__xludf.DUMMYFUNCTION("""COMPUTED_VALUE"""),32389)</f>
        <v>32389</v>
      </c>
      <c r="C1750" s="5" t="str">
        <f ca="1">IFERROR(__xludf.DUMMYFUNCTION("""COMPUTED_VALUE"""),"Lincoln High School")</f>
        <v>Lincoln High School</v>
      </c>
      <c r="D1750" s="5">
        <f ca="1">IFERROR(__xludf.DUMMYFUNCTION("""COMPUTED_VALUE"""),0)</f>
        <v>0</v>
      </c>
      <c r="E1750" s="5">
        <f ca="1">IFERROR(__xludf.DUMMYFUNCTION("""COMPUTED_VALUE"""),2)</f>
        <v>2</v>
      </c>
      <c r="F1750" s="5">
        <f ca="1">IFERROR(__xludf.DUMMYFUNCTION("""COMPUTED_VALUE"""),2)</f>
        <v>2</v>
      </c>
      <c r="G1750" s="5">
        <f ca="1">IFERROR(__xludf.DUMMYFUNCTION("""COMPUTED_VALUE"""),0)</f>
        <v>0</v>
      </c>
      <c r="H1750" s="9" t="str">
        <f ca="1">IFERROR(__xludf.DUMMYFUNCTION("""COMPUTED_VALUE"""),"https://www.newspapers.com/image/299882814/?terms=Lincoln%2BHigh%2BSchool%2Bdallas%2Bpep%2Brally")</f>
        <v>https://www.newspapers.com/image/299882814/?terms=Lincoln%2BHigh%2BSchool%2Bdallas%2Bpep%2Brally</v>
      </c>
      <c r="I1750" s="5"/>
      <c r="J1750" s="5"/>
      <c r="K1750" s="5">
        <f ca="1">IFERROR(__xludf.DUMMYFUNCTION("""COMPUTED_VALUE"""),2)</f>
        <v>2</v>
      </c>
      <c r="L1750" s="5" t="str">
        <f ca="1">IFERROR(__xludf.DUMMYFUNCTION("""COMPUTED_VALUE"""),"Fall")</f>
        <v>Fall</v>
      </c>
      <c r="M1750" s="5" t="str">
        <f ca="1">IFERROR(__xludf.DUMMYFUNCTION("""COMPUTED_VALUE"""),"Dallas")</f>
        <v>Dallas</v>
      </c>
      <c r="N1750" s="5" t="str">
        <f ca="1">IFERROR(__xludf.DUMMYFUNCTION("""COMPUTED_VALUE"""),"TX")</f>
        <v>TX</v>
      </c>
      <c r="O1750" s="5" t="str">
        <f ca="1">IFERROR(__xludf.DUMMYFUNCTION("""COMPUTED_VALUE"""),"High")</f>
        <v>High</v>
      </c>
      <c r="P1750" s="5" t="str">
        <f ca="1">IFERROR(__xludf.DUMMYFUNCTION("""COMPUTED_VALUE"""),"Parking Lot")</f>
        <v>Parking Lot</v>
      </c>
      <c r="Q1750" s="5" t="str">
        <f ca="1">IFERROR(__xludf.DUMMYFUNCTION("""COMPUTED_VALUE"""),"Outside on School Property")</f>
        <v>Outside on School Property</v>
      </c>
      <c r="R1750" s="5" t="str">
        <f ca="1">IFERROR(__xludf.DUMMYFUNCTION("""COMPUTED_VALUE"""),"No")</f>
        <v>No</v>
      </c>
      <c r="S1750" s="5" t="str">
        <f ca="1">IFERROR(__xludf.DUMMYFUNCTION("""COMPUTED_VALUE"""),"School Event")</f>
        <v>School Event</v>
      </c>
      <c r="T1750" s="5"/>
      <c r="U1750" s="5">
        <f ca="1">IFERROR(__xludf.DUMMYFUNCTION("""COMPUTED_VALUE"""),1)</f>
        <v>1</v>
      </c>
      <c r="V1750" s="5" t="str">
        <f ca="1">IFERROR(__xludf.DUMMYFUNCTION("""COMPUTED_VALUE"""),"Bystander students stuck during shooting at pep rally")</f>
        <v>Bystander students stuck during shooting at pep rally</v>
      </c>
      <c r="W1750"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X1750" s="5" t="str">
        <f ca="1">IFERROR(__xludf.DUMMYFUNCTION("""COMPUTED_VALUE"""),"Illegal Activity")</f>
        <v>Illegal Activity</v>
      </c>
      <c r="Y1750" s="5" t="str">
        <f ca="1">IFERROR(__xludf.DUMMYFUNCTION("""COMPUTED_VALUE"""),"Both")</f>
        <v>Both</v>
      </c>
      <c r="Z1750" s="5" t="str">
        <f ca="1">IFERROR(__xludf.DUMMYFUNCTION("""COMPUTED_VALUE"""),"Yes")</f>
        <v>Yes</v>
      </c>
      <c r="AA1750" s="5" t="str">
        <f ca="1">IFERROR(__xludf.DUMMYFUNCTION("""COMPUTED_VALUE"""),"4 armed youths fired pistols")</f>
        <v>4 armed youths fired pistols</v>
      </c>
      <c r="AB1750" s="5" t="str">
        <f ca="1">IFERROR(__xludf.DUMMYFUNCTION("""COMPUTED_VALUE"""),"No")</f>
        <v>No</v>
      </c>
      <c r="AC1750" s="5" t="str">
        <f ca="1">IFERROR(__xludf.DUMMYFUNCTION("""COMPUTED_VALUE"""),"No")</f>
        <v>No</v>
      </c>
      <c r="AD1750" s="5" t="str">
        <f ca="1">IFERROR(__xludf.DUMMYFUNCTION("""COMPUTED_VALUE"""),"No")</f>
        <v>No</v>
      </c>
      <c r="AE1750" s="5" t="str">
        <f ca="1">IFERROR(__xludf.DUMMYFUNCTION("""COMPUTED_VALUE"""),"No")</f>
        <v>No</v>
      </c>
      <c r="AF1750" s="5" t="str">
        <f ca="1">IFERROR(__xludf.DUMMYFUNCTION("""COMPUTED_VALUE"""),"No")</f>
        <v>No</v>
      </c>
      <c r="AG1750" s="5"/>
      <c r="AH1750" s="5"/>
    </row>
    <row r="1751" spans="1:34" ht="12.75">
      <c r="A1751" s="5" t="str">
        <f ca="1">IFERROR(__xludf.DUMMYFUNCTION("""COMPUTED_VALUE"""),"19880902NCGAC")</f>
        <v>19880902NCGAC</v>
      </c>
      <c r="B1751" s="8">
        <f ca="1">IFERROR(__xludf.DUMMYFUNCTION("""COMPUTED_VALUE"""),32388)</f>
        <v>32388</v>
      </c>
      <c r="C1751" s="5" t="str">
        <f ca="1">IFERROR(__xludf.DUMMYFUNCTION("""COMPUTED_VALUE"""),"Garinger High School")</f>
        <v>Garinger High School</v>
      </c>
      <c r="D1751" s="5">
        <f ca="1">IFERROR(__xludf.DUMMYFUNCTION("""COMPUTED_VALUE"""),0)</f>
        <v>0</v>
      </c>
      <c r="E1751" s="5">
        <f ca="1">IFERROR(__xludf.DUMMYFUNCTION("""COMPUTED_VALUE"""),4)</f>
        <v>4</v>
      </c>
      <c r="F1751" s="5">
        <f ca="1">IFERROR(__xludf.DUMMYFUNCTION("""COMPUTED_VALUE"""),4)</f>
        <v>4</v>
      </c>
      <c r="G1751" s="5">
        <f ca="1">IFERROR(__xludf.DUMMYFUNCTION("""COMPUTED_VALUE"""),0)</f>
        <v>0</v>
      </c>
      <c r="H1751"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I1751" s="5"/>
      <c r="J1751" s="5" t="str">
        <f ca="1">IFERROR(__xludf.DUMMYFUNCTION("""COMPUTED_VALUE"""),"National")</f>
        <v>National</v>
      </c>
      <c r="K1751" s="5">
        <f ca="1">IFERROR(__xludf.DUMMYFUNCTION("""COMPUTED_VALUE"""),3)</f>
        <v>3</v>
      </c>
      <c r="L1751" s="5" t="str">
        <f ca="1">IFERROR(__xludf.DUMMYFUNCTION("""COMPUTED_VALUE"""),"Fall")</f>
        <v>Fall</v>
      </c>
      <c r="M1751" s="5" t="str">
        <f ca="1">IFERROR(__xludf.DUMMYFUNCTION("""COMPUTED_VALUE"""),"Charlotte")</f>
        <v>Charlotte</v>
      </c>
      <c r="N1751" s="5" t="str">
        <f ca="1">IFERROR(__xludf.DUMMYFUNCTION("""COMPUTED_VALUE"""),"NC")</f>
        <v>NC</v>
      </c>
      <c r="O1751" s="5" t="str">
        <f ca="1">IFERROR(__xludf.DUMMYFUNCTION("""COMPUTED_VALUE"""),"High")</f>
        <v>High</v>
      </c>
      <c r="P1751" s="5" t="str">
        <f ca="1">IFERROR(__xludf.DUMMYFUNCTION("""COMPUTED_VALUE"""),"Football Field/Track")</f>
        <v>Football Field/Track</v>
      </c>
      <c r="Q1751" s="5" t="str">
        <f ca="1">IFERROR(__xludf.DUMMYFUNCTION("""COMPUTED_VALUE"""),"Outside on School Property")</f>
        <v>Outside on School Property</v>
      </c>
      <c r="R1751" s="5" t="str">
        <f ca="1">IFERROR(__xludf.DUMMYFUNCTION("""COMPUTED_VALUE"""),"No")</f>
        <v>No</v>
      </c>
      <c r="S1751" s="5" t="str">
        <f ca="1">IFERROR(__xludf.DUMMYFUNCTION("""COMPUTED_VALUE"""),"Sport Event")</f>
        <v>Sport Event</v>
      </c>
      <c r="T1751" s="10">
        <f ca="1">IFERROR(__xludf.DUMMYFUNCTION("""COMPUTED_VALUE"""),0.895833333333333)</f>
        <v>0.89583333333333304</v>
      </c>
      <c r="U1751" s="5">
        <f ca="1">IFERROR(__xludf.DUMMYFUNCTION("""COMPUTED_VALUE"""),1)</f>
        <v>1</v>
      </c>
      <c r="V1751" s="5" t="str">
        <f ca="1">IFERROR(__xludf.DUMMYFUNCTION("""COMPUTED_VALUE"""),"4 shot at football game, Ongoing dispute with targets")</f>
        <v>4 shot at football game, Ongoing dispute with targets</v>
      </c>
      <c r="W1751"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X1751" s="5" t="str">
        <f ca="1">IFERROR(__xludf.DUMMYFUNCTION("""COMPUTED_VALUE"""),"Escalation of Dispute")</f>
        <v>Escalation of Dispute</v>
      </c>
      <c r="Y1751" s="5" t="str">
        <f ca="1">IFERROR(__xludf.DUMMYFUNCTION("""COMPUTED_VALUE"""),"Both")</f>
        <v>Both</v>
      </c>
      <c r="Z1751" s="5" t="str">
        <f ca="1">IFERROR(__xludf.DUMMYFUNCTION("""COMPUTED_VALUE"""),"No")</f>
        <v>No</v>
      </c>
      <c r="AA1751" s="5"/>
      <c r="AB1751" s="5" t="str">
        <f ca="1">IFERROR(__xludf.DUMMYFUNCTION("""COMPUTED_VALUE"""),"No")</f>
        <v>No</v>
      </c>
      <c r="AC1751" s="5" t="str">
        <f ca="1">IFERROR(__xludf.DUMMYFUNCTION("""COMPUTED_VALUE"""),"No")</f>
        <v>No</v>
      </c>
      <c r="AD1751" s="5" t="str">
        <f ca="1">IFERROR(__xludf.DUMMYFUNCTION("""COMPUTED_VALUE"""),"No")</f>
        <v>No</v>
      </c>
      <c r="AE1751" s="5" t="str">
        <f ca="1">IFERROR(__xludf.DUMMYFUNCTION("""COMPUTED_VALUE"""),"No")</f>
        <v>No</v>
      </c>
      <c r="AF1751" s="5" t="str">
        <f ca="1">IFERROR(__xludf.DUMMYFUNCTION("""COMPUTED_VALUE"""),"No")</f>
        <v>No</v>
      </c>
      <c r="AG1751" s="5" t="str">
        <f ca="1">IFERROR(__xludf.DUMMYFUNCTION("""COMPUTED_VALUE"""),"No")</f>
        <v>No</v>
      </c>
      <c r="AH1751" s="5"/>
    </row>
    <row r="1752" spans="1:34" ht="12.75">
      <c r="A1752" s="5" t="str">
        <f ca="1">IFERROR(__xludf.DUMMYFUNCTION("""COMPUTED_VALUE"""),"19880902GAGLA")</f>
        <v>19880902GAGLA</v>
      </c>
      <c r="B1752" s="8">
        <f ca="1">IFERROR(__xludf.DUMMYFUNCTION("""COMPUTED_VALUE"""),32388)</f>
        <v>32388</v>
      </c>
      <c r="C1752" s="5" t="str">
        <f ca="1">IFERROR(__xludf.DUMMYFUNCTION("""COMPUTED_VALUE"""),"Glen Hills High School")</f>
        <v>Glen Hills High School</v>
      </c>
      <c r="D1752" s="5">
        <f ca="1">IFERROR(__xludf.DUMMYFUNCTION("""COMPUTED_VALUE"""),0)</f>
        <v>0</v>
      </c>
      <c r="E1752" s="5">
        <f ca="1">IFERROR(__xludf.DUMMYFUNCTION("""COMPUTED_VALUE"""),2)</f>
        <v>2</v>
      </c>
      <c r="F1752" s="5">
        <f ca="1">IFERROR(__xludf.DUMMYFUNCTION("""COMPUTED_VALUE"""),2)</f>
        <v>2</v>
      </c>
      <c r="G1752" s="5">
        <f ca="1">IFERROR(__xludf.DUMMYFUNCTION("""COMPUTED_VALUE"""),0)</f>
        <v>0</v>
      </c>
      <c r="H1752"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I1752" s="5"/>
      <c r="J1752" s="5" t="str">
        <f ca="1">IFERROR(__xludf.DUMMYFUNCTION("""COMPUTED_VALUE"""),"National")</f>
        <v>National</v>
      </c>
      <c r="K1752" s="5">
        <f ca="1">IFERROR(__xludf.DUMMYFUNCTION("""COMPUTED_VALUE"""),3)</f>
        <v>3</v>
      </c>
      <c r="L1752" s="5" t="str">
        <f ca="1">IFERROR(__xludf.DUMMYFUNCTION("""COMPUTED_VALUE"""),"Fall")</f>
        <v>Fall</v>
      </c>
      <c r="M1752" s="5" t="str">
        <f ca="1">IFERROR(__xludf.DUMMYFUNCTION("""COMPUTED_VALUE"""),"Augusta")</f>
        <v>Augusta</v>
      </c>
      <c r="N1752" s="5" t="str">
        <f ca="1">IFERROR(__xludf.DUMMYFUNCTION("""COMPUTED_VALUE"""),"GA")</f>
        <v>GA</v>
      </c>
      <c r="O1752" s="5" t="str">
        <f ca="1">IFERROR(__xludf.DUMMYFUNCTION("""COMPUTED_VALUE"""),"High")</f>
        <v>High</v>
      </c>
      <c r="P1752" s="5" t="str">
        <f ca="1">IFERROR(__xludf.DUMMYFUNCTION("""COMPUTED_VALUE"""),"Football Field/Track")</f>
        <v>Football Field/Track</v>
      </c>
      <c r="Q1752" s="5" t="str">
        <f ca="1">IFERROR(__xludf.DUMMYFUNCTION("""COMPUTED_VALUE"""),"Outside on School Property")</f>
        <v>Outside on School Property</v>
      </c>
      <c r="R1752" s="5" t="str">
        <f ca="1">IFERROR(__xludf.DUMMYFUNCTION("""COMPUTED_VALUE"""),"No")</f>
        <v>No</v>
      </c>
      <c r="S1752" s="5" t="str">
        <f ca="1">IFERROR(__xludf.DUMMYFUNCTION("""COMPUTED_VALUE"""),"Sport Event")</f>
        <v>Sport Event</v>
      </c>
      <c r="T1752" s="10">
        <f ca="1">IFERROR(__xludf.DUMMYFUNCTION("""COMPUTED_VALUE"""),0.954861111111111)</f>
        <v>0.95486111111111105</v>
      </c>
      <c r="U1752" s="5">
        <f ca="1">IFERROR(__xludf.DUMMYFUNCTION("""COMPUTED_VALUE"""),1)</f>
        <v>1</v>
      </c>
      <c r="V1752" s="5" t="str">
        <f ca="1">IFERROR(__xludf.DUMMYFUNCTION("""COMPUTED_VALUE"""),"Shot fired into air during fight, 2 football coaches struck in press box")</f>
        <v>Shot fired into air during fight, 2 football coaches struck in press box</v>
      </c>
      <c r="W1752"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X1752" s="5" t="str">
        <f ca="1">IFERROR(__xludf.DUMMYFUNCTION("""COMPUTED_VALUE"""),"Escalation of Dispute")</f>
        <v>Escalation of Dispute</v>
      </c>
      <c r="Y1752" s="5" t="str">
        <f ca="1">IFERROR(__xludf.DUMMYFUNCTION("""COMPUTED_VALUE"""),"Both")</f>
        <v>Both</v>
      </c>
      <c r="Z1752" s="5" t="str">
        <f ca="1">IFERROR(__xludf.DUMMYFUNCTION("""COMPUTED_VALUE"""),"No")</f>
        <v>No</v>
      </c>
      <c r="AA1752" s="5"/>
      <c r="AB1752" s="5" t="str">
        <f ca="1">IFERROR(__xludf.DUMMYFUNCTION("""COMPUTED_VALUE"""),"No")</f>
        <v>No</v>
      </c>
      <c r="AC1752" s="5" t="str">
        <f ca="1">IFERROR(__xludf.DUMMYFUNCTION("""COMPUTED_VALUE"""),"No")</f>
        <v>No</v>
      </c>
      <c r="AD1752" s="5" t="str">
        <f ca="1">IFERROR(__xludf.DUMMYFUNCTION("""COMPUTED_VALUE"""),"No")</f>
        <v>No</v>
      </c>
      <c r="AE1752" s="5" t="str">
        <f ca="1">IFERROR(__xludf.DUMMYFUNCTION("""COMPUTED_VALUE"""),"No")</f>
        <v>No</v>
      </c>
      <c r="AF1752" s="5" t="str">
        <f ca="1">IFERROR(__xludf.DUMMYFUNCTION("""COMPUTED_VALUE"""),"No")</f>
        <v>No</v>
      </c>
      <c r="AG1752" s="5" t="str">
        <f ca="1">IFERROR(__xludf.DUMMYFUNCTION("""COMPUTED_VALUE"""),"No")</f>
        <v>No</v>
      </c>
      <c r="AH1752" s="5"/>
    </row>
    <row r="1753" spans="1:34" ht="12.75">
      <c r="A1753" s="5" t="str">
        <f ca="1">IFERROR(__xludf.DUMMYFUNCTION("""COMPUTED_VALUE"""),"19880831SCWEA")</f>
        <v>19880831SCWEA</v>
      </c>
      <c r="B1753" s="8">
        <f ca="1">IFERROR(__xludf.DUMMYFUNCTION("""COMPUTED_VALUE"""),32386)</f>
        <v>32386</v>
      </c>
      <c r="C1753" s="5" t="str">
        <f ca="1">IFERROR(__xludf.DUMMYFUNCTION("""COMPUTED_VALUE"""),"West Franklin Elementary School")</f>
        <v>West Franklin Elementary School</v>
      </c>
      <c r="D1753" s="5">
        <f ca="1">IFERROR(__xludf.DUMMYFUNCTION("""COMPUTED_VALUE"""),1)</f>
        <v>1</v>
      </c>
      <c r="E1753" s="5">
        <f ca="1">IFERROR(__xludf.DUMMYFUNCTION("""COMPUTED_VALUE"""),0)</f>
        <v>0</v>
      </c>
      <c r="F1753" s="5">
        <f ca="1">IFERROR(__xludf.DUMMYFUNCTION("""COMPUTED_VALUE"""),1)</f>
        <v>1</v>
      </c>
      <c r="G1753" s="5">
        <f ca="1">IFERROR(__xludf.DUMMYFUNCTION("""COMPUTED_VALUE"""),0)</f>
        <v>0</v>
      </c>
      <c r="H1753" s="9" t="str">
        <f ca="1">IFERROR(__xludf.DUMMYFUNCTION("""COMPUTED_VALUE"""),"https://www.newspapers.com/image/69768900/?terms=Dennis%2BRay%2BHepler")</f>
        <v>https://www.newspapers.com/image/69768900/?terms=Dennis%2BRay%2BHepler</v>
      </c>
      <c r="I1753" s="5"/>
      <c r="J1753" s="5"/>
      <c r="K1753" s="5">
        <f ca="1">IFERROR(__xludf.DUMMYFUNCTION("""COMPUTED_VALUE"""),2)</f>
        <v>2</v>
      </c>
      <c r="L1753" s="5" t="str">
        <f ca="1">IFERROR(__xludf.DUMMYFUNCTION("""COMPUTED_VALUE"""),"Summer")</f>
        <v>Summer</v>
      </c>
      <c r="M1753" s="5" t="str">
        <f ca="1">IFERROR(__xludf.DUMMYFUNCTION("""COMPUTED_VALUE"""),"Anderson")</f>
        <v>Anderson</v>
      </c>
      <c r="N1753" s="5" t="str">
        <f ca="1">IFERROR(__xludf.DUMMYFUNCTION("""COMPUTED_VALUE"""),"SC")</f>
        <v>SC</v>
      </c>
      <c r="O1753" s="5" t="str">
        <f ca="1">IFERROR(__xludf.DUMMYFUNCTION("""COMPUTED_VALUE"""),"Elementary")</f>
        <v>Elementary</v>
      </c>
      <c r="P1753" s="5" t="str">
        <f ca="1">IFERROR(__xludf.DUMMYFUNCTION("""COMPUTED_VALUE"""),"Beside Building")</f>
        <v>Beside Building</v>
      </c>
      <c r="Q1753" s="5" t="str">
        <f ca="1">IFERROR(__xludf.DUMMYFUNCTION("""COMPUTED_VALUE"""),"Outside on School Property")</f>
        <v>Outside on School Property</v>
      </c>
      <c r="R1753" s="5" t="str">
        <f ca="1">IFERROR(__xludf.DUMMYFUNCTION("""COMPUTED_VALUE"""),"Yes")</f>
        <v>Yes</v>
      </c>
      <c r="S1753" s="5" t="str">
        <f ca="1">IFERROR(__xludf.DUMMYFUNCTION("""COMPUTED_VALUE"""),"Night")</f>
        <v>Night</v>
      </c>
      <c r="T1753" s="10">
        <f ca="1">IFERROR(__xludf.DUMMYFUNCTION("""COMPUTED_VALUE"""),0.916666666666666)</f>
        <v>0.91666666666666596</v>
      </c>
      <c r="U1753" s="5">
        <f ca="1">IFERROR(__xludf.DUMMYFUNCTION("""COMPUTED_VALUE"""),1)</f>
        <v>1</v>
      </c>
      <c r="V1753" s="5" t="str">
        <f ca="1">IFERROR(__xludf.DUMMYFUNCTION("""COMPUTED_VALUE"""),"Principal shot during robbery outside of school")</f>
        <v>Principal shot during robbery outside of school</v>
      </c>
      <c r="W1753"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X1753" s="5" t="str">
        <f ca="1">IFERROR(__xludf.DUMMYFUNCTION("""COMPUTED_VALUE"""),"Illegal Activity")</f>
        <v>Illegal Activity</v>
      </c>
      <c r="Y1753" s="5" t="str">
        <f ca="1">IFERROR(__xludf.DUMMYFUNCTION("""COMPUTED_VALUE"""),"Victims Targeted")</f>
        <v>Victims Targeted</v>
      </c>
      <c r="Z1753" s="5" t="str">
        <f ca="1">IFERROR(__xludf.DUMMYFUNCTION("""COMPUTED_VALUE"""),"Yes")</f>
        <v>Yes</v>
      </c>
      <c r="AA1753" s="5" t="str">
        <f ca="1">IFERROR(__xludf.DUMMYFUNCTION("""COMPUTED_VALUE"""),"Group of 3 men robbed principal at gunpoint")</f>
        <v>Group of 3 men robbed principal at gunpoint</v>
      </c>
      <c r="AB1753" s="5" t="str">
        <f ca="1">IFERROR(__xludf.DUMMYFUNCTION("""COMPUTED_VALUE"""),"No")</f>
        <v>No</v>
      </c>
      <c r="AC1753" s="5" t="str">
        <f ca="1">IFERROR(__xludf.DUMMYFUNCTION("""COMPUTED_VALUE"""),"No")</f>
        <v>No</v>
      </c>
      <c r="AD1753" s="5" t="str">
        <f ca="1">IFERROR(__xludf.DUMMYFUNCTION("""COMPUTED_VALUE"""),"No")</f>
        <v>No</v>
      </c>
      <c r="AE1753" s="5" t="str">
        <f ca="1">IFERROR(__xludf.DUMMYFUNCTION("""COMPUTED_VALUE"""),"No")</f>
        <v>No</v>
      </c>
      <c r="AF1753" s="5" t="str">
        <f ca="1">IFERROR(__xludf.DUMMYFUNCTION("""COMPUTED_VALUE"""),"No")</f>
        <v>No</v>
      </c>
      <c r="AG1753" s="5" t="str">
        <f ca="1">IFERROR(__xludf.DUMMYFUNCTION("""COMPUTED_VALUE"""),"No")</f>
        <v>No</v>
      </c>
      <c r="AH1753" s="5"/>
    </row>
    <row r="1754" spans="1:34" ht="12.75">
      <c r="A1754" s="5" t="str">
        <f ca="1">IFERROR(__xludf.DUMMYFUNCTION("""COMPUTED_VALUE"""),"19880831MICED")</f>
        <v>19880831MICED</v>
      </c>
      <c r="B1754" s="8">
        <f ca="1">IFERROR(__xludf.DUMMYFUNCTION("""COMPUTED_VALUE"""),32386)</f>
        <v>32386</v>
      </c>
      <c r="C1754" s="5" t="str">
        <f ca="1">IFERROR(__xludf.DUMMYFUNCTION("""COMPUTED_VALUE"""),"Central High School")</f>
        <v>Central High School</v>
      </c>
      <c r="D1754" s="5">
        <f ca="1">IFERROR(__xludf.DUMMYFUNCTION("""COMPUTED_VALUE"""),0)</f>
        <v>0</v>
      </c>
      <c r="E1754" s="5">
        <f ca="1">IFERROR(__xludf.DUMMYFUNCTION("""COMPUTED_VALUE"""),1)</f>
        <v>1</v>
      </c>
      <c r="F1754" s="5">
        <f ca="1">IFERROR(__xludf.DUMMYFUNCTION("""COMPUTED_VALUE"""),1)</f>
        <v>1</v>
      </c>
      <c r="G1754" s="5">
        <f ca="1">IFERROR(__xludf.DUMMYFUNCTION("""COMPUTED_VALUE"""),0)</f>
        <v>0</v>
      </c>
      <c r="H1754" s="9" t="str">
        <f ca="1">IFERROR(__xludf.DUMMYFUNCTION("""COMPUTED_VALUE"""),"https://www.newspapers.com/image/99828797/?terms=student%2Bshot")</f>
        <v>https://www.newspapers.com/image/99828797/?terms=student%2Bshot</v>
      </c>
      <c r="I1754" s="5"/>
      <c r="J1754" s="5"/>
      <c r="K1754" s="5">
        <f ca="1">IFERROR(__xludf.DUMMYFUNCTION("""COMPUTED_VALUE"""),2)</f>
        <v>2</v>
      </c>
      <c r="L1754" s="5" t="str">
        <f ca="1">IFERROR(__xludf.DUMMYFUNCTION("""COMPUTED_VALUE"""),"Summer")</f>
        <v>Summer</v>
      </c>
      <c r="M1754" s="5" t="str">
        <f ca="1">IFERROR(__xludf.DUMMYFUNCTION("""COMPUTED_VALUE"""),"Detroit")</f>
        <v>Detroit</v>
      </c>
      <c r="N1754" s="5" t="str">
        <f ca="1">IFERROR(__xludf.DUMMYFUNCTION("""COMPUTED_VALUE"""),"MI")</f>
        <v>MI</v>
      </c>
      <c r="O1754" s="5" t="str">
        <f ca="1">IFERROR(__xludf.DUMMYFUNCTION("""COMPUTED_VALUE"""),"High")</f>
        <v>High</v>
      </c>
      <c r="P1754" s="5" t="str">
        <f ca="1">IFERROR(__xludf.DUMMYFUNCTION("""COMPUTED_VALUE"""),"Hallway")</f>
        <v>Hallway</v>
      </c>
      <c r="Q1754" s="5" t="str">
        <f ca="1">IFERROR(__xludf.DUMMYFUNCTION("""COMPUTED_VALUE"""),"Inside School Building")</f>
        <v>Inside School Building</v>
      </c>
      <c r="R1754" s="5" t="str">
        <f ca="1">IFERROR(__xludf.DUMMYFUNCTION("""COMPUTED_VALUE"""),"Yes")</f>
        <v>Yes</v>
      </c>
      <c r="S1754" s="5" t="str">
        <f ca="1">IFERROR(__xludf.DUMMYFUNCTION("""COMPUTED_VALUE"""),"Morning Classes")</f>
        <v>Morning Classes</v>
      </c>
      <c r="T1754" s="10">
        <f ca="1">IFERROR(__xludf.DUMMYFUNCTION("""COMPUTED_VALUE"""),0.451388888888888)</f>
        <v>0.45138888888888801</v>
      </c>
      <c r="U1754" s="5">
        <f ca="1">IFERROR(__xludf.DUMMYFUNCTION("""COMPUTED_VALUE"""),1)</f>
        <v>1</v>
      </c>
      <c r="V1754" s="5" t="str">
        <f ca="1">IFERROR(__xludf.DUMMYFUNCTION("""COMPUTED_VALUE"""),"Gang-related shooting in school hallway")</f>
        <v>Gang-related shooting in school hallway</v>
      </c>
      <c r="W1754"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X1754" s="5" t="str">
        <f ca="1">IFERROR(__xludf.DUMMYFUNCTION("""COMPUTED_VALUE"""),"Escalation of Dispute")</f>
        <v>Escalation of Dispute</v>
      </c>
      <c r="Y1754" s="5" t="str">
        <f ca="1">IFERROR(__xludf.DUMMYFUNCTION("""COMPUTED_VALUE"""),"Victims Targeted")</f>
        <v>Victims Targeted</v>
      </c>
      <c r="Z1754" s="5" t="str">
        <f ca="1">IFERROR(__xludf.DUMMYFUNCTION("""COMPUTED_VALUE"""),"No")</f>
        <v>No</v>
      </c>
      <c r="AA1754" s="5"/>
      <c r="AB1754" s="5" t="str">
        <f ca="1">IFERROR(__xludf.DUMMYFUNCTION("""COMPUTED_VALUE"""),"No")</f>
        <v>No</v>
      </c>
      <c r="AC1754" s="5" t="str">
        <f ca="1">IFERROR(__xludf.DUMMYFUNCTION("""COMPUTED_VALUE"""),"No")</f>
        <v>No</v>
      </c>
      <c r="AD1754" s="5" t="str">
        <f ca="1">IFERROR(__xludf.DUMMYFUNCTION("""COMPUTED_VALUE"""),"No")</f>
        <v>No</v>
      </c>
      <c r="AE1754" s="5" t="str">
        <f ca="1">IFERROR(__xludf.DUMMYFUNCTION("""COMPUTED_VALUE"""),"No")</f>
        <v>No</v>
      </c>
      <c r="AF1754" s="5" t="str">
        <f ca="1">IFERROR(__xludf.DUMMYFUNCTION("""COMPUTED_VALUE"""),"No")</f>
        <v>No</v>
      </c>
      <c r="AG1754" s="5" t="str">
        <f ca="1">IFERROR(__xludf.DUMMYFUNCTION("""COMPUTED_VALUE"""),"Yes")</f>
        <v>Yes</v>
      </c>
      <c r="AH1754" s="5"/>
    </row>
    <row r="1755" spans="1:34" ht="12.75">
      <c r="A1755" s="5" t="str">
        <f ca="1">IFERROR(__xludf.DUMMYFUNCTION("""COMPUTED_VALUE"""),"19880711MSLAJ")</f>
        <v>19880711MSLAJ</v>
      </c>
      <c r="B1755" s="8">
        <f ca="1">IFERROR(__xludf.DUMMYFUNCTION("""COMPUTED_VALUE"""),32335)</f>
        <v>32335</v>
      </c>
      <c r="C1755" s="5" t="str">
        <f ca="1">IFERROR(__xludf.DUMMYFUNCTION("""COMPUTED_VALUE"""),"Lanier High School")</f>
        <v>Lanier High School</v>
      </c>
      <c r="D1755" s="5">
        <f ca="1">IFERROR(__xludf.DUMMYFUNCTION("""COMPUTED_VALUE"""),0)</f>
        <v>0</v>
      </c>
      <c r="E1755" s="5">
        <f ca="1">IFERROR(__xludf.DUMMYFUNCTION("""COMPUTED_VALUE"""),1)</f>
        <v>1</v>
      </c>
      <c r="F1755" s="5">
        <f ca="1">IFERROR(__xludf.DUMMYFUNCTION("""COMPUTED_VALUE"""),1)</f>
        <v>1</v>
      </c>
      <c r="G1755" s="5">
        <f ca="1">IFERROR(__xludf.DUMMYFUNCTION("""COMPUTED_VALUE"""),0)</f>
        <v>0</v>
      </c>
      <c r="H1755"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I1755" s="5"/>
      <c r="J1755" s="5"/>
      <c r="K1755" s="5">
        <f ca="1">IFERROR(__xludf.DUMMYFUNCTION("""COMPUTED_VALUE"""),3)</f>
        <v>3</v>
      </c>
      <c r="L1755" s="5" t="str">
        <f ca="1">IFERROR(__xludf.DUMMYFUNCTION("""COMPUTED_VALUE"""),"Summer")</f>
        <v>Summer</v>
      </c>
      <c r="M1755" s="5" t="str">
        <f ca="1">IFERROR(__xludf.DUMMYFUNCTION("""COMPUTED_VALUE"""),"Jackson")</f>
        <v>Jackson</v>
      </c>
      <c r="N1755" s="5" t="str">
        <f ca="1">IFERROR(__xludf.DUMMYFUNCTION("""COMPUTED_VALUE"""),"MS")</f>
        <v>MS</v>
      </c>
      <c r="O1755" s="5" t="str">
        <f ca="1">IFERROR(__xludf.DUMMYFUNCTION("""COMPUTED_VALUE"""),"High")</f>
        <v>High</v>
      </c>
      <c r="P1755" s="5" t="str">
        <f ca="1">IFERROR(__xludf.DUMMYFUNCTION("""COMPUTED_VALUE"""),"Hallway")</f>
        <v>Hallway</v>
      </c>
      <c r="Q1755" s="5" t="str">
        <f ca="1">IFERROR(__xludf.DUMMYFUNCTION("""COMPUTED_VALUE"""),"Inside School Building")</f>
        <v>Inside School Building</v>
      </c>
      <c r="R1755" s="5" t="str">
        <f ca="1">IFERROR(__xludf.DUMMYFUNCTION("""COMPUTED_VALUE"""),"Yes")</f>
        <v>Yes</v>
      </c>
      <c r="S1755" s="5" t="str">
        <f ca="1">IFERROR(__xludf.DUMMYFUNCTION("""COMPUTED_VALUE"""),"Morning Classes")</f>
        <v>Morning Classes</v>
      </c>
      <c r="T1755" s="10">
        <f ca="1">IFERROR(__xludf.DUMMYFUNCTION("""COMPUTED_VALUE"""),0.446527777777777)</f>
        <v>0.44652777777777702</v>
      </c>
      <c r="U1755" s="5">
        <f ca="1">IFERROR(__xludf.DUMMYFUNCTION("""COMPUTED_VALUE"""),2)</f>
        <v>2</v>
      </c>
      <c r="V1755" s="5" t="str">
        <f ca="1">IFERROR(__xludf.DUMMYFUNCTION("""COMPUTED_VALUE"""),"Gang-related targeted shooting at school")</f>
        <v>Gang-related targeted shooting at school</v>
      </c>
      <c r="W1755"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X1755" s="5" t="str">
        <f ca="1">IFERROR(__xludf.DUMMYFUNCTION("""COMPUTED_VALUE"""),"Escalation of Dispute")</f>
        <v>Escalation of Dispute</v>
      </c>
      <c r="Y1755" s="5" t="str">
        <f ca="1">IFERROR(__xludf.DUMMYFUNCTION("""COMPUTED_VALUE"""),"Victims Targeted")</f>
        <v>Victims Targeted</v>
      </c>
      <c r="Z1755" s="5" t="str">
        <f ca="1">IFERROR(__xludf.DUMMYFUNCTION("""COMPUTED_VALUE"""),"No")</f>
        <v>No</v>
      </c>
      <c r="AA1755" s="5"/>
      <c r="AB1755" s="5" t="str">
        <f ca="1">IFERROR(__xludf.DUMMYFUNCTION("""COMPUTED_VALUE"""),"No")</f>
        <v>No</v>
      </c>
      <c r="AC1755" s="5" t="str">
        <f ca="1">IFERROR(__xludf.DUMMYFUNCTION("""COMPUTED_VALUE"""),"No")</f>
        <v>No</v>
      </c>
      <c r="AD1755" s="5" t="str">
        <f ca="1">IFERROR(__xludf.DUMMYFUNCTION("""COMPUTED_VALUE"""),"No")</f>
        <v>No</v>
      </c>
      <c r="AE1755" s="5"/>
      <c r="AF1755" s="5" t="str">
        <f ca="1">IFERROR(__xludf.DUMMYFUNCTION("""COMPUTED_VALUE"""),"No")</f>
        <v>No</v>
      </c>
      <c r="AG1755" s="5" t="str">
        <f ca="1">IFERROR(__xludf.DUMMYFUNCTION("""COMPUTED_VALUE"""),"Yes")</f>
        <v>Yes</v>
      </c>
      <c r="AH1755" s="5"/>
    </row>
    <row r="1756" spans="1:34" ht="12.75">
      <c r="A1756" s="5" t="str">
        <f ca="1">IFERROR(__xludf.DUMMYFUNCTION("""COMPUTED_VALUE"""),"19880710WISIM")</f>
        <v>19880710WISIM</v>
      </c>
      <c r="B1756" s="8">
        <f ca="1">IFERROR(__xludf.DUMMYFUNCTION("""COMPUTED_VALUE"""),32334)</f>
        <v>32334</v>
      </c>
      <c r="C1756" s="5" t="str">
        <f ca="1">IFERROR(__xludf.DUMMYFUNCTION("""COMPUTED_VALUE"""),"Siefert Elementary School")</f>
        <v>Siefert Elementary School</v>
      </c>
      <c r="D1756" s="5">
        <f ca="1">IFERROR(__xludf.DUMMYFUNCTION("""COMPUTED_VALUE"""),0)</f>
        <v>0</v>
      </c>
      <c r="E1756" s="5">
        <f ca="1">IFERROR(__xludf.DUMMYFUNCTION("""COMPUTED_VALUE"""),1)</f>
        <v>1</v>
      </c>
      <c r="F1756" s="5">
        <f ca="1">IFERROR(__xludf.DUMMYFUNCTION("""COMPUTED_VALUE"""),1)</f>
        <v>1</v>
      </c>
      <c r="G1756" s="5">
        <f ca="1">IFERROR(__xludf.DUMMYFUNCTION("""COMPUTED_VALUE"""),0)</f>
        <v>0</v>
      </c>
      <c r="H1756" s="9" t="str">
        <f ca="1">IFERROR(__xludf.DUMMYFUNCTION("""COMPUTED_VALUE"""),"https://news.google.com/newspapers?id=zWcaAAAAIBAJ&amp;pg=4608,2375219")</f>
        <v>https://news.google.com/newspapers?id=zWcaAAAAIBAJ&amp;pg=4608,2375219</v>
      </c>
      <c r="I1756" s="5">
        <f ca="1">IFERROR(__xludf.DUMMYFUNCTION("""COMPUTED_VALUE"""),1)</f>
        <v>1</v>
      </c>
      <c r="J1756" s="5" t="str">
        <f ca="1">IFERROR(__xludf.DUMMYFUNCTION("""COMPUTED_VALUE"""),"Local")</f>
        <v>Local</v>
      </c>
      <c r="K1756" s="5">
        <f ca="1">IFERROR(__xludf.DUMMYFUNCTION("""COMPUTED_VALUE"""),2)</f>
        <v>2</v>
      </c>
      <c r="L1756" s="5" t="str">
        <f ca="1">IFERROR(__xludf.DUMMYFUNCTION("""COMPUTED_VALUE"""),"Summer")</f>
        <v>Summer</v>
      </c>
      <c r="M1756" s="5" t="str">
        <f ca="1">IFERROR(__xludf.DUMMYFUNCTION("""COMPUTED_VALUE"""),"Milwaukee")</f>
        <v>Milwaukee</v>
      </c>
      <c r="N1756" s="5" t="str">
        <f ca="1">IFERROR(__xludf.DUMMYFUNCTION("""COMPUTED_VALUE"""),"WI")</f>
        <v>WI</v>
      </c>
      <c r="O1756" s="5" t="str">
        <f ca="1">IFERROR(__xludf.DUMMYFUNCTION("""COMPUTED_VALUE"""),"Elementary")</f>
        <v>Elementary</v>
      </c>
      <c r="P1756" s="5" t="str">
        <f ca="1">IFERROR(__xludf.DUMMYFUNCTION("""COMPUTED_VALUE"""),"Basketball Court")</f>
        <v>Basketball Court</v>
      </c>
      <c r="Q1756" s="5" t="str">
        <f ca="1">IFERROR(__xludf.DUMMYFUNCTION("""COMPUTED_VALUE"""),"Inside School Building")</f>
        <v>Inside School Building</v>
      </c>
      <c r="R1756" s="5" t="str">
        <f ca="1">IFERROR(__xludf.DUMMYFUNCTION("""COMPUTED_VALUE"""),"No")</f>
        <v>No</v>
      </c>
      <c r="S1756" s="5" t="str">
        <f ca="1">IFERROR(__xludf.DUMMYFUNCTION("""COMPUTED_VALUE"""),"Evening")</f>
        <v>Evening</v>
      </c>
      <c r="T1756" s="10">
        <f ca="1">IFERROR(__xludf.DUMMYFUNCTION("""COMPUTED_VALUE"""),0.822916666666666)</f>
        <v>0.82291666666666596</v>
      </c>
      <c r="U1756" s="5">
        <f ca="1">IFERROR(__xludf.DUMMYFUNCTION("""COMPUTED_VALUE"""),1)</f>
        <v>1</v>
      </c>
      <c r="V1756" s="5" t="str">
        <f ca="1">IFERROR(__xludf.DUMMYFUNCTION("""COMPUTED_VALUE"""),"Adult basketball game at Elementary school turned violent")</f>
        <v>Adult basketball game at Elementary school turned violent</v>
      </c>
      <c r="W1756"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X1756" s="5" t="str">
        <f ca="1">IFERROR(__xludf.DUMMYFUNCTION("""COMPUTED_VALUE"""),"Escalation of Dispute")</f>
        <v>Escalation of Dispute</v>
      </c>
      <c r="Y1756" s="5" t="str">
        <f ca="1">IFERROR(__xludf.DUMMYFUNCTION("""COMPUTED_VALUE"""),"Victims Targeted")</f>
        <v>Victims Targeted</v>
      </c>
      <c r="Z1756" s="5" t="str">
        <f ca="1">IFERROR(__xludf.DUMMYFUNCTION("""COMPUTED_VALUE"""),"No")</f>
        <v>No</v>
      </c>
      <c r="AA1756" s="5"/>
      <c r="AB1756" s="5" t="str">
        <f ca="1">IFERROR(__xludf.DUMMYFUNCTION("""COMPUTED_VALUE"""),"No")</f>
        <v>No</v>
      </c>
      <c r="AC1756" s="5" t="str">
        <f ca="1">IFERROR(__xludf.DUMMYFUNCTION("""COMPUTED_VALUE"""),"No")</f>
        <v>No</v>
      </c>
      <c r="AD1756" s="5" t="str">
        <f ca="1">IFERROR(__xludf.DUMMYFUNCTION("""COMPUTED_VALUE"""),"No")</f>
        <v>No</v>
      </c>
      <c r="AE1756" s="5"/>
      <c r="AF1756" s="5" t="str">
        <f ca="1">IFERROR(__xludf.DUMMYFUNCTION("""COMPUTED_VALUE"""),"No")</f>
        <v>No</v>
      </c>
      <c r="AG1756" s="5" t="str">
        <f ca="1">IFERROR(__xludf.DUMMYFUNCTION("""COMPUTED_VALUE"""),"Yes")</f>
        <v>Yes</v>
      </c>
      <c r="AH1756" s="5"/>
    </row>
    <row r="1757" spans="1:34" ht="12.75">
      <c r="A1757" s="5" t="str">
        <f ca="1">IFERROR(__xludf.DUMMYFUNCTION("""COMPUTED_VALUE"""),"19880630HIAIO")</f>
        <v>19880630HIAIO</v>
      </c>
      <c r="B1757" s="8">
        <f ca="1">IFERROR(__xludf.DUMMYFUNCTION("""COMPUTED_VALUE"""),32324)</f>
        <v>32324</v>
      </c>
      <c r="C1757" s="5" t="str">
        <f ca="1">IFERROR(__xludf.DUMMYFUNCTION("""COMPUTED_VALUE"""),"Aiea High School")</f>
        <v>Aiea High School</v>
      </c>
      <c r="D1757" s="5">
        <f ca="1">IFERROR(__xludf.DUMMYFUNCTION("""COMPUTED_VALUE"""),0)</f>
        <v>0</v>
      </c>
      <c r="E1757" s="5">
        <f ca="1">IFERROR(__xludf.DUMMYFUNCTION("""COMPUTED_VALUE"""),1)</f>
        <v>1</v>
      </c>
      <c r="F1757" s="5">
        <f ca="1">IFERROR(__xludf.DUMMYFUNCTION("""COMPUTED_VALUE"""),1)</f>
        <v>1</v>
      </c>
      <c r="G1757" s="5">
        <f ca="1">IFERROR(__xludf.DUMMYFUNCTION("""COMPUTED_VALUE"""),0)</f>
        <v>0</v>
      </c>
      <c r="H1757"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I1757" s="5"/>
      <c r="J1757" s="5"/>
      <c r="K1757" s="5">
        <f ca="1">IFERROR(__xludf.DUMMYFUNCTION("""COMPUTED_VALUE"""),3)</f>
        <v>3</v>
      </c>
      <c r="L1757" s="5" t="str">
        <f ca="1">IFERROR(__xludf.DUMMYFUNCTION("""COMPUTED_VALUE"""),"Summer")</f>
        <v>Summer</v>
      </c>
      <c r="M1757" s="5" t="str">
        <f ca="1">IFERROR(__xludf.DUMMYFUNCTION("""COMPUTED_VALUE"""),"Oahu")</f>
        <v>Oahu</v>
      </c>
      <c r="N1757" s="5" t="str">
        <f ca="1">IFERROR(__xludf.DUMMYFUNCTION("""COMPUTED_VALUE"""),"HI")</f>
        <v>HI</v>
      </c>
      <c r="O1757" s="5" t="str">
        <f ca="1">IFERROR(__xludf.DUMMYFUNCTION("""COMPUTED_VALUE"""),"High")</f>
        <v>High</v>
      </c>
      <c r="P1757" s="5" t="str">
        <f ca="1">IFERROR(__xludf.DUMMYFUNCTION("""COMPUTED_VALUE"""),"Classroom")</f>
        <v>Classroom</v>
      </c>
      <c r="Q1757" s="5" t="str">
        <f ca="1">IFERROR(__xludf.DUMMYFUNCTION("""COMPUTED_VALUE"""),"Inside School Building")</f>
        <v>Inside School Building</v>
      </c>
      <c r="R1757" s="5" t="str">
        <f ca="1">IFERROR(__xludf.DUMMYFUNCTION("""COMPUTED_VALUE"""),"Yes")</f>
        <v>Yes</v>
      </c>
      <c r="S1757" s="5" t="str">
        <f ca="1">IFERROR(__xludf.DUMMYFUNCTION("""COMPUTED_VALUE"""),"Morning Classes")</f>
        <v>Morning Classes</v>
      </c>
      <c r="T1757" s="10">
        <f ca="1">IFERROR(__xludf.DUMMYFUNCTION("""COMPUTED_VALUE"""),0.434027777777777)</f>
        <v>0.43402777777777701</v>
      </c>
      <c r="U1757" s="5">
        <f ca="1">IFERROR(__xludf.DUMMYFUNCTION("""COMPUTED_VALUE"""),1)</f>
        <v>1</v>
      </c>
      <c r="V1757" s="5" t="str">
        <f ca="1">IFERROR(__xludf.DUMMYFUNCTION("""COMPUTED_VALUE"""),"Argument with teacher, told students he planned to kill teacher")</f>
        <v>Argument with teacher, told students he planned to kill teacher</v>
      </c>
      <c r="W1757"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X1757" s="5" t="str">
        <f ca="1">IFERROR(__xludf.DUMMYFUNCTION("""COMPUTED_VALUE"""),"Escalation of Dispute")</f>
        <v>Escalation of Dispute</v>
      </c>
      <c r="Y1757" s="5" t="str">
        <f ca="1">IFERROR(__xludf.DUMMYFUNCTION("""COMPUTED_VALUE"""),"Victims Targeted")</f>
        <v>Victims Targeted</v>
      </c>
      <c r="Z1757" s="5" t="str">
        <f ca="1">IFERROR(__xludf.DUMMYFUNCTION("""COMPUTED_VALUE"""),"No")</f>
        <v>No</v>
      </c>
      <c r="AA1757" s="5"/>
      <c r="AB1757" s="5" t="str">
        <f ca="1">IFERROR(__xludf.DUMMYFUNCTION("""COMPUTED_VALUE"""),"No")</f>
        <v>No</v>
      </c>
      <c r="AC1757" s="5" t="str">
        <f ca="1">IFERROR(__xludf.DUMMYFUNCTION("""COMPUTED_VALUE"""),"No")</f>
        <v>No</v>
      </c>
      <c r="AD1757" s="5" t="str">
        <f ca="1">IFERROR(__xludf.DUMMYFUNCTION("""COMPUTED_VALUE"""),"No")</f>
        <v>No</v>
      </c>
      <c r="AE1757" s="5" t="str">
        <f ca="1">IFERROR(__xludf.DUMMYFUNCTION("""COMPUTED_VALUE"""),"No")</f>
        <v>No</v>
      </c>
      <c r="AF1757" s="5" t="str">
        <f ca="1">IFERROR(__xludf.DUMMYFUNCTION("""COMPUTED_VALUE"""),"No")</f>
        <v>No</v>
      </c>
      <c r="AG1757" s="5" t="str">
        <f ca="1">IFERROR(__xludf.DUMMYFUNCTION("""COMPUTED_VALUE"""),"No")</f>
        <v>No</v>
      </c>
      <c r="AH1757" s="5"/>
    </row>
    <row r="1758" spans="1:34" ht="12.75">
      <c r="A1758" s="5" t="str">
        <f ca="1">IFERROR(__xludf.DUMMYFUNCTION("""COMPUTED_VALUE"""),"19880617MIJOD")</f>
        <v>19880617MIJOD</v>
      </c>
      <c r="B1758" s="8">
        <f ca="1">IFERROR(__xludf.DUMMYFUNCTION("""COMPUTED_VALUE"""),32311)</f>
        <v>32311</v>
      </c>
      <c r="C1758" s="5" t="str">
        <f ca="1">IFERROR(__xludf.DUMMYFUNCTION("""COMPUTED_VALUE"""),"Joy Middle School")</f>
        <v>Joy Middle School</v>
      </c>
      <c r="D1758" s="5">
        <f ca="1">IFERROR(__xludf.DUMMYFUNCTION("""COMPUTED_VALUE"""),0)</f>
        <v>0</v>
      </c>
      <c r="E1758" s="5">
        <f ca="1">IFERROR(__xludf.DUMMYFUNCTION("""COMPUTED_VALUE"""),1)</f>
        <v>1</v>
      </c>
      <c r="F1758" s="5">
        <f ca="1">IFERROR(__xludf.DUMMYFUNCTION("""COMPUTED_VALUE"""),1)</f>
        <v>1</v>
      </c>
      <c r="G1758" s="5">
        <f ca="1">IFERROR(__xludf.DUMMYFUNCTION("""COMPUTED_VALUE"""),0)</f>
        <v>0</v>
      </c>
      <c r="H1758"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I1758" s="5"/>
      <c r="J1758" s="5"/>
      <c r="K1758" s="5">
        <f ca="1">IFERROR(__xludf.DUMMYFUNCTION("""COMPUTED_VALUE"""),3)</f>
        <v>3</v>
      </c>
      <c r="L1758" s="5" t="str">
        <f ca="1">IFERROR(__xludf.DUMMYFUNCTION("""COMPUTED_VALUE"""),"Summer")</f>
        <v>Summer</v>
      </c>
      <c r="M1758" s="5" t="str">
        <f ca="1">IFERROR(__xludf.DUMMYFUNCTION("""COMPUTED_VALUE"""),"Detroit")</f>
        <v>Detroit</v>
      </c>
      <c r="N1758" s="5" t="str">
        <f ca="1">IFERROR(__xludf.DUMMYFUNCTION("""COMPUTED_VALUE"""),"MI")</f>
        <v>MI</v>
      </c>
      <c r="O1758" s="5" t="str">
        <f ca="1">IFERROR(__xludf.DUMMYFUNCTION("""COMPUTED_VALUE"""),"Middle")</f>
        <v>Middle</v>
      </c>
      <c r="P1758" s="5" t="str">
        <f ca="1">IFERROR(__xludf.DUMMYFUNCTION("""COMPUTED_VALUE"""),"Hallway")</f>
        <v>Hallway</v>
      </c>
      <c r="Q1758" s="5" t="str">
        <f ca="1">IFERROR(__xludf.DUMMYFUNCTION("""COMPUTED_VALUE"""),"Inside School Building")</f>
        <v>Inside School Building</v>
      </c>
      <c r="R1758" s="5" t="str">
        <f ca="1">IFERROR(__xludf.DUMMYFUNCTION("""COMPUTED_VALUE"""),"Yes")</f>
        <v>Yes</v>
      </c>
      <c r="S1758" s="5" t="str">
        <f ca="1">IFERROR(__xludf.DUMMYFUNCTION("""COMPUTED_VALUE"""),"Morning Classes")</f>
        <v>Morning Classes</v>
      </c>
      <c r="T1758" s="10">
        <f ca="1">IFERROR(__xludf.DUMMYFUNCTION("""COMPUTED_VALUE"""),0.395833333333333)</f>
        <v>0.39583333333333298</v>
      </c>
      <c r="U1758" s="5">
        <f ca="1">IFERROR(__xludf.DUMMYFUNCTION("""COMPUTED_VALUE"""),1)</f>
        <v>1</v>
      </c>
      <c r="V1758" s="5" t="str">
        <f ca="1">IFERROR(__xludf.DUMMYFUNCTION("""COMPUTED_VALUE"""),"Escalation of ongoing argument")</f>
        <v>Escalation of ongoing argument</v>
      </c>
      <c r="W1758"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X1758" s="5" t="str">
        <f ca="1">IFERROR(__xludf.DUMMYFUNCTION("""COMPUTED_VALUE"""),"Escalation of Dispute")</f>
        <v>Escalation of Dispute</v>
      </c>
      <c r="Y1758" s="5" t="str">
        <f ca="1">IFERROR(__xludf.DUMMYFUNCTION("""COMPUTED_VALUE"""),"Victims Targeted")</f>
        <v>Victims Targeted</v>
      </c>
      <c r="Z1758" s="5" t="str">
        <f ca="1">IFERROR(__xludf.DUMMYFUNCTION("""COMPUTED_VALUE"""),"No")</f>
        <v>No</v>
      </c>
      <c r="AA1758" s="5"/>
      <c r="AB1758" s="5" t="str">
        <f ca="1">IFERROR(__xludf.DUMMYFUNCTION("""COMPUTED_VALUE"""),"No")</f>
        <v>No</v>
      </c>
      <c r="AC1758" s="5" t="str">
        <f ca="1">IFERROR(__xludf.DUMMYFUNCTION("""COMPUTED_VALUE"""),"No")</f>
        <v>No</v>
      </c>
      <c r="AD1758" s="5" t="str">
        <f ca="1">IFERROR(__xludf.DUMMYFUNCTION("""COMPUTED_VALUE"""),"No")</f>
        <v>No</v>
      </c>
      <c r="AE1758" s="5" t="str">
        <f ca="1">IFERROR(__xludf.DUMMYFUNCTION("""COMPUTED_VALUE"""),"No")</f>
        <v>No</v>
      </c>
      <c r="AF1758" s="5" t="str">
        <f ca="1">IFERROR(__xludf.DUMMYFUNCTION("""COMPUTED_VALUE"""),"No")</f>
        <v>No</v>
      </c>
      <c r="AG1758" s="5" t="str">
        <f ca="1">IFERROR(__xludf.DUMMYFUNCTION("""COMPUTED_VALUE"""),"No")</f>
        <v>No</v>
      </c>
      <c r="AH1758" s="5"/>
    </row>
    <row r="1759" spans="1:34" ht="12.75">
      <c r="A1759" s="5" t="str">
        <f ca="1">IFERROR(__xludf.DUMMYFUNCTION("""COMPUTED_VALUE"""),"19880602MSWIJ")</f>
        <v>19880602MSWIJ</v>
      </c>
      <c r="B1759" s="8">
        <f ca="1">IFERROR(__xludf.DUMMYFUNCTION("""COMPUTED_VALUE"""),32296)</f>
        <v>32296</v>
      </c>
      <c r="C1759" s="5" t="str">
        <f ca="1">IFERROR(__xludf.DUMMYFUNCTION("""COMPUTED_VALUE"""),"Wingfield High School")</f>
        <v>Wingfield High School</v>
      </c>
      <c r="D1759" s="5">
        <f ca="1">IFERROR(__xludf.DUMMYFUNCTION("""COMPUTED_VALUE"""),0)</f>
        <v>0</v>
      </c>
      <c r="E1759" s="5">
        <f ca="1">IFERROR(__xludf.DUMMYFUNCTION("""COMPUTED_VALUE"""),2)</f>
        <v>2</v>
      </c>
      <c r="F1759" s="5">
        <f ca="1">IFERROR(__xludf.DUMMYFUNCTION("""COMPUTED_VALUE"""),2)</f>
        <v>2</v>
      </c>
      <c r="G1759" s="5">
        <f ca="1">IFERROR(__xludf.DUMMYFUNCTION("""COMPUTED_VALUE"""),0)</f>
        <v>0</v>
      </c>
      <c r="H1759"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I1759" s="5"/>
      <c r="J1759" s="5"/>
      <c r="K1759" s="5">
        <f ca="1">IFERROR(__xludf.DUMMYFUNCTION("""COMPUTED_VALUE"""),3)</f>
        <v>3</v>
      </c>
      <c r="L1759" s="5" t="str">
        <f ca="1">IFERROR(__xludf.DUMMYFUNCTION("""COMPUTED_VALUE"""),"Summer")</f>
        <v>Summer</v>
      </c>
      <c r="M1759" s="5" t="str">
        <f ca="1">IFERROR(__xludf.DUMMYFUNCTION("""COMPUTED_VALUE"""),"Jackson")</f>
        <v>Jackson</v>
      </c>
      <c r="N1759" s="5" t="str">
        <f ca="1">IFERROR(__xludf.DUMMYFUNCTION("""COMPUTED_VALUE"""),"MS")</f>
        <v>MS</v>
      </c>
      <c r="O1759" s="5" t="str">
        <f ca="1">IFERROR(__xludf.DUMMYFUNCTION("""COMPUTED_VALUE"""),"High")</f>
        <v>High</v>
      </c>
      <c r="P1759" s="5" t="str">
        <f ca="1">IFERROR(__xludf.DUMMYFUNCTION("""COMPUTED_VALUE"""),"Outside on School Property")</f>
        <v>Outside on School Property</v>
      </c>
      <c r="Q1759" s="5" t="str">
        <f ca="1">IFERROR(__xludf.DUMMYFUNCTION("""COMPUTED_VALUE"""),"Outside on School Property")</f>
        <v>Outside on School Property</v>
      </c>
      <c r="R1759" s="5" t="str">
        <f ca="1">IFERROR(__xludf.DUMMYFUNCTION("""COMPUTED_VALUE"""),"Yes")</f>
        <v>Yes</v>
      </c>
      <c r="S1759" s="5" t="str">
        <f ca="1">IFERROR(__xludf.DUMMYFUNCTION("""COMPUTED_VALUE"""),"Dismissal")</f>
        <v>Dismissal</v>
      </c>
      <c r="T1759" s="10">
        <f ca="1">IFERROR(__xludf.DUMMYFUNCTION("""COMPUTED_VALUE"""),0.520833333333333)</f>
        <v>0.52083333333333304</v>
      </c>
      <c r="U1759" s="5">
        <f ca="1">IFERROR(__xludf.DUMMYFUNCTION("""COMPUTED_VALUE"""),1)</f>
        <v>1</v>
      </c>
      <c r="V1759" s="5" t="str">
        <f ca="1">IFERROR(__xludf.DUMMYFUNCTION("""COMPUTED_VALUE"""),"Gang related shooting outside of school")</f>
        <v>Gang related shooting outside of school</v>
      </c>
      <c r="W1759"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X1759" s="5" t="str">
        <f ca="1">IFERROR(__xludf.DUMMYFUNCTION("""COMPUTED_VALUE"""),"Escalation of Dispute")</f>
        <v>Escalation of Dispute</v>
      </c>
      <c r="Y1759" s="5" t="str">
        <f ca="1">IFERROR(__xludf.DUMMYFUNCTION("""COMPUTED_VALUE"""),"Victims Targeted")</f>
        <v>Victims Targeted</v>
      </c>
      <c r="Z1759" s="5" t="str">
        <f ca="1">IFERROR(__xludf.DUMMYFUNCTION("""COMPUTED_VALUE"""),"Yes")</f>
        <v>Yes</v>
      </c>
      <c r="AA1759" s="5" t="str">
        <f ca="1">IFERROR(__xludf.DUMMYFUNCTION("""COMPUTED_VALUE"""),"Three shooters involved - not sure who shooter was - two others (listed) arrested.")</f>
        <v>Three shooters involved - not sure who shooter was - two others (listed) arrested.</v>
      </c>
      <c r="AB1759" s="5" t="str">
        <f ca="1">IFERROR(__xludf.DUMMYFUNCTION("""COMPUTED_VALUE"""),"No")</f>
        <v>No</v>
      </c>
      <c r="AC1759" s="5" t="str">
        <f ca="1">IFERROR(__xludf.DUMMYFUNCTION("""COMPUTED_VALUE"""),"No")</f>
        <v>No</v>
      </c>
      <c r="AD1759" s="5" t="str">
        <f ca="1">IFERROR(__xludf.DUMMYFUNCTION("""COMPUTED_VALUE"""),"No")</f>
        <v>No</v>
      </c>
      <c r="AE1759" s="5" t="str">
        <f ca="1">IFERROR(__xludf.DUMMYFUNCTION("""COMPUTED_VALUE"""),"No")</f>
        <v>No</v>
      </c>
      <c r="AF1759" s="5" t="str">
        <f ca="1">IFERROR(__xludf.DUMMYFUNCTION("""COMPUTED_VALUE"""),"No")</f>
        <v>No</v>
      </c>
      <c r="AG1759" s="5" t="str">
        <f ca="1">IFERROR(__xludf.DUMMYFUNCTION("""COMPUTED_VALUE"""),"Yes")</f>
        <v>Yes</v>
      </c>
      <c r="AH1759" s="5"/>
    </row>
    <row r="1760" spans="1:34" ht="12.75">
      <c r="A1760" s="5" t="str">
        <f ca="1">IFERROR(__xludf.DUMMYFUNCTION("""COMPUTED_VALUE"""),"19880531NYPUB")</f>
        <v>19880531NYPUB</v>
      </c>
      <c r="B1760" s="8">
        <f ca="1">IFERROR(__xludf.DUMMYFUNCTION("""COMPUTED_VALUE"""),32294)</f>
        <v>32294</v>
      </c>
      <c r="C1760" s="5" t="str">
        <f ca="1">IFERROR(__xludf.DUMMYFUNCTION("""COMPUTED_VALUE"""),"Public School 67")</f>
        <v>Public School 67</v>
      </c>
      <c r="D1760" s="5">
        <f ca="1">IFERROR(__xludf.DUMMYFUNCTION("""COMPUTED_VALUE"""),0)</f>
        <v>0</v>
      </c>
      <c r="E1760" s="5">
        <f ca="1">IFERROR(__xludf.DUMMYFUNCTION("""COMPUTED_VALUE"""),1)</f>
        <v>1</v>
      </c>
      <c r="F1760" s="5">
        <f ca="1">IFERROR(__xludf.DUMMYFUNCTION("""COMPUTED_VALUE"""),1)</f>
        <v>1</v>
      </c>
      <c r="G1760" s="5">
        <f ca="1">IFERROR(__xludf.DUMMYFUNCTION("""COMPUTED_VALUE"""),0)</f>
        <v>0</v>
      </c>
      <c r="H1760" s="9" t="str">
        <f ca="1">IFERROR(__xludf.DUMMYFUNCTION("""COMPUTED_VALUE"""),"https://www.newspapers.com/image/145067165/?terms=bridget%2Bisaacs")</f>
        <v>https://www.newspapers.com/image/145067165/?terms=bridget%2Bisaacs</v>
      </c>
      <c r="I1760" s="5"/>
      <c r="J1760" s="5"/>
      <c r="K1760" s="5">
        <f ca="1">IFERROR(__xludf.DUMMYFUNCTION("""COMPUTED_VALUE"""),2)</f>
        <v>2</v>
      </c>
      <c r="L1760" s="5" t="str">
        <f ca="1">IFERROR(__xludf.DUMMYFUNCTION("""COMPUTED_VALUE"""),"Spring")</f>
        <v>Spring</v>
      </c>
      <c r="M1760" s="5" t="str">
        <f ca="1">IFERROR(__xludf.DUMMYFUNCTION("""COMPUTED_VALUE"""),"Bronx")</f>
        <v>Bronx</v>
      </c>
      <c r="N1760" s="5" t="str">
        <f ca="1">IFERROR(__xludf.DUMMYFUNCTION("""COMPUTED_VALUE"""),"NY")</f>
        <v>NY</v>
      </c>
      <c r="O1760" s="5" t="str">
        <f ca="1">IFERROR(__xludf.DUMMYFUNCTION("""COMPUTED_VALUE"""),"Elementary")</f>
        <v>Elementary</v>
      </c>
      <c r="P1760" s="5" t="str">
        <f ca="1">IFERROR(__xludf.DUMMYFUNCTION("""COMPUTED_VALUE"""),"Beside Building")</f>
        <v>Beside Building</v>
      </c>
      <c r="Q1760" s="5" t="str">
        <f ca="1">IFERROR(__xludf.DUMMYFUNCTION("""COMPUTED_VALUE"""),"Outside on School Property")</f>
        <v>Outside on School Property</v>
      </c>
      <c r="R1760" s="5" t="str">
        <f ca="1">IFERROR(__xludf.DUMMYFUNCTION("""COMPUTED_VALUE"""),"Yes")</f>
        <v>Yes</v>
      </c>
      <c r="S1760" s="5" t="str">
        <f ca="1">IFERROR(__xludf.DUMMYFUNCTION("""COMPUTED_VALUE"""),"Dismissal")</f>
        <v>Dismissal</v>
      </c>
      <c r="T1760" s="5"/>
      <c r="U1760" s="5">
        <f ca="1">IFERROR(__xludf.DUMMYFUNCTION("""COMPUTED_VALUE"""),1)</f>
        <v>1</v>
      </c>
      <c r="V1760" s="5" t="str">
        <f ca="1">IFERROR(__xludf.DUMMYFUNCTION("""COMPUTED_VALUE"""),"Bystander teacher shot during fight outside of school")</f>
        <v>Bystander teacher shot during fight outside of school</v>
      </c>
      <c r="W1760"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X1760" s="5" t="str">
        <f ca="1">IFERROR(__xludf.DUMMYFUNCTION("""COMPUTED_VALUE"""),"Escalation of Dispute")</f>
        <v>Escalation of Dispute</v>
      </c>
      <c r="Y1760" s="5" t="str">
        <f ca="1">IFERROR(__xludf.DUMMYFUNCTION("""COMPUTED_VALUE"""),"Random Shooting")</f>
        <v>Random Shooting</v>
      </c>
      <c r="Z1760" s="5" t="str">
        <f ca="1">IFERROR(__xludf.DUMMYFUNCTION("""COMPUTED_VALUE"""),"No")</f>
        <v>No</v>
      </c>
      <c r="AA1760" s="5"/>
      <c r="AB1760" s="5" t="str">
        <f ca="1">IFERROR(__xludf.DUMMYFUNCTION("""COMPUTED_VALUE"""),"No")</f>
        <v>No</v>
      </c>
      <c r="AC1760" s="5" t="str">
        <f ca="1">IFERROR(__xludf.DUMMYFUNCTION("""COMPUTED_VALUE"""),"No")</f>
        <v>No</v>
      </c>
      <c r="AD1760" s="5" t="str">
        <f ca="1">IFERROR(__xludf.DUMMYFUNCTION("""COMPUTED_VALUE"""),"No")</f>
        <v>No</v>
      </c>
      <c r="AE1760" s="5" t="str">
        <f ca="1">IFERROR(__xludf.DUMMYFUNCTION("""COMPUTED_VALUE"""),"No")</f>
        <v>No</v>
      </c>
      <c r="AF1760" s="5" t="str">
        <f ca="1">IFERROR(__xludf.DUMMYFUNCTION("""COMPUTED_VALUE"""),"No")</f>
        <v>No</v>
      </c>
      <c r="AG1760" s="5" t="str">
        <f ca="1">IFERROR(__xludf.DUMMYFUNCTION("""COMPUTED_VALUE"""),"No")</f>
        <v>No</v>
      </c>
      <c r="AH1760" s="5"/>
    </row>
    <row r="1761" spans="1:34" ht="12.75">
      <c r="A1761" s="5" t="str">
        <f ca="1">IFERROR(__xludf.DUMMYFUNCTION("""COMPUTED_VALUE"""),"19880520ILHUW")</f>
        <v>19880520ILHUW</v>
      </c>
      <c r="B1761" s="8">
        <f ca="1">IFERROR(__xludf.DUMMYFUNCTION("""COMPUTED_VALUE"""),32283)</f>
        <v>32283</v>
      </c>
      <c r="C1761" s="5" t="str">
        <f ca="1">IFERROR(__xludf.DUMMYFUNCTION("""COMPUTED_VALUE"""),"Hubbard Woods Elementary School")</f>
        <v>Hubbard Woods Elementary School</v>
      </c>
      <c r="D1761" s="5">
        <f ca="1">IFERROR(__xludf.DUMMYFUNCTION("""COMPUTED_VALUE"""),1)</f>
        <v>1</v>
      </c>
      <c r="E1761" s="5">
        <f ca="1">IFERROR(__xludf.DUMMYFUNCTION("""COMPUTED_VALUE"""),6)</f>
        <v>6</v>
      </c>
      <c r="F1761" s="5">
        <f ca="1">IFERROR(__xludf.DUMMYFUNCTION("""COMPUTED_VALUE"""),7)</f>
        <v>7</v>
      </c>
      <c r="G1761" s="5">
        <f ca="1">IFERROR(__xludf.DUMMYFUNCTION("""COMPUTED_VALUE"""),1)</f>
        <v>1</v>
      </c>
      <c r="H1761"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I1761" s="5"/>
      <c r="J1761" s="5"/>
      <c r="K1761" s="5">
        <f ca="1">IFERROR(__xludf.DUMMYFUNCTION("""COMPUTED_VALUE"""),3)</f>
        <v>3</v>
      </c>
      <c r="L1761" s="5" t="str">
        <f ca="1">IFERROR(__xludf.DUMMYFUNCTION("""COMPUTED_VALUE"""),"Spring")</f>
        <v>Spring</v>
      </c>
      <c r="M1761" s="5" t="str">
        <f ca="1">IFERROR(__xludf.DUMMYFUNCTION("""COMPUTED_VALUE"""),"Winnetka")</f>
        <v>Winnetka</v>
      </c>
      <c r="N1761" s="5" t="str">
        <f ca="1">IFERROR(__xludf.DUMMYFUNCTION("""COMPUTED_VALUE"""),"IL")</f>
        <v>IL</v>
      </c>
      <c r="O1761" s="5" t="str">
        <f ca="1">IFERROR(__xludf.DUMMYFUNCTION("""COMPUTED_VALUE"""),"Elementary")</f>
        <v>Elementary</v>
      </c>
      <c r="P1761" s="5" t="str">
        <f ca="1">IFERROR(__xludf.DUMMYFUNCTION("""COMPUTED_VALUE"""),"Hallway; Beside Building")</f>
        <v>Hallway; Beside Building</v>
      </c>
      <c r="Q1761" s="5" t="str">
        <f ca="1">IFERROR(__xludf.DUMMYFUNCTION("""COMPUTED_VALUE"""),"Both Inside/Outside")</f>
        <v>Both Inside/Outside</v>
      </c>
      <c r="R1761" s="5" t="str">
        <f ca="1">IFERROR(__xludf.DUMMYFUNCTION("""COMPUTED_VALUE"""),"Yes")</f>
        <v>Yes</v>
      </c>
      <c r="S1761" s="5" t="str">
        <f ca="1">IFERROR(__xludf.DUMMYFUNCTION("""COMPUTED_VALUE"""),"School Start")</f>
        <v>School Start</v>
      </c>
      <c r="T1761" s="10">
        <f ca="1">IFERROR(__xludf.DUMMYFUNCTION("""COMPUTED_VALUE"""),0.375)</f>
        <v>0.375</v>
      </c>
      <c r="U1761" s="5">
        <f ca="1">IFERROR(__xludf.DUMMYFUNCTION("""COMPUTED_VALUE"""),720)</f>
        <v>720</v>
      </c>
      <c r="V1761" s="5" t="str">
        <f ca="1">IFERROR(__xludf.DUMMYFUNCTION("""COMPUTED_VALUE"""),"Babysitter attempted to burn down school and shot random students")</f>
        <v>Babysitter attempted to burn down school and shot random students</v>
      </c>
      <c r="W1761"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X1761" s="5" t="str">
        <f ca="1">IFERROR(__xludf.DUMMYFUNCTION("""COMPUTED_VALUE"""),"Psychosis")</f>
        <v>Psychosis</v>
      </c>
      <c r="Y1761" s="5" t="str">
        <f ca="1">IFERROR(__xludf.DUMMYFUNCTION("""COMPUTED_VALUE"""),"Both")</f>
        <v>Both</v>
      </c>
      <c r="Z1761" s="5" t="str">
        <f ca="1">IFERROR(__xludf.DUMMYFUNCTION("""COMPUTED_VALUE"""),"No")</f>
        <v>No</v>
      </c>
      <c r="AA1761" s="5"/>
      <c r="AB1761" s="5" t="str">
        <f ca="1">IFERROR(__xludf.DUMMYFUNCTION("""COMPUTED_VALUE"""),"No")</f>
        <v>No</v>
      </c>
      <c r="AC1761" s="5" t="str">
        <f ca="1">IFERROR(__xludf.DUMMYFUNCTION("""COMPUTED_VALUE"""),"No")</f>
        <v>No</v>
      </c>
      <c r="AD1761" s="5" t="str">
        <f ca="1">IFERROR(__xludf.DUMMYFUNCTION("""COMPUTED_VALUE"""),"No")</f>
        <v>No</v>
      </c>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IFERROR(__xludf.DUMMYFUNCTION("""COMPUTED_VALUE"""),"Yes")</f>
        <v>Yes</v>
      </c>
    </row>
    <row r="1762" spans="1:34" ht="12.75">
      <c r="A1762" s="5" t="str">
        <f ca="1">IFERROR(__xludf.DUMMYFUNCTION("""COMPUTED_VALUE"""),"19880516FLFOF")</f>
        <v>19880516FLFOF</v>
      </c>
      <c r="B1762" s="8">
        <f ca="1">IFERROR(__xludf.DUMMYFUNCTION("""COMPUTED_VALUE"""),32279)</f>
        <v>32279</v>
      </c>
      <c r="C1762" s="5" t="str">
        <f ca="1">IFERROR(__xludf.DUMMYFUNCTION("""COMPUTED_VALUE"""),"Fort Myers Middle School")</f>
        <v>Fort Myers Middle School</v>
      </c>
      <c r="D1762" s="5">
        <f ca="1">IFERROR(__xludf.DUMMYFUNCTION("""COMPUTED_VALUE"""),0)</f>
        <v>0</v>
      </c>
      <c r="E1762" s="5">
        <f ca="1">IFERROR(__xludf.DUMMYFUNCTION("""COMPUTED_VALUE"""),1)</f>
        <v>1</v>
      </c>
      <c r="F1762" s="5">
        <f ca="1">IFERROR(__xludf.DUMMYFUNCTION("""COMPUTED_VALUE"""),1)</f>
        <v>1</v>
      </c>
      <c r="G1762" s="5">
        <f ca="1">IFERROR(__xludf.DUMMYFUNCTION("""COMPUTED_VALUE"""),0)</f>
        <v>0</v>
      </c>
      <c r="H1762"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I1762" s="5"/>
      <c r="J1762" s="5"/>
      <c r="K1762" s="5">
        <f ca="1">IFERROR(__xludf.DUMMYFUNCTION("""COMPUTED_VALUE"""),3)</f>
        <v>3</v>
      </c>
      <c r="L1762" s="5" t="str">
        <f ca="1">IFERROR(__xludf.DUMMYFUNCTION("""COMPUTED_VALUE"""),"Spring")</f>
        <v>Spring</v>
      </c>
      <c r="M1762" s="5" t="str">
        <f ca="1">IFERROR(__xludf.DUMMYFUNCTION("""COMPUTED_VALUE"""),"Fort Myers")</f>
        <v>Fort Myers</v>
      </c>
      <c r="N1762" s="5" t="str">
        <f ca="1">IFERROR(__xludf.DUMMYFUNCTION("""COMPUTED_VALUE"""),"FL")</f>
        <v>FL</v>
      </c>
      <c r="O1762" s="5" t="str">
        <f ca="1">IFERROR(__xludf.DUMMYFUNCTION("""COMPUTED_VALUE"""),"Middle")</f>
        <v>Middle</v>
      </c>
      <c r="P1762" s="5" t="str">
        <f ca="1">IFERROR(__xludf.DUMMYFUNCTION("""COMPUTED_VALUE"""),"School Bus")</f>
        <v>School Bus</v>
      </c>
      <c r="Q1762" s="5" t="str">
        <f ca="1">IFERROR(__xludf.DUMMYFUNCTION("""COMPUTED_VALUE"""),"School Bus")</f>
        <v>School Bus</v>
      </c>
      <c r="R1762" s="5" t="str">
        <f ca="1">IFERROR(__xludf.DUMMYFUNCTION("""COMPUTED_VALUE"""),"Yes")</f>
        <v>Yes</v>
      </c>
      <c r="S1762" s="5" t="str">
        <f ca="1">IFERROR(__xludf.DUMMYFUNCTION("""COMPUTED_VALUE"""),"After School")</f>
        <v>After School</v>
      </c>
      <c r="T1762" s="10">
        <f ca="1">IFERROR(__xludf.DUMMYFUNCTION("""COMPUTED_VALUE"""),0.654861111111111)</f>
        <v>0.65486111111111101</v>
      </c>
      <c r="U1762" s="5">
        <f ca="1">IFERROR(__xludf.DUMMYFUNCTION("""COMPUTED_VALUE"""),1)</f>
        <v>1</v>
      </c>
      <c r="V1762" s="5" t="str">
        <f ca="1">IFERROR(__xludf.DUMMYFUNCTION("""COMPUTED_VALUE"""),"Targeted shooting of victim involved in prior fight")</f>
        <v>Targeted shooting of victim involved in prior fight</v>
      </c>
      <c r="W1762"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X1762" s="5" t="str">
        <f ca="1">IFERROR(__xludf.DUMMYFUNCTION("""COMPUTED_VALUE"""),"Escalation of Dispute")</f>
        <v>Escalation of Dispute</v>
      </c>
      <c r="Y1762" s="5" t="str">
        <f ca="1">IFERROR(__xludf.DUMMYFUNCTION("""COMPUTED_VALUE"""),"Victims Targeted")</f>
        <v>Victims Targeted</v>
      </c>
      <c r="Z1762" s="5" t="str">
        <f ca="1">IFERROR(__xludf.DUMMYFUNCTION("""COMPUTED_VALUE"""),"No")</f>
        <v>No</v>
      </c>
      <c r="AA1762" s="5"/>
      <c r="AB1762" s="5" t="str">
        <f ca="1">IFERROR(__xludf.DUMMYFUNCTION("""COMPUTED_VALUE"""),"No")</f>
        <v>No</v>
      </c>
      <c r="AC1762" s="5" t="str">
        <f ca="1">IFERROR(__xludf.DUMMYFUNCTION("""COMPUTED_VALUE"""),"No")</f>
        <v>No</v>
      </c>
      <c r="AD1762" s="5" t="str">
        <f ca="1">IFERROR(__xludf.DUMMYFUNCTION("""COMPUTED_VALUE"""),"No")</f>
        <v>No</v>
      </c>
      <c r="AE1762" s="5"/>
      <c r="AF1762" s="5" t="str">
        <f ca="1">IFERROR(__xludf.DUMMYFUNCTION("""COMPUTED_VALUE"""),"No")</f>
        <v>No</v>
      </c>
      <c r="AG1762" s="5" t="str">
        <f ca="1">IFERROR(__xludf.DUMMYFUNCTION("""COMPUTED_VALUE"""),"No")</f>
        <v>No</v>
      </c>
      <c r="AH1762" s="5"/>
    </row>
    <row r="1763" spans="1:34" ht="12.75">
      <c r="A1763" s="5" t="str">
        <f ca="1">IFERROR(__xludf.DUMMYFUNCTION("""COMPUTED_VALUE"""),"19880505ILMAC")</f>
        <v>19880505ILMAC</v>
      </c>
      <c r="B1763" s="8">
        <f ca="1">IFERROR(__xludf.DUMMYFUNCTION("""COMPUTED_VALUE"""),32268)</f>
        <v>32268</v>
      </c>
      <c r="C1763" s="5" t="str">
        <f ca="1">IFERROR(__xludf.DUMMYFUNCTION("""COMPUTED_VALUE"""),"Martin Luther King High School")</f>
        <v>Martin Luther King High School</v>
      </c>
      <c r="D1763" s="5">
        <f ca="1">IFERROR(__xludf.DUMMYFUNCTION("""COMPUTED_VALUE"""),0)</f>
        <v>0</v>
      </c>
      <c r="E1763" s="5">
        <f ca="1">IFERROR(__xludf.DUMMYFUNCTION("""COMPUTED_VALUE"""),1)</f>
        <v>1</v>
      </c>
      <c r="F1763" s="5">
        <f ca="1">IFERROR(__xludf.DUMMYFUNCTION("""COMPUTED_VALUE"""),1)</f>
        <v>1</v>
      </c>
      <c r="G1763" s="5">
        <f ca="1">IFERROR(__xludf.DUMMYFUNCTION("""COMPUTED_VALUE"""),0)</f>
        <v>0</v>
      </c>
      <c r="H1763" s="9" t="str">
        <f ca="1">IFERROR(__xludf.DUMMYFUNCTION("""COMPUTED_VALUE"""),"https://www.newspapers.com/image/388885712/?terms=martin%2Bluther%2Bking%2Bhigh%2Bschool")</f>
        <v>https://www.newspapers.com/image/388885712/?terms=martin%2Bluther%2Bking%2Bhigh%2Bschool</v>
      </c>
      <c r="I1763" s="5"/>
      <c r="J1763" s="5"/>
      <c r="K1763" s="5">
        <f ca="1">IFERROR(__xludf.DUMMYFUNCTION("""COMPUTED_VALUE"""),2)</f>
        <v>2</v>
      </c>
      <c r="L1763" s="5" t="str">
        <f ca="1">IFERROR(__xludf.DUMMYFUNCTION("""COMPUTED_VALUE"""),"Spring")</f>
        <v>Spring</v>
      </c>
      <c r="M1763" s="5" t="str">
        <f ca="1">IFERROR(__xludf.DUMMYFUNCTION("""COMPUTED_VALUE"""),"Chicago")</f>
        <v>Chicago</v>
      </c>
      <c r="N1763" s="5" t="str">
        <f ca="1">IFERROR(__xludf.DUMMYFUNCTION("""COMPUTED_VALUE"""),"IL")</f>
        <v>IL</v>
      </c>
      <c r="O1763" s="5" t="str">
        <f ca="1">IFERROR(__xludf.DUMMYFUNCTION("""COMPUTED_VALUE"""),"High")</f>
        <v>High</v>
      </c>
      <c r="P1763" s="5" t="str">
        <f ca="1">IFERROR(__xludf.DUMMYFUNCTION("""COMPUTED_VALUE"""),"Classroom")</f>
        <v>Classroom</v>
      </c>
      <c r="Q1763" s="5" t="str">
        <f ca="1">IFERROR(__xludf.DUMMYFUNCTION("""COMPUTED_VALUE"""),"Inside School Building")</f>
        <v>Inside School Building</v>
      </c>
      <c r="R1763" s="5" t="str">
        <f ca="1">IFERROR(__xludf.DUMMYFUNCTION("""COMPUTED_VALUE"""),"Yes")</f>
        <v>Yes</v>
      </c>
      <c r="S1763" s="5"/>
      <c r="T1763" s="5"/>
      <c r="U1763" s="5">
        <f ca="1">IFERROR(__xludf.DUMMYFUNCTION("""COMPUTED_VALUE"""),1)</f>
        <v>1</v>
      </c>
      <c r="V1763" s="5" t="str">
        <f ca="1">IFERROR(__xludf.DUMMYFUNCTION("""COMPUTED_VALUE"""),"Playing with gun in art class")</f>
        <v>Playing with gun in art class</v>
      </c>
      <c r="W1763" s="5" t="str">
        <f ca="1">IFERROR(__xludf.DUMMYFUNCTION("""COMPUTED_VALUE"""),"Students playing with gun in art class - accidentally discharged - victim shot in right hip -")</f>
        <v>Students playing with gun in art class - accidentally discharged - victim shot in right hip -</v>
      </c>
      <c r="X1763" s="5" t="str">
        <f ca="1">IFERROR(__xludf.DUMMYFUNCTION("""COMPUTED_VALUE"""),"Accidental")</f>
        <v>Accidental</v>
      </c>
      <c r="Y1763" s="5" t="str">
        <f ca="1">IFERROR(__xludf.DUMMYFUNCTION("""COMPUTED_VALUE"""),"Random Shooting")</f>
        <v>Random Shooting</v>
      </c>
      <c r="Z1763" s="5"/>
      <c r="AA1763" s="5"/>
      <c r="AB1763" s="5" t="str">
        <f ca="1">IFERROR(__xludf.DUMMYFUNCTION("""COMPUTED_VALUE"""),"No")</f>
        <v>No</v>
      </c>
      <c r="AC1763" s="5" t="str">
        <f ca="1">IFERROR(__xludf.DUMMYFUNCTION("""COMPUTED_VALUE"""),"No")</f>
        <v>No</v>
      </c>
      <c r="AD1763" s="5" t="str">
        <f ca="1">IFERROR(__xludf.DUMMYFUNCTION("""COMPUTED_VALUE"""),"No")</f>
        <v>No</v>
      </c>
      <c r="AE1763" s="5" t="str">
        <f ca="1">IFERROR(__xludf.DUMMYFUNCTION("""COMPUTED_VALUE"""),"No")</f>
        <v>No</v>
      </c>
      <c r="AF1763" s="5" t="str">
        <f ca="1">IFERROR(__xludf.DUMMYFUNCTION("""COMPUTED_VALUE"""),"No")</f>
        <v>No</v>
      </c>
      <c r="AG1763" s="5" t="str">
        <f ca="1">IFERROR(__xludf.DUMMYFUNCTION("""COMPUTED_VALUE"""),"No")</f>
        <v>No</v>
      </c>
      <c r="AH1763" s="5"/>
    </row>
    <row r="1764" spans="1:34" ht="12.75">
      <c r="A1764" s="5" t="str">
        <f ca="1">IFERROR(__xludf.DUMMYFUNCTION("""COMPUTED_VALUE"""),"19880324TXTRA")</f>
        <v>19880324TXTRA</v>
      </c>
      <c r="B1764" s="8">
        <f ca="1">IFERROR(__xludf.DUMMYFUNCTION("""COMPUTED_VALUE"""),32226)</f>
        <v>32226</v>
      </c>
      <c r="C1764" s="5" t="str">
        <f ca="1">IFERROR(__xludf.DUMMYFUNCTION("""COMPUTED_VALUE"""),"Travis High School")</f>
        <v>Travis High School</v>
      </c>
      <c r="D1764" s="5">
        <f ca="1">IFERROR(__xludf.DUMMYFUNCTION("""COMPUTED_VALUE"""),0)</f>
        <v>0</v>
      </c>
      <c r="E1764" s="5">
        <f ca="1">IFERROR(__xludf.DUMMYFUNCTION("""COMPUTED_VALUE"""),0)</f>
        <v>0</v>
      </c>
      <c r="F1764" s="5">
        <f ca="1">IFERROR(__xludf.DUMMYFUNCTION("""COMPUTED_VALUE"""),0)</f>
        <v>0</v>
      </c>
      <c r="G1764" s="5">
        <f ca="1">IFERROR(__xludf.DUMMYFUNCTION("""COMPUTED_VALUE"""),0)</f>
        <v>0</v>
      </c>
      <c r="H1764" s="9" t="str">
        <f ca="1">IFERROR(__xludf.DUMMYFUNCTION("""COMPUTED_VALUE"""),"https://www.newspapers.com/image/363969550/?terms=school%2Bbus%2Bshooting")</f>
        <v>https://www.newspapers.com/image/363969550/?terms=school%2Bbus%2Bshooting</v>
      </c>
      <c r="I1764" s="5"/>
      <c r="J1764" s="5"/>
      <c r="K1764" s="5">
        <f ca="1">IFERROR(__xludf.DUMMYFUNCTION("""COMPUTED_VALUE"""),2)</f>
        <v>2</v>
      </c>
      <c r="L1764" s="5" t="str">
        <f ca="1">IFERROR(__xludf.DUMMYFUNCTION("""COMPUTED_VALUE"""),"Spring")</f>
        <v>Spring</v>
      </c>
      <c r="M1764" s="5" t="str">
        <f ca="1">IFERROR(__xludf.DUMMYFUNCTION("""COMPUTED_VALUE"""),"Austin")</f>
        <v>Austin</v>
      </c>
      <c r="N1764" s="5" t="str">
        <f ca="1">IFERROR(__xludf.DUMMYFUNCTION("""COMPUTED_VALUE"""),"TX")</f>
        <v>TX</v>
      </c>
      <c r="O1764" s="5" t="str">
        <f ca="1">IFERROR(__xludf.DUMMYFUNCTION("""COMPUTED_VALUE"""),"High")</f>
        <v>High</v>
      </c>
      <c r="P1764" s="5" t="str">
        <f ca="1">IFERROR(__xludf.DUMMYFUNCTION("""COMPUTED_VALUE"""),"School Bus")</f>
        <v>School Bus</v>
      </c>
      <c r="Q1764" s="5" t="str">
        <f ca="1">IFERROR(__xludf.DUMMYFUNCTION("""COMPUTED_VALUE"""),"School Bus")</f>
        <v>School Bus</v>
      </c>
      <c r="R1764" s="5" t="str">
        <f ca="1">IFERROR(__xludf.DUMMYFUNCTION("""COMPUTED_VALUE"""),"Yes")</f>
        <v>Yes</v>
      </c>
      <c r="S1764" s="5" t="str">
        <f ca="1">IFERROR(__xludf.DUMMYFUNCTION("""COMPUTED_VALUE"""),"After School")</f>
        <v>After School</v>
      </c>
      <c r="T1764" s="10">
        <f ca="1">IFERROR(__xludf.DUMMYFUNCTION("""COMPUTED_VALUE"""),0.677083333333333)</f>
        <v>0.67708333333333304</v>
      </c>
      <c r="U1764" s="5">
        <f ca="1">IFERROR(__xludf.DUMMYFUNCTION("""COMPUTED_VALUE"""),1)</f>
        <v>1</v>
      </c>
      <c r="V1764" s="5" t="str">
        <f ca="1">IFERROR(__xludf.DUMMYFUNCTION("""COMPUTED_VALUE"""),"Student shot at school bus with 9 students - no injuries.")</f>
        <v>Student shot at school bus with 9 students - no injuries.</v>
      </c>
      <c r="W1764"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X1764" s="5" t="str">
        <f ca="1">IFERROR(__xludf.DUMMYFUNCTION("""COMPUTED_VALUE"""),"Drive-by Shooting")</f>
        <v>Drive-by Shooting</v>
      </c>
      <c r="Y1764" s="5"/>
      <c r="Z1764" s="5" t="str">
        <f ca="1">IFERROR(__xludf.DUMMYFUNCTION("""COMPUTED_VALUE"""),"Yes")</f>
        <v>Yes</v>
      </c>
      <c r="AA1764" s="5" t="str">
        <f ca="1">IFERROR(__xludf.DUMMYFUNCTION("""COMPUTED_VALUE"""),"Shooter was passenger in a car")</f>
        <v>Shooter was passenger in a car</v>
      </c>
      <c r="AB1764" s="5" t="str">
        <f ca="1">IFERROR(__xludf.DUMMYFUNCTION("""COMPUTED_VALUE"""),"No")</f>
        <v>No</v>
      </c>
      <c r="AC1764" s="5" t="str">
        <f ca="1">IFERROR(__xludf.DUMMYFUNCTION("""COMPUTED_VALUE"""),"No")</f>
        <v>No</v>
      </c>
      <c r="AD1764" s="5" t="str">
        <f ca="1">IFERROR(__xludf.DUMMYFUNCTION("""COMPUTED_VALUE"""),"No")</f>
        <v>No</v>
      </c>
      <c r="AE1764" s="5"/>
      <c r="AF1764" s="5"/>
      <c r="AG1764" s="5" t="str">
        <f ca="1">IFERROR(__xludf.DUMMYFUNCTION("""COMPUTED_VALUE"""),"No")</f>
        <v>No</v>
      </c>
      <c r="AH1764" s="5"/>
    </row>
    <row r="1765" spans="1:34" ht="12.75">
      <c r="A1765" s="5" t="str">
        <f ca="1">IFERROR(__xludf.DUMMYFUNCTION("""COMPUTED_VALUE"""),"19880323CACAS")</f>
        <v>19880323CACAS</v>
      </c>
      <c r="B1765" s="8">
        <f ca="1">IFERROR(__xludf.DUMMYFUNCTION("""COMPUTED_VALUE"""),32225)</f>
        <v>32225</v>
      </c>
      <c r="C1765" s="5" t="str">
        <f ca="1">IFERROR(__xludf.DUMMYFUNCTION("""COMPUTED_VALUE"""),"Cajon High School")</f>
        <v>Cajon High School</v>
      </c>
      <c r="D1765" s="5">
        <f ca="1">IFERROR(__xludf.DUMMYFUNCTION("""COMPUTED_VALUE"""),0)</f>
        <v>0</v>
      </c>
      <c r="E1765" s="5">
        <f ca="1">IFERROR(__xludf.DUMMYFUNCTION("""COMPUTED_VALUE"""),0)</f>
        <v>0</v>
      </c>
      <c r="F1765" s="5">
        <f ca="1">IFERROR(__xludf.DUMMYFUNCTION("""COMPUTED_VALUE"""),0)</f>
        <v>0</v>
      </c>
      <c r="G1765" s="5">
        <f ca="1">IFERROR(__xludf.DUMMYFUNCTION("""COMPUTED_VALUE"""),0)</f>
        <v>0</v>
      </c>
      <c r="H1765" s="9" t="str">
        <f ca="1">IFERROR(__xludf.DUMMYFUNCTION("""COMPUTED_VALUE"""),"https://www.newspapers.com/image/67975492/?terms=school%2Bbus%2Bshooting")</f>
        <v>https://www.newspapers.com/image/67975492/?terms=school%2Bbus%2Bshooting</v>
      </c>
      <c r="I1765" s="5"/>
      <c r="J1765" s="5"/>
      <c r="K1765" s="5">
        <f ca="1">IFERROR(__xludf.DUMMYFUNCTION("""COMPUTED_VALUE"""),2)</f>
        <v>2</v>
      </c>
      <c r="L1765" s="5" t="str">
        <f ca="1">IFERROR(__xludf.DUMMYFUNCTION("""COMPUTED_VALUE"""),"Spring")</f>
        <v>Spring</v>
      </c>
      <c r="M1765" s="5" t="str">
        <f ca="1">IFERROR(__xludf.DUMMYFUNCTION("""COMPUTED_VALUE"""),"San Bernadino")</f>
        <v>San Bernadino</v>
      </c>
      <c r="N1765" s="5" t="str">
        <f ca="1">IFERROR(__xludf.DUMMYFUNCTION("""COMPUTED_VALUE"""),"CA")</f>
        <v>CA</v>
      </c>
      <c r="O1765" s="5" t="str">
        <f ca="1">IFERROR(__xludf.DUMMYFUNCTION("""COMPUTED_VALUE"""),"High")</f>
        <v>High</v>
      </c>
      <c r="P1765" s="5" t="str">
        <f ca="1">IFERROR(__xludf.DUMMYFUNCTION("""COMPUTED_VALUE"""),"Parking Lot")</f>
        <v>Parking Lot</v>
      </c>
      <c r="Q1765" s="5" t="str">
        <f ca="1">IFERROR(__xludf.DUMMYFUNCTION("""COMPUTED_VALUE"""),"Outside on School Property")</f>
        <v>Outside on School Property</v>
      </c>
      <c r="R1765" s="5" t="str">
        <f ca="1">IFERROR(__xludf.DUMMYFUNCTION("""COMPUTED_VALUE"""),"Yes")</f>
        <v>Yes</v>
      </c>
      <c r="S1765" s="5" t="str">
        <f ca="1">IFERROR(__xludf.DUMMYFUNCTION("""COMPUTED_VALUE"""),"Afternoon Classes")</f>
        <v>Afternoon Classes</v>
      </c>
      <c r="T1765" s="5"/>
      <c r="U1765" s="5">
        <f ca="1">IFERROR(__xludf.DUMMYFUNCTION("""COMPUTED_VALUE"""),1)</f>
        <v>1</v>
      </c>
      <c r="V1765" s="5" t="str">
        <f ca="1">IFERROR(__xludf.DUMMYFUNCTION("""COMPUTED_VALUE"""),"Shot multiple rounds into vice-principals' cars")</f>
        <v>Shot multiple rounds into vice-principals' cars</v>
      </c>
      <c r="W1765"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X1765" s="5" t="str">
        <f ca="1">IFERROR(__xludf.DUMMYFUNCTION("""COMPUTED_VALUE"""),"Intentional Property Damage")</f>
        <v>Intentional Property Damage</v>
      </c>
      <c r="Y1765" s="5"/>
      <c r="Z1765" s="5" t="str">
        <f ca="1">IFERROR(__xludf.DUMMYFUNCTION("""COMPUTED_VALUE"""),"No")</f>
        <v>No</v>
      </c>
      <c r="AA1765" s="5"/>
      <c r="AB1765" s="5" t="str">
        <f ca="1">IFERROR(__xludf.DUMMYFUNCTION("""COMPUTED_VALUE"""),"No")</f>
        <v>No</v>
      </c>
      <c r="AC1765" s="5" t="str">
        <f ca="1">IFERROR(__xludf.DUMMYFUNCTION("""COMPUTED_VALUE"""),"No")</f>
        <v>No</v>
      </c>
      <c r="AD1765" s="5" t="str">
        <f ca="1">IFERROR(__xludf.DUMMYFUNCTION("""COMPUTED_VALUE"""),"No")</f>
        <v>No</v>
      </c>
      <c r="AE1765" s="5"/>
      <c r="AF1765" s="5"/>
      <c r="AG1765" s="5" t="str">
        <f ca="1">IFERROR(__xludf.DUMMYFUNCTION("""COMPUTED_VALUE"""),"No")</f>
        <v>No</v>
      </c>
      <c r="AH1765" s="5"/>
    </row>
    <row r="1766" spans="1:34" ht="12.75">
      <c r="A1766" s="5" t="str">
        <f ca="1">IFERROR(__xludf.DUMMYFUNCTION("""COMPUTED_VALUE"""),"19880304MILED")</f>
        <v>19880304MILED</v>
      </c>
      <c r="B1766" s="8">
        <f ca="1">IFERROR(__xludf.DUMMYFUNCTION("""COMPUTED_VALUE"""),32206)</f>
        <v>32206</v>
      </c>
      <c r="C1766" s="5" t="str">
        <f ca="1">IFERROR(__xludf.DUMMYFUNCTION("""COMPUTED_VALUE"""),"Lessenger Junior High")</f>
        <v>Lessenger Junior High</v>
      </c>
      <c r="D1766" s="5">
        <f ca="1">IFERROR(__xludf.DUMMYFUNCTION("""COMPUTED_VALUE"""),0)</f>
        <v>0</v>
      </c>
      <c r="E1766" s="5">
        <f ca="1">IFERROR(__xludf.DUMMYFUNCTION("""COMPUTED_VALUE"""),1)</f>
        <v>1</v>
      </c>
      <c r="F1766" s="5">
        <f ca="1">IFERROR(__xludf.DUMMYFUNCTION("""COMPUTED_VALUE"""),1)</f>
        <v>1</v>
      </c>
      <c r="G1766" s="5">
        <f ca="1">IFERROR(__xludf.DUMMYFUNCTION("""COMPUTED_VALUE"""),0)</f>
        <v>0</v>
      </c>
      <c r="H1766" s="9" t="str">
        <f ca="1">IFERROR(__xludf.DUMMYFUNCTION("""COMPUTED_VALUE"""),"https://www.newspapers.com/image/99777421/?terms=lessenger")</f>
        <v>https://www.newspapers.com/image/99777421/?terms=lessenger</v>
      </c>
      <c r="I1766" s="5"/>
      <c r="J1766" s="5"/>
      <c r="K1766" s="5">
        <f ca="1">IFERROR(__xludf.DUMMYFUNCTION("""COMPUTED_VALUE"""),2)</f>
        <v>2</v>
      </c>
      <c r="L1766" s="5" t="str">
        <f ca="1">IFERROR(__xludf.DUMMYFUNCTION("""COMPUTED_VALUE"""),"Spring")</f>
        <v>Spring</v>
      </c>
      <c r="M1766" s="5" t="str">
        <f ca="1">IFERROR(__xludf.DUMMYFUNCTION("""COMPUTED_VALUE"""),"Detroit")</f>
        <v>Detroit</v>
      </c>
      <c r="N1766" s="5" t="str">
        <f ca="1">IFERROR(__xludf.DUMMYFUNCTION("""COMPUTED_VALUE"""),"MI")</f>
        <v>MI</v>
      </c>
      <c r="O1766" s="5" t="str">
        <f ca="1">IFERROR(__xludf.DUMMYFUNCTION("""COMPUTED_VALUE"""),"Junior High")</f>
        <v>Junior High</v>
      </c>
      <c r="P1766" s="5" t="str">
        <f ca="1">IFERROR(__xludf.DUMMYFUNCTION("""COMPUTED_VALUE"""),"School Bus")</f>
        <v>School Bus</v>
      </c>
      <c r="Q1766" s="5" t="str">
        <f ca="1">IFERROR(__xludf.DUMMYFUNCTION("""COMPUTED_VALUE"""),"School Bus")</f>
        <v>School Bus</v>
      </c>
      <c r="R1766" s="5" t="str">
        <f ca="1">IFERROR(__xludf.DUMMYFUNCTION("""COMPUTED_VALUE"""),"Yes")</f>
        <v>Yes</v>
      </c>
      <c r="S1766" s="5"/>
      <c r="T1766" s="5"/>
      <c r="U1766" s="5">
        <f ca="1">IFERROR(__xludf.DUMMYFUNCTION("""COMPUTED_VALUE"""),1)</f>
        <v>1</v>
      </c>
      <c r="V1766" s="5" t="str">
        <f ca="1">IFERROR(__xludf.DUMMYFUNCTION("""COMPUTED_VALUE"""),"Playing with gun on school bus")</f>
        <v>Playing with gun on school bus</v>
      </c>
      <c r="W1766" s="5" t="str">
        <f ca="1">IFERROR(__xludf.DUMMYFUNCTION("""COMPUTED_VALUE"""),"Female student playing with gun on bus accidentally shoots classmate in leg")</f>
        <v>Female student playing with gun on bus accidentally shoots classmate in leg</v>
      </c>
      <c r="X1766" s="5" t="str">
        <f ca="1">IFERROR(__xludf.DUMMYFUNCTION("""COMPUTED_VALUE"""),"Accidental")</f>
        <v>Accidental</v>
      </c>
      <c r="Y1766" s="5" t="str">
        <f ca="1">IFERROR(__xludf.DUMMYFUNCTION("""COMPUTED_VALUE"""),"Random Shooting")</f>
        <v>Random Shooting</v>
      </c>
      <c r="Z1766" s="5" t="str">
        <f ca="1">IFERROR(__xludf.DUMMYFUNCTION("""COMPUTED_VALUE"""),"No")</f>
        <v>No</v>
      </c>
      <c r="AA1766" s="5"/>
      <c r="AB1766" s="5" t="str">
        <f ca="1">IFERROR(__xludf.DUMMYFUNCTION("""COMPUTED_VALUE"""),"No")</f>
        <v>No</v>
      </c>
      <c r="AC1766" s="5" t="str">
        <f ca="1">IFERROR(__xludf.DUMMYFUNCTION("""COMPUTED_VALUE"""),"No")</f>
        <v>No</v>
      </c>
      <c r="AD1766" s="5" t="str">
        <f ca="1">IFERROR(__xludf.DUMMYFUNCTION("""COMPUTED_VALUE"""),"No")</f>
        <v>No</v>
      </c>
      <c r="AE1766" s="5" t="str">
        <f ca="1">IFERROR(__xludf.DUMMYFUNCTION("""COMPUTED_VALUE"""),"No")</f>
        <v>No</v>
      </c>
      <c r="AF1766" s="5" t="str">
        <f ca="1">IFERROR(__xludf.DUMMYFUNCTION("""COMPUTED_VALUE"""),"No")</f>
        <v>No</v>
      </c>
      <c r="AG1766" s="5" t="str">
        <f ca="1">IFERROR(__xludf.DUMMYFUNCTION("""COMPUTED_VALUE"""),"No")</f>
        <v>No</v>
      </c>
      <c r="AH1766" s="5"/>
    </row>
    <row r="1767" spans="1:34" ht="12.75">
      <c r="A1767" s="5" t="str">
        <f ca="1">IFERROR(__xludf.DUMMYFUNCTION("""COMPUTED_VALUE"""),"19880226RIBRB")</f>
        <v>19880226RIBRB</v>
      </c>
      <c r="B1767" s="8">
        <f ca="1">IFERROR(__xludf.DUMMYFUNCTION("""COMPUTED_VALUE"""),32199)</f>
        <v>32199</v>
      </c>
      <c r="C1767" s="5" t="str">
        <f ca="1">IFERROR(__xludf.DUMMYFUNCTION("""COMPUTED_VALUE"""),"Bristol High School")</f>
        <v>Bristol High School</v>
      </c>
      <c r="D1767" s="5">
        <f ca="1">IFERROR(__xludf.DUMMYFUNCTION("""COMPUTED_VALUE"""),0)</f>
        <v>0</v>
      </c>
      <c r="E1767" s="5">
        <f ca="1">IFERROR(__xludf.DUMMYFUNCTION("""COMPUTED_VALUE"""),1)</f>
        <v>1</v>
      </c>
      <c r="F1767" s="5">
        <f ca="1">IFERROR(__xludf.DUMMYFUNCTION("""COMPUTED_VALUE"""),1)</f>
        <v>1</v>
      </c>
      <c r="G1767" s="5">
        <f ca="1">IFERROR(__xludf.DUMMYFUNCTION("""COMPUTED_VALUE"""),0)</f>
        <v>0</v>
      </c>
      <c r="H1767" s="5" t="str">
        <f ca="1">IFERROR(__xludf.DUMMYFUNCTION("""COMPUTED_VALUE"""),"https://www.newspapers.com/image/264353534/?terms=BRISTOL%2BHIGH; https://www.newspapers.com/image/373743301/?terms=BRISTOL%2BHIGH")</f>
        <v>https://www.newspapers.com/image/264353534/?terms=BRISTOL%2BHIGH; https://www.newspapers.com/image/373743301/?terms=BRISTOL%2BHIGH</v>
      </c>
      <c r="I1767" s="5"/>
      <c r="J1767" s="5"/>
      <c r="K1767" s="5">
        <f ca="1">IFERROR(__xludf.DUMMYFUNCTION("""COMPUTED_VALUE"""),3)</f>
        <v>3</v>
      </c>
      <c r="L1767" s="5" t="str">
        <f ca="1">IFERROR(__xludf.DUMMYFUNCTION("""COMPUTED_VALUE"""),"Winter")</f>
        <v>Winter</v>
      </c>
      <c r="M1767" s="5" t="str">
        <f ca="1">IFERROR(__xludf.DUMMYFUNCTION("""COMPUTED_VALUE"""),"Bristol")</f>
        <v>Bristol</v>
      </c>
      <c r="N1767" s="5" t="str">
        <f ca="1">IFERROR(__xludf.DUMMYFUNCTION("""COMPUTED_VALUE"""),"RI")</f>
        <v>RI</v>
      </c>
      <c r="O1767" s="5" t="str">
        <f ca="1">IFERROR(__xludf.DUMMYFUNCTION("""COMPUTED_VALUE"""),"High")</f>
        <v>High</v>
      </c>
      <c r="P1767" s="5" t="str">
        <f ca="1">IFERROR(__xludf.DUMMYFUNCTION("""COMPUTED_VALUE"""),"Courtyard")</f>
        <v>Courtyard</v>
      </c>
      <c r="Q1767" s="5" t="str">
        <f ca="1">IFERROR(__xludf.DUMMYFUNCTION("""COMPUTED_VALUE"""),"Outside on School Property")</f>
        <v>Outside on School Property</v>
      </c>
      <c r="R1767" s="5" t="str">
        <f ca="1">IFERROR(__xludf.DUMMYFUNCTION("""COMPUTED_VALUE"""),"Yes")</f>
        <v>Yes</v>
      </c>
      <c r="S1767" s="5" t="str">
        <f ca="1">IFERROR(__xludf.DUMMYFUNCTION("""COMPUTED_VALUE"""),"Lunch")</f>
        <v>Lunch</v>
      </c>
      <c r="T1767" s="10">
        <f ca="1">IFERROR(__xludf.DUMMYFUNCTION("""COMPUTED_VALUE"""),0.49375)</f>
        <v>0.49375000000000002</v>
      </c>
      <c r="U1767" s="5">
        <f ca="1">IFERROR(__xludf.DUMMYFUNCTION("""COMPUTED_VALUE"""),1)</f>
        <v>1</v>
      </c>
      <c r="V1767" s="5" t="str">
        <f ca="1">IFERROR(__xludf.DUMMYFUNCTION("""COMPUTED_VALUE"""),"Planned fight with victim, prior fights")</f>
        <v>Planned fight with victim, prior fights</v>
      </c>
      <c r="W1767"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X1767" s="5" t="str">
        <f ca="1">IFERROR(__xludf.DUMMYFUNCTION("""COMPUTED_VALUE"""),"Escalation of Dispute")</f>
        <v>Escalation of Dispute</v>
      </c>
      <c r="Y1767" s="5" t="str">
        <f ca="1">IFERROR(__xludf.DUMMYFUNCTION("""COMPUTED_VALUE"""),"Victims Targeted")</f>
        <v>Victims Targeted</v>
      </c>
      <c r="Z1767" s="5" t="str">
        <f ca="1">IFERROR(__xludf.DUMMYFUNCTION("""COMPUTED_VALUE"""),"No")</f>
        <v>No</v>
      </c>
      <c r="AA1767" s="5"/>
      <c r="AB1767" s="5" t="str">
        <f ca="1">IFERROR(__xludf.DUMMYFUNCTION("""COMPUTED_VALUE"""),"No")</f>
        <v>No</v>
      </c>
      <c r="AC1767" s="5" t="str">
        <f ca="1">IFERROR(__xludf.DUMMYFUNCTION("""COMPUTED_VALUE"""),"No")</f>
        <v>No</v>
      </c>
      <c r="AD1767" s="5" t="str">
        <f ca="1">IFERROR(__xludf.DUMMYFUNCTION("""COMPUTED_VALUE"""),"No")</f>
        <v>No</v>
      </c>
      <c r="AE1767" s="5" t="str">
        <f ca="1">IFERROR(__xludf.DUMMYFUNCTION("""COMPUTED_VALUE"""),"No")</f>
        <v>No</v>
      </c>
      <c r="AF1767" s="5" t="str">
        <f ca="1">IFERROR(__xludf.DUMMYFUNCTION("""COMPUTED_VALUE"""),"No")</f>
        <v>No</v>
      </c>
      <c r="AG1767" s="5" t="str">
        <f ca="1">IFERROR(__xludf.DUMMYFUNCTION("""COMPUTED_VALUE"""),"No")</f>
        <v>No</v>
      </c>
      <c r="AH1767" s="5"/>
    </row>
    <row r="1768" spans="1:34" ht="12.75">
      <c r="A1768" s="5" t="str">
        <f ca="1">IFERROR(__xludf.DUMMYFUNCTION("""COMPUTED_VALUE"""),"19880211FLPIL")</f>
        <v>19880211FLPIL</v>
      </c>
      <c r="B1768" s="8">
        <f ca="1">IFERROR(__xludf.DUMMYFUNCTION("""COMPUTED_VALUE"""),32184)</f>
        <v>32184</v>
      </c>
      <c r="C1768" s="5" t="str">
        <f ca="1">IFERROR(__xludf.DUMMYFUNCTION("""COMPUTED_VALUE"""),"Pinellas Park High School")</f>
        <v>Pinellas Park High School</v>
      </c>
      <c r="D1768" s="5">
        <f ca="1">IFERROR(__xludf.DUMMYFUNCTION("""COMPUTED_VALUE"""),1)</f>
        <v>1</v>
      </c>
      <c r="E1768" s="5">
        <f ca="1">IFERROR(__xludf.DUMMYFUNCTION("""COMPUTED_VALUE"""),2)</f>
        <v>2</v>
      </c>
      <c r="F1768" s="5">
        <f ca="1">IFERROR(__xludf.DUMMYFUNCTION("""COMPUTED_VALUE"""),3)</f>
        <v>3</v>
      </c>
      <c r="G1768" s="5">
        <f ca="1">IFERROR(__xludf.DUMMYFUNCTION("""COMPUTED_VALUE"""),0)</f>
        <v>0</v>
      </c>
      <c r="H1768"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I1768" s="5"/>
      <c r="J1768" s="5" t="str">
        <f ca="1">IFERROR(__xludf.DUMMYFUNCTION("""COMPUTED_VALUE"""),"National")</f>
        <v>National</v>
      </c>
      <c r="K1768" s="5">
        <f ca="1">IFERROR(__xludf.DUMMYFUNCTION("""COMPUTED_VALUE"""),4)</f>
        <v>4</v>
      </c>
      <c r="L1768" s="5" t="str">
        <f ca="1">IFERROR(__xludf.DUMMYFUNCTION("""COMPUTED_VALUE"""),"Winter")</f>
        <v>Winter</v>
      </c>
      <c r="M1768" s="5" t="str">
        <f ca="1">IFERROR(__xludf.DUMMYFUNCTION("""COMPUTED_VALUE"""),"Largo")</f>
        <v>Largo</v>
      </c>
      <c r="N1768" s="5" t="str">
        <f ca="1">IFERROR(__xludf.DUMMYFUNCTION("""COMPUTED_VALUE"""),"FL")</f>
        <v>FL</v>
      </c>
      <c r="O1768" s="5" t="str">
        <f ca="1">IFERROR(__xludf.DUMMYFUNCTION("""COMPUTED_VALUE"""),"High")</f>
        <v>High</v>
      </c>
      <c r="P1768" s="5" t="str">
        <f ca="1">IFERROR(__xludf.DUMMYFUNCTION("""COMPUTED_VALUE"""),"Cafeteria")</f>
        <v>Cafeteria</v>
      </c>
      <c r="Q1768" s="5" t="str">
        <f ca="1">IFERROR(__xludf.DUMMYFUNCTION("""COMPUTED_VALUE"""),"Inside School Building")</f>
        <v>Inside School Building</v>
      </c>
      <c r="R1768" s="5" t="str">
        <f ca="1">IFERROR(__xludf.DUMMYFUNCTION("""COMPUTED_VALUE"""),"Yes")</f>
        <v>Yes</v>
      </c>
      <c r="S1768" s="5" t="str">
        <f ca="1">IFERROR(__xludf.DUMMYFUNCTION("""COMPUTED_VALUE"""),"Morning Classes")</f>
        <v>Morning Classes</v>
      </c>
      <c r="T1768" s="5"/>
      <c r="U1768" s="5">
        <f ca="1">IFERROR(__xludf.DUMMYFUNCTION("""COMPUTED_VALUE"""),1)</f>
        <v>1</v>
      </c>
      <c r="V1768" s="5" t="str">
        <f ca="1">IFERROR(__xludf.DUMMYFUNCTION("""COMPUTED_VALUE"""),"Confronted by school administrator about weapons")</f>
        <v>Confronted by school administrator about weapons</v>
      </c>
      <c r="W1768"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X1768" s="5" t="str">
        <f ca="1">IFERROR(__xludf.DUMMYFUNCTION("""COMPUTED_VALUE"""),"Anger Over Grade/Suspension/Discipline")</f>
        <v>Anger Over Grade/Suspension/Discipline</v>
      </c>
      <c r="Y1768" s="5" t="str">
        <f ca="1">IFERROR(__xludf.DUMMYFUNCTION("""COMPUTED_VALUE"""),"Neither")</f>
        <v>Neither</v>
      </c>
      <c r="Z1768" s="5" t="str">
        <f ca="1">IFERROR(__xludf.DUMMYFUNCTION("""COMPUTED_VALUE"""),"Yes")</f>
        <v>Yes</v>
      </c>
      <c r="AA1768" s="5" t="str">
        <f ca="1">IFERROR(__xludf.DUMMYFUNCTION("""COMPUTED_VALUE"""),"Two students armed with pistols")</f>
        <v>Two students armed with pistols</v>
      </c>
      <c r="AB1768" s="5" t="str">
        <f ca="1">IFERROR(__xludf.DUMMYFUNCTION("""COMPUTED_VALUE"""),"No")</f>
        <v>No</v>
      </c>
      <c r="AC1768" s="5" t="str">
        <f ca="1">IFERROR(__xludf.DUMMYFUNCTION("""COMPUTED_VALUE"""),"No")</f>
        <v>No</v>
      </c>
      <c r="AD1768" s="5" t="str">
        <f ca="1">IFERROR(__xludf.DUMMYFUNCTION("""COMPUTED_VALUE"""),"No")</f>
        <v>No</v>
      </c>
      <c r="AE1768" s="5" t="str">
        <f ca="1">IFERROR(__xludf.DUMMYFUNCTION("""COMPUTED_VALUE"""),"No")</f>
        <v>No</v>
      </c>
      <c r="AF1768" s="5" t="str">
        <f ca="1">IFERROR(__xludf.DUMMYFUNCTION("""COMPUTED_VALUE"""),"No")</f>
        <v>No</v>
      </c>
      <c r="AG1768" s="5" t="str">
        <f ca="1">IFERROR(__xludf.DUMMYFUNCTION("""COMPUTED_VALUE"""),"No")</f>
        <v>No</v>
      </c>
      <c r="AH1768" s="5" t="str">
        <f ca="1">IFERROR(__xludf.DUMMYFUNCTION("""COMPUTED_VALUE"""),"Yes")</f>
        <v>Yes</v>
      </c>
    </row>
    <row r="1769" spans="1:34" ht="12.75">
      <c r="A1769" s="5" t="str">
        <f ca="1">IFERROR(__xludf.DUMMYFUNCTION("""COMPUTED_VALUE"""),"19880202ALWET")</f>
        <v>19880202ALWET</v>
      </c>
      <c r="B1769" s="8">
        <f ca="1">IFERROR(__xludf.DUMMYFUNCTION("""COMPUTED_VALUE"""),32175)</f>
        <v>32175</v>
      </c>
      <c r="C1769" s="5" t="str">
        <f ca="1">IFERROR(__xludf.DUMMYFUNCTION("""COMPUTED_VALUE"""),"West End Christian Elementary School")</f>
        <v>West End Christian Elementary School</v>
      </c>
      <c r="D1769" s="5">
        <f ca="1">IFERROR(__xludf.DUMMYFUNCTION("""COMPUTED_VALUE"""),0)</f>
        <v>0</v>
      </c>
      <c r="E1769" s="5">
        <f ca="1">IFERROR(__xludf.DUMMYFUNCTION("""COMPUTED_VALUE"""),0)</f>
        <v>0</v>
      </c>
      <c r="F1769" s="5">
        <f ca="1">IFERROR(__xludf.DUMMYFUNCTION("""COMPUTED_VALUE"""),0)</f>
        <v>0</v>
      </c>
      <c r="G1769" s="5">
        <f ca="1">IFERROR(__xludf.DUMMYFUNCTION("""COMPUTED_VALUE"""),0)</f>
        <v>0</v>
      </c>
      <c r="H1769" s="9" t="str">
        <f ca="1">IFERROR(__xludf.DUMMYFUNCTION("""COMPUTED_VALUE"""),"https://www.newspapers.com/image/399821731/?terms=West%2BEnd%2BChristian%2BElementary%2BSchool")</f>
        <v>https://www.newspapers.com/image/399821731/?terms=West%2BEnd%2BChristian%2BElementary%2BSchool</v>
      </c>
      <c r="I1769" s="5"/>
      <c r="J1769" s="5"/>
      <c r="K1769" s="5">
        <f ca="1">IFERROR(__xludf.DUMMYFUNCTION("""COMPUTED_VALUE"""),2)</f>
        <v>2</v>
      </c>
      <c r="L1769" s="5" t="str">
        <f ca="1">IFERROR(__xludf.DUMMYFUNCTION("""COMPUTED_VALUE"""),"Winter")</f>
        <v>Winter</v>
      </c>
      <c r="M1769" s="5" t="str">
        <f ca="1">IFERROR(__xludf.DUMMYFUNCTION("""COMPUTED_VALUE"""),"Tuscaloosa")</f>
        <v>Tuscaloosa</v>
      </c>
      <c r="N1769" s="5" t="str">
        <f ca="1">IFERROR(__xludf.DUMMYFUNCTION("""COMPUTED_VALUE"""),"AL")</f>
        <v>AL</v>
      </c>
      <c r="O1769" s="5" t="str">
        <f ca="1">IFERROR(__xludf.DUMMYFUNCTION("""COMPUTED_VALUE"""),"Elementary")</f>
        <v>Elementary</v>
      </c>
      <c r="P1769" s="5" t="str">
        <f ca="1">IFERROR(__xludf.DUMMYFUNCTION("""COMPUTED_VALUE"""),"Classroom")</f>
        <v>Classroom</v>
      </c>
      <c r="Q1769" s="5" t="str">
        <f ca="1">IFERROR(__xludf.DUMMYFUNCTION("""COMPUTED_VALUE"""),"Inside School Building")</f>
        <v>Inside School Building</v>
      </c>
      <c r="R1769" s="5" t="str">
        <f ca="1">IFERROR(__xludf.DUMMYFUNCTION("""COMPUTED_VALUE"""),"Yes")</f>
        <v>Yes</v>
      </c>
      <c r="S1769" s="5" t="str">
        <f ca="1">IFERROR(__xludf.DUMMYFUNCTION("""COMPUTED_VALUE"""),"Morning Classes")</f>
        <v>Morning Classes</v>
      </c>
      <c r="T1769" s="10">
        <f ca="1">IFERROR(__xludf.DUMMYFUNCTION("""COMPUTED_VALUE"""),0.361111111111111)</f>
        <v>0.36111111111111099</v>
      </c>
      <c r="U1769" s="5">
        <f ca="1">IFERROR(__xludf.DUMMYFUNCTION("""COMPUTED_VALUE"""),710)</f>
        <v>710</v>
      </c>
      <c r="V1769" s="5" t="str">
        <f ca="1">IFERROR(__xludf.DUMMYFUNCTION("""COMPUTED_VALUE"""),"2 men held 84 students and teacher hostage for 12 hours")</f>
        <v>2 men held 84 students and teacher hostage for 12 hours</v>
      </c>
      <c r="W1769"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X1769" s="5" t="str">
        <f ca="1">IFERROR(__xludf.DUMMYFUNCTION("""COMPUTED_VALUE"""),"Psychosis")</f>
        <v>Psychosis</v>
      </c>
      <c r="Y1769" s="5" t="str">
        <f ca="1">IFERROR(__xludf.DUMMYFUNCTION("""COMPUTED_VALUE"""),"Random Shooting")</f>
        <v>Random Shooting</v>
      </c>
      <c r="Z1769" s="5" t="str">
        <f ca="1">IFERROR(__xludf.DUMMYFUNCTION("""COMPUTED_VALUE"""),"Yes")</f>
        <v>Yes</v>
      </c>
      <c r="AA1769" s="5" t="str">
        <f ca="1">IFERROR(__xludf.DUMMYFUNCTION("""COMPUTED_VALUE"""),"Two men involved")</f>
        <v>Two men involved</v>
      </c>
      <c r="AB1769" s="5" t="str">
        <f ca="1">IFERROR(__xludf.DUMMYFUNCTION("""COMPUTED_VALUE"""),"Yes")</f>
        <v>Yes</v>
      </c>
      <c r="AC1769" s="5" t="str">
        <f ca="1">IFERROR(__xludf.DUMMYFUNCTION("""COMPUTED_VALUE"""),"Yes")</f>
        <v>Yes</v>
      </c>
      <c r="AD1769" s="5" t="str">
        <f ca="1">IFERROR(__xludf.DUMMYFUNCTION("""COMPUTED_VALUE"""),"No")</f>
        <v>No</v>
      </c>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IFERROR(__xludf.DUMMYFUNCTION("""COMPUTED_VALUE"""),"Yes")</f>
        <v>Yes</v>
      </c>
    </row>
    <row r="1770" spans="1:34" ht="12.75">
      <c r="A1770" s="5" t="str">
        <f ca="1">IFERROR(__xludf.DUMMYFUNCTION("""COMPUTED_VALUE"""),"19880129TXREA")</f>
        <v>19880129TXREA</v>
      </c>
      <c r="B1770" s="8">
        <f ca="1">IFERROR(__xludf.DUMMYFUNCTION("""COMPUTED_VALUE"""),32171)</f>
        <v>32171</v>
      </c>
      <c r="C1770" s="5" t="str">
        <f ca="1">IFERROR(__xludf.DUMMYFUNCTION("""COMPUTED_VALUE"""),"Reagan High School")</f>
        <v>Reagan High School</v>
      </c>
      <c r="D1770" s="5">
        <f ca="1">IFERROR(__xludf.DUMMYFUNCTION("""COMPUTED_VALUE"""),1)</f>
        <v>1</v>
      </c>
      <c r="E1770" s="5">
        <f ca="1">IFERROR(__xludf.DUMMYFUNCTION("""COMPUTED_VALUE"""),0)</f>
        <v>0</v>
      </c>
      <c r="F1770" s="5">
        <f ca="1">IFERROR(__xludf.DUMMYFUNCTION("""COMPUTED_VALUE"""),1)</f>
        <v>1</v>
      </c>
      <c r="G1770" s="5">
        <f ca="1">IFERROR(__xludf.DUMMYFUNCTION("""COMPUTED_VALUE"""),0)</f>
        <v>0</v>
      </c>
      <c r="H1770" s="9" t="str">
        <f ca="1">IFERROR(__xludf.DUMMYFUNCTION("""COMPUTED_VALUE"""),"https://www.newspapers.com/image/364030604/?terms=consuela%2Breed")</f>
        <v>https://www.newspapers.com/image/364030604/?terms=consuela%2Breed</v>
      </c>
      <c r="I1770" s="5"/>
      <c r="J1770" s="5"/>
      <c r="K1770" s="5">
        <f ca="1">IFERROR(__xludf.DUMMYFUNCTION("""COMPUTED_VALUE"""),2)</f>
        <v>2</v>
      </c>
      <c r="L1770" s="5" t="str">
        <f ca="1">IFERROR(__xludf.DUMMYFUNCTION("""COMPUTED_VALUE"""),"Winter")</f>
        <v>Winter</v>
      </c>
      <c r="M1770" s="5" t="str">
        <f ca="1">IFERROR(__xludf.DUMMYFUNCTION("""COMPUTED_VALUE"""),"Austin")</f>
        <v>Austin</v>
      </c>
      <c r="N1770" s="5" t="str">
        <f ca="1">IFERROR(__xludf.DUMMYFUNCTION("""COMPUTED_VALUE"""),"TX")</f>
        <v>TX</v>
      </c>
      <c r="O1770" s="5" t="str">
        <f ca="1">IFERROR(__xludf.DUMMYFUNCTION("""COMPUTED_VALUE"""),"High")</f>
        <v>High</v>
      </c>
      <c r="P1770" s="5" t="str">
        <f ca="1">IFERROR(__xludf.DUMMYFUNCTION("""COMPUTED_VALUE"""),"Field (General)")</f>
        <v>Field (General)</v>
      </c>
      <c r="Q1770" s="5" t="str">
        <f ca="1">IFERROR(__xludf.DUMMYFUNCTION("""COMPUTED_VALUE"""),"Outside on School Property")</f>
        <v>Outside on School Property</v>
      </c>
      <c r="R1770" s="5" t="str">
        <f ca="1">IFERROR(__xludf.DUMMYFUNCTION("""COMPUTED_VALUE"""),"No")</f>
        <v>No</v>
      </c>
      <c r="S1770" s="5" t="str">
        <f ca="1">IFERROR(__xludf.DUMMYFUNCTION("""COMPUTED_VALUE"""),"Evening")</f>
        <v>Evening</v>
      </c>
      <c r="T1770" s="10">
        <f ca="1">IFERROR(__xludf.DUMMYFUNCTION("""COMPUTED_VALUE"""),0.864583333333333)</f>
        <v>0.86458333333333304</v>
      </c>
      <c r="U1770" s="5">
        <f ca="1">IFERROR(__xludf.DUMMYFUNCTION("""COMPUTED_VALUE"""),1)</f>
        <v>1</v>
      </c>
      <c r="V1770" s="5" t="str">
        <f ca="1">IFERROR(__xludf.DUMMYFUNCTION("""COMPUTED_VALUE"""),"Dispute between boyfriend and girlfriend outside of school")</f>
        <v>Dispute between boyfriend and girlfriend outside of school</v>
      </c>
      <c r="W1770"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X1770" s="5" t="str">
        <f ca="1">IFERROR(__xludf.DUMMYFUNCTION("""COMPUTED_VALUE"""),"Domestic w/ Targeted Victim")</f>
        <v>Domestic w/ Targeted Victim</v>
      </c>
      <c r="Y1770" s="5" t="str">
        <f ca="1">IFERROR(__xludf.DUMMYFUNCTION("""COMPUTED_VALUE"""),"Victims Targeted")</f>
        <v>Victims Targeted</v>
      </c>
      <c r="Z1770" s="5" t="str">
        <f ca="1">IFERROR(__xludf.DUMMYFUNCTION("""COMPUTED_VALUE"""),"No")</f>
        <v>No</v>
      </c>
      <c r="AA1770" s="5"/>
      <c r="AB1770" s="5" t="str">
        <f ca="1">IFERROR(__xludf.DUMMYFUNCTION("""COMPUTED_VALUE"""),"No")</f>
        <v>No</v>
      </c>
      <c r="AC1770" s="5" t="str">
        <f ca="1">IFERROR(__xludf.DUMMYFUNCTION("""COMPUTED_VALUE"""),"No")</f>
        <v>No</v>
      </c>
      <c r="AD1770" s="5" t="str">
        <f ca="1">IFERROR(__xludf.DUMMYFUNCTION("""COMPUTED_VALUE"""),"No")</f>
        <v>No</v>
      </c>
      <c r="AE1770" s="5" t="str">
        <f ca="1">IFERROR(__xludf.DUMMYFUNCTION("""COMPUTED_VALUE"""),"No")</f>
        <v>No</v>
      </c>
      <c r="AF1770" s="5" t="str">
        <f ca="1">IFERROR(__xludf.DUMMYFUNCTION("""COMPUTED_VALUE"""),"No")</f>
        <v>No</v>
      </c>
      <c r="AG1770" s="5" t="str">
        <f ca="1">IFERROR(__xludf.DUMMYFUNCTION("""COMPUTED_VALUE"""),"No")</f>
        <v>No</v>
      </c>
      <c r="AH1770" s="5"/>
    </row>
    <row r="1771" spans="1:34" ht="12.75">
      <c r="A1771" s="5" t="str">
        <f ca="1">IFERROR(__xludf.DUMMYFUNCTION("""COMPUTED_VALUE"""),"19880120LASIR")</f>
        <v>19880120LASIR</v>
      </c>
      <c r="B1771" s="8">
        <f ca="1">IFERROR(__xludf.DUMMYFUNCTION("""COMPUTED_VALUE"""),32162)</f>
        <v>32162</v>
      </c>
      <c r="C1771" s="5" t="str">
        <f ca="1">IFERROR(__xludf.DUMMYFUNCTION("""COMPUTED_VALUE"""),"Simsboro High School")</f>
        <v>Simsboro High School</v>
      </c>
      <c r="D1771" s="5">
        <f ca="1">IFERROR(__xludf.DUMMYFUNCTION("""COMPUTED_VALUE"""),1)</f>
        <v>1</v>
      </c>
      <c r="E1771" s="5">
        <f ca="1">IFERROR(__xludf.DUMMYFUNCTION("""COMPUTED_VALUE"""),0)</f>
        <v>0</v>
      </c>
      <c r="F1771" s="5">
        <f ca="1">IFERROR(__xludf.DUMMYFUNCTION("""COMPUTED_VALUE"""),1)</f>
        <v>1</v>
      </c>
      <c r="G1771" s="5">
        <f ca="1">IFERROR(__xludf.DUMMYFUNCTION("""COMPUTED_VALUE"""),0)</f>
        <v>0</v>
      </c>
      <c r="H1771" s="5" t="str">
        <f ca="1">IFERROR(__xludf.DUMMYFUNCTION("""COMPUTED_VALUE"""),"https://www.newspapers.com/image/217137074/?terms=student%2Bshot   https://www.newspapers.com/image/211310693/?terms=lori%2Bbeavers")</f>
        <v>https://www.newspapers.com/image/217137074/?terms=student%2Bshot   https://www.newspapers.com/image/211310693/?terms=lori%2Bbeavers</v>
      </c>
      <c r="I1771" s="5"/>
      <c r="J1771" s="5"/>
      <c r="K1771" s="5">
        <f ca="1">IFERROR(__xludf.DUMMYFUNCTION("""COMPUTED_VALUE"""),2)</f>
        <v>2</v>
      </c>
      <c r="L1771" s="5" t="str">
        <f ca="1">IFERROR(__xludf.DUMMYFUNCTION("""COMPUTED_VALUE"""),"Winter")</f>
        <v>Winter</v>
      </c>
      <c r="M1771" s="5" t="str">
        <f ca="1">IFERROR(__xludf.DUMMYFUNCTION("""COMPUTED_VALUE"""),"Ruston")</f>
        <v>Ruston</v>
      </c>
      <c r="N1771" s="5" t="str">
        <f ca="1">IFERROR(__xludf.DUMMYFUNCTION("""COMPUTED_VALUE"""),"LA")</f>
        <v>LA</v>
      </c>
      <c r="O1771" s="5" t="str">
        <f ca="1">IFERROR(__xludf.DUMMYFUNCTION("""COMPUTED_VALUE"""),"High")</f>
        <v>High</v>
      </c>
      <c r="P1771" s="5" t="str">
        <f ca="1">IFERROR(__xludf.DUMMYFUNCTION("""COMPUTED_VALUE"""),"Parking Lot")</f>
        <v>Parking Lot</v>
      </c>
      <c r="Q1771" s="5" t="str">
        <f ca="1">IFERROR(__xludf.DUMMYFUNCTION("""COMPUTED_VALUE"""),"Outside on School Property")</f>
        <v>Outside on School Property</v>
      </c>
      <c r="R1771" s="5" t="str">
        <f ca="1">IFERROR(__xludf.DUMMYFUNCTION("""COMPUTED_VALUE"""),"Yes")</f>
        <v>Yes</v>
      </c>
      <c r="S1771" s="5" t="str">
        <f ca="1">IFERROR(__xludf.DUMMYFUNCTION("""COMPUTED_VALUE"""),"School Start")</f>
        <v>School Start</v>
      </c>
      <c r="T1771" s="10">
        <f ca="1">IFERROR(__xludf.DUMMYFUNCTION("""COMPUTED_VALUE"""),0.333333333333333)</f>
        <v>0.33333333333333298</v>
      </c>
      <c r="U1771" s="5">
        <f ca="1">IFERROR(__xludf.DUMMYFUNCTION("""COMPUTED_VALUE"""),1)</f>
        <v>1</v>
      </c>
      <c r="V1771" s="5" t="str">
        <f ca="1">IFERROR(__xludf.DUMMYFUNCTION("""COMPUTED_VALUE"""),"Male student shot female student in parking lot")</f>
        <v>Male student shot female student in parking lot</v>
      </c>
      <c r="W1771"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X1771" s="5" t="str">
        <f ca="1">IFERROR(__xludf.DUMMYFUNCTION("""COMPUTED_VALUE"""),"Accidental")</f>
        <v>Accidental</v>
      </c>
      <c r="Y1771" s="5" t="str">
        <f ca="1">IFERROR(__xludf.DUMMYFUNCTION("""COMPUTED_VALUE"""),"Victims Targeted")</f>
        <v>Victims Targeted</v>
      </c>
      <c r="Z1771" s="5" t="str">
        <f ca="1">IFERROR(__xludf.DUMMYFUNCTION("""COMPUTED_VALUE"""),"No")</f>
        <v>No</v>
      </c>
      <c r="AA1771" s="5"/>
      <c r="AB1771" s="5" t="str">
        <f ca="1">IFERROR(__xludf.DUMMYFUNCTION("""COMPUTED_VALUE"""),"No")</f>
        <v>No</v>
      </c>
      <c r="AC1771" s="5" t="str">
        <f ca="1">IFERROR(__xludf.DUMMYFUNCTION("""COMPUTED_VALUE"""),"No")</f>
        <v>No</v>
      </c>
      <c r="AD1771" s="5" t="str">
        <f ca="1">IFERROR(__xludf.DUMMYFUNCTION("""COMPUTED_VALUE"""),"No")</f>
        <v>No</v>
      </c>
      <c r="AE1771" s="5" t="str">
        <f ca="1">IFERROR(__xludf.DUMMYFUNCTION("""COMPUTED_VALUE"""),"No")</f>
        <v>No</v>
      </c>
      <c r="AF1771" s="5" t="str">
        <f ca="1">IFERROR(__xludf.DUMMYFUNCTION("""COMPUTED_VALUE"""),"No")</f>
        <v>No</v>
      </c>
      <c r="AG1771" s="5" t="str">
        <f ca="1">IFERROR(__xludf.DUMMYFUNCTION("""COMPUTED_VALUE"""),"No")</f>
        <v>No</v>
      </c>
      <c r="AH1771" s="5"/>
    </row>
    <row r="1772" spans="1:34" ht="12.75">
      <c r="A1772" s="5" t="str">
        <f ca="1">IFERROR(__xludf.DUMMYFUNCTION("""COMPUTED_VALUE"""),"19880108PACRM")</f>
        <v>19880108PACRM</v>
      </c>
      <c r="B1772" s="8">
        <f ca="1">IFERROR(__xludf.DUMMYFUNCTION("""COMPUTED_VALUE"""),32150)</f>
        <v>32150</v>
      </c>
      <c r="C1772" s="5" t="str">
        <f ca="1">IFERROR(__xludf.DUMMYFUNCTION("""COMPUTED_VALUE"""),"Crawford County Joint Vocational Technical School")</f>
        <v>Crawford County Joint Vocational Technical School</v>
      </c>
      <c r="D1772" s="5">
        <f ca="1">IFERROR(__xludf.DUMMYFUNCTION("""COMPUTED_VALUE"""),0)</f>
        <v>0</v>
      </c>
      <c r="E1772" s="5">
        <f ca="1">IFERROR(__xludf.DUMMYFUNCTION("""COMPUTED_VALUE"""),1)</f>
        <v>1</v>
      </c>
      <c r="F1772" s="5">
        <f ca="1">IFERROR(__xludf.DUMMYFUNCTION("""COMPUTED_VALUE"""),1)</f>
        <v>1</v>
      </c>
      <c r="G1772" s="5">
        <f ca="1">IFERROR(__xludf.DUMMYFUNCTION("""COMPUTED_VALUE"""),0)</f>
        <v>0</v>
      </c>
      <c r="H1772" s="9" t="str">
        <f ca="1">IFERROR(__xludf.DUMMYFUNCTION("""COMPUTED_VALUE"""),"https://www.newspapers.com/image/33621001/?terms=crawford%2Bcounty%2Bjoint%2Bvocational")</f>
        <v>https://www.newspapers.com/image/33621001/?terms=crawford%2Bcounty%2Bjoint%2Bvocational</v>
      </c>
      <c r="I1772" s="5"/>
      <c r="J1772" s="5"/>
      <c r="K1772" s="5">
        <f ca="1">IFERROR(__xludf.DUMMYFUNCTION("""COMPUTED_VALUE"""),2)</f>
        <v>2</v>
      </c>
      <c r="L1772" s="5" t="str">
        <f ca="1">IFERROR(__xludf.DUMMYFUNCTION("""COMPUTED_VALUE"""),"Winter")</f>
        <v>Winter</v>
      </c>
      <c r="M1772" s="5" t="str">
        <f ca="1">IFERROR(__xludf.DUMMYFUNCTION("""COMPUTED_VALUE"""),"Meadville")</f>
        <v>Meadville</v>
      </c>
      <c r="N1772" s="5" t="str">
        <f ca="1">IFERROR(__xludf.DUMMYFUNCTION("""COMPUTED_VALUE"""),"PA")</f>
        <v>PA</v>
      </c>
      <c r="O1772" s="5" t="str">
        <f ca="1">IFERROR(__xludf.DUMMYFUNCTION("""COMPUTED_VALUE"""),"High")</f>
        <v>High</v>
      </c>
      <c r="P1772" s="5" t="str">
        <f ca="1">IFERROR(__xludf.DUMMYFUNCTION("""COMPUTED_VALUE"""),"Inside School Building")</f>
        <v>Inside School Building</v>
      </c>
      <c r="Q1772" s="5" t="str">
        <f ca="1">IFERROR(__xludf.DUMMYFUNCTION("""COMPUTED_VALUE"""),"Inside School Building")</f>
        <v>Inside School Building</v>
      </c>
      <c r="R1772" s="5" t="str">
        <f ca="1">IFERROR(__xludf.DUMMYFUNCTION("""COMPUTED_VALUE"""),"Yes")</f>
        <v>Yes</v>
      </c>
      <c r="S1772" s="5" t="str">
        <f ca="1">IFERROR(__xludf.DUMMYFUNCTION("""COMPUTED_VALUE"""),"Morning Classes")</f>
        <v>Morning Classes</v>
      </c>
      <c r="T1772" s="10">
        <f ca="1">IFERROR(__xludf.DUMMYFUNCTION("""COMPUTED_VALUE"""),0.364583333333333)</f>
        <v>0.36458333333333298</v>
      </c>
      <c r="U1772" s="5">
        <f ca="1">IFERROR(__xludf.DUMMYFUNCTION("""COMPUTED_VALUE"""),1)</f>
        <v>1</v>
      </c>
      <c r="V1772" s="5" t="str">
        <f ca="1">IFERROR(__xludf.DUMMYFUNCTION("""COMPUTED_VALUE"""),"Reports were unclear - police were not sure if victim was shot by someone else or if he shot himself")</f>
        <v>Reports were unclear - police were not sure if victim was shot by someone else or if he shot himself</v>
      </c>
      <c r="W1772" s="5" t="str">
        <f ca="1">IFERROR(__xludf.DUMMYFUNCTION("""COMPUTED_VALUE"""),"Police were unsure if victim was shot by someone else or if he shot himself")</f>
        <v>Police were unsure if victim was shot by someone else or if he shot himself</v>
      </c>
      <c r="X1772" s="5" t="str">
        <f ca="1">IFERROR(__xludf.DUMMYFUNCTION("""COMPUTED_VALUE"""),"Unknown")</f>
        <v>Unknown</v>
      </c>
      <c r="Y1772" s="5"/>
      <c r="Z1772" s="5" t="str">
        <f ca="1">IFERROR(__xludf.DUMMYFUNCTION("""COMPUTED_VALUE"""),"No")</f>
        <v>No</v>
      </c>
      <c r="AA1772" s="5"/>
      <c r="AB1772" s="5" t="str">
        <f ca="1">IFERROR(__xludf.DUMMYFUNCTION("""COMPUTED_VALUE"""),"No")</f>
        <v>No</v>
      </c>
      <c r="AC1772" s="5" t="str">
        <f ca="1">IFERROR(__xludf.DUMMYFUNCTION("""COMPUTED_VALUE"""),"No")</f>
        <v>No</v>
      </c>
      <c r="AD1772" s="5" t="str">
        <f ca="1">IFERROR(__xludf.DUMMYFUNCTION("""COMPUTED_VALUE"""),"No")</f>
        <v>No</v>
      </c>
      <c r="AE1772" s="5"/>
      <c r="AF1772" s="5"/>
      <c r="AG1772" s="5" t="str">
        <f ca="1">IFERROR(__xludf.DUMMYFUNCTION("""COMPUTED_VALUE"""),"No")</f>
        <v>No</v>
      </c>
      <c r="AH1772" s="5"/>
    </row>
    <row r="1773" spans="1:34" ht="12.75">
      <c r="A1773" s="5" t="str">
        <f ca="1">IFERROR(__xludf.DUMMYFUNCTION("""COMPUTED_VALUE"""),"19880106FLGAT")</f>
        <v>19880106FLGAT</v>
      </c>
      <c r="B1773" s="8">
        <f ca="1">IFERROR(__xludf.DUMMYFUNCTION("""COMPUTED_VALUE"""),32148)</f>
        <v>32148</v>
      </c>
      <c r="C1773" s="5" t="str">
        <f ca="1">IFERROR(__xludf.DUMMYFUNCTION("""COMPUTED_VALUE"""),"Gaither High School")</f>
        <v>Gaither High School</v>
      </c>
      <c r="D1773" s="5">
        <f ca="1">IFERROR(__xludf.DUMMYFUNCTION("""COMPUTED_VALUE"""),0)</f>
        <v>0</v>
      </c>
      <c r="E1773" s="5">
        <f ca="1">IFERROR(__xludf.DUMMYFUNCTION("""COMPUTED_VALUE"""),0)</f>
        <v>0</v>
      </c>
      <c r="F1773" s="5">
        <f ca="1">IFERROR(__xludf.DUMMYFUNCTION("""COMPUTED_VALUE"""),0)</f>
        <v>0</v>
      </c>
      <c r="G1773" s="5">
        <f ca="1">IFERROR(__xludf.DUMMYFUNCTION("""COMPUTED_VALUE"""),0)</f>
        <v>0</v>
      </c>
      <c r="H1773" s="5" t="str">
        <f ca="1">IFERROR(__xludf.DUMMYFUNCTION("""COMPUTED_VALUE"""),"https://www.newspapers.com/image/337347830/?terms=karen%2Bkeene; https://www.newspapers.com/image/321832403/?terms=karen%2Bkeene")</f>
        <v>https://www.newspapers.com/image/337347830/?terms=karen%2Bkeene; https://www.newspapers.com/image/321832403/?terms=karen%2Bkeene</v>
      </c>
      <c r="I1773" s="5"/>
      <c r="J1773" s="5"/>
      <c r="K1773" s="5">
        <f ca="1">IFERROR(__xludf.DUMMYFUNCTION("""COMPUTED_VALUE"""),3)</f>
        <v>3</v>
      </c>
      <c r="L1773" s="5" t="str">
        <f ca="1">IFERROR(__xludf.DUMMYFUNCTION("""COMPUTED_VALUE"""),"Winter")</f>
        <v>Winter</v>
      </c>
      <c r="M1773" s="5" t="str">
        <f ca="1">IFERROR(__xludf.DUMMYFUNCTION("""COMPUTED_VALUE"""),"Tampa")</f>
        <v>Tampa</v>
      </c>
      <c r="N1773" s="5" t="str">
        <f ca="1">IFERROR(__xludf.DUMMYFUNCTION("""COMPUTED_VALUE"""),"FL")</f>
        <v>FL</v>
      </c>
      <c r="O1773" s="5" t="str">
        <f ca="1">IFERROR(__xludf.DUMMYFUNCTION("""COMPUTED_VALUE"""),"High")</f>
        <v>High</v>
      </c>
      <c r="P1773" s="5" t="str">
        <f ca="1">IFERROR(__xludf.DUMMYFUNCTION("""COMPUTED_VALUE"""),"Parking Lot")</f>
        <v>Parking Lot</v>
      </c>
      <c r="Q1773" s="5" t="str">
        <f ca="1">IFERROR(__xludf.DUMMYFUNCTION("""COMPUTED_VALUE"""),"Outside on School Property")</f>
        <v>Outside on School Property</v>
      </c>
      <c r="R1773" s="5" t="str">
        <f ca="1">IFERROR(__xludf.DUMMYFUNCTION("""COMPUTED_VALUE"""),"Yes")</f>
        <v>Yes</v>
      </c>
      <c r="S1773" s="5" t="str">
        <f ca="1">IFERROR(__xludf.DUMMYFUNCTION("""COMPUTED_VALUE"""),"Morning Classes")</f>
        <v>Morning Classes</v>
      </c>
      <c r="T1773" s="10">
        <f ca="1">IFERROR(__xludf.DUMMYFUNCTION("""COMPUTED_VALUE"""),0.458333333333333)</f>
        <v>0.45833333333333298</v>
      </c>
      <c r="U1773" s="5">
        <f ca="1">IFERROR(__xludf.DUMMYFUNCTION("""COMPUTED_VALUE"""),1)</f>
        <v>1</v>
      </c>
      <c r="V1773" s="5" t="str">
        <f ca="1">IFERROR(__xludf.DUMMYFUNCTION("""COMPUTED_VALUE"""),"Suicide in school parking lot")</f>
        <v>Suicide in school parking lot</v>
      </c>
      <c r="W1773"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X1773" s="5" t="str">
        <f ca="1">IFERROR(__xludf.DUMMYFUNCTION("""COMPUTED_VALUE"""),"Suicide/Attempted")</f>
        <v>Suicide/Attempted</v>
      </c>
      <c r="Y1773" s="5" t="str">
        <f ca="1">IFERROR(__xludf.DUMMYFUNCTION("""COMPUTED_VALUE"""),"Victims Targeted")</f>
        <v>Victims Targeted</v>
      </c>
      <c r="Z1773" s="5" t="str">
        <f ca="1">IFERROR(__xludf.DUMMYFUNCTION("""COMPUTED_VALUE"""),"No")</f>
        <v>No</v>
      </c>
      <c r="AA1773" s="5"/>
      <c r="AB1773" s="5" t="str">
        <f ca="1">IFERROR(__xludf.DUMMYFUNCTION("""COMPUTED_VALUE"""),"No")</f>
        <v>No</v>
      </c>
      <c r="AC1773" s="5" t="str">
        <f ca="1">IFERROR(__xludf.DUMMYFUNCTION("""COMPUTED_VALUE"""),"No")</f>
        <v>No</v>
      </c>
      <c r="AD1773" s="5" t="str">
        <f ca="1">IFERROR(__xludf.DUMMYFUNCTION("""COMPUTED_VALUE"""),"No")</f>
        <v>No</v>
      </c>
      <c r="AE1773" s="5" t="str">
        <f ca="1">IFERROR(__xludf.DUMMYFUNCTION("""COMPUTED_VALUE"""),"No")</f>
        <v>No</v>
      </c>
      <c r="AF1773" s="5" t="str">
        <f ca="1">IFERROR(__xludf.DUMMYFUNCTION("""COMPUTED_VALUE"""),"No")</f>
        <v>No</v>
      </c>
      <c r="AG1773" s="5" t="str">
        <f ca="1">IFERROR(__xludf.DUMMYFUNCTION("""COMPUTED_VALUE"""),"No")</f>
        <v>No</v>
      </c>
      <c r="AH1773" s="5"/>
    </row>
    <row r="1774" spans="1:34" ht="12.75">
      <c r="A1774" s="5" t="str">
        <f ca="1">IFERROR(__xludf.DUMMYFUNCTION("""COMPUTED_VALUE"""),"19880105PASPS")</f>
        <v>19880105PASPS</v>
      </c>
      <c r="B1774" s="8">
        <f ca="1">IFERROR(__xludf.DUMMYFUNCTION("""COMPUTED_VALUE"""),32147)</f>
        <v>32147</v>
      </c>
      <c r="C1774" s="5" t="str">
        <f ca="1">IFERROR(__xludf.DUMMYFUNCTION("""COMPUTED_VALUE"""),"Springfield High School")</f>
        <v>Springfield High School</v>
      </c>
      <c r="D1774" s="5">
        <f ca="1">IFERROR(__xludf.DUMMYFUNCTION("""COMPUTED_VALUE"""),0)</f>
        <v>0</v>
      </c>
      <c r="E1774" s="5">
        <f ca="1">IFERROR(__xludf.DUMMYFUNCTION("""COMPUTED_VALUE"""),1)</f>
        <v>1</v>
      </c>
      <c r="F1774" s="5">
        <f ca="1">IFERROR(__xludf.DUMMYFUNCTION("""COMPUTED_VALUE"""),1)</f>
        <v>1</v>
      </c>
      <c r="G1774" s="5">
        <f ca="1">IFERROR(__xludf.DUMMYFUNCTION("""COMPUTED_VALUE"""),0)</f>
        <v>0</v>
      </c>
      <c r="H1774" s="9" t="str">
        <f ca="1">IFERROR(__xludf.DUMMYFUNCTION("""COMPUTED_VALUE"""),"https://www.newspapers.com/image/169515600/?terms=charles%2Bmincey%2Bridley%2Bhigh%2Bschool")</f>
        <v>https://www.newspapers.com/image/169515600/?terms=charles%2Bmincey%2Bridley%2Bhigh%2Bschool</v>
      </c>
      <c r="I1774" s="5"/>
      <c r="J1774" s="5"/>
      <c r="K1774" s="5">
        <f ca="1">IFERROR(__xludf.DUMMYFUNCTION("""COMPUTED_VALUE"""),2)</f>
        <v>2</v>
      </c>
      <c r="L1774" s="5" t="str">
        <f ca="1">IFERROR(__xludf.DUMMYFUNCTION("""COMPUTED_VALUE"""),"Winter")</f>
        <v>Winter</v>
      </c>
      <c r="M1774" s="5" t="str">
        <f ca="1">IFERROR(__xludf.DUMMYFUNCTION("""COMPUTED_VALUE"""),"Springfield")</f>
        <v>Springfield</v>
      </c>
      <c r="N1774" s="5" t="str">
        <f ca="1">IFERROR(__xludf.DUMMYFUNCTION("""COMPUTED_VALUE"""),"PA")</f>
        <v>PA</v>
      </c>
      <c r="O1774" s="5" t="str">
        <f ca="1">IFERROR(__xludf.DUMMYFUNCTION("""COMPUTED_VALUE"""),"High")</f>
        <v>High</v>
      </c>
      <c r="P1774" s="5" t="str">
        <f ca="1">IFERROR(__xludf.DUMMYFUNCTION("""COMPUTED_VALUE"""),"Basketball Court")</f>
        <v>Basketball Court</v>
      </c>
      <c r="Q1774" s="5" t="str">
        <f ca="1">IFERROR(__xludf.DUMMYFUNCTION("""COMPUTED_VALUE"""),"Outside on School Property")</f>
        <v>Outside on School Property</v>
      </c>
      <c r="R1774" s="5" t="str">
        <f ca="1">IFERROR(__xludf.DUMMYFUNCTION("""COMPUTED_VALUE"""),"No")</f>
        <v>No</v>
      </c>
      <c r="S1774" s="5" t="str">
        <f ca="1">IFERROR(__xludf.DUMMYFUNCTION("""COMPUTED_VALUE"""),"Sport Event")</f>
        <v>Sport Event</v>
      </c>
      <c r="T1774" s="10">
        <f ca="1">IFERROR(__xludf.DUMMYFUNCTION("""COMPUTED_VALUE"""),0.875)</f>
        <v>0.875</v>
      </c>
      <c r="U1774" s="5">
        <f ca="1">IFERROR(__xludf.DUMMYFUNCTION("""COMPUTED_VALUE"""),1)</f>
        <v>1</v>
      </c>
      <c r="V1774" s="5" t="str">
        <f ca="1">IFERROR(__xludf.DUMMYFUNCTION("""COMPUTED_VALUE"""),"Shots fired during basketball game")</f>
        <v>Shots fired during basketball game</v>
      </c>
      <c r="W1774" s="5" t="str">
        <f ca="1">IFERROR(__xludf.DUMMYFUNCTION("""COMPUTED_VALUE"""),"Escalation of ongoing conflict which took place after basketball game. 20YOM shooter shot 17YOM student.")</f>
        <v>Escalation of ongoing conflict which took place after basketball game. 20YOM shooter shot 17YOM student.</v>
      </c>
      <c r="X1774" s="5" t="str">
        <f ca="1">IFERROR(__xludf.DUMMYFUNCTION("""COMPUTED_VALUE"""),"Escalation of Dispute")</f>
        <v>Escalation of Dispute</v>
      </c>
      <c r="Y1774" s="5" t="str">
        <f ca="1">IFERROR(__xludf.DUMMYFUNCTION("""COMPUTED_VALUE"""),"Victims Targeted")</f>
        <v>Victims Targeted</v>
      </c>
      <c r="Z1774" s="5" t="str">
        <f ca="1">IFERROR(__xludf.DUMMYFUNCTION("""COMPUTED_VALUE"""),"No")</f>
        <v>No</v>
      </c>
      <c r="AA1774" s="5"/>
      <c r="AB1774" s="5" t="str">
        <f ca="1">IFERROR(__xludf.DUMMYFUNCTION("""COMPUTED_VALUE"""),"No")</f>
        <v>No</v>
      </c>
      <c r="AC1774" s="5" t="str">
        <f ca="1">IFERROR(__xludf.DUMMYFUNCTION("""COMPUTED_VALUE"""),"No")</f>
        <v>No</v>
      </c>
      <c r="AD1774" s="5" t="str">
        <f ca="1">IFERROR(__xludf.DUMMYFUNCTION("""COMPUTED_VALUE"""),"No")</f>
        <v>No</v>
      </c>
      <c r="AE1774" s="5" t="str">
        <f ca="1">IFERROR(__xludf.DUMMYFUNCTION("""COMPUTED_VALUE"""),"No")</f>
        <v>No</v>
      </c>
      <c r="AF1774" s="5" t="str">
        <f ca="1">IFERROR(__xludf.DUMMYFUNCTION("""COMPUTED_VALUE"""),"No")</f>
        <v>No</v>
      </c>
      <c r="AG1774" s="5" t="str">
        <f ca="1">IFERROR(__xludf.DUMMYFUNCTION("""COMPUTED_VALUE"""),"No")</f>
        <v>No</v>
      </c>
      <c r="AH1774" s="5"/>
    </row>
    <row r="1775" spans="1:34" ht="12.75">
      <c r="A1775" s="5" t="str">
        <f ca="1">IFERROR(__xludf.DUMMYFUNCTION("""COMPUTED_VALUE"""),"19871216TXMAK")</f>
        <v>19871216TXMAK</v>
      </c>
      <c r="B1775" s="8">
        <f ca="1">IFERROR(__xludf.DUMMYFUNCTION("""COMPUTED_VALUE"""),32127)</f>
        <v>32127</v>
      </c>
      <c r="C1775" s="5" t="str">
        <f ca="1">IFERROR(__xludf.DUMMYFUNCTION("""COMPUTED_VALUE"""),"Mayde Creek High School")</f>
        <v>Mayde Creek High School</v>
      </c>
      <c r="D1775" s="5">
        <f ca="1">IFERROR(__xludf.DUMMYFUNCTION("""COMPUTED_VALUE"""),0)</f>
        <v>0</v>
      </c>
      <c r="E1775" s="5">
        <f ca="1">IFERROR(__xludf.DUMMYFUNCTION("""COMPUTED_VALUE"""),0)</f>
        <v>0</v>
      </c>
      <c r="F1775" s="5">
        <f ca="1">IFERROR(__xludf.DUMMYFUNCTION("""COMPUTED_VALUE"""),0)</f>
        <v>0</v>
      </c>
      <c r="G1775" s="5">
        <f ca="1">IFERROR(__xludf.DUMMYFUNCTION("""COMPUTED_VALUE"""),1)</f>
        <v>1</v>
      </c>
      <c r="H1775" s="9" t="str">
        <f ca="1">IFERROR(__xludf.DUMMYFUNCTION("""COMPUTED_VALUE"""),"https://www.newspapers.com/image/6664149/?terms=student%2Bshot")</f>
        <v>https://www.newspapers.com/image/6664149/?terms=student%2Bshot</v>
      </c>
      <c r="I1775" s="5"/>
      <c r="J1775" s="5"/>
      <c r="K1775" s="5">
        <f ca="1">IFERROR(__xludf.DUMMYFUNCTION("""COMPUTED_VALUE"""),2)</f>
        <v>2</v>
      </c>
      <c r="L1775" s="5" t="str">
        <f ca="1">IFERROR(__xludf.DUMMYFUNCTION("""COMPUTED_VALUE"""),"Winter")</f>
        <v>Winter</v>
      </c>
      <c r="M1775" s="5" t="str">
        <f ca="1">IFERROR(__xludf.DUMMYFUNCTION("""COMPUTED_VALUE"""),"Katy")</f>
        <v>Katy</v>
      </c>
      <c r="N1775" s="5" t="str">
        <f ca="1">IFERROR(__xludf.DUMMYFUNCTION("""COMPUTED_VALUE"""),"TX")</f>
        <v>TX</v>
      </c>
      <c r="O1775" s="5" t="str">
        <f ca="1">IFERROR(__xludf.DUMMYFUNCTION("""COMPUTED_VALUE"""),"High")</f>
        <v>High</v>
      </c>
      <c r="P1775" s="5" t="str">
        <f ca="1">IFERROR(__xludf.DUMMYFUNCTION("""COMPUTED_VALUE"""),"Classroom")</f>
        <v>Classroom</v>
      </c>
      <c r="Q1775" s="5" t="str">
        <f ca="1">IFERROR(__xludf.DUMMYFUNCTION("""COMPUTED_VALUE"""),"Inside School Building")</f>
        <v>Inside School Building</v>
      </c>
      <c r="R1775" s="5" t="str">
        <f ca="1">IFERROR(__xludf.DUMMYFUNCTION("""COMPUTED_VALUE"""),"Yes")</f>
        <v>Yes</v>
      </c>
      <c r="S1775" s="5" t="str">
        <f ca="1">IFERROR(__xludf.DUMMYFUNCTION("""COMPUTED_VALUE"""),"Morning Classes")</f>
        <v>Morning Classes</v>
      </c>
      <c r="T1775" s="10">
        <f ca="1">IFERROR(__xludf.DUMMYFUNCTION("""COMPUTED_VALUE"""),0.416666666666666)</f>
        <v>0.41666666666666602</v>
      </c>
      <c r="U1775" s="5">
        <f ca="1">IFERROR(__xludf.DUMMYFUNCTION("""COMPUTED_VALUE"""),1)</f>
        <v>1</v>
      </c>
      <c r="V1775" s="5" t="str">
        <f ca="1">IFERROR(__xludf.DUMMYFUNCTION("""COMPUTED_VALUE"""),"Commit suicide in front of class after girl refused to date him")</f>
        <v>Commit suicide in front of class after girl refused to date him</v>
      </c>
      <c r="W1775"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X1775" s="5" t="str">
        <f ca="1">IFERROR(__xludf.DUMMYFUNCTION("""COMPUTED_VALUE"""),"Suicide/Attempted")</f>
        <v>Suicide/Attempted</v>
      </c>
      <c r="Y1775" s="5"/>
      <c r="Z1775" s="5" t="str">
        <f ca="1">IFERROR(__xludf.DUMMYFUNCTION("""COMPUTED_VALUE"""),"No")</f>
        <v>No</v>
      </c>
      <c r="AA1775" s="5"/>
      <c r="AB1775" s="5" t="str">
        <f ca="1">IFERROR(__xludf.DUMMYFUNCTION("""COMPUTED_VALUE"""),"No")</f>
        <v>No</v>
      </c>
      <c r="AC1775" s="5" t="str">
        <f ca="1">IFERROR(__xludf.DUMMYFUNCTION("""COMPUTED_VALUE"""),"No")</f>
        <v>No</v>
      </c>
      <c r="AD1775" s="5" t="str">
        <f ca="1">IFERROR(__xludf.DUMMYFUNCTION("""COMPUTED_VALUE"""),"No")</f>
        <v>No</v>
      </c>
      <c r="AE1775" s="5"/>
      <c r="AF1775" s="5" t="str">
        <f ca="1">IFERROR(__xludf.DUMMYFUNCTION("""COMPUTED_VALUE"""),"No")</f>
        <v>No</v>
      </c>
      <c r="AG1775" s="5" t="str">
        <f ca="1">IFERROR(__xludf.DUMMYFUNCTION("""COMPUTED_VALUE"""),"No")</f>
        <v>No</v>
      </c>
      <c r="AH1775" s="5"/>
    </row>
    <row r="1776" spans="1:34" ht="12.75">
      <c r="A1776" s="5" t="str">
        <f ca="1">IFERROR(__xludf.DUMMYFUNCTION("""COMPUTED_VALUE"""),"19871215NYGRB")</f>
        <v>19871215NYGRB</v>
      </c>
      <c r="B1776" s="8">
        <f ca="1">IFERROR(__xludf.DUMMYFUNCTION("""COMPUTED_VALUE"""),32126)</f>
        <v>32126</v>
      </c>
      <c r="C1776" s="5" t="str">
        <f ca="1">IFERROR(__xludf.DUMMYFUNCTION("""COMPUTED_VALUE"""),"Grady Vocational-Technical School")</f>
        <v>Grady Vocational-Technical School</v>
      </c>
      <c r="D1776" s="5">
        <f ca="1">IFERROR(__xludf.DUMMYFUNCTION("""COMPUTED_VALUE"""),0)</f>
        <v>0</v>
      </c>
      <c r="E1776" s="5">
        <f ca="1">IFERROR(__xludf.DUMMYFUNCTION("""COMPUTED_VALUE"""),1)</f>
        <v>1</v>
      </c>
      <c r="F1776" s="5">
        <f ca="1">IFERROR(__xludf.DUMMYFUNCTION("""COMPUTED_VALUE"""),1)</f>
        <v>1</v>
      </c>
      <c r="G1776" s="5">
        <f ca="1">IFERROR(__xludf.DUMMYFUNCTION("""COMPUTED_VALUE"""),0)</f>
        <v>0</v>
      </c>
      <c r="H1776" s="9" t="str">
        <f ca="1">IFERROR(__xludf.DUMMYFUNCTION("""COMPUTED_VALUE"""),"https://www.newspapers.com/image/406009908/?terms=STUDENT%2BSHOT")</f>
        <v>https://www.newspapers.com/image/406009908/?terms=STUDENT%2BSHOT</v>
      </c>
      <c r="I1776" s="5"/>
      <c r="J1776" s="5"/>
      <c r="K1776" s="5">
        <f ca="1">IFERROR(__xludf.DUMMYFUNCTION("""COMPUTED_VALUE"""),2)</f>
        <v>2</v>
      </c>
      <c r="L1776" s="5" t="str">
        <f ca="1">IFERROR(__xludf.DUMMYFUNCTION("""COMPUTED_VALUE"""),"Winter")</f>
        <v>Winter</v>
      </c>
      <c r="M1776" s="5" t="str">
        <f ca="1">IFERROR(__xludf.DUMMYFUNCTION("""COMPUTED_VALUE"""),"Brighton Beach")</f>
        <v>Brighton Beach</v>
      </c>
      <c r="N1776" s="5" t="str">
        <f ca="1">IFERROR(__xludf.DUMMYFUNCTION("""COMPUTED_VALUE"""),"NY")</f>
        <v>NY</v>
      </c>
      <c r="O1776" s="5" t="str">
        <f ca="1">IFERROR(__xludf.DUMMYFUNCTION("""COMPUTED_VALUE"""),"High")</f>
        <v>High</v>
      </c>
      <c r="P1776" s="5" t="str">
        <f ca="1">IFERROR(__xludf.DUMMYFUNCTION("""COMPUTED_VALUE"""),"Inside School Building")</f>
        <v>Inside School Building</v>
      </c>
      <c r="Q1776" s="5" t="str">
        <f ca="1">IFERROR(__xludf.DUMMYFUNCTION("""COMPUTED_VALUE"""),"Inside School Building")</f>
        <v>Inside School Building</v>
      </c>
      <c r="R1776" s="5" t="str">
        <f ca="1">IFERROR(__xludf.DUMMYFUNCTION("""COMPUTED_VALUE"""),"Yes")</f>
        <v>Yes</v>
      </c>
      <c r="S1776" s="5" t="str">
        <f ca="1">IFERROR(__xludf.DUMMYFUNCTION("""COMPUTED_VALUE"""),"Morning Classes")</f>
        <v>Morning Classes</v>
      </c>
      <c r="T1776" s="10">
        <f ca="1">IFERROR(__xludf.DUMMYFUNCTION("""COMPUTED_VALUE"""),0.40625)</f>
        <v>0.40625</v>
      </c>
      <c r="U1776" s="5">
        <f ca="1">IFERROR(__xludf.DUMMYFUNCTION("""COMPUTED_VALUE"""),1)</f>
        <v>1</v>
      </c>
      <c r="V1776" s="5" t="str">
        <f ca="1">IFERROR(__xludf.DUMMYFUNCTION("""COMPUTED_VALUE"""),"Accidental discharge showing off gun")</f>
        <v>Accidental discharge showing off gun</v>
      </c>
      <c r="W1776"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X1776" s="5" t="str">
        <f ca="1">IFERROR(__xludf.DUMMYFUNCTION("""COMPUTED_VALUE"""),"Accidental")</f>
        <v>Accidental</v>
      </c>
      <c r="Y1776" s="5" t="str">
        <f ca="1">IFERROR(__xludf.DUMMYFUNCTION("""COMPUTED_VALUE"""),"Random Shooting")</f>
        <v>Random Shooting</v>
      </c>
      <c r="Z1776" s="5" t="str">
        <f ca="1">IFERROR(__xludf.DUMMYFUNCTION("""COMPUTED_VALUE"""),"No")</f>
        <v>No</v>
      </c>
      <c r="AA1776" s="5"/>
      <c r="AB1776" s="5" t="str">
        <f ca="1">IFERROR(__xludf.DUMMYFUNCTION("""COMPUTED_VALUE"""),"No")</f>
        <v>No</v>
      </c>
      <c r="AC1776" s="5" t="str">
        <f ca="1">IFERROR(__xludf.DUMMYFUNCTION("""COMPUTED_VALUE"""),"No")</f>
        <v>No</v>
      </c>
      <c r="AD1776" s="5" t="str">
        <f ca="1">IFERROR(__xludf.DUMMYFUNCTION("""COMPUTED_VALUE"""),"No")</f>
        <v>No</v>
      </c>
      <c r="AE1776" s="5" t="str">
        <f ca="1">IFERROR(__xludf.DUMMYFUNCTION("""COMPUTED_VALUE"""),"No")</f>
        <v>No</v>
      </c>
      <c r="AF1776" s="5" t="str">
        <f ca="1">IFERROR(__xludf.DUMMYFUNCTION("""COMPUTED_VALUE"""),"No")</f>
        <v>No</v>
      </c>
      <c r="AG1776" s="5" t="str">
        <f ca="1">IFERROR(__xludf.DUMMYFUNCTION("""COMPUTED_VALUE"""),"No")</f>
        <v>No</v>
      </c>
      <c r="AH1776" s="5"/>
    </row>
    <row r="1777" spans="1:34" ht="12.75">
      <c r="A1777" s="5" t="str">
        <f ca="1">IFERROR(__xludf.DUMMYFUNCTION("""COMPUTED_VALUE"""),"19871204NYEAN")</f>
        <v>19871204NYEAN</v>
      </c>
      <c r="B1777" s="8">
        <f ca="1">IFERROR(__xludf.DUMMYFUNCTION("""COMPUTED_VALUE"""),32115)</f>
        <v>32115</v>
      </c>
      <c r="C1777" s="5" t="str">
        <f ca="1">IFERROR(__xludf.DUMMYFUNCTION("""COMPUTED_VALUE"""),"East New York High School of Transit Technology")</f>
        <v>East New York High School of Transit Technology</v>
      </c>
      <c r="D1777" s="5">
        <f ca="1">IFERROR(__xludf.DUMMYFUNCTION("""COMPUTED_VALUE"""),0)</f>
        <v>0</v>
      </c>
      <c r="E1777" s="5">
        <f ca="1">IFERROR(__xludf.DUMMYFUNCTION("""COMPUTED_VALUE"""),1)</f>
        <v>1</v>
      </c>
      <c r="F1777" s="5">
        <f ca="1">IFERROR(__xludf.DUMMYFUNCTION("""COMPUTED_VALUE"""),1)</f>
        <v>1</v>
      </c>
      <c r="G1777" s="5">
        <f ca="1">IFERROR(__xludf.DUMMYFUNCTION("""COMPUTED_VALUE"""),0)</f>
        <v>0</v>
      </c>
      <c r="H1777"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I1777" s="5"/>
      <c r="J1777" s="5"/>
      <c r="K1777" s="5">
        <f ca="1">IFERROR(__xludf.DUMMYFUNCTION("""COMPUTED_VALUE"""),3)</f>
        <v>3</v>
      </c>
      <c r="L1777" s="5" t="str">
        <f ca="1">IFERROR(__xludf.DUMMYFUNCTION("""COMPUTED_VALUE"""),"Winter")</f>
        <v>Winter</v>
      </c>
      <c r="M1777" s="5" t="str">
        <f ca="1">IFERROR(__xludf.DUMMYFUNCTION("""COMPUTED_VALUE"""),"New York")</f>
        <v>New York</v>
      </c>
      <c r="N1777" s="5" t="str">
        <f ca="1">IFERROR(__xludf.DUMMYFUNCTION("""COMPUTED_VALUE"""),"NY")</f>
        <v>NY</v>
      </c>
      <c r="O1777" s="5" t="str">
        <f ca="1">IFERROR(__xludf.DUMMYFUNCTION("""COMPUTED_VALUE"""),"High")</f>
        <v>High</v>
      </c>
      <c r="P1777" s="5" t="str">
        <f ca="1">IFERROR(__xludf.DUMMYFUNCTION("""COMPUTED_VALUE"""),"Hallway")</f>
        <v>Hallway</v>
      </c>
      <c r="Q1777" s="5" t="str">
        <f ca="1">IFERROR(__xludf.DUMMYFUNCTION("""COMPUTED_VALUE"""),"Inside School Building")</f>
        <v>Inside School Building</v>
      </c>
      <c r="R1777" s="5" t="str">
        <f ca="1">IFERROR(__xludf.DUMMYFUNCTION("""COMPUTED_VALUE"""),"Yes")</f>
        <v>Yes</v>
      </c>
      <c r="S1777" s="5" t="str">
        <f ca="1">IFERROR(__xludf.DUMMYFUNCTION("""COMPUTED_VALUE"""),"Afternoon Classes")</f>
        <v>Afternoon Classes</v>
      </c>
      <c r="T1777" s="10">
        <f ca="1">IFERROR(__xludf.DUMMYFUNCTION("""COMPUTED_VALUE"""),0.538194444444444)</f>
        <v>0.53819444444444398</v>
      </c>
      <c r="U1777" s="5">
        <f ca="1">IFERROR(__xludf.DUMMYFUNCTION("""COMPUTED_VALUE"""),1)</f>
        <v>1</v>
      </c>
      <c r="V1777" s="5" t="str">
        <f ca="1">IFERROR(__xludf.DUMMYFUNCTION("""COMPUTED_VALUE"""),"Shooter was hired by victim to kill her / failed attempt")</f>
        <v>Shooter was hired by victim to kill her / failed attempt</v>
      </c>
      <c r="W1777"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X1777" s="5" t="str">
        <f ca="1">IFERROR(__xludf.DUMMYFUNCTION("""COMPUTED_VALUE"""),"Domestic w/ Targeted Victim")</f>
        <v>Domestic w/ Targeted Victim</v>
      </c>
      <c r="Y1777" s="5" t="str">
        <f ca="1">IFERROR(__xludf.DUMMYFUNCTION("""COMPUTED_VALUE"""),"Victims Targeted")</f>
        <v>Victims Targeted</v>
      </c>
      <c r="Z1777" s="5" t="str">
        <f ca="1">IFERROR(__xludf.DUMMYFUNCTION("""COMPUTED_VALUE"""),"No")</f>
        <v>No</v>
      </c>
      <c r="AA1777" s="5"/>
      <c r="AB1777" s="5" t="str">
        <f ca="1">IFERROR(__xludf.DUMMYFUNCTION("""COMPUTED_VALUE"""),"No")</f>
        <v>No</v>
      </c>
      <c r="AC1777" s="5" t="str">
        <f ca="1">IFERROR(__xludf.DUMMYFUNCTION("""COMPUTED_VALUE"""),"No")</f>
        <v>No</v>
      </c>
      <c r="AD1777" s="5" t="str">
        <f ca="1">IFERROR(__xludf.DUMMYFUNCTION("""COMPUTED_VALUE"""),"No")</f>
        <v>No</v>
      </c>
      <c r="AE1777" s="5" t="str">
        <f ca="1">IFERROR(__xludf.DUMMYFUNCTION("""COMPUTED_VALUE"""),"No")</f>
        <v>No</v>
      </c>
      <c r="AF1777" s="5" t="str">
        <f ca="1">IFERROR(__xludf.DUMMYFUNCTION("""COMPUTED_VALUE"""),"No")</f>
        <v>No</v>
      </c>
      <c r="AG1777" s="5" t="str">
        <f ca="1">IFERROR(__xludf.DUMMYFUNCTION("""COMPUTED_VALUE"""),"No")</f>
        <v>No</v>
      </c>
      <c r="AH1777" s="5"/>
    </row>
    <row r="1778" spans="1:34" ht="12.75">
      <c r="A1778" s="5" t="str">
        <f ca="1">IFERROR(__xludf.DUMMYFUNCTION("""COMPUTED_VALUE"""),"19871202FLENJ")</f>
        <v>19871202FLENJ</v>
      </c>
      <c r="B1778" s="8">
        <f ca="1">IFERROR(__xludf.DUMMYFUNCTION("""COMPUTED_VALUE"""),32113)</f>
        <v>32113</v>
      </c>
      <c r="C1778" s="5" t="str">
        <f ca="1">IFERROR(__xludf.DUMMYFUNCTION("""COMPUTED_VALUE"""),"Englewood High School")</f>
        <v>Englewood High School</v>
      </c>
      <c r="D1778" s="5">
        <f ca="1">IFERROR(__xludf.DUMMYFUNCTION("""COMPUTED_VALUE"""),0)</f>
        <v>0</v>
      </c>
      <c r="E1778" s="5">
        <f ca="1">IFERROR(__xludf.DUMMYFUNCTION("""COMPUTED_VALUE"""),0)</f>
        <v>0</v>
      </c>
      <c r="F1778" s="5">
        <f ca="1">IFERROR(__xludf.DUMMYFUNCTION("""COMPUTED_VALUE"""),0)</f>
        <v>0</v>
      </c>
      <c r="G1778" s="5">
        <f ca="1">IFERROR(__xludf.DUMMYFUNCTION("""COMPUTED_VALUE"""),0)</f>
        <v>0</v>
      </c>
      <c r="H1778" s="9" t="str">
        <f ca="1">IFERROR(__xludf.DUMMYFUNCTION("""COMPUTED_VALUE"""),"https://www.newspapers.com/image/321411477/?terms=student%2Bshoots%2Bdean%2Bcar")</f>
        <v>https://www.newspapers.com/image/321411477/?terms=student%2Bshoots%2Bdean%2Bcar</v>
      </c>
      <c r="I1778" s="5"/>
      <c r="J1778" s="5"/>
      <c r="K1778" s="5">
        <f ca="1">IFERROR(__xludf.DUMMYFUNCTION("""COMPUTED_VALUE"""),2)</f>
        <v>2</v>
      </c>
      <c r="L1778" s="5" t="str">
        <f ca="1">IFERROR(__xludf.DUMMYFUNCTION("""COMPUTED_VALUE"""),"Winter")</f>
        <v>Winter</v>
      </c>
      <c r="M1778" s="5" t="str">
        <f ca="1">IFERROR(__xludf.DUMMYFUNCTION("""COMPUTED_VALUE"""),"Jacksonville")</f>
        <v>Jacksonville</v>
      </c>
      <c r="N1778" s="5" t="str">
        <f ca="1">IFERROR(__xludf.DUMMYFUNCTION("""COMPUTED_VALUE"""),"FL")</f>
        <v>FL</v>
      </c>
      <c r="O1778" s="5" t="str">
        <f ca="1">IFERROR(__xludf.DUMMYFUNCTION("""COMPUTED_VALUE"""),"High")</f>
        <v>High</v>
      </c>
      <c r="P1778" s="5" t="str">
        <f ca="1">IFERROR(__xludf.DUMMYFUNCTION("""COMPUTED_VALUE"""),"Parking Lot")</f>
        <v>Parking Lot</v>
      </c>
      <c r="Q1778" s="5" t="str">
        <f ca="1">IFERROR(__xludf.DUMMYFUNCTION("""COMPUTED_VALUE"""),"Outside on School Property")</f>
        <v>Outside on School Property</v>
      </c>
      <c r="R1778" s="5" t="str">
        <f ca="1">IFERROR(__xludf.DUMMYFUNCTION("""COMPUTED_VALUE"""),"Yes")</f>
        <v>Yes</v>
      </c>
      <c r="S1778" s="5"/>
      <c r="T1778" s="5"/>
      <c r="U1778" s="5"/>
      <c r="V1778" s="5" t="str">
        <f ca="1">IFERROR(__xludf.DUMMYFUNCTION("""COMPUTED_VALUE"""),"Shot principals car in parking lot")</f>
        <v>Shot principals car in parking lot</v>
      </c>
      <c r="W1778"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X1778" s="5" t="str">
        <f ca="1">IFERROR(__xludf.DUMMYFUNCTION("""COMPUTED_VALUE"""),"Intentional Property Damage")</f>
        <v>Intentional Property Damage</v>
      </c>
      <c r="Y1778" s="5" t="str">
        <f ca="1">IFERROR(__xludf.DUMMYFUNCTION("""COMPUTED_VALUE"""),"NA")</f>
        <v>NA</v>
      </c>
      <c r="Z1778" s="5" t="str">
        <f ca="1">IFERROR(__xludf.DUMMYFUNCTION("""COMPUTED_VALUE"""),"No")</f>
        <v>No</v>
      </c>
      <c r="AA1778" s="5"/>
      <c r="AB1778" s="5" t="str">
        <f ca="1">IFERROR(__xludf.DUMMYFUNCTION("""COMPUTED_VALUE"""),"No")</f>
        <v>No</v>
      </c>
      <c r="AC1778" s="5" t="str">
        <f ca="1">IFERROR(__xludf.DUMMYFUNCTION("""COMPUTED_VALUE"""),"No")</f>
        <v>No</v>
      </c>
      <c r="AD1778" s="5" t="str">
        <f ca="1">IFERROR(__xludf.DUMMYFUNCTION("""COMPUTED_VALUE"""),"No")</f>
        <v>No</v>
      </c>
      <c r="AE1778" s="5"/>
      <c r="AF1778" s="5"/>
      <c r="AG1778" s="5" t="str">
        <f ca="1">IFERROR(__xludf.DUMMYFUNCTION("""COMPUTED_VALUE"""),"No")</f>
        <v>No</v>
      </c>
      <c r="AH1778" s="5"/>
    </row>
    <row r="1779" spans="1:34" ht="12.75">
      <c r="A1779" s="5" t="str">
        <f ca="1">IFERROR(__xludf.DUMMYFUNCTION("""COMPUTED_VALUE"""),"19871130TXPES")</f>
        <v>19871130TXPES</v>
      </c>
      <c r="B1779" s="8">
        <f ca="1">IFERROR(__xludf.DUMMYFUNCTION("""COMPUTED_VALUE"""),32111)</f>
        <v>32111</v>
      </c>
      <c r="C1779" s="5" t="str">
        <f ca="1">IFERROR(__xludf.DUMMYFUNCTION("""COMPUTED_VALUE"""),"Perales Elementary School")</f>
        <v>Perales Elementary School</v>
      </c>
      <c r="D1779" s="5">
        <f ca="1">IFERROR(__xludf.DUMMYFUNCTION("""COMPUTED_VALUE"""),1)</f>
        <v>1</v>
      </c>
      <c r="E1779" s="5">
        <f ca="1">IFERROR(__xludf.DUMMYFUNCTION("""COMPUTED_VALUE"""),0)</f>
        <v>0</v>
      </c>
      <c r="F1779" s="5">
        <f ca="1">IFERROR(__xludf.DUMMYFUNCTION("""COMPUTED_VALUE"""),1)</f>
        <v>1</v>
      </c>
      <c r="G1779" s="5">
        <f ca="1">IFERROR(__xludf.DUMMYFUNCTION("""COMPUTED_VALUE"""),1)</f>
        <v>1</v>
      </c>
      <c r="H1779" s="9" t="str">
        <f ca="1">IFERROR(__xludf.DUMMYFUNCTION("""COMPUTED_VALUE"""),"https://www.newspapers.com/image/322419384/?terms=MARIA%2BSOLIS")</f>
        <v>https://www.newspapers.com/image/322419384/?terms=MARIA%2BSOLIS</v>
      </c>
      <c r="I1779" s="5"/>
      <c r="J1779" s="5"/>
      <c r="K1779" s="5">
        <f ca="1">IFERROR(__xludf.DUMMYFUNCTION("""COMPUTED_VALUE"""),2)</f>
        <v>2</v>
      </c>
      <c r="L1779" s="5" t="str">
        <f ca="1">IFERROR(__xludf.DUMMYFUNCTION("""COMPUTED_VALUE"""),"Fall")</f>
        <v>Fall</v>
      </c>
      <c r="M1779" s="5" t="str">
        <f ca="1">IFERROR(__xludf.DUMMYFUNCTION("""COMPUTED_VALUE"""),"San Antonio")</f>
        <v>San Antonio</v>
      </c>
      <c r="N1779" s="5" t="str">
        <f ca="1">IFERROR(__xludf.DUMMYFUNCTION("""COMPUTED_VALUE"""),"TX")</f>
        <v>TX</v>
      </c>
      <c r="O1779" s="5" t="str">
        <f ca="1">IFERROR(__xludf.DUMMYFUNCTION("""COMPUTED_VALUE"""),"Elementary")</f>
        <v>Elementary</v>
      </c>
      <c r="P1779" s="5" t="str">
        <f ca="1">IFERROR(__xludf.DUMMYFUNCTION("""COMPUTED_VALUE"""),"Parking Lot")</f>
        <v>Parking Lot</v>
      </c>
      <c r="Q1779" s="5" t="str">
        <f ca="1">IFERROR(__xludf.DUMMYFUNCTION("""COMPUTED_VALUE"""),"Outside on School Property")</f>
        <v>Outside on School Property</v>
      </c>
      <c r="R1779" s="5" t="str">
        <f ca="1">IFERROR(__xludf.DUMMYFUNCTION("""COMPUTED_VALUE"""),"Yes")</f>
        <v>Yes</v>
      </c>
      <c r="S1779" s="5" t="str">
        <f ca="1">IFERROR(__xludf.DUMMYFUNCTION("""COMPUTED_VALUE"""),"Dismissal")</f>
        <v>Dismissal</v>
      </c>
      <c r="T1779" s="10">
        <f ca="1">IFERROR(__xludf.DUMMYFUNCTION("""COMPUTED_VALUE"""),0.659722222222222)</f>
        <v>0.65972222222222199</v>
      </c>
      <c r="U1779" s="5">
        <f ca="1">IFERROR(__xludf.DUMMYFUNCTION("""COMPUTED_VALUE"""),1)</f>
        <v>1</v>
      </c>
      <c r="V1779" s="5" t="str">
        <f ca="1">IFERROR(__xludf.DUMMYFUNCTION("""COMPUTED_VALUE"""),"Murder of wife, then shot/killed self in school parking lot")</f>
        <v>Murder of wife, then shot/killed self in school parking lot</v>
      </c>
      <c r="W1779"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X1779" s="5" t="str">
        <f ca="1">IFERROR(__xludf.DUMMYFUNCTION("""COMPUTED_VALUE"""),"Murder/Suicide")</f>
        <v>Murder/Suicide</v>
      </c>
      <c r="Y1779" s="5" t="str">
        <f ca="1">IFERROR(__xludf.DUMMYFUNCTION("""COMPUTED_VALUE"""),"Victims Targeted")</f>
        <v>Victims Targeted</v>
      </c>
      <c r="Z1779" s="5" t="str">
        <f ca="1">IFERROR(__xludf.DUMMYFUNCTION("""COMPUTED_VALUE"""),"No")</f>
        <v>No</v>
      </c>
      <c r="AA1779" s="5"/>
      <c r="AB1779" s="5" t="str">
        <f ca="1">IFERROR(__xludf.DUMMYFUNCTION("""COMPUTED_VALUE"""),"No")</f>
        <v>No</v>
      </c>
      <c r="AC1779" s="5" t="str">
        <f ca="1">IFERROR(__xludf.DUMMYFUNCTION("""COMPUTED_VALUE"""),"No")</f>
        <v>No</v>
      </c>
      <c r="AD1779" s="5" t="str">
        <f ca="1">IFERROR(__xludf.DUMMYFUNCTION("""COMPUTED_VALUE"""),"No")</f>
        <v>No</v>
      </c>
      <c r="AE1779" s="5" t="str">
        <f ca="1">IFERROR(__xludf.DUMMYFUNCTION("""COMPUTED_VALUE"""),"No")</f>
        <v>No</v>
      </c>
      <c r="AF1779" s="5" t="str">
        <f ca="1">IFERROR(__xludf.DUMMYFUNCTION("""COMPUTED_VALUE"""),"Yes")</f>
        <v>Yes</v>
      </c>
      <c r="AG1779" s="5" t="str">
        <f ca="1">IFERROR(__xludf.DUMMYFUNCTION("""COMPUTED_VALUE"""),"No")</f>
        <v>No</v>
      </c>
      <c r="AH1779" s="5"/>
    </row>
    <row r="1780" spans="1:34" ht="12.75">
      <c r="A1780" s="5" t="str">
        <f ca="1">IFERROR(__xludf.DUMMYFUNCTION("""COMPUTED_VALUE"""),"19871114FLCLC")</f>
        <v>19871114FLCLC</v>
      </c>
      <c r="B1780" s="8">
        <f ca="1">IFERROR(__xludf.DUMMYFUNCTION("""COMPUTED_VALUE"""),32095)</f>
        <v>32095</v>
      </c>
      <c r="C1780" s="5" t="str">
        <f ca="1">IFERROR(__xludf.DUMMYFUNCTION("""COMPUTED_VALUE"""),"Clearwater High School")</f>
        <v>Clearwater High School</v>
      </c>
      <c r="D1780" s="5">
        <f ca="1">IFERROR(__xludf.DUMMYFUNCTION("""COMPUTED_VALUE"""),0)</f>
        <v>0</v>
      </c>
      <c r="E1780" s="5">
        <f ca="1">IFERROR(__xludf.DUMMYFUNCTION("""COMPUTED_VALUE"""),0)</f>
        <v>0</v>
      </c>
      <c r="F1780" s="5">
        <f ca="1">IFERROR(__xludf.DUMMYFUNCTION("""COMPUTED_VALUE"""),0)</f>
        <v>0</v>
      </c>
      <c r="G1780" s="5">
        <f ca="1">IFERROR(__xludf.DUMMYFUNCTION("""COMPUTED_VALUE"""),1)</f>
        <v>1</v>
      </c>
      <c r="H1780" s="9" t="str">
        <f ca="1">IFERROR(__xludf.DUMMYFUNCTION("""COMPUTED_VALUE"""),"https://www.newspapers.com/image/322900608/?terms=student%2Bshot")</f>
        <v>https://www.newspapers.com/image/322900608/?terms=student%2Bshot</v>
      </c>
      <c r="I1780" s="5"/>
      <c r="J1780" s="5"/>
      <c r="K1780" s="5">
        <f ca="1">IFERROR(__xludf.DUMMYFUNCTION("""COMPUTED_VALUE"""),2)</f>
        <v>2</v>
      </c>
      <c r="L1780" s="5" t="str">
        <f ca="1">IFERROR(__xludf.DUMMYFUNCTION("""COMPUTED_VALUE"""),"Fall")</f>
        <v>Fall</v>
      </c>
      <c r="M1780" s="5" t="str">
        <f ca="1">IFERROR(__xludf.DUMMYFUNCTION("""COMPUTED_VALUE"""),"Clearwater")</f>
        <v>Clearwater</v>
      </c>
      <c r="N1780" s="5" t="str">
        <f ca="1">IFERROR(__xludf.DUMMYFUNCTION("""COMPUTED_VALUE"""),"FL")</f>
        <v>FL</v>
      </c>
      <c r="O1780" s="5" t="str">
        <f ca="1">IFERROR(__xludf.DUMMYFUNCTION("""COMPUTED_VALUE"""),"High")</f>
        <v>High</v>
      </c>
      <c r="P1780" s="5" t="str">
        <f ca="1">IFERROR(__xludf.DUMMYFUNCTION("""COMPUTED_VALUE"""),"Outside on School Property")</f>
        <v>Outside on School Property</v>
      </c>
      <c r="Q1780" s="5" t="str">
        <f ca="1">IFERROR(__xludf.DUMMYFUNCTION("""COMPUTED_VALUE"""),"Outside on School Property")</f>
        <v>Outside on School Property</v>
      </c>
      <c r="R1780" s="5" t="str">
        <f ca="1">IFERROR(__xludf.DUMMYFUNCTION("""COMPUTED_VALUE"""),"No")</f>
        <v>No</v>
      </c>
      <c r="S1780" s="5"/>
      <c r="T1780" s="5"/>
      <c r="U1780" s="5">
        <f ca="1">IFERROR(__xludf.DUMMYFUNCTION("""COMPUTED_VALUE"""),1)</f>
        <v>1</v>
      </c>
      <c r="V1780" s="5" t="str">
        <f ca="1">IFERROR(__xludf.DUMMYFUNCTION("""COMPUTED_VALUE"""),"Suicide in school parking lot. Found Saturday by maintenance")</f>
        <v>Suicide in school parking lot. Found Saturday by maintenance</v>
      </c>
      <c r="W1780" s="5" t="str">
        <f ca="1">IFERROR(__xludf.DUMMYFUNCTION("""COMPUTED_VALUE"""),"Student shot himself in the chest - left notes that he was unhappy with his life.")</f>
        <v>Student shot himself in the chest - left notes that he was unhappy with his life.</v>
      </c>
      <c r="X1780" s="5" t="str">
        <f ca="1">IFERROR(__xludf.DUMMYFUNCTION("""COMPUTED_VALUE"""),"Suicide/Attempted")</f>
        <v>Suicide/Attempted</v>
      </c>
      <c r="Y1780" s="5" t="str">
        <f ca="1">IFERROR(__xludf.DUMMYFUNCTION("""COMPUTED_VALUE"""),"Victims Targeted")</f>
        <v>Victims Targeted</v>
      </c>
      <c r="Z1780" s="5" t="str">
        <f ca="1">IFERROR(__xludf.DUMMYFUNCTION("""COMPUTED_VALUE"""),"No")</f>
        <v>No</v>
      </c>
      <c r="AA1780" s="5"/>
      <c r="AB1780" s="5" t="str">
        <f ca="1">IFERROR(__xludf.DUMMYFUNCTION("""COMPUTED_VALUE"""),"No")</f>
        <v>No</v>
      </c>
      <c r="AC1780" s="5" t="str">
        <f ca="1">IFERROR(__xludf.DUMMYFUNCTION("""COMPUTED_VALUE"""),"No")</f>
        <v>No</v>
      </c>
      <c r="AD1780" s="5" t="str">
        <f ca="1">IFERROR(__xludf.DUMMYFUNCTION("""COMPUTED_VALUE"""),"No")</f>
        <v>No</v>
      </c>
      <c r="AE1780" s="5" t="str">
        <f ca="1">IFERROR(__xludf.DUMMYFUNCTION("""COMPUTED_VALUE"""),"No")</f>
        <v>No</v>
      </c>
      <c r="AF1780" s="5" t="str">
        <f ca="1">IFERROR(__xludf.DUMMYFUNCTION("""COMPUTED_VALUE"""),"No")</f>
        <v>No</v>
      </c>
      <c r="AG1780" s="5" t="str">
        <f ca="1">IFERROR(__xludf.DUMMYFUNCTION("""COMPUTED_VALUE"""),"No")</f>
        <v>No</v>
      </c>
      <c r="AH1780" s="5"/>
    </row>
    <row r="1781" spans="1:34" ht="12.75">
      <c r="A1781" s="5" t="str">
        <f ca="1">IFERROR(__xludf.DUMMYFUNCTION("""COMPUTED_VALUE"""),"19871104MISOD")</f>
        <v>19871104MISOD</v>
      </c>
      <c r="B1781" s="8">
        <f ca="1">IFERROR(__xludf.DUMMYFUNCTION("""COMPUTED_VALUE"""),32085)</f>
        <v>32085</v>
      </c>
      <c r="C1781" s="5" t="str">
        <f ca="1">IFERROR(__xludf.DUMMYFUNCTION("""COMPUTED_VALUE"""),"Southwestern High School")</f>
        <v>Southwestern High School</v>
      </c>
      <c r="D1781" s="5">
        <f ca="1">IFERROR(__xludf.DUMMYFUNCTION("""COMPUTED_VALUE"""),0)</f>
        <v>0</v>
      </c>
      <c r="E1781" s="5">
        <f ca="1">IFERROR(__xludf.DUMMYFUNCTION("""COMPUTED_VALUE"""),1)</f>
        <v>1</v>
      </c>
      <c r="F1781" s="5">
        <f ca="1">IFERROR(__xludf.DUMMYFUNCTION("""COMPUTED_VALUE"""),1)</f>
        <v>1</v>
      </c>
      <c r="G1781" s="5">
        <f ca="1">IFERROR(__xludf.DUMMYFUNCTION("""COMPUTED_VALUE"""),0)</f>
        <v>0</v>
      </c>
      <c r="H1781" s="9" t="str">
        <f ca="1">IFERROR(__xludf.DUMMYFUNCTION("""COMPUTED_VALUE"""),"https://www.newspapers.com/image/99920647/?terms=STUDENT%2BSHOT")</f>
        <v>https://www.newspapers.com/image/99920647/?terms=STUDENT%2BSHOT</v>
      </c>
      <c r="I1781" s="5"/>
      <c r="J1781" s="5"/>
      <c r="K1781" s="5">
        <f ca="1">IFERROR(__xludf.DUMMYFUNCTION("""COMPUTED_VALUE"""),2)</f>
        <v>2</v>
      </c>
      <c r="L1781" s="5" t="str">
        <f ca="1">IFERROR(__xludf.DUMMYFUNCTION("""COMPUTED_VALUE"""),"Fall")</f>
        <v>Fall</v>
      </c>
      <c r="M1781" s="5" t="str">
        <f ca="1">IFERROR(__xludf.DUMMYFUNCTION("""COMPUTED_VALUE"""),"Detroit")</f>
        <v>Detroit</v>
      </c>
      <c r="N1781" s="5" t="str">
        <f ca="1">IFERROR(__xludf.DUMMYFUNCTION("""COMPUTED_VALUE"""),"MI")</f>
        <v>MI</v>
      </c>
      <c r="O1781" s="5" t="str">
        <f ca="1">IFERROR(__xludf.DUMMYFUNCTION("""COMPUTED_VALUE"""),"High")</f>
        <v>High</v>
      </c>
      <c r="P1781" s="5" t="str">
        <f ca="1">IFERROR(__xludf.DUMMYFUNCTION("""COMPUTED_VALUE"""),"Parking Lot")</f>
        <v>Parking Lot</v>
      </c>
      <c r="Q1781" s="5" t="str">
        <f ca="1">IFERROR(__xludf.DUMMYFUNCTION("""COMPUTED_VALUE"""),"Outside on School Property")</f>
        <v>Outside on School Property</v>
      </c>
      <c r="R1781" s="5" t="str">
        <f ca="1">IFERROR(__xludf.DUMMYFUNCTION("""COMPUTED_VALUE"""),"Yes")</f>
        <v>Yes</v>
      </c>
      <c r="S1781" s="5" t="str">
        <f ca="1">IFERROR(__xludf.DUMMYFUNCTION("""COMPUTED_VALUE"""),"Morning Classes")</f>
        <v>Morning Classes</v>
      </c>
      <c r="T1781" s="10">
        <f ca="1">IFERROR(__xludf.DUMMYFUNCTION("""COMPUTED_VALUE"""),0.451388888888888)</f>
        <v>0.45138888888888801</v>
      </c>
      <c r="U1781" s="5">
        <f ca="1">IFERROR(__xludf.DUMMYFUNCTION("""COMPUTED_VALUE"""),1)</f>
        <v>1</v>
      </c>
      <c r="V1781" s="5" t="str">
        <f ca="1">IFERROR(__xludf.DUMMYFUNCTION("""COMPUTED_VALUE"""),"Shot during robbery attempt")</f>
        <v>Shot during robbery attempt</v>
      </c>
      <c r="W1781"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X1781" s="5" t="str">
        <f ca="1">IFERROR(__xludf.DUMMYFUNCTION("""COMPUTED_VALUE"""),"Illegal Activity")</f>
        <v>Illegal Activity</v>
      </c>
      <c r="Y1781" s="5" t="str">
        <f ca="1">IFERROR(__xludf.DUMMYFUNCTION("""COMPUTED_VALUE"""),"Victims Targeted")</f>
        <v>Victims Targeted</v>
      </c>
      <c r="Z1781" s="5" t="str">
        <f ca="1">IFERROR(__xludf.DUMMYFUNCTION("""COMPUTED_VALUE"""),"No")</f>
        <v>No</v>
      </c>
      <c r="AA1781" s="5"/>
      <c r="AB1781" s="5" t="str">
        <f ca="1">IFERROR(__xludf.DUMMYFUNCTION("""COMPUTED_VALUE"""),"No")</f>
        <v>No</v>
      </c>
      <c r="AC1781" s="5" t="str">
        <f ca="1">IFERROR(__xludf.DUMMYFUNCTION("""COMPUTED_VALUE"""),"No")</f>
        <v>No</v>
      </c>
      <c r="AD1781" s="5" t="str">
        <f ca="1">IFERROR(__xludf.DUMMYFUNCTION("""COMPUTED_VALUE"""),"No")</f>
        <v>No</v>
      </c>
      <c r="AE1781" s="5" t="str">
        <f ca="1">IFERROR(__xludf.DUMMYFUNCTION("""COMPUTED_VALUE"""),"No")</f>
        <v>No</v>
      </c>
      <c r="AF1781" s="5" t="str">
        <f ca="1">IFERROR(__xludf.DUMMYFUNCTION("""COMPUTED_VALUE"""),"No")</f>
        <v>No</v>
      </c>
      <c r="AG1781" s="5" t="str">
        <f ca="1">IFERROR(__xludf.DUMMYFUNCTION("""COMPUTED_VALUE"""),"No")</f>
        <v>No</v>
      </c>
      <c r="AH1781" s="5"/>
    </row>
    <row r="1782" spans="1:34" ht="12.75">
      <c r="A1782" s="5" t="str">
        <f ca="1">IFERROR(__xludf.DUMMYFUNCTION("""COMPUTED_VALUE"""),"19871031SCANA")</f>
        <v>19871031SCANA</v>
      </c>
      <c r="B1782" s="8">
        <f ca="1">IFERROR(__xludf.DUMMYFUNCTION("""COMPUTED_VALUE"""),32081)</f>
        <v>32081</v>
      </c>
      <c r="C1782" s="5" t="str">
        <f ca="1">IFERROR(__xludf.DUMMYFUNCTION("""COMPUTED_VALUE"""),"Andrews High School")</f>
        <v>Andrews High School</v>
      </c>
      <c r="D1782" s="5">
        <f ca="1">IFERROR(__xludf.DUMMYFUNCTION("""COMPUTED_VALUE"""),0)</f>
        <v>0</v>
      </c>
      <c r="E1782" s="5">
        <f ca="1">IFERROR(__xludf.DUMMYFUNCTION("""COMPUTED_VALUE"""),8)</f>
        <v>8</v>
      </c>
      <c r="F1782" s="5">
        <f ca="1">IFERROR(__xludf.DUMMYFUNCTION("""COMPUTED_VALUE"""),8)</f>
        <v>8</v>
      </c>
      <c r="G1782" s="5">
        <f ca="1">IFERROR(__xludf.DUMMYFUNCTION("""COMPUTED_VALUE"""),0)</f>
        <v>0</v>
      </c>
      <c r="H1782"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I1782" s="5">
        <f ca="1">IFERROR(__xludf.DUMMYFUNCTION("""COMPUTED_VALUE"""),100)</f>
        <v>100</v>
      </c>
      <c r="J1782" s="5" t="str">
        <f ca="1">IFERROR(__xludf.DUMMYFUNCTION("""COMPUTED_VALUE"""),"National")</f>
        <v>National</v>
      </c>
      <c r="K1782" s="5">
        <f ca="1">IFERROR(__xludf.DUMMYFUNCTION("""COMPUTED_VALUE"""),4)</f>
        <v>4</v>
      </c>
      <c r="L1782" s="5" t="str">
        <f ca="1">IFERROR(__xludf.DUMMYFUNCTION("""COMPUTED_VALUE"""),"Fall")</f>
        <v>Fall</v>
      </c>
      <c r="M1782" s="5" t="str">
        <f ca="1">IFERROR(__xludf.DUMMYFUNCTION("""COMPUTED_VALUE"""),"Andrews")</f>
        <v>Andrews</v>
      </c>
      <c r="N1782" s="5" t="str">
        <f ca="1">IFERROR(__xludf.DUMMYFUNCTION("""COMPUTED_VALUE"""),"SC")</f>
        <v>SC</v>
      </c>
      <c r="O1782" s="5" t="str">
        <f ca="1">IFERROR(__xludf.DUMMYFUNCTION("""COMPUTED_VALUE"""),"High")</f>
        <v>High</v>
      </c>
      <c r="P1782" s="5" t="str">
        <f ca="1">IFERROR(__xludf.DUMMYFUNCTION("""COMPUTED_VALUE"""),"Football Field/Track")</f>
        <v>Football Field/Track</v>
      </c>
      <c r="Q1782" s="5" t="str">
        <f ca="1">IFERROR(__xludf.DUMMYFUNCTION("""COMPUTED_VALUE"""),"Outside on School Property")</f>
        <v>Outside on School Property</v>
      </c>
      <c r="R1782" s="5" t="str">
        <f ca="1">IFERROR(__xludf.DUMMYFUNCTION("""COMPUTED_VALUE"""),"No")</f>
        <v>No</v>
      </c>
      <c r="S1782" s="5" t="str">
        <f ca="1">IFERROR(__xludf.DUMMYFUNCTION("""COMPUTED_VALUE"""),"Sport Event")</f>
        <v>Sport Event</v>
      </c>
      <c r="T1782" s="10">
        <f ca="1">IFERROR(__xludf.DUMMYFUNCTION("""COMPUTED_VALUE"""),0.833333333333333)</f>
        <v>0.83333333333333304</v>
      </c>
      <c r="U1782" s="5">
        <f ca="1">IFERROR(__xludf.DUMMYFUNCTION("""COMPUTED_VALUE"""),1)</f>
        <v>1</v>
      </c>
      <c r="V1782" s="5" t="str">
        <f ca="1">IFERROR(__xludf.DUMMYFUNCTION("""COMPUTED_VALUE"""),"8 students wounded when someone fired shotgun into bleachers")</f>
        <v>8 students wounded when someone fired shotgun into bleachers</v>
      </c>
      <c r="W1782"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X1782" s="5" t="str">
        <f ca="1">IFERROR(__xludf.DUMMYFUNCTION("""COMPUTED_VALUE"""),"Indiscriminate Shooting")</f>
        <v>Indiscriminate Shooting</v>
      </c>
      <c r="Y1782" s="5" t="str">
        <f ca="1">IFERROR(__xludf.DUMMYFUNCTION("""COMPUTED_VALUE"""),"Random Shooting")</f>
        <v>Random Shooting</v>
      </c>
      <c r="Z1782" s="5" t="str">
        <f ca="1">IFERROR(__xludf.DUMMYFUNCTION("""COMPUTED_VALUE"""),"No")</f>
        <v>No</v>
      </c>
      <c r="AA1782" s="5"/>
      <c r="AB1782" s="5" t="str">
        <f ca="1">IFERROR(__xludf.DUMMYFUNCTION("""COMPUTED_VALUE"""),"No")</f>
        <v>No</v>
      </c>
      <c r="AC1782" s="5" t="str">
        <f ca="1">IFERROR(__xludf.DUMMYFUNCTION("""COMPUTED_VALUE"""),"No")</f>
        <v>No</v>
      </c>
      <c r="AD1782" s="5" t="str">
        <f ca="1">IFERROR(__xludf.DUMMYFUNCTION("""COMPUTED_VALUE"""),"No")</f>
        <v>No</v>
      </c>
      <c r="AE1782" s="5"/>
      <c r="AF1782" s="5" t="str">
        <f ca="1">IFERROR(__xludf.DUMMYFUNCTION("""COMPUTED_VALUE"""),"No")</f>
        <v>No</v>
      </c>
      <c r="AG1782" s="5" t="str">
        <f ca="1">IFERROR(__xludf.DUMMYFUNCTION("""COMPUTED_VALUE"""),"No")</f>
        <v>No</v>
      </c>
      <c r="AH1782" s="5" t="str">
        <f ca="1">IFERROR(__xludf.DUMMYFUNCTION("""COMPUTED_VALUE"""),"No")</f>
        <v>No</v>
      </c>
    </row>
    <row r="1783" spans="1:34" ht="12.75">
      <c r="A1783" s="5" t="str">
        <f ca="1">IFERROR(__xludf.DUMMYFUNCTION("""COMPUTED_VALUE"""),"19871030NCSOK")</f>
        <v>19871030NCSOK</v>
      </c>
      <c r="B1783" s="8">
        <f ca="1">IFERROR(__xludf.DUMMYFUNCTION("""COMPUTED_VALUE"""),32080)</f>
        <v>32080</v>
      </c>
      <c r="C1783" s="5" t="str">
        <f ca="1">IFERROR(__xludf.DUMMYFUNCTION("""COMPUTED_VALUE"""),"Southwood Elementary School")</f>
        <v>Southwood Elementary School</v>
      </c>
      <c r="D1783" s="5">
        <f ca="1">IFERROR(__xludf.DUMMYFUNCTION("""COMPUTED_VALUE"""),0)</f>
        <v>0</v>
      </c>
      <c r="E1783" s="5">
        <f ca="1">IFERROR(__xludf.DUMMYFUNCTION("""COMPUTED_VALUE"""),2)</f>
        <v>2</v>
      </c>
      <c r="F1783" s="5">
        <f ca="1">IFERROR(__xludf.DUMMYFUNCTION("""COMPUTED_VALUE"""),2)</f>
        <v>2</v>
      </c>
      <c r="G1783" s="5">
        <f ca="1">IFERROR(__xludf.DUMMYFUNCTION("""COMPUTED_VALUE"""),0)</f>
        <v>0</v>
      </c>
      <c r="H1783" s="9" t="str">
        <f ca="1">IFERROR(__xludf.DUMMYFUNCTION("""COMPUTED_VALUE"""),"https://www.newspapers.com/image/196275731/?terms=SOUTHWOOD%2BELEMENTARY%2BSCHOOL%2BSHOOTING")</f>
        <v>https://www.newspapers.com/image/196275731/?terms=SOUTHWOOD%2BELEMENTARY%2BSCHOOL%2BSHOOTING</v>
      </c>
      <c r="I1783" s="5"/>
      <c r="J1783" s="5"/>
      <c r="K1783" s="5">
        <f ca="1">IFERROR(__xludf.DUMMYFUNCTION("""COMPUTED_VALUE"""),2)</f>
        <v>2</v>
      </c>
      <c r="L1783" s="5" t="str">
        <f ca="1">IFERROR(__xludf.DUMMYFUNCTION("""COMPUTED_VALUE"""),"Fall")</f>
        <v>Fall</v>
      </c>
      <c r="M1783" s="5" t="str">
        <f ca="1">IFERROR(__xludf.DUMMYFUNCTION("""COMPUTED_VALUE"""),"Kingston")</f>
        <v>Kingston</v>
      </c>
      <c r="N1783" s="5" t="str">
        <f ca="1">IFERROR(__xludf.DUMMYFUNCTION("""COMPUTED_VALUE"""),"NC")</f>
        <v>NC</v>
      </c>
      <c r="O1783" s="5" t="str">
        <f ca="1">IFERROR(__xludf.DUMMYFUNCTION("""COMPUTED_VALUE"""),"Elementary")</f>
        <v>Elementary</v>
      </c>
      <c r="P1783" s="5" t="str">
        <f ca="1">IFERROR(__xludf.DUMMYFUNCTION("""COMPUTED_VALUE"""),"Parking Lot")</f>
        <v>Parking Lot</v>
      </c>
      <c r="Q1783" s="5" t="str">
        <f ca="1">IFERROR(__xludf.DUMMYFUNCTION("""COMPUTED_VALUE"""),"Outside on School Property")</f>
        <v>Outside on School Property</v>
      </c>
      <c r="R1783" s="5" t="str">
        <f ca="1">IFERROR(__xludf.DUMMYFUNCTION("""COMPUTED_VALUE"""),"No")</f>
        <v>No</v>
      </c>
      <c r="S1783" s="5" t="str">
        <f ca="1">IFERROR(__xludf.DUMMYFUNCTION("""COMPUTED_VALUE"""),"School Event")</f>
        <v>School Event</v>
      </c>
      <c r="T1783" s="10">
        <f ca="1">IFERROR(__xludf.DUMMYFUNCTION("""COMPUTED_VALUE"""),0.875)</f>
        <v>0.875</v>
      </c>
      <c r="U1783" s="5">
        <f ca="1">IFERROR(__xludf.DUMMYFUNCTION("""COMPUTED_VALUE"""),1)</f>
        <v>1</v>
      </c>
      <c r="V1783" s="5" t="str">
        <f ca="1">IFERROR(__xludf.DUMMYFUNCTION("""COMPUTED_VALUE"""),"Escalation of on going fight about a girl")</f>
        <v>Escalation of on going fight about a girl</v>
      </c>
      <c r="W1783"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X1783" s="5" t="str">
        <f ca="1">IFERROR(__xludf.DUMMYFUNCTION("""COMPUTED_VALUE"""),"Escalation of Dispute")</f>
        <v>Escalation of Dispute</v>
      </c>
      <c r="Y1783" s="5"/>
      <c r="Z1783" s="5" t="str">
        <f ca="1">IFERROR(__xludf.DUMMYFUNCTION("""COMPUTED_VALUE"""),"Yes")</f>
        <v>Yes</v>
      </c>
      <c r="AA1783" s="5" t="str">
        <f ca="1">IFERROR(__xludf.DUMMYFUNCTION("""COMPUTED_VALUE"""),"Group involved")</f>
        <v>Group involved</v>
      </c>
      <c r="AB1783" s="5" t="str">
        <f ca="1">IFERROR(__xludf.DUMMYFUNCTION("""COMPUTED_VALUE"""),"No")</f>
        <v>No</v>
      </c>
      <c r="AC1783" s="5" t="str">
        <f ca="1">IFERROR(__xludf.DUMMYFUNCTION("""COMPUTED_VALUE"""),"No")</f>
        <v>No</v>
      </c>
      <c r="AD1783" s="5" t="str">
        <f ca="1">IFERROR(__xludf.DUMMYFUNCTION("""COMPUTED_VALUE"""),"No")</f>
        <v>No</v>
      </c>
      <c r="AE1783" s="5" t="str">
        <f ca="1">IFERROR(__xludf.DUMMYFUNCTION("""COMPUTED_VALUE"""),"No")</f>
        <v>No</v>
      </c>
      <c r="AF1783" s="5" t="str">
        <f ca="1">IFERROR(__xludf.DUMMYFUNCTION("""COMPUTED_VALUE"""),"No")</f>
        <v>No</v>
      </c>
      <c r="AG1783" s="5" t="str">
        <f ca="1">IFERROR(__xludf.DUMMYFUNCTION("""COMPUTED_VALUE"""),"No")</f>
        <v>No</v>
      </c>
      <c r="AH1783" s="5"/>
    </row>
    <row r="1784" spans="1:34" ht="12.75">
      <c r="A1784" s="5" t="str">
        <f ca="1">IFERROR(__xludf.DUMMYFUNCTION("""COMPUTED_VALUE"""),"19871014ILDUC")</f>
        <v>19871014ILDUC</v>
      </c>
      <c r="B1784" s="8">
        <f ca="1">IFERROR(__xludf.DUMMYFUNCTION("""COMPUTED_VALUE"""),32064)</f>
        <v>32064</v>
      </c>
      <c r="C1784" s="5" t="str">
        <f ca="1">IFERROR(__xludf.DUMMYFUNCTION("""COMPUTED_VALUE"""),"DuSable High School")</f>
        <v>DuSable High School</v>
      </c>
      <c r="D1784" s="5">
        <f ca="1">IFERROR(__xludf.DUMMYFUNCTION("""COMPUTED_VALUE"""),1)</f>
        <v>1</v>
      </c>
      <c r="E1784" s="5">
        <f ca="1">IFERROR(__xludf.DUMMYFUNCTION("""COMPUTED_VALUE"""),0)</f>
        <v>0</v>
      </c>
      <c r="F1784" s="5">
        <f ca="1">IFERROR(__xludf.DUMMYFUNCTION("""COMPUTED_VALUE"""),1)</f>
        <v>1</v>
      </c>
      <c r="G1784" s="5">
        <f ca="1">IFERROR(__xludf.DUMMYFUNCTION("""COMPUTED_VALUE"""),0)</f>
        <v>0</v>
      </c>
      <c r="H1784"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I1784" s="5"/>
      <c r="J1784" s="5"/>
      <c r="K1784" s="5">
        <f ca="1">IFERROR(__xludf.DUMMYFUNCTION("""COMPUTED_VALUE"""),3)</f>
        <v>3</v>
      </c>
      <c r="L1784" s="5" t="str">
        <f ca="1">IFERROR(__xludf.DUMMYFUNCTION("""COMPUTED_VALUE"""),"Fall")</f>
        <v>Fall</v>
      </c>
      <c r="M1784" s="5" t="str">
        <f ca="1">IFERROR(__xludf.DUMMYFUNCTION("""COMPUTED_VALUE"""),"Chicago")</f>
        <v>Chicago</v>
      </c>
      <c r="N1784" s="5" t="str">
        <f ca="1">IFERROR(__xludf.DUMMYFUNCTION("""COMPUTED_VALUE"""),"IL")</f>
        <v>IL</v>
      </c>
      <c r="O1784" s="5" t="str">
        <f ca="1">IFERROR(__xludf.DUMMYFUNCTION("""COMPUTED_VALUE"""),"High")</f>
        <v>High</v>
      </c>
      <c r="P1784" s="5" t="str">
        <f ca="1">IFERROR(__xludf.DUMMYFUNCTION("""COMPUTED_VALUE"""),"Hallway")</f>
        <v>Hallway</v>
      </c>
      <c r="Q1784" s="5" t="str">
        <f ca="1">IFERROR(__xludf.DUMMYFUNCTION("""COMPUTED_VALUE"""),"Inside School Building")</f>
        <v>Inside School Building</v>
      </c>
      <c r="R1784" s="5" t="str">
        <f ca="1">IFERROR(__xludf.DUMMYFUNCTION("""COMPUTED_VALUE"""),"Yes")</f>
        <v>Yes</v>
      </c>
      <c r="S1784" s="5" t="str">
        <f ca="1">IFERROR(__xludf.DUMMYFUNCTION("""COMPUTED_VALUE"""),"Morning Classes")</f>
        <v>Morning Classes</v>
      </c>
      <c r="T1784" s="10">
        <f ca="1">IFERROR(__xludf.DUMMYFUNCTION("""COMPUTED_VALUE"""),0.333333333333333)</f>
        <v>0.33333333333333298</v>
      </c>
      <c r="U1784" s="5">
        <f ca="1">IFERROR(__xludf.DUMMYFUNCTION("""COMPUTED_VALUE"""),1)</f>
        <v>1</v>
      </c>
      <c r="V1784" s="5" t="str">
        <f ca="1">IFERROR(__xludf.DUMMYFUNCTION("""COMPUTED_VALUE"""),"Shooting following ongoing dispute.")</f>
        <v>Shooting following ongoing dispute.</v>
      </c>
      <c r="W1784"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X1784" s="5" t="str">
        <f ca="1">IFERROR(__xludf.DUMMYFUNCTION("""COMPUTED_VALUE"""),"Escalation of Dispute")</f>
        <v>Escalation of Dispute</v>
      </c>
      <c r="Y1784" s="5"/>
      <c r="Z1784" s="5" t="str">
        <f ca="1">IFERROR(__xludf.DUMMYFUNCTION("""COMPUTED_VALUE"""),"No")</f>
        <v>No</v>
      </c>
      <c r="AA1784" s="5"/>
      <c r="AB1784" s="5" t="str">
        <f ca="1">IFERROR(__xludf.DUMMYFUNCTION("""COMPUTED_VALUE"""),"No")</f>
        <v>No</v>
      </c>
      <c r="AC1784" s="5" t="str">
        <f ca="1">IFERROR(__xludf.DUMMYFUNCTION("""COMPUTED_VALUE"""),"No")</f>
        <v>No</v>
      </c>
      <c r="AD1784" s="5" t="str">
        <f ca="1">IFERROR(__xludf.DUMMYFUNCTION("""COMPUTED_VALUE"""),"No")</f>
        <v>No</v>
      </c>
      <c r="AE1784" s="5"/>
      <c r="AF1784" s="5"/>
      <c r="AG1784" s="5" t="str">
        <f ca="1">IFERROR(__xludf.DUMMYFUNCTION("""COMPUTED_VALUE"""),"Yes")</f>
        <v>Yes</v>
      </c>
      <c r="AH1784" s="5"/>
    </row>
    <row r="1785" spans="1:34" ht="12.75">
      <c r="A1785" s="5" t="str">
        <f ca="1">IFERROR(__xludf.DUMMYFUNCTION("""COMPUTED_VALUE"""),"19870928ILILL")</f>
        <v>19870928ILILL</v>
      </c>
      <c r="B1785" s="8">
        <f ca="1">IFERROR(__xludf.DUMMYFUNCTION("""COMPUTED_VALUE"""),32048)</f>
        <v>32048</v>
      </c>
      <c r="C1785" s="5" t="str">
        <f ca="1">IFERROR(__xludf.DUMMYFUNCTION("""COMPUTED_VALUE"""),"Illiana Christian High School")</f>
        <v>Illiana Christian High School</v>
      </c>
      <c r="D1785" s="5">
        <f ca="1">IFERROR(__xludf.DUMMYFUNCTION("""COMPUTED_VALUE"""),0)</f>
        <v>0</v>
      </c>
      <c r="E1785" s="5">
        <f ca="1">IFERROR(__xludf.DUMMYFUNCTION("""COMPUTED_VALUE"""),1)</f>
        <v>1</v>
      </c>
      <c r="F1785" s="5">
        <f ca="1">IFERROR(__xludf.DUMMYFUNCTION("""COMPUTED_VALUE"""),1)</f>
        <v>1</v>
      </c>
      <c r="G1785" s="5">
        <f ca="1">IFERROR(__xludf.DUMMYFUNCTION("""COMPUTED_VALUE"""),0)</f>
        <v>0</v>
      </c>
      <c r="H1785" s="9" t="str">
        <f ca="1">IFERROR(__xludf.DUMMYFUNCTION("""COMPUTED_VALUE"""),"http://articles.chicagotribune.com/1987-09-30/news/8703130825_1_second-floor-classroom-shooting-smoking-on-school-grounds")</f>
        <v>http://articles.chicagotribune.com/1987-09-30/news/8703130825_1_second-floor-classroom-shooting-smoking-on-school-grounds</v>
      </c>
      <c r="I1785" s="5"/>
      <c r="J1785" s="5"/>
      <c r="K1785" s="5">
        <f ca="1">IFERROR(__xludf.DUMMYFUNCTION("""COMPUTED_VALUE"""),2)</f>
        <v>2</v>
      </c>
      <c r="L1785" s="5" t="str">
        <f ca="1">IFERROR(__xludf.DUMMYFUNCTION("""COMPUTED_VALUE"""),"Fall")</f>
        <v>Fall</v>
      </c>
      <c r="M1785" s="5" t="str">
        <f ca="1">IFERROR(__xludf.DUMMYFUNCTION("""COMPUTED_VALUE"""),"Lansing")</f>
        <v>Lansing</v>
      </c>
      <c r="N1785" s="5" t="str">
        <f ca="1">IFERROR(__xludf.DUMMYFUNCTION("""COMPUTED_VALUE"""),"IL")</f>
        <v>IL</v>
      </c>
      <c r="O1785" s="5" t="str">
        <f ca="1">IFERROR(__xludf.DUMMYFUNCTION("""COMPUTED_VALUE"""),"High")</f>
        <v>High</v>
      </c>
      <c r="P1785" s="5" t="str">
        <f ca="1">IFERROR(__xludf.DUMMYFUNCTION("""COMPUTED_VALUE"""),"Inside School Building")</f>
        <v>Inside School Building</v>
      </c>
      <c r="Q1785" s="5" t="str">
        <f ca="1">IFERROR(__xludf.DUMMYFUNCTION("""COMPUTED_VALUE"""),"Inside School Building")</f>
        <v>Inside School Building</v>
      </c>
      <c r="R1785" s="5" t="str">
        <f ca="1">IFERROR(__xludf.DUMMYFUNCTION("""COMPUTED_VALUE"""),"Yes")</f>
        <v>Yes</v>
      </c>
      <c r="S1785" s="5" t="str">
        <f ca="1">IFERROR(__xludf.DUMMYFUNCTION("""COMPUTED_VALUE"""),"Afternoon Classes")</f>
        <v>Afternoon Classes</v>
      </c>
      <c r="T1785" s="5"/>
      <c r="U1785" s="5">
        <f ca="1">IFERROR(__xludf.DUMMYFUNCTION("""COMPUTED_VALUE"""),1)</f>
        <v>1</v>
      </c>
      <c r="V1785" s="5" t="str">
        <f ca="1">IFERROR(__xludf.DUMMYFUNCTION("""COMPUTED_VALUE"""),"Anger at teacher for reporting him for smoking")</f>
        <v>Anger at teacher for reporting him for smoking</v>
      </c>
      <c r="W1785"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X1785" s="5" t="str">
        <f ca="1">IFERROR(__xludf.DUMMYFUNCTION("""COMPUTED_VALUE"""),"Anger Over Grade/Suspension/Discipline")</f>
        <v>Anger Over Grade/Suspension/Discipline</v>
      </c>
      <c r="Y1785" s="5"/>
      <c r="Z1785" s="5" t="str">
        <f ca="1">IFERROR(__xludf.DUMMYFUNCTION("""COMPUTED_VALUE"""),"No")</f>
        <v>No</v>
      </c>
      <c r="AA1785" s="5"/>
      <c r="AB1785" s="5" t="str">
        <f ca="1">IFERROR(__xludf.DUMMYFUNCTION("""COMPUTED_VALUE"""),"No")</f>
        <v>No</v>
      </c>
      <c r="AC1785" s="5" t="str">
        <f ca="1">IFERROR(__xludf.DUMMYFUNCTION("""COMPUTED_VALUE"""),"No")</f>
        <v>No</v>
      </c>
      <c r="AD1785" s="5" t="str">
        <f ca="1">IFERROR(__xludf.DUMMYFUNCTION("""COMPUTED_VALUE"""),"No")</f>
        <v>No</v>
      </c>
      <c r="AE1785" s="5"/>
      <c r="AF1785" s="5" t="str">
        <f ca="1">IFERROR(__xludf.DUMMYFUNCTION("""COMPUTED_VALUE"""),"No")</f>
        <v>No</v>
      </c>
      <c r="AG1785" s="5" t="str">
        <f ca="1">IFERROR(__xludf.DUMMYFUNCTION("""COMPUTED_VALUE"""),"No")</f>
        <v>No</v>
      </c>
      <c r="AH1785" s="5"/>
    </row>
    <row r="1786" spans="1:34" ht="12.75">
      <c r="A1786" s="5" t="str">
        <f ca="1">IFERROR(__xludf.DUMMYFUNCTION("""COMPUTED_VALUE"""),"19870513ILOAO")</f>
        <v>19870513ILOAO</v>
      </c>
      <c r="B1786" s="8">
        <f ca="1">IFERROR(__xludf.DUMMYFUNCTION("""COMPUTED_VALUE"""),31910)</f>
        <v>31910</v>
      </c>
      <c r="C1786" s="5" t="str">
        <f ca="1">IFERROR(__xludf.DUMMYFUNCTION("""COMPUTED_VALUE"""),"Oak Lawn Community High School")</f>
        <v>Oak Lawn Community High School</v>
      </c>
      <c r="D1786" s="5">
        <f ca="1">IFERROR(__xludf.DUMMYFUNCTION("""COMPUTED_VALUE"""),0)</f>
        <v>0</v>
      </c>
      <c r="E1786" s="5">
        <f ca="1">IFERROR(__xludf.DUMMYFUNCTION("""COMPUTED_VALUE"""),0)</f>
        <v>0</v>
      </c>
      <c r="F1786" s="5">
        <f ca="1">IFERROR(__xludf.DUMMYFUNCTION("""COMPUTED_VALUE"""),0)</f>
        <v>0</v>
      </c>
      <c r="G1786" s="5">
        <f ca="1">IFERROR(__xludf.DUMMYFUNCTION("""COMPUTED_VALUE"""),0)</f>
        <v>0</v>
      </c>
      <c r="H1786" s="9" t="str">
        <f ca="1">IFERROR(__xludf.DUMMYFUNCTION("""COMPUTED_VALUE"""),"https://www.newspapers.com/image/388845031/?terms=Dale%2BBruck")</f>
        <v>https://www.newspapers.com/image/388845031/?terms=Dale%2BBruck</v>
      </c>
      <c r="I1786" s="5"/>
      <c r="J1786" s="5"/>
      <c r="K1786" s="5">
        <f ca="1">IFERROR(__xludf.DUMMYFUNCTION("""COMPUTED_VALUE"""),2)</f>
        <v>2</v>
      </c>
      <c r="L1786" s="5" t="str">
        <f ca="1">IFERROR(__xludf.DUMMYFUNCTION("""COMPUTED_VALUE"""),"Spring")</f>
        <v>Spring</v>
      </c>
      <c r="M1786" s="5" t="str">
        <f ca="1">IFERROR(__xludf.DUMMYFUNCTION("""COMPUTED_VALUE"""),"Oak Lawn")</f>
        <v>Oak Lawn</v>
      </c>
      <c r="N1786" s="5" t="str">
        <f ca="1">IFERROR(__xludf.DUMMYFUNCTION("""COMPUTED_VALUE"""),"IL")</f>
        <v>IL</v>
      </c>
      <c r="O1786" s="5" t="str">
        <f ca="1">IFERROR(__xludf.DUMMYFUNCTION("""COMPUTED_VALUE"""),"High")</f>
        <v>High</v>
      </c>
      <c r="P1786" s="5" t="str">
        <f ca="1">IFERROR(__xludf.DUMMYFUNCTION("""COMPUTED_VALUE"""),"Inside School Building")</f>
        <v>Inside School Building</v>
      </c>
      <c r="Q1786" s="5" t="str">
        <f ca="1">IFERROR(__xludf.DUMMYFUNCTION("""COMPUTED_VALUE"""),"Inside School Building")</f>
        <v>Inside School Building</v>
      </c>
      <c r="R1786" s="5" t="str">
        <f ca="1">IFERROR(__xludf.DUMMYFUNCTION("""COMPUTED_VALUE"""),"Yes")</f>
        <v>Yes</v>
      </c>
      <c r="S1786" s="5" t="str">
        <f ca="1">IFERROR(__xludf.DUMMYFUNCTION("""COMPUTED_VALUE"""),"Morning Classes")</f>
        <v>Morning Classes</v>
      </c>
      <c r="T1786" s="5"/>
      <c r="U1786" s="5">
        <f ca="1">IFERROR(__xludf.DUMMYFUNCTION("""COMPUTED_VALUE"""),1)</f>
        <v>1</v>
      </c>
      <c r="V1786" s="5" t="str">
        <f ca="1">IFERROR(__xludf.DUMMYFUNCTION("""COMPUTED_VALUE"""),"Suicide attempt after being turned down for prom")</f>
        <v>Suicide attempt after being turned down for prom</v>
      </c>
      <c r="W1786"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X1786" s="5" t="str">
        <f ca="1">IFERROR(__xludf.DUMMYFUNCTION("""COMPUTED_VALUE"""),"Suicide/Attempted")</f>
        <v>Suicide/Attempted</v>
      </c>
      <c r="Y1786" s="5" t="str">
        <f ca="1">IFERROR(__xludf.DUMMYFUNCTION("""COMPUTED_VALUE"""),"Victims Targeted")</f>
        <v>Victims Targeted</v>
      </c>
      <c r="Z1786" s="5" t="str">
        <f ca="1">IFERROR(__xludf.DUMMYFUNCTION("""COMPUTED_VALUE"""),"No")</f>
        <v>No</v>
      </c>
      <c r="AA1786" s="5"/>
      <c r="AB1786" s="5" t="str">
        <f ca="1">IFERROR(__xludf.DUMMYFUNCTION("""COMPUTED_VALUE"""),"No")</f>
        <v>No</v>
      </c>
      <c r="AC1786" s="5" t="str">
        <f ca="1">IFERROR(__xludf.DUMMYFUNCTION("""COMPUTED_VALUE"""),"No")</f>
        <v>No</v>
      </c>
      <c r="AD1786" s="5" t="str">
        <f ca="1">IFERROR(__xludf.DUMMYFUNCTION("""COMPUTED_VALUE"""),"No")</f>
        <v>No</v>
      </c>
      <c r="AE1786" s="5" t="str">
        <f ca="1">IFERROR(__xludf.DUMMYFUNCTION("""COMPUTED_VALUE"""),"No")</f>
        <v>No</v>
      </c>
      <c r="AF1786" s="5" t="str">
        <f ca="1">IFERROR(__xludf.DUMMYFUNCTION("""COMPUTED_VALUE"""),"No")</f>
        <v>No</v>
      </c>
      <c r="AG1786" s="5" t="str">
        <f ca="1">IFERROR(__xludf.DUMMYFUNCTION("""COMPUTED_VALUE"""),"No")</f>
        <v>No</v>
      </c>
      <c r="AH1786" s="5"/>
    </row>
    <row r="1787" spans="1:34" ht="12.75">
      <c r="A1787" s="5" t="str">
        <f ca="1">IFERROR(__xludf.DUMMYFUNCTION("""COMPUTED_VALUE"""),"19870506FLLET")</f>
        <v>19870506FLLET</v>
      </c>
      <c r="B1787" s="8">
        <f ca="1">IFERROR(__xludf.DUMMYFUNCTION("""COMPUTED_VALUE"""),31903)</f>
        <v>31903</v>
      </c>
      <c r="C1787" s="5" t="str">
        <f ca="1">IFERROR(__xludf.DUMMYFUNCTION("""COMPUTED_VALUE"""),"Leto High School")</f>
        <v>Leto High School</v>
      </c>
      <c r="D1787" s="5">
        <f ca="1">IFERROR(__xludf.DUMMYFUNCTION("""COMPUTED_VALUE"""),0)</f>
        <v>0</v>
      </c>
      <c r="E1787" s="5">
        <f ca="1">IFERROR(__xludf.DUMMYFUNCTION("""COMPUTED_VALUE"""),0)</f>
        <v>0</v>
      </c>
      <c r="F1787" s="5">
        <f ca="1">IFERROR(__xludf.DUMMYFUNCTION("""COMPUTED_VALUE"""),0)</f>
        <v>0</v>
      </c>
      <c r="G1787" s="5">
        <f ca="1">IFERROR(__xludf.DUMMYFUNCTION("""COMPUTED_VALUE"""),1)</f>
        <v>1</v>
      </c>
      <c r="H1787"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I1787" s="5"/>
      <c r="J1787" s="5"/>
      <c r="K1787" s="5">
        <f ca="1">IFERROR(__xludf.DUMMYFUNCTION("""COMPUTED_VALUE"""),2)</f>
        <v>2</v>
      </c>
      <c r="L1787" s="5" t="str">
        <f ca="1">IFERROR(__xludf.DUMMYFUNCTION("""COMPUTED_VALUE"""),"Spring")</f>
        <v>Spring</v>
      </c>
      <c r="M1787" s="5" t="str">
        <f ca="1">IFERROR(__xludf.DUMMYFUNCTION("""COMPUTED_VALUE"""),"Tampa")</f>
        <v>Tampa</v>
      </c>
      <c r="N1787" s="5" t="str">
        <f ca="1">IFERROR(__xludf.DUMMYFUNCTION("""COMPUTED_VALUE"""),"FL")</f>
        <v>FL</v>
      </c>
      <c r="O1787" s="5" t="str">
        <f ca="1">IFERROR(__xludf.DUMMYFUNCTION("""COMPUTED_VALUE"""),"High")</f>
        <v>High</v>
      </c>
      <c r="P1787" s="5" t="str">
        <f ca="1">IFERROR(__xludf.DUMMYFUNCTION("""COMPUTED_VALUE"""),"Classroom")</f>
        <v>Classroom</v>
      </c>
      <c r="Q1787" s="5" t="str">
        <f ca="1">IFERROR(__xludf.DUMMYFUNCTION("""COMPUTED_VALUE"""),"Inside School Building")</f>
        <v>Inside School Building</v>
      </c>
      <c r="R1787" s="5" t="str">
        <f ca="1">IFERROR(__xludf.DUMMYFUNCTION("""COMPUTED_VALUE"""),"Yes")</f>
        <v>Yes</v>
      </c>
      <c r="S1787" s="5" t="str">
        <f ca="1">IFERROR(__xludf.DUMMYFUNCTION("""COMPUTED_VALUE"""),"Morning Classes")</f>
        <v>Morning Classes</v>
      </c>
      <c r="T1787" s="10">
        <f ca="1">IFERROR(__xludf.DUMMYFUNCTION("""COMPUTED_VALUE"""),0.388888888888888)</f>
        <v>0.38888888888888801</v>
      </c>
      <c r="U1787" s="5">
        <f ca="1">IFERROR(__xludf.DUMMYFUNCTION("""COMPUTED_VALUE"""),1)</f>
        <v>1</v>
      </c>
      <c r="V1787" s="5" t="str">
        <f ca="1">IFERROR(__xludf.DUMMYFUNCTION("""COMPUTED_VALUE"""),"Shooter shot self in English class for doing poorly in school")</f>
        <v>Shooter shot self in English class for doing poorly in school</v>
      </c>
      <c r="W1787"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X1787" s="5" t="str">
        <f ca="1">IFERROR(__xludf.DUMMYFUNCTION("""COMPUTED_VALUE"""),"Suicide/Attempted")</f>
        <v>Suicide/Attempted</v>
      </c>
      <c r="Y1787" s="5" t="str">
        <f ca="1">IFERROR(__xludf.DUMMYFUNCTION("""COMPUTED_VALUE"""),"Victims Targeted")</f>
        <v>Victims Targeted</v>
      </c>
      <c r="Z1787" s="5" t="str">
        <f ca="1">IFERROR(__xludf.DUMMYFUNCTION("""COMPUTED_VALUE"""),"No")</f>
        <v>No</v>
      </c>
      <c r="AA1787" s="5"/>
      <c r="AB1787" s="5" t="str">
        <f ca="1">IFERROR(__xludf.DUMMYFUNCTION("""COMPUTED_VALUE"""),"No")</f>
        <v>No</v>
      </c>
      <c r="AC1787" s="5" t="str">
        <f ca="1">IFERROR(__xludf.DUMMYFUNCTION("""COMPUTED_VALUE"""),"No")</f>
        <v>No</v>
      </c>
      <c r="AD1787" s="5" t="str">
        <f ca="1">IFERROR(__xludf.DUMMYFUNCTION("""COMPUTED_VALUE"""),"No")</f>
        <v>No</v>
      </c>
      <c r="AE1787" s="5" t="str">
        <f ca="1">IFERROR(__xludf.DUMMYFUNCTION("""COMPUTED_VALUE"""),"No")</f>
        <v>No</v>
      </c>
      <c r="AF1787" s="5" t="str">
        <f ca="1">IFERROR(__xludf.DUMMYFUNCTION("""COMPUTED_VALUE"""),"No")</f>
        <v>No</v>
      </c>
      <c r="AG1787" s="5" t="str">
        <f ca="1">IFERROR(__xludf.DUMMYFUNCTION("""COMPUTED_VALUE"""),"No")</f>
        <v>No</v>
      </c>
      <c r="AH1787" s="5"/>
    </row>
    <row r="1788" spans="1:34" ht="12.75">
      <c r="A1788" s="5" t="str">
        <f ca="1">IFERROR(__xludf.DUMMYFUNCTION("""COMPUTED_VALUE"""),"19870506ARMAJ")</f>
        <v>19870506ARMAJ</v>
      </c>
      <c r="B1788" s="8">
        <f ca="1">IFERROR(__xludf.DUMMYFUNCTION("""COMPUTED_VALUE"""),31903)</f>
        <v>31903</v>
      </c>
      <c r="C1788" s="5" t="str">
        <f ca="1">IFERROR(__xludf.DUMMYFUNCTION("""COMPUTED_VALUE"""),"MacAuthur Junior High")</f>
        <v>MacAuthur Junior High</v>
      </c>
      <c r="D1788" s="5">
        <f ca="1">IFERROR(__xludf.DUMMYFUNCTION("""COMPUTED_VALUE"""),0)</f>
        <v>0</v>
      </c>
      <c r="E1788" s="5">
        <f ca="1">IFERROR(__xludf.DUMMYFUNCTION("""COMPUTED_VALUE"""),0)</f>
        <v>0</v>
      </c>
      <c r="F1788" s="5">
        <f ca="1">IFERROR(__xludf.DUMMYFUNCTION("""COMPUTED_VALUE"""),0)</f>
        <v>0</v>
      </c>
      <c r="G1788" s="5">
        <f ca="1">IFERROR(__xludf.DUMMYFUNCTION("""COMPUTED_VALUE"""),0)</f>
        <v>0</v>
      </c>
      <c r="H1788" s="9" t="str">
        <f ca="1">IFERROR(__xludf.DUMMYFUNCTION("""COMPUTED_VALUE"""),"https://www.newspapers.com/image/174030895/?terms=student%2Bshoots")</f>
        <v>https://www.newspapers.com/image/174030895/?terms=student%2Bshoots</v>
      </c>
      <c r="I1788" s="5"/>
      <c r="J1788" s="5"/>
      <c r="K1788" s="5">
        <f ca="1">IFERROR(__xludf.DUMMYFUNCTION("""COMPUTED_VALUE"""),2)</f>
        <v>2</v>
      </c>
      <c r="L1788" s="5" t="str">
        <f ca="1">IFERROR(__xludf.DUMMYFUNCTION("""COMPUTED_VALUE"""),"Spring")</f>
        <v>Spring</v>
      </c>
      <c r="M1788" s="5" t="str">
        <f ca="1">IFERROR(__xludf.DUMMYFUNCTION("""COMPUTED_VALUE"""),"Jonesboro")</f>
        <v>Jonesboro</v>
      </c>
      <c r="N1788" s="5" t="str">
        <f ca="1">IFERROR(__xludf.DUMMYFUNCTION("""COMPUTED_VALUE"""),"AR")</f>
        <v>AR</v>
      </c>
      <c r="O1788" s="5" t="str">
        <f ca="1">IFERROR(__xludf.DUMMYFUNCTION("""COMPUTED_VALUE"""),"Junior High")</f>
        <v>Junior High</v>
      </c>
      <c r="P1788" s="5" t="str">
        <f ca="1">IFERROR(__xludf.DUMMYFUNCTION("""COMPUTED_VALUE"""),"Classroom")</f>
        <v>Classroom</v>
      </c>
      <c r="Q1788" s="5" t="str">
        <f ca="1">IFERROR(__xludf.DUMMYFUNCTION("""COMPUTED_VALUE"""),"Inside School Building")</f>
        <v>Inside School Building</v>
      </c>
      <c r="R1788" s="5" t="str">
        <f ca="1">IFERROR(__xludf.DUMMYFUNCTION("""COMPUTED_VALUE"""),"Yes")</f>
        <v>Yes</v>
      </c>
      <c r="S1788" s="5" t="str">
        <f ca="1">IFERROR(__xludf.DUMMYFUNCTION("""COMPUTED_VALUE"""),"Morning Classes")</f>
        <v>Morning Classes</v>
      </c>
      <c r="T1788" s="5"/>
      <c r="U1788" s="5">
        <f ca="1">IFERROR(__xludf.DUMMYFUNCTION("""COMPUTED_VALUE"""),1)</f>
        <v>1</v>
      </c>
      <c r="V1788" s="5" t="str">
        <f ca="1">IFERROR(__xludf.DUMMYFUNCTION("""COMPUTED_VALUE"""),"Student shot self in front of class.")</f>
        <v>Student shot self in front of class.</v>
      </c>
      <c r="W1788" s="5" t="str">
        <f ca="1">IFERROR(__xludf.DUMMYFUNCTION("""COMPUTED_VALUE"""),"Shooter pointed pistol at classmate and said ""this should be for you,"" he then turned pistol on himself")</f>
        <v>Shooter pointed pistol at classmate and said "this should be for you," he then turned pistol on himself</v>
      </c>
      <c r="X1788" s="5" t="str">
        <f ca="1">IFERROR(__xludf.DUMMYFUNCTION("""COMPUTED_VALUE"""),"Suicide/Attempted")</f>
        <v>Suicide/Attempted</v>
      </c>
      <c r="Y1788" s="5" t="str">
        <f ca="1">IFERROR(__xludf.DUMMYFUNCTION("""COMPUTED_VALUE"""),"Victims Targeted")</f>
        <v>Victims Targeted</v>
      </c>
      <c r="Z1788" s="5" t="str">
        <f ca="1">IFERROR(__xludf.DUMMYFUNCTION("""COMPUTED_VALUE"""),"No")</f>
        <v>No</v>
      </c>
      <c r="AA1788" s="5"/>
      <c r="AB1788" s="5" t="str">
        <f ca="1">IFERROR(__xludf.DUMMYFUNCTION("""COMPUTED_VALUE"""),"No")</f>
        <v>No</v>
      </c>
      <c r="AC1788" s="5" t="str">
        <f ca="1">IFERROR(__xludf.DUMMYFUNCTION("""COMPUTED_VALUE"""),"No")</f>
        <v>No</v>
      </c>
      <c r="AD1788" s="5" t="str">
        <f ca="1">IFERROR(__xludf.DUMMYFUNCTION("""COMPUTED_VALUE"""),"No")</f>
        <v>No</v>
      </c>
      <c r="AE1788" s="5" t="str">
        <f ca="1">IFERROR(__xludf.DUMMYFUNCTION("""COMPUTED_VALUE"""),"No")</f>
        <v>No</v>
      </c>
      <c r="AF1788" s="5" t="str">
        <f ca="1">IFERROR(__xludf.DUMMYFUNCTION("""COMPUTED_VALUE"""),"No")</f>
        <v>No</v>
      </c>
      <c r="AG1788" s="5" t="str">
        <f ca="1">IFERROR(__xludf.DUMMYFUNCTION("""COMPUTED_VALUE"""),"No")</f>
        <v>No</v>
      </c>
      <c r="AH1788" s="5"/>
    </row>
    <row r="1789" spans="1:34" ht="12.75">
      <c r="A1789" s="5" t="str">
        <f ca="1">IFERROR(__xludf.DUMMYFUNCTION("""COMPUTED_VALUE"""),"19870503INPII")</f>
        <v>19870503INPII</v>
      </c>
      <c r="B1789" s="8">
        <f ca="1">IFERROR(__xludf.DUMMYFUNCTION("""COMPUTED_VALUE"""),31900)</f>
        <v>31900</v>
      </c>
      <c r="C1789" s="5" t="str">
        <f ca="1">IFERROR(__xludf.DUMMYFUNCTION("""COMPUTED_VALUE"""),"Pike Township High School")</f>
        <v>Pike Township High School</v>
      </c>
      <c r="D1789" s="5">
        <f ca="1">IFERROR(__xludf.DUMMYFUNCTION("""COMPUTED_VALUE"""),0)</f>
        <v>0</v>
      </c>
      <c r="E1789" s="5">
        <f ca="1">IFERROR(__xludf.DUMMYFUNCTION("""COMPUTED_VALUE"""),1)</f>
        <v>1</v>
      </c>
      <c r="F1789" s="5">
        <f ca="1">IFERROR(__xludf.DUMMYFUNCTION("""COMPUTED_VALUE"""),1)</f>
        <v>1</v>
      </c>
      <c r="G1789" s="5">
        <f ca="1">IFERROR(__xludf.DUMMYFUNCTION("""COMPUTED_VALUE"""),0)</f>
        <v>0</v>
      </c>
      <c r="H1789" s="5" t="str">
        <f ca="1">IFERROR(__xludf.DUMMYFUNCTION("""COMPUTED_VALUE"""),"https://www.newspapers.com/image/106196148/?terms=TEACHER%2BSHOT; https://www.newspapers.com/image/155243487/?terms=TEACHER%2BSHOT")</f>
        <v>https://www.newspapers.com/image/106196148/?terms=TEACHER%2BSHOT; https://www.newspapers.com/image/155243487/?terms=TEACHER%2BSHOT</v>
      </c>
      <c r="I1789" s="5"/>
      <c r="J1789" s="5"/>
      <c r="K1789" s="5">
        <f ca="1">IFERROR(__xludf.DUMMYFUNCTION("""COMPUTED_VALUE"""),3)</f>
        <v>3</v>
      </c>
      <c r="L1789" s="5" t="str">
        <f ca="1">IFERROR(__xludf.DUMMYFUNCTION("""COMPUTED_VALUE"""),"Spring")</f>
        <v>Spring</v>
      </c>
      <c r="M1789" s="5" t="str">
        <f ca="1">IFERROR(__xludf.DUMMYFUNCTION("""COMPUTED_VALUE"""),"Indianapolis")</f>
        <v>Indianapolis</v>
      </c>
      <c r="N1789" s="5" t="str">
        <f ca="1">IFERROR(__xludf.DUMMYFUNCTION("""COMPUTED_VALUE"""),"IN")</f>
        <v>IN</v>
      </c>
      <c r="O1789" s="5" t="str">
        <f ca="1">IFERROR(__xludf.DUMMYFUNCTION("""COMPUTED_VALUE"""),"High")</f>
        <v>High</v>
      </c>
      <c r="P1789" s="5" t="str">
        <f ca="1">IFERROR(__xludf.DUMMYFUNCTION("""COMPUTED_VALUE"""),"Hallway")</f>
        <v>Hallway</v>
      </c>
      <c r="Q1789" s="5" t="str">
        <f ca="1">IFERROR(__xludf.DUMMYFUNCTION("""COMPUTED_VALUE"""),"Inside School Building")</f>
        <v>Inside School Building</v>
      </c>
      <c r="R1789" s="5" t="str">
        <f ca="1">IFERROR(__xludf.DUMMYFUNCTION("""COMPUTED_VALUE"""),"No")</f>
        <v>No</v>
      </c>
      <c r="S1789" s="5" t="str">
        <f ca="1">IFERROR(__xludf.DUMMYFUNCTION("""COMPUTED_VALUE"""),"Not a School Day")</f>
        <v>Not a School Day</v>
      </c>
      <c r="T1789" s="10">
        <f ca="1">IFERROR(__xludf.DUMMYFUNCTION("""COMPUTED_VALUE"""),0.479166666666666)</f>
        <v>0.47916666666666602</v>
      </c>
      <c r="U1789" s="5">
        <f ca="1">IFERROR(__xludf.DUMMYFUNCTION("""COMPUTED_VALUE"""),1)</f>
        <v>1</v>
      </c>
      <c r="V1789" s="5" t="str">
        <f ca="1">IFERROR(__xludf.DUMMYFUNCTION("""COMPUTED_VALUE"""),"Shooter shot music teacher during foiled burglary at school over weekend")</f>
        <v>Shooter shot music teacher during foiled burglary at school over weekend</v>
      </c>
      <c r="W1789"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X1789" s="5" t="str">
        <f ca="1">IFERROR(__xludf.DUMMYFUNCTION("""COMPUTED_VALUE"""),"Illegal Activity")</f>
        <v>Illegal Activity</v>
      </c>
      <c r="Y1789" s="5" t="str">
        <f ca="1">IFERROR(__xludf.DUMMYFUNCTION("""COMPUTED_VALUE"""),"Random Shooting")</f>
        <v>Random Shooting</v>
      </c>
      <c r="Z1789" s="5" t="str">
        <f ca="1">IFERROR(__xludf.DUMMYFUNCTION("""COMPUTED_VALUE"""),"No")</f>
        <v>No</v>
      </c>
      <c r="AA1789" s="5"/>
      <c r="AB1789" s="5" t="str">
        <f ca="1">IFERROR(__xludf.DUMMYFUNCTION("""COMPUTED_VALUE"""),"No")</f>
        <v>No</v>
      </c>
      <c r="AC1789" s="5" t="str">
        <f ca="1">IFERROR(__xludf.DUMMYFUNCTION("""COMPUTED_VALUE"""),"No")</f>
        <v>No</v>
      </c>
      <c r="AD1789" s="5" t="str">
        <f ca="1">IFERROR(__xludf.DUMMYFUNCTION("""COMPUTED_VALUE"""),"No")</f>
        <v>No</v>
      </c>
      <c r="AE1789" s="5" t="str">
        <f ca="1">IFERROR(__xludf.DUMMYFUNCTION("""COMPUTED_VALUE"""),"No")</f>
        <v>No</v>
      </c>
      <c r="AF1789" s="5" t="str">
        <f ca="1">IFERROR(__xludf.DUMMYFUNCTION("""COMPUTED_VALUE"""),"No")</f>
        <v>No</v>
      </c>
      <c r="AG1789" s="5" t="str">
        <f ca="1">IFERROR(__xludf.DUMMYFUNCTION("""COMPUTED_VALUE"""),"No")</f>
        <v>No</v>
      </c>
      <c r="AH1789" s="5"/>
    </row>
    <row r="1790" spans="1:34" ht="12.75">
      <c r="A1790" s="5" t="str">
        <f ca="1">IFERROR(__xludf.DUMMYFUNCTION("""COMPUTED_VALUE"""),"19870430ORGRP")</f>
        <v>19870430ORGRP</v>
      </c>
      <c r="B1790" s="8">
        <f ca="1">IFERROR(__xludf.DUMMYFUNCTION("""COMPUTED_VALUE"""),31897)</f>
        <v>31897</v>
      </c>
      <c r="C1790" s="5" t="str">
        <f ca="1">IFERROR(__xludf.DUMMYFUNCTION("""COMPUTED_VALUE"""),"Grant High School")</f>
        <v>Grant High School</v>
      </c>
      <c r="D1790" s="5">
        <f ca="1">IFERROR(__xludf.DUMMYFUNCTION("""COMPUTED_VALUE"""),1)</f>
        <v>1</v>
      </c>
      <c r="E1790" s="5">
        <f ca="1">IFERROR(__xludf.DUMMYFUNCTION("""COMPUTED_VALUE"""),0)</f>
        <v>0</v>
      </c>
      <c r="F1790" s="5">
        <f ca="1">IFERROR(__xludf.DUMMYFUNCTION("""COMPUTED_VALUE"""),1)</f>
        <v>1</v>
      </c>
      <c r="G1790" s="5">
        <f ca="1">IFERROR(__xludf.DUMMYFUNCTION("""COMPUTED_VALUE"""),0)</f>
        <v>0</v>
      </c>
      <c r="H1790"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I1790" s="5"/>
      <c r="J1790" s="5"/>
      <c r="K1790" s="5">
        <f ca="1">IFERROR(__xludf.DUMMYFUNCTION("""COMPUTED_VALUE"""),3)</f>
        <v>3</v>
      </c>
      <c r="L1790" s="5" t="str">
        <f ca="1">IFERROR(__xludf.DUMMYFUNCTION("""COMPUTED_VALUE"""),"Spring")</f>
        <v>Spring</v>
      </c>
      <c r="M1790" s="5" t="str">
        <f ca="1">IFERROR(__xludf.DUMMYFUNCTION("""COMPUTED_VALUE"""),"Portland")</f>
        <v>Portland</v>
      </c>
      <c r="N1790" s="5" t="str">
        <f ca="1">IFERROR(__xludf.DUMMYFUNCTION("""COMPUTED_VALUE"""),"OR")</f>
        <v>OR</v>
      </c>
      <c r="O1790" s="5" t="str">
        <f ca="1">IFERROR(__xludf.DUMMYFUNCTION("""COMPUTED_VALUE"""),"High")</f>
        <v>High</v>
      </c>
      <c r="P1790" s="5" t="str">
        <f ca="1">IFERROR(__xludf.DUMMYFUNCTION("""COMPUTED_VALUE"""),"Outside on School Property")</f>
        <v>Outside on School Property</v>
      </c>
      <c r="Q1790" s="5" t="str">
        <f ca="1">IFERROR(__xludf.DUMMYFUNCTION("""COMPUTED_VALUE"""),"Outside on School Property")</f>
        <v>Outside on School Property</v>
      </c>
      <c r="R1790" s="5" t="str">
        <f ca="1">IFERROR(__xludf.DUMMYFUNCTION("""COMPUTED_VALUE"""),"Yes")</f>
        <v>Yes</v>
      </c>
      <c r="S1790" s="5" t="str">
        <f ca="1">IFERROR(__xludf.DUMMYFUNCTION("""COMPUTED_VALUE"""),"Afternoon Classes")</f>
        <v>Afternoon Classes</v>
      </c>
      <c r="T1790" s="10">
        <f ca="1">IFERROR(__xludf.DUMMYFUNCTION("""COMPUTED_VALUE"""),0.59375)</f>
        <v>0.59375</v>
      </c>
      <c r="U1790" s="5">
        <f ca="1">IFERROR(__xludf.DUMMYFUNCTION("""COMPUTED_VALUE"""),1)</f>
        <v>1</v>
      </c>
      <c r="V1790" s="5" t="str">
        <f ca="1">IFERROR(__xludf.DUMMYFUNCTION("""COMPUTED_VALUE"""),"Shooter shot victim during fight")</f>
        <v>Shooter shot victim during fight</v>
      </c>
      <c r="W1790"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X1790" s="5" t="str">
        <f ca="1">IFERROR(__xludf.DUMMYFUNCTION("""COMPUTED_VALUE"""),"Escalation of Dispute")</f>
        <v>Escalation of Dispute</v>
      </c>
      <c r="Y1790" s="5" t="str">
        <f ca="1">IFERROR(__xludf.DUMMYFUNCTION("""COMPUTED_VALUE"""),"Victims Targeted")</f>
        <v>Victims Targeted</v>
      </c>
      <c r="Z1790" s="5" t="str">
        <f ca="1">IFERROR(__xludf.DUMMYFUNCTION("""COMPUTED_VALUE"""),"No")</f>
        <v>No</v>
      </c>
      <c r="AA1790" s="5"/>
      <c r="AB1790" s="5" t="str">
        <f ca="1">IFERROR(__xludf.DUMMYFUNCTION("""COMPUTED_VALUE"""),"No")</f>
        <v>No</v>
      </c>
      <c r="AC1790" s="5" t="str">
        <f ca="1">IFERROR(__xludf.DUMMYFUNCTION("""COMPUTED_VALUE"""),"No")</f>
        <v>No</v>
      </c>
      <c r="AD1790" s="5" t="str">
        <f ca="1">IFERROR(__xludf.DUMMYFUNCTION("""COMPUTED_VALUE"""),"No")</f>
        <v>No</v>
      </c>
      <c r="AE1790" s="5" t="str">
        <f ca="1">IFERROR(__xludf.DUMMYFUNCTION("""COMPUTED_VALUE"""),"No")</f>
        <v>No</v>
      </c>
      <c r="AF1790" s="5" t="str">
        <f ca="1">IFERROR(__xludf.DUMMYFUNCTION("""COMPUTED_VALUE"""),"No")</f>
        <v>No</v>
      </c>
      <c r="AG1790" s="5" t="str">
        <f ca="1">IFERROR(__xludf.DUMMYFUNCTION("""COMPUTED_VALUE"""),"No")</f>
        <v>No</v>
      </c>
      <c r="AH1790" s="5"/>
    </row>
    <row r="1791" spans="1:34" ht="12.75">
      <c r="A1791" s="5" t="str">
        <f ca="1">IFERROR(__xludf.DUMMYFUNCTION("""COMPUTED_VALUE"""),"19870416MIMUD")</f>
        <v>19870416MIMUD</v>
      </c>
      <c r="B1791" s="8">
        <f ca="1">IFERROR(__xludf.DUMMYFUNCTION("""COMPUTED_VALUE"""),31883)</f>
        <v>31883</v>
      </c>
      <c r="C1791" s="5" t="str">
        <f ca="1">IFERROR(__xludf.DUMMYFUNCTION("""COMPUTED_VALUE"""),"Murray-Wright High School")</f>
        <v>Murray-Wright High School</v>
      </c>
      <c r="D1791" s="5">
        <f ca="1">IFERROR(__xludf.DUMMYFUNCTION("""COMPUTED_VALUE"""),1)</f>
        <v>1</v>
      </c>
      <c r="E1791" s="5">
        <f ca="1">IFERROR(__xludf.DUMMYFUNCTION("""COMPUTED_VALUE"""),1)</f>
        <v>1</v>
      </c>
      <c r="F1791" s="5">
        <f ca="1">IFERROR(__xludf.DUMMYFUNCTION("""COMPUTED_VALUE"""),2)</f>
        <v>2</v>
      </c>
      <c r="G1791" s="5">
        <f ca="1">IFERROR(__xludf.DUMMYFUNCTION("""COMPUTED_VALUE"""),0)</f>
        <v>0</v>
      </c>
      <c r="H1791" s="9" t="str">
        <f ca="1">IFERROR(__xludf.DUMMYFUNCTION("""COMPUTED_VALUE"""),"https://www.upi.com/Archives/1987/04/16/Gunshots-fired-in-a-high-school-gymnasium-killed-a/4536545544000/")</f>
        <v>https://www.upi.com/Archives/1987/04/16/Gunshots-fired-in-a-high-school-gymnasium-killed-a/4536545544000/</v>
      </c>
      <c r="I1791" s="5"/>
      <c r="J1791" s="5"/>
      <c r="K1791" s="5">
        <f ca="1">IFERROR(__xludf.DUMMYFUNCTION("""COMPUTED_VALUE"""),2)</f>
        <v>2</v>
      </c>
      <c r="L1791" s="5" t="str">
        <f ca="1">IFERROR(__xludf.DUMMYFUNCTION("""COMPUTED_VALUE"""),"Spring")</f>
        <v>Spring</v>
      </c>
      <c r="M1791" s="5" t="str">
        <f ca="1">IFERROR(__xludf.DUMMYFUNCTION("""COMPUTED_VALUE"""),"Detroit")</f>
        <v>Detroit</v>
      </c>
      <c r="N1791" s="5" t="str">
        <f ca="1">IFERROR(__xludf.DUMMYFUNCTION("""COMPUTED_VALUE"""),"MI")</f>
        <v>MI</v>
      </c>
      <c r="O1791" s="5" t="str">
        <f ca="1">IFERROR(__xludf.DUMMYFUNCTION("""COMPUTED_VALUE"""),"High")</f>
        <v>High</v>
      </c>
      <c r="P1791" s="5" t="str">
        <f ca="1">IFERROR(__xludf.DUMMYFUNCTION("""COMPUTED_VALUE"""),"Inside School Building")</f>
        <v>Inside School Building</v>
      </c>
      <c r="Q1791" s="5" t="str">
        <f ca="1">IFERROR(__xludf.DUMMYFUNCTION("""COMPUTED_VALUE"""),"Inside School Building")</f>
        <v>Inside School Building</v>
      </c>
      <c r="R1791" s="5" t="str">
        <f ca="1">IFERROR(__xludf.DUMMYFUNCTION("""COMPUTED_VALUE"""),"Yes")</f>
        <v>Yes</v>
      </c>
      <c r="S1791" s="5" t="str">
        <f ca="1">IFERROR(__xludf.DUMMYFUNCTION("""COMPUTED_VALUE"""),"Lunch")</f>
        <v>Lunch</v>
      </c>
      <c r="T1791" s="10">
        <f ca="1">IFERROR(__xludf.DUMMYFUNCTION("""COMPUTED_VALUE"""),0.5)</f>
        <v>0.5</v>
      </c>
      <c r="U1791" s="5">
        <f ca="1">IFERROR(__xludf.DUMMYFUNCTION("""COMPUTED_VALUE"""),1)</f>
        <v>1</v>
      </c>
      <c r="V1791" s="5" t="str">
        <f ca="1">IFERROR(__xludf.DUMMYFUNCTION("""COMPUTED_VALUE"""),"Shooter had conflict with two victims a day prior - took gun to school and shot them both")</f>
        <v>Shooter had conflict with two victims a day prior - took gun to school and shot them both</v>
      </c>
      <c r="W1791"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X1791" s="5" t="str">
        <f ca="1">IFERROR(__xludf.DUMMYFUNCTION("""COMPUTED_VALUE"""),"Escalation of Dispute")</f>
        <v>Escalation of Dispute</v>
      </c>
      <c r="Y1791" s="5" t="str">
        <f ca="1">IFERROR(__xludf.DUMMYFUNCTION("""COMPUTED_VALUE"""),"Both")</f>
        <v>Both</v>
      </c>
      <c r="Z1791" s="5" t="str">
        <f ca="1">IFERROR(__xludf.DUMMYFUNCTION("""COMPUTED_VALUE"""),"No")</f>
        <v>No</v>
      </c>
      <c r="AA1791" s="5"/>
      <c r="AB1791" s="5" t="str">
        <f ca="1">IFERROR(__xludf.DUMMYFUNCTION("""COMPUTED_VALUE"""),"No")</f>
        <v>No</v>
      </c>
      <c r="AC1791" s="5" t="str">
        <f ca="1">IFERROR(__xludf.DUMMYFUNCTION("""COMPUTED_VALUE"""),"No")</f>
        <v>No</v>
      </c>
      <c r="AD1791" s="5" t="str">
        <f ca="1">IFERROR(__xludf.DUMMYFUNCTION("""COMPUTED_VALUE"""),"No")</f>
        <v>No</v>
      </c>
      <c r="AE1791" s="5"/>
      <c r="AF1791" s="5" t="str">
        <f ca="1">IFERROR(__xludf.DUMMYFUNCTION("""COMPUTED_VALUE"""),"No")</f>
        <v>No</v>
      </c>
      <c r="AG1791" s="5" t="str">
        <f ca="1">IFERROR(__xludf.DUMMYFUNCTION("""COMPUTED_VALUE"""),"No")</f>
        <v>No</v>
      </c>
      <c r="AH1791" s="5"/>
    </row>
    <row r="1792" spans="1:34" ht="12.75">
      <c r="A1792" s="5" t="str">
        <f ca="1">IFERROR(__xludf.DUMMYFUNCTION("""COMPUTED_VALUE"""),"19870330CAPAS")</f>
        <v>19870330CAPAS</v>
      </c>
      <c r="B1792" s="8">
        <f ca="1">IFERROR(__xludf.DUMMYFUNCTION("""COMPUTED_VALUE"""),31866)</f>
        <v>31866</v>
      </c>
      <c r="C1792" s="5" t="str">
        <f ca="1">IFERROR(__xludf.DUMMYFUNCTION("""COMPUTED_VALUE"""),"Panorama Elementary School")</f>
        <v>Panorama Elementary School</v>
      </c>
      <c r="D1792" s="5">
        <f ca="1">IFERROR(__xludf.DUMMYFUNCTION("""COMPUTED_VALUE"""),0)</f>
        <v>0</v>
      </c>
      <c r="E1792" s="5">
        <f ca="1">IFERROR(__xludf.DUMMYFUNCTION("""COMPUTED_VALUE"""),0)</f>
        <v>0</v>
      </c>
      <c r="F1792" s="5">
        <f ca="1">IFERROR(__xludf.DUMMYFUNCTION("""COMPUTED_VALUE"""),0)</f>
        <v>0</v>
      </c>
      <c r="G1792" s="5">
        <f ca="1">IFERROR(__xludf.DUMMYFUNCTION("""COMPUTED_VALUE"""),1)</f>
        <v>1</v>
      </c>
      <c r="H1792" s="9" t="str">
        <f ca="1">IFERROR(__xludf.DUMMYFUNCTION("""COMPUTED_VALUE"""),"https://www.newspapers.com/image/404237062/?terms=Panorama%2BElementary%2BSchool%2Bshooting")</f>
        <v>https://www.newspapers.com/image/404237062/?terms=Panorama%2BElementary%2BSchool%2Bshooting</v>
      </c>
      <c r="I1792" s="5"/>
      <c r="J1792" s="5"/>
      <c r="K1792" s="5">
        <f ca="1">IFERROR(__xludf.DUMMYFUNCTION("""COMPUTED_VALUE"""),2)</f>
        <v>2</v>
      </c>
      <c r="L1792" s="5" t="str">
        <f ca="1">IFERROR(__xludf.DUMMYFUNCTION("""COMPUTED_VALUE"""),"Spring")</f>
        <v>Spring</v>
      </c>
      <c r="M1792" s="5" t="str">
        <f ca="1">IFERROR(__xludf.DUMMYFUNCTION("""COMPUTED_VALUE"""),"Santa Ana")</f>
        <v>Santa Ana</v>
      </c>
      <c r="N1792" s="5" t="str">
        <f ca="1">IFERROR(__xludf.DUMMYFUNCTION("""COMPUTED_VALUE"""),"CA")</f>
        <v>CA</v>
      </c>
      <c r="O1792" s="5" t="str">
        <f ca="1">IFERROR(__xludf.DUMMYFUNCTION("""COMPUTED_VALUE"""),"Elementary")</f>
        <v>Elementary</v>
      </c>
      <c r="P1792" s="5" t="str">
        <f ca="1">IFERROR(__xludf.DUMMYFUNCTION("""COMPUTED_VALUE"""),"Classroom")</f>
        <v>Classroom</v>
      </c>
      <c r="Q1792" s="5" t="str">
        <f ca="1">IFERROR(__xludf.DUMMYFUNCTION("""COMPUTED_VALUE"""),"Inside School Building")</f>
        <v>Inside School Building</v>
      </c>
      <c r="R1792" s="5" t="str">
        <f ca="1">IFERROR(__xludf.DUMMYFUNCTION("""COMPUTED_VALUE"""),"Yes")</f>
        <v>Yes</v>
      </c>
      <c r="S1792" s="5" t="str">
        <f ca="1">IFERROR(__xludf.DUMMYFUNCTION("""COMPUTED_VALUE"""),"Morning Classes")</f>
        <v>Morning Classes</v>
      </c>
      <c r="T1792" s="10">
        <f ca="1">IFERROR(__xludf.DUMMYFUNCTION("""COMPUTED_VALUE"""),0.470138888888888)</f>
        <v>0.470138888888888</v>
      </c>
      <c r="U1792" s="5">
        <f ca="1">IFERROR(__xludf.DUMMYFUNCTION("""COMPUTED_VALUE"""),1)</f>
        <v>1</v>
      </c>
      <c r="V1792" s="5" t="str">
        <f ca="1">IFERROR(__xludf.DUMMYFUNCTION("""COMPUTED_VALUE"""),"Suicide in front of class, no relation to school")</f>
        <v>Suicide in front of class, no relation to school</v>
      </c>
      <c r="W1792"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X1792" s="5" t="str">
        <f ca="1">IFERROR(__xludf.DUMMYFUNCTION("""COMPUTED_VALUE"""),"Suicide/Attempted")</f>
        <v>Suicide/Attempted</v>
      </c>
      <c r="Y1792" s="5" t="str">
        <f ca="1">IFERROR(__xludf.DUMMYFUNCTION("""COMPUTED_VALUE"""),"Victims Targeted")</f>
        <v>Victims Targeted</v>
      </c>
      <c r="Z1792" s="5" t="str">
        <f ca="1">IFERROR(__xludf.DUMMYFUNCTION("""COMPUTED_VALUE"""),"No")</f>
        <v>No</v>
      </c>
      <c r="AA1792" s="5"/>
      <c r="AB1792" s="5" t="str">
        <f ca="1">IFERROR(__xludf.DUMMYFUNCTION("""COMPUTED_VALUE"""),"No")</f>
        <v>No</v>
      </c>
      <c r="AC1792" s="5" t="str">
        <f ca="1">IFERROR(__xludf.DUMMYFUNCTION("""COMPUTED_VALUE"""),"No")</f>
        <v>No</v>
      </c>
      <c r="AD1792" s="5" t="str">
        <f ca="1">IFERROR(__xludf.DUMMYFUNCTION("""COMPUTED_VALUE"""),"No")</f>
        <v>No</v>
      </c>
      <c r="AE1792" s="5" t="str">
        <f ca="1">IFERROR(__xludf.DUMMYFUNCTION("""COMPUTED_VALUE"""),"No")</f>
        <v>No</v>
      </c>
      <c r="AF1792" s="5" t="str">
        <f ca="1">IFERROR(__xludf.DUMMYFUNCTION("""COMPUTED_VALUE"""),"No")</f>
        <v>No</v>
      </c>
      <c r="AG1792" s="5" t="str">
        <f ca="1">IFERROR(__xludf.DUMMYFUNCTION("""COMPUTED_VALUE"""),"No")</f>
        <v>No</v>
      </c>
      <c r="AH1792" s="5"/>
    </row>
    <row r="1793" spans="1:34" ht="12.75">
      <c r="A1793" s="5" t="str">
        <f ca="1">IFERROR(__xludf.DUMMYFUNCTION("""COMPUTED_VALUE"""),"19870306TXRIE")</f>
        <v>19870306TXRIE</v>
      </c>
      <c r="B1793" s="8">
        <f ca="1">IFERROR(__xludf.DUMMYFUNCTION("""COMPUTED_VALUE"""),31842)</f>
        <v>31842</v>
      </c>
      <c r="C1793" s="5" t="str">
        <f ca="1">IFERROR(__xludf.DUMMYFUNCTION("""COMPUTED_VALUE"""),"Riverside High School")</f>
        <v>Riverside High School</v>
      </c>
      <c r="D1793" s="5">
        <f ca="1">IFERROR(__xludf.DUMMYFUNCTION("""COMPUTED_VALUE"""),0)</f>
        <v>0</v>
      </c>
      <c r="E1793" s="5">
        <f ca="1">IFERROR(__xludf.DUMMYFUNCTION("""COMPUTED_VALUE"""),1)</f>
        <v>1</v>
      </c>
      <c r="F1793" s="5">
        <f ca="1">IFERROR(__xludf.DUMMYFUNCTION("""COMPUTED_VALUE"""),1)</f>
        <v>1</v>
      </c>
      <c r="G1793" s="5">
        <f ca="1">IFERROR(__xludf.DUMMYFUNCTION("""COMPUTED_VALUE"""),0)</f>
        <v>0</v>
      </c>
      <c r="H1793" s="9" t="str">
        <f ca="1">IFERROR(__xludf.DUMMYFUNCTION("""COMPUTED_VALUE"""),"https://www.newspapers.com/image/430983332/?terms=student%2Bshot")</f>
        <v>https://www.newspapers.com/image/430983332/?terms=student%2Bshot</v>
      </c>
      <c r="I1793" s="5"/>
      <c r="J1793" s="5"/>
      <c r="K1793" s="5">
        <f ca="1">IFERROR(__xludf.DUMMYFUNCTION("""COMPUTED_VALUE"""),2)</f>
        <v>2</v>
      </c>
      <c r="L1793" s="5" t="str">
        <f ca="1">IFERROR(__xludf.DUMMYFUNCTION("""COMPUTED_VALUE"""),"Spring")</f>
        <v>Spring</v>
      </c>
      <c r="M1793" s="5" t="str">
        <f ca="1">IFERROR(__xludf.DUMMYFUNCTION("""COMPUTED_VALUE"""),"El Paso")</f>
        <v>El Paso</v>
      </c>
      <c r="N1793" s="5" t="str">
        <f ca="1">IFERROR(__xludf.DUMMYFUNCTION("""COMPUTED_VALUE"""),"TX")</f>
        <v>TX</v>
      </c>
      <c r="O1793" s="5" t="str">
        <f ca="1">IFERROR(__xludf.DUMMYFUNCTION("""COMPUTED_VALUE"""),"High")</f>
        <v>High</v>
      </c>
      <c r="P1793" s="5" t="str">
        <f ca="1">IFERROR(__xludf.DUMMYFUNCTION("""COMPUTED_VALUE"""),"Parking Lot")</f>
        <v>Parking Lot</v>
      </c>
      <c r="Q1793" s="5" t="str">
        <f ca="1">IFERROR(__xludf.DUMMYFUNCTION("""COMPUTED_VALUE"""),"Outside on School Property")</f>
        <v>Outside on School Property</v>
      </c>
      <c r="R1793" s="5" t="str">
        <f ca="1">IFERROR(__xludf.DUMMYFUNCTION("""COMPUTED_VALUE"""),"Yes")</f>
        <v>Yes</v>
      </c>
      <c r="S1793" s="5" t="str">
        <f ca="1">IFERROR(__xludf.DUMMYFUNCTION("""COMPUTED_VALUE"""),"Lunch")</f>
        <v>Lunch</v>
      </c>
      <c r="T1793" s="5"/>
      <c r="U1793" s="5">
        <f ca="1">IFERROR(__xludf.DUMMYFUNCTION("""COMPUTED_VALUE"""),1)</f>
        <v>1</v>
      </c>
      <c r="V1793" s="5" t="str">
        <f ca="1">IFERROR(__xludf.DUMMYFUNCTION("""COMPUTED_VALUE"""),"Bystander shot during fight that escalated")</f>
        <v>Bystander shot during fight that escalated</v>
      </c>
      <c r="W1793"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X1793" s="5" t="str">
        <f ca="1">IFERROR(__xludf.DUMMYFUNCTION("""COMPUTED_VALUE"""),"Escalation of Dispute")</f>
        <v>Escalation of Dispute</v>
      </c>
      <c r="Y1793" s="5" t="str">
        <f ca="1">IFERROR(__xludf.DUMMYFUNCTION("""COMPUTED_VALUE"""),"Random Shooting")</f>
        <v>Random Shooting</v>
      </c>
      <c r="Z1793" s="5" t="str">
        <f ca="1">IFERROR(__xludf.DUMMYFUNCTION("""COMPUTED_VALUE"""),"No")</f>
        <v>No</v>
      </c>
      <c r="AA1793" s="5"/>
      <c r="AB1793" s="5" t="str">
        <f ca="1">IFERROR(__xludf.DUMMYFUNCTION("""COMPUTED_VALUE"""),"No")</f>
        <v>No</v>
      </c>
      <c r="AC1793" s="5" t="str">
        <f ca="1">IFERROR(__xludf.DUMMYFUNCTION("""COMPUTED_VALUE"""),"No")</f>
        <v>No</v>
      </c>
      <c r="AD1793" s="5" t="str">
        <f ca="1">IFERROR(__xludf.DUMMYFUNCTION("""COMPUTED_VALUE"""),"No")</f>
        <v>No</v>
      </c>
      <c r="AE1793" s="5" t="str">
        <f ca="1">IFERROR(__xludf.DUMMYFUNCTION("""COMPUTED_VALUE"""),"No")</f>
        <v>No</v>
      </c>
      <c r="AF1793" s="5" t="str">
        <f ca="1">IFERROR(__xludf.DUMMYFUNCTION("""COMPUTED_VALUE"""),"No")</f>
        <v>No</v>
      </c>
      <c r="AG1793" s="5" t="str">
        <f ca="1">IFERROR(__xludf.DUMMYFUNCTION("""COMPUTED_VALUE"""),"No")</f>
        <v>No</v>
      </c>
      <c r="AH1793" s="5"/>
    </row>
    <row r="1794" spans="1:34" ht="12.75">
      <c r="A1794" s="5" t="str">
        <f ca="1">IFERROR(__xludf.DUMMYFUNCTION("""COMPUTED_VALUE"""),"19870302MODED")</f>
        <v>19870302MODED</v>
      </c>
      <c r="B1794" s="8">
        <f ca="1">IFERROR(__xludf.DUMMYFUNCTION("""COMPUTED_VALUE"""),31838)</f>
        <v>31838</v>
      </c>
      <c r="C1794" s="5" t="str">
        <f ca="1">IFERROR(__xludf.DUMMYFUNCTION("""COMPUTED_VALUE"""),"Dekalb High School")</f>
        <v>Dekalb High School</v>
      </c>
      <c r="D1794" s="5">
        <f ca="1">IFERROR(__xludf.DUMMYFUNCTION("""COMPUTED_VALUE"""),1)</f>
        <v>1</v>
      </c>
      <c r="E1794" s="5">
        <f ca="1">IFERROR(__xludf.DUMMYFUNCTION("""COMPUTED_VALUE"""),0)</f>
        <v>0</v>
      </c>
      <c r="F1794" s="5">
        <f ca="1">IFERROR(__xludf.DUMMYFUNCTION("""COMPUTED_VALUE"""),1)</f>
        <v>1</v>
      </c>
      <c r="G1794" s="5">
        <f ca="1">IFERROR(__xludf.DUMMYFUNCTION("""COMPUTED_VALUE"""),1)</f>
        <v>1</v>
      </c>
      <c r="H1794" s="9" t="str">
        <f ca="1">IFERROR(__xludf.DUMMYFUNCTION("""COMPUTED_VALUE"""),"https://www.upi.com/Archives/1987/03/03/Death-of-unsung-hero-allows-classmates-to-escape/3177541746000/")</f>
        <v>https://www.upi.com/Archives/1987/03/03/Death-of-unsung-hero-allows-classmates-to-escape/3177541746000/</v>
      </c>
      <c r="I1794" s="5"/>
      <c r="J1794" s="5"/>
      <c r="K1794" s="5">
        <f ca="1">IFERROR(__xludf.DUMMYFUNCTION("""COMPUTED_VALUE"""),2)</f>
        <v>2</v>
      </c>
      <c r="L1794" s="5" t="str">
        <f ca="1">IFERROR(__xludf.DUMMYFUNCTION("""COMPUTED_VALUE"""),"Spring")</f>
        <v>Spring</v>
      </c>
      <c r="M1794" s="5" t="str">
        <f ca="1">IFERROR(__xludf.DUMMYFUNCTION("""COMPUTED_VALUE"""),"De Kalb")</f>
        <v>De Kalb</v>
      </c>
      <c r="N1794" s="5" t="str">
        <f ca="1">IFERROR(__xludf.DUMMYFUNCTION("""COMPUTED_VALUE"""),"MO")</f>
        <v>MO</v>
      </c>
      <c r="O1794" s="5" t="str">
        <f ca="1">IFERROR(__xludf.DUMMYFUNCTION("""COMPUTED_VALUE"""),"High")</f>
        <v>High</v>
      </c>
      <c r="P1794" s="5" t="str">
        <f ca="1">IFERROR(__xludf.DUMMYFUNCTION("""COMPUTED_VALUE"""),"Classroom")</f>
        <v>Classroom</v>
      </c>
      <c r="Q1794" s="5" t="str">
        <f ca="1">IFERROR(__xludf.DUMMYFUNCTION("""COMPUTED_VALUE"""),"Inside School Building")</f>
        <v>Inside School Building</v>
      </c>
      <c r="R1794" s="5" t="str">
        <f ca="1">IFERROR(__xludf.DUMMYFUNCTION("""COMPUTED_VALUE"""),"Yes")</f>
        <v>Yes</v>
      </c>
      <c r="S1794" s="5" t="str">
        <f ca="1">IFERROR(__xludf.DUMMYFUNCTION("""COMPUTED_VALUE"""),"Morning Classes")</f>
        <v>Morning Classes</v>
      </c>
      <c r="T1794" s="10">
        <f ca="1">IFERROR(__xludf.DUMMYFUNCTION("""COMPUTED_VALUE"""),0.350694444444444)</f>
        <v>0.35069444444444398</v>
      </c>
      <c r="U1794" s="5"/>
      <c r="V1794" s="5" t="str">
        <f ca="1">IFERROR(__xludf.DUMMYFUNCTION("""COMPUTED_VALUE"""),"Shooter bullied, took out gun in class, shot friend then self")</f>
        <v>Shooter bullied, took out gun in class, shot friend then self</v>
      </c>
      <c r="W1794"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X1794" s="5" t="str">
        <f ca="1">IFERROR(__xludf.DUMMYFUNCTION("""COMPUTED_VALUE"""),"Bullying")</f>
        <v>Bullying</v>
      </c>
      <c r="Y1794" s="5" t="str">
        <f ca="1">IFERROR(__xludf.DUMMYFUNCTION("""COMPUTED_VALUE"""),"Neither")</f>
        <v>Neither</v>
      </c>
      <c r="Z1794" s="5" t="str">
        <f ca="1">IFERROR(__xludf.DUMMYFUNCTION("""COMPUTED_VALUE"""),"No")</f>
        <v>No</v>
      </c>
      <c r="AA1794" s="5"/>
      <c r="AB1794" s="5" t="str">
        <f ca="1">IFERROR(__xludf.DUMMYFUNCTION("""COMPUTED_VALUE"""),"No")</f>
        <v>No</v>
      </c>
      <c r="AC1794" s="5" t="str">
        <f ca="1">IFERROR(__xludf.DUMMYFUNCTION("""COMPUTED_VALUE"""),"No")</f>
        <v>No</v>
      </c>
      <c r="AD1794" s="5" t="str">
        <f ca="1">IFERROR(__xludf.DUMMYFUNCTION("""COMPUTED_VALUE"""),"No")</f>
        <v>No</v>
      </c>
      <c r="AE1794" s="5" t="str">
        <f ca="1">IFERROR(__xludf.DUMMYFUNCTION("""COMPUTED_VALUE"""),"Yes")</f>
        <v>Yes</v>
      </c>
      <c r="AF1794" s="5" t="str">
        <f ca="1">IFERROR(__xludf.DUMMYFUNCTION("""COMPUTED_VALUE"""),"No")</f>
        <v>No</v>
      </c>
      <c r="AG1794" s="5" t="str">
        <f ca="1">IFERROR(__xludf.DUMMYFUNCTION("""COMPUTED_VALUE"""),"No")</f>
        <v>No</v>
      </c>
      <c r="AH1794" s="5"/>
    </row>
    <row r="1795" spans="1:34" ht="12.75">
      <c r="A1795" s="5" t="str">
        <f ca="1">IFERROR(__xludf.DUMMYFUNCTION("""COMPUTED_VALUE"""),"19870224NYMON")</f>
        <v>19870224NYMON</v>
      </c>
      <c r="B1795" s="8">
        <f ca="1">IFERROR(__xludf.DUMMYFUNCTION("""COMPUTED_VALUE"""),31832)</f>
        <v>31832</v>
      </c>
      <c r="C1795" s="5" t="str">
        <f ca="1">IFERROR(__xludf.DUMMYFUNCTION("""COMPUTED_VALUE"""),"Mount Tom Country Day School")</f>
        <v>Mount Tom Country Day School</v>
      </c>
      <c r="D1795" s="5">
        <f ca="1">IFERROR(__xludf.DUMMYFUNCTION("""COMPUTED_VALUE"""),0)</f>
        <v>0</v>
      </c>
      <c r="E1795" s="5">
        <f ca="1">IFERROR(__xludf.DUMMYFUNCTION("""COMPUTED_VALUE"""),1)</f>
        <v>1</v>
      </c>
      <c r="F1795" s="5">
        <f ca="1">IFERROR(__xludf.DUMMYFUNCTION("""COMPUTED_VALUE"""),1)</f>
        <v>1</v>
      </c>
      <c r="G1795" s="5">
        <f ca="1">IFERROR(__xludf.DUMMYFUNCTION("""COMPUTED_VALUE"""),0)</f>
        <v>0</v>
      </c>
      <c r="H1795"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I1795" s="5"/>
      <c r="J1795" s="5"/>
      <c r="K1795" s="5">
        <f ca="1">IFERROR(__xludf.DUMMYFUNCTION("""COMPUTED_VALUE"""),2)</f>
        <v>2</v>
      </c>
      <c r="L1795" s="5" t="str">
        <f ca="1">IFERROR(__xludf.DUMMYFUNCTION("""COMPUTED_VALUE"""),"Winter")</f>
        <v>Winter</v>
      </c>
      <c r="M1795" s="5" t="str">
        <f ca="1">IFERROR(__xludf.DUMMYFUNCTION("""COMPUTED_VALUE"""),"New Rochelle")</f>
        <v>New Rochelle</v>
      </c>
      <c r="N1795" s="5" t="str">
        <f ca="1">IFERROR(__xludf.DUMMYFUNCTION("""COMPUTED_VALUE"""),"NY")</f>
        <v>NY</v>
      </c>
      <c r="O1795" s="5" t="str">
        <f ca="1">IFERROR(__xludf.DUMMYFUNCTION("""COMPUTED_VALUE"""),"Other")</f>
        <v>Other</v>
      </c>
      <c r="P1795" s="5" t="str">
        <f ca="1">IFERROR(__xludf.DUMMYFUNCTION("""COMPUTED_VALUE"""),"Parking Lot")</f>
        <v>Parking Lot</v>
      </c>
      <c r="Q1795" s="5" t="str">
        <f ca="1">IFERROR(__xludf.DUMMYFUNCTION("""COMPUTED_VALUE"""),"Outside on School Property")</f>
        <v>Outside on School Property</v>
      </c>
      <c r="R1795" s="5" t="str">
        <f ca="1">IFERROR(__xludf.DUMMYFUNCTION("""COMPUTED_VALUE"""),"Yes")</f>
        <v>Yes</v>
      </c>
      <c r="S1795" s="5" t="str">
        <f ca="1">IFERROR(__xludf.DUMMYFUNCTION("""COMPUTED_VALUE"""),"School Start")</f>
        <v>School Start</v>
      </c>
      <c r="T1795" s="10">
        <f ca="1">IFERROR(__xludf.DUMMYFUNCTION("""COMPUTED_VALUE"""),0.354166666666666)</f>
        <v>0.35416666666666602</v>
      </c>
      <c r="U1795" s="5">
        <f ca="1">IFERROR(__xludf.DUMMYFUNCTION("""COMPUTED_VALUE"""),1)</f>
        <v>1</v>
      </c>
      <c r="V1795" s="5" t="str">
        <f ca="1">IFERROR(__xludf.DUMMYFUNCTION("""COMPUTED_VALUE"""),"Parent was target in assassination attempt after dropping daughter off at school")</f>
        <v>Parent was target in assassination attempt after dropping daughter off at school</v>
      </c>
      <c r="W1795"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X1795" s="5" t="str">
        <f ca="1">IFERROR(__xludf.DUMMYFUNCTION("""COMPUTED_VALUE"""),"Escalation of Dispute")</f>
        <v>Escalation of Dispute</v>
      </c>
      <c r="Y1795" s="5" t="str">
        <f ca="1">IFERROR(__xludf.DUMMYFUNCTION("""COMPUTED_VALUE"""),"Victims Targeted")</f>
        <v>Victims Targeted</v>
      </c>
      <c r="Z1795" s="5" t="str">
        <f ca="1">IFERROR(__xludf.DUMMYFUNCTION("""COMPUTED_VALUE"""),"No")</f>
        <v>No</v>
      </c>
      <c r="AA1795" s="5"/>
      <c r="AB1795" s="5" t="str">
        <f ca="1">IFERROR(__xludf.DUMMYFUNCTION("""COMPUTED_VALUE"""),"No")</f>
        <v>No</v>
      </c>
      <c r="AC1795" s="5" t="str">
        <f ca="1">IFERROR(__xludf.DUMMYFUNCTION("""COMPUTED_VALUE"""),"No")</f>
        <v>No</v>
      </c>
      <c r="AD1795" s="5" t="str">
        <f ca="1">IFERROR(__xludf.DUMMYFUNCTION("""COMPUTED_VALUE"""),"No")</f>
        <v>No</v>
      </c>
      <c r="AE1795" s="5" t="str">
        <f ca="1">IFERROR(__xludf.DUMMYFUNCTION("""COMPUTED_VALUE"""),"No")</f>
        <v>No</v>
      </c>
      <c r="AF1795" s="5" t="str">
        <f ca="1">IFERROR(__xludf.DUMMYFUNCTION("""COMPUTED_VALUE"""),"No")</f>
        <v>No</v>
      </c>
      <c r="AG1795" s="5" t="str">
        <f ca="1">IFERROR(__xludf.DUMMYFUNCTION("""COMPUTED_VALUE"""),"No")</f>
        <v>No</v>
      </c>
      <c r="AH1795" s="5"/>
    </row>
    <row r="1796" spans="1:34" ht="12.75">
      <c r="A1796" s="5" t="str">
        <f ca="1">IFERROR(__xludf.DUMMYFUNCTION("""COMPUTED_VALUE"""),"19870213AZORM")</f>
        <v>19870213AZORM</v>
      </c>
      <c r="B1796" s="8">
        <f ca="1">IFERROR(__xludf.DUMMYFUNCTION("""COMPUTED_VALUE"""),31821)</f>
        <v>31821</v>
      </c>
      <c r="C1796" s="5" t="str">
        <f ca="1">IFERROR(__xludf.DUMMYFUNCTION("""COMPUTED_VALUE"""),"Orme School")</f>
        <v>Orme School</v>
      </c>
      <c r="D1796" s="5">
        <f ca="1">IFERROR(__xludf.DUMMYFUNCTION("""COMPUTED_VALUE"""),1)</f>
        <v>1</v>
      </c>
      <c r="E1796" s="5">
        <f ca="1">IFERROR(__xludf.DUMMYFUNCTION("""COMPUTED_VALUE"""),2)</f>
        <v>2</v>
      </c>
      <c r="F1796" s="5">
        <f ca="1">IFERROR(__xludf.DUMMYFUNCTION("""COMPUTED_VALUE"""),3)</f>
        <v>3</v>
      </c>
      <c r="G1796" s="5">
        <f ca="1">IFERROR(__xludf.DUMMYFUNCTION("""COMPUTED_VALUE"""),0)</f>
        <v>0</v>
      </c>
      <c r="H1796"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I1796" s="5"/>
      <c r="J1796" s="5"/>
      <c r="K1796" s="5">
        <f ca="1">IFERROR(__xludf.DUMMYFUNCTION("""COMPUTED_VALUE"""),2)</f>
        <v>2</v>
      </c>
      <c r="L1796" s="5" t="str">
        <f ca="1">IFERROR(__xludf.DUMMYFUNCTION("""COMPUTED_VALUE"""),"Winter")</f>
        <v>Winter</v>
      </c>
      <c r="M1796" s="5" t="str">
        <f ca="1">IFERROR(__xludf.DUMMYFUNCTION("""COMPUTED_VALUE"""),"Mayer")</f>
        <v>Mayer</v>
      </c>
      <c r="N1796" s="5" t="str">
        <f ca="1">IFERROR(__xludf.DUMMYFUNCTION("""COMPUTED_VALUE"""),"AZ")</f>
        <v>AZ</v>
      </c>
      <c r="O1796" s="5" t="str">
        <f ca="1">IFERROR(__xludf.DUMMYFUNCTION("""COMPUTED_VALUE"""),"Other")</f>
        <v>Other</v>
      </c>
      <c r="P1796" s="5" t="str">
        <f ca="1">IFERROR(__xludf.DUMMYFUNCTION("""COMPUTED_VALUE"""),"Field (General)")</f>
        <v>Field (General)</v>
      </c>
      <c r="Q1796" s="5" t="str">
        <f ca="1">IFERROR(__xludf.DUMMYFUNCTION("""COMPUTED_VALUE"""),"Outside on School Property")</f>
        <v>Outside on School Property</v>
      </c>
      <c r="R1796" s="5" t="str">
        <f ca="1">IFERROR(__xludf.DUMMYFUNCTION("""COMPUTED_VALUE"""),"No")</f>
        <v>No</v>
      </c>
      <c r="S1796" s="5" t="str">
        <f ca="1">IFERROR(__xludf.DUMMYFUNCTION("""COMPUTED_VALUE"""),"Night")</f>
        <v>Night</v>
      </c>
      <c r="T1796" s="10">
        <f ca="1">IFERROR(__xludf.DUMMYFUNCTION("""COMPUTED_VALUE"""),0.854166666666666)</f>
        <v>0.85416666666666596</v>
      </c>
      <c r="U1796" s="5"/>
      <c r="V1796" s="5" t="str">
        <f ca="1">IFERROR(__xludf.DUMMYFUNCTION("""COMPUTED_VALUE"""),"Anger over possibly being suspended from school")</f>
        <v>Anger over possibly being suspended from school</v>
      </c>
      <c r="W1796"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X1796" s="5" t="str">
        <f ca="1">IFERROR(__xludf.DUMMYFUNCTION("""COMPUTED_VALUE"""),"Anger Over Grade/Suspension/Discipline")</f>
        <v>Anger Over Grade/Suspension/Discipline</v>
      </c>
      <c r="Y1796" s="5" t="str">
        <f ca="1">IFERROR(__xludf.DUMMYFUNCTION("""COMPUTED_VALUE"""),"Victims Targeted")</f>
        <v>Victims Targeted</v>
      </c>
      <c r="Z1796" s="5" t="str">
        <f ca="1">IFERROR(__xludf.DUMMYFUNCTION("""COMPUTED_VALUE"""),"No")</f>
        <v>No</v>
      </c>
      <c r="AA1796" s="5"/>
      <c r="AB1796" s="5" t="str">
        <f ca="1">IFERROR(__xludf.DUMMYFUNCTION("""COMPUTED_VALUE"""),"No")</f>
        <v>No</v>
      </c>
      <c r="AC1796" s="5" t="str">
        <f ca="1">IFERROR(__xludf.DUMMYFUNCTION("""COMPUTED_VALUE"""),"No")</f>
        <v>No</v>
      </c>
      <c r="AD1796" s="5" t="str">
        <f ca="1">IFERROR(__xludf.DUMMYFUNCTION("""COMPUTED_VALUE"""),"No")</f>
        <v>No</v>
      </c>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IFERROR(__xludf.DUMMYFUNCTION("""COMPUTED_VALUE"""),"Yes")</f>
        <v>Yes</v>
      </c>
    </row>
    <row r="1797" spans="1:34" ht="12.75">
      <c r="A1797" s="5" t="str">
        <f ca="1">IFERROR(__xludf.DUMMYFUNCTION("""COMPUTED_VALUE"""),"19870210ARDAD")</f>
        <v>19870210ARDAD</v>
      </c>
      <c r="B1797" s="8">
        <f ca="1">IFERROR(__xludf.DUMMYFUNCTION("""COMPUTED_VALUE"""),31818)</f>
        <v>31818</v>
      </c>
      <c r="C1797" s="5" t="str">
        <f ca="1">IFERROR(__xludf.DUMMYFUNCTION("""COMPUTED_VALUE"""),"Dardanelle High School")</f>
        <v>Dardanelle High School</v>
      </c>
      <c r="D1797" s="5">
        <f ca="1">IFERROR(__xludf.DUMMYFUNCTION("""COMPUTED_VALUE"""),0)</f>
        <v>0</v>
      </c>
      <c r="E1797" s="5">
        <f ca="1">IFERROR(__xludf.DUMMYFUNCTION("""COMPUTED_VALUE"""),0)</f>
        <v>0</v>
      </c>
      <c r="F1797" s="5">
        <f ca="1">IFERROR(__xludf.DUMMYFUNCTION("""COMPUTED_VALUE"""),0)</f>
        <v>0</v>
      </c>
      <c r="G1797" s="5">
        <f ca="1">IFERROR(__xludf.DUMMYFUNCTION("""COMPUTED_VALUE"""),1)</f>
        <v>1</v>
      </c>
      <c r="H1797" s="9" t="str">
        <f ca="1">IFERROR(__xludf.DUMMYFUNCTION("""COMPUTED_VALUE"""),"https://www.newspapers.com/image/203093088/?terms=roger%2Bjoe%2Bedward%2Bjenkins")</f>
        <v>https://www.newspapers.com/image/203093088/?terms=roger%2Bjoe%2Bedward%2Bjenkins</v>
      </c>
      <c r="I1797" s="5"/>
      <c r="J1797" s="5"/>
      <c r="K1797" s="5">
        <f ca="1">IFERROR(__xludf.DUMMYFUNCTION("""COMPUTED_VALUE"""),2)</f>
        <v>2</v>
      </c>
      <c r="L1797" s="5" t="str">
        <f ca="1">IFERROR(__xludf.DUMMYFUNCTION("""COMPUTED_VALUE"""),"Winter")</f>
        <v>Winter</v>
      </c>
      <c r="M1797" s="5" t="str">
        <f ca="1">IFERROR(__xludf.DUMMYFUNCTION("""COMPUTED_VALUE"""),"Dardanelle")</f>
        <v>Dardanelle</v>
      </c>
      <c r="N1797" s="5" t="str">
        <f ca="1">IFERROR(__xludf.DUMMYFUNCTION("""COMPUTED_VALUE"""),"AR")</f>
        <v>AR</v>
      </c>
      <c r="O1797" s="5" t="str">
        <f ca="1">IFERROR(__xludf.DUMMYFUNCTION("""COMPUTED_VALUE"""),"High")</f>
        <v>High</v>
      </c>
      <c r="P1797" s="5" t="str">
        <f ca="1">IFERROR(__xludf.DUMMYFUNCTION("""COMPUTED_VALUE"""),"Courtyard")</f>
        <v>Courtyard</v>
      </c>
      <c r="Q1797" s="5" t="str">
        <f ca="1">IFERROR(__xludf.DUMMYFUNCTION("""COMPUTED_VALUE"""),"Outside on School Property")</f>
        <v>Outside on School Property</v>
      </c>
      <c r="R1797" s="5" t="str">
        <f ca="1">IFERROR(__xludf.DUMMYFUNCTION("""COMPUTED_VALUE"""),"Yes")</f>
        <v>Yes</v>
      </c>
      <c r="S1797" s="5" t="str">
        <f ca="1">IFERROR(__xludf.DUMMYFUNCTION("""COMPUTED_VALUE"""),"Lunch")</f>
        <v>Lunch</v>
      </c>
      <c r="T1797" s="10">
        <f ca="1">IFERROR(__xludf.DUMMYFUNCTION("""COMPUTED_VALUE"""),0.520833333333333)</f>
        <v>0.52083333333333304</v>
      </c>
      <c r="U1797" s="5">
        <f ca="1">IFERROR(__xludf.DUMMYFUNCTION("""COMPUTED_VALUE"""),1)</f>
        <v>1</v>
      </c>
      <c r="V1797" s="5" t="str">
        <f ca="1">IFERROR(__xludf.DUMMYFUNCTION("""COMPUTED_VALUE"""),"Shooter shot himself outside during lunch after fight with girlfriend")</f>
        <v>Shooter shot himself outside during lunch after fight with girlfriend</v>
      </c>
      <c r="W1797"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X1797" s="5" t="str">
        <f ca="1">IFERROR(__xludf.DUMMYFUNCTION("""COMPUTED_VALUE"""),"Suicide/Attempted")</f>
        <v>Suicide/Attempted</v>
      </c>
      <c r="Y1797" s="5" t="str">
        <f ca="1">IFERROR(__xludf.DUMMYFUNCTION("""COMPUTED_VALUE"""),"Victims Targeted")</f>
        <v>Victims Targeted</v>
      </c>
      <c r="Z1797" s="5" t="str">
        <f ca="1">IFERROR(__xludf.DUMMYFUNCTION("""COMPUTED_VALUE"""),"No")</f>
        <v>No</v>
      </c>
      <c r="AA1797" s="5"/>
      <c r="AB1797" s="5" t="str">
        <f ca="1">IFERROR(__xludf.DUMMYFUNCTION("""COMPUTED_VALUE"""),"No")</f>
        <v>No</v>
      </c>
      <c r="AC1797" s="5" t="str">
        <f ca="1">IFERROR(__xludf.DUMMYFUNCTION("""COMPUTED_VALUE"""),"No")</f>
        <v>No</v>
      </c>
      <c r="AD1797" s="5" t="str">
        <f ca="1">IFERROR(__xludf.DUMMYFUNCTION("""COMPUTED_VALUE"""),"No")</f>
        <v>No</v>
      </c>
      <c r="AE1797" s="5" t="str">
        <f ca="1">IFERROR(__xludf.DUMMYFUNCTION("""COMPUTED_VALUE"""),"No")</f>
        <v>No</v>
      </c>
      <c r="AF1797" s="5" t="str">
        <f ca="1">IFERROR(__xludf.DUMMYFUNCTION("""COMPUTED_VALUE"""),"No")</f>
        <v>No</v>
      </c>
      <c r="AG1797" s="5" t="str">
        <f ca="1">IFERROR(__xludf.DUMMYFUNCTION("""COMPUTED_VALUE"""),"No")</f>
        <v>No</v>
      </c>
      <c r="AH1797" s="5"/>
    </row>
    <row r="1798" spans="1:34" ht="12.75">
      <c r="A1798" s="5" t="str">
        <f ca="1">IFERROR(__xludf.DUMMYFUNCTION("""COMPUTED_VALUE"""),"19870123MIRED")</f>
        <v>19870123MIRED</v>
      </c>
      <c r="B1798" s="8">
        <f ca="1">IFERROR(__xludf.DUMMYFUNCTION("""COMPUTED_VALUE"""),31800)</f>
        <v>31800</v>
      </c>
      <c r="C1798" s="5" t="str">
        <f ca="1">IFERROR(__xludf.DUMMYFUNCTION("""COMPUTED_VALUE"""),"Redford High School")</f>
        <v>Redford High School</v>
      </c>
      <c r="D1798" s="5">
        <f ca="1">IFERROR(__xludf.DUMMYFUNCTION("""COMPUTED_VALUE"""),0)</f>
        <v>0</v>
      </c>
      <c r="E1798" s="5">
        <f ca="1">IFERROR(__xludf.DUMMYFUNCTION("""COMPUTED_VALUE"""),1)</f>
        <v>1</v>
      </c>
      <c r="F1798" s="5">
        <f ca="1">IFERROR(__xludf.DUMMYFUNCTION("""COMPUTED_VALUE"""),1)</f>
        <v>1</v>
      </c>
      <c r="G1798" s="5">
        <f ca="1">IFERROR(__xludf.DUMMYFUNCTION("""COMPUTED_VALUE"""),0)</f>
        <v>0</v>
      </c>
      <c r="H1798" s="9" t="str">
        <f ca="1">IFERROR(__xludf.DUMMYFUNCTION("""COMPUTED_VALUE"""),"https://www.newspapers.com/image/99552670/?terms=redford%2Bhigh%2Bschool")</f>
        <v>https://www.newspapers.com/image/99552670/?terms=redford%2Bhigh%2Bschool</v>
      </c>
      <c r="I1798" s="5"/>
      <c r="J1798" s="5"/>
      <c r="K1798" s="5">
        <f ca="1">IFERROR(__xludf.DUMMYFUNCTION("""COMPUTED_VALUE"""),2)</f>
        <v>2</v>
      </c>
      <c r="L1798" s="5" t="str">
        <f ca="1">IFERROR(__xludf.DUMMYFUNCTION("""COMPUTED_VALUE"""),"Winter")</f>
        <v>Winter</v>
      </c>
      <c r="M1798" s="5" t="str">
        <f ca="1">IFERROR(__xludf.DUMMYFUNCTION("""COMPUTED_VALUE"""),"Detroit")</f>
        <v>Detroit</v>
      </c>
      <c r="N1798" s="5" t="str">
        <f ca="1">IFERROR(__xludf.DUMMYFUNCTION("""COMPUTED_VALUE"""),"MI")</f>
        <v>MI</v>
      </c>
      <c r="O1798" s="5" t="str">
        <f ca="1">IFERROR(__xludf.DUMMYFUNCTION("""COMPUTED_VALUE"""),"High")</f>
        <v>High</v>
      </c>
      <c r="P1798" s="5" t="str">
        <f ca="1">IFERROR(__xludf.DUMMYFUNCTION("""COMPUTED_VALUE"""),"Inside School Building")</f>
        <v>Inside School Building</v>
      </c>
      <c r="Q1798" s="5" t="str">
        <f ca="1">IFERROR(__xludf.DUMMYFUNCTION("""COMPUTED_VALUE"""),"Inside School Building")</f>
        <v>Inside School Building</v>
      </c>
      <c r="R1798" s="5" t="str">
        <f ca="1">IFERROR(__xludf.DUMMYFUNCTION("""COMPUTED_VALUE"""),"Yes")</f>
        <v>Yes</v>
      </c>
      <c r="S1798" s="5" t="str">
        <f ca="1">IFERROR(__xludf.DUMMYFUNCTION("""COMPUTED_VALUE"""),"Morning Classes")</f>
        <v>Morning Classes</v>
      </c>
      <c r="T1798" s="10">
        <f ca="1">IFERROR(__xludf.DUMMYFUNCTION("""COMPUTED_VALUE"""),0.336805555555555)</f>
        <v>0.33680555555555503</v>
      </c>
      <c r="U1798" s="5">
        <f ca="1">IFERROR(__xludf.DUMMYFUNCTION("""COMPUTED_VALUE"""),1)</f>
        <v>1</v>
      </c>
      <c r="V1798" s="5" t="str">
        <f ca="1">IFERROR(__xludf.DUMMYFUNCTION("""COMPUTED_VALUE"""),"Ongoing conflict between two students resulted in victim being shot")</f>
        <v>Ongoing conflict between two students resulted in victim being shot</v>
      </c>
      <c r="W1798"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X1798" s="5" t="str">
        <f ca="1">IFERROR(__xludf.DUMMYFUNCTION("""COMPUTED_VALUE"""),"Escalation of Dispute")</f>
        <v>Escalation of Dispute</v>
      </c>
      <c r="Y1798" s="5" t="str">
        <f ca="1">IFERROR(__xludf.DUMMYFUNCTION("""COMPUTED_VALUE"""),"Victims Targeted")</f>
        <v>Victims Targeted</v>
      </c>
      <c r="Z1798" s="5" t="str">
        <f ca="1">IFERROR(__xludf.DUMMYFUNCTION("""COMPUTED_VALUE"""),"No")</f>
        <v>No</v>
      </c>
      <c r="AA1798" s="5"/>
      <c r="AB1798" s="5" t="str">
        <f ca="1">IFERROR(__xludf.DUMMYFUNCTION("""COMPUTED_VALUE"""),"No")</f>
        <v>No</v>
      </c>
      <c r="AC1798" s="5" t="str">
        <f ca="1">IFERROR(__xludf.DUMMYFUNCTION("""COMPUTED_VALUE"""),"No")</f>
        <v>No</v>
      </c>
      <c r="AD1798" s="5" t="str">
        <f ca="1">IFERROR(__xludf.DUMMYFUNCTION("""COMPUTED_VALUE"""),"No")</f>
        <v>No</v>
      </c>
      <c r="AE1798" s="5" t="str">
        <f ca="1">IFERROR(__xludf.DUMMYFUNCTION("""COMPUTED_VALUE"""),"No")</f>
        <v>No</v>
      </c>
      <c r="AF1798" s="5" t="str">
        <f ca="1">IFERROR(__xludf.DUMMYFUNCTION("""COMPUTED_VALUE"""),"No")</f>
        <v>No</v>
      </c>
      <c r="AG1798" s="5" t="str">
        <f ca="1">IFERROR(__xludf.DUMMYFUNCTION("""COMPUTED_VALUE"""),"No")</f>
        <v>No</v>
      </c>
      <c r="AH1798" s="5"/>
    </row>
    <row r="1799" spans="1:34" ht="12.75">
      <c r="A1799" s="5" t="str">
        <f ca="1">IFERROR(__xludf.DUMMYFUNCTION("""COMPUTED_VALUE"""),"19870114CALOL")</f>
        <v>19870114CALOL</v>
      </c>
      <c r="B1799" s="8">
        <f ca="1">IFERROR(__xludf.DUMMYFUNCTION("""COMPUTED_VALUE"""),31791)</f>
        <v>31791</v>
      </c>
      <c r="C1799" s="5" t="str">
        <f ca="1">IFERROR(__xludf.DUMMYFUNCTION("""COMPUTED_VALUE"""),"Los Angeles High School")</f>
        <v>Los Angeles High School</v>
      </c>
      <c r="D1799" s="5">
        <f ca="1">IFERROR(__xludf.DUMMYFUNCTION("""COMPUTED_VALUE"""),0)</f>
        <v>0</v>
      </c>
      <c r="E1799" s="5">
        <f ca="1">IFERROR(__xludf.DUMMYFUNCTION("""COMPUTED_VALUE"""),0)</f>
        <v>0</v>
      </c>
      <c r="F1799" s="5">
        <f ca="1">IFERROR(__xludf.DUMMYFUNCTION("""COMPUTED_VALUE"""),0)</f>
        <v>0</v>
      </c>
      <c r="G1799" s="5">
        <f ca="1">IFERROR(__xludf.DUMMYFUNCTION("""COMPUTED_VALUE"""),0)</f>
        <v>0</v>
      </c>
      <c r="H1799" s="9" t="str">
        <f ca="1">IFERROR(__xludf.DUMMYFUNCTION("""COMPUTED_VALUE"""),"https://www.newspapers.com/image/229316333/?terms=oscar%2Bmartinez")</f>
        <v>https://www.newspapers.com/image/229316333/?terms=oscar%2Bmartinez</v>
      </c>
      <c r="I1799" s="5"/>
      <c r="J1799" s="5"/>
      <c r="K1799" s="5">
        <f ca="1">IFERROR(__xludf.DUMMYFUNCTION("""COMPUTED_VALUE"""),2)</f>
        <v>2</v>
      </c>
      <c r="L1799" s="5" t="str">
        <f ca="1">IFERROR(__xludf.DUMMYFUNCTION("""COMPUTED_VALUE"""),"Winter")</f>
        <v>Winter</v>
      </c>
      <c r="M1799" s="5" t="str">
        <f ca="1">IFERROR(__xludf.DUMMYFUNCTION("""COMPUTED_VALUE"""),"Los Angeles")</f>
        <v>Los Angeles</v>
      </c>
      <c r="N1799" s="5" t="str">
        <f ca="1">IFERROR(__xludf.DUMMYFUNCTION("""COMPUTED_VALUE"""),"CA")</f>
        <v>CA</v>
      </c>
      <c r="O1799" s="5" t="str">
        <f ca="1">IFERROR(__xludf.DUMMYFUNCTION("""COMPUTED_VALUE"""),"High")</f>
        <v>High</v>
      </c>
      <c r="P1799" s="5" t="str">
        <f ca="1">IFERROR(__xludf.DUMMYFUNCTION("""COMPUTED_VALUE"""),"Classroom")</f>
        <v>Classroom</v>
      </c>
      <c r="Q1799" s="5" t="str">
        <f ca="1">IFERROR(__xludf.DUMMYFUNCTION("""COMPUTED_VALUE"""),"Inside School Building")</f>
        <v>Inside School Building</v>
      </c>
      <c r="R1799" s="5" t="str">
        <f ca="1">IFERROR(__xludf.DUMMYFUNCTION("""COMPUTED_VALUE"""),"Yes")</f>
        <v>Yes</v>
      </c>
      <c r="S1799" s="5"/>
      <c r="T1799" s="5"/>
      <c r="U1799" s="5">
        <f ca="1">IFERROR(__xludf.DUMMYFUNCTION("""COMPUTED_VALUE"""),1)</f>
        <v>1</v>
      </c>
      <c r="V1799" s="5" t="str">
        <f ca="1">IFERROR(__xludf.DUMMYFUNCTION("""COMPUTED_VALUE"""),"Shooter shot self in head during English class.")</f>
        <v>Shooter shot self in head during English class.</v>
      </c>
      <c r="W1799" s="5" t="str">
        <f ca="1">IFERROR(__xludf.DUMMYFUNCTION("""COMPUTED_VALUE"""),"Shooter shot self in head during English class in front of 25 other students - no further information given")</f>
        <v>Shooter shot self in head during English class in front of 25 other students - no further information given</v>
      </c>
      <c r="X1799" s="5" t="str">
        <f ca="1">IFERROR(__xludf.DUMMYFUNCTION("""COMPUTED_VALUE"""),"Suicide/Attempted")</f>
        <v>Suicide/Attempted</v>
      </c>
      <c r="Y1799" s="5" t="str">
        <f ca="1">IFERROR(__xludf.DUMMYFUNCTION("""COMPUTED_VALUE"""),"Victims Targeted")</f>
        <v>Victims Targeted</v>
      </c>
      <c r="Z1799" s="5" t="str">
        <f ca="1">IFERROR(__xludf.DUMMYFUNCTION("""COMPUTED_VALUE"""),"No")</f>
        <v>No</v>
      </c>
      <c r="AA1799" s="5"/>
      <c r="AB1799" s="5" t="str">
        <f ca="1">IFERROR(__xludf.DUMMYFUNCTION("""COMPUTED_VALUE"""),"No")</f>
        <v>No</v>
      </c>
      <c r="AC1799" s="5" t="str">
        <f ca="1">IFERROR(__xludf.DUMMYFUNCTION("""COMPUTED_VALUE"""),"No")</f>
        <v>No</v>
      </c>
      <c r="AD1799" s="5" t="str">
        <f ca="1">IFERROR(__xludf.DUMMYFUNCTION("""COMPUTED_VALUE"""),"No")</f>
        <v>No</v>
      </c>
      <c r="AE1799" s="5" t="str">
        <f ca="1">IFERROR(__xludf.DUMMYFUNCTION("""COMPUTED_VALUE"""),"No")</f>
        <v>No</v>
      </c>
      <c r="AF1799" s="5" t="str">
        <f ca="1">IFERROR(__xludf.DUMMYFUNCTION("""COMPUTED_VALUE"""),"No")</f>
        <v>No</v>
      </c>
      <c r="AG1799" s="5" t="str">
        <f ca="1">IFERROR(__xludf.DUMMYFUNCTION("""COMPUTED_VALUE"""),"No")</f>
        <v>No</v>
      </c>
      <c r="AH1799" s="5"/>
    </row>
    <row r="1800" spans="1:34" ht="12.75">
      <c r="A1800" s="5" t="str">
        <f ca="1">IFERROR(__xludf.DUMMYFUNCTION("""COMPUTED_VALUE"""),"19861204MTFEL")</f>
        <v>19861204MTFEL</v>
      </c>
      <c r="B1800" s="8">
        <f ca="1">IFERROR(__xludf.DUMMYFUNCTION("""COMPUTED_VALUE"""),31750)</f>
        <v>31750</v>
      </c>
      <c r="C1800" s="5" t="str">
        <f ca="1">IFERROR(__xludf.DUMMYFUNCTION("""COMPUTED_VALUE"""),"Fergus High School")</f>
        <v>Fergus High School</v>
      </c>
      <c r="D1800" s="5">
        <f ca="1">IFERROR(__xludf.DUMMYFUNCTION("""COMPUTED_VALUE"""),1)</f>
        <v>1</v>
      </c>
      <c r="E1800" s="5">
        <f ca="1">IFERROR(__xludf.DUMMYFUNCTION("""COMPUTED_VALUE"""),1)</f>
        <v>1</v>
      </c>
      <c r="F1800" s="5">
        <f ca="1">IFERROR(__xludf.DUMMYFUNCTION("""COMPUTED_VALUE"""),2)</f>
        <v>2</v>
      </c>
      <c r="G1800" s="5">
        <f ca="1">IFERROR(__xludf.DUMMYFUNCTION("""COMPUTED_VALUE"""),0)</f>
        <v>0</v>
      </c>
      <c r="H1800" s="9" t="str">
        <f ca="1">IFERROR(__xludf.DUMMYFUNCTION("""COMPUTED_VALUE"""),"https://www.nytimes.com/1986/12/06/us/failing-grade-is-linked-to-shooting-of-teacher.html")</f>
        <v>https://www.nytimes.com/1986/12/06/us/failing-grade-is-linked-to-shooting-of-teacher.html</v>
      </c>
      <c r="I1800" s="5"/>
      <c r="J1800" s="5"/>
      <c r="K1800" s="5">
        <f ca="1">IFERROR(__xludf.DUMMYFUNCTION("""COMPUTED_VALUE"""),2)</f>
        <v>2</v>
      </c>
      <c r="L1800" s="5" t="str">
        <f ca="1">IFERROR(__xludf.DUMMYFUNCTION("""COMPUTED_VALUE"""),"Winter")</f>
        <v>Winter</v>
      </c>
      <c r="M1800" s="5" t="str">
        <f ca="1">IFERROR(__xludf.DUMMYFUNCTION("""COMPUTED_VALUE"""),"Lewistown")</f>
        <v>Lewistown</v>
      </c>
      <c r="N1800" s="5" t="str">
        <f ca="1">IFERROR(__xludf.DUMMYFUNCTION("""COMPUTED_VALUE"""),"MT")</f>
        <v>MT</v>
      </c>
      <c r="O1800" s="5" t="str">
        <f ca="1">IFERROR(__xludf.DUMMYFUNCTION("""COMPUTED_VALUE"""),"High")</f>
        <v>High</v>
      </c>
      <c r="P1800" s="5" t="str">
        <f ca="1">IFERROR(__xludf.DUMMYFUNCTION("""COMPUTED_VALUE"""),"Classroom; Field")</f>
        <v>Classroom; Field</v>
      </c>
      <c r="Q1800" s="5" t="str">
        <f ca="1">IFERROR(__xludf.DUMMYFUNCTION("""COMPUTED_VALUE"""),"Both Inside/Outside")</f>
        <v>Both Inside/Outside</v>
      </c>
      <c r="R1800" s="5" t="str">
        <f ca="1">IFERROR(__xludf.DUMMYFUNCTION("""COMPUTED_VALUE"""),"Yes")</f>
        <v>Yes</v>
      </c>
      <c r="S1800" s="5"/>
      <c r="T1800" s="5"/>
      <c r="U1800" s="5">
        <f ca="1">IFERROR(__xludf.DUMMYFUNCTION("""COMPUTED_VALUE"""),1)</f>
        <v>1</v>
      </c>
      <c r="V1800" s="5" t="str">
        <f ca="1">IFERROR(__xludf.DUMMYFUNCTION("""COMPUTED_VALUE"""),"Shooter shot French teacher for failing grade")</f>
        <v>Shooter shot French teacher for failing grade</v>
      </c>
      <c r="W1800"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X1800" s="5" t="str">
        <f ca="1">IFERROR(__xludf.DUMMYFUNCTION("""COMPUTED_VALUE"""),"Anger Over Grade/Suspension/Discipline")</f>
        <v>Anger Over Grade/Suspension/Discipline</v>
      </c>
      <c r="Y1800" s="5" t="str">
        <f ca="1">IFERROR(__xludf.DUMMYFUNCTION("""COMPUTED_VALUE"""),"Victims Targeted")</f>
        <v>Victims Targeted</v>
      </c>
      <c r="Z1800" s="5" t="str">
        <f ca="1">IFERROR(__xludf.DUMMYFUNCTION("""COMPUTED_VALUE"""),"No")</f>
        <v>No</v>
      </c>
      <c r="AA1800" s="5"/>
      <c r="AB1800" s="5" t="str">
        <f ca="1">IFERROR(__xludf.DUMMYFUNCTION("""COMPUTED_VALUE"""),"No")</f>
        <v>No</v>
      </c>
      <c r="AC1800" s="5" t="str">
        <f ca="1">IFERROR(__xludf.DUMMYFUNCTION("""COMPUTED_VALUE"""),"No")</f>
        <v>No</v>
      </c>
      <c r="AD1800" s="5" t="str">
        <f ca="1">IFERROR(__xludf.DUMMYFUNCTION("""COMPUTED_VALUE"""),"No")</f>
        <v>No</v>
      </c>
      <c r="AE1800" s="5"/>
      <c r="AF1800" s="5" t="str">
        <f ca="1">IFERROR(__xludf.DUMMYFUNCTION("""COMPUTED_VALUE"""),"No")</f>
        <v>No</v>
      </c>
      <c r="AG1800" s="5" t="str">
        <f ca="1">IFERROR(__xludf.DUMMYFUNCTION("""COMPUTED_VALUE"""),"No")</f>
        <v>No</v>
      </c>
      <c r="AH1800" s="5"/>
    </row>
    <row r="1801" spans="1:34" ht="12.75">
      <c r="A1801" s="5" t="str">
        <f ca="1">IFERROR(__xludf.DUMMYFUNCTION("""COMPUTED_VALUE"""),"19861008TXSOD")</f>
        <v>19861008TXSOD</v>
      </c>
      <c r="B1801" s="8">
        <f ca="1">IFERROR(__xludf.DUMMYFUNCTION("""COMPUTED_VALUE"""),31693)</f>
        <v>31693</v>
      </c>
      <c r="C1801" s="5" t="str">
        <f ca="1">IFERROR(__xludf.DUMMYFUNCTION("""COMPUTED_VALUE"""),"South Oak Cliff High School")</f>
        <v>South Oak Cliff High School</v>
      </c>
      <c r="D1801" s="5">
        <f ca="1">IFERROR(__xludf.DUMMYFUNCTION("""COMPUTED_VALUE"""),1)</f>
        <v>1</v>
      </c>
      <c r="E1801" s="5">
        <f ca="1">IFERROR(__xludf.DUMMYFUNCTION("""COMPUTED_VALUE"""),0)</f>
        <v>0</v>
      </c>
      <c r="F1801" s="5">
        <f ca="1">IFERROR(__xludf.DUMMYFUNCTION("""COMPUTED_VALUE"""),1)</f>
        <v>1</v>
      </c>
      <c r="G1801" s="5">
        <f ca="1">IFERROR(__xludf.DUMMYFUNCTION("""COMPUTED_VALUE"""),0)</f>
        <v>0</v>
      </c>
      <c r="H1801" s="9" t="str">
        <f ca="1">IFERROR(__xludf.DUMMYFUNCTION("""COMPUTED_VALUE"""),"https://www.newspapers.com/image/195486648/?terms=South%2BOak%2BCliff%2BHigh%2BSchool%2Bshooting")</f>
        <v>https://www.newspapers.com/image/195486648/?terms=South%2BOak%2BCliff%2BHigh%2BSchool%2Bshooting</v>
      </c>
      <c r="I1801" s="5"/>
      <c r="J1801" s="5"/>
      <c r="K1801" s="5">
        <f ca="1">IFERROR(__xludf.DUMMYFUNCTION("""COMPUTED_VALUE"""),2)</f>
        <v>2</v>
      </c>
      <c r="L1801" s="5" t="str">
        <f ca="1">IFERROR(__xludf.DUMMYFUNCTION("""COMPUTED_VALUE"""),"Fall")</f>
        <v>Fall</v>
      </c>
      <c r="M1801" s="5" t="str">
        <f ca="1">IFERROR(__xludf.DUMMYFUNCTION("""COMPUTED_VALUE"""),"Dallas")</f>
        <v>Dallas</v>
      </c>
      <c r="N1801" s="5" t="str">
        <f ca="1">IFERROR(__xludf.DUMMYFUNCTION("""COMPUTED_VALUE"""),"TX")</f>
        <v>TX</v>
      </c>
      <c r="O1801" s="5" t="str">
        <f ca="1">IFERROR(__xludf.DUMMYFUNCTION("""COMPUTED_VALUE"""),"High")</f>
        <v>High</v>
      </c>
      <c r="P1801" s="5" t="str">
        <f ca="1">IFERROR(__xludf.DUMMYFUNCTION("""COMPUTED_VALUE"""),"School Bus")</f>
        <v>School Bus</v>
      </c>
      <c r="Q1801" s="5" t="str">
        <f ca="1">IFERROR(__xludf.DUMMYFUNCTION("""COMPUTED_VALUE"""),"School Bus")</f>
        <v>School Bus</v>
      </c>
      <c r="R1801" s="5" t="str">
        <f ca="1">IFERROR(__xludf.DUMMYFUNCTION("""COMPUTED_VALUE"""),"Yes")</f>
        <v>Yes</v>
      </c>
      <c r="S1801" s="5" t="str">
        <f ca="1">IFERROR(__xludf.DUMMYFUNCTION("""COMPUTED_VALUE"""),"After School")</f>
        <v>After School</v>
      </c>
      <c r="T1801" s="10">
        <f ca="1">IFERROR(__xludf.DUMMYFUNCTION("""COMPUTED_VALUE"""),0.666666666666666)</f>
        <v>0.66666666666666596</v>
      </c>
      <c r="U1801" s="5">
        <f ca="1">IFERROR(__xludf.DUMMYFUNCTION("""COMPUTED_VALUE"""),1)</f>
        <v>1</v>
      </c>
      <c r="V1801" s="5" t="str">
        <f ca="1">IFERROR(__xludf.DUMMYFUNCTION("""COMPUTED_VALUE"""),"Fight on bus, older brother of one of the fighters shot the other fighter")</f>
        <v>Fight on bus, older brother of one of the fighters shot the other fighter</v>
      </c>
      <c r="W1801"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X1801" s="5" t="str">
        <f ca="1">IFERROR(__xludf.DUMMYFUNCTION("""COMPUTED_VALUE"""),"Escalation of Dispute")</f>
        <v>Escalation of Dispute</v>
      </c>
      <c r="Y1801" s="5" t="str">
        <f ca="1">IFERROR(__xludf.DUMMYFUNCTION("""COMPUTED_VALUE"""),"Victims Targeted")</f>
        <v>Victims Targeted</v>
      </c>
      <c r="Z1801" s="5" t="str">
        <f ca="1">IFERROR(__xludf.DUMMYFUNCTION("""COMPUTED_VALUE"""),"Yes")</f>
        <v>Yes</v>
      </c>
      <c r="AA1801" s="5" t="str">
        <f ca="1">IFERROR(__xludf.DUMMYFUNCTION("""COMPUTED_VALUE"""),"Two brothers involved and charged")</f>
        <v>Two brothers involved and charged</v>
      </c>
      <c r="AB1801" s="5" t="str">
        <f ca="1">IFERROR(__xludf.DUMMYFUNCTION("""COMPUTED_VALUE"""),"No")</f>
        <v>No</v>
      </c>
      <c r="AC1801" s="5" t="str">
        <f ca="1">IFERROR(__xludf.DUMMYFUNCTION("""COMPUTED_VALUE"""),"No")</f>
        <v>No</v>
      </c>
      <c r="AD1801" s="5" t="str">
        <f ca="1">IFERROR(__xludf.DUMMYFUNCTION("""COMPUTED_VALUE"""),"No")</f>
        <v>No</v>
      </c>
      <c r="AE1801" s="5" t="str">
        <f ca="1">IFERROR(__xludf.DUMMYFUNCTION("""COMPUTED_VALUE"""),"No")</f>
        <v>No</v>
      </c>
      <c r="AF1801" s="5" t="str">
        <f ca="1">IFERROR(__xludf.DUMMYFUNCTION("""COMPUTED_VALUE"""),"No")</f>
        <v>No</v>
      </c>
      <c r="AG1801" s="5" t="str">
        <f ca="1">IFERROR(__xludf.DUMMYFUNCTION("""COMPUTED_VALUE"""),"No")</f>
        <v>No</v>
      </c>
      <c r="AH1801" s="5"/>
    </row>
    <row r="1802" spans="1:34" ht="12.75">
      <c r="A1802" s="5" t="str">
        <f ca="1">IFERROR(__xludf.DUMMYFUNCTION("""COMPUTED_VALUE"""),"19861003CAMOM")</f>
        <v>19861003CAMOM</v>
      </c>
      <c r="B1802" s="8">
        <f ca="1">IFERROR(__xludf.DUMMYFUNCTION("""COMPUTED_VALUE"""),31688)</f>
        <v>31688</v>
      </c>
      <c r="C1802" s="5" t="str">
        <f ca="1">IFERROR(__xludf.DUMMYFUNCTION("""COMPUTED_VALUE"""),"Monrovia High School")</f>
        <v>Monrovia High School</v>
      </c>
      <c r="D1802" s="5">
        <f ca="1">IFERROR(__xludf.DUMMYFUNCTION("""COMPUTED_VALUE"""),0)</f>
        <v>0</v>
      </c>
      <c r="E1802" s="5">
        <f ca="1">IFERROR(__xludf.DUMMYFUNCTION("""COMPUTED_VALUE"""),2)</f>
        <v>2</v>
      </c>
      <c r="F1802" s="5">
        <f ca="1">IFERROR(__xludf.DUMMYFUNCTION("""COMPUTED_VALUE"""),2)</f>
        <v>2</v>
      </c>
      <c r="G1802" s="5">
        <f ca="1">IFERROR(__xludf.DUMMYFUNCTION("""COMPUTED_VALUE"""),0)</f>
        <v>0</v>
      </c>
      <c r="H1802" s="9" t="str">
        <f ca="1">IFERROR(__xludf.DUMMYFUNCTION("""COMPUTED_VALUE"""),"https://www.newspapers.com/image/64897451/?terms=Monrovia%2BHigh%2BSchool%2Bshooting")</f>
        <v>https://www.newspapers.com/image/64897451/?terms=Monrovia%2BHigh%2BSchool%2Bshooting</v>
      </c>
      <c r="I1802" s="5"/>
      <c r="J1802" s="5"/>
      <c r="K1802" s="5">
        <f ca="1">IFERROR(__xludf.DUMMYFUNCTION("""COMPUTED_VALUE"""),2)</f>
        <v>2</v>
      </c>
      <c r="L1802" s="5" t="str">
        <f ca="1">IFERROR(__xludf.DUMMYFUNCTION("""COMPUTED_VALUE"""),"Fall")</f>
        <v>Fall</v>
      </c>
      <c r="M1802" s="5" t="str">
        <f ca="1">IFERROR(__xludf.DUMMYFUNCTION("""COMPUTED_VALUE"""),"Monrovia")</f>
        <v>Monrovia</v>
      </c>
      <c r="N1802" s="5" t="str">
        <f ca="1">IFERROR(__xludf.DUMMYFUNCTION("""COMPUTED_VALUE"""),"CA")</f>
        <v>CA</v>
      </c>
      <c r="O1802" s="5" t="str">
        <f ca="1">IFERROR(__xludf.DUMMYFUNCTION("""COMPUTED_VALUE"""),"High")</f>
        <v>High</v>
      </c>
      <c r="P1802" s="5" t="str">
        <f ca="1">IFERROR(__xludf.DUMMYFUNCTION("""COMPUTED_VALUE"""),"Football Field/Track")</f>
        <v>Football Field/Track</v>
      </c>
      <c r="Q1802" s="5" t="str">
        <f ca="1">IFERROR(__xludf.DUMMYFUNCTION("""COMPUTED_VALUE"""),"Outside on School Property")</f>
        <v>Outside on School Property</v>
      </c>
      <c r="R1802" s="5" t="str">
        <f ca="1">IFERROR(__xludf.DUMMYFUNCTION("""COMPUTED_VALUE"""),"No")</f>
        <v>No</v>
      </c>
      <c r="S1802" s="5" t="str">
        <f ca="1">IFERROR(__xludf.DUMMYFUNCTION("""COMPUTED_VALUE"""),"Sport Event")</f>
        <v>Sport Event</v>
      </c>
      <c r="T1802" s="5"/>
      <c r="U1802" s="5">
        <f ca="1">IFERROR(__xludf.DUMMYFUNCTION("""COMPUTED_VALUE"""),1)</f>
        <v>1</v>
      </c>
      <c r="V1802" s="5" t="str">
        <f ca="1">IFERROR(__xludf.DUMMYFUNCTION("""COMPUTED_VALUE"""),"Rival gang fight during football game")</f>
        <v>Rival gang fight during football game</v>
      </c>
      <c r="W1802"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X1802" s="5" t="str">
        <f ca="1">IFERROR(__xludf.DUMMYFUNCTION("""COMPUTED_VALUE"""),"Escalation of Dispute")</f>
        <v>Escalation of Dispute</v>
      </c>
      <c r="Y1802" s="5" t="str">
        <f ca="1">IFERROR(__xludf.DUMMYFUNCTION("""COMPUTED_VALUE"""),"Both")</f>
        <v>Both</v>
      </c>
      <c r="Z1802" s="5" t="str">
        <f ca="1">IFERROR(__xludf.DUMMYFUNCTION("""COMPUTED_VALUE"""),"Yes")</f>
        <v>Yes</v>
      </c>
      <c r="AA1802" s="5" t="str">
        <f ca="1">IFERROR(__xludf.DUMMYFUNCTION("""COMPUTED_VALUE"""),"Three involved in shooting")</f>
        <v>Three involved in shooting</v>
      </c>
      <c r="AB1802" s="5" t="str">
        <f ca="1">IFERROR(__xludf.DUMMYFUNCTION("""COMPUTED_VALUE"""),"No")</f>
        <v>No</v>
      </c>
      <c r="AC1802" s="5" t="str">
        <f ca="1">IFERROR(__xludf.DUMMYFUNCTION("""COMPUTED_VALUE"""),"No")</f>
        <v>No</v>
      </c>
      <c r="AD1802" s="5" t="str">
        <f ca="1">IFERROR(__xludf.DUMMYFUNCTION("""COMPUTED_VALUE"""),"No")</f>
        <v>No</v>
      </c>
      <c r="AE1802" s="5" t="str">
        <f ca="1">IFERROR(__xludf.DUMMYFUNCTION("""COMPUTED_VALUE"""),"No")</f>
        <v>No</v>
      </c>
      <c r="AF1802" s="5" t="str">
        <f ca="1">IFERROR(__xludf.DUMMYFUNCTION("""COMPUTED_VALUE"""),"No")</f>
        <v>No</v>
      </c>
      <c r="AG1802" s="5" t="str">
        <f ca="1">IFERROR(__xludf.DUMMYFUNCTION("""COMPUTED_VALUE"""),"Yes")</f>
        <v>Yes</v>
      </c>
      <c r="AH1802" s="5"/>
    </row>
    <row r="1803" spans="1:34" ht="12.75">
      <c r="A1803" s="5" t="str">
        <f ca="1">IFERROR(__xludf.DUMMYFUNCTION("""COMPUTED_VALUE"""),"19860918CABEB")</f>
        <v>19860918CABEB</v>
      </c>
      <c r="B1803" s="8">
        <f ca="1">IFERROR(__xludf.DUMMYFUNCTION("""COMPUTED_VALUE"""),31673)</f>
        <v>31673</v>
      </c>
      <c r="C1803" s="5" t="str">
        <f ca="1">IFERROR(__xludf.DUMMYFUNCTION("""COMPUTED_VALUE"""),"Benicia High School")</f>
        <v>Benicia High School</v>
      </c>
      <c r="D1803" s="5">
        <f ca="1">IFERROR(__xludf.DUMMYFUNCTION("""COMPUTED_VALUE"""),1)</f>
        <v>1</v>
      </c>
      <c r="E1803" s="5">
        <f ca="1">IFERROR(__xludf.DUMMYFUNCTION("""COMPUTED_VALUE"""),0)</f>
        <v>0</v>
      </c>
      <c r="F1803" s="5">
        <f ca="1">IFERROR(__xludf.DUMMYFUNCTION("""COMPUTED_VALUE"""),1)</f>
        <v>1</v>
      </c>
      <c r="G1803" s="5">
        <f ca="1">IFERROR(__xludf.DUMMYFUNCTION("""COMPUTED_VALUE"""),0)</f>
        <v>0</v>
      </c>
      <c r="H1803" s="9" t="str">
        <f ca="1">IFERROR(__xludf.DUMMYFUNCTION("""COMPUTED_VALUE"""),"https://www.newspapers.com/image/71348642/?terms=Benicia%2BHigh%2BSchool%2Bshooting")</f>
        <v>https://www.newspapers.com/image/71348642/?terms=Benicia%2BHigh%2BSchool%2Bshooting</v>
      </c>
      <c r="I1803" s="5"/>
      <c r="J1803" s="5"/>
      <c r="K1803" s="5">
        <f ca="1">IFERROR(__xludf.DUMMYFUNCTION("""COMPUTED_VALUE"""),2)</f>
        <v>2</v>
      </c>
      <c r="L1803" s="5" t="str">
        <f ca="1">IFERROR(__xludf.DUMMYFUNCTION("""COMPUTED_VALUE"""),"Fall")</f>
        <v>Fall</v>
      </c>
      <c r="M1803" s="5" t="str">
        <f ca="1">IFERROR(__xludf.DUMMYFUNCTION("""COMPUTED_VALUE"""),"Benicia")</f>
        <v>Benicia</v>
      </c>
      <c r="N1803" s="5" t="str">
        <f ca="1">IFERROR(__xludf.DUMMYFUNCTION("""COMPUTED_VALUE"""),"CA")</f>
        <v>CA</v>
      </c>
      <c r="O1803" s="5" t="str">
        <f ca="1">IFERROR(__xludf.DUMMYFUNCTION("""COMPUTED_VALUE"""),"High")</f>
        <v>High</v>
      </c>
      <c r="P1803" s="5" t="str">
        <f ca="1">IFERROR(__xludf.DUMMYFUNCTION("""COMPUTED_VALUE"""),"Outside on School Property")</f>
        <v>Outside on School Property</v>
      </c>
      <c r="Q1803" s="5" t="str">
        <f ca="1">IFERROR(__xludf.DUMMYFUNCTION("""COMPUTED_VALUE"""),"Outside on School Property")</f>
        <v>Outside on School Property</v>
      </c>
      <c r="R1803" s="5" t="str">
        <f ca="1">IFERROR(__xludf.DUMMYFUNCTION("""COMPUTED_VALUE"""),"Yes")</f>
        <v>Yes</v>
      </c>
      <c r="S1803" s="5" t="str">
        <f ca="1">IFERROR(__xludf.DUMMYFUNCTION("""COMPUTED_VALUE"""),"Afternoon Classes")</f>
        <v>Afternoon Classes</v>
      </c>
      <c r="T1803" s="5"/>
      <c r="U1803" s="5">
        <f ca="1">IFERROR(__xludf.DUMMYFUNCTION("""COMPUTED_VALUE"""),1)</f>
        <v>1</v>
      </c>
      <c r="V1803" s="5" t="str">
        <f ca="1">IFERROR(__xludf.DUMMYFUNCTION("""COMPUTED_VALUE"""),"Victim broke up with boyfriend after school so he shot her in school parking lot")</f>
        <v>Victim broke up with boyfriend after school so he shot her in school parking lot</v>
      </c>
      <c r="W1803"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X1803" s="5" t="str">
        <f ca="1">IFERROR(__xludf.DUMMYFUNCTION("""COMPUTED_VALUE"""),"Domestic w/ Targeted Victim")</f>
        <v>Domestic w/ Targeted Victim</v>
      </c>
      <c r="Y1803" s="5" t="str">
        <f ca="1">IFERROR(__xludf.DUMMYFUNCTION("""COMPUTED_VALUE"""),"Victims Targeted")</f>
        <v>Victims Targeted</v>
      </c>
      <c r="Z1803" s="5" t="str">
        <f ca="1">IFERROR(__xludf.DUMMYFUNCTION("""COMPUTED_VALUE"""),"No")</f>
        <v>No</v>
      </c>
      <c r="AA1803" s="5"/>
      <c r="AB1803" s="5" t="str">
        <f ca="1">IFERROR(__xludf.DUMMYFUNCTION("""COMPUTED_VALUE"""),"No")</f>
        <v>No</v>
      </c>
      <c r="AC1803" s="5" t="str">
        <f ca="1">IFERROR(__xludf.DUMMYFUNCTION("""COMPUTED_VALUE"""),"No")</f>
        <v>No</v>
      </c>
      <c r="AD1803" s="5" t="str">
        <f ca="1">IFERROR(__xludf.DUMMYFUNCTION("""COMPUTED_VALUE"""),"No")</f>
        <v>No</v>
      </c>
      <c r="AE1803" s="5" t="str">
        <f ca="1">IFERROR(__xludf.DUMMYFUNCTION("""COMPUTED_VALUE"""),"No")</f>
        <v>No</v>
      </c>
      <c r="AF1803" s="5" t="str">
        <f ca="1">IFERROR(__xludf.DUMMYFUNCTION("""COMPUTED_VALUE"""),"Yes")</f>
        <v>Yes</v>
      </c>
      <c r="AG1803" s="5" t="str">
        <f ca="1">IFERROR(__xludf.DUMMYFUNCTION("""COMPUTED_VALUE"""),"No")</f>
        <v>No</v>
      </c>
      <c r="AH1803" s="5"/>
    </row>
    <row r="1804" spans="1:34" ht="12.75">
      <c r="A1804" s="5" t="str">
        <f ca="1">IFERROR(__xludf.DUMMYFUNCTION("""COMPUTED_VALUE"""),"19860912CAFAL")</f>
        <v>19860912CAFAL</v>
      </c>
      <c r="B1804" s="8">
        <f ca="1">IFERROR(__xludf.DUMMYFUNCTION("""COMPUTED_VALUE"""),31667)</f>
        <v>31667</v>
      </c>
      <c r="C1804" s="5" t="str">
        <f ca="1">IFERROR(__xludf.DUMMYFUNCTION("""COMPUTED_VALUE"""),"Fairfax High School")</f>
        <v>Fairfax High School</v>
      </c>
      <c r="D1804" s="5">
        <f ca="1">IFERROR(__xludf.DUMMYFUNCTION("""COMPUTED_VALUE"""),1)</f>
        <v>1</v>
      </c>
      <c r="E1804" s="5">
        <f ca="1">IFERROR(__xludf.DUMMYFUNCTION("""COMPUTED_VALUE"""),0)</f>
        <v>0</v>
      </c>
      <c r="F1804" s="5">
        <f ca="1">IFERROR(__xludf.DUMMYFUNCTION("""COMPUTED_VALUE"""),1)</f>
        <v>1</v>
      </c>
      <c r="G1804" s="5">
        <f ca="1">IFERROR(__xludf.DUMMYFUNCTION("""COMPUTED_VALUE"""),0)</f>
        <v>0</v>
      </c>
      <c r="H1804" s="9" t="str">
        <f ca="1">IFERROR(__xludf.DUMMYFUNCTION("""COMPUTED_VALUE"""),"https://www.newspapers.com/image/404657287/?terms=Fairfax%2BHigh%2BSchool%2Bshooting")</f>
        <v>https://www.newspapers.com/image/404657287/?terms=Fairfax%2BHigh%2BSchool%2Bshooting</v>
      </c>
      <c r="I1804" s="5"/>
      <c r="J1804" s="5"/>
      <c r="K1804" s="5">
        <f ca="1">IFERROR(__xludf.DUMMYFUNCTION("""COMPUTED_VALUE"""),2)</f>
        <v>2</v>
      </c>
      <c r="L1804" s="5" t="str">
        <f ca="1">IFERROR(__xludf.DUMMYFUNCTION("""COMPUTED_VALUE"""),"Fall")</f>
        <v>Fall</v>
      </c>
      <c r="M1804" s="5" t="str">
        <f ca="1">IFERROR(__xludf.DUMMYFUNCTION("""COMPUTED_VALUE"""),"Los Angeles")</f>
        <v>Los Angeles</v>
      </c>
      <c r="N1804" s="5" t="str">
        <f ca="1">IFERROR(__xludf.DUMMYFUNCTION("""COMPUTED_VALUE"""),"CA")</f>
        <v>CA</v>
      </c>
      <c r="O1804" s="5" t="str">
        <f ca="1">IFERROR(__xludf.DUMMYFUNCTION("""COMPUTED_VALUE"""),"High")</f>
        <v>High</v>
      </c>
      <c r="P1804" s="5" t="str">
        <f ca="1">IFERROR(__xludf.DUMMYFUNCTION("""COMPUTED_VALUE"""),"Hallway")</f>
        <v>Hallway</v>
      </c>
      <c r="Q1804" s="5" t="str">
        <f ca="1">IFERROR(__xludf.DUMMYFUNCTION("""COMPUTED_VALUE"""),"Inside School Building")</f>
        <v>Inside School Building</v>
      </c>
      <c r="R1804" s="5" t="str">
        <f ca="1">IFERROR(__xludf.DUMMYFUNCTION("""COMPUTED_VALUE"""),"Yes")</f>
        <v>Yes</v>
      </c>
      <c r="S1804" s="5" t="str">
        <f ca="1">IFERROR(__xludf.DUMMYFUNCTION("""COMPUTED_VALUE"""),"Afternoon Classes")</f>
        <v>Afternoon Classes</v>
      </c>
      <c r="T1804" s="10">
        <f ca="1">IFERROR(__xludf.DUMMYFUNCTION("""COMPUTED_VALUE"""),0.59375)</f>
        <v>0.59375</v>
      </c>
      <c r="U1804" s="5">
        <f ca="1">IFERROR(__xludf.DUMMYFUNCTION("""COMPUTED_VALUE"""),1)</f>
        <v>1</v>
      </c>
      <c r="V1804" s="5" t="str">
        <f ca="1">IFERROR(__xludf.DUMMYFUNCTION("""COMPUTED_VALUE"""),"Fight broke out in hallway, victim was inadvertently shot in back and killed")</f>
        <v>Fight broke out in hallway, victim was inadvertently shot in back and killed</v>
      </c>
      <c r="W1804"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X1804" s="5" t="str">
        <f ca="1">IFERROR(__xludf.DUMMYFUNCTION("""COMPUTED_VALUE"""),"Escalation of Dispute")</f>
        <v>Escalation of Dispute</v>
      </c>
      <c r="Y1804" s="5" t="str">
        <f ca="1">IFERROR(__xludf.DUMMYFUNCTION("""COMPUTED_VALUE"""),"Both")</f>
        <v>Both</v>
      </c>
      <c r="Z1804" s="5" t="str">
        <f ca="1">IFERROR(__xludf.DUMMYFUNCTION("""COMPUTED_VALUE"""),"Yes")</f>
        <v>Yes</v>
      </c>
      <c r="AA1804" s="5" t="str">
        <f ca="1">IFERROR(__xludf.DUMMYFUNCTION("""COMPUTED_VALUE"""),"Police were looking for 3 suspected gang members involved")</f>
        <v>Police were looking for 3 suspected gang members involved</v>
      </c>
      <c r="AB1804" s="5" t="str">
        <f ca="1">IFERROR(__xludf.DUMMYFUNCTION("""COMPUTED_VALUE"""),"No")</f>
        <v>No</v>
      </c>
      <c r="AC1804" s="5" t="str">
        <f ca="1">IFERROR(__xludf.DUMMYFUNCTION("""COMPUTED_VALUE"""),"No")</f>
        <v>No</v>
      </c>
      <c r="AD1804" s="5" t="str">
        <f ca="1">IFERROR(__xludf.DUMMYFUNCTION("""COMPUTED_VALUE"""),"No")</f>
        <v>No</v>
      </c>
      <c r="AE1804" s="5" t="str">
        <f ca="1">IFERROR(__xludf.DUMMYFUNCTION("""COMPUTED_VALUE"""),"No")</f>
        <v>No</v>
      </c>
      <c r="AF1804" s="5" t="str">
        <f ca="1">IFERROR(__xludf.DUMMYFUNCTION("""COMPUTED_VALUE"""),"No")</f>
        <v>No</v>
      </c>
      <c r="AG1804" s="5" t="str">
        <f ca="1">IFERROR(__xludf.DUMMYFUNCTION("""COMPUTED_VALUE"""),"Yes")</f>
        <v>Yes</v>
      </c>
      <c r="AH1804" s="5"/>
    </row>
    <row r="1805" spans="1:34" ht="12.75">
      <c r="A1805" s="5" t="str">
        <f ca="1">IFERROR(__xludf.DUMMYFUNCTION("""COMPUTED_VALUE"""),"19860517TNMAN")</f>
        <v>19860517TNMAN</v>
      </c>
      <c r="B1805" s="8">
        <f ca="1">IFERROR(__xludf.DUMMYFUNCTION("""COMPUTED_VALUE"""),31549)</f>
        <v>31549</v>
      </c>
      <c r="C1805" s="5" t="str">
        <f ca="1">IFERROR(__xludf.DUMMYFUNCTION("""COMPUTED_VALUE"""),"Maplewood High School")</f>
        <v>Maplewood High School</v>
      </c>
      <c r="D1805" s="5">
        <f ca="1">IFERROR(__xludf.DUMMYFUNCTION("""COMPUTED_VALUE"""),0)</f>
        <v>0</v>
      </c>
      <c r="E1805" s="5">
        <f ca="1">IFERROR(__xludf.DUMMYFUNCTION("""COMPUTED_VALUE"""),1)</f>
        <v>1</v>
      </c>
      <c r="F1805" s="5">
        <f ca="1">IFERROR(__xludf.DUMMYFUNCTION("""COMPUTED_VALUE"""),1)</f>
        <v>1</v>
      </c>
      <c r="G1805" s="5">
        <f ca="1">IFERROR(__xludf.DUMMYFUNCTION("""COMPUTED_VALUE"""),0)</f>
        <v>0</v>
      </c>
      <c r="H1805" s="9" t="str">
        <f ca="1">IFERROR(__xludf.DUMMYFUNCTION("""COMPUTED_VALUE"""),"https://www.newspapers.com/image/321065578/?terms=KERRY%2BDICKENS")</f>
        <v>https://www.newspapers.com/image/321065578/?terms=KERRY%2BDICKENS</v>
      </c>
      <c r="I1805" s="5"/>
      <c r="J1805" s="5"/>
      <c r="K1805" s="5">
        <f ca="1">IFERROR(__xludf.DUMMYFUNCTION("""COMPUTED_VALUE"""),2)</f>
        <v>2</v>
      </c>
      <c r="L1805" s="5" t="str">
        <f ca="1">IFERROR(__xludf.DUMMYFUNCTION("""COMPUTED_VALUE"""),"Spring")</f>
        <v>Spring</v>
      </c>
      <c r="M1805" s="5" t="str">
        <f ca="1">IFERROR(__xludf.DUMMYFUNCTION("""COMPUTED_VALUE"""),"Nashville")</f>
        <v>Nashville</v>
      </c>
      <c r="N1805" s="5" t="str">
        <f ca="1">IFERROR(__xludf.DUMMYFUNCTION("""COMPUTED_VALUE"""),"TN")</f>
        <v>TN</v>
      </c>
      <c r="O1805" s="5" t="str">
        <f ca="1">IFERROR(__xludf.DUMMYFUNCTION("""COMPUTED_VALUE"""),"High")</f>
        <v>High</v>
      </c>
      <c r="P1805" s="5" t="str">
        <f ca="1">IFERROR(__xludf.DUMMYFUNCTION("""COMPUTED_VALUE"""),"Classroom")</f>
        <v>Classroom</v>
      </c>
      <c r="Q1805" s="5" t="str">
        <f ca="1">IFERROR(__xludf.DUMMYFUNCTION("""COMPUTED_VALUE"""),"Inside School Building")</f>
        <v>Inside School Building</v>
      </c>
      <c r="R1805" s="5" t="str">
        <f ca="1">IFERROR(__xludf.DUMMYFUNCTION("""COMPUTED_VALUE"""),"Yes")</f>
        <v>Yes</v>
      </c>
      <c r="S1805" s="5" t="str">
        <f ca="1">IFERROR(__xludf.DUMMYFUNCTION("""COMPUTED_VALUE"""),"Before School")</f>
        <v>Before School</v>
      </c>
      <c r="T1805" s="10">
        <f ca="1">IFERROR(__xludf.DUMMYFUNCTION("""COMPUTED_VALUE"""),0.291666666666666)</f>
        <v>0.29166666666666602</v>
      </c>
      <c r="U1805" s="5">
        <f ca="1">IFERROR(__xludf.DUMMYFUNCTION("""COMPUTED_VALUE"""),1)</f>
        <v>1</v>
      </c>
      <c r="V1805" s="5" t="str">
        <f ca="1">IFERROR(__xludf.DUMMYFUNCTION("""COMPUTED_VALUE"""),"Angry at teacher for kicking him out of class")</f>
        <v>Angry at teacher for kicking him out of class</v>
      </c>
      <c r="W1805"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X1805" s="5" t="str">
        <f ca="1">IFERROR(__xludf.DUMMYFUNCTION("""COMPUTED_VALUE"""),"Anger Over Grade/Suspension/Discipline")</f>
        <v>Anger Over Grade/Suspension/Discipline</v>
      </c>
      <c r="Y1805" s="5" t="str">
        <f ca="1">IFERROR(__xludf.DUMMYFUNCTION("""COMPUTED_VALUE"""),"Victims Targeted")</f>
        <v>Victims Targeted</v>
      </c>
      <c r="Z1805" s="5" t="str">
        <f ca="1">IFERROR(__xludf.DUMMYFUNCTION("""COMPUTED_VALUE"""),"No")</f>
        <v>No</v>
      </c>
      <c r="AA1805" s="5"/>
      <c r="AB1805" s="5" t="str">
        <f ca="1">IFERROR(__xludf.DUMMYFUNCTION("""COMPUTED_VALUE"""),"No")</f>
        <v>No</v>
      </c>
      <c r="AC1805" s="5" t="str">
        <f ca="1">IFERROR(__xludf.DUMMYFUNCTION("""COMPUTED_VALUE"""),"No")</f>
        <v>No</v>
      </c>
      <c r="AD1805" s="5" t="str">
        <f ca="1">IFERROR(__xludf.DUMMYFUNCTION("""COMPUTED_VALUE"""),"No")</f>
        <v>No</v>
      </c>
      <c r="AE1805" s="5" t="str">
        <f ca="1">IFERROR(__xludf.DUMMYFUNCTION("""COMPUTED_VALUE"""),"No")</f>
        <v>No</v>
      </c>
      <c r="AF1805" s="5" t="str">
        <f ca="1">IFERROR(__xludf.DUMMYFUNCTION("""COMPUTED_VALUE"""),"No")</f>
        <v>No</v>
      </c>
      <c r="AG1805" s="5" t="str">
        <f ca="1">IFERROR(__xludf.DUMMYFUNCTION("""COMPUTED_VALUE"""),"No")</f>
        <v>No</v>
      </c>
      <c r="AH1805" s="5"/>
    </row>
    <row r="1806" spans="1:34" ht="12.75">
      <c r="A1806" s="5" t="str">
        <f ca="1">IFERROR(__xludf.DUMMYFUNCTION("""COMPUTED_VALUE"""),"19860516WYCOC")</f>
        <v>19860516WYCOC</v>
      </c>
      <c r="B1806" s="8">
        <f ca="1">IFERROR(__xludf.DUMMYFUNCTION("""COMPUTED_VALUE"""),31548)</f>
        <v>31548</v>
      </c>
      <c r="C1806" s="5" t="str">
        <f ca="1">IFERROR(__xludf.DUMMYFUNCTION("""COMPUTED_VALUE"""),"Cokeville Elementary School")</f>
        <v>Cokeville Elementary School</v>
      </c>
      <c r="D1806" s="5">
        <f ca="1">IFERROR(__xludf.DUMMYFUNCTION("""COMPUTED_VALUE"""),0)</f>
        <v>0</v>
      </c>
      <c r="E1806" s="5">
        <f ca="1">IFERROR(__xludf.DUMMYFUNCTION("""COMPUTED_VALUE"""),74)</f>
        <v>74</v>
      </c>
      <c r="F1806" s="5">
        <f ca="1">IFERROR(__xludf.DUMMYFUNCTION("""COMPUTED_VALUE"""),74)</f>
        <v>74</v>
      </c>
      <c r="G1806" s="5">
        <f ca="1">IFERROR(__xludf.DUMMYFUNCTION("""COMPUTED_VALUE"""),1)</f>
        <v>1</v>
      </c>
      <c r="H1806"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I1806" s="5"/>
      <c r="J1806" s="5"/>
      <c r="K1806" s="5">
        <f ca="1">IFERROR(__xludf.DUMMYFUNCTION("""COMPUTED_VALUE"""),2)</f>
        <v>2</v>
      </c>
      <c r="L1806" s="5" t="str">
        <f ca="1">IFERROR(__xludf.DUMMYFUNCTION("""COMPUTED_VALUE"""),"Spring")</f>
        <v>Spring</v>
      </c>
      <c r="M1806" s="5" t="str">
        <f ca="1">IFERROR(__xludf.DUMMYFUNCTION("""COMPUTED_VALUE"""),"Cokeville")</f>
        <v>Cokeville</v>
      </c>
      <c r="N1806" s="5" t="str">
        <f ca="1">IFERROR(__xludf.DUMMYFUNCTION("""COMPUTED_VALUE"""),"WY")</f>
        <v>WY</v>
      </c>
      <c r="O1806" s="5" t="str">
        <f ca="1">IFERROR(__xludf.DUMMYFUNCTION("""COMPUTED_VALUE"""),"Elementary")</f>
        <v>Elementary</v>
      </c>
      <c r="P1806" s="5" t="str">
        <f ca="1">IFERROR(__xludf.DUMMYFUNCTION("""COMPUTED_VALUE"""),"Cafeteria")</f>
        <v>Cafeteria</v>
      </c>
      <c r="Q1806" s="5" t="str">
        <f ca="1">IFERROR(__xludf.DUMMYFUNCTION("""COMPUTED_VALUE"""),"Inside School Building")</f>
        <v>Inside School Building</v>
      </c>
      <c r="R1806" s="5" t="str">
        <f ca="1">IFERROR(__xludf.DUMMYFUNCTION("""COMPUTED_VALUE"""),"Yes")</f>
        <v>Yes</v>
      </c>
      <c r="S1806" s="5" t="str">
        <f ca="1">IFERROR(__xludf.DUMMYFUNCTION("""COMPUTED_VALUE"""),"Afternoon Classes")</f>
        <v>Afternoon Classes</v>
      </c>
      <c r="T1806" s="10">
        <f ca="1">IFERROR(__xludf.DUMMYFUNCTION("""COMPUTED_VALUE"""),0.5625)</f>
        <v>0.5625</v>
      </c>
      <c r="U1806" s="5">
        <f ca="1">IFERROR(__xludf.DUMMYFUNCTION("""COMPUTED_VALUE"""),150)</f>
        <v>150</v>
      </c>
      <c r="V1806" s="5" t="str">
        <f ca="1">IFERROR(__xludf.DUMMYFUNCTION("""COMPUTED_VALUE"""),"Adult couple held 150 students and teacher hostage, detonated firebomb in cafeteria")</f>
        <v>Adult couple held 150 students and teacher hostage, detonated firebomb in cafeteria</v>
      </c>
      <c r="W1806"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X1806" s="5" t="str">
        <f ca="1">IFERROR(__xludf.DUMMYFUNCTION("""COMPUTED_VALUE"""),"Hostage/Standoff")</f>
        <v>Hostage/Standoff</v>
      </c>
      <c r="Y1806" s="5" t="str">
        <f ca="1">IFERROR(__xludf.DUMMYFUNCTION("""COMPUTED_VALUE"""),"Neither")</f>
        <v>Neither</v>
      </c>
      <c r="Z1806" s="5" t="str">
        <f ca="1">IFERROR(__xludf.DUMMYFUNCTION("""COMPUTED_VALUE"""),"Yes")</f>
        <v>Yes</v>
      </c>
      <c r="AA1806" s="5" t="str">
        <f ca="1">IFERROR(__xludf.DUMMYFUNCTION("""COMPUTED_VALUE"""),"Husband and Wife")</f>
        <v>Husband and Wife</v>
      </c>
      <c r="AB1806" s="5" t="str">
        <f ca="1">IFERROR(__xludf.DUMMYFUNCTION("""COMPUTED_VALUE"""),"Yes")</f>
        <v>Yes</v>
      </c>
      <c r="AC1806" s="5" t="str">
        <f ca="1">IFERROR(__xludf.DUMMYFUNCTION("""COMPUTED_VALUE"""),"No")</f>
        <v>No</v>
      </c>
      <c r="AD1806" s="5" t="str">
        <f ca="1">IFERROR(__xludf.DUMMYFUNCTION("""COMPUTED_VALUE"""),"No")</f>
        <v>No</v>
      </c>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IFERROR(__xludf.DUMMYFUNCTION("""COMPUTED_VALUE"""),"Yes")</f>
        <v>Yes</v>
      </c>
    </row>
    <row r="1807" spans="1:34" ht="12.75">
      <c r="A1807" s="5" t="str">
        <f ca="1">IFERROR(__xludf.DUMMYFUNCTION("""COMPUTED_VALUE"""),"19860515GACAA")</f>
        <v>19860515GACAA</v>
      </c>
      <c r="B1807" s="8">
        <f ca="1">IFERROR(__xludf.DUMMYFUNCTION("""COMPUTED_VALUE"""),31547)</f>
        <v>31547</v>
      </c>
      <c r="C1807" s="5" t="str">
        <f ca="1">IFERROR(__xludf.DUMMYFUNCTION("""COMPUTED_VALUE"""),"Carver High School")</f>
        <v>Carver High School</v>
      </c>
      <c r="D1807" s="5">
        <f ca="1">IFERROR(__xludf.DUMMYFUNCTION("""COMPUTED_VALUE"""),0)</f>
        <v>0</v>
      </c>
      <c r="E1807" s="5">
        <f ca="1">IFERROR(__xludf.DUMMYFUNCTION("""COMPUTED_VALUE"""),1)</f>
        <v>1</v>
      </c>
      <c r="F1807" s="5">
        <f ca="1">IFERROR(__xludf.DUMMYFUNCTION("""COMPUTED_VALUE"""),1)</f>
        <v>1</v>
      </c>
      <c r="G1807" s="5">
        <f ca="1">IFERROR(__xludf.DUMMYFUNCTION("""COMPUTED_VALUE"""),0)</f>
        <v>0</v>
      </c>
      <c r="H1807" s="9" t="str">
        <f ca="1">IFERROR(__xludf.DUMMYFUNCTION("""COMPUTED_VALUE"""),"https://www.newspapers.com/image/399571341/?terms=tammy%2Bfowler%2Bcarver")</f>
        <v>https://www.newspapers.com/image/399571341/?terms=tammy%2Bfowler%2Bcarver</v>
      </c>
      <c r="I1807" s="5"/>
      <c r="J1807" s="5"/>
      <c r="K1807" s="5">
        <f ca="1">IFERROR(__xludf.DUMMYFUNCTION("""COMPUTED_VALUE"""),2)</f>
        <v>2</v>
      </c>
      <c r="L1807" s="5" t="str">
        <f ca="1">IFERROR(__xludf.DUMMYFUNCTION("""COMPUTED_VALUE"""),"Spring")</f>
        <v>Spring</v>
      </c>
      <c r="M1807" s="5" t="str">
        <f ca="1">IFERROR(__xludf.DUMMYFUNCTION("""COMPUTED_VALUE"""),"Atlanta")</f>
        <v>Atlanta</v>
      </c>
      <c r="N1807" s="5" t="str">
        <f ca="1">IFERROR(__xludf.DUMMYFUNCTION("""COMPUTED_VALUE"""),"GA")</f>
        <v>GA</v>
      </c>
      <c r="O1807" s="5" t="str">
        <f ca="1">IFERROR(__xludf.DUMMYFUNCTION("""COMPUTED_VALUE"""),"High")</f>
        <v>High</v>
      </c>
      <c r="P1807" s="5" t="str">
        <f ca="1">IFERROR(__xludf.DUMMYFUNCTION("""COMPUTED_VALUE"""),"Field (General)")</f>
        <v>Field (General)</v>
      </c>
      <c r="Q1807" s="5" t="str">
        <f ca="1">IFERROR(__xludf.DUMMYFUNCTION("""COMPUTED_VALUE"""),"Outside on School Property")</f>
        <v>Outside on School Property</v>
      </c>
      <c r="R1807" s="5" t="str">
        <f ca="1">IFERROR(__xludf.DUMMYFUNCTION("""COMPUTED_VALUE"""),"Yes")</f>
        <v>Yes</v>
      </c>
      <c r="S1807" s="5"/>
      <c r="T1807" s="5"/>
      <c r="U1807" s="5">
        <f ca="1">IFERROR(__xludf.DUMMYFUNCTION("""COMPUTED_VALUE"""),1)</f>
        <v>1</v>
      </c>
      <c r="V1807" s="5" t="str">
        <f ca="1">IFERROR(__xludf.DUMMYFUNCTION("""COMPUTED_VALUE"""),"Accidental - during ROTC rifle practice")</f>
        <v>Accidental - during ROTC rifle practice</v>
      </c>
      <c r="W1807"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X1807" s="5" t="str">
        <f ca="1">IFERROR(__xludf.DUMMYFUNCTION("""COMPUTED_VALUE"""),"Accidental")</f>
        <v>Accidental</v>
      </c>
      <c r="Y1807" s="5" t="str">
        <f ca="1">IFERROR(__xludf.DUMMYFUNCTION("""COMPUTED_VALUE"""),"Random Shooting")</f>
        <v>Random Shooting</v>
      </c>
      <c r="Z1807" s="5"/>
      <c r="AA1807" s="5"/>
      <c r="AB1807" s="5" t="str">
        <f ca="1">IFERROR(__xludf.DUMMYFUNCTION("""COMPUTED_VALUE"""),"No")</f>
        <v>No</v>
      </c>
      <c r="AC1807" s="5" t="str">
        <f ca="1">IFERROR(__xludf.DUMMYFUNCTION("""COMPUTED_VALUE"""),"No")</f>
        <v>No</v>
      </c>
      <c r="AD1807" s="5" t="str">
        <f ca="1">IFERROR(__xludf.DUMMYFUNCTION("""COMPUTED_VALUE"""),"No")</f>
        <v>No</v>
      </c>
      <c r="AE1807" s="5" t="str">
        <f ca="1">IFERROR(__xludf.DUMMYFUNCTION("""COMPUTED_VALUE"""),"No")</f>
        <v>No</v>
      </c>
      <c r="AF1807" s="5" t="str">
        <f ca="1">IFERROR(__xludf.DUMMYFUNCTION("""COMPUTED_VALUE"""),"No")</f>
        <v>No</v>
      </c>
      <c r="AG1807" s="5" t="str">
        <f ca="1">IFERROR(__xludf.DUMMYFUNCTION("""COMPUTED_VALUE"""),"No")</f>
        <v>No</v>
      </c>
      <c r="AH1807" s="5"/>
    </row>
    <row r="1808" spans="1:34" ht="12.75">
      <c r="A1808" s="5" t="str">
        <f ca="1">IFERROR(__xludf.DUMMYFUNCTION("""COMPUTED_VALUE"""),"19860509NCPIF")</f>
        <v>19860509NCPIF</v>
      </c>
      <c r="B1808" s="8">
        <f ca="1">IFERROR(__xludf.DUMMYFUNCTION("""COMPUTED_VALUE"""),31541)</f>
        <v>31541</v>
      </c>
      <c r="C1808" s="5" t="str">
        <f ca="1">IFERROR(__xludf.DUMMYFUNCTION("""COMPUTED_VALUE"""),"Pine Forest High School")</f>
        <v>Pine Forest High School</v>
      </c>
      <c r="D1808" s="5">
        <f ca="1">IFERROR(__xludf.DUMMYFUNCTION("""COMPUTED_VALUE"""),0)</f>
        <v>0</v>
      </c>
      <c r="E1808" s="5">
        <f ca="1">IFERROR(__xludf.DUMMYFUNCTION("""COMPUTED_VALUE"""),3)</f>
        <v>3</v>
      </c>
      <c r="F1808" s="5">
        <f ca="1">IFERROR(__xludf.DUMMYFUNCTION("""COMPUTED_VALUE"""),3)</f>
        <v>3</v>
      </c>
      <c r="G1808" s="5">
        <f ca="1">IFERROR(__xludf.DUMMYFUNCTION("""COMPUTED_VALUE"""),0)</f>
        <v>0</v>
      </c>
      <c r="H1808" s="9" t="str">
        <f ca="1">IFERROR(__xludf.DUMMYFUNCTION("""COMPUTED_VALUE"""),"https://www.upi.com/Archives/1986/05/09/A-17-year-old-student-opened-fire-with-a-pistol-in/5107515995200/")</f>
        <v>https://www.upi.com/Archives/1986/05/09/A-17-year-old-student-opened-fire-with-a-pistol-in/5107515995200/</v>
      </c>
      <c r="I1808" s="5"/>
      <c r="J1808" s="5"/>
      <c r="K1808" s="5">
        <f ca="1">IFERROR(__xludf.DUMMYFUNCTION("""COMPUTED_VALUE"""),2)</f>
        <v>2</v>
      </c>
      <c r="L1808" s="5" t="str">
        <f ca="1">IFERROR(__xludf.DUMMYFUNCTION("""COMPUTED_VALUE"""),"Spring")</f>
        <v>Spring</v>
      </c>
      <c r="M1808" s="5" t="str">
        <f ca="1">IFERROR(__xludf.DUMMYFUNCTION("""COMPUTED_VALUE"""),"Fayetteville")</f>
        <v>Fayetteville</v>
      </c>
      <c r="N1808" s="5" t="str">
        <f ca="1">IFERROR(__xludf.DUMMYFUNCTION("""COMPUTED_VALUE"""),"NC")</f>
        <v>NC</v>
      </c>
      <c r="O1808" s="5" t="str">
        <f ca="1">IFERROR(__xludf.DUMMYFUNCTION("""COMPUTED_VALUE"""),"High")</f>
        <v>High</v>
      </c>
      <c r="P1808" s="5" t="str">
        <f ca="1">IFERROR(__xludf.DUMMYFUNCTION("""COMPUTED_VALUE"""),"Inside School Building")</f>
        <v>Inside School Building</v>
      </c>
      <c r="Q1808" s="5" t="str">
        <f ca="1">IFERROR(__xludf.DUMMYFUNCTION("""COMPUTED_VALUE"""),"Inside School Building")</f>
        <v>Inside School Building</v>
      </c>
      <c r="R1808" s="5" t="str">
        <f ca="1">IFERROR(__xludf.DUMMYFUNCTION("""COMPUTED_VALUE"""),"Yes")</f>
        <v>Yes</v>
      </c>
      <c r="S1808" s="5" t="str">
        <f ca="1">IFERROR(__xludf.DUMMYFUNCTION("""COMPUTED_VALUE"""),"Morning Classes")</f>
        <v>Morning Classes</v>
      </c>
      <c r="T1808" s="10">
        <f ca="1">IFERROR(__xludf.DUMMYFUNCTION("""COMPUTED_VALUE"""),0.395833333333333)</f>
        <v>0.39583333333333298</v>
      </c>
      <c r="U1808" s="5">
        <f ca="1">IFERROR(__xludf.DUMMYFUNCTION("""COMPUTED_VALUE"""),1)</f>
        <v>1</v>
      </c>
      <c r="V1808" s="5" t="str">
        <f ca="1">IFERROR(__xludf.DUMMYFUNCTION("""COMPUTED_VALUE"""),"Threats to shooter by one of the victims he shot")</f>
        <v>Threats to shooter by one of the victims he shot</v>
      </c>
      <c r="W1808"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X1808" s="5" t="str">
        <f ca="1">IFERROR(__xludf.DUMMYFUNCTION("""COMPUTED_VALUE"""),"Escalation of Dispute")</f>
        <v>Escalation of Dispute</v>
      </c>
      <c r="Y1808" s="5" t="str">
        <f ca="1">IFERROR(__xludf.DUMMYFUNCTION("""COMPUTED_VALUE"""),"Both")</f>
        <v>Both</v>
      </c>
      <c r="Z1808" s="5" t="str">
        <f ca="1">IFERROR(__xludf.DUMMYFUNCTION("""COMPUTED_VALUE"""),"No")</f>
        <v>No</v>
      </c>
      <c r="AA1808" s="5"/>
      <c r="AB1808" s="5" t="str">
        <f ca="1">IFERROR(__xludf.DUMMYFUNCTION("""COMPUTED_VALUE"""),"No")</f>
        <v>No</v>
      </c>
      <c r="AC1808" s="5" t="str">
        <f ca="1">IFERROR(__xludf.DUMMYFUNCTION("""COMPUTED_VALUE"""),"No")</f>
        <v>No</v>
      </c>
      <c r="AD1808" s="5" t="str">
        <f ca="1">IFERROR(__xludf.DUMMYFUNCTION("""COMPUTED_VALUE"""),"No")</f>
        <v>No</v>
      </c>
      <c r="AE1808" s="5" t="str">
        <f ca="1">IFERROR(__xludf.DUMMYFUNCTION("""COMPUTED_VALUE"""),"Yes")</f>
        <v>Yes</v>
      </c>
      <c r="AF1808" s="5" t="str">
        <f ca="1">IFERROR(__xludf.DUMMYFUNCTION("""COMPUTED_VALUE"""),"No")</f>
        <v>No</v>
      </c>
      <c r="AG1808" s="5" t="str">
        <f ca="1">IFERROR(__xludf.DUMMYFUNCTION("""COMPUTED_VALUE"""),"No")</f>
        <v>No</v>
      </c>
      <c r="AH1808" s="5"/>
    </row>
    <row r="1809" spans="1:34" ht="12.75">
      <c r="A1809" s="5" t="str">
        <f ca="1">IFERROR(__xludf.DUMMYFUNCTION("""COMPUTED_VALUE"""),"19860429MOSES")</f>
        <v>19860429MOSES</v>
      </c>
      <c r="B1809" s="8">
        <f ca="1">IFERROR(__xludf.DUMMYFUNCTION("""COMPUTED_VALUE"""),31531)</f>
        <v>31531</v>
      </c>
      <c r="C1809" s="5" t="str">
        <f ca="1">IFERROR(__xludf.DUMMYFUNCTION("""COMPUTED_VALUE"""),"Senath-Hornersville High School")</f>
        <v>Senath-Hornersville High School</v>
      </c>
      <c r="D1809" s="5">
        <f ca="1">IFERROR(__xludf.DUMMYFUNCTION("""COMPUTED_VALUE"""),1)</f>
        <v>1</v>
      </c>
      <c r="E1809" s="5">
        <f ca="1">IFERROR(__xludf.DUMMYFUNCTION("""COMPUTED_VALUE"""),0)</f>
        <v>0</v>
      </c>
      <c r="F1809" s="5">
        <f ca="1">IFERROR(__xludf.DUMMYFUNCTION("""COMPUTED_VALUE"""),1)</f>
        <v>1</v>
      </c>
      <c r="G1809" s="5">
        <f ca="1">IFERROR(__xludf.DUMMYFUNCTION("""COMPUTED_VALUE"""),0)</f>
        <v>0</v>
      </c>
      <c r="H1809" s="9" t="str">
        <f ca="1">IFERROR(__xludf.DUMMYFUNCTION("""COMPUTED_VALUE"""),"http://articles.chicagotribune.com/1986-05-01/news/8601310677_1_science-class-elliott-student")</f>
        <v>http://articles.chicagotribune.com/1986-05-01/news/8601310677_1_science-class-elliott-student</v>
      </c>
      <c r="I1809" s="5"/>
      <c r="J1809" s="5"/>
      <c r="K1809" s="5">
        <f ca="1">IFERROR(__xludf.DUMMYFUNCTION("""COMPUTED_VALUE"""),2)</f>
        <v>2</v>
      </c>
      <c r="L1809" s="5" t="str">
        <f ca="1">IFERROR(__xludf.DUMMYFUNCTION("""COMPUTED_VALUE"""),"Spring")</f>
        <v>Spring</v>
      </c>
      <c r="M1809" s="5" t="str">
        <f ca="1">IFERROR(__xludf.DUMMYFUNCTION("""COMPUTED_VALUE"""),"Senath")</f>
        <v>Senath</v>
      </c>
      <c r="N1809" s="5" t="str">
        <f ca="1">IFERROR(__xludf.DUMMYFUNCTION("""COMPUTED_VALUE"""),"MO")</f>
        <v>MO</v>
      </c>
      <c r="O1809" s="5" t="str">
        <f ca="1">IFERROR(__xludf.DUMMYFUNCTION("""COMPUTED_VALUE"""),"High")</f>
        <v>High</v>
      </c>
      <c r="P1809" s="5" t="str">
        <f ca="1">IFERROR(__xludf.DUMMYFUNCTION("""COMPUTED_VALUE"""),"Inside School Building")</f>
        <v>Inside School Building</v>
      </c>
      <c r="Q1809" s="5" t="str">
        <f ca="1">IFERROR(__xludf.DUMMYFUNCTION("""COMPUTED_VALUE"""),"Inside School Building")</f>
        <v>Inside School Building</v>
      </c>
      <c r="R1809" s="5" t="str">
        <f ca="1">IFERROR(__xludf.DUMMYFUNCTION("""COMPUTED_VALUE"""),"Yes")</f>
        <v>Yes</v>
      </c>
      <c r="S1809" s="5" t="str">
        <f ca="1">IFERROR(__xludf.DUMMYFUNCTION("""COMPUTED_VALUE"""),"Morning Classes")</f>
        <v>Morning Classes</v>
      </c>
      <c r="T1809" s="5"/>
      <c r="U1809" s="5">
        <f ca="1">IFERROR(__xludf.DUMMYFUNCTION("""COMPUTED_VALUE"""),1)</f>
        <v>1</v>
      </c>
      <c r="V1809" s="5" t="str">
        <f ca="1">IFERROR(__xludf.DUMMYFUNCTION("""COMPUTED_VALUE"""),"Shooter had been previously bullied by victim before shooting her.")</f>
        <v>Shooter had been previously bullied by victim before shooting her.</v>
      </c>
      <c r="W1809"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X1809" s="5" t="str">
        <f ca="1">IFERROR(__xludf.DUMMYFUNCTION("""COMPUTED_VALUE"""),"Bullying")</f>
        <v>Bullying</v>
      </c>
      <c r="Y1809" s="5" t="str">
        <f ca="1">IFERROR(__xludf.DUMMYFUNCTION("""COMPUTED_VALUE"""),"Victims Targeted")</f>
        <v>Victims Targeted</v>
      </c>
      <c r="Z1809" s="5" t="str">
        <f ca="1">IFERROR(__xludf.DUMMYFUNCTION("""COMPUTED_VALUE"""),"No")</f>
        <v>No</v>
      </c>
      <c r="AA1809" s="5"/>
      <c r="AB1809" s="5" t="str">
        <f ca="1">IFERROR(__xludf.DUMMYFUNCTION("""COMPUTED_VALUE"""),"No")</f>
        <v>No</v>
      </c>
      <c r="AC1809" s="5" t="str">
        <f ca="1">IFERROR(__xludf.DUMMYFUNCTION("""COMPUTED_VALUE"""),"No")</f>
        <v>No</v>
      </c>
      <c r="AD1809" s="5" t="str">
        <f ca="1">IFERROR(__xludf.DUMMYFUNCTION("""COMPUTED_VALUE"""),"No")</f>
        <v>No</v>
      </c>
      <c r="AE1809" s="5"/>
      <c r="AF1809" s="5" t="str">
        <f ca="1">IFERROR(__xludf.DUMMYFUNCTION("""COMPUTED_VALUE"""),"No")</f>
        <v>No</v>
      </c>
      <c r="AG1809" s="5" t="str">
        <f ca="1">IFERROR(__xludf.DUMMYFUNCTION("""COMPUTED_VALUE"""),"No")</f>
        <v>No</v>
      </c>
      <c r="AH1809" s="5"/>
    </row>
    <row r="1810" spans="1:34" ht="12.75">
      <c r="A1810" s="5" t="str">
        <f ca="1">IFERROR(__xludf.DUMMYFUNCTION("""COMPUTED_VALUE"""),"19860423FLCHM")</f>
        <v>19860423FLCHM</v>
      </c>
      <c r="B1810" s="8">
        <f ca="1">IFERROR(__xludf.DUMMYFUNCTION("""COMPUTED_VALUE"""),31525)</f>
        <v>31525</v>
      </c>
      <c r="C1810" s="5" t="str">
        <f ca="1">IFERROR(__xludf.DUMMYFUNCTION("""COMPUTED_VALUE"""),"Charles Drew Middle School")</f>
        <v>Charles Drew Middle School</v>
      </c>
      <c r="D1810" s="5">
        <f ca="1">IFERROR(__xludf.DUMMYFUNCTION("""COMPUTED_VALUE"""),0)</f>
        <v>0</v>
      </c>
      <c r="E1810" s="5">
        <f ca="1">IFERROR(__xludf.DUMMYFUNCTION("""COMPUTED_VALUE"""),1)</f>
        <v>1</v>
      </c>
      <c r="F1810" s="5">
        <f ca="1">IFERROR(__xludf.DUMMYFUNCTION("""COMPUTED_VALUE"""),1)</f>
        <v>1</v>
      </c>
      <c r="G1810" s="5">
        <f ca="1">IFERROR(__xludf.DUMMYFUNCTION("""COMPUTED_VALUE"""),0)</f>
        <v>0</v>
      </c>
      <c r="H1810" s="9" t="str">
        <f ca="1">IFERROR(__xludf.DUMMYFUNCTION("""COMPUTED_VALUE"""),"https://www.newspapers.com/image/321178464/?terms=McCauley%2BCharles%2BDrew%2BMiddle%2BSchool")</f>
        <v>https://www.newspapers.com/image/321178464/?terms=McCauley%2BCharles%2BDrew%2BMiddle%2BSchool</v>
      </c>
      <c r="I1810" s="5"/>
      <c r="J1810" s="5"/>
      <c r="K1810" s="5">
        <f ca="1">IFERROR(__xludf.DUMMYFUNCTION("""COMPUTED_VALUE"""),2)</f>
        <v>2</v>
      </c>
      <c r="L1810" s="5" t="str">
        <f ca="1">IFERROR(__xludf.DUMMYFUNCTION("""COMPUTED_VALUE"""),"Spring")</f>
        <v>Spring</v>
      </c>
      <c r="M1810" s="5" t="str">
        <f ca="1">IFERROR(__xludf.DUMMYFUNCTION("""COMPUTED_VALUE"""),"Miami")</f>
        <v>Miami</v>
      </c>
      <c r="N1810" s="5" t="str">
        <f ca="1">IFERROR(__xludf.DUMMYFUNCTION("""COMPUTED_VALUE"""),"FL")</f>
        <v>FL</v>
      </c>
      <c r="O1810" s="5" t="str">
        <f ca="1">IFERROR(__xludf.DUMMYFUNCTION("""COMPUTED_VALUE"""),"Middle")</f>
        <v>Middle</v>
      </c>
      <c r="P1810" s="5" t="str">
        <f ca="1">IFERROR(__xludf.DUMMYFUNCTION("""COMPUTED_VALUE"""),"Basketball Court")</f>
        <v>Basketball Court</v>
      </c>
      <c r="Q1810" s="5" t="str">
        <f ca="1">IFERROR(__xludf.DUMMYFUNCTION("""COMPUTED_VALUE"""),"Outside on School Property")</f>
        <v>Outside on School Property</v>
      </c>
      <c r="R1810" s="5" t="str">
        <f ca="1">IFERROR(__xludf.DUMMYFUNCTION("""COMPUTED_VALUE"""),"Yes")</f>
        <v>Yes</v>
      </c>
      <c r="S1810" s="5" t="str">
        <f ca="1">IFERROR(__xludf.DUMMYFUNCTION("""COMPUTED_VALUE"""),"Before School")</f>
        <v>Before School</v>
      </c>
      <c r="T1810" s="10">
        <f ca="1">IFERROR(__xludf.DUMMYFUNCTION("""COMPUTED_VALUE"""),0.354166666666666)</f>
        <v>0.35416666666666602</v>
      </c>
      <c r="U1810" s="5">
        <f ca="1">IFERROR(__xludf.DUMMYFUNCTION("""COMPUTED_VALUE"""),1)</f>
        <v>1</v>
      </c>
      <c r="V1810" s="5" t="str">
        <f ca="1">IFERROR(__xludf.DUMMYFUNCTION("""COMPUTED_VALUE"""),"Long standing feud over a girl")</f>
        <v>Long standing feud over a girl</v>
      </c>
      <c r="W1810"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X1810" s="5" t="str">
        <f ca="1">IFERROR(__xludf.DUMMYFUNCTION("""COMPUTED_VALUE"""),"Escalation of Dispute")</f>
        <v>Escalation of Dispute</v>
      </c>
      <c r="Y1810" s="5" t="str">
        <f ca="1">IFERROR(__xludf.DUMMYFUNCTION("""COMPUTED_VALUE"""),"Victims Targeted")</f>
        <v>Victims Targeted</v>
      </c>
      <c r="Z1810" s="5" t="str">
        <f ca="1">IFERROR(__xludf.DUMMYFUNCTION("""COMPUTED_VALUE"""),"No")</f>
        <v>No</v>
      </c>
      <c r="AA1810" s="5"/>
      <c r="AB1810" s="5" t="str">
        <f ca="1">IFERROR(__xludf.DUMMYFUNCTION("""COMPUTED_VALUE"""),"No")</f>
        <v>No</v>
      </c>
      <c r="AC1810" s="5" t="str">
        <f ca="1">IFERROR(__xludf.DUMMYFUNCTION("""COMPUTED_VALUE"""),"No")</f>
        <v>No</v>
      </c>
      <c r="AD1810" s="5" t="str">
        <f ca="1">IFERROR(__xludf.DUMMYFUNCTION("""COMPUTED_VALUE"""),"No")</f>
        <v>No</v>
      </c>
      <c r="AE1810" s="5" t="str">
        <f ca="1">IFERROR(__xludf.DUMMYFUNCTION("""COMPUTED_VALUE"""),"No")</f>
        <v>No</v>
      </c>
      <c r="AF1810" s="5" t="str">
        <f ca="1">IFERROR(__xludf.DUMMYFUNCTION("""COMPUTED_VALUE"""),"No")</f>
        <v>No</v>
      </c>
      <c r="AG1810" s="5" t="str">
        <f ca="1">IFERROR(__xludf.DUMMYFUNCTION("""COMPUTED_VALUE"""),"No")</f>
        <v>No</v>
      </c>
      <c r="AH1810" s="5"/>
    </row>
    <row r="1811" spans="1:34" ht="12.75">
      <c r="A1811" s="5" t="str">
        <f ca="1">IFERROR(__xludf.DUMMYFUNCTION("""COMPUTED_VALUE"""),"19860306ILTHD")</f>
        <v>19860306ILTHD</v>
      </c>
      <c r="B1811" s="8">
        <f ca="1">IFERROR(__xludf.DUMMYFUNCTION("""COMPUTED_VALUE"""),31477)</f>
        <v>31477</v>
      </c>
      <c r="C1811" s="5" t="str">
        <f ca="1">IFERROR(__xludf.DUMMYFUNCTION("""COMPUTED_VALUE"""),"Thornridge High School")</f>
        <v>Thornridge High School</v>
      </c>
      <c r="D1811" s="5">
        <f ca="1">IFERROR(__xludf.DUMMYFUNCTION("""COMPUTED_VALUE"""),0)</f>
        <v>0</v>
      </c>
      <c r="E1811" s="5">
        <f ca="1">IFERROR(__xludf.DUMMYFUNCTION("""COMPUTED_VALUE"""),1)</f>
        <v>1</v>
      </c>
      <c r="F1811" s="5">
        <f ca="1">IFERROR(__xludf.DUMMYFUNCTION("""COMPUTED_VALUE"""),1)</f>
        <v>1</v>
      </c>
      <c r="G1811" s="5">
        <f ca="1">IFERROR(__xludf.DUMMYFUNCTION("""COMPUTED_VALUE"""),0)</f>
        <v>0</v>
      </c>
      <c r="H1811" s="9" t="str">
        <f ca="1">IFERROR(__xludf.DUMMYFUNCTION("""COMPUTED_VALUE"""),"http://articles.chicagotribune.com/1986-03-07/news/8601170427_1_second-teacher-third-period-classes-cap-gun")</f>
        <v>http://articles.chicagotribune.com/1986-03-07/news/8601170427_1_second-teacher-third-period-classes-cap-gun</v>
      </c>
      <c r="I1811" s="5"/>
      <c r="J1811" s="5"/>
      <c r="K1811" s="5">
        <f ca="1">IFERROR(__xludf.DUMMYFUNCTION("""COMPUTED_VALUE"""),2)</f>
        <v>2</v>
      </c>
      <c r="L1811" s="5" t="str">
        <f ca="1">IFERROR(__xludf.DUMMYFUNCTION("""COMPUTED_VALUE"""),"Spring")</f>
        <v>Spring</v>
      </c>
      <c r="M1811" s="5" t="str">
        <f ca="1">IFERROR(__xludf.DUMMYFUNCTION("""COMPUTED_VALUE"""),"Dolton")</f>
        <v>Dolton</v>
      </c>
      <c r="N1811" s="5" t="str">
        <f ca="1">IFERROR(__xludf.DUMMYFUNCTION("""COMPUTED_VALUE"""),"IL")</f>
        <v>IL</v>
      </c>
      <c r="O1811" s="5" t="str">
        <f ca="1">IFERROR(__xludf.DUMMYFUNCTION("""COMPUTED_VALUE"""),"High")</f>
        <v>High</v>
      </c>
      <c r="P1811" s="5" t="str">
        <f ca="1">IFERROR(__xludf.DUMMYFUNCTION("""COMPUTED_VALUE"""),"Classroom")</f>
        <v>Classroom</v>
      </c>
      <c r="Q1811" s="5" t="str">
        <f ca="1">IFERROR(__xludf.DUMMYFUNCTION("""COMPUTED_VALUE"""),"Inside School Building")</f>
        <v>Inside School Building</v>
      </c>
      <c r="R1811" s="5" t="str">
        <f ca="1">IFERROR(__xludf.DUMMYFUNCTION("""COMPUTED_VALUE"""),"Yes")</f>
        <v>Yes</v>
      </c>
      <c r="S1811" s="5"/>
      <c r="T1811" s="5"/>
      <c r="U1811" s="5"/>
      <c r="V1811" s="5" t="str">
        <f ca="1">IFERROR(__xludf.DUMMYFUNCTION("""COMPUTED_VALUE"""),"Shot teacher after argument over grades")</f>
        <v>Shot teacher after argument over grades</v>
      </c>
      <c r="W1811"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X1811" s="5" t="str">
        <f ca="1">IFERROR(__xludf.DUMMYFUNCTION("""COMPUTED_VALUE"""),"Anger Over Grade/Suspension/Discipline")</f>
        <v>Anger Over Grade/Suspension/Discipline</v>
      </c>
      <c r="Y1811" s="5" t="str">
        <f ca="1">IFERROR(__xludf.DUMMYFUNCTION("""COMPUTED_VALUE"""),"Victims Targeted")</f>
        <v>Victims Targeted</v>
      </c>
      <c r="Z1811" s="5"/>
      <c r="AA1811" s="5"/>
      <c r="AB1811" s="5" t="str">
        <f ca="1">IFERROR(__xludf.DUMMYFUNCTION("""COMPUTED_VALUE"""),"No")</f>
        <v>No</v>
      </c>
      <c r="AC1811" s="5" t="str">
        <f ca="1">IFERROR(__xludf.DUMMYFUNCTION("""COMPUTED_VALUE"""),"No")</f>
        <v>No</v>
      </c>
      <c r="AD1811" s="5" t="str">
        <f ca="1">IFERROR(__xludf.DUMMYFUNCTION("""COMPUTED_VALUE"""),"No")</f>
        <v>No</v>
      </c>
      <c r="AE1811" s="5"/>
      <c r="AF1811" s="5" t="str">
        <f ca="1">IFERROR(__xludf.DUMMYFUNCTION("""COMPUTED_VALUE"""),"No")</f>
        <v>No</v>
      </c>
      <c r="AG1811" s="5" t="str">
        <f ca="1">IFERROR(__xludf.DUMMYFUNCTION("""COMPUTED_VALUE"""),"No")</f>
        <v>No</v>
      </c>
      <c r="AH1811" s="5"/>
    </row>
    <row r="1812" spans="1:34" ht="12.75">
      <c r="A1812" s="5" t="str">
        <f ca="1">IFERROR(__xludf.DUMMYFUNCTION("""COMPUTED_VALUE"""),"19860224LABOS")</f>
        <v>19860224LABOS</v>
      </c>
      <c r="B1812" s="8">
        <f ca="1">IFERROR(__xludf.DUMMYFUNCTION("""COMPUTED_VALUE"""),31467)</f>
        <v>31467</v>
      </c>
      <c r="C1812" s="5" t="str">
        <f ca="1">IFERROR(__xludf.DUMMYFUNCTION("""COMPUTED_VALUE"""),"Boyet Junior High School")</f>
        <v>Boyet Junior High School</v>
      </c>
      <c r="D1812" s="5">
        <f ca="1">IFERROR(__xludf.DUMMYFUNCTION("""COMPUTED_VALUE"""),0)</f>
        <v>0</v>
      </c>
      <c r="E1812" s="5">
        <f ca="1">IFERROR(__xludf.DUMMYFUNCTION("""COMPUTED_VALUE"""),0)</f>
        <v>0</v>
      </c>
      <c r="F1812" s="5">
        <f ca="1">IFERROR(__xludf.DUMMYFUNCTION("""COMPUTED_VALUE"""),0)</f>
        <v>0</v>
      </c>
      <c r="G1812" s="5">
        <f ca="1">IFERROR(__xludf.DUMMYFUNCTION("""COMPUTED_VALUE"""),1)</f>
        <v>1</v>
      </c>
      <c r="H1812" s="9" t="str">
        <f ca="1">IFERROR(__xludf.DUMMYFUNCTION("""COMPUTED_VALUE"""),"https://www.newspapers.com/image/216501029/?terms=Boyet%2BJunior%2BHigh%2BSchool%2Bshooting")</f>
        <v>https://www.newspapers.com/image/216501029/?terms=Boyet%2BJunior%2BHigh%2BSchool%2Bshooting</v>
      </c>
      <c r="I1812" s="5"/>
      <c r="J1812" s="5"/>
      <c r="K1812" s="5">
        <f ca="1">IFERROR(__xludf.DUMMYFUNCTION("""COMPUTED_VALUE"""),2)</f>
        <v>2</v>
      </c>
      <c r="L1812" s="5" t="str">
        <f ca="1">IFERROR(__xludf.DUMMYFUNCTION("""COMPUTED_VALUE"""),"Winter")</f>
        <v>Winter</v>
      </c>
      <c r="M1812" s="5" t="str">
        <f ca="1">IFERROR(__xludf.DUMMYFUNCTION("""COMPUTED_VALUE"""),"Slidell")</f>
        <v>Slidell</v>
      </c>
      <c r="N1812" s="5" t="str">
        <f ca="1">IFERROR(__xludf.DUMMYFUNCTION("""COMPUTED_VALUE"""),"LA")</f>
        <v>LA</v>
      </c>
      <c r="O1812" s="5" t="str">
        <f ca="1">IFERROR(__xludf.DUMMYFUNCTION("""COMPUTED_VALUE"""),"Junior High")</f>
        <v>Junior High</v>
      </c>
      <c r="P1812" s="5" t="str">
        <f ca="1">IFERROR(__xludf.DUMMYFUNCTION("""COMPUTED_VALUE"""),"Classroom")</f>
        <v>Classroom</v>
      </c>
      <c r="Q1812" s="5" t="str">
        <f ca="1">IFERROR(__xludf.DUMMYFUNCTION("""COMPUTED_VALUE"""),"Inside School Building")</f>
        <v>Inside School Building</v>
      </c>
      <c r="R1812" s="5" t="str">
        <f ca="1">IFERROR(__xludf.DUMMYFUNCTION("""COMPUTED_VALUE"""),"Yes")</f>
        <v>Yes</v>
      </c>
      <c r="S1812" s="5"/>
      <c r="T1812" s="5"/>
      <c r="U1812" s="5">
        <f ca="1">IFERROR(__xludf.DUMMYFUNCTION("""COMPUTED_VALUE"""),1)</f>
        <v>1</v>
      </c>
      <c r="V1812" s="5" t="str">
        <f ca="1">IFERROR(__xludf.DUMMYFUNCTION("""COMPUTED_VALUE"""),"Shot himself in head in front of class")</f>
        <v>Shot himself in head in front of class</v>
      </c>
      <c r="W1812"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X1812" s="5" t="str">
        <f ca="1">IFERROR(__xludf.DUMMYFUNCTION("""COMPUTED_VALUE"""),"Suicide/Attempted")</f>
        <v>Suicide/Attempted</v>
      </c>
      <c r="Y1812" s="5" t="str">
        <f ca="1">IFERROR(__xludf.DUMMYFUNCTION("""COMPUTED_VALUE"""),"Victims Targeted")</f>
        <v>Victims Targeted</v>
      </c>
      <c r="Z1812" s="5" t="str">
        <f ca="1">IFERROR(__xludf.DUMMYFUNCTION("""COMPUTED_VALUE"""),"No")</f>
        <v>No</v>
      </c>
      <c r="AA1812" s="5"/>
      <c r="AB1812" s="5" t="str">
        <f ca="1">IFERROR(__xludf.DUMMYFUNCTION("""COMPUTED_VALUE"""),"No")</f>
        <v>No</v>
      </c>
      <c r="AC1812" s="5" t="str">
        <f ca="1">IFERROR(__xludf.DUMMYFUNCTION("""COMPUTED_VALUE"""),"No")</f>
        <v>No</v>
      </c>
      <c r="AD1812" s="5" t="str">
        <f ca="1">IFERROR(__xludf.DUMMYFUNCTION("""COMPUTED_VALUE"""),"No")</f>
        <v>No</v>
      </c>
      <c r="AE1812" s="5" t="str">
        <f ca="1">IFERROR(__xludf.DUMMYFUNCTION("""COMPUTED_VALUE"""),"No")</f>
        <v>No</v>
      </c>
      <c r="AF1812" s="5" t="str">
        <f ca="1">IFERROR(__xludf.DUMMYFUNCTION("""COMPUTED_VALUE"""),"No")</f>
        <v>No</v>
      </c>
      <c r="AG1812" s="5" t="str">
        <f ca="1">IFERROR(__xludf.DUMMYFUNCTION("""COMPUTED_VALUE"""),"No")</f>
        <v>No</v>
      </c>
      <c r="AH1812" s="5"/>
    </row>
    <row r="1813" spans="1:34" ht="12.75">
      <c r="A1813" s="5" t="str">
        <f ca="1">IFERROR(__xludf.DUMMYFUNCTION("""COMPUTED_VALUE"""),"19860129MDLAB")</f>
        <v>19860129MDLAB</v>
      </c>
      <c r="B1813" s="8">
        <f ca="1">IFERROR(__xludf.DUMMYFUNCTION("""COMPUTED_VALUE"""),31441)</f>
        <v>31441</v>
      </c>
      <c r="C1813" s="5" t="str">
        <f ca="1">IFERROR(__xludf.DUMMYFUNCTION("""COMPUTED_VALUE"""),"Lake Clifton High School")</f>
        <v>Lake Clifton High School</v>
      </c>
      <c r="D1813" s="5">
        <f ca="1">IFERROR(__xludf.DUMMYFUNCTION("""COMPUTED_VALUE"""),1)</f>
        <v>1</v>
      </c>
      <c r="E1813" s="5">
        <f ca="1">IFERROR(__xludf.DUMMYFUNCTION("""COMPUTED_VALUE"""),0)</f>
        <v>0</v>
      </c>
      <c r="F1813" s="5">
        <f ca="1">IFERROR(__xludf.DUMMYFUNCTION("""COMPUTED_VALUE"""),1)</f>
        <v>1</v>
      </c>
      <c r="G1813" s="5">
        <f ca="1">IFERROR(__xludf.DUMMYFUNCTION("""COMPUTED_VALUE"""),0)</f>
        <v>0</v>
      </c>
      <c r="H1813" s="9" t="str">
        <f ca="1">IFERROR(__xludf.DUMMYFUNCTION("""COMPUTED_VALUE"""),"https://www.newspapers.com/image/377738432/?terms=Lake%2BClifton%2BHigh%2BSchool%2Bshooting")</f>
        <v>https://www.newspapers.com/image/377738432/?terms=Lake%2BClifton%2BHigh%2BSchool%2Bshooting</v>
      </c>
      <c r="I1813" s="5"/>
      <c r="J1813" s="5"/>
      <c r="K1813" s="5">
        <f ca="1">IFERROR(__xludf.DUMMYFUNCTION("""COMPUTED_VALUE"""),2)</f>
        <v>2</v>
      </c>
      <c r="L1813" s="5" t="str">
        <f ca="1">IFERROR(__xludf.DUMMYFUNCTION("""COMPUTED_VALUE"""),"Winter")</f>
        <v>Winter</v>
      </c>
      <c r="M1813" s="5" t="str">
        <f ca="1">IFERROR(__xludf.DUMMYFUNCTION("""COMPUTED_VALUE"""),"Baltimore")</f>
        <v>Baltimore</v>
      </c>
      <c r="N1813" s="5" t="str">
        <f ca="1">IFERROR(__xludf.DUMMYFUNCTION("""COMPUTED_VALUE"""),"MD")</f>
        <v>MD</v>
      </c>
      <c r="O1813" s="5" t="str">
        <f ca="1">IFERROR(__xludf.DUMMYFUNCTION("""COMPUTED_VALUE"""),"High")</f>
        <v>High</v>
      </c>
      <c r="P1813" s="5" t="str">
        <f ca="1">IFERROR(__xludf.DUMMYFUNCTION("""COMPUTED_VALUE"""),"Inside School Building")</f>
        <v>Inside School Building</v>
      </c>
      <c r="Q1813" s="5" t="str">
        <f ca="1">IFERROR(__xludf.DUMMYFUNCTION("""COMPUTED_VALUE"""),"Inside School Building")</f>
        <v>Inside School Building</v>
      </c>
      <c r="R1813" s="5" t="str">
        <f ca="1">IFERROR(__xludf.DUMMYFUNCTION("""COMPUTED_VALUE"""),"Yes")</f>
        <v>Yes</v>
      </c>
      <c r="S1813" s="5"/>
      <c r="T1813" s="5"/>
      <c r="U1813" s="5">
        <f ca="1">IFERROR(__xludf.DUMMYFUNCTION("""COMPUTED_VALUE"""),1)</f>
        <v>1</v>
      </c>
      <c r="V1813" s="5" t="str">
        <f ca="1">IFERROR(__xludf.DUMMYFUNCTION("""COMPUTED_VALUE"""),"Shooter had been beat up multiple times, shot victim during attack")</f>
        <v>Shooter had been beat up multiple times, shot victim during attack</v>
      </c>
      <c r="W1813"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X1813" s="5" t="str">
        <f ca="1">IFERROR(__xludf.DUMMYFUNCTION("""COMPUTED_VALUE"""),"Bullying")</f>
        <v>Bullying</v>
      </c>
      <c r="Y1813" s="5" t="str">
        <f ca="1">IFERROR(__xludf.DUMMYFUNCTION("""COMPUTED_VALUE"""),"Victims Targeted")</f>
        <v>Victims Targeted</v>
      </c>
      <c r="Z1813" s="5" t="str">
        <f ca="1">IFERROR(__xludf.DUMMYFUNCTION("""COMPUTED_VALUE"""),"No")</f>
        <v>No</v>
      </c>
      <c r="AA1813" s="5"/>
      <c r="AB1813" s="5" t="str">
        <f ca="1">IFERROR(__xludf.DUMMYFUNCTION("""COMPUTED_VALUE"""),"No")</f>
        <v>No</v>
      </c>
      <c r="AC1813" s="5" t="str">
        <f ca="1">IFERROR(__xludf.DUMMYFUNCTION("""COMPUTED_VALUE"""),"No")</f>
        <v>No</v>
      </c>
      <c r="AD1813" s="5" t="str">
        <f ca="1">IFERROR(__xludf.DUMMYFUNCTION("""COMPUTED_VALUE"""),"No")</f>
        <v>No</v>
      </c>
      <c r="AE1813" s="5" t="str">
        <f ca="1">IFERROR(__xludf.DUMMYFUNCTION("""COMPUTED_VALUE"""),"Yes")</f>
        <v>Yes</v>
      </c>
      <c r="AF1813" s="5" t="str">
        <f ca="1">IFERROR(__xludf.DUMMYFUNCTION("""COMPUTED_VALUE"""),"No")</f>
        <v>No</v>
      </c>
      <c r="AG1813" s="5" t="str">
        <f ca="1">IFERROR(__xludf.DUMMYFUNCTION("""COMPUTED_VALUE"""),"No")</f>
        <v>No</v>
      </c>
      <c r="AH1813" s="5"/>
    </row>
    <row r="1814" spans="1:34" ht="12.75">
      <c r="A1814" s="5" t="str">
        <f ca="1">IFERROR(__xludf.DUMMYFUNCTION("""COMPUTED_VALUE"""),"19860117CAVAL")</f>
        <v>19860117CAVAL</v>
      </c>
      <c r="B1814" s="8">
        <f ca="1">IFERROR(__xludf.DUMMYFUNCTION("""COMPUTED_VALUE"""),31429)</f>
        <v>31429</v>
      </c>
      <c r="C1814" s="5" t="str">
        <f ca="1">IFERROR(__xludf.DUMMYFUNCTION("""COMPUTED_VALUE"""),"Vanguard Junior High School")</f>
        <v>Vanguard Junior High School</v>
      </c>
      <c r="D1814" s="5">
        <f ca="1">IFERROR(__xludf.DUMMYFUNCTION("""COMPUTED_VALUE"""),1)</f>
        <v>1</v>
      </c>
      <c r="E1814" s="5">
        <f ca="1">IFERROR(__xludf.DUMMYFUNCTION("""COMPUTED_VALUE"""),0)</f>
        <v>0</v>
      </c>
      <c r="F1814" s="5">
        <f ca="1">IFERROR(__xludf.DUMMYFUNCTION("""COMPUTED_VALUE"""),1)</f>
        <v>1</v>
      </c>
      <c r="G1814" s="5">
        <f ca="1">IFERROR(__xludf.DUMMYFUNCTION("""COMPUTED_VALUE"""),0)</f>
        <v>0</v>
      </c>
      <c r="H1814" s="9" t="str">
        <f ca="1">IFERROR(__xludf.DUMMYFUNCTION("""COMPUTED_VALUE"""),"https://www.newspapers.com/image/401857837/?terms=Vanguard%2BJunior%2BHigh%2BSchool%2Bshooting")</f>
        <v>https://www.newspapers.com/image/401857837/?terms=Vanguard%2BJunior%2BHigh%2BSchool%2Bshooting</v>
      </c>
      <c r="I1814" s="5"/>
      <c r="J1814" s="5"/>
      <c r="K1814" s="5">
        <f ca="1">IFERROR(__xludf.DUMMYFUNCTION("""COMPUTED_VALUE"""),2)</f>
        <v>2</v>
      </c>
      <c r="L1814" s="5" t="str">
        <f ca="1">IFERROR(__xludf.DUMMYFUNCTION("""COMPUTED_VALUE"""),"Winter")</f>
        <v>Winter</v>
      </c>
      <c r="M1814" s="5" t="str">
        <f ca="1">IFERROR(__xludf.DUMMYFUNCTION("""COMPUTED_VALUE"""),"Los Angeles")</f>
        <v>Los Angeles</v>
      </c>
      <c r="N1814" s="5" t="str">
        <f ca="1">IFERROR(__xludf.DUMMYFUNCTION("""COMPUTED_VALUE"""),"CA")</f>
        <v>CA</v>
      </c>
      <c r="O1814" s="5" t="str">
        <f ca="1">IFERROR(__xludf.DUMMYFUNCTION("""COMPUTED_VALUE"""),"Junior High")</f>
        <v>Junior High</v>
      </c>
      <c r="P1814" s="5" t="str">
        <f ca="1">IFERROR(__xludf.DUMMYFUNCTION("""COMPUTED_VALUE"""),"Outside on School Property")</f>
        <v>Outside on School Property</v>
      </c>
      <c r="Q1814" s="5" t="str">
        <f ca="1">IFERROR(__xludf.DUMMYFUNCTION("""COMPUTED_VALUE"""),"Outside on School Property")</f>
        <v>Outside on School Property</v>
      </c>
      <c r="R1814" s="5" t="str">
        <f ca="1">IFERROR(__xludf.DUMMYFUNCTION("""COMPUTED_VALUE"""),"Yes")</f>
        <v>Yes</v>
      </c>
      <c r="S1814" s="5" t="str">
        <f ca="1">IFERROR(__xludf.DUMMYFUNCTION("""COMPUTED_VALUE"""),"Morning Classes")</f>
        <v>Morning Classes</v>
      </c>
      <c r="T1814" s="5"/>
      <c r="U1814" s="5">
        <f ca="1">IFERROR(__xludf.DUMMYFUNCTION("""COMPUTED_VALUE"""),1)</f>
        <v>1</v>
      </c>
      <c r="V1814" s="5" t="str">
        <f ca="1">IFERROR(__xludf.DUMMYFUNCTION("""COMPUTED_VALUE"""),"Fight between students turned into shooting")</f>
        <v>Fight between students turned into shooting</v>
      </c>
      <c r="W1814"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X1814" s="5" t="str">
        <f ca="1">IFERROR(__xludf.DUMMYFUNCTION("""COMPUTED_VALUE"""),"Escalation of Dispute")</f>
        <v>Escalation of Dispute</v>
      </c>
      <c r="Y1814" s="5" t="str">
        <f ca="1">IFERROR(__xludf.DUMMYFUNCTION("""COMPUTED_VALUE"""),"Victims Targeted")</f>
        <v>Victims Targeted</v>
      </c>
      <c r="Z1814" s="5" t="str">
        <f ca="1">IFERROR(__xludf.DUMMYFUNCTION("""COMPUTED_VALUE"""),"No")</f>
        <v>No</v>
      </c>
      <c r="AA1814" s="5"/>
      <c r="AB1814" s="5" t="str">
        <f ca="1">IFERROR(__xludf.DUMMYFUNCTION("""COMPUTED_VALUE"""),"No")</f>
        <v>No</v>
      </c>
      <c r="AC1814" s="5" t="str">
        <f ca="1">IFERROR(__xludf.DUMMYFUNCTION("""COMPUTED_VALUE"""),"No")</f>
        <v>No</v>
      </c>
      <c r="AD1814" s="5" t="str">
        <f ca="1">IFERROR(__xludf.DUMMYFUNCTION("""COMPUTED_VALUE"""),"No")</f>
        <v>No</v>
      </c>
      <c r="AE1814" s="5" t="str">
        <f ca="1">IFERROR(__xludf.DUMMYFUNCTION("""COMPUTED_VALUE"""),"No")</f>
        <v>No</v>
      </c>
      <c r="AF1814" s="5" t="str">
        <f ca="1">IFERROR(__xludf.DUMMYFUNCTION("""COMPUTED_VALUE"""),"No")</f>
        <v>No</v>
      </c>
      <c r="AG1814" s="5" t="str">
        <f ca="1">IFERROR(__xludf.DUMMYFUNCTION("""COMPUTED_VALUE"""),"No")</f>
        <v>No</v>
      </c>
      <c r="AH1814" s="5"/>
    </row>
    <row r="1815" spans="1:34" ht="12.75">
      <c r="A1815" s="5" t="str">
        <f ca="1">IFERROR(__xludf.DUMMYFUNCTION("""COMPUTED_VALUE"""),"19860109NCNOD")</f>
        <v>19860109NCNOD</v>
      </c>
      <c r="B1815" s="8">
        <f ca="1">IFERROR(__xludf.DUMMYFUNCTION("""COMPUTED_VALUE"""),31421)</f>
        <v>31421</v>
      </c>
      <c r="C1815" s="5" t="str">
        <f ca="1">IFERROR(__xludf.DUMMYFUNCTION("""COMPUTED_VALUE"""),"Northern High School")</f>
        <v>Northern High School</v>
      </c>
      <c r="D1815" s="5">
        <f ca="1">IFERROR(__xludf.DUMMYFUNCTION("""COMPUTED_VALUE"""),1)</f>
        <v>1</v>
      </c>
      <c r="E1815" s="5">
        <f ca="1">IFERROR(__xludf.DUMMYFUNCTION("""COMPUTED_VALUE"""),0)</f>
        <v>0</v>
      </c>
      <c r="F1815" s="5">
        <f ca="1">IFERROR(__xludf.DUMMYFUNCTION("""COMPUTED_VALUE"""),1)</f>
        <v>1</v>
      </c>
      <c r="G1815" s="5">
        <f ca="1">IFERROR(__xludf.DUMMYFUNCTION("""COMPUTED_VALUE"""),0)</f>
        <v>0</v>
      </c>
      <c r="H1815" s="9" t="str">
        <f ca="1">IFERROR(__xludf.DUMMYFUNCTION("""COMPUTED_VALUE"""),"https://www.newspapers.com/image/337579716/?terms=David%2BMancuso")</f>
        <v>https://www.newspapers.com/image/337579716/?terms=David%2BMancuso</v>
      </c>
      <c r="I1815" s="5"/>
      <c r="J1815" s="5"/>
      <c r="K1815" s="5">
        <f ca="1">IFERROR(__xludf.DUMMYFUNCTION("""COMPUTED_VALUE"""),2)</f>
        <v>2</v>
      </c>
      <c r="L1815" s="5" t="str">
        <f ca="1">IFERROR(__xludf.DUMMYFUNCTION("""COMPUTED_VALUE"""),"Winter")</f>
        <v>Winter</v>
      </c>
      <c r="M1815" s="5" t="str">
        <f ca="1">IFERROR(__xludf.DUMMYFUNCTION("""COMPUTED_VALUE"""),"Durham")</f>
        <v>Durham</v>
      </c>
      <c r="N1815" s="5" t="str">
        <f ca="1">IFERROR(__xludf.DUMMYFUNCTION("""COMPUTED_VALUE"""),"NC")</f>
        <v>NC</v>
      </c>
      <c r="O1815" s="5" t="str">
        <f ca="1">IFERROR(__xludf.DUMMYFUNCTION("""COMPUTED_VALUE"""),"High")</f>
        <v>High</v>
      </c>
      <c r="P1815" s="5" t="str">
        <f ca="1">IFERROR(__xludf.DUMMYFUNCTION("""COMPUTED_VALUE"""),"Parking Lot")</f>
        <v>Parking Lot</v>
      </c>
      <c r="Q1815" s="5" t="str">
        <f ca="1">IFERROR(__xludf.DUMMYFUNCTION("""COMPUTED_VALUE"""),"Outside on School Property")</f>
        <v>Outside on School Property</v>
      </c>
      <c r="R1815" s="5" t="str">
        <f ca="1">IFERROR(__xludf.DUMMYFUNCTION("""COMPUTED_VALUE"""),"No")</f>
        <v>No</v>
      </c>
      <c r="S1815" s="5" t="str">
        <f ca="1">IFERROR(__xludf.DUMMYFUNCTION("""COMPUTED_VALUE"""),"After School")</f>
        <v>After School</v>
      </c>
      <c r="T1815" s="10">
        <f ca="1">IFERROR(__xludf.DUMMYFUNCTION("""COMPUTED_VALUE"""),0.666666666666666)</f>
        <v>0.66666666666666596</v>
      </c>
      <c r="U1815" s="5">
        <f ca="1">IFERROR(__xludf.DUMMYFUNCTION("""COMPUTED_VALUE"""),1)</f>
        <v>1</v>
      </c>
      <c r="V1815" s="5" t="str">
        <f ca="1">IFERROR(__xludf.DUMMYFUNCTION("""COMPUTED_VALUE"""),"Boy infatuated with female classmate kills her in school parking lot")</f>
        <v>Boy infatuated with female classmate kills her in school parking lot</v>
      </c>
      <c r="W1815"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X1815" s="5" t="str">
        <f ca="1">IFERROR(__xludf.DUMMYFUNCTION("""COMPUTED_VALUE"""),"Domestic w/ Targeted Victim")</f>
        <v>Domestic w/ Targeted Victim</v>
      </c>
      <c r="Y1815" s="5" t="str">
        <f ca="1">IFERROR(__xludf.DUMMYFUNCTION("""COMPUTED_VALUE"""),"Victims Targeted")</f>
        <v>Victims Targeted</v>
      </c>
      <c r="Z1815" s="5" t="str">
        <f ca="1">IFERROR(__xludf.DUMMYFUNCTION("""COMPUTED_VALUE"""),"No")</f>
        <v>No</v>
      </c>
      <c r="AA1815" s="5"/>
      <c r="AB1815" s="5" t="str">
        <f ca="1">IFERROR(__xludf.DUMMYFUNCTION("""COMPUTED_VALUE"""),"No")</f>
        <v>No</v>
      </c>
      <c r="AC1815" s="5" t="str">
        <f ca="1">IFERROR(__xludf.DUMMYFUNCTION("""COMPUTED_VALUE"""),"No")</f>
        <v>No</v>
      </c>
      <c r="AD1815" s="5" t="str">
        <f ca="1">IFERROR(__xludf.DUMMYFUNCTION("""COMPUTED_VALUE"""),"No")</f>
        <v>No</v>
      </c>
      <c r="AE1815" s="5" t="str">
        <f ca="1">IFERROR(__xludf.DUMMYFUNCTION("""COMPUTED_VALUE"""),"No")</f>
        <v>No</v>
      </c>
      <c r="AF1815" s="5" t="str">
        <f ca="1">IFERROR(__xludf.DUMMYFUNCTION("""COMPUTED_VALUE"""),"Yes")</f>
        <v>Yes</v>
      </c>
      <c r="AG1815" s="5" t="str">
        <f ca="1">IFERROR(__xludf.DUMMYFUNCTION("""COMPUTED_VALUE"""),"No")</f>
        <v>No</v>
      </c>
      <c r="AH1815" s="5"/>
    </row>
    <row r="1816" spans="1:34" ht="12.75">
      <c r="A1816" s="5" t="str">
        <f ca="1">IFERROR(__xludf.DUMMYFUNCTION("""COMPUTED_VALUE"""),"19851210CTPOP")</f>
        <v>19851210CTPOP</v>
      </c>
      <c r="B1816" s="8">
        <f ca="1">IFERROR(__xludf.DUMMYFUNCTION("""COMPUTED_VALUE"""),31391)</f>
        <v>31391</v>
      </c>
      <c r="C1816" s="5" t="str">
        <f ca="1">IFERROR(__xludf.DUMMYFUNCTION("""COMPUTED_VALUE"""),"Portland Junior High School")</f>
        <v>Portland Junior High School</v>
      </c>
      <c r="D1816" s="5">
        <f ca="1">IFERROR(__xludf.DUMMYFUNCTION("""COMPUTED_VALUE"""),1)</f>
        <v>1</v>
      </c>
      <c r="E1816" s="5">
        <f ca="1">IFERROR(__xludf.DUMMYFUNCTION("""COMPUTED_VALUE"""),2)</f>
        <v>2</v>
      </c>
      <c r="F1816" s="5">
        <f ca="1">IFERROR(__xludf.DUMMYFUNCTION("""COMPUTED_VALUE"""),3)</f>
        <v>3</v>
      </c>
      <c r="G1816" s="5">
        <f ca="1">IFERROR(__xludf.DUMMYFUNCTION("""COMPUTED_VALUE"""),0)</f>
        <v>0</v>
      </c>
      <c r="H1816"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I1816" s="5"/>
      <c r="J1816" s="5"/>
      <c r="K1816" s="5">
        <f ca="1">IFERROR(__xludf.DUMMYFUNCTION("""COMPUTED_VALUE"""),3)</f>
        <v>3</v>
      </c>
      <c r="L1816" s="5" t="str">
        <f ca="1">IFERROR(__xludf.DUMMYFUNCTION("""COMPUTED_VALUE"""),"Winter")</f>
        <v>Winter</v>
      </c>
      <c r="M1816" s="5" t="str">
        <f ca="1">IFERROR(__xludf.DUMMYFUNCTION("""COMPUTED_VALUE"""),"Portland")</f>
        <v>Portland</v>
      </c>
      <c r="N1816" s="5" t="str">
        <f ca="1">IFERROR(__xludf.DUMMYFUNCTION("""COMPUTED_VALUE"""),"CT")</f>
        <v>CT</v>
      </c>
      <c r="O1816" s="5" t="str">
        <f ca="1">IFERROR(__xludf.DUMMYFUNCTION("""COMPUTED_VALUE"""),"Junior High")</f>
        <v>Junior High</v>
      </c>
      <c r="P1816" s="5" t="str">
        <f ca="1">IFERROR(__xludf.DUMMYFUNCTION("""COMPUTED_VALUE"""),"Classroom")</f>
        <v>Classroom</v>
      </c>
      <c r="Q1816" s="5" t="str">
        <f ca="1">IFERROR(__xludf.DUMMYFUNCTION("""COMPUTED_VALUE"""),"Inside School Building")</f>
        <v>Inside School Building</v>
      </c>
      <c r="R1816" s="5" t="str">
        <f ca="1">IFERROR(__xludf.DUMMYFUNCTION("""COMPUTED_VALUE"""),"Yes")</f>
        <v>Yes</v>
      </c>
      <c r="S1816" s="5" t="str">
        <f ca="1">IFERROR(__xludf.DUMMYFUNCTION("""COMPUTED_VALUE"""),"Lunch")</f>
        <v>Lunch</v>
      </c>
      <c r="T1816" s="10">
        <f ca="1">IFERROR(__xludf.DUMMYFUNCTION("""COMPUTED_VALUE"""),0.520833333333333)</f>
        <v>0.52083333333333304</v>
      </c>
      <c r="U1816" s="5">
        <f ca="1">IFERROR(__xludf.DUMMYFUNCTION("""COMPUTED_VALUE"""),30)</f>
        <v>30</v>
      </c>
      <c r="V1816" s="5" t="str">
        <f ca="1">IFERROR(__xludf.DUMMYFUNCTION("""COMPUTED_VALUE"""),"Shooter shot principal after being disciplined for dress code.")</f>
        <v>Shooter shot principal after being disciplined for dress code.</v>
      </c>
      <c r="W1816"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X1816" s="5" t="str">
        <f ca="1">IFERROR(__xludf.DUMMYFUNCTION("""COMPUTED_VALUE"""),"Anger Over Grade/Suspension/Discipline")</f>
        <v>Anger Over Grade/Suspension/Discipline</v>
      </c>
      <c r="Y1816" s="5" t="str">
        <f ca="1">IFERROR(__xludf.DUMMYFUNCTION("""COMPUTED_VALUE"""),"Both")</f>
        <v>Both</v>
      </c>
      <c r="Z1816" s="5"/>
      <c r="AA1816" s="5"/>
      <c r="AB1816" s="5" t="str">
        <f ca="1">IFERROR(__xludf.DUMMYFUNCTION("""COMPUTED_VALUE"""),"Yes")</f>
        <v>Yes</v>
      </c>
      <c r="AC1816" s="5" t="str">
        <f ca="1">IFERROR(__xludf.DUMMYFUNCTION("""COMPUTED_VALUE"""),"Yes")</f>
        <v>Yes</v>
      </c>
      <c r="AD1816" s="5" t="str">
        <f ca="1">IFERROR(__xludf.DUMMYFUNCTION("""COMPUTED_VALUE"""),"No")</f>
        <v>No</v>
      </c>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IFERROR(__xludf.DUMMYFUNCTION("""COMPUTED_VALUE"""),"Yes")</f>
        <v>Yes</v>
      </c>
    </row>
    <row r="1817" spans="1:34" ht="12.75">
      <c r="A1817" s="5" t="str">
        <f ca="1">IFERROR(__xludf.DUMMYFUNCTION("""COMPUTED_VALUE"""),"19851209PAARP")</f>
        <v>19851209PAARP</v>
      </c>
      <c r="B1817" s="8">
        <f ca="1">IFERROR(__xludf.DUMMYFUNCTION("""COMPUTED_VALUE"""),31390)</f>
        <v>31390</v>
      </c>
      <c r="C1817" s="5" t="str">
        <f ca="1">IFERROR(__xludf.DUMMYFUNCTION("""COMPUTED_VALUE"""),"Archbishop Ryan High School")</f>
        <v>Archbishop Ryan High School</v>
      </c>
      <c r="D1817" s="5">
        <f ca="1">IFERROR(__xludf.DUMMYFUNCTION("""COMPUTED_VALUE"""),0)</f>
        <v>0</v>
      </c>
      <c r="E1817" s="5">
        <f ca="1">IFERROR(__xludf.DUMMYFUNCTION("""COMPUTED_VALUE"""),0)</f>
        <v>0</v>
      </c>
      <c r="F1817" s="5">
        <f ca="1">IFERROR(__xludf.DUMMYFUNCTION("""COMPUTED_VALUE"""),0)</f>
        <v>0</v>
      </c>
      <c r="G1817" s="5">
        <f ca="1">IFERROR(__xludf.DUMMYFUNCTION("""COMPUTED_VALUE"""),0)</f>
        <v>0</v>
      </c>
      <c r="H1817" s="9" t="str">
        <f ca="1">IFERROR(__xludf.DUMMYFUNCTION("""COMPUTED_VALUE"""),"https://www.newspapers.com/image/182776909/?terms=Archbishop%2BRyan%2BHigh%2BSchool%2Bfor%2Bboys%2Bshooting")</f>
        <v>https://www.newspapers.com/image/182776909/?terms=Archbishop%2BRyan%2BHigh%2BSchool%2Bfor%2Bboys%2Bshooting</v>
      </c>
      <c r="I1817" s="5"/>
      <c r="J1817" s="5"/>
      <c r="K1817" s="5">
        <f ca="1">IFERROR(__xludf.DUMMYFUNCTION("""COMPUTED_VALUE"""),2)</f>
        <v>2</v>
      </c>
      <c r="L1817" s="5" t="str">
        <f ca="1">IFERROR(__xludf.DUMMYFUNCTION("""COMPUTED_VALUE"""),"Winter")</f>
        <v>Winter</v>
      </c>
      <c r="M1817" s="5" t="str">
        <f ca="1">IFERROR(__xludf.DUMMYFUNCTION("""COMPUTED_VALUE"""),"Philadelphia")</f>
        <v>Philadelphia</v>
      </c>
      <c r="N1817" s="5" t="str">
        <f ca="1">IFERROR(__xludf.DUMMYFUNCTION("""COMPUTED_VALUE"""),"PA")</f>
        <v>PA</v>
      </c>
      <c r="O1817" s="5" t="str">
        <f ca="1">IFERROR(__xludf.DUMMYFUNCTION("""COMPUTED_VALUE"""),"High")</f>
        <v>High</v>
      </c>
      <c r="P1817" s="5" t="str">
        <f ca="1">IFERROR(__xludf.DUMMYFUNCTION("""COMPUTED_VALUE"""),"Classroom")</f>
        <v>Classroom</v>
      </c>
      <c r="Q1817" s="5" t="str">
        <f ca="1">IFERROR(__xludf.DUMMYFUNCTION("""COMPUTED_VALUE"""),"Inside School Building")</f>
        <v>Inside School Building</v>
      </c>
      <c r="R1817" s="5" t="str">
        <f ca="1">IFERROR(__xludf.DUMMYFUNCTION("""COMPUTED_VALUE"""),"Yes")</f>
        <v>Yes</v>
      </c>
      <c r="S1817" s="5" t="str">
        <f ca="1">IFERROR(__xludf.DUMMYFUNCTION("""COMPUTED_VALUE"""),"Morning Classes")</f>
        <v>Morning Classes</v>
      </c>
      <c r="T1817" s="5"/>
      <c r="U1817" s="5">
        <f ca="1">IFERROR(__xludf.DUMMYFUNCTION("""COMPUTED_VALUE"""),450)</f>
        <v>450</v>
      </c>
      <c r="V1817" s="5" t="str">
        <f ca="1">IFERROR(__xludf.DUMMYFUNCTION("""COMPUTED_VALUE"""),"Mental patient took 6 people hostage using a starter pistol")</f>
        <v>Mental patient took 6 people hostage using a starter pistol</v>
      </c>
      <c r="W1817"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X1817" s="5" t="str">
        <f ca="1">IFERROR(__xludf.DUMMYFUNCTION("""COMPUTED_VALUE"""),"Psychosis")</f>
        <v>Psychosis</v>
      </c>
      <c r="Y1817" s="5" t="str">
        <f ca="1">IFERROR(__xludf.DUMMYFUNCTION("""COMPUTED_VALUE"""),"Neither")</f>
        <v>Neither</v>
      </c>
      <c r="Z1817" s="5" t="str">
        <f ca="1">IFERROR(__xludf.DUMMYFUNCTION("""COMPUTED_VALUE"""),"No")</f>
        <v>No</v>
      </c>
      <c r="AA1817" s="5"/>
      <c r="AB1817" s="5" t="str">
        <f ca="1">IFERROR(__xludf.DUMMYFUNCTION("""COMPUTED_VALUE"""),"Yes")</f>
        <v>Yes</v>
      </c>
      <c r="AC1817" s="5" t="str">
        <f ca="1">IFERROR(__xludf.DUMMYFUNCTION("""COMPUTED_VALUE"""),"Yes")</f>
        <v>Yes</v>
      </c>
      <c r="AD1817" s="5" t="str">
        <f ca="1">IFERROR(__xludf.DUMMYFUNCTION("""COMPUTED_VALUE"""),"No")</f>
        <v>No</v>
      </c>
      <c r="AE1817" s="5"/>
      <c r="AF1817" s="5" t="str">
        <f ca="1">IFERROR(__xludf.DUMMYFUNCTION("""COMPUTED_VALUE"""),"No")</f>
        <v>No</v>
      </c>
      <c r="AG1817" s="5" t="str">
        <f ca="1">IFERROR(__xludf.DUMMYFUNCTION("""COMPUTED_VALUE"""),"No")</f>
        <v>No</v>
      </c>
      <c r="AH1817" s="5" t="str">
        <f ca="1">IFERROR(__xludf.DUMMYFUNCTION("""COMPUTED_VALUE"""),"Yes")</f>
        <v>Yes</v>
      </c>
    </row>
    <row r="1818" spans="1:34" ht="12.75">
      <c r="A1818" s="5" t="str">
        <f ca="1">IFERROR(__xludf.DUMMYFUNCTION("""COMPUTED_VALUE"""),"19851203NHCOC")</f>
        <v>19851203NHCOC</v>
      </c>
      <c r="B1818" s="8">
        <f ca="1">IFERROR(__xludf.DUMMYFUNCTION("""COMPUTED_VALUE"""),31384)</f>
        <v>31384</v>
      </c>
      <c r="C1818" s="5" t="str">
        <f ca="1">IFERROR(__xludf.DUMMYFUNCTION("""COMPUTED_VALUE"""),"Concord High School")</f>
        <v>Concord High School</v>
      </c>
      <c r="D1818" s="5">
        <f ca="1">IFERROR(__xludf.DUMMYFUNCTION("""COMPUTED_VALUE"""),0)</f>
        <v>0</v>
      </c>
      <c r="E1818" s="5">
        <f ca="1">IFERROR(__xludf.DUMMYFUNCTION("""COMPUTED_VALUE"""),0)</f>
        <v>0</v>
      </c>
      <c r="F1818" s="5">
        <f ca="1">IFERROR(__xludf.DUMMYFUNCTION("""COMPUTED_VALUE"""),0)</f>
        <v>0</v>
      </c>
      <c r="G1818" s="5">
        <f ca="1">IFERROR(__xludf.DUMMYFUNCTION("""COMPUTED_VALUE"""),1)</f>
        <v>1</v>
      </c>
      <c r="H1818"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I1818" s="5"/>
      <c r="J1818" s="5"/>
      <c r="K1818" s="5">
        <f ca="1">IFERROR(__xludf.DUMMYFUNCTION("""COMPUTED_VALUE"""),3)</f>
        <v>3</v>
      </c>
      <c r="L1818" s="5" t="str">
        <f ca="1">IFERROR(__xludf.DUMMYFUNCTION("""COMPUTED_VALUE"""),"Winter")</f>
        <v>Winter</v>
      </c>
      <c r="M1818" s="5" t="str">
        <f ca="1">IFERROR(__xludf.DUMMYFUNCTION("""COMPUTED_VALUE"""),"Concord")</f>
        <v>Concord</v>
      </c>
      <c r="N1818" s="5" t="str">
        <f ca="1">IFERROR(__xludf.DUMMYFUNCTION("""COMPUTED_VALUE"""),"NH")</f>
        <v>NH</v>
      </c>
      <c r="O1818" s="5" t="str">
        <f ca="1">IFERROR(__xludf.DUMMYFUNCTION("""COMPUTED_VALUE"""),"High")</f>
        <v>High</v>
      </c>
      <c r="P1818" s="5" t="str">
        <f ca="1">IFERROR(__xludf.DUMMYFUNCTION("""COMPUTED_VALUE"""),"Hallway")</f>
        <v>Hallway</v>
      </c>
      <c r="Q1818" s="5" t="str">
        <f ca="1">IFERROR(__xludf.DUMMYFUNCTION("""COMPUTED_VALUE"""),"Inside School Building")</f>
        <v>Inside School Building</v>
      </c>
      <c r="R1818" s="5" t="str">
        <f ca="1">IFERROR(__xludf.DUMMYFUNCTION("""COMPUTED_VALUE"""),"Yes")</f>
        <v>Yes</v>
      </c>
      <c r="S1818" s="5" t="str">
        <f ca="1">IFERROR(__xludf.DUMMYFUNCTION("""COMPUTED_VALUE"""),"Morning Classes")</f>
        <v>Morning Classes</v>
      </c>
      <c r="T1818" s="10">
        <f ca="1">IFERROR(__xludf.DUMMYFUNCTION("""COMPUTED_VALUE"""),0.336805555555555)</f>
        <v>0.33680555555555503</v>
      </c>
      <c r="U1818" s="5"/>
      <c r="V1818" s="5" t="str">
        <f ca="1">IFERROR(__xludf.DUMMYFUNCTION("""COMPUTED_VALUE"""),"Dropout, Teased by other students, took two hostages")</f>
        <v>Dropout, Teased by other students, took two hostages</v>
      </c>
      <c r="W1818"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X1818" s="5" t="str">
        <f ca="1">IFERROR(__xludf.DUMMYFUNCTION("""COMPUTED_VALUE"""),"Hostage/Standoff")</f>
        <v>Hostage/Standoff</v>
      </c>
      <c r="Y1818" s="5" t="str">
        <f ca="1">IFERROR(__xludf.DUMMYFUNCTION("""COMPUTED_VALUE"""),"Victims Targeted")</f>
        <v>Victims Targeted</v>
      </c>
      <c r="Z1818" s="5" t="str">
        <f ca="1">IFERROR(__xludf.DUMMYFUNCTION("""COMPUTED_VALUE"""),"No")</f>
        <v>No</v>
      </c>
      <c r="AA1818" s="5"/>
      <c r="AB1818" s="5" t="str">
        <f ca="1">IFERROR(__xludf.DUMMYFUNCTION("""COMPUTED_VALUE"""),"Yes")</f>
        <v>Yes</v>
      </c>
      <c r="AC1818" s="5" t="str">
        <f ca="1">IFERROR(__xludf.DUMMYFUNCTION("""COMPUTED_VALUE"""),"Yes")</f>
        <v>Yes</v>
      </c>
      <c r="AD1818" s="5" t="str">
        <f ca="1">IFERROR(__xludf.DUMMYFUNCTION("""COMPUTED_VALUE"""),"No")</f>
        <v>No</v>
      </c>
      <c r="AE1818" s="5" t="str">
        <f ca="1">IFERROR(__xludf.DUMMYFUNCTION("""COMPUTED_VALUE"""),"Yes")</f>
        <v>Yes</v>
      </c>
      <c r="AF1818" s="5" t="str">
        <f ca="1">IFERROR(__xludf.DUMMYFUNCTION("""COMPUTED_VALUE"""),"No")</f>
        <v>No</v>
      </c>
      <c r="AG1818" s="5" t="str">
        <f ca="1">IFERROR(__xludf.DUMMYFUNCTION("""COMPUTED_VALUE"""),"No")</f>
        <v>No</v>
      </c>
      <c r="AH1818" s="5" t="str">
        <f ca="1">IFERROR(__xludf.DUMMYFUNCTION("""COMPUTED_VALUE"""),"Yes")</f>
        <v>Yes</v>
      </c>
    </row>
    <row r="1819" spans="1:34" ht="12.75">
      <c r="A1819" s="5" t="str">
        <f ca="1">IFERROR(__xludf.DUMMYFUNCTION("""COMPUTED_VALUE"""),"19851127ALCHB")</f>
        <v>19851127ALCHB</v>
      </c>
      <c r="B1819" s="8">
        <f ca="1">IFERROR(__xludf.DUMMYFUNCTION("""COMPUTED_VALUE"""),31378)</f>
        <v>31378</v>
      </c>
      <c r="C1819" s="5" t="str">
        <f ca="1">IFERROR(__xludf.DUMMYFUNCTION("""COMPUTED_VALUE"""),"Chelsea School")</f>
        <v>Chelsea School</v>
      </c>
      <c r="D1819" s="5">
        <f ca="1">IFERROR(__xludf.DUMMYFUNCTION("""COMPUTED_VALUE"""),0)</f>
        <v>0</v>
      </c>
      <c r="E1819" s="5">
        <f ca="1">IFERROR(__xludf.DUMMYFUNCTION("""COMPUTED_VALUE"""),1)</f>
        <v>1</v>
      </c>
      <c r="F1819" s="5">
        <f ca="1">IFERROR(__xludf.DUMMYFUNCTION("""COMPUTED_VALUE"""),1)</f>
        <v>1</v>
      </c>
      <c r="G1819" s="5">
        <f ca="1">IFERROR(__xludf.DUMMYFUNCTION("""COMPUTED_VALUE"""),1)</f>
        <v>1</v>
      </c>
      <c r="H1819" s="9" t="str">
        <f ca="1">IFERROR(__xludf.DUMMYFUNCTION("""COMPUTED_VALUE"""),"https://people.com/archive/a-16-year-old-alabama-boy-points-a-gun-shoots-a-friend-and-kills-himself-in-remorse-vol-25-no-2/")</f>
        <v>https://people.com/archive/a-16-year-old-alabama-boy-points-a-gun-shoots-a-friend-and-kills-himself-in-remorse-vol-25-no-2/</v>
      </c>
      <c r="I1819" s="5"/>
      <c r="J1819" s="5"/>
      <c r="K1819" s="5">
        <f ca="1">IFERROR(__xludf.DUMMYFUNCTION("""COMPUTED_VALUE"""),2)</f>
        <v>2</v>
      </c>
      <c r="L1819" s="5" t="str">
        <f ca="1">IFERROR(__xludf.DUMMYFUNCTION("""COMPUTED_VALUE"""),"Fall")</f>
        <v>Fall</v>
      </c>
      <c r="M1819" s="5" t="str">
        <f ca="1">IFERROR(__xludf.DUMMYFUNCTION("""COMPUTED_VALUE"""),"Birmingham")</f>
        <v>Birmingham</v>
      </c>
      <c r="N1819" s="5" t="str">
        <f ca="1">IFERROR(__xludf.DUMMYFUNCTION("""COMPUTED_VALUE"""),"AL")</f>
        <v>AL</v>
      </c>
      <c r="O1819" s="5" t="str">
        <f ca="1">IFERROR(__xludf.DUMMYFUNCTION("""COMPUTED_VALUE"""),"High")</f>
        <v>High</v>
      </c>
      <c r="P1819" s="5" t="str">
        <f ca="1">IFERROR(__xludf.DUMMYFUNCTION("""COMPUTED_VALUE"""),"Parking Lot")</f>
        <v>Parking Lot</v>
      </c>
      <c r="Q1819" s="5" t="str">
        <f ca="1">IFERROR(__xludf.DUMMYFUNCTION("""COMPUTED_VALUE"""),"Outside on School Property")</f>
        <v>Outside on School Property</v>
      </c>
      <c r="R1819" s="5" t="str">
        <f ca="1">IFERROR(__xludf.DUMMYFUNCTION("""COMPUTED_VALUE"""),"Yes")</f>
        <v>Yes</v>
      </c>
      <c r="S1819" s="5" t="str">
        <f ca="1">IFERROR(__xludf.DUMMYFUNCTION("""COMPUTED_VALUE"""),"Dismissal")</f>
        <v>Dismissal</v>
      </c>
      <c r="T1819" s="10">
        <f ca="1">IFERROR(__xludf.DUMMYFUNCTION("""COMPUTED_VALUE"""),0.625)</f>
        <v>0.625</v>
      </c>
      <c r="U1819" s="5">
        <f ca="1">IFERROR(__xludf.DUMMYFUNCTION("""COMPUTED_VALUE"""),1)</f>
        <v>1</v>
      </c>
      <c r="V1819" s="5" t="str">
        <f ca="1">IFERROR(__xludf.DUMMYFUNCTION("""COMPUTED_VALUE"""),"Friend accidentally shoots friend in school parking lot - feels so bad he then shoots himself")</f>
        <v>Friend accidentally shoots friend in school parking lot - feels so bad he then shoots himself</v>
      </c>
      <c r="W1819" s="5" t="str">
        <f ca="1">IFERROR(__xludf.DUMMYFUNCTION("""COMPUTED_VALUE"""),"Friend accidentally shoots friend in school parking lot - feels so bad he then shoots himself")</f>
        <v>Friend accidentally shoots friend in school parking lot - feels so bad he then shoots himself</v>
      </c>
      <c r="X1819" s="5" t="str">
        <f ca="1">IFERROR(__xludf.DUMMYFUNCTION("""COMPUTED_VALUE"""),"Accidental")</f>
        <v>Accidental</v>
      </c>
      <c r="Y1819" s="5" t="str">
        <f ca="1">IFERROR(__xludf.DUMMYFUNCTION("""COMPUTED_VALUE"""),"Both")</f>
        <v>Both</v>
      </c>
      <c r="Z1819" s="5" t="str">
        <f ca="1">IFERROR(__xludf.DUMMYFUNCTION("""COMPUTED_VALUE"""),"No")</f>
        <v>No</v>
      </c>
      <c r="AA1819" s="5"/>
      <c r="AB1819" s="5" t="str">
        <f ca="1">IFERROR(__xludf.DUMMYFUNCTION("""COMPUTED_VALUE"""),"No")</f>
        <v>No</v>
      </c>
      <c r="AC1819" s="5" t="str">
        <f ca="1">IFERROR(__xludf.DUMMYFUNCTION("""COMPUTED_VALUE"""),"No")</f>
        <v>No</v>
      </c>
      <c r="AD1819" s="5" t="str">
        <f ca="1">IFERROR(__xludf.DUMMYFUNCTION("""COMPUTED_VALUE"""),"No")</f>
        <v>No</v>
      </c>
      <c r="AE1819" s="5"/>
      <c r="AF1819" s="5" t="str">
        <f ca="1">IFERROR(__xludf.DUMMYFUNCTION("""COMPUTED_VALUE"""),"No")</f>
        <v>No</v>
      </c>
      <c r="AG1819" s="5" t="str">
        <f ca="1">IFERROR(__xludf.DUMMYFUNCTION("""COMPUTED_VALUE"""),"No")</f>
        <v>No</v>
      </c>
      <c r="AH1819" s="5"/>
    </row>
    <row r="1820" spans="1:34" ht="12.75">
      <c r="A1820" s="5" t="str">
        <f ca="1">IFERROR(__xludf.DUMMYFUNCTION("""COMPUTED_VALUE"""),"19851126WASPS")</f>
        <v>19851126WASPS</v>
      </c>
      <c r="B1820" s="8">
        <f ca="1">IFERROR(__xludf.DUMMYFUNCTION("""COMPUTED_VALUE"""),31377)</f>
        <v>31377</v>
      </c>
      <c r="C1820" s="5" t="str">
        <f ca="1">IFERROR(__xludf.DUMMYFUNCTION("""COMPUTED_VALUE"""),"Spanaway Junior High School")</f>
        <v>Spanaway Junior High School</v>
      </c>
      <c r="D1820" s="5">
        <f ca="1">IFERROR(__xludf.DUMMYFUNCTION("""COMPUTED_VALUE"""),2)</f>
        <v>2</v>
      </c>
      <c r="E1820" s="5">
        <f ca="1">IFERROR(__xludf.DUMMYFUNCTION("""COMPUTED_VALUE"""),0)</f>
        <v>0</v>
      </c>
      <c r="F1820" s="5">
        <f ca="1">IFERROR(__xludf.DUMMYFUNCTION("""COMPUTED_VALUE"""),2)</f>
        <v>2</v>
      </c>
      <c r="G1820" s="5">
        <f ca="1">IFERROR(__xludf.DUMMYFUNCTION("""COMPUTED_VALUE"""),1)</f>
        <v>1</v>
      </c>
      <c r="H1820"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I1820" s="5"/>
      <c r="J1820" s="5"/>
      <c r="K1820" s="5">
        <f ca="1">IFERROR(__xludf.DUMMYFUNCTION("""COMPUTED_VALUE"""),2)</f>
        <v>2</v>
      </c>
      <c r="L1820" s="5" t="str">
        <f ca="1">IFERROR(__xludf.DUMMYFUNCTION("""COMPUTED_VALUE"""),"Fall")</f>
        <v>Fall</v>
      </c>
      <c r="M1820" s="5" t="str">
        <f ca="1">IFERROR(__xludf.DUMMYFUNCTION("""COMPUTED_VALUE"""),"Spanaway")</f>
        <v>Spanaway</v>
      </c>
      <c r="N1820" s="5" t="str">
        <f ca="1">IFERROR(__xludf.DUMMYFUNCTION("""COMPUTED_VALUE"""),"WA")</f>
        <v>WA</v>
      </c>
      <c r="O1820" s="5" t="str">
        <f ca="1">IFERROR(__xludf.DUMMYFUNCTION("""COMPUTED_VALUE"""),"Junior High")</f>
        <v>Junior High</v>
      </c>
      <c r="P1820" s="5" t="str">
        <f ca="1">IFERROR(__xludf.DUMMYFUNCTION("""COMPUTED_VALUE"""),"Gym")</f>
        <v>Gym</v>
      </c>
      <c r="Q1820" s="5" t="str">
        <f ca="1">IFERROR(__xludf.DUMMYFUNCTION("""COMPUTED_VALUE"""),"Outside on School Property")</f>
        <v>Outside on School Property</v>
      </c>
      <c r="R1820" s="5" t="str">
        <f ca="1">IFERROR(__xludf.DUMMYFUNCTION("""COMPUTED_VALUE"""),"Yes")</f>
        <v>Yes</v>
      </c>
      <c r="S1820" s="5" t="str">
        <f ca="1">IFERROR(__xludf.DUMMYFUNCTION("""COMPUTED_VALUE"""),"After School")</f>
        <v>After School</v>
      </c>
      <c r="T1820" s="10">
        <f ca="1">IFERROR(__xludf.DUMMYFUNCTION("""COMPUTED_VALUE"""),0.680555555555555)</f>
        <v>0.68055555555555503</v>
      </c>
      <c r="U1820" s="5">
        <f ca="1">IFERROR(__xludf.DUMMYFUNCTION("""COMPUTED_VALUE"""),1)</f>
        <v>1</v>
      </c>
      <c r="V1820" s="5" t="str">
        <f ca="1">IFERROR(__xludf.DUMMYFUNCTION("""COMPUTED_VALUE"""),"Break up with boyfriend - 1 of the victims")</f>
        <v>Break up with boyfriend - 1 of the victims</v>
      </c>
      <c r="W1820"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X1820" s="5" t="str">
        <f ca="1">IFERROR(__xludf.DUMMYFUNCTION("""COMPUTED_VALUE"""),"Murder/Suicide")</f>
        <v>Murder/Suicide</v>
      </c>
      <c r="Y1820" s="5" t="str">
        <f ca="1">IFERROR(__xludf.DUMMYFUNCTION("""COMPUTED_VALUE"""),"Both")</f>
        <v>Both</v>
      </c>
      <c r="Z1820" s="5" t="str">
        <f ca="1">IFERROR(__xludf.DUMMYFUNCTION("""COMPUTED_VALUE"""),"No")</f>
        <v>No</v>
      </c>
      <c r="AA1820" s="5"/>
      <c r="AB1820" s="5" t="str">
        <f ca="1">IFERROR(__xludf.DUMMYFUNCTION("""COMPUTED_VALUE"""),"No")</f>
        <v>No</v>
      </c>
      <c r="AC1820" s="5" t="str">
        <f ca="1">IFERROR(__xludf.DUMMYFUNCTION("""COMPUTED_VALUE"""),"No")</f>
        <v>No</v>
      </c>
      <c r="AD1820" s="5" t="str">
        <f ca="1">IFERROR(__xludf.DUMMYFUNCTION("""COMPUTED_VALUE"""),"No")</f>
        <v>No</v>
      </c>
      <c r="AE1820" s="5" t="str">
        <f ca="1">IFERROR(__xludf.DUMMYFUNCTION("""COMPUTED_VALUE"""),"No")</f>
        <v>No</v>
      </c>
      <c r="AF1820" s="5" t="str">
        <f ca="1">IFERROR(__xludf.DUMMYFUNCTION("""COMPUTED_VALUE"""),"No")</f>
        <v>No</v>
      </c>
      <c r="AG1820" s="5" t="str">
        <f ca="1">IFERROR(__xludf.DUMMYFUNCTION("""COMPUTED_VALUE"""),"No")</f>
        <v>No</v>
      </c>
      <c r="AH1820" s="5"/>
    </row>
    <row r="1821" spans="1:34" ht="12.75">
      <c r="A1821" s="5" t="str">
        <f ca="1">IFERROR(__xludf.DUMMYFUNCTION("""COMPUTED_VALUE"""),"19851022OHSOG")</f>
        <v>19851022OHSOG</v>
      </c>
      <c r="B1821" s="8">
        <f ca="1">IFERROR(__xludf.DUMMYFUNCTION("""COMPUTED_VALUE"""),31342)</f>
        <v>31342</v>
      </c>
      <c r="C1821" s="5" t="str">
        <f ca="1">IFERROR(__xludf.DUMMYFUNCTION("""COMPUTED_VALUE"""),"Southern Hills Joint Vocational High School")</f>
        <v>Southern Hills Joint Vocational High School</v>
      </c>
      <c r="D1821" s="5">
        <f ca="1">IFERROR(__xludf.DUMMYFUNCTION("""COMPUTED_VALUE"""),0)</f>
        <v>0</v>
      </c>
      <c r="E1821" s="5">
        <f ca="1">IFERROR(__xludf.DUMMYFUNCTION("""COMPUTED_VALUE"""),1)</f>
        <v>1</v>
      </c>
      <c r="F1821" s="5">
        <f ca="1">IFERROR(__xludf.DUMMYFUNCTION("""COMPUTED_VALUE"""),1)</f>
        <v>1</v>
      </c>
      <c r="G1821" s="5">
        <f ca="1">IFERROR(__xludf.DUMMYFUNCTION("""COMPUTED_VALUE"""),0)</f>
        <v>0</v>
      </c>
      <c r="H1821" s="9" t="str">
        <f ca="1">IFERROR(__xludf.DUMMYFUNCTION("""COMPUTED_VALUE"""),"https://www.newspapers.com/image/292865629/?terms=Southern%2BHills%2BJoint%2BVocational%2BHigh%2BSchool%2Bshooting")</f>
        <v>https://www.newspapers.com/image/292865629/?terms=Southern%2BHills%2BJoint%2BVocational%2BHigh%2BSchool%2Bshooting</v>
      </c>
      <c r="I1821" s="5"/>
      <c r="J1821" s="5"/>
      <c r="K1821" s="5">
        <f ca="1">IFERROR(__xludf.DUMMYFUNCTION("""COMPUTED_VALUE"""),2)</f>
        <v>2</v>
      </c>
      <c r="L1821" s="5" t="str">
        <f ca="1">IFERROR(__xludf.DUMMYFUNCTION("""COMPUTED_VALUE"""),"Fall")</f>
        <v>Fall</v>
      </c>
      <c r="M1821" s="5" t="str">
        <f ca="1">IFERROR(__xludf.DUMMYFUNCTION("""COMPUTED_VALUE"""),"Georgetown")</f>
        <v>Georgetown</v>
      </c>
      <c r="N1821" s="5" t="str">
        <f ca="1">IFERROR(__xludf.DUMMYFUNCTION("""COMPUTED_VALUE"""),"OH")</f>
        <v>OH</v>
      </c>
      <c r="O1821" s="5" t="str">
        <f ca="1">IFERROR(__xludf.DUMMYFUNCTION("""COMPUTED_VALUE"""),"High")</f>
        <v>High</v>
      </c>
      <c r="P1821" s="5" t="str">
        <f ca="1">IFERROR(__xludf.DUMMYFUNCTION("""COMPUTED_VALUE"""),"Classroom")</f>
        <v>Classroom</v>
      </c>
      <c r="Q1821" s="5" t="str">
        <f ca="1">IFERROR(__xludf.DUMMYFUNCTION("""COMPUTED_VALUE"""),"Inside School Building")</f>
        <v>Inside School Building</v>
      </c>
      <c r="R1821" s="5" t="str">
        <f ca="1">IFERROR(__xludf.DUMMYFUNCTION("""COMPUTED_VALUE"""),"Yes")</f>
        <v>Yes</v>
      </c>
      <c r="S1821" s="5" t="str">
        <f ca="1">IFERROR(__xludf.DUMMYFUNCTION("""COMPUTED_VALUE"""),"Afternoon Classes")</f>
        <v>Afternoon Classes</v>
      </c>
      <c r="T1821" s="5"/>
      <c r="U1821" s="5">
        <f ca="1">IFERROR(__xludf.DUMMYFUNCTION("""COMPUTED_VALUE"""),1)</f>
        <v>1</v>
      </c>
      <c r="V1821" s="5" t="str">
        <f ca="1">IFERROR(__xludf.DUMMYFUNCTION("""COMPUTED_VALUE"""),"Accidental - Police Officer showing students his weapon - accidental discharge")</f>
        <v>Accidental - Police Officer showing students his weapon - accidental discharge</v>
      </c>
      <c r="W1821" s="5" t="str">
        <f ca="1">IFERROR(__xludf.DUMMYFUNCTION("""COMPUTED_VALUE"""),"Police officer was doing gun demonstration for class. Gun accidentally discharged striking student.")</f>
        <v>Police officer was doing gun demonstration for class. Gun accidentally discharged striking student.</v>
      </c>
      <c r="X1821" s="5" t="str">
        <f ca="1">IFERROR(__xludf.DUMMYFUNCTION("""COMPUTED_VALUE"""),"Accidental")</f>
        <v>Accidental</v>
      </c>
      <c r="Y1821" s="5" t="str">
        <f ca="1">IFERROR(__xludf.DUMMYFUNCTION("""COMPUTED_VALUE"""),"Random Shooting")</f>
        <v>Random Shooting</v>
      </c>
      <c r="Z1821" s="5" t="str">
        <f ca="1">IFERROR(__xludf.DUMMYFUNCTION("""COMPUTED_VALUE"""),"No")</f>
        <v>No</v>
      </c>
      <c r="AA1821" s="5"/>
      <c r="AB1821" s="5" t="str">
        <f ca="1">IFERROR(__xludf.DUMMYFUNCTION("""COMPUTED_VALUE"""),"No")</f>
        <v>No</v>
      </c>
      <c r="AC1821" s="5" t="str">
        <f ca="1">IFERROR(__xludf.DUMMYFUNCTION("""COMPUTED_VALUE"""),"No")</f>
        <v>No</v>
      </c>
      <c r="AD1821" s="5" t="str">
        <f ca="1">IFERROR(__xludf.DUMMYFUNCTION("""COMPUTED_VALUE"""),"Yes")</f>
        <v>Yes</v>
      </c>
      <c r="AE1821" s="5" t="str">
        <f ca="1">IFERROR(__xludf.DUMMYFUNCTION("""COMPUTED_VALUE"""),"N/A")</f>
        <v>N/A</v>
      </c>
      <c r="AF1821" s="5" t="str">
        <f ca="1">IFERROR(__xludf.DUMMYFUNCTION("""COMPUTED_VALUE"""),"N/A")</f>
        <v>N/A</v>
      </c>
      <c r="AG1821" s="5" t="str">
        <f ca="1">IFERROR(__xludf.DUMMYFUNCTION("""COMPUTED_VALUE"""),"N/A")</f>
        <v>N/A</v>
      </c>
      <c r="AH1821" s="5" t="str">
        <f ca="1">IFERROR(__xludf.DUMMYFUNCTION("""COMPUTED_VALUE"""),"N/A")</f>
        <v>N/A</v>
      </c>
    </row>
    <row r="1822" spans="1:34" ht="12.75">
      <c r="A1822" s="5" t="str">
        <f ca="1">IFERROR(__xludf.DUMMYFUNCTION("""COMPUTED_VALUE"""),"19851018MIMUD")</f>
        <v>19851018MIMUD</v>
      </c>
      <c r="B1822" s="8">
        <f ca="1">IFERROR(__xludf.DUMMYFUNCTION("""COMPUTED_VALUE"""),31338)</f>
        <v>31338</v>
      </c>
      <c r="C1822" s="5" t="str">
        <f ca="1">IFERROR(__xludf.DUMMYFUNCTION("""COMPUTED_VALUE"""),"Murray-Wright High School")</f>
        <v>Murray-Wright High School</v>
      </c>
      <c r="D1822" s="5">
        <f ca="1">IFERROR(__xludf.DUMMYFUNCTION("""COMPUTED_VALUE"""),0)</f>
        <v>0</v>
      </c>
      <c r="E1822" s="5">
        <f ca="1">IFERROR(__xludf.DUMMYFUNCTION("""COMPUTED_VALUE"""),7)</f>
        <v>7</v>
      </c>
      <c r="F1822" s="5">
        <f ca="1">IFERROR(__xludf.DUMMYFUNCTION("""COMPUTED_VALUE"""),7)</f>
        <v>7</v>
      </c>
      <c r="G1822" s="5">
        <f ca="1">IFERROR(__xludf.DUMMYFUNCTION("""COMPUTED_VALUE"""),0)</f>
        <v>0</v>
      </c>
      <c r="H1822" s="9" t="str">
        <f ca="1">IFERROR(__xludf.DUMMYFUNCTION("""COMPUTED_VALUE"""),"https://www.upi.com/Archives/1985/10/18/A-gunman-stepped-out-of-a-car-and-sprayed/5334498456000/")</f>
        <v>https://www.upi.com/Archives/1985/10/18/A-gunman-stepped-out-of-a-car-and-sprayed/5334498456000/</v>
      </c>
      <c r="I1822" s="5"/>
      <c r="J1822" s="5"/>
      <c r="K1822" s="5">
        <f ca="1">IFERROR(__xludf.DUMMYFUNCTION("""COMPUTED_VALUE"""),2)</f>
        <v>2</v>
      </c>
      <c r="L1822" s="5" t="str">
        <f ca="1">IFERROR(__xludf.DUMMYFUNCTION("""COMPUTED_VALUE"""),"Fall")</f>
        <v>Fall</v>
      </c>
      <c r="M1822" s="5" t="str">
        <f ca="1">IFERROR(__xludf.DUMMYFUNCTION("""COMPUTED_VALUE"""),"Detroit")</f>
        <v>Detroit</v>
      </c>
      <c r="N1822" s="5" t="str">
        <f ca="1">IFERROR(__xludf.DUMMYFUNCTION("""COMPUTED_VALUE"""),"MI")</f>
        <v>MI</v>
      </c>
      <c r="O1822" s="5" t="str">
        <f ca="1">IFERROR(__xludf.DUMMYFUNCTION("""COMPUTED_VALUE"""),"High")</f>
        <v>High</v>
      </c>
      <c r="P1822" s="5" t="str">
        <f ca="1">IFERROR(__xludf.DUMMYFUNCTION("""COMPUTED_VALUE"""),"Parking Lot")</f>
        <v>Parking Lot</v>
      </c>
      <c r="Q1822" s="5" t="str">
        <f ca="1">IFERROR(__xludf.DUMMYFUNCTION("""COMPUTED_VALUE"""),"Outside on School Property")</f>
        <v>Outside on School Property</v>
      </c>
      <c r="R1822" s="5" t="str">
        <f ca="1">IFERROR(__xludf.DUMMYFUNCTION("""COMPUTED_VALUE"""),"No")</f>
        <v>No</v>
      </c>
      <c r="S1822" s="5" t="str">
        <f ca="1">IFERROR(__xludf.DUMMYFUNCTION("""COMPUTED_VALUE"""),"Sport Event")</f>
        <v>Sport Event</v>
      </c>
      <c r="T1822" s="5"/>
      <c r="U1822" s="5"/>
      <c r="V1822" s="5" t="str">
        <f ca="1">IFERROR(__xludf.DUMMYFUNCTION("""COMPUTED_VALUE"""),"Fired shotgun into crowd after football game, involved in earlier fight")</f>
        <v>Fired shotgun into crowd after football game, involved in earlier fight</v>
      </c>
      <c r="W1822"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X1822" s="5" t="str">
        <f ca="1">IFERROR(__xludf.DUMMYFUNCTION("""COMPUTED_VALUE"""),"Escalation of Dispute")</f>
        <v>Escalation of Dispute</v>
      </c>
      <c r="Y1822" s="5"/>
      <c r="Z1822" s="5" t="str">
        <f ca="1">IFERROR(__xludf.DUMMYFUNCTION("""COMPUTED_VALUE"""),"Yes")</f>
        <v>Yes</v>
      </c>
      <c r="AA1822" s="5" t="str">
        <f ca="1">IFERROR(__xludf.DUMMYFUNCTION("""COMPUTED_VALUE"""),"Came in vehicle, may have been other people in vehicle")</f>
        <v>Came in vehicle, may have been other people in vehicle</v>
      </c>
      <c r="AB1822" s="5" t="str">
        <f ca="1">IFERROR(__xludf.DUMMYFUNCTION("""COMPUTED_VALUE"""),"No")</f>
        <v>No</v>
      </c>
      <c r="AC1822" s="5" t="str">
        <f ca="1">IFERROR(__xludf.DUMMYFUNCTION("""COMPUTED_VALUE"""),"No")</f>
        <v>No</v>
      </c>
      <c r="AD1822" s="5" t="str">
        <f ca="1">IFERROR(__xludf.DUMMYFUNCTION("""COMPUTED_VALUE"""),"No")</f>
        <v>No</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IFERROR(__xludf.DUMMYFUNCTION("""COMPUTED_VALUE"""),"Yes")</f>
        <v>Yes</v>
      </c>
    </row>
    <row r="1823" spans="1:34" ht="12.75">
      <c r="A1823" s="5" t="str">
        <f ca="1">IFERROR(__xludf.DUMMYFUNCTION("""COMPUTED_VALUE"""),"19851008MDLAB")</f>
        <v>19851008MDLAB</v>
      </c>
      <c r="B1823" s="8">
        <f ca="1">IFERROR(__xludf.DUMMYFUNCTION("""COMPUTED_VALUE"""),31328)</f>
        <v>31328</v>
      </c>
      <c r="C1823" s="5" t="str">
        <f ca="1">IFERROR(__xludf.DUMMYFUNCTION("""COMPUTED_VALUE"""),"Lake Clifton High School")</f>
        <v>Lake Clifton High School</v>
      </c>
      <c r="D1823" s="5">
        <f ca="1">IFERROR(__xludf.DUMMYFUNCTION("""COMPUTED_VALUE"""),1)</f>
        <v>1</v>
      </c>
      <c r="E1823" s="5">
        <f ca="1">IFERROR(__xludf.DUMMYFUNCTION("""COMPUTED_VALUE"""),0)</f>
        <v>0</v>
      </c>
      <c r="F1823" s="5">
        <f ca="1">IFERROR(__xludf.DUMMYFUNCTION("""COMPUTED_VALUE"""),1)</f>
        <v>1</v>
      </c>
      <c r="G1823" s="5">
        <f ca="1">IFERROR(__xludf.DUMMYFUNCTION("""COMPUTED_VALUE"""),0)</f>
        <v>0</v>
      </c>
      <c r="H1823" s="9" t="str">
        <f ca="1">IFERROR(__xludf.DUMMYFUNCTION("""COMPUTED_VALUE"""),"https://www.newspapers.com/image/372547711/?terms=Lake%2BClifton%2BHigh%2BSchool%2Bshooting")</f>
        <v>https://www.newspapers.com/image/372547711/?terms=Lake%2BClifton%2BHigh%2BSchool%2Bshooting</v>
      </c>
      <c r="I1823" s="5"/>
      <c r="J1823" s="5"/>
      <c r="K1823" s="5">
        <f ca="1">IFERROR(__xludf.DUMMYFUNCTION("""COMPUTED_VALUE"""),2)</f>
        <v>2</v>
      </c>
      <c r="L1823" s="5" t="str">
        <f ca="1">IFERROR(__xludf.DUMMYFUNCTION("""COMPUTED_VALUE"""),"Fall")</f>
        <v>Fall</v>
      </c>
      <c r="M1823" s="5" t="str">
        <f ca="1">IFERROR(__xludf.DUMMYFUNCTION("""COMPUTED_VALUE"""),"Baltimore")</f>
        <v>Baltimore</v>
      </c>
      <c r="N1823" s="5" t="str">
        <f ca="1">IFERROR(__xludf.DUMMYFUNCTION("""COMPUTED_VALUE"""),"MD")</f>
        <v>MD</v>
      </c>
      <c r="O1823" s="5" t="str">
        <f ca="1">IFERROR(__xludf.DUMMYFUNCTION("""COMPUTED_VALUE"""),"High")</f>
        <v>High</v>
      </c>
      <c r="P1823" s="5" t="str">
        <f ca="1">IFERROR(__xludf.DUMMYFUNCTION("""COMPUTED_VALUE"""),"Outside on School Property")</f>
        <v>Outside on School Property</v>
      </c>
      <c r="Q1823" s="5" t="str">
        <f ca="1">IFERROR(__xludf.DUMMYFUNCTION("""COMPUTED_VALUE"""),"Outside on School Property")</f>
        <v>Outside on School Property</v>
      </c>
      <c r="R1823" s="5" t="str">
        <f ca="1">IFERROR(__xludf.DUMMYFUNCTION("""COMPUTED_VALUE"""),"No")</f>
        <v>No</v>
      </c>
      <c r="S1823" s="5" t="str">
        <f ca="1">IFERROR(__xludf.DUMMYFUNCTION("""COMPUTED_VALUE"""),"Dismissal")</f>
        <v>Dismissal</v>
      </c>
      <c r="T1823" s="10">
        <f ca="1">IFERROR(__xludf.DUMMYFUNCTION("""COMPUTED_VALUE"""),0.625)</f>
        <v>0.625</v>
      </c>
      <c r="U1823" s="5">
        <f ca="1">IFERROR(__xludf.DUMMYFUNCTION("""COMPUTED_VALUE"""),1)</f>
        <v>1</v>
      </c>
      <c r="V1823" s="5" t="str">
        <f ca="1">IFERROR(__xludf.DUMMYFUNCTION("""COMPUTED_VALUE"""),"Argument with shooter, victim may have pulled pistol")</f>
        <v>Argument with shooter, victim may have pulled pistol</v>
      </c>
      <c r="W1823"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X1823" s="5" t="str">
        <f ca="1">IFERROR(__xludf.DUMMYFUNCTION("""COMPUTED_VALUE"""),"Escalation of Dispute")</f>
        <v>Escalation of Dispute</v>
      </c>
      <c r="Y1823" s="5" t="str">
        <f ca="1">IFERROR(__xludf.DUMMYFUNCTION("""COMPUTED_VALUE"""),"Victims Targeted")</f>
        <v>Victims Targeted</v>
      </c>
      <c r="Z1823" s="5" t="str">
        <f ca="1">IFERROR(__xludf.DUMMYFUNCTION("""COMPUTED_VALUE"""),"No")</f>
        <v>No</v>
      </c>
      <c r="AA1823" s="5"/>
      <c r="AB1823" s="5" t="str">
        <f ca="1">IFERROR(__xludf.DUMMYFUNCTION("""COMPUTED_VALUE"""),"No")</f>
        <v>No</v>
      </c>
      <c r="AC1823" s="5" t="str">
        <f ca="1">IFERROR(__xludf.DUMMYFUNCTION("""COMPUTED_VALUE"""),"No")</f>
        <v>No</v>
      </c>
      <c r="AD1823" s="5" t="str">
        <f ca="1">IFERROR(__xludf.DUMMYFUNCTION("""COMPUTED_VALUE"""),"No")</f>
        <v>No</v>
      </c>
      <c r="AE1823" s="5" t="str">
        <f ca="1">IFERROR(__xludf.DUMMYFUNCTION("""COMPUTED_VALUE"""),"No")</f>
        <v>No</v>
      </c>
      <c r="AF1823" s="5" t="str">
        <f ca="1">IFERROR(__xludf.DUMMYFUNCTION("""COMPUTED_VALUE"""),"No")</f>
        <v>No</v>
      </c>
      <c r="AG1823" s="5" t="str">
        <f ca="1">IFERROR(__xludf.DUMMYFUNCTION("""COMPUTED_VALUE"""),"No")</f>
        <v>No</v>
      </c>
      <c r="AH1823" s="5"/>
    </row>
    <row r="1824" spans="1:34" ht="12.75">
      <c r="A1824" s="5" t="str">
        <f ca="1">IFERROR(__xludf.DUMMYFUNCTION("""COMPUTED_VALUE"""),"19850925OHTRT")</f>
        <v>19850925OHTRT</v>
      </c>
      <c r="B1824" s="8">
        <f ca="1">IFERROR(__xludf.DUMMYFUNCTION("""COMPUTED_VALUE"""),31315)</f>
        <v>31315</v>
      </c>
      <c r="C1824" s="5" t="str">
        <f ca="1">IFERROR(__xludf.DUMMYFUNCTION("""COMPUTED_VALUE"""),"Trotwood-Madison Senior High")</f>
        <v>Trotwood-Madison Senior High</v>
      </c>
      <c r="D1824" s="5">
        <f ca="1">IFERROR(__xludf.DUMMYFUNCTION("""COMPUTED_VALUE"""),0)</f>
        <v>0</v>
      </c>
      <c r="E1824" s="5">
        <f ca="1">IFERROR(__xludf.DUMMYFUNCTION("""COMPUTED_VALUE"""),2)</f>
        <v>2</v>
      </c>
      <c r="F1824" s="5">
        <f ca="1">IFERROR(__xludf.DUMMYFUNCTION("""COMPUTED_VALUE"""),2)</f>
        <v>2</v>
      </c>
      <c r="G1824" s="5">
        <f ca="1">IFERROR(__xludf.DUMMYFUNCTION("""COMPUTED_VALUE"""),0)</f>
        <v>0</v>
      </c>
      <c r="H1824" s="9" t="str">
        <f ca="1">IFERROR(__xludf.DUMMYFUNCTION("""COMPUTED_VALUE"""),"https://www.newspapers.com/image/395559841/?terms=TROTWOOD%2BMADISON%2BSCHOOL%2BSHOOTING")</f>
        <v>https://www.newspapers.com/image/395559841/?terms=TROTWOOD%2BMADISON%2BSCHOOL%2BSHOOTING</v>
      </c>
      <c r="I1824" s="5"/>
      <c r="J1824" s="5"/>
      <c r="K1824" s="5">
        <f ca="1">IFERROR(__xludf.DUMMYFUNCTION("""COMPUTED_VALUE"""),2)</f>
        <v>2</v>
      </c>
      <c r="L1824" s="5" t="str">
        <f ca="1">IFERROR(__xludf.DUMMYFUNCTION("""COMPUTED_VALUE"""),"Fall")</f>
        <v>Fall</v>
      </c>
      <c r="M1824" s="5" t="str">
        <f ca="1">IFERROR(__xludf.DUMMYFUNCTION("""COMPUTED_VALUE"""),"Trotwood")</f>
        <v>Trotwood</v>
      </c>
      <c r="N1824" s="5" t="str">
        <f ca="1">IFERROR(__xludf.DUMMYFUNCTION("""COMPUTED_VALUE"""),"OH")</f>
        <v>OH</v>
      </c>
      <c r="O1824" s="5" t="str">
        <f ca="1">IFERROR(__xludf.DUMMYFUNCTION("""COMPUTED_VALUE"""),"High")</f>
        <v>High</v>
      </c>
      <c r="P1824" s="5" t="str">
        <f ca="1">IFERROR(__xludf.DUMMYFUNCTION("""COMPUTED_VALUE"""),"Inside School Building")</f>
        <v>Inside School Building</v>
      </c>
      <c r="Q1824" s="5" t="str">
        <f ca="1">IFERROR(__xludf.DUMMYFUNCTION("""COMPUTED_VALUE"""),"Inside School Building")</f>
        <v>Inside School Building</v>
      </c>
      <c r="R1824" s="5" t="str">
        <f ca="1">IFERROR(__xludf.DUMMYFUNCTION("""COMPUTED_VALUE"""),"Yes")</f>
        <v>Yes</v>
      </c>
      <c r="S1824" s="5" t="str">
        <f ca="1">IFERROR(__xludf.DUMMYFUNCTION("""COMPUTED_VALUE"""),"Afternoon Classes")</f>
        <v>Afternoon Classes</v>
      </c>
      <c r="T1824" s="10">
        <f ca="1">IFERROR(__xludf.DUMMYFUNCTION("""COMPUTED_VALUE"""),0.604166666666666)</f>
        <v>0.60416666666666596</v>
      </c>
      <c r="U1824" s="5">
        <f ca="1">IFERROR(__xludf.DUMMYFUNCTION("""COMPUTED_VALUE"""),1)</f>
        <v>1</v>
      </c>
      <c r="V1824" s="5" t="str">
        <f ca="1">IFERROR(__xludf.DUMMYFUNCTION("""COMPUTED_VALUE"""),"Shooter accidentally shot two students while showing off gun.")</f>
        <v>Shooter accidentally shot two students while showing off gun.</v>
      </c>
      <c r="W1824"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X1824" s="5" t="str">
        <f ca="1">IFERROR(__xludf.DUMMYFUNCTION("""COMPUTED_VALUE"""),"Accidental")</f>
        <v>Accidental</v>
      </c>
      <c r="Y1824" s="5" t="str">
        <f ca="1">IFERROR(__xludf.DUMMYFUNCTION("""COMPUTED_VALUE"""),"Random Shooting")</f>
        <v>Random Shooting</v>
      </c>
      <c r="Z1824" s="5" t="str">
        <f ca="1">IFERROR(__xludf.DUMMYFUNCTION("""COMPUTED_VALUE"""),"No")</f>
        <v>No</v>
      </c>
      <c r="AA1824" s="5"/>
      <c r="AB1824" s="5" t="str">
        <f ca="1">IFERROR(__xludf.DUMMYFUNCTION("""COMPUTED_VALUE"""),"No")</f>
        <v>No</v>
      </c>
      <c r="AC1824" s="5" t="str">
        <f ca="1">IFERROR(__xludf.DUMMYFUNCTION("""COMPUTED_VALUE"""),"No")</f>
        <v>No</v>
      </c>
      <c r="AD1824" s="5" t="str">
        <f ca="1">IFERROR(__xludf.DUMMYFUNCTION("""COMPUTED_VALUE"""),"No")</f>
        <v>No</v>
      </c>
      <c r="AE1824" s="5" t="str">
        <f ca="1">IFERROR(__xludf.DUMMYFUNCTION("""COMPUTED_VALUE"""),"No")</f>
        <v>No</v>
      </c>
      <c r="AF1824" s="5" t="str">
        <f ca="1">IFERROR(__xludf.DUMMYFUNCTION("""COMPUTED_VALUE"""),"No")</f>
        <v>No</v>
      </c>
      <c r="AG1824" s="5" t="str">
        <f ca="1">IFERROR(__xludf.DUMMYFUNCTION("""COMPUTED_VALUE"""),"No")</f>
        <v>No</v>
      </c>
      <c r="AH1824" s="5"/>
    </row>
    <row r="1825" spans="1:34" ht="12.75">
      <c r="A1825" s="5" t="str">
        <f ca="1">IFERROR(__xludf.DUMMYFUNCTION("""COMPUTED_VALUE"""),"19850920TXLAC")</f>
        <v>19850920TXLAC</v>
      </c>
      <c r="B1825" s="8">
        <f ca="1">IFERROR(__xludf.DUMMYFUNCTION("""COMPUTED_VALUE"""),31310)</f>
        <v>31310</v>
      </c>
      <c r="C1825" s="5" t="str">
        <f ca="1">IFERROR(__xludf.DUMMYFUNCTION("""COMPUTED_VALUE"""),"Langham Creek High School")</f>
        <v>Langham Creek High School</v>
      </c>
      <c r="D1825" s="5">
        <f ca="1">IFERROR(__xludf.DUMMYFUNCTION("""COMPUTED_VALUE"""),0)</f>
        <v>0</v>
      </c>
      <c r="E1825" s="5">
        <f ca="1">IFERROR(__xludf.DUMMYFUNCTION("""COMPUTED_VALUE"""),2)</f>
        <v>2</v>
      </c>
      <c r="F1825" s="5">
        <f ca="1">IFERROR(__xludf.DUMMYFUNCTION("""COMPUTED_VALUE"""),2)</f>
        <v>2</v>
      </c>
      <c r="G1825" s="5">
        <f ca="1">IFERROR(__xludf.DUMMYFUNCTION("""COMPUTED_VALUE"""),0)</f>
        <v>0</v>
      </c>
      <c r="H1825"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I1825" s="5"/>
      <c r="J1825" s="5"/>
      <c r="K1825" s="5">
        <f ca="1">IFERROR(__xludf.DUMMYFUNCTION("""COMPUTED_VALUE"""),2)</f>
        <v>2</v>
      </c>
      <c r="L1825" s="5" t="str">
        <f ca="1">IFERROR(__xludf.DUMMYFUNCTION("""COMPUTED_VALUE"""),"Fall")</f>
        <v>Fall</v>
      </c>
      <c r="M1825" s="5" t="str">
        <f ca="1">IFERROR(__xludf.DUMMYFUNCTION("""COMPUTED_VALUE"""),"Cypress")</f>
        <v>Cypress</v>
      </c>
      <c r="N1825" s="5" t="str">
        <f ca="1">IFERROR(__xludf.DUMMYFUNCTION("""COMPUTED_VALUE"""),"TX")</f>
        <v>TX</v>
      </c>
      <c r="O1825" s="5" t="str">
        <f ca="1">IFERROR(__xludf.DUMMYFUNCTION("""COMPUTED_VALUE"""),"High")</f>
        <v>High</v>
      </c>
      <c r="P1825" s="5" t="str">
        <f ca="1">IFERROR(__xludf.DUMMYFUNCTION("""COMPUTED_VALUE"""),"Cafeteria")</f>
        <v>Cafeteria</v>
      </c>
      <c r="Q1825" s="5" t="str">
        <f ca="1">IFERROR(__xludf.DUMMYFUNCTION("""COMPUTED_VALUE"""),"Inside School Building")</f>
        <v>Inside School Building</v>
      </c>
      <c r="R1825" s="5" t="str">
        <f ca="1">IFERROR(__xludf.DUMMYFUNCTION("""COMPUTED_VALUE"""),"Yes")</f>
        <v>Yes</v>
      </c>
      <c r="S1825" s="5" t="str">
        <f ca="1">IFERROR(__xludf.DUMMYFUNCTION("""COMPUTED_VALUE"""),"Lunch")</f>
        <v>Lunch</v>
      </c>
      <c r="T1825" s="10">
        <f ca="1">IFERROR(__xludf.DUMMYFUNCTION("""COMPUTED_VALUE"""),0.513888888888888)</f>
        <v>0.51388888888888795</v>
      </c>
      <c r="U1825" s="5">
        <f ca="1">IFERROR(__xludf.DUMMYFUNCTION("""COMPUTED_VALUE"""),1)</f>
        <v>1</v>
      </c>
      <c r="V1825" s="5" t="str">
        <f ca="1">IFERROR(__xludf.DUMMYFUNCTION("""COMPUTED_VALUE"""),"Student fired at principal and another student in cafeteria, bystander struck")</f>
        <v>Student fired at principal and another student in cafeteria, bystander struck</v>
      </c>
      <c r="W1825"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X1825" s="5" t="str">
        <f ca="1">IFERROR(__xludf.DUMMYFUNCTION("""COMPUTED_VALUE"""),"Anger Over Grade/Suspension/Discipline")</f>
        <v>Anger Over Grade/Suspension/Discipline</v>
      </c>
      <c r="Y1825" s="5" t="str">
        <f ca="1">IFERROR(__xludf.DUMMYFUNCTION("""COMPUTED_VALUE"""),"Both")</f>
        <v>Both</v>
      </c>
      <c r="Z1825" s="5" t="str">
        <f ca="1">IFERROR(__xludf.DUMMYFUNCTION("""COMPUTED_VALUE"""),"No")</f>
        <v>No</v>
      </c>
      <c r="AA1825" s="5"/>
      <c r="AB1825" s="5" t="str">
        <f ca="1">IFERROR(__xludf.DUMMYFUNCTION("""COMPUTED_VALUE"""),"No")</f>
        <v>No</v>
      </c>
      <c r="AC1825" s="5" t="str">
        <f ca="1">IFERROR(__xludf.DUMMYFUNCTION("""COMPUTED_VALUE"""),"No")</f>
        <v>No</v>
      </c>
      <c r="AD1825" s="5" t="str">
        <f ca="1">IFERROR(__xludf.DUMMYFUNCTION("""COMPUTED_VALUE"""),"No")</f>
        <v>No</v>
      </c>
      <c r="AE1825" s="5" t="str">
        <f ca="1">IFERROR(__xludf.DUMMYFUNCTION("""COMPUTED_VALUE"""),"No")</f>
        <v>No</v>
      </c>
      <c r="AF1825" s="5" t="str">
        <f ca="1">IFERROR(__xludf.DUMMYFUNCTION("""COMPUTED_VALUE"""),"No")</f>
        <v>No</v>
      </c>
      <c r="AG1825" s="5" t="str">
        <f ca="1">IFERROR(__xludf.DUMMYFUNCTION("""COMPUTED_VALUE"""),"No")</f>
        <v>No</v>
      </c>
      <c r="AH1825" s="5"/>
    </row>
    <row r="1826" spans="1:34" ht="12.75">
      <c r="A1826" s="5" t="str">
        <f ca="1">IFERROR(__xludf.DUMMYFUNCTION("""COMPUTED_VALUE"""),"19850909TXWHH")</f>
        <v>19850909TXWHH</v>
      </c>
      <c r="B1826" s="8">
        <f ca="1">IFERROR(__xludf.DUMMYFUNCTION("""COMPUTED_VALUE"""),31299)</f>
        <v>31299</v>
      </c>
      <c r="C1826" s="5" t="str">
        <f ca="1">IFERROR(__xludf.DUMMYFUNCTION("""COMPUTED_VALUE"""),"Wheatley High School")</f>
        <v>Wheatley High School</v>
      </c>
      <c r="D1826" s="5">
        <f ca="1">IFERROR(__xludf.DUMMYFUNCTION("""COMPUTED_VALUE"""),0)</f>
        <v>0</v>
      </c>
      <c r="E1826" s="5">
        <f ca="1">IFERROR(__xludf.DUMMYFUNCTION("""COMPUTED_VALUE"""),1)</f>
        <v>1</v>
      </c>
      <c r="F1826" s="5">
        <f ca="1">IFERROR(__xludf.DUMMYFUNCTION("""COMPUTED_VALUE"""),1)</f>
        <v>1</v>
      </c>
      <c r="G1826" s="5">
        <f ca="1">IFERROR(__xludf.DUMMYFUNCTION("""COMPUTED_VALUE"""),0)</f>
        <v>0</v>
      </c>
      <c r="H1826" s="9" t="str">
        <f ca="1">IFERROR(__xludf.DUMMYFUNCTION("""COMPUTED_VALUE"""),"https://www.newspapers.com/image/310187745/?terms=Wheatley%2BHigh%2BSchool%2Bshooting")</f>
        <v>https://www.newspapers.com/image/310187745/?terms=Wheatley%2BHigh%2BSchool%2Bshooting</v>
      </c>
      <c r="I1826" s="5"/>
      <c r="J1826" s="5"/>
      <c r="K1826" s="5">
        <f ca="1">IFERROR(__xludf.DUMMYFUNCTION("""COMPUTED_VALUE"""),2)</f>
        <v>2</v>
      </c>
      <c r="L1826" s="5" t="str">
        <f ca="1">IFERROR(__xludf.DUMMYFUNCTION("""COMPUTED_VALUE"""),"Fall")</f>
        <v>Fall</v>
      </c>
      <c r="M1826" s="5" t="str">
        <f ca="1">IFERROR(__xludf.DUMMYFUNCTION("""COMPUTED_VALUE"""),"Houston")</f>
        <v>Houston</v>
      </c>
      <c r="N1826" s="5" t="str">
        <f ca="1">IFERROR(__xludf.DUMMYFUNCTION("""COMPUTED_VALUE"""),"TX")</f>
        <v>TX</v>
      </c>
      <c r="O1826" s="5" t="str">
        <f ca="1">IFERROR(__xludf.DUMMYFUNCTION("""COMPUTED_VALUE"""),"High")</f>
        <v>High</v>
      </c>
      <c r="P1826" s="5" t="str">
        <f ca="1">IFERROR(__xludf.DUMMYFUNCTION("""COMPUTED_VALUE"""),"Cafeteria")</f>
        <v>Cafeteria</v>
      </c>
      <c r="Q1826" s="5" t="str">
        <f ca="1">IFERROR(__xludf.DUMMYFUNCTION("""COMPUTED_VALUE"""),"Inside School Building")</f>
        <v>Inside School Building</v>
      </c>
      <c r="R1826" s="5" t="str">
        <f ca="1">IFERROR(__xludf.DUMMYFUNCTION("""COMPUTED_VALUE"""),"Yes")</f>
        <v>Yes</v>
      </c>
      <c r="S1826" s="5" t="str">
        <f ca="1">IFERROR(__xludf.DUMMYFUNCTION("""COMPUTED_VALUE"""),"After School")</f>
        <v>After School</v>
      </c>
      <c r="T1826" s="5"/>
      <c r="U1826" s="5">
        <f ca="1">IFERROR(__xludf.DUMMYFUNCTION("""COMPUTED_VALUE"""),1)</f>
        <v>1</v>
      </c>
      <c r="V1826" s="5" t="str">
        <f ca="1">IFERROR(__xludf.DUMMYFUNCTION("""COMPUTED_VALUE"""),"Teacher was shot during confrontation with 3 non-students in cafeteria")</f>
        <v>Teacher was shot during confrontation with 3 non-students in cafeteria</v>
      </c>
      <c r="W1826"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X1826" s="5" t="str">
        <f ca="1">IFERROR(__xludf.DUMMYFUNCTION("""COMPUTED_VALUE"""),"Escalation of Dispute")</f>
        <v>Escalation of Dispute</v>
      </c>
      <c r="Y1826" s="5" t="str">
        <f ca="1">IFERROR(__xludf.DUMMYFUNCTION("""COMPUTED_VALUE"""),"Victims Targeted")</f>
        <v>Victims Targeted</v>
      </c>
      <c r="Z1826" s="5" t="str">
        <f ca="1">IFERROR(__xludf.DUMMYFUNCTION("""COMPUTED_VALUE"""),"Yes")</f>
        <v>Yes</v>
      </c>
      <c r="AA1826" s="5" t="str">
        <f ca="1">IFERROR(__xludf.DUMMYFUNCTION("""COMPUTED_VALUE"""),"3 non-students")</f>
        <v>3 non-students</v>
      </c>
      <c r="AB1826" s="5" t="str">
        <f ca="1">IFERROR(__xludf.DUMMYFUNCTION("""COMPUTED_VALUE"""),"No")</f>
        <v>No</v>
      </c>
      <c r="AC1826" s="5" t="str">
        <f ca="1">IFERROR(__xludf.DUMMYFUNCTION("""COMPUTED_VALUE"""),"No")</f>
        <v>No</v>
      </c>
      <c r="AD1826" s="5" t="str">
        <f ca="1">IFERROR(__xludf.DUMMYFUNCTION("""COMPUTED_VALUE"""),"No")</f>
        <v>No</v>
      </c>
      <c r="AE1826" s="5" t="str">
        <f ca="1">IFERROR(__xludf.DUMMYFUNCTION("""COMPUTED_VALUE"""),"No")</f>
        <v>No</v>
      </c>
      <c r="AF1826" s="5" t="str">
        <f ca="1">IFERROR(__xludf.DUMMYFUNCTION("""COMPUTED_VALUE"""),"No")</f>
        <v>No</v>
      </c>
      <c r="AG1826" s="5" t="str">
        <f ca="1">IFERROR(__xludf.DUMMYFUNCTION("""COMPUTED_VALUE"""),"No")</f>
        <v>No</v>
      </c>
      <c r="AH1826" s="5"/>
    </row>
    <row r="1827" spans="1:34" ht="12.75">
      <c r="A1827" s="5" t="str">
        <f ca="1">IFERROR(__xludf.DUMMYFUNCTION("""COMPUTED_VALUE"""),"19850904VAEAR")</f>
        <v>19850904VAEAR</v>
      </c>
      <c r="B1827" s="8">
        <f ca="1">IFERROR(__xludf.DUMMYFUNCTION("""COMPUTED_VALUE"""),31294)</f>
        <v>31294</v>
      </c>
      <c r="C1827" s="5" t="str">
        <f ca="1">IFERROR(__xludf.DUMMYFUNCTION("""COMPUTED_VALUE"""),"East End Middle School (bus)")</f>
        <v>East End Middle School (bus)</v>
      </c>
      <c r="D1827" s="5">
        <f ca="1">IFERROR(__xludf.DUMMYFUNCTION("""COMPUTED_VALUE"""),0)</f>
        <v>0</v>
      </c>
      <c r="E1827" s="5">
        <f ca="1">IFERROR(__xludf.DUMMYFUNCTION("""COMPUTED_VALUE"""),1)</f>
        <v>1</v>
      </c>
      <c r="F1827" s="5">
        <f ca="1">IFERROR(__xludf.DUMMYFUNCTION("""COMPUTED_VALUE"""),1)</f>
        <v>1</v>
      </c>
      <c r="G1827" s="5">
        <f ca="1">IFERROR(__xludf.DUMMYFUNCTION("""COMPUTED_VALUE"""),0)</f>
        <v>0</v>
      </c>
      <c r="H1827" s="9" t="str">
        <f ca="1">IFERROR(__xludf.DUMMYFUNCTION("""COMPUTED_VALUE"""),"https://www.apnews.com/2230ba54081db004aff5288eb8885c96")</f>
        <v>https://www.apnews.com/2230ba54081db004aff5288eb8885c96</v>
      </c>
      <c r="I1827" s="5">
        <f ca="1">IFERROR(__xludf.DUMMYFUNCTION("""COMPUTED_VALUE"""),2)</f>
        <v>2</v>
      </c>
      <c r="J1827" s="5" t="str">
        <f ca="1">IFERROR(__xludf.DUMMYFUNCTION("""COMPUTED_VALUE"""),"Local")</f>
        <v>Local</v>
      </c>
      <c r="K1827" s="5">
        <f ca="1">IFERROR(__xludf.DUMMYFUNCTION("""COMPUTED_VALUE"""),2)</f>
        <v>2</v>
      </c>
      <c r="L1827" s="5" t="str">
        <f ca="1">IFERROR(__xludf.DUMMYFUNCTION("""COMPUTED_VALUE"""),"Fall")</f>
        <v>Fall</v>
      </c>
      <c r="M1827" s="5" t="str">
        <f ca="1">IFERROR(__xludf.DUMMYFUNCTION("""COMPUTED_VALUE"""),"Richmond")</f>
        <v>Richmond</v>
      </c>
      <c r="N1827" s="5" t="str">
        <f ca="1">IFERROR(__xludf.DUMMYFUNCTION("""COMPUTED_VALUE"""),"VA")</f>
        <v>VA</v>
      </c>
      <c r="O1827" s="5" t="str">
        <f ca="1">IFERROR(__xludf.DUMMYFUNCTION("""COMPUTED_VALUE"""),"Middle")</f>
        <v>Middle</v>
      </c>
      <c r="P1827" s="5" t="str">
        <f ca="1">IFERROR(__xludf.DUMMYFUNCTION("""COMPUTED_VALUE"""),"School Bus")</f>
        <v>School Bus</v>
      </c>
      <c r="Q1827" s="5" t="str">
        <f ca="1">IFERROR(__xludf.DUMMYFUNCTION("""COMPUTED_VALUE"""),"School Bus")</f>
        <v>School Bus</v>
      </c>
      <c r="R1827" s="5" t="str">
        <f ca="1">IFERROR(__xludf.DUMMYFUNCTION("""COMPUTED_VALUE"""),"No")</f>
        <v>No</v>
      </c>
      <c r="S1827" s="5" t="str">
        <f ca="1">IFERROR(__xludf.DUMMYFUNCTION("""COMPUTED_VALUE"""),"After School")</f>
        <v>After School</v>
      </c>
      <c r="T1827" s="5"/>
      <c r="U1827" s="5">
        <f ca="1">IFERROR(__xludf.DUMMYFUNCTION("""COMPUTED_VALUE"""),1)</f>
        <v>1</v>
      </c>
      <c r="V1827"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W1827"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X1827" s="5" t="str">
        <f ca="1">IFERROR(__xludf.DUMMYFUNCTION("""COMPUTED_VALUE"""),"Psychosis")</f>
        <v>Psychosis</v>
      </c>
      <c r="Y1827" s="5" t="str">
        <f ca="1">IFERROR(__xludf.DUMMYFUNCTION("""COMPUTED_VALUE"""),"Random Shooting")</f>
        <v>Random Shooting</v>
      </c>
      <c r="Z1827" s="5" t="str">
        <f ca="1">IFERROR(__xludf.DUMMYFUNCTION("""COMPUTED_VALUE"""),"No")</f>
        <v>No</v>
      </c>
      <c r="AA1827" s="5"/>
      <c r="AB1827" s="5" t="str">
        <f ca="1">IFERROR(__xludf.DUMMYFUNCTION("""COMPUTED_VALUE"""),"No")</f>
        <v>No</v>
      </c>
      <c r="AC1827" s="5" t="str">
        <f ca="1">IFERROR(__xludf.DUMMYFUNCTION("""COMPUTED_VALUE"""),"No")</f>
        <v>No</v>
      </c>
      <c r="AD1827" s="5" t="str">
        <f ca="1">IFERROR(__xludf.DUMMYFUNCTION("""COMPUTED_VALUE"""),"No")</f>
        <v>No</v>
      </c>
      <c r="AE1827" s="5"/>
      <c r="AF1827" s="5" t="str">
        <f ca="1">IFERROR(__xludf.DUMMYFUNCTION("""COMPUTED_VALUE"""),"No")</f>
        <v>No</v>
      </c>
      <c r="AG1827" s="5" t="str">
        <f ca="1">IFERROR(__xludf.DUMMYFUNCTION("""COMPUTED_VALUE"""),"No")</f>
        <v>No</v>
      </c>
      <c r="AH1827" s="5"/>
    </row>
    <row r="1828" spans="1:34" ht="12.75">
      <c r="A1828" s="5" t="str">
        <f ca="1">IFERROR(__xludf.DUMMYFUNCTION("""COMPUTED_VALUE"""),"19850724TXHIH")</f>
        <v>19850724TXHIH</v>
      </c>
      <c r="B1828" s="8">
        <f ca="1">IFERROR(__xludf.DUMMYFUNCTION("""COMPUTED_VALUE"""),31252)</f>
        <v>31252</v>
      </c>
      <c r="C1828" s="5" t="str">
        <f ca="1">IFERROR(__xludf.DUMMYFUNCTION("""COMPUTED_VALUE"""),"Highland Park High School")</f>
        <v>Highland Park High School</v>
      </c>
      <c r="D1828" s="5">
        <f ca="1">IFERROR(__xludf.DUMMYFUNCTION("""COMPUTED_VALUE"""),0)</f>
        <v>0</v>
      </c>
      <c r="E1828" s="5">
        <f ca="1">IFERROR(__xludf.DUMMYFUNCTION("""COMPUTED_VALUE"""),1)</f>
        <v>1</v>
      </c>
      <c r="F1828" s="5">
        <f ca="1">IFERROR(__xludf.DUMMYFUNCTION("""COMPUTED_VALUE"""),1)</f>
        <v>1</v>
      </c>
      <c r="G1828" s="5">
        <f ca="1">IFERROR(__xludf.DUMMYFUNCTION("""COMPUTED_VALUE"""),0)</f>
        <v>0</v>
      </c>
      <c r="H1828"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I1828" s="5"/>
      <c r="J1828" s="5"/>
      <c r="K1828" s="5">
        <f ca="1">IFERROR(__xludf.DUMMYFUNCTION("""COMPUTED_VALUE"""),2)</f>
        <v>2</v>
      </c>
      <c r="L1828" s="5" t="str">
        <f ca="1">IFERROR(__xludf.DUMMYFUNCTION("""COMPUTED_VALUE"""),"Summer")</f>
        <v>Summer</v>
      </c>
      <c r="M1828" s="5" t="str">
        <f ca="1">IFERROR(__xludf.DUMMYFUNCTION("""COMPUTED_VALUE"""),"Highland Park")</f>
        <v>Highland Park</v>
      </c>
      <c r="N1828" s="5" t="str">
        <f ca="1">IFERROR(__xludf.DUMMYFUNCTION("""COMPUTED_VALUE"""),"TX")</f>
        <v>TX</v>
      </c>
      <c r="O1828" s="5" t="str">
        <f ca="1">IFERROR(__xludf.DUMMYFUNCTION("""COMPUTED_VALUE"""),"High")</f>
        <v>High</v>
      </c>
      <c r="P1828" s="5" t="str">
        <f ca="1">IFERROR(__xludf.DUMMYFUNCTION("""COMPUTED_VALUE"""),"Parking Lot")</f>
        <v>Parking Lot</v>
      </c>
      <c r="Q1828" s="5" t="str">
        <f ca="1">IFERROR(__xludf.DUMMYFUNCTION("""COMPUTED_VALUE"""),"Outside on School Property")</f>
        <v>Outside on School Property</v>
      </c>
      <c r="R1828" s="5" t="str">
        <f ca="1">IFERROR(__xludf.DUMMYFUNCTION("""COMPUTED_VALUE"""),"Yes")</f>
        <v>Yes</v>
      </c>
      <c r="S1828" s="5" t="str">
        <f ca="1">IFERROR(__xludf.DUMMYFUNCTION("""COMPUTED_VALUE"""),"Morning Classes")</f>
        <v>Morning Classes</v>
      </c>
      <c r="T1828" s="10">
        <f ca="1">IFERROR(__xludf.DUMMYFUNCTION("""COMPUTED_VALUE"""),0.395833333333333)</f>
        <v>0.39583333333333298</v>
      </c>
      <c r="U1828" s="5">
        <f ca="1">IFERROR(__xludf.DUMMYFUNCTION("""COMPUTED_VALUE"""),1)</f>
        <v>1</v>
      </c>
      <c r="V1828" s="5" t="str">
        <f ca="1">IFERROR(__xludf.DUMMYFUNCTION("""COMPUTED_VALUE"""),"Neighbor was angry about students driving too fast by her house")</f>
        <v>Neighbor was angry about students driving too fast by her house</v>
      </c>
      <c r="W1828"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X1828" s="5" t="str">
        <f ca="1">IFERROR(__xludf.DUMMYFUNCTION("""COMPUTED_VALUE"""),"Escalation of Dispute")</f>
        <v>Escalation of Dispute</v>
      </c>
      <c r="Y1828" s="5" t="str">
        <f ca="1">IFERROR(__xludf.DUMMYFUNCTION("""COMPUTED_VALUE"""),"Victims Targeted")</f>
        <v>Victims Targeted</v>
      </c>
      <c r="Z1828" s="5"/>
      <c r="AA1828" s="5"/>
      <c r="AB1828" s="5" t="str">
        <f ca="1">IFERROR(__xludf.DUMMYFUNCTION("""COMPUTED_VALUE"""),"No")</f>
        <v>No</v>
      </c>
      <c r="AC1828" s="5" t="str">
        <f ca="1">IFERROR(__xludf.DUMMYFUNCTION("""COMPUTED_VALUE"""),"No")</f>
        <v>No</v>
      </c>
      <c r="AD1828" s="5" t="str">
        <f ca="1">IFERROR(__xludf.DUMMYFUNCTION("""COMPUTED_VALUE"""),"No")</f>
        <v>No</v>
      </c>
      <c r="AE1828" s="5" t="str">
        <f ca="1">IFERROR(__xludf.DUMMYFUNCTION("""COMPUTED_VALUE"""),"No")</f>
        <v>No</v>
      </c>
      <c r="AF1828" s="5" t="str">
        <f ca="1">IFERROR(__xludf.DUMMYFUNCTION("""COMPUTED_VALUE"""),"No")</f>
        <v>No</v>
      </c>
      <c r="AG1828" s="5" t="str">
        <f ca="1">IFERROR(__xludf.DUMMYFUNCTION("""COMPUTED_VALUE"""),"No")</f>
        <v>No</v>
      </c>
      <c r="AH1828" s="5"/>
    </row>
    <row r="1829" spans="1:34" ht="12.75">
      <c r="A1829" s="5" t="str">
        <f ca="1">IFERROR(__xludf.DUMMYFUNCTION("""COMPUTED_VALUE"""),"19850516FLPAB")</f>
        <v>19850516FLPAB</v>
      </c>
      <c r="B1829" s="8">
        <f ca="1">IFERROR(__xludf.DUMMYFUNCTION("""COMPUTED_VALUE"""),31183)</f>
        <v>31183</v>
      </c>
      <c r="C1829" s="5" t="str">
        <f ca="1">IFERROR(__xludf.DUMMYFUNCTION("""COMPUTED_VALUE"""),"Parrott Junior High School")</f>
        <v>Parrott Junior High School</v>
      </c>
      <c r="D1829" s="5">
        <f ca="1">IFERROR(__xludf.DUMMYFUNCTION("""COMPUTED_VALUE"""),0)</f>
        <v>0</v>
      </c>
      <c r="E1829" s="5">
        <f ca="1">IFERROR(__xludf.DUMMYFUNCTION("""COMPUTED_VALUE"""),0)</f>
        <v>0</v>
      </c>
      <c r="F1829" s="5">
        <f ca="1">IFERROR(__xludf.DUMMYFUNCTION("""COMPUTED_VALUE"""),0)</f>
        <v>0</v>
      </c>
      <c r="G1829" s="5">
        <f ca="1">IFERROR(__xludf.DUMMYFUNCTION("""COMPUTED_VALUE"""),0)</f>
        <v>0</v>
      </c>
      <c r="H1829" s="9" t="str">
        <f ca="1">IFERROR(__xludf.DUMMYFUNCTION("""COMPUTED_VALUE"""),"https://www.newspapers.com/image/320585636/?terms=school%2Bshooting")</f>
        <v>https://www.newspapers.com/image/320585636/?terms=school%2Bshooting</v>
      </c>
      <c r="I1829" s="5"/>
      <c r="J1829" s="5"/>
      <c r="K1829" s="5">
        <f ca="1">IFERROR(__xludf.DUMMYFUNCTION("""COMPUTED_VALUE"""),2)</f>
        <v>2</v>
      </c>
      <c r="L1829" s="5" t="str">
        <f ca="1">IFERROR(__xludf.DUMMYFUNCTION("""COMPUTED_VALUE"""),"Spring")</f>
        <v>Spring</v>
      </c>
      <c r="M1829" s="5" t="str">
        <f ca="1">IFERROR(__xludf.DUMMYFUNCTION("""COMPUTED_VALUE"""),"Brookville")</f>
        <v>Brookville</v>
      </c>
      <c r="N1829" s="5" t="str">
        <f ca="1">IFERROR(__xludf.DUMMYFUNCTION("""COMPUTED_VALUE"""),"FL")</f>
        <v>FL</v>
      </c>
      <c r="O1829" s="5" t="str">
        <f ca="1">IFERROR(__xludf.DUMMYFUNCTION("""COMPUTED_VALUE"""),"Junior High")</f>
        <v>Junior High</v>
      </c>
      <c r="P1829" s="5" t="str">
        <f ca="1">IFERROR(__xludf.DUMMYFUNCTION("""COMPUTED_VALUE"""),"Classroom")</f>
        <v>Classroom</v>
      </c>
      <c r="Q1829" s="5" t="str">
        <f ca="1">IFERROR(__xludf.DUMMYFUNCTION("""COMPUTED_VALUE"""),"Inside School Building")</f>
        <v>Inside School Building</v>
      </c>
      <c r="R1829" s="5" t="str">
        <f ca="1">IFERROR(__xludf.DUMMYFUNCTION("""COMPUTED_VALUE"""),"Yes")</f>
        <v>Yes</v>
      </c>
      <c r="S1829" s="5" t="str">
        <f ca="1">IFERROR(__xludf.DUMMYFUNCTION("""COMPUTED_VALUE"""),"Morning Classes")</f>
        <v>Morning Classes</v>
      </c>
      <c r="T1829" s="10">
        <f ca="1">IFERROR(__xludf.DUMMYFUNCTION("""COMPUTED_VALUE"""),0.333333333333333)</f>
        <v>0.33333333333333298</v>
      </c>
      <c r="U1829" s="5">
        <f ca="1">IFERROR(__xludf.DUMMYFUNCTION("""COMPUTED_VALUE"""),1)</f>
        <v>1</v>
      </c>
      <c r="V1829" s="5" t="str">
        <f ca="1">IFERROR(__xludf.DUMMYFUNCTION("""COMPUTED_VALUE"""),"Shooter shot herself in classroom, upset by breakup with boyfriend")</f>
        <v>Shooter shot herself in classroom, upset by breakup with boyfriend</v>
      </c>
      <c r="W1829"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X1829" s="5" t="str">
        <f ca="1">IFERROR(__xludf.DUMMYFUNCTION("""COMPUTED_VALUE"""),"Suicide/Attempted")</f>
        <v>Suicide/Attempted</v>
      </c>
      <c r="Y1829" s="5" t="str">
        <f ca="1">IFERROR(__xludf.DUMMYFUNCTION("""COMPUTED_VALUE"""),"Victims Targeted")</f>
        <v>Victims Targeted</v>
      </c>
      <c r="Z1829" s="5" t="str">
        <f ca="1">IFERROR(__xludf.DUMMYFUNCTION("""COMPUTED_VALUE"""),"No")</f>
        <v>No</v>
      </c>
      <c r="AA1829" s="5"/>
      <c r="AB1829" s="5" t="str">
        <f ca="1">IFERROR(__xludf.DUMMYFUNCTION("""COMPUTED_VALUE"""),"No")</f>
        <v>No</v>
      </c>
      <c r="AC1829" s="5" t="str">
        <f ca="1">IFERROR(__xludf.DUMMYFUNCTION("""COMPUTED_VALUE"""),"No")</f>
        <v>No</v>
      </c>
      <c r="AD1829" s="5" t="str">
        <f ca="1">IFERROR(__xludf.DUMMYFUNCTION("""COMPUTED_VALUE"""),"No")</f>
        <v>No</v>
      </c>
      <c r="AE1829" s="5" t="str">
        <f ca="1">IFERROR(__xludf.DUMMYFUNCTION("""COMPUTED_VALUE"""),"No")</f>
        <v>No</v>
      </c>
      <c r="AF1829" s="5" t="str">
        <f ca="1">IFERROR(__xludf.DUMMYFUNCTION("""COMPUTED_VALUE"""),"No")</f>
        <v>No</v>
      </c>
      <c r="AG1829" s="5" t="str">
        <f ca="1">IFERROR(__xludf.DUMMYFUNCTION("""COMPUTED_VALUE"""),"No")</f>
        <v>No</v>
      </c>
      <c r="AH1829" s="5"/>
    </row>
    <row r="1830" spans="1:34" ht="12.75">
      <c r="A1830" s="5" t="str">
        <f ca="1">IFERROR(__xludf.DUMMYFUNCTION("""COMPUTED_VALUE"""),"19850418TNSOS")</f>
        <v>19850418TNSOS</v>
      </c>
      <c r="B1830" s="8">
        <f ca="1">IFERROR(__xludf.DUMMYFUNCTION("""COMPUTED_VALUE"""),31155)</f>
        <v>31155</v>
      </c>
      <c r="C1830" s="5" t="str">
        <f ca="1">IFERROR(__xludf.DUMMYFUNCTION("""COMPUTED_VALUE"""),"South Pittsburg High School")</f>
        <v>South Pittsburg High School</v>
      </c>
      <c r="D1830" s="5">
        <f ca="1">IFERROR(__xludf.DUMMYFUNCTION("""COMPUTED_VALUE"""),0)</f>
        <v>0</v>
      </c>
      <c r="E1830" s="5">
        <f ca="1">IFERROR(__xludf.DUMMYFUNCTION("""COMPUTED_VALUE"""),1)</f>
        <v>1</v>
      </c>
      <c r="F1830" s="5">
        <f ca="1">IFERROR(__xludf.DUMMYFUNCTION("""COMPUTED_VALUE"""),1)</f>
        <v>1</v>
      </c>
      <c r="G1830" s="5">
        <f ca="1">IFERROR(__xludf.DUMMYFUNCTION("""COMPUTED_VALUE"""),0)</f>
        <v>0</v>
      </c>
      <c r="H1830" s="5" t="str">
        <f ca="1">IFERROR(__xludf.DUMMYFUNCTION("""COMPUTED_VALUE"""),"https://www.nytimes.com/1985/04/21/us/teen-ager-who-shot-teacher-says-he-was-in-love-with-her.html?auth=link-dismiss-google1tap https://www.upi.com/Archives/1985/04/19/A-high-school-senior-burst-into-a-school-office/9347482734800/")</f>
        <v>https://www.nytimes.com/1985/04/21/us/teen-ager-who-shot-teacher-says-he-was-in-love-with-her.html?auth=link-dismiss-google1tap https://www.upi.com/Archives/1985/04/19/A-high-school-senior-burst-into-a-school-office/9347482734800/</v>
      </c>
      <c r="I1830" s="5">
        <f ca="1">IFERROR(__xludf.DUMMYFUNCTION("""COMPUTED_VALUE"""),2)</f>
        <v>2</v>
      </c>
      <c r="J1830" s="5" t="str">
        <f ca="1">IFERROR(__xludf.DUMMYFUNCTION("""COMPUTED_VALUE"""),"National")</f>
        <v>National</v>
      </c>
      <c r="K1830" s="5">
        <f ca="1">IFERROR(__xludf.DUMMYFUNCTION("""COMPUTED_VALUE"""),4)</f>
        <v>4</v>
      </c>
      <c r="L1830" s="5" t="str">
        <f ca="1">IFERROR(__xludf.DUMMYFUNCTION("""COMPUTED_VALUE"""),"Spring")</f>
        <v>Spring</v>
      </c>
      <c r="M1830" s="5" t="str">
        <f ca="1">IFERROR(__xludf.DUMMYFUNCTION("""COMPUTED_VALUE"""),"South Pittsburg")</f>
        <v>South Pittsburg</v>
      </c>
      <c r="N1830" s="5" t="str">
        <f ca="1">IFERROR(__xludf.DUMMYFUNCTION("""COMPUTED_VALUE"""),"TN")</f>
        <v>TN</v>
      </c>
      <c r="O1830" s="5" t="str">
        <f ca="1">IFERROR(__xludf.DUMMYFUNCTION("""COMPUTED_VALUE"""),"High")</f>
        <v>High</v>
      </c>
      <c r="P1830" s="5" t="str">
        <f ca="1">IFERROR(__xludf.DUMMYFUNCTION("""COMPUTED_VALUE"""),"Office")</f>
        <v>Office</v>
      </c>
      <c r="Q1830" s="5" t="str">
        <f ca="1">IFERROR(__xludf.DUMMYFUNCTION("""COMPUTED_VALUE"""),"Inside School Building")</f>
        <v>Inside School Building</v>
      </c>
      <c r="R1830" s="5" t="str">
        <f ca="1">IFERROR(__xludf.DUMMYFUNCTION("""COMPUTED_VALUE"""),"Yes")</f>
        <v>Yes</v>
      </c>
      <c r="S1830" s="5" t="str">
        <f ca="1">IFERROR(__xludf.DUMMYFUNCTION("""COMPUTED_VALUE"""),"Morning Classes")</f>
        <v>Morning Classes</v>
      </c>
      <c r="T1830" s="5"/>
      <c r="U1830" s="5">
        <f ca="1">IFERROR(__xludf.DUMMYFUNCTION("""COMPUTED_VALUE"""),1)</f>
        <v>1</v>
      </c>
      <c r="V1830" s="5" t="str">
        <f ca="1">IFERROR(__xludf.DUMMYFUNCTION("""COMPUTED_VALUE"""),"Student shot teacher (ex-girlfriend) three times in the school office")</f>
        <v>Student shot teacher (ex-girlfriend) three times in the school office</v>
      </c>
      <c r="W1830" s="5" t="str">
        <f ca="1">IFERROR(__xludf.DUMMYFUNCTION("""COMPUTED_VALUE"""),"18 year-old male student had a romantic relationship with a 33 year-old female teacher. When she ended the relationship, he began stalking her. The morning of the shooting, the principal called the police to the school and when confronted, the student/sho"&amp;"oter ran out of the school to his house 3 block away. He returned with a handgun and shot the teacher 3 times. He then dropped the gun in the hallway and walked out of the school where he was arrested. Straight A student.")</f>
        <v>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v>
      </c>
      <c r="X1830" s="5" t="str">
        <f ca="1">IFERROR(__xludf.DUMMYFUNCTION("""COMPUTED_VALUE"""),"Domestic w/ Targeted Victim")</f>
        <v>Domestic w/ Targeted Victim</v>
      </c>
      <c r="Y1830" s="5" t="str">
        <f ca="1">IFERROR(__xludf.DUMMYFUNCTION("""COMPUTED_VALUE"""),"Victims Targeted")</f>
        <v>Victims Targeted</v>
      </c>
      <c r="Z1830" s="5" t="str">
        <f ca="1">IFERROR(__xludf.DUMMYFUNCTION("""COMPUTED_VALUE"""),"No")</f>
        <v>No</v>
      </c>
      <c r="AA1830" s="5"/>
      <c r="AB1830" s="5" t="str">
        <f ca="1">IFERROR(__xludf.DUMMYFUNCTION("""COMPUTED_VALUE"""),"No")</f>
        <v>No</v>
      </c>
      <c r="AC1830" s="5" t="str">
        <f ca="1">IFERROR(__xludf.DUMMYFUNCTION("""COMPUTED_VALUE"""),"No")</f>
        <v>No</v>
      </c>
      <c r="AD1830" s="5" t="str">
        <f ca="1">IFERROR(__xludf.DUMMYFUNCTION("""COMPUTED_VALUE"""),"No")</f>
        <v>No</v>
      </c>
      <c r="AE1830" s="5" t="str">
        <f ca="1">IFERROR(__xludf.DUMMYFUNCTION("""COMPUTED_VALUE"""),"No")</f>
        <v>No</v>
      </c>
      <c r="AF1830" s="5" t="str">
        <f ca="1">IFERROR(__xludf.DUMMYFUNCTION("""COMPUTED_VALUE"""),"Yes")</f>
        <v>Yes</v>
      </c>
      <c r="AG1830" s="5" t="str">
        <f ca="1">IFERROR(__xludf.DUMMYFUNCTION("""COMPUTED_VALUE"""),"No")</f>
        <v>No</v>
      </c>
      <c r="AH1830" s="5" t="str">
        <f ca="1">IFERROR(__xludf.DUMMYFUNCTION("""COMPUTED_VALUE"""),"No")</f>
        <v>No</v>
      </c>
    </row>
    <row r="1831" spans="1:34" ht="12.75">
      <c r="A1831" s="5" t="str">
        <f ca="1">IFERROR(__xludf.DUMMYFUNCTION("""COMPUTED_VALUE"""),"19850416TXMAA")</f>
        <v>19850416TXMAA</v>
      </c>
      <c r="B1831" s="8">
        <f ca="1">IFERROR(__xludf.DUMMYFUNCTION("""COMPUTED_VALUE"""),31153)</f>
        <v>31153</v>
      </c>
      <c r="C1831" s="5" t="str">
        <f ca="1">IFERROR(__xludf.DUMMYFUNCTION("""COMPUTED_VALUE"""),"MacArthur Senior High School")</f>
        <v>MacArthur Senior High School</v>
      </c>
      <c r="D1831" s="5">
        <f ca="1">IFERROR(__xludf.DUMMYFUNCTION("""COMPUTED_VALUE"""),0)</f>
        <v>0</v>
      </c>
      <c r="E1831" s="5">
        <f ca="1">IFERROR(__xludf.DUMMYFUNCTION("""COMPUTED_VALUE"""),0)</f>
        <v>0</v>
      </c>
      <c r="F1831" s="5">
        <f ca="1">IFERROR(__xludf.DUMMYFUNCTION("""COMPUTED_VALUE"""),0)</f>
        <v>0</v>
      </c>
      <c r="G1831" s="5">
        <f ca="1">IFERROR(__xludf.DUMMYFUNCTION("""COMPUTED_VALUE"""),0)</f>
        <v>0</v>
      </c>
      <c r="H1831"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I1831" s="5"/>
      <c r="J1831" s="5"/>
      <c r="K1831" s="5">
        <f ca="1">IFERROR(__xludf.DUMMYFUNCTION("""COMPUTED_VALUE"""),1)</f>
        <v>1</v>
      </c>
      <c r="L1831" s="5" t="str">
        <f ca="1">IFERROR(__xludf.DUMMYFUNCTION("""COMPUTED_VALUE"""),"Spring")</f>
        <v>Spring</v>
      </c>
      <c r="M1831" s="5" t="str">
        <f ca="1">IFERROR(__xludf.DUMMYFUNCTION("""COMPUTED_VALUE"""),"Aldine")</f>
        <v>Aldine</v>
      </c>
      <c r="N1831" s="5" t="str">
        <f ca="1">IFERROR(__xludf.DUMMYFUNCTION("""COMPUTED_VALUE"""),"TX")</f>
        <v>TX</v>
      </c>
      <c r="O1831" s="5" t="str">
        <f ca="1">IFERROR(__xludf.DUMMYFUNCTION("""COMPUTED_VALUE"""),"High")</f>
        <v>High</v>
      </c>
      <c r="P1831" s="5" t="str">
        <f ca="1">IFERROR(__xludf.DUMMYFUNCTION("""COMPUTED_VALUE"""),"Parking Lot")</f>
        <v>Parking Lot</v>
      </c>
      <c r="Q1831" s="5" t="str">
        <f ca="1">IFERROR(__xludf.DUMMYFUNCTION("""COMPUTED_VALUE"""),"Outside on School Property")</f>
        <v>Outside on School Property</v>
      </c>
      <c r="R1831" s="5" t="str">
        <f ca="1">IFERROR(__xludf.DUMMYFUNCTION("""COMPUTED_VALUE"""),"Yes")</f>
        <v>Yes</v>
      </c>
      <c r="S1831" s="5" t="str">
        <f ca="1">IFERROR(__xludf.DUMMYFUNCTION("""COMPUTED_VALUE"""),"Dismissal")</f>
        <v>Dismissal</v>
      </c>
      <c r="T1831" s="5"/>
      <c r="U1831" s="5"/>
      <c r="V1831" s="5" t="str">
        <f ca="1">IFERROR(__xludf.DUMMYFUNCTION("""COMPUTED_VALUE"""),"Off duty officer fired at student in dispute over towed car")</f>
        <v>Off duty officer fired at student in dispute over towed car</v>
      </c>
      <c r="W1831"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X1831" s="5" t="str">
        <f ca="1">IFERROR(__xludf.DUMMYFUNCTION("""COMPUTED_VALUE"""),"Officer-Involved Shooting")</f>
        <v>Officer-Involved Shooting</v>
      </c>
      <c r="Y1831" s="5" t="str">
        <f ca="1">IFERROR(__xludf.DUMMYFUNCTION("""COMPUTED_VALUE"""),"Victims Targeted")</f>
        <v>Victims Targeted</v>
      </c>
      <c r="Z1831" s="5" t="str">
        <f ca="1">IFERROR(__xludf.DUMMYFUNCTION("""COMPUTED_VALUE"""),"No")</f>
        <v>No</v>
      </c>
      <c r="AA1831" s="5"/>
      <c r="AB1831" s="5" t="str">
        <f ca="1">IFERROR(__xludf.DUMMYFUNCTION("""COMPUTED_VALUE"""),"No")</f>
        <v>No</v>
      </c>
      <c r="AC1831" s="5" t="str">
        <f ca="1">IFERROR(__xludf.DUMMYFUNCTION("""COMPUTED_VALUE"""),"No")</f>
        <v>No</v>
      </c>
      <c r="AD1831" s="5" t="str">
        <f ca="1">IFERROR(__xludf.DUMMYFUNCTION("""COMPUTED_VALUE"""),"Yes")</f>
        <v>Yes</v>
      </c>
      <c r="AE1831" s="5" t="str">
        <f ca="1">IFERROR(__xludf.DUMMYFUNCTION("""COMPUTED_VALUE"""),"No")</f>
        <v>No</v>
      </c>
      <c r="AF1831" s="5" t="str">
        <f ca="1">IFERROR(__xludf.DUMMYFUNCTION("""COMPUTED_VALUE"""),"No")</f>
        <v>No</v>
      </c>
      <c r="AG1831" s="5" t="str">
        <f ca="1">IFERROR(__xludf.DUMMYFUNCTION("""COMPUTED_VALUE"""),"No")</f>
        <v>No</v>
      </c>
      <c r="AH1831" s="5"/>
    </row>
    <row r="1832" spans="1:34" ht="12.75">
      <c r="A1832" s="5" t="str">
        <f ca="1">IFERROR(__xludf.DUMMYFUNCTION("""COMPUTED_VALUE"""),"19850205CTAIH")</f>
        <v>19850205CTAIH</v>
      </c>
      <c r="B1832" s="8">
        <f ca="1">IFERROR(__xludf.DUMMYFUNCTION("""COMPUTED_VALUE"""),31083)</f>
        <v>31083</v>
      </c>
      <c r="C1832" s="5" t="str">
        <f ca="1">IFERROR(__xludf.DUMMYFUNCTION("""COMPUTED_VALUE"""),"A I Prince Technical High School")</f>
        <v>A I Prince Technical High School</v>
      </c>
      <c r="D1832" s="5">
        <f ca="1">IFERROR(__xludf.DUMMYFUNCTION("""COMPUTED_VALUE"""),0)</f>
        <v>0</v>
      </c>
      <c r="E1832" s="5">
        <f ca="1">IFERROR(__xludf.DUMMYFUNCTION("""COMPUTED_VALUE"""),1)</f>
        <v>1</v>
      </c>
      <c r="F1832" s="5">
        <f ca="1">IFERROR(__xludf.DUMMYFUNCTION("""COMPUTED_VALUE"""),1)</f>
        <v>1</v>
      </c>
      <c r="G1832" s="5">
        <f ca="1">IFERROR(__xludf.DUMMYFUNCTION("""COMPUTED_VALUE"""),0)</f>
        <v>0</v>
      </c>
      <c r="H1832" s="9" t="str">
        <f ca="1">IFERROR(__xludf.DUMMYFUNCTION("""COMPUTED_VALUE"""),"https://www.newspapers.com/image/245510114/?terms=Prince%2BTechnical%2BHigh%2BSchool")</f>
        <v>https://www.newspapers.com/image/245510114/?terms=Prince%2BTechnical%2BHigh%2BSchool</v>
      </c>
      <c r="I1832" s="5"/>
      <c r="J1832" s="5"/>
      <c r="K1832" s="5">
        <f ca="1">IFERROR(__xludf.DUMMYFUNCTION("""COMPUTED_VALUE"""),2)</f>
        <v>2</v>
      </c>
      <c r="L1832" s="5" t="str">
        <f ca="1">IFERROR(__xludf.DUMMYFUNCTION("""COMPUTED_VALUE"""),"Winter")</f>
        <v>Winter</v>
      </c>
      <c r="M1832" s="5" t="str">
        <f ca="1">IFERROR(__xludf.DUMMYFUNCTION("""COMPUTED_VALUE"""),"Hartford")</f>
        <v>Hartford</v>
      </c>
      <c r="N1832" s="5" t="str">
        <f ca="1">IFERROR(__xludf.DUMMYFUNCTION("""COMPUTED_VALUE"""),"CT")</f>
        <v>CT</v>
      </c>
      <c r="O1832" s="5" t="str">
        <f ca="1">IFERROR(__xludf.DUMMYFUNCTION("""COMPUTED_VALUE"""),"High")</f>
        <v>High</v>
      </c>
      <c r="P1832" s="5" t="str">
        <f ca="1">IFERROR(__xludf.DUMMYFUNCTION("""COMPUTED_VALUE"""),"Beside Building")</f>
        <v>Beside Building</v>
      </c>
      <c r="Q1832" s="5" t="str">
        <f ca="1">IFERROR(__xludf.DUMMYFUNCTION("""COMPUTED_VALUE"""),"Outside on School Property")</f>
        <v>Outside on School Property</v>
      </c>
      <c r="R1832" s="5" t="str">
        <f ca="1">IFERROR(__xludf.DUMMYFUNCTION("""COMPUTED_VALUE"""),"Yes")</f>
        <v>Yes</v>
      </c>
      <c r="S1832" s="5" t="str">
        <f ca="1">IFERROR(__xludf.DUMMYFUNCTION("""COMPUTED_VALUE"""),"Afternoon Classes")</f>
        <v>Afternoon Classes</v>
      </c>
      <c r="T1832" s="10">
        <f ca="1">IFERROR(__xludf.DUMMYFUNCTION("""COMPUTED_VALUE"""),0.604166666666666)</f>
        <v>0.60416666666666596</v>
      </c>
      <c r="U1832" s="5">
        <f ca="1">IFERROR(__xludf.DUMMYFUNCTION("""COMPUTED_VALUE"""),1)</f>
        <v>1</v>
      </c>
      <c r="V1832" s="5" t="str">
        <f ca="1">IFERROR(__xludf.DUMMYFUNCTION("""COMPUTED_VALUE"""),"Shooting stemmed from ongoing conflict over a girl")</f>
        <v>Shooting stemmed from ongoing conflict over a girl</v>
      </c>
      <c r="W1832" s="5" t="str">
        <f ca="1">IFERROR(__xludf.DUMMYFUNCTION("""COMPUTED_VALUE"""),"Ongoing fight over a girl - shooter was non-student of the school. Occurred outside the school building")</f>
        <v>Ongoing fight over a girl - shooter was non-student of the school. Occurred outside the school building</v>
      </c>
      <c r="X1832" s="5" t="str">
        <f ca="1">IFERROR(__xludf.DUMMYFUNCTION("""COMPUTED_VALUE"""),"Escalation of Dispute")</f>
        <v>Escalation of Dispute</v>
      </c>
      <c r="Y1832" s="5" t="str">
        <f ca="1">IFERROR(__xludf.DUMMYFUNCTION("""COMPUTED_VALUE"""),"Victims Targeted")</f>
        <v>Victims Targeted</v>
      </c>
      <c r="Z1832" s="5" t="str">
        <f ca="1">IFERROR(__xludf.DUMMYFUNCTION("""COMPUTED_VALUE"""),"No")</f>
        <v>No</v>
      </c>
      <c r="AA1832" s="5"/>
      <c r="AB1832" s="5" t="str">
        <f ca="1">IFERROR(__xludf.DUMMYFUNCTION("""COMPUTED_VALUE"""),"No")</f>
        <v>No</v>
      </c>
      <c r="AC1832" s="5" t="str">
        <f ca="1">IFERROR(__xludf.DUMMYFUNCTION("""COMPUTED_VALUE"""),"No")</f>
        <v>No</v>
      </c>
      <c r="AD1832" s="5" t="str">
        <f ca="1">IFERROR(__xludf.DUMMYFUNCTION("""COMPUTED_VALUE"""),"No")</f>
        <v>No</v>
      </c>
      <c r="AE1832" s="5" t="str">
        <f ca="1">IFERROR(__xludf.DUMMYFUNCTION("""COMPUTED_VALUE"""),"No")</f>
        <v>No</v>
      </c>
      <c r="AF1832" s="5" t="str">
        <f ca="1">IFERROR(__xludf.DUMMYFUNCTION("""COMPUTED_VALUE"""),"No")</f>
        <v>No</v>
      </c>
      <c r="AG1832" s="5" t="str">
        <f ca="1">IFERROR(__xludf.DUMMYFUNCTION("""COMPUTED_VALUE"""),"No")</f>
        <v>No</v>
      </c>
      <c r="AH1832" s="5"/>
    </row>
    <row r="1833" spans="1:34" ht="12.75">
      <c r="A1833" s="5" t="str">
        <f ca="1">IFERROR(__xludf.DUMMYFUNCTION("""COMPUTED_VALUE"""),"19850126MASTB")</f>
        <v>19850126MASTB</v>
      </c>
      <c r="B1833" s="8">
        <f ca="1">IFERROR(__xludf.DUMMYFUNCTION("""COMPUTED_VALUE"""),31073)</f>
        <v>31073</v>
      </c>
      <c r="C1833" s="5" t="str">
        <f ca="1">IFERROR(__xludf.DUMMYFUNCTION("""COMPUTED_VALUE"""),"St. Gregory's High School")</f>
        <v>St. Gregory's High School</v>
      </c>
      <c r="D1833" s="5">
        <f ca="1">IFERROR(__xludf.DUMMYFUNCTION("""COMPUTED_VALUE"""),0)</f>
        <v>0</v>
      </c>
      <c r="E1833" s="5">
        <f ca="1">IFERROR(__xludf.DUMMYFUNCTION("""COMPUTED_VALUE"""),4)</f>
        <v>4</v>
      </c>
      <c r="F1833" s="5">
        <f ca="1">IFERROR(__xludf.DUMMYFUNCTION("""COMPUTED_VALUE"""),4)</f>
        <v>4</v>
      </c>
      <c r="G1833" s="5">
        <f ca="1">IFERROR(__xludf.DUMMYFUNCTION("""COMPUTED_VALUE"""),0)</f>
        <v>0</v>
      </c>
      <c r="H1833" s="9" t="str">
        <f ca="1">IFERROR(__xludf.DUMMYFUNCTION("""COMPUTED_VALUE"""),"https://www.newspapers.com/image/437414203/?terms=school%2Bshooting")</f>
        <v>https://www.newspapers.com/image/437414203/?terms=school%2Bshooting</v>
      </c>
      <c r="I1833" s="5"/>
      <c r="J1833" s="5"/>
      <c r="K1833" s="5">
        <f ca="1">IFERROR(__xludf.DUMMYFUNCTION("""COMPUTED_VALUE"""),2)</f>
        <v>2</v>
      </c>
      <c r="L1833" s="5" t="str">
        <f ca="1">IFERROR(__xludf.DUMMYFUNCTION("""COMPUTED_VALUE"""),"Winter")</f>
        <v>Winter</v>
      </c>
      <c r="M1833" s="5" t="str">
        <f ca="1">IFERROR(__xludf.DUMMYFUNCTION("""COMPUTED_VALUE"""),"Boston")</f>
        <v>Boston</v>
      </c>
      <c r="N1833" s="5" t="str">
        <f ca="1">IFERROR(__xludf.DUMMYFUNCTION("""COMPUTED_VALUE"""),"MA")</f>
        <v>MA</v>
      </c>
      <c r="O1833" s="5" t="str">
        <f ca="1">IFERROR(__xludf.DUMMYFUNCTION("""COMPUTED_VALUE"""),"High")</f>
        <v>High</v>
      </c>
      <c r="P1833" s="5" t="str">
        <f ca="1">IFERROR(__xludf.DUMMYFUNCTION("""COMPUTED_VALUE"""),"Beside Building")</f>
        <v>Beside Building</v>
      </c>
      <c r="Q1833" s="5" t="str">
        <f ca="1">IFERROR(__xludf.DUMMYFUNCTION("""COMPUTED_VALUE"""),"Outside on School Property")</f>
        <v>Outside on School Property</v>
      </c>
      <c r="R1833" s="5" t="str">
        <f ca="1">IFERROR(__xludf.DUMMYFUNCTION("""COMPUTED_VALUE"""),"No")</f>
        <v>No</v>
      </c>
      <c r="S1833" s="5" t="str">
        <f ca="1">IFERROR(__xludf.DUMMYFUNCTION("""COMPUTED_VALUE"""),"School Event")</f>
        <v>School Event</v>
      </c>
      <c r="T1833" s="10">
        <f ca="1">IFERROR(__xludf.DUMMYFUNCTION("""COMPUTED_VALUE"""),0.958333333333333)</f>
        <v>0.95833333333333304</v>
      </c>
      <c r="U1833" s="5">
        <f ca="1">IFERROR(__xludf.DUMMYFUNCTION("""COMPUTED_VALUE"""),1)</f>
        <v>1</v>
      </c>
      <c r="V1833" s="5" t="str">
        <f ca="1">IFERROR(__xludf.DUMMYFUNCTION("""COMPUTED_VALUE"""),"Shots during fight between dozen black and white students outside dance")</f>
        <v>Shots during fight between dozen black and white students outside dance</v>
      </c>
      <c r="W1833"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X1833" s="5" t="str">
        <f ca="1">IFERROR(__xludf.DUMMYFUNCTION("""COMPUTED_VALUE"""),"Racial")</f>
        <v>Racial</v>
      </c>
      <c r="Y1833" s="5" t="str">
        <f ca="1">IFERROR(__xludf.DUMMYFUNCTION("""COMPUTED_VALUE"""),"Both")</f>
        <v>Both</v>
      </c>
      <c r="Z1833" s="5" t="str">
        <f ca="1">IFERROR(__xludf.DUMMYFUNCTION("""COMPUTED_VALUE"""),"No")</f>
        <v>No</v>
      </c>
      <c r="AA1833" s="5"/>
      <c r="AB1833" s="5" t="str">
        <f ca="1">IFERROR(__xludf.DUMMYFUNCTION("""COMPUTED_VALUE"""),"No")</f>
        <v>No</v>
      </c>
      <c r="AC1833" s="5" t="str">
        <f ca="1">IFERROR(__xludf.DUMMYFUNCTION("""COMPUTED_VALUE"""),"No")</f>
        <v>No</v>
      </c>
      <c r="AD1833" s="5" t="str">
        <f ca="1">IFERROR(__xludf.DUMMYFUNCTION("""COMPUTED_VALUE"""),"No")</f>
        <v>No</v>
      </c>
      <c r="AE1833" s="5" t="str">
        <f ca="1">IFERROR(__xludf.DUMMYFUNCTION("""COMPUTED_VALUE"""),"No")</f>
        <v>No</v>
      </c>
      <c r="AF1833" s="5" t="str">
        <f ca="1">IFERROR(__xludf.DUMMYFUNCTION("""COMPUTED_VALUE"""),"No")</f>
        <v>No</v>
      </c>
      <c r="AG1833" s="5" t="str">
        <f ca="1">IFERROR(__xludf.DUMMYFUNCTION("""COMPUTED_VALUE"""),"No")</f>
        <v>No</v>
      </c>
      <c r="AH1833" s="5"/>
    </row>
    <row r="1834" spans="1:34" ht="12.75">
      <c r="A1834" s="5" t="str">
        <f ca="1">IFERROR(__xludf.DUMMYFUNCTION("""COMPUTED_VALUE"""),"19850121KSGOG")</f>
        <v>19850121KSGOG</v>
      </c>
      <c r="B1834" s="8">
        <f ca="1">IFERROR(__xludf.DUMMYFUNCTION("""COMPUTED_VALUE"""),31068)</f>
        <v>31068</v>
      </c>
      <c r="C1834" s="5" t="str">
        <f ca="1">IFERROR(__xludf.DUMMYFUNCTION("""COMPUTED_VALUE"""),"Goddard Junior High School")</f>
        <v>Goddard Junior High School</v>
      </c>
      <c r="D1834" s="5">
        <f ca="1">IFERROR(__xludf.DUMMYFUNCTION("""COMPUTED_VALUE"""),1)</f>
        <v>1</v>
      </c>
      <c r="E1834" s="5">
        <f ca="1">IFERROR(__xludf.DUMMYFUNCTION("""COMPUTED_VALUE"""),3)</f>
        <v>3</v>
      </c>
      <c r="F1834" s="5">
        <f ca="1">IFERROR(__xludf.DUMMYFUNCTION("""COMPUTED_VALUE"""),4)</f>
        <v>4</v>
      </c>
      <c r="G1834" s="5">
        <f ca="1">IFERROR(__xludf.DUMMYFUNCTION("""COMPUTED_VALUE"""),0)</f>
        <v>0</v>
      </c>
      <c r="H1834"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I1834" s="5"/>
      <c r="J1834" s="5"/>
      <c r="K1834" s="5">
        <f ca="1">IFERROR(__xludf.DUMMYFUNCTION("""COMPUTED_VALUE"""),2)</f>
        <v>2</v>
      </c>
      <c r="L1834" s="5" t="str">
        <f ca="1">IFERROR(__xludf.DUMMYFUNCTION("""COMPUTED_VALUE"""),"Winter")</f>
        <v>Winter</v>
      </c>
      <c r="M1834" s="5" t="str">
        <f ca="1">IFERROR(__xludf.DUMMYFUNCTION("""COMPUTED_VALUE"""),"Goddard")</f>
        <v>Goddard</v>
      </c>
      <c r="N1834" s="5" t="str">
        <f ca="1">IFERROR(__xludf.DUMMYFUNCTION("""COMPUTED_VALUE"""),"KS")</f>
        <v>KS</v>
      </c>
      <c r="O1834" s="5" t="str">
        <f ca="1">IFERROR(__xludf.DUMMYFUNCTION("""COMPUTED_VALUE"""),"Junior High")</f>
        <v>Junior High</v>
      </c>
      <c r="P1834" s="5" t="str">
        <f ca="1">IFERROR(__xludf.DUMMYFUNCTION("""COMPUTED_VALUE"""),"Hallway")</f>
        <v>Hallway</v>
      </c>
      <c r="Q1834" s="5" t="str">
        <f ca="1">IFERROR(__xludf.DUMMYFUNCTION("""COMPUTED_VALUE"""),"Inside School Building")</f>
        <v>Inside School Building</v>
      </c>
      <c r="R1834" s="5" t="str">
        <f ca="1">IFERROR(__xludf.DUMMYFUNCTION("""COMPUTED_VALUE"""),"Yes")</f>
        <v>Yes</v>
      </c>
      <c r="S1834" s="5" t="str">
        <f ca="1">IFERROR(__xludf.DUMMYFUNCTION("""COMPUTED_VALUE"""),"Morning Classes")</f>
        <v>Morning Classes</v>
      </c>
      <c r="T1834" s="10">
        <f ca="1">IFERROR(__xludf.DUMMYFUNCTION("""COMPUTED_VALUE"""),0.461805555555555)</f>
        <v>0.46180555555555503</v>
      </c>
      <c r="U1834" s="5">
        <f ca="1">IFERROR(__xludf.DUMMYFUNCTION("""COMPUTED_VALUE"""),1)</f>
        <v>1</v>
      </c>
      <c r="V1834" s="5" t="str">
        <f ca="1">IFERROR(__xludf.DUMMYFUNCTION("""COMPUTED_VALUE"""),"Ongoing conflicts with fellow students")</f>
        <v>Ongoing conflicts with fellow students</v>
      </c>
      <c r="W1834"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X1834" s="5" t="str">
        <f ca="1">IFERROR(__xludf.DUMMYFUNCTION("""COMPUTED_VALUE"""),"Indiscriminate Shooting")</f>
        <v>Indiscriminate Shooting</v>
      </c>
      <c r="Y1834" s="5" t="str">
        <f ca="1">IFERROR(__xludf.DUMMYFUNCTION("""COMPUTED_VALUE"""),"Both")</f>
        <v>Both</v>
      </c>
      <c r="Z1834" s="5" t="str">
        <f ca="1">IFERROR(__xludf.DUMMYFUNCTION("""COMPUTED_VALUE"""),"No")</f>
        <v>No</v>
      </c>
      <c r="AA1834" s="5"/>
      <c r="AB1834" s="5" t="str">
        <f ca="1">IFERROR(__xludf.DUMMYFUNCTION("""COMPUTED_VALUE"""),"No")</f>
        <v>No</v>
      </c>
      <c r="AC1834" s="5" t="str">
        <f ca="1">IFERROR(__xludf.DUMMYFUNCTION("""COMPUTED_VALUE"""),"No")</f>
        <v>No</v>
      </c>
      <c r="AD1834" s="5" t="str">
        <f ca="1">IFERROR(__xludf.DUMMYFUNCTION("""COMPUTED_VALUE"""),"No")</f>
        <v>No</v>
      </c>
      <c r="AE1834" s="5" t="str">
        <f ca="1">IFERROR(__xludf.DUMMYFUNCTION("""COMPUTED_VALUE"""),"Yes")</f>
        <v>Yes</v>
      </c>
      <c r="AF1834" s="5" t="str">
        <f ca="1">IFERROR(__xludf.DUMMYFUNCTION("""COMPUTED_VALUE"""),"No")</f>
        <v>No</v>
      </c>
      <c r="AG1834" s="5" t="str">
        <f ca="1">IFERROR(__xludf.DUMMYFUNCTION("""COMPUTED_VALUE"""),"No")</f>
        <v>No</v>
      </c>
      <c r="AH1834" s="5" t="str">
        <f ca="1">IFERROR(__xludf.DUMMYFUNCTION("""COMPUTED_VALUE"""),"Yes")</f>
        <v>Yes</v>
      </c>
    </row>
    <row r="1835" spans="1:34" ht="12.75">
      <c r="A1835" s="5" t="str">
        <f ca="1">IFERROR(__xludf.DUMMYFUNCTION("""COMPUTED_VALUE"""),"19850118TXARA")</f>
        <v>19850118TXARA</v>
      </c>
      <c r="B1835" s="8">
        <f ca="1">IFERROR(__xludf.DUMMYFUNCTION("""COMPUTED_VALUE"""),31065)</f>
        <v>31065</v>
      </c>
      <c r="C1835" s="5" t="str">
        <f ca="1">IFERROR(__xludf.DUMMYFUNCTION("""COMPUTED_VALUE"""),"Arlington High School")</f>
        <v>Arlington High School</v>
      </c>
      <c r="D1835" s="5">
        <f ca="1">IFERROR(__xludf.DUMMYFUNCTION("""COMPUTED_VALUE"""),0)</f>
        <v>0</v>
      </c>
      <c r="E1835" s="5">
        <f ca="1">IFERROR(__xludf.DUMMYFUNCTION("""COMPUTED_VALUE"""),0)</f>
        <v>0</v>
      </c>
      <c r="F1835" s="5">
        <f ca="1">IFERROR(__xludf.DUMMYFUNCTION("""COMPUTED_VALUE"""),0)</f>
        <v>0</v>
      </c>
      <c r="G1835" s="5">
        <f ca="1">IFERROR(__xludf.DUMMYFUNCTION("""COMPUTED_VALUE"""),1)</f>
        <v>1</v>
      </c>
      <c r="H1835"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I1835" s="5"/>
      <c r="J1835" s="5"/>
      <c r="K1835" s="5">
        <f ca="1">IFERROR(__xludf.DUMMYFUNCTION("""COMPUTED_VALUE"""),3)</f>
        <v>3</v>
      </c>
      <c r="L1835" s="5" t="str">
        <f ca="1">IFERROR(__xludf.DUMMYFUNCTION("""COMPUTED_VALUE"""),"Winter")</f>
        <v>Winter</v>
      </c>
      <c r="M1835" s="5" t="str">
        <f ca="1">IFERROR(__xludf.DUMMYFUNCTION("""COMPUTED_VALUE"""),"Arlington")</f>
        <v>Arlington</v>
      </c>
      <c r="N1835" s="5" t="str">
        <f ca="1">IFERROR(__xludf.DUMMYFUNCTION("""COMPUTED_VALUE"""),"TX")</f>
        <v>TX</v>
      </c>
      <c r="O1835" s="5" t="str">
        <f ca="1">IFERROR(__xludf.DUMMYFUNCTION("""COMPUTED_VALUE"""),"High")</f>
        <v>High</v>
      </c>
      <c r="P1835" s="5" t="str">
        <f ca="1">IFERROR(__xludf.DUMMYFUNCTION("""COMPUTED_VALUE"""),"Auditorium")</f>
        <v>Auditorium</v>
      </c>
      <c r="Q1835" s="5" t="str">
        <f ca="1">IFERROR(__xludf.DUMMYFUNCTION("""COMPUTED_VALUE"""),"Inside School Building")</f>
        <v>Inside School Building</v>
      </c>
      <c r="R1835" s="5" t="str">
        <f ca="1">IFERROR(__xludf.DUMMYFUNCTION("""COMPUTED_VALUE"""),"Yes")</f>
        <v>Yes</v>
      </c>
      <c r="S1835" s="5"/>
      <c r="T1835" s="5"/>
      <c r="U1835" s="5">
        <f ca="1">IFERROR(__xludf.DUMMYFUNCTION("""COMPUTED_VALUE"""),1)</f>
        <v>1</v>
      </c>
      <c r="V1835" s="5" t="str">
        <f ca="1">IFERROR(__xludf.DUMMYFUNCTION("""COMPUTED_VALUE"""),"Shot self on stage in front of drama students and teacher")</f>
        <v>Shot self on stage in front of drama students and teacher</v>
      </c>
      <c r="W1835"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X1835" s="5" t="str">
        <f ca="1">IFERROR(__xludf.DUMMYFUNCTION("""COMPUTED_VALUE"""),"Suicide/Attempted")</f>
        <v>Suicide/Attempted</v>
      </c>
      <c r="Y1835" s="5" t="str">
        <f ca="1">IFERROR(__xludf.DUMMYFUNCTION("""COMPUTED_VALUE"""),"Victims Targeted")</f>
        <v>Victims Targeted</v>
      </c>
      <c r="Z1835" s="5" t="str">
        <f ca="1">IFERROR(__xludf.DUMMYFUNCTION("""COMPUTED_VALUE"""),"No")</f>
        <v>No</v>
      </c>
      <c r="AA1835" s="5"/>
      <c r="AB1835" s="5" t="str">
        <f ca="1">IFERROR(__xludf.DUMMYFUNCTION("""COMPUTED_VALUE"""),"No")</f>
        <v>No</v>
      </c>
      <c r="AC1835" s="5" t="str">
        <f ca="1">IFERROR(__xludf.DUMMYFUNCTION("""COMPUTED_VALUE"""),"No")</f>
        <v>No</v>
      </c>
      <c r="AD1835" s="5" t="str">
        <f ca="1">IFERROR(__xludf.DUMMYFUNCTION("""COMPUTED_VALUE"""),"No")</f>
        <v>No</v>
      </c>
      <c r="AE1835" s="5" t="str">
        <f ca="1">IFERROR(__xludf.DUMMYFUNCTION("""COMPUTED_VALUE"""),"No")</f>
        <v>No</v>
      </c>
      <c r="AF1835" s="5" t="str">
        <f ca="1">IFERROR(__xludf.DUMMYFUNCTION("""COMPUTED_VALUE"""),"No")</f>
        <v>No</v>
      </c>
      <c r="AG1835" s="5" t="str">
        <f ca="1">IFERROR(__xludf.DUMMYFUNCTION("""COMPUTED_VALUE"""),"No")</f>
        <v>No</v>
      </c>
      <c r="AH1835" s="5"/>
    </row>
    <row r="1836" spans="1:34" ht="12.75">
      <c r="A1836" s="5" t="str">
        <f ca="1">IFERROR(__xludf.DUMMYFUNCTION("""COMPUTED_VALUE"""),"19841207MOEDS")</f>
        <v>19841207MOEDS</v>
      </c>
      <c r="B1836" s="8">
        <f ca="1">IFERROR(__xludf.DUMMYFUNCTION("""COMPUTED_VALUE"""),31023)</f>
        <v>31023</v>
      </c>
      <c r="C1836" s="5" t="str">
        <f ca="1">IFERROR(__xludf.DUMMYFUNCTION("""COMPUTED_VALUE"""),"Edwardsville High School")</f>
        <v>Edwardsville High School</v>
      </c>
      <c r="D1836" s="5">
        <f ca="1">IFERROR(__xludf.DUMMYFUNCTION("""COMPUTED_VALUE"""),0)</f>
        <v>0</v>
      </c>
      <c r="E1836" s="5">
        <f ca="1">IFERROR(__xludf.DUMMYFUNCTION("""COMPUTED_VALUE"""),0)</f>
        <v>0</v>
      </c>
      <c r="F1836" s="5">
        <f ca="1">IFERROR(__xludf.DUMMYFUNCTION("""COMPUTED_VALUE"""),0)</f>
        <v>0</v>
      </c>
      <c r="G1836" s="5">
        <f ca="1">IFERROR(__xludf.DUMMYFUNCTION("""COMPUTED_VALUE"""),0)</f>
        <v>0</v>
      </c>
      <c r="H1836" s="9" t="str">
        <f ca="1">IFERROR(__xludf.DUMMYFUNCTION("""COMPUTED_VALUE"""),"https://www.newspapers.com/image/140853530")</f>
        <v>https://www.newspapers.com/image/140853530</v>
      </c>
      <c r="I1836" s="5"/>
      <c r="J1836" s="5"/>
      <c r="K1836" s="5">
        <f ca="1">IFERROR(__xludf.DUMMYFUNCTION("""COMPUTED_VALUE"""),2)</f>
        <v>2</v>
      </c>
      <c r="L1836" s="5" t="str">
        <f ca="1">IFERROR(__xludf.DUMMYFUNCTION("""COMPUTED_VALUE"""),"Winter")</f>
        <v>Winter</v>
      </c>
      <c r="M1836" s="5" t="str">
        <f ca="1">IFERROR(__xludf.DUMMYFUNCTION("""COMPUTED_VALUE"""),"St. Louis")</f>
        <v>St. Louis</v>
      </c>
      <c r="N1836" s="5" t="str">
        <f ca="1">IFERROR(__xludf.DUMMYFUNCTION("""COMPUTED_VALUE"""),"MO")</f>
        <v>MO</v>
      </c>
      <c r="O1836" s="5" t="str">
        <f ca="1">IFERROR(__xludf.DUMMYFUNCTION("""COMPUTED_VALUE"""),"High")</f>
        <v>High</v>
      </c>
      <c r="P1836" s="5" t="str">
        <f ca="1">IFERROR(__xludf.DUMMYFUNCTION("""COMPUTED_VALUE"""),"Hallway")</f>
        <v>Hallway</v>
      </c>
      <c r="Q1836" s="5" t="str">
        <f ca="1">IFERROR(__xludf.DUMMYFUNCTION("""COMPUTED_VALUE"""),"Inside School Building")</f>
        <v>Inside School Building</v>
      </c>
      <c r="R1836" s="5" t="str">
        <f ca="1">IFERROR(__xludf.DUMMYFUNCTION("""COMPUTED_VALUE"""),"Yes")</f>
        <v>Yes</v>
      </c>
      <c r="S1836" s="5" t="str">
        <f ca="1">IFERROR(__xludf.DUMMYFUNCTION("""COMPUTED_VALUE"""),"Before School")</f>
        <v>Before School</v>
      </c>
      <c r="T1836" s="10">
        <f ca="1">IFERROR(__xludf.DUMMYFUNCTION("""COMPUTED_VALUE"""),0.291666666666666)</f>
        <v>0.29166666666666602</v>
      </c>
      <c r="U1836" s="5">
        <f ca="1">IFERROR(__xludf.DUMMYFUNCTION("""COMPUTED_VALUE"""),420)</f>
        <v>420</v>
      </c>
      <c r="V1836" s="5" t="str">
        <f ca="1">IFERROR(__xludf.DUMMYFUNCTION("""COMPUTED_VALUE"""),"Barricaded inside janitors closet for 7 hours")</f>
        <v>Barricaded inside janitors closet for 7 hours</v>
      </c>
      <c r="W1836"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X1836" s="5" t="str">
        <f ca="1">IFERROR(__xludf.DUMMYFUNCTION("""COMPUTED_VALUE"""),"Psychosis")</f>
        <v>Psychosis</v>
      </c>
      <c r="Y1836" s="5" t="str">
        <f ca="1">IFERROR(__xludf.DUMMYFUNCTION("""COMPUTED_VALUE"""),"Random Shooting")</f>
        <v>Random Shooting</v>
      </c>
      <c r="Z1836" s="5" t="str">
        <f ca="1">IFERROR(__xludf.DUMMYFUNCTION("""COMPUTED_VALUE"""),"No")</f>
        <v>No</v>
      </c>
      <c r="AA1836" s="5"/>
      <c r="AB1836" s="5" t="str">
        <f ca="1">IFERROR(__xludf.DUMMYFUNCTION("""COMPUTED_VALUE"""),"No")</f>
        <v>No</v>
      </c>
      <c r="AC1836" s="5" t="str">
        <f ca="1">IFERROR(__xludf.DUMMYFUNCTION("""COMPUTED_VALUE"""),"Yes")</f>
        <v>Yes</v>
      </c>
      <c r="AD1836" s="5" t="str">
        <f ca="1">IFERROR(__xludf.DUMMYFUNCTION("""COMPUTED_VALUE"""),"No")</f>
        <v>No</v>
      </c>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IFERROR(__xludf.DUMMYFUNCTION("""COMPUTED_VALUE"""),"Yes")</f>
        <v>Yes</v>
      </c>
    </row>
    <row r="1837" spans="1:34" ht="12.75">
      <c r="A1837" s="5" t="str">
        <f ca="1">IFERROR(__xludf.DUMMYFUNCTION("""COMPUTED_VALUE"""),"19841126MDMIR")</f>
        <v>19841126MDMIR</v>
      </c>
      <c r="B1837" s="8">
        <f ca="1">IFERROR(__xludf.DUMMYFUNCTION("""COMPUTED_VALUE"""),31012)</f>
        <v>31012</v>
      </c>
      <c r="C1837" s="5" t="str">
        <f ca="1">IFERROR(__xludf.DUMMYFUNCTION("""COMPUTED_VALUE"""),"Millford Mill High School")</f>
        <v>Millford Mill High School</v>
      </c>
      <c r="D1837" s="5">
        <f ca="1">IFERROR(__xludf.DUMMYFUNCTION("""COMPUTED_VALUE"""),0)</f>
        <v>0</v>
      </c>
      <c r="E1837" s="5">
        <f ca="1">IFERROR(__xludf.DUMMYFUNCTION("""COMPUTED_VALUE"""),1)</f>
        <v>1</v>
      </c>
      <c r="F1837" s="5">
        <f ca="1">IFERROR(__xludf.DUMMYFUNCTION("""COMPUTED_VALUE"""),1)</f>
        <v>1</v>
      </c>
      <c r="G1837" s="5">
        <f ca="1">IFERROR(__xludf.DUMMYFUNCTION("""COMPUTED_VALUE"""),0)</f>
        <v>0</v>
      </c>
      <c r="H1837"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I1837" s="5"/>
      <c r="J1837" s="5"/>
      <c r="K1837" s="5">
        <f ca="1">IFERROR(__xludf.DUMMYFUNCTION("""COMPUTED_VALUE"""),2)</f>
        <v>2</v>
      </c>
      <c r="L1837" s="5" t="str">
        <f ca="1">IFERROR(__xludf.DUMMYFUNCTION("""COMPUTED_VALUE"""),"Fall")</f>
        <v>Fall</v>
      </c>
      <c r="M1837" s="5" t="str">
        <f ca="1">IFERROR(__xludf.DUMMYFUNCTION("""COMPUTED_VALUE"""),"Rockdale")</f>
        <v>Rockdale</v>
      </c>
      <c r="N1837" s="5" t="str">
        <f ca="1">IFERROR(__xludf.DUMMYFUNCTION("""COMPUTED_VALUE"""),"MD")</f>
        <v>MD</v>
      </c>
      <c r="O1837" s="5" t="str">
        <f ca="1">IFERROR(__xludf.DUMMYFUNCTION("""COMPUTED_VALUE"""),"High")</f>
        <v>High</v>
      </c>
      <c r="P1837" s="5" t="str">
        <f ca="1">IFERROR(__xludf.DUMMYFUNCTION("""COMPUTED_VALUE"""),"Outside on School Property")</f>
        <v>Outside on School Property</v>
      </c>
      <c r="Q1837" s="5" t="str">
        <f ca="1">IFERROR(__xludf.DUMMYFUNCTION("""COMPUTED_VALUE"""),"Outside on School Property")</f>
        <v>Outside on School Property</v>
      </c>
      <c r="R1837" s="5" t="str">
        <f ca="1">IFERROR(__xludf.DUMMYFUNCTION("""COMPUTED_VALUE"""),"Yes")</f>
        <v>Yes</v>
      </c>
      <c r="S1837" s="5" t="str">
        <f ca="1">IFERROR(__xludf.DUMMYFUNCTION("""COMPUTED_VALUE"""),"Lunch")</f>
        <v>Lunch</v>
      </c>
      <c r="T1837" s="10">
        <f ca="1">IFERROR(__xludf.DUMMYFUNCTION("""COMPUTED_VALUE"""),0.53125)</f>
        <v>0.53125</v>
      </c>
      <c r="U1837" s="5">
        <f ca="1">IFERROR(__xludf.DUMMYFUNCTION("""COMPUTED_VALUE"""),1)</f>
        <v>1</v>
      </c>
      <c r="V1837" s="5" t="str">
        <f ca="1">IFERROR(__xludf.DUMMYFUNCTION("""COMPUTED_VALUE"""),"Attempted robbery of victim during lunch break")</f>
        <v>Attempted robbery of victim during lunch break</v>
      </c>
      <c r="W1837"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X1837" s="5" t="str">
        <f ca="1">IFERROR(__xludf.DUMMYFUNCTION("""COMPUTED_VALUE"""),"Illegal Activity")</f>
        <v>Illegal Activity</v>
      </c>
      <c r="Y1837" s="5" t="str">
        <f ca="1">IFERROR(__xludf.DUMMYFUNCTION("""COMPUTED_VALUE"""),"Victims Targeted")</f>
        <v>Victims Targeted</v>
      </c>
      <c r="Z1837" s="5" t="str">
        <f ca="1">IFERROR(__xludf.DUMMYFUNCTION("""COMPUTED_VALUE"""),"No")</f>
        <v>No</v>
      </c>
      <c r="AA1837" s="5"/>
      <c r="AB1837" s="5" t="str">
        <f ca="1">IFERROR(__xludf.DUMMYFUNCTION("""COMPUTED_VALUE"""),"No")</f>
        <v>No</v>
      </c>
      <c r="AC1837" s="5" t="str">
        <f ca="1">IFERROR(__xludf.DUMMYFUNCTION("""COMPUTED_VALUE"""),"No")</f>
        <v>No</v>
      </c>
      <c r="AD1837" s="5" t="str">
        <f ca="1">IFERROR(__xludf.DUMMYFUNCTION("""COMPUTED_VALUE"""),"No")</f>
        <v>No</v>
      </c>
      <c r="AE1837" s="5" t="str">
        <f ca="1">IFERROR(__xludf.DUMMYFUNCTION("""COMPUTED_VALUE"""),"No")</f>
        <v>No</v>
      </c>
      <c r="AF1837" s="5" t="str">
        <f ca="1">IFERROR(__xludf.DUMMYFUNCTION("""COMPUTED_VALUE"""),"No")</f>
        <v>No</v>
      </c>
      <c r="AG1837" s="5" t="str">
        <f ca="1">IFERROR(__xludf.DUMMYFUNCTION("""COMPUTED_VALUE"""),"No")</f>
        <v>No</v>
      </c>
      <c r="AH1837" s="5"/>
    </row>
    <row r="1838" spans="1:34" ht="12.75">
      <c r="A1838" s="5" t="str">
        <f ca="1">IFERROR(__xludf.DUMMYFUNCTION("""COMPUTED_VALUE"""),"19841109CTWIN")</f>
        <v>19841109CTWIN</v>
      </c>
      <c r="B1838" s="8">
        <f ca="1">IFERROR(__xludf.DUMMYFUNCTION("""COMPUTED_VALUE"""),30995)</f>
        <v>30995</v>
      </c>
      <c r="C1838" s="5" t="str">
        <f ca="1">IFERROR(__xludf.DUMMYFUNCTION("""COMPUTED_VALUE"""),"Wilbur Cross High School")</f>
        <v>Wilbur Cross High School</v>
      </c>
      <c r="D1838" s="5">
        <f ca="1">IFERROR(__xludf.DUMMYFUNCTION("""COMPUTED_VALUE"""),0)</f>
        <v>0</v>
      </c>
      <c r="E1838" s="5">
        <f ca="1">IFERROR(__xludf.DUMMYFUNCTION("""COMPUTED_VALUE"""),1)</f>
        <v>1</v>
      </c>
      <c r="F1838" s="5">
        <f ca="1">IFERROR(__xludf.DUMMYFUNCTION("""COMPUTED_VALUE"""),1)</f>
        <v>1</v>
      </c>
      <c r="G1838" s="5">
        <f ca="1">IFERROR(__xludf.DUMMYFUNCTION("""COMPUTED_VALUE"""),0)</f>
        <v>0</v>
      </c>
      <c r="H1838" s="9" t="str">
        <f ca="1">IFERROR(__xludf.DUMMYFUNCTION("""COMPUTED_VALUE"""),"https://www.nytimes.com/1994/11/10/nyregion/student-is-shot-at-a-high-school-in-new-haven.html")</f>
        <v>https://www.nytimes.com/1994/11/10/nyregion/student-is-shot-at-a-high-school-in-new-haven.html</v>
      </c>
      <c r="I1838" s="5"/>
      <c r="J1838" s="5"/>
      <c r="K1838" s="5">
        <f ca="1">IFERROR(__xludf.DUMMYFUNCTION("""COMPUTED_VALUE"""),2)</f>
        <v>2</v>
      </c>
      <c r="L1838" s="5" t="str">
        <f ca="1">IFERROR(__xludf.DUMMYFUNCTION("""COMPUTED_VALUE"""),"Fall")</f>
        <v>Fall</v>
      </c>
      <c r="M1838" s="5" t="str">
        <f ca="1">IFERROR(__xludf.DUMMYFUNCTION("""COMPUTED_VALUE"""),"New Haven")</f>
        <v>New Haven</v>
      </c>
      <c r="N1838" s="5" t="str">
        <f ca="1">IFERROR(__xludf.DUMMYFUNCTION("""COMPUTED_VALUE"""),"CT")</f>
        <v>CT</v>
      </c>
      <c r="O1838" s="5" t="str">
        <f ca="1">IFERROR(__xludf.DUMMYFUNCTION("""COMPUTED_VALUE"""),"High")</f>
        <v>High</v>
      </c>
      <c r="P1838" s="5" t="str">
        <f ca="1">IFERROR(__xludf.DUMMYFUNCTION("""COMPUTED_VALUE"""),"Hallway")</f>
        <v>Hallway</v>
      </c>
      <c r="Q1838" s="5" t="str">
        <f ca="1">IFERROR(__xludf.DUMMYFUNCTION("""COMPUTED_VALUE"""),"Inside School Building")</f>
        <v>Inside School Building</v>
      </c>
      <c r="R1838" s="5" t="str">
        <f ca="1">IFERROR(__xludf.DUMMYFUNCTION("""COMPUTED_VALUE"""),"Yes")</f>
        <v>Yes</v>
      </c>
      <c r="S1838" s="5" t="str">
        <f ca="1">IFERROR(__xludf.DUMMYFUNCTION("""COMPUTED_VALUE"""),"School Start")</f>
        <v>School Start</v>
      </c>
      <c r="T1838" s="10">
        <f ca="1">IFERROR(__xludf.DUMMYFUNCTION("""COMPUTED_VALUE"""),0.375)</f>
        <v>0.375</v>
      </c>
      <c r="U1838" s="5">
        <f ca="1">IFERROR(__xludf.DUMMYFUNCTION("""COMPUTED_VALUE"""),1)</f>
        <v>1</v>
      </c>
      <c r="V1838" s="5" t="str">
        <f ca="1">IFERROR(__xludf.DUMMYFUNCTION("""COMPUTED_VALUE"""),"Student shot during argument with 4 students")</f>
        <v>Student shot during argument with 4 students</v>
      </c>
      <c r="W1838"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X1838" s="5" t="str">
        <f ca="1">IFERROR(__xludf.DUMMYFUNCTION("""COMPUTED_VALUE"""),"Escalation of Dispute")</f>
        <v>Escalation of Dispute</v>
      </c>
      <c r="Y1838" s="5" t="str">
        <f ca="1">IFERROR(__xludf.DUMMYFUNCTION("""COMPUTED_VALUE"""),"Victims Targeted")</f>
        <v>Victims Targeted</v>
      </c>
      <c r="Z1838" s="5" t="str">
        <f ca="1">IFERROR(__xludf.DUMMYFUNCTION("""COMPUTED_VALUE"""),"Yes")</f>
        <v>Yes</v>
      </c>
      <c r="AA1838" s="5" t="str">
        <f ca="1">IFERROR(__xludf.DUMMYFUNCTION("""COMPUTED_VALUE"""),"4 students confronted the victim")</f>
        <v>4 students confronted the victim</v>
      </c>
      <c r="AB1838" s="5" t="str">
        <f ca="1">IFERROR(__xludf.DUMMYFUNCTION("""COMPUTED_VALUE"""),"No")</f>
        <v>No</v>
      </c>
      <c r="AC1838" s="5" t="str">
        <f ca="1">IFERROR(__xludf.DUMMYFUNCTION("""COMPUTED_VALUE"""),"No")</f>
        <v>No</v>
      </c>
      <c r="AD1838" s="5" t="str">
        <f ca="1">IFERROR(__xludf.DUMMYFUNCTION("""COMPUTED_VALUE"""),"No")</f>
        <v>No</v>
      </c>
      <c r="AE1838" s="5" t="str">
        <f ca="1">IFERROR(__xludf.DUMMYFUNCTION("""COMPUTED_VALUE"""),"No")</f>
        <v>No</v>
      </c>
      <c r="AF1838" s="5" t="str">
        <f ca="1">IFERROR(__xludf.DUMMYFUNCTION("""COMPUTED_VALUE"""),"No")</f>
        <v>No</v>
      </c>
      <c r="AG1838" s="5" t="str">
        <f ca="1">IFERROR(__xludf.DUMMYFUNCTION("""COMPUTED_VALUE"""),"No")</f>
        <v>No</v>
      </c>
      <c r="AH1838" s="5"/>
    </row>
    <row r="1839" spans="1:34" ht="12.75">
      <c r="A1839" s="5" t="str">
        <f ca="1">IFERROR(__xludf.DUMMYFUNCTION("""COMPUTED_VALUE"""),"19841031LAEAG")</f>
        <v>19841031LAEAG</v>
      </c>
      <c r="B1839" s="8">
        <f ca="1">IFERROR(__xludf.DUMMYFUNCTION("""COMPUTED_VALUE"""),30986)</f>
        <v>30986</v>
      </c>
      <c r="C1839" s="5" t="str">
        <f ca="1">IFERROR(__xludf.DUMMYFUNCTION("""COMPUTED_VALUE"""),"East Ascension High School")</f>
        <v>East Ascension High School</v>
      </c>
      <c r="D1839" s="5">
        <f ca="1">IFERROR(__xludf.DUMMYFUNCTION("""COMPUTED_VALUE"""),1)</f>
        <v>1</v>
      </c>
      <c r="E1839" s="5">
        <f ca="1">IFERROR(__xludf.DUMMYFUNCTION("""COMPUTED_VALUE"""),0)</f>
        <v>0</v>
      </c>
      <c r="F1839" s="5">
        <f ca="1">IFERROR(__xludf.DUMMYFUNCTION("""COMPUTED_VALUE"""),1)</f>
        <v>1</v>
      </c>
      <c r="G1839" s="5">
        <f ca="1">IFERROR(__xludf.DUMMYFUNCTION("""COMPUTED_VALUE"""),0)</f>
        <v>0</v>
      </c>
      <c r="H1839"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I1839" s="5"/>
      <c r="J1839" s="5"/>
      <c r="K1839" s="5">
        <f ca="1">IFERROR(__xludf.DUMMYFUNCTION("""COMPUTED_VALUE"""),3)</f>
        <v>3</v>
      </c>
      <c r="L1839" s="5" t="str">
        <f ca="1">IFERROR(__xludf.DUMMYFUNCTION("""COMPUTED_VALUE"""),"Fall")</f>
        <v>Fall</v>
      </c>
      <c r="M1839" s="5" t="str">
        <f ca="1">IFERROR(__xludf.DUMMYFUNCTION("""COMPUTED_VALUE"""),"Gonzales")</f>
        <v>Gonzales</v>
      </c>
      <c r="N1839" s="5" t="str">
        <f ca="1">IFERROR(__xludf.DUMMYFUNCTION("""COMPUTED_VALUE"""),"LA")</f>
        <v>LA</v>
      </c>
      <c r="O1839" s="5" t="str">
        <f ca="1">IFERROR(__xludf.DUMMYFUNCTION("""COMPUTED_VALUE"""),"High")</f>
        <v>High</v>
      </c>
      <c r="P1839" s="5" t="str">
        <f ca="1">IFERROR(__xludf.DUMMYFUNCTION("""COMPUTED_VALUE"""),"Outside on School Property")</f>
        <v>Outside on School Property</v>
      </c>
      <c r="Q1839" s="5" t="str">
        <f ca="1">IFERROR(__xludf.DUMMYFUNCTION("""COMPUTED_VALUE"""),"Outside on School Property")</f>
        <v>Outside on School Property</v>
      </c>
      <c r="R1839" s="5" t="str">
        <f ca="1">IFERROR(__xludf.DUMMYFUNCTION("""COMPUTED_VALUE"""),"Yes")</f>
        <v>Yes</v>
      </c>
      <c r="S1839" s="5" t="str">
        <f ca="1">IFERROR(__xludf.DUMMYFUNCTION("""COMPUTED_VALUE"""),"Before School")</f>
        <v>Before School</v>
      </c>
      <c r="T1839" s="10">
        <f ca="1">IFERROR(__xludf.DUMMYFUNCTION("""COMPUTED_VALUE"""),0.354166666666666)</f>
        <v>0.35416666666666602</v>
      </c>
      <c r="U1839" s="5">
        <f ca="1">IFERROR(__xludf.DUMMYFUNCTION("""COMPUTED_VALUE"""),1)</f>
        <v>1</v>
      </c>
      <c r="V1839" s="5" t="str">
        <f ca="1">IFERROR(__xludf.DUMMYFUNCTION("""COMPUTED_VALUE"""),"Ongoing conflicts with fellow students")</f>
        <v>Ongoing conflicts with fellow students</v>
      </c>
      <c r="W1839" s="5" t="str">
        <f ca="1">IFERROR(__xludf.DUMMYFUNCTION("""COMPUTED_VALUE"""),"Two students, one white and the other black, didn't get along. White student shot and killed black student.")</f>
        <v>Two students, one white and the other black, didn't get along. White student shot and killed black student.</v>
      </c>
      <c r="X1839" s="5" t="str">
        <f ca="1">IFERROR(__xludf.DUMMYFUNCTION("""COMPUTED_VALUE"""),"Escalation of Dispute")</f>
        <v>Escalation of Dispute</v>
      </c>
      <c r="Y1839" s="5" t="str">
        <f ca="1">IFERROR(__xludf.DUMMYFUNCTION("""COMPUTED_VALUE"""),"Victims Targeted")</f>
        <v>Victims Targeted</v>
      </c>
      <c r="Z1839" s="5" t="str">
        <f ca="1">IFERROR(__xludf.DUMMYFUNCTION("""COMPUTED_VALUE"""),"No")</f>
        <v>No</v>
      </c>
      <c r="AA1839" s="5"/>
      <c r="AB1839" s="5" t="str">
        <f ca="1">IFERROR(__xludf.DUMMYFUNCTION("""COMPUTED_VALUE"""),"No")</f>
        <v>No</v>
      </c>
      <c r="AC1839" s="5" t="str">
        <f ca="1">IFERROR(__xludf.DUMMYFUNCTION("""COMPUTED_VALUE"""),"No")</f>
        <v>No</v>
      </c>
      <c r="AD1839" s="5" t="str">
        <f ca="1">IFERROR(__xludf.DUMMYFUNCTION("""COMPUTED_VALUE"""),"No")</f>
        <v>No</v>
      </c>
      <c r="AE1839" s="5" t="str">
        <f ca="1">IFERROR(__xludf.DUMMYFUNCTION("""COMPUTED_VALUE"""),"No")</f>
        <v>No</v>
      </c>
      <c r="AF1839" s="5" t="str">
        <f ca="1">IFERROR(__xludf.DUMMYFUNCTION("""COMPUTED_VALUE"""),"No")</f>
        <v>No</v>
      </c>
      <c r="AG1839" s="5" t="str">
        <f ca="1">IFERROR(__xludf.DUMMYFUNCTION("""COMPUTED_VALUE"""),"No")</f>
        <v>No</v>
      </c>
      <c r="AH1839" s="5"/>
    </row>
    <row r="1840" spans="1:34" ht="12.75">
      <c r="A1840" s="5" t="str">
        <f ca="1">IFERROR(__xludf.DUMMYFUNCTION("""COMPUTED_VALUE"""),"19841030SCPEP")</f>
        <v>19841030SCPEP</v>
      </c>
      <c r="B1840" s="8">
        <f ca="1">IFERROR(__xludf.DUMMYFUNCTION("""COMPUTED_VALUE"""),30985)</f>
        <v>30985</v>
      </c>
      <c r="C1840" s="5" t="str">
        <f ca="1">IFERROR(__xludf.DUMMYFUNCTION("""COMPUTED_VALUE"""),"Pendleton High School")</f>
        <v>Pendleton High School</v>
      </c>
      <c r="D1840" s="5">
        <f ca="1">IFERROR(__xludf.DUMMYFUNCTION("""COMPUTED_VALUE"""),0)</f>
        <v>0</v>
      </c>
      <c r="E1840" s="5">
        <f ca="1">IFERROR(__xludf.DUMMYFUNCTION("""COMPUTED_VALUE"""),2)</f>
        <v>2</v>
      </c>
      <c r="F1840" s="5">
        <f ca="1">IFERROR(__xludf.DUMMYFUNCTION("""COMPUTED_VALUE"""),2)</f>
        <v>2</v>
      </c>
      <c r="G1840" s="5">
        <f ca="1">IFERROR(__xludf.DUMMYFUNCTION("""COMPUTED_VALUE"""),0)</f>
        <v>0</v>
      </c>
      <c r="H1840" s="9" t="str">
        <f ca="1">IFERROR(__xludf.DUMMYFUNCTION("""COMPUTED_VALUE"""),"https://www.newspapers.com/image/190761964/?terms=teacher%2Bshot")</f>
        <v>https://www.newspapers.com/image/190761964/?terms=teacher%2Bshot</v>
      </c>
      <c r="I1840" s="5"/>
      <c r="J1840" s="5"/>
      <c r="K1840" s="5">
        <f ca="1">IFERROR(__xludf.DUMMYFUNCTION("""COMPUTED_VALUE"""),2)</f>
        <v>2</v>
      </c>
      <c r="L1840" s="5" t="str">
        <f ca="1">IFERROR(__xludf.DUMMYFUNCTION("""COMPUTED_VALUE"""),"Fall")</f>
        <v>Fall</v>
      </c>
      <c r="M1840" s="5" t="str">
        <f ca="1">IFERROR(__xludf.DUMMYFUNCTION("""COMPUTED_VALUE"""),"Pendleton")</f>
        <v>Pendleton</v>
      </c>
      <c r="N1840" s="5" t="str">
        <f ca="1">IFERROR(__xludf.DUMMYFUNCTION("""COMPUTED_VALUE"""),"SC")</f>
        <v>SC</v>
      </c>
      <c r="O1840" s="5" t="str">
        <f ca="1">IFERROR(__xludf.DUMMYFUNCTION("""COMPUTED_VALUE"""),"High")</f>
        <v>High</v>
      </c>
      <c r="P1840" s="5" t="str">
        <f ca="1">IFERROR(__xludf.DUMMYFUNCTION("""COMPUTED_VALUE"""),"Hallway")</f>
        <v>Hallway</v>
      </c>
      <c r="Q1840" s="5" t="str">
        <f ca="1">IFERROR(__xludf.DUMMYFUNCTION("""COMPUTED_VALUE"""),"Inside School Building")</f>
        <v>Inside School Building</v>
      </c>
      <c r="R1840" s="5" t="str">
        <f ca="1">IFERROR(__xludf.DUMMYFUNCTION("""COMPUTED_VALUE"""),"Yes")</f>
        <v>Yes</v>
      </c>
      <c r="S1840" s="5" t="str">
        <f ca="1">IFERROR(__xludf.DUMMYFUNCTION("""COMPUTED_VALUE"""),"Lunch")</f>
        <v>Lunch</v>
      </c>
      <c r="T1840" s="10">
        <f ca="1">IFERROR(__xludf.DUMMYFUNCTION("""COMPUTED_VALUE"""),0.53125)</f>
        <v>0.53125</v>
      </c>
      <c r="U1840" s="5"/>
      <c r="V1840" s="5" t="str">
        <f ca="1">IFERROR(__xludf.DUMMYFUNCTION("""COMPUTED_VALUE"""),"Shooter at school to see girlfriend - was told to leave, detained, during fight with teachers he shot gun")</f>
        <v>Shooter at school to see girlfriend - was told to leave, detained, during fight with teachers he shot gun</v>
      </c>
      <c r="W1840"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X1840" s="5" t="str">
        <f ca="1">IFERROR(__xludf.DUMMYFUNCTION("""COMPUTED_VALUE"""),"Escalation of Dispute")</f>
        <v>Escalation of Dispute</v>
      </c>
      <c r="Y1840" s="5" t="str">
        <f ca="1">IFERROR(__xludf.DUMMYFUNCTION("""COMPUTED_VALUE"""),"Both")</f>
        <v>Both</v>
      </c>
      <c r="Z1840" s="5" t="str">
        <f ca="1">IFERROR(__xludf.DUMMYFUNCTION("""COMPUTED_VALUE"""),"No")</f>
        <v>No</v>
      </c>
      <c r="AA1840" s="5"/>
      <c r="AB1840" s="5" t="str">
        <f ca="1">IFERROR(__xludf.DUMMYFUNCTION("""COMPUTED_VALUE"""),"No")</f>
        <v>No</v>
      </c>
      <c r="AC1840" s="5" t="str">
        <f ca="1">IFERROR(__xludf.DUMMYFUNCTION("""COMPUTED_VALUE"""),"No")</f>
        <v>No</v>
      </c>
      <c r="AD1840" s="5" t="str">
        <f ca="1">IFERROR(__xludf.DUMMYFUNCTION("""COMPUTED_VALUE"""),"No")</f>
        <v>No</v>
      </c>
      <c r="AE1840" s="5" t="str">
        <f ca="1">IFERROR(__xludf.DUMMYFUNCTION("""COMPUTED_VALUE"""),"No")</f>
        <v>No</v>
      </c>
      <c r="AF1840" s="5" t="str">
        <f ca="1">IFERROR(__xludf.DUMMYFUNCTION("""COMPUTED_VALUE"""),"No")</f>
        <v>No</v>
      </c>
      <c r="AG1840" s="5" t="str">
        <f ca="1">IFERROR(__xludf.DUMMYFUNCTION("""COMPUTED_VALUE"""),"No")</f>
        <v>No</v>
      </c>
      <c r="AH1840" s="5"/>
    </row>
    <row r="1841" spans="1:34" ht="12.75">
      <c r="A1841" s="5" t="str">
        <f ca="1">IFERROR(__xludf.DUMMYFUNCTION("""COMPUTED_VALUE"""),"19841024OHWEC")</f>
        <v>19841024OHWEC</v>
      </c>
      <c r="B1841" s="8">
        <f ca="1">IFERROR(__xludf.DUMMYFUNCTION("""COMPUTED_VALUE"""),30979)</f>
        <v>30979</v>
      </c>
      <c r="C1841" s="5" t="str">
        <f ca="1">IFERROR(__xludf.DUMMYFUNCTION("""COMPUTED_VALUE"""),"West Elementary School Bus")</f>
        <v>West Elementary School Bus</v>
      </c>
      <c r="D1841" s="5">
        <f ca="1">IFERROR(__xludf.DUMMYFUNCTION("""COMPUTED_VALUE"""),1)</f>
        <v>1</v>
      </c>
      <c r="E1841" s="5">
        <f ca="1">IFERROR(__xludf.DUMMYFUNCTION("""COMPUTED_VALUE"""),0)</f>
        <v>0</v>
      </c>
      <c r="F1841" s="5">
        <f ca="1">IFERROR(__xludf.DUMMYFUNCTION("""COMPUTED_VALUE"""),1)</f>
        <v>1</v>
      </c>
      <c r="G1841" s="5">
        <f ca="1">IFERROR(__xludf.DUMMYFUNCTION("""COMPUTED_VALUE"""),0)</f>
        <v>0</v>
      </c>
      <c r="H1841"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I1841" s="5">
        <f ca="1">IFERROR(__xludf.DUMMYFUNCTION("""COMPUTED_VALUE"""),2)</f>
        <v>2</v>
      </c>
      <c r="J1841" s="5" t="str">
        <f ca="1">IFERROR(__xludf.DUMMYFUNCTION("""COMPUTED_VALUE"""),"Local")</f>
        <v>Local</v>
      </c>
      <c r="K1841" s="5">
        <f ca="1">IFERROR(__xludf.DUMMYFUNCTION("""COMPUTED_VALUE"""),2)</f>
        <v>2</v>
      </c>
      <c r="L1841" s="5" t="str">
        <f ca="1">IFERROR(__xludf.DUMMYFUNCTION("""COMPUTED_VALUE"""),"Fall")</f>
        <v>Fall</v>
      </c>
      <c r="M1841" s="5" t="str">
        <f ca="1">IFERROR(__xludf.DUMMYFUNCTION("""COMPUTED_VALUE"""),"Celina")</f>
        <v>Celina</v>
      </c>
      <c r="N1841" s="5" t="str">
        <f ca="1">IFERROR(__xludf.DUMMYFUNCTION("""COMPUTED_VALUE"""),"OH")</f>
        <v>OH</v>
      </c>
      <c r="O1841" s="5" t="str">
        <f ca="1">IFERROR(__xludf.DUMMYFUNCTION("""COMPUTED_VALUE"""),"Elementary")</f>
        <v>Elementary</v>
      </c>
      <c r="P1841" s="5" t="str">
        <f ca="1">IFERROR(__xludf.DUMMYFUNCTION("""COMPUTED_VALUE"""),"School Bus")</f>
        <v>School Bus</v>
      </c>
      <c r="Q1841" s="5" t="str">
        <f ca="1">IFERROR(__xludf.DUMMYFUNCTION("""COMPUTED_VALUE"""),"School Bus")</f>
        <v>School Bus</v>
      </c>
      <c r="R1841" s="5" t="str">
        <f ca="1">IFERROR(__xludf.DUMMYFUNCTION("""COMPUTED_VALUE"""),"No")</f>
        <v>No</v>
      </c>
      <c r="S1841" s="5" t="str">
        <f ca="1">IFERROR(__xludf.DUMMYFUNCTION("""COMPUTED_VALUE"""),"Before School")</f>
        <v>Before School</v>
      </c>
      <c r="T1841" s="5"/>
      <c r="U1841" s="5"/>
      <c r="V1841"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W1841"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X1841" s="5" t="str">
        <f ca="1">IFERROR(__xludf.DUMMYFUNCTION("""COMPUTED_VALUE"""),"Domestic w/ Targeted Victim")</f>
        <v>Domestic w/ Targeted Victim</v>
      </c>
      <c r="Y1841" s="5" t="str">
        <f ca="1">IFERROR(__xludf.DUMMYFUNCTION("""COMPUTED_VALUE"""),"Victims Targeted")</f>
        <v>Victims Targeted</v>
      </c>
      <c r="Z1841" s="5" t="str">
        <f ca="1">IFERROR(__xludf.DUMMYFUNCTION("""COMPUTED_VALUE"""),"No")</f>
        <v>No</v>
      </c>
      <c r="AA1841" s="5"/>
      <c r="AB1841" s="5" t="str">
        <f ca="1">IFERROR(__xludf.DUMMYFUNCTION("""COMPUTED_VALUE"""),"No")</f>
        <v>No</v>
      </c>
      <c r="AC1841" s="5" t="str">
        <f ca="1">IFERROR(__xludf.DUMMYFUNCTION("""COMPUTED_VALUE"""),"No")</f>
        <v>No</v>
      </c>
      <c r="AD1841" s="5" t="str">
        <f ca="1">IFERROR(__xludf.DUMMYFUNCTION("""COMPUTED_VALUE"""),"No")</f>
        <v>No</v>
      </c>
      <c r="AE1841" s="5" t="str">
        <f ca="1">IFERROR(__xludf.DUMMYFUNCTION("""COMPUTED_VALUE"""),"No")</f>
        <v>No</v>
      </c>
      <c r="AF1841" s="5" t="str">
        <f ca="1">IFERROR(__xludf.DUMMYFUNCTION("""COMPUTED_VALUE"""),"Yes")</f>
        <v>Yes</v>
      </c>
      <c r="AG1841" s="5" t="str">
        <f ca="1">IFERROR(__xludf.DUMMYFUNCTION("""COMPUTED_VALUE"""),"No")</f>
        <v>No</v>
      </c>
      <c r="AH1841" s="5"/>
    </row>
    <row r="1842" spans="1:34" ht="12.75">
      <c r="A1842" s="5" t="str">
        <f ca="1">IFERROR(__xludf.DUMMYFUNCTION("""COMPUTED_VALUE"""),"19841024MISOD")</f>
        <v>19841024MISOD</v>
      </c>
      <c r="B1842" s="8">
        <f ca="1">IFERROR(__xludf.DUMMYFUNCTION("""COMPUTED_VALUE"""),30979)</f>
        <v>30979</v>
      </c>
      <c r="C1842" s="5" t="str">
        <f ca="1">IFERROR(__xludf.DUMMYFUNCTION("""COMPUTED_VALUE"""),"Southeastern High School")</f>
        <v>Southeastern High School</v>
      </c>
      <c r="D1842" s="5">
        <f ca="1">IFERROR(__xludf.DUMMYFUNCTION("""COMPUTED_VALUE"""),0)</f>
        <v>0</v>
      </c>
      <c r="E1842" s="5">
        <f ca="1">IFERROR(__xludf.DUMMYFUNCTION("""COMPUTED_VALUE"""),1)</f>
        <v>1</v>
      </c>
      <c r="F1842" s="5">
        <f ca="1">IFERROR(__xludf.DUMMYFUNCTION("""COMPUTED_VALUE"""),1)</f>
        <v>1</v>
      </c>
      <c r="G1842" s="5">
        <f ca="1">IFERROR(__xludf.DUMMYFUNCTION("""COMPUTED_VALUE"""),0)</f>
        <v>0</v>
      </c>
      <c r="H1842" s="5" t="str">
        <f ca="1">IFERROR(__xludf.DUMMYFUNCTION("""COMPUTED_VALUE"""),"https://www.newspapers.com/image/99118139/?terms=student%2Bshot    https://www.newspapers.com/image/99118337/?terms=franklin%2Bross")</f>
        <v>https://www.newspapers.com/image/99118139/?terms=student%2Bshot    https://www.newspapers.com/image/99118337/?terms=franklin%2Bross</v>
      </c>
      <c r="I1842" s="5"/>
      <c r="J1842" s="5"/>
      <c r="K1842" s="5">
        <f ca="1">IFERROR(__xludf.DUMMYFUNCTION("""COMPUTED_VALUE"""),3)</f>
        <v>3</v>
      </c>
      <c r="L1842" s="5" t="str">
        <f ca="1">IFERROR(__xludf.DUMMYFUNCTION("""COMPUTED_VALUE"""),"Fall")</f>
        <v>Fall</v>
      </c>
      <c r="M1842" s="5" t="str">
        <f ca="1">IFERROR(__xludf.DUMMYFUNCTION("""COMPUTED_VALUE"""),"Detroit")</f>
        <v>Detroit</v>
      </c>
      <c r="N1842" s="5" t="str">
        <f ca="1">IFERROR(__xludf.DUMMYFUNCTION("""COMPUTED_VALUE"""),"MI")</f>
        <v>MI</v>
      </c>
      <c r="O1842" s="5" t="str">
        <f ca="1">IFERROR(__xludf.DUMMYFUNCTION("""COMPUTED_VALUE"""),"High")</f>
        <v>High</v>
      </c>
      <c r="P1842" s="5" t="str">
        <f ca="1">IFERROR(__xludf.DUMMYFUNCTION("""COMPUTED_VALUE"""),"Hallway")</f>
        <v>Hallway</v>
      </c>
      <c r="Q1842" s="5" t="str">
        <f ca="1">IFERROR(__xludf.DUMMYFUNCTION("""COMPUTED_VALUE"""),"Inside School Building")</f>
        <v>Inside School Building</v>
      </c>
      <c r="R1842" s="5" t="str">
        <f ca="1">IFERROR(__xludf.DUMMYFUNCTION("""COMPUTED_VALUE"""),"Yes")</f>
        <v>Yes</v>
      </c>
      <c r="S1842" s="5" t="str">
        <f ca="1">IFERROR(__xludf.DUMMYFUNCTION("""COMPUTED_VALUE"""),"Morning Classes")</f>
        <v>Morning Classes</v>
      </c>
      <c r="T1842" s="10">
        <f ca="1">IFERROR(__xludf.DUMMYFUNCTION("""COMPUTED_VALUE"""),0.472222222222222)</f>
        <v>0.47222222222222199</v>
      </c>
      <c r="U1842" s="5">
        <f ca="1">IFERROR(__xludf.DUMMYFUNCTION("""COMPUTED_VALUE"""),1)</f>
        <v>1</v>
      </c>
      <c r="V1842" s="5" t="str">
        <f ca="1">IFERROR(__xludf.DUMMYFUNCTION("""COMPUTED_VALUE"""),"Victim and shooter involved in fight  - gun falls from pants - accidental discharge - strikes victim in leg")</f>
        <v>Victim and shooter involved in fight  - gun falls from pants - accidental discharge - strikes victim in leg</v>
      </c>
      <c r="W1842"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X1842" s="5" t="str">
        <f ca="1">IFERROR(__xludf.DUMMYFUNCTION("""COMPUTED_VALUE"""),"Accidental")</f>
        <v>Accidental</v>
      </c>
      <c r="Y1842" s="5" t="str">
        <f ca="1">IFERROR(__xludf.DUMMYFUNCTION("""COMPUTED_VALUE"""),"Random Shooting")</f>
        <v>Random Shooting</v>
      </c>
      <c r="Z1842" s="5"/>
      <c r="AA1842" s="5"/>
      <c r="AB1842" s="5" t="str">
        <f ca="1">IFERROR(__xludf.DUMMYFUNCTION("""COMPUTED_VALUE"""),"No")</f>
        <v>No</v>
      </c>
      <c r="AC1842" s="5" t="str">
        <f ca="1">IFERROR(__xludf.DUMMYFUNCTION("""COMPUTED_VALUE"""),"No")</f>
        <v>No</v>
      </c>
      <c r="AD1842" s="5" t="str">
        <f ca="1">IFERROR(__xludf.DUMMYFUNCTION("""COMPUTED_VALUE"""),"No")</f>
        <v>No</v>
      </c>
      <c r="AE1842" s="5" t="str">
        <f ca="1">IFERROR(__xludf.DUMMYFUNCTION("""COMPUTED_VALUE"""),"No")</f>
        <v>No</v>
      </c>
      <c r="AF1842" s="5" t="str">
        <f ca="1">IFERROR(__xludf.DUMMYFUNCTION("""COMPUTED_VALUE"""),"No")</f>
        <v>No</v>
      </c>
      <c r="AG1842" s="5" t="str">
        <f ca="1">IFERROR(__xludf.DUMMYFUNCTION("""COMPUTED_VALUE"""),"No")</f>
        <v>No</v>
      </c>
      <c r="AH1842" s="5"/>
    </row>
    <row r="1843" spans="1:34" ht="12.75">
      <c r="A1843" s="5" t="str">
        <f ca="1">IFERROR(__xludf.DUMMYFUNCTION("""COMPUTED_VALUE"""),"19841022MICED")</f>
        <v>19841022MICED</v>
      </c>
      <c r="B1843" s="8">
        <f ca="1">IFERROR(__xludf.DUMMYFUNCTION("""COMPUTED_VALUE"""),30977)</f>
        <v>30977</v>
      </c>
      <c r="C1843" s="5" t="str">
        <f ca="1">IFERROR(__xludf.DUMMYFUNCTION("""COMPUTED_VALUE"""),"Central High School")</f>
        <v>Central High School</v>
      </c>
      <c r="D1843" s="5">
        <f ca="1">IFERROR(__xludf.DUMMYFUNCTION("""COMPUTED_VALUE"""),0)</f>
        <v>0</v>
      </c>
      <c r="E1843" s="5">
        <f ca="1">IFERROR(__xludf.DUMMYFUNCTION("""COMPUTED_VALUE"""),2)</f>
        <v>2</v>
      </c>
      <c r="F1843" s="5">
        <f ca="1">IFERROR(__xludf.DUMMYFUNCTION("""COMPUTED_VALUE"""),2)</f>
        <v>2</v>
      </c>
      <c r="G1843" s="5">
        <f ca="1">IFERROR(__xludf.DUMMYFUNCTION("""COMPUTED_VALUE"""),0)</f>
        <v>0</v>
      </c>
      <c r="H1843" s="5" t="str">
        <f ca="1">IFERROR(__xludf.DUMMYFUNCTION("""COMPUTED_VALUE"""),"https://www.newspapers.com/image/99117245/?terms=roscoe%2Bpenny  https://www.newspapers.com/image/99118337/?terms=roscoe%2Bpenny")</f>
        <v>https://www.newspapers.com/image/99117245/?terms=roscoe%2Bpenny  https://www.newspapers.com/image/99118337/?terms=roscoe%2Bpenny</v>
      </c>
      <c r="I1843" s="5"/>
      <c r="J1843" s="5"/>
      <c r="K1843" s="5">
        <f ca="1">IFERROR(__xludf.DUMMYFUNCTION("""COMPUTED_VALUE"""),3)</f>
        <v>3</v>
      </c>
      <c r="L1843" s="5" t="str">
        <f ca="1">IFERROR(__xludf.DUMMYFUNCTION("""COMPUTED_VALUE"""),"Fall")</f>
        <v>Fall</v>
      </c>
      <c r="M1843" s="5" t="str">
        <f ca="1">IFERROR(__xludf.DUMMYFUNCTION("""COMPUTED_VALUE"""),"Detroit")</f>
        <v>Detroit</v>
      </c>
      <c r="N1843" s="5" t="str">
        <f ca="1">IFERROR(__xludf.DUMMYFUNCTION("""COMPUTED_VALUE"""),"MI")</f>
        <v>MI</v>
      </c>
      <c r="O1843" s="5" t="str">
        <f ca="1">IFERROR(__xludf.DUMMYFUNCTION("""COMPUTED_VALUE"""),"High")</f>
        <v>High</v>
      </c>
      <c r="P1843" s="5" t="str">
        <f ca="1">IFERROR(__xludf.DUMMYFUNCTION("""COMPUTED_VALUE"""),"Hallway")</f>
        <v>Hallway</v>
      </c>
      <c r="Q1843" s="5" t="str">
        <f ca="1">IFERROR(__xludf.DUMMYFUNCTION("""COMPUTED_VALUE"""),"Inside School Building")</f>
        <v>Inside School Building</v>
      </c>
      <c r="R1843" s="5" t="str">
        <f ca="1">IFERROR(__xludf.DUMMYFUNCTION("""COMPUTED_VALUE"""),"Yes")</f>
        <v>Yes</v>
      </c>
      <c r="S1843" s="5" t="str">
        <f ca="1">IFERROR(__xludf.DUMMYFUNCTION("""COMPUTED_VALUE"""),"Afternoon Classes")</f>
        <v>Afternoon Classes</v>
      </c>
      <c r="T1843" s="10">
        <f ca="1">IFERROR(__xludf.DUMMYFUNCTION("""COMPUTED_VALUE"""),0.559027777777777)</f>
        <v>0.55902777777777701</v>
      </c>
      <c r="U1843" s="5">
        <f ca="1">IFERROR(__xludf.DUMMYFUNCTION("""COMPUTED_VALUE"""),1)</f>
        <v>1</v>
      </c>
      <c r="V1843" s="5" t="str">
        <f ca="1">IFERROR(__xludf.DUMMYFUNCTION("""COMPUTED_VALUE"""),"Victims accidentally shot while watching fight at school")</f>
        <v>Victims accidentally shot while watching fight at school</v>
      </c>
      <c r="W1843"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X1843" s="5" t="str">
        <f ca="1">IFERROR(__xludf.DUMMYFUNCTION("""COMPUTED_VALUE"""),"Escalation of Dispute")</f>
        <v>Escalation of Dispute</v>
      </c>
      <c r="Y1843" s="5" t="str">
        <f ca="1">IFERROR(__xludf.DUMMYFUNCTION("""COMPUTED_VALUE"""),"Random Shooting")</f>
        <v>Random Shooting</v>
      </c>
      <c r="Z1843" s="5" t="str">
        <f ca="1">IFERROR(__xludf.DUMMYFUNCTION("""COMPUTED_VALUE"""),"No")</f>
        <v>No</v>
      </c>
      <c r="AA1843" s="5"/>
      <c r="AB1843" s="5" t="str">
        <f ca="1">IFERROR(__xludf.DUMMYFUNCTION("""COMPUTED_VALUE"""),"No")</f>
        <v>No</v>
      </c>
      <c r="AC1843" s="5" t="str">
        <f ca="1">IFERROR(__xludf.DUMMYFUNCTION("""COMPUTED_VALUE"""),"No")</f>
        <v>No</v>
      </c>
      <c r="AD1843" s="5" t="str">
        <f ca="1">IFERROR(__xludf.DUMMYFUNCTION("""COMPUTED_VALUE"""),"No")</f>
        <v>No</v>
      </c>
      <c r="AE1843" s="5" t="str">
        <f ca="1">IFERROR(__xludf.DUMMYFUNCTION("""COMPUTED_VALUE"""),"No")</f>
        <v>No</v>
      </c>
      <c r="AF1843" s="5" t="str">
        <f ca="1">IFERROR(__xludf.DUMMYFUNCTION("""COMPUTED_VALUE"""),"No")</f>
        <v>No</v>
      </c>
      <c r="AG1843" s="5" t="str">
        <f ca="1">IFERROR(__xludf.DUMMYFUNCTION("""COMPUTED_VALUE"""),"No")</f>
        <v>No</v>
      </c>
      <c r="AH1843" s="5"/>
    </row>
    <row r="1844" spans="1:34" ht="12.75">
      <c r="A1844" s="5" t="str">
        <f ca="1">IFERROR(__xludf.DUMMYFUNCTION("""COMPUTED_VALUE"""),"19841021PAWYE")</f>
        <v>19841021PAWYE</v>
      </c>
      <c r="B1844" s="8">
        <f ca="1">IFERROR(__xludf.DUMMYFUNCTION("""COMPUTED_VALUE"""),30976)</f>
        <v>30976</v>
      </c>
      <c r="C1844" s="5" t="str">
        <f ca="1">IFERROR(__xludf.DUMMYFUNCTION("""COMPUTED_VALUE"""),"Wyoming Area High School")</f>
        <v>Wyoming Area High School</v>
      </c>
      <c r="D1844" s="5">
        <f ca="1">IFERROR(__xludf.DUMMYFUNCTION("""COMPUTED_VALUE"""),0)</f>
        <v>0</v>
      </c>
      <c r="E1844" s="5">
        <f ca="1">IFERROR(__xludf.DUMMYFUNCTION("""COMPUTED_VALUE"""),1)</f>
        <v>1</v>
      </c>
      <c r="F1844" s="5">
        <f ca="1">IFERROR(__xludf.DUMMYFUNCTION("""COMPUTED_VALUE"""),1)</f>
        <v>1</v>
      </c>
      <c r="G1844" s="5">
        <f ca="1">IFERROR(__xludf.DUMMYFUNCTION("""COMPUTED_VALUE"""),0)</f>
        <v>0</v>
      </c>
      <c r="H1844" s="9" t="str">
        <f ca="1">IFERROR(__xludf.DUMMYFUNCTION("""COMPUTED_VALUE"""),"https://www.newspapers.com/image/426484373/?terms=student%2Bshot")</f>
        <v>https://www.newspapers.com/image/426484373/?terms=student%2Bshot</v>
      </c>
      <c r="I1844" s="5"/>
      <c r="J1844" s="5"/>
      <c r="K1844" s="5">
        <f ca="1">IFERROR(__xludf.DUMMYFUNCTION("""COMPUTED_VALUE"""),2)</f>
        <v>2</v>
      </c>
      <c r="L1844" s="5" t="str">
        <f ca="1">IFERROR(__xludf.DUMMYFUNCTION("""COMPUTED_VALUE"""),"Fall")</f>
        <v>Fall</v>
      </c>
      <c r="M1844" s="5" t="str">
        <f ca="1">IFERROR(__xludf.DUMMYFUNCTION("""COMPUTED_VALUE"""),"Exeter")</f>
        <v>Exeter</v>
      </c>
      <c r="N1844" s="5" t="str">
        <f ca="1">IFERROR(__xludf.DUMMYFUNCTION("""COMPUTED_VALUE"""),"PA")</f>
        <v>PA</v>
      </c>
      <c r="O1844" s="5" t="str">
        <f ca="1">IFERROR(__xludf.DUMMYFUNCTION("""COMPUTED_VALUE"""),"High")</f>
        <v>High</v>
      </c>
      <c r="P1844" s="5" t="str">
        <f ca="1">IFERROR(__xludf.DUMMYFUNCTION("""COMPUTED_VALUE"""),"Field (General)")</f>
        <v>Field (General)</v>
      </c>
      <c r="Q1844" s="5" t="str">
        <f ca="1">IFERROR(__xludf.DUMMYFUNCTION("""COMPUTED_VALUE"""),"Outside on School Property")</f>
        <v>Outside on School Property</v>
      </c>
      <c r="R1844" s="5" t="str">
        <f ca="1">IFERROR(__xludf.DUMMYFUNCTION("""COMPUTED_VALUE"""),"No")</f>
        <v>No</v>
      </c>
      <c r="S1844" s="5" t="str">
        <f ca="1">IFERROR(__xludf.DUMMYFUNCTION("""COMPUTED_VALUE"""),"Sport Event")</f>
        <v>Sport Event</v>
      </c>
      <c r="T1844" s="5"/>
      <c r="U1844" s="5">
        <f ca="1">IFERROR(__xludf.DUMMYFUNCTION("""COMPUTED_VALUE"""),1)</f>
        <v>1</v>
      </c>
      <c r="V1844" s="5" t="str">
        <f ca="1">IFERROR(__xludf.DUMMYFUNCTION("""COMPUTED_VALUE"""),"Victim shot with pellet gun while practicing with drill team on high school field")</f>
        <v>Victim shot with pellet gun while practicing with drill team on high school field</v>
      </c>
      <c r="W1844"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X1844" s="5" t="str">
        <f ca="1">IFERROR(__xludf.DUMMYFUNCTION("""COMPUTED_VALUE"""),"Unknown")</f>
        <v>Unknown</v>
      </c>
      <c r="Y1844" s="5"/>
      <c r="Z1844" s="5" t="str">
        <f ca="1">IFERROR(__xludf.DUMMYFUNCTION("""COMPUTED_VALUE"""),"No")</f>
        <v>No</v>
      </c>
      <c r="AA1844" s="5"/>
      <c r="AB1844" s="5" t="str">
        <f ca="1">IFERROR(__xludf.DUMMYFUNCTION("""COMPUTED_VALUE"""),"No")</f>
        <v>No</v>
      </c>
      <c r="AC1844" s="5" t="str">
        <f ca="1">IFERROR(__xludf.DUMMYFUNCTION("""COMPUTED_VALUE"""),"No")</f>
        <v>No</v>
      </c>
      <c r="AD1844" s="5" t="str">
        <f ca="1">IFERROR(__xludf.DUMMYFUNCTION("""COMPUTED_VALUE"""),"No")</f>
        <v>No</v>
      </c>
      <c r="AE1844" s="5" t="str">
        <f ca="1">IFERROR(__xludf.DUMMYFUNCTION("""COMPUTED_VALUE"""),"No")</f>
        <v>No</v>
      </c>
      <c r="AF1844" s="5" t="str">
        <f ca="1">IFERROR(__xludf.DUMMYFUNCTION("""COMPUTED_VALUE"""),"No")</f>
        <v>No</v>
      </c>
      <c r="AG1844" s="5" t="str">
        <f ca="1">IFERROR(__xludf.DUMMYFUNCTION("""COMPUTED_VALUE"""),"No")</f>
        <v>No</v>
      </c>
      <c r="AH1844" s="5"/>
    </row>
    <row r="1845" spans="1:34" ht="12.75">
      <c r="A1845" s="5" t="str">
        <f ca="1">IFERROR(__xludf.DUMMYFUNCTION("""COMPUTED_VALUE"""),"19840928TXRIN")</f>
        <v>19840928TXRIN</v>
      </c>
      <c r="B1845" s="8">
        <f ca="1">IFERROR(__xludf.DUMMYFUNCTION("""COMPUTED_VALUE"""),30953)</f>
        <v>30953</v>
      </c>
      <c r="C1845" s="5" t="str">
        <f ca="1">IFERROR(__xludf.DUMMYFUNCTION("""COMPUTED_VALUE"""),"Richland High School")</f>
        <v>Richland High School</v>
      </c>
      <c r="D1845" s="5">
        <f ca="1">IFERROR(__xludf.DUMMYFUNCTION("""COMPUTED_VALUE"""),0)</f>
        <v>0</v>
      </c>
      <c r="E1845" s="5">
        <f ca="1">IFERROR(__xludf.DUMMYFUNCTION("""COMPUTED_VALUE"""),1)</f>
        <v>1</v>
      </c>
      <c r="F1845" s="5">
        <f ca="1">IFERROR(__xludf.DUMMYFUNCTION("""COMPUTED_VALUE"""),1)</f>
        <v>1</v>
      </c>
      <c r="G1845" s="5">
        <f ca="1">IFERROR(__xludf.DUMMYFUNCTION("""COMPUTED_VALUE"""),0)</f>
        <v>0</v>
      </c>
      <c r="H1845" s="9" t="str">
        <f ca="1">IFERROR(__xludf.DUMMYFUNCTION("""COMPUTED_VALUE"""),"https://www.newspapers.com/newspage/5937341/")</f>
        <v>https://www.newspapers.com/newspage/5937341/</v>
      </c>
      <c r="I1845" s="5"/>
      <c r="J1845" s="5" t="str">
        <f ca="1">IFERROR(__xludf.DUMMYFUNCTION("""COMPUTED_VALUE"""),"Local")</f>
        <v>Local</v>
      </c>
      <c r="K1845" s="5">
        <f ca="1">IFERROR(__xludf.DUMMYFUNCTION("""COMPUTED_VALUE"""),2)</f>
        <v>2</v>
      </c>
      <c r="L1845" s="5" t="str">
        <f ca="1">IFERROR(__xludf.DUMMYFUNCTION("""COMPUTED_VALUE"""),"Fall")</f>
        <v>Fall</v>
      </c>
      <c r="M1845" s="5" t="str">
        <f ca="1">IFERROR(__xludf.DUMMYFUNCTION("""COMPUTED_VALUE"""),"North Richland Hills")</f>
        <v>North Richland Hills</v>
      </c>
      <c r="N1845" s="5" t="str">
        <f ca="1">IFERROR(__xludf.DUMMYFUNCTION("""COMPUTED_VALUE"""),"TX")</f>
        <v>TX</v>
      </c>
      <c r="O1845" s="5" t="str">
        <f ca="1">IFERROR(__xludf.DUMMYFUNCTION("""COMPUTED_VALUE"""),"High")</f>
        <v>High</v>
      </c>
      <c r="P1845" s="5" t="str">
        <f ca="1">IFERROR(__xludf.DUMMYFUNCTION("""COMPUTED_VALUE"""),"Classroom")</f>
        <v>Classroom</v>
      </c>
      <c r="Q1845" s="5" t="str">
        <f ca="1">IFERROR(__xludf.DUMMYFUNCTION("""COMPUTED_VALUE"""),"Inside School Building")</f>
        <v>Inside School Building</v>
      </c>
      <c r="R1845" s="5" t="str">
        <f ca="1">IFERROR(__xludf.DUMMYFUNCTION("""COMPUTED_VALUE"""),"Yes")</f>
        <v>Yes</v>
      </c>
      <c r="S1845" s="5"/>
      <c r="T1845" s="5"/>
      <c r="U1845" s="5"/>
      <c r="V1845" s="5" t="str">
        <f ca="1">IFERROR(__xludf.DUMMYFUNCTION("""COMPUTED_VALUE"""),"Heavily armed former student fired 30 shots in the school's foyer then surrendered to principal")</f>
        <v>Heavily armed former student fired 30 shots in the school's foyer then surrendered to principal</v>
      </c>
      <c r="W1845"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X1845" s="5" t="str">
        <f ca="1">IFERROR(__xludf.DUMMYFUNCTION("""COMPUTED_VALUE"""),"Indiscriminate Shooting")</f>
        <v>Indiscriminate Shooting</v>
      </c>
      <c r="Y1845" s="5" t="str">
        <f ca="1">IFERROR(__xludf.DUMMYFUNCTION("""COMPUTED_VALUE"""),"Both")</f>
        <v>Both</v>
      </c>
      <c r="Z1845" s="5"/>
      <c r="AA1845" s="5"/>
      <c r="AB1845" s="5" t="str">
        <f ca="1">IFERROR(__xludf.DUMMYFUNCTION("""COMPUTED_VALUE"""),"No")</f>
        <v>No</v>
      </c>
      <c r="AC1845" s="5" t="str">
        <f ca="1">IFERROR(__xludf.DUMMYFUNCTION("""COMPUTED_VALUE"""),"No")</f>
        <v>No</v>
      </c>
      <c r="AD1845" s="5" t="str">
        <f ca="1">IFERROR(__xludf.DUMMYFUNCTION("""COMPUTED_VALUE"""),"No")</f>
        <v>No</v>
      </c>
      <c r="AE1845" s="5"/>
      <c r="AF1845" s="5" t="str">
        <f ca="1">IFERROR(__xludf.DUMMYFUNCTION("""COMPUTED_VALUE"""),"No")</f>
        <v>No</v>
      </c>
      <c r="AG1845" s="5" t="str">
        <f ca="1">IFERROR(__xludf.DUMMYFUNCTION("""COMPUTED_VALUE"""),"No")</f>
        <v>No</v>
      </c>
      <c r="AH1845" s="5" t="str">
        <f ca="1">IFERROR(__xludf.DUMMYFUNCTION("""COMPUTED_VALUE"""),"Yes")</f>
        <v>Yes</v>
      </c>
    </row>
    <row r="1846" spans="1:34" ht="12.75">
      <c r="A1846" s="5" t="str">
        <f ca="1">IFERROR(__xludf.DUMMYFUNCTION("""COMPUTED_VALUE"""),"19840928TXMIH")</f>
        <v>19840928TXMIH</v>
      </c>
      <c r="B1846" s="8">
        <f ca="1">IFERROR(__xludf.DUMMYFUNCTION("""COMPUTED_VALUE"""),30953)</f>
        <v>30953</v>
      </c>
      <c r="C1846" s="5" t="str">
        <f ca="1">IFERROR(__xludf.DUMMYFUNCTION("""COMPUTED_VALUE"""),"Millsap Elementary School")</f>
        <v>Millsap Elementary School</v>
      </c>
      <c r="D1846" s="5">
        <f ca="1">IFERROR(__xludf.DUMMYFUNCTION("""COMPUTED_VALUE"""),0)</f>
        <v>0</v>
      </c>
      <c r="E1846" s="5">
        <f ca="1">IFERROR(__xludf.DUMMYFUNCTION("""COMPUTED_VALUE"""),1)</f>
        <v>1</v>
      </c>
      <c r="F1846" s="5">
        <f ca="1">IFERROR(__xludf.DUMMYFUNCTION("""COMPUTED_VALUE"""),1)</f>
        <v>1</v>
      </c>
      <c r="G1846" s="5">
        <f ca="1">IFERROR(__xludf.DUMMYFUNCTION("""COMPUTED_VALUE"""),0)</f>
        <v>0</v>
      </c>
      <c r="H1846" s="9" t="str">
        <f ca="1">IFERROR(__xludf.DUMMYFUNCTION("""COMPUTED_VALUE"""),"https://www.newspapers.com/image/218042406/?terms=student%2Bshot")</f>
        <v>https://www.newspapers.com/image/218042406/?terms=student%2Bshot</v>
      </c>
      <c r="I1846" s="5"/>
      <c r="J1846" s="5"/>
      <c r="K1846" s="5">
        <f ca="1">IFERROR(__xludf.DUMMYFUNCTION("""COMPUTED_VALUE"""),2)</f>
        <v>2</v>
      </c>
      <c r="L1846" s="5" t="str">
        <f ca="1">IFERROR(__xludf.DUMMYFUNCTION("""COMPUTED_VALUE"""),"Fall")</f>
        <v>Fall</v>
      </c>
      <c r="M1846" s="5" t="str">
        <f ca="1">IFERROR(__xludf.DUMMYFUNCTION("""COMPUTED_VALUE"""),"Houston")</f>
        <v>Houston</v>
      </c>
      <c r="N1846" s="5" t="str">
        <f ca="1">IFERROR(__xludf.DUMMYFUNCTION("""COMPUTED_VALUE"""),"TX")</f>
        <v>TX</v>
      </c>
      <c r="O1846" s="5" t="str">
        <f ca="1">IFERROR(__xludf.DUMMYFUNCTION("""COMPUTED_VALUE"""),"Elementary")</f>
        <v>Elementary</v>
      </c>
      <c r="P1846" s="5" t="str">
        <f ca="1">IFERROR(__xludf.DUMMYFUNCTION("""COMPUTED_VALUE"""),"Front of School")</f>
        <v>Front of School</v>
      </c>
      <c r="Q1846" s="5" t="str">
        <f ca="1">IFERROR(__xludf.DUMMYFUNCTION("""COMPUTED_VALUE"""),"Outside on School Property")</f>
        <v>Outside on School Property</v>
      </c>
      <c r="R1846" s="5" t="str">
        <f ca="1">IFERROR(__xludf.DUMMYFUNCTION("""COMPUTED_VALUE"""),"Yes")</f>
        <v>Yes</v>
      </c>
      <c r="S1846" s="5" t="str">
        <f ca="1">IFERROR(__xludf.DUMMYFUNCTION("""COMPUTED_VALUE"""),"Before School")</f>
        <v>Before School</v>
      </c>
      <c r="T1846" s="10">
        <f ca="1">IFERROR(__xludf.DUMMYFUNCTION("""COMPUTED_VALUE"""),0.361111111111111)</f>
        <v>0.36111111111111099</v>
      </c>
      <c r="U1846" s="5">
        <f ca="1">IFERROR(__xludf.DUMMYFUNCTION("""COMPUTED_VALUE"""),1)</f>
        <v>1</v>
      </c>
      <c r="V1846" s="5" t="str">
        <f ca="1">IFERROR(__xludf.DUMMYFUNCTION("""COMPUTED_VALUE"""),"Unknown shooter shot 5 grader raising flag at school")</f>
        <v>Unknown shooter shot 5 grader raising flag at school</v>
      </c>
      <c r="W1846"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X1846" s="5" t="str">
        <f ca="1">IFERROR(__xludf.DUMMYFUNCTION("""COMPUTED_VALUE"""),"Indiscriminate Shooting")</f>
        <v>Indiscriminate Shooting</v>
      </c>
      <c r="Y1846" s="5" t="str">
        <f ca="1">IFERROR(__xludf.DUMMYFUNCTION("""COMPUTED_VALUE"""),"Random Shooting")</f>
        <v>Random Shooting</v>
      </c>
      <c r="Z1846" s="5" t="str">
        <f ca="1">IFERROR(__xludf.DUMMYFUNCTION("""COMPUTED_VALUE"""),"No")</f>
        <v>No</v>
      </c>
      <c r="AA1846" s="5"/>
      <c r="AB1846" s="5" t="str">
        <f ca="1">IFERROR(__xludf.DUMMYFUNCTION("""COMPUTED_VALUE"""),"No")</f>
        <v>No</v>
      </c>
      <c r="AC1846" s="5" t="str">
        <f ca="1">IFERROR(__xludf.DUMMYFUNCTION("""COMPUTED_VALUE"""),"No")</f>
        <v>No</v>
      </c>
      <c r="AD1846" s="5" t="str">
        <f ca="1">IFERROR(__xludf.DUMMYFUNCTION("""COMPUTED_VALUE"""),"No")</f>
        <v>No</v>
      </c>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IFERROR(__xludf.DUMMYFUNCTION("""COMPUTED_VALUE"""),"Yes")</f>
        <v>Yes</v>
      </c>
    </row>
    <row r="1847" spans="1:34" ht="12.75">
      <c r="A1847" s="5" t="str">
        <f ca="1">IFERROR(__xludf.DUMMYFUNCTION("""COMPUTED_VALUE"""),"19840831LABOS")</f>
        <v>19840831LABOS</v>
      </c>
      <c r="B1847" s="8">
        <f ca="1">IFERROR(__xludf.DUMMYFUNCTION("""COMPUTED_VALUE"""),30925)</f>
        <v>30925</v>
      </c>
      <c r="C1847" s="5" t="str">
        <f ca="1">IFERROR(__xludf.DUMMYFUNCTION("""COMPUTED_VALUE"""),"Booker T. Washington High School")</f>
        <v>Booker T. Washington High School</v>
      </c>
      <c r="D1847" s="5">
        <f ca="1">IFERROR(__xludf.DUMMYFUNCTION("""COMPUTED_VALUE"""),0)</f>
        <v>0</v>
      </c>
      <c r="E1847" s="5">
        <f ca="1">IFERROR(__xludf.DUMMYFUNCTION("""COMPUTED_VALUE"""),1)</f>
        <v>1</v>
      </c>
      <c r="F1847" s="5">
        <f ca="1">IFERROR(__xludf.DUMMYFUNCTION("""COMPUTED_VALUE"""),1)</f>
        <v>1</v>
      </c>
      <c r="G1847" s="5">
        <f ca="1">IFERROR(__xludf.DUMMYFUNCTION("""COMPUTED_VALUE"""),0)</f>
        <v>0</v>
      </c>
      <c r="H1847" s="9" t="str">
        <f ca="1">IFERROR(__xludf.DUMMYFUNCTION("""COMPUTED_VALUE"""),"https://www.newspapers.com/image/217311653/?terms=student%2Bshot")</f>
        <v>https://www.newspapers.com/image/217311653/?terms=student%2Bshot</v>
      </c>
      <c r="I1847" s="5"/>
      <c r="J1847" s="5"/>
      <c r="K1847" s="5">
        <f ca="1">IFERROR(__xludf.DUMMYFUNCTION("""COMPUTED_VALUE"""),2)</f>
        <v>2</v>
      </c>
      <c r="L1847" s="5" t="str">
        <f ca="1">IFERROR(__xludf.DUMMYFUNCTION("""COMPUTED_VALUE"""),"Summer")</f>
        <v>Summer</v>
      </c>
      <c r="M1847" s="5" t="str">
        <f ca="1">IFERROR(__xludf.DUMMYFUNCTION("""COMPUTED_VALUE"""),"Shreveport")</f>
        <v>Shreveport</v>
      </c>
      <c r="N1847" s="5" t="str">
        <f ca="1">IFERROR(__xludf.DUMMYFUNCTION("""COMPUTED_VALUE"""),"LA")</f>
        <v>LA</v>
      </c>
      <c r="O1847" s="5" t="str">
        <f ca="1">IFERROR(__xludf.DUMMYFUNCTION("""COMPUTED_VALUE"""),"High")</f>
        <v>High</v>
      </c>
      <c r="P1847" s="5" t="str">
        <f ca="1">IFERROR(__xludf.DUMMYFUNCTION("""COMPUTED_VALUE"""),"Football Field/Track")</f>
        <v>Football Field/Track</v>
      </c>
      <c r="Q1847" s="5" t="str">
        <f ca="1">IFERROR(__xludf.DUMMYFUNCTION("""COMPUTED_VALUE"""),"Outside on School Property")</f>
        <v>Outside on School Property</v>
      </c>
      <c r="R1847" s="5" t="str">
        <f ca="1">IFERROR(__xludf.DUMMYFUNCTION("""COMPUTED_VALUE"""),"No")</f>
        <v>No</v>
      </c>
      <c r="S1847" s="5" t="str">
        <f ca="1">IFERROR(__xludf.DUMMYFUNCTION("""COMPUTED_VALUE"""),"Sport Event")</f>
        <v>Sport Event</v>
      </c>
      <c r="T1847" s="5"/>
      <c r="U1847" s="5">
        <f ca="1">IFERROR(__xludf.DUMMYFUNCTION("""COMPUTED_VALUE"""),1)</f>
        <v>1</v>
      </c>
      <c r="V1847" s="5" t="str">
        <f ca="1">IFERROR(__xludf.DUMMYFUNCTION("""COMPUTED_VALUE"""),"Shooting occurred after football game between gang members and students")</f>
        <v>Shooting occurred after football game between gang members and students</v>
      </c>
      <c r="W1847"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X1847" s="5" t="str">
        <f ca="1">IFERROR(__xludf.DUMMYFUNCTION("""COMPUTED_VALUE"""),"Escalation of Dispute")</f>
        <v>Escalation of Dispute</v>
      </c>
      <c r="Y1847" s="5" t="str">
        <f ca="1">IFERROR(__xludf.DUMMYFUNCTION("""COMPUTED_VALUE"""),"Random Shooting")</f>
        <v>Random Shooting</v>
      </c>
      <c r="Z1847" s="5" t="str">
        <f ca="1">IFERROR(__xludf.DUMMYFUNCTION("""COMPUTED_VALUE"""),"No")</f>
        <v>No</v>
      </c>
      <c r="AA1847" s="5"/>
      <c r="AB1847" s="5" t="str">
        <f ca="1">IFERROR(__xludf.DUMMYFUNCTION("""COMPUTED_VALUE"""),"No")</f>
        <v>No</v>
      </c>
      <c r="AC1847" s="5" t="str">
        <f ca="1">IFERROR(__xludf.DUMMYFUNCTION("""COMPUTED_VALUE"""),"No")</f>
        <v>No</v>
      </c>
      <c r="AD1847" s="5" t="str">
        <f ca="1">IFERROR(__xludf.DUMMYFUNCTION("""COMPUTED_VALUE"""),"No")</f>
        <v>No</v>
      </c>
      <c r="AE1847" s="5" t="str">
        <f ca="1">IFERROR(__xludf.DUMMYFUNCTION("""COMPUTED_VALUE"""),"No")</f>
        <v>No</v>
      </c>
      <c r="AF1847" s="5" t="str">
        <f ca="1">IFERROR(__xludf.DUMMYFUNCTION("""COMPUTED_VALUE"""),"No")</f>
        <v>No</v>
      </c>
      <c r="AG1847" s="5" t="str">
        <f ca="1">IFERROR(__xludf.DUMMYFUNCTION("""COMPUTED_VALUE"""),"Yes")</f>
        <v>Yes</v>
      </c>
      <c r="AH1847" s="5"/>
    </row>
    <row r="1848" spans="1:34" ht="12.75">
      <c r="A1848" s="5" t="str">
        <f ca="1">IFERROR(__xludf.DUMMYFUNCTION("""COMPUTED_VALUE"""),"19840710MIMUD")</f>
        <v>19840710MIMUD</v>
      </c>
      <c r="B1848" s="8">
        <f ca="1">IFERROR(__xludf.DUMMYFUNCTION("""COMPUTED_VALUE"""),30873)</f>
        <v>30873</v>
      </c>
      <c r="C1848" s="5" t="str">
        <f ca="1">IFERROR(__xludf.DUMMYFUNCTION("""COMPUTED_VALUE"""),"Mumford High School")</f>
        <v>Mumford High School</v>
      </c>
      <c r="D1848" s="5">
        <f ca="1">IFERROR(__xludf.DUMMYFUNCTION("""COMPUTED_VALUE"""),0)</f>
        <v>0</v>
      </c>
      <c r="E1848" s="5">
        <f ca="1">IFERROR(__xludf.DUMMYFUNCTION("""COMPUTED_VALUE"""),1)</f>
        <v>1</v>
      </c>
      <c r="F1848" s="5">
        <f ca="1">IFERROR(__xludf.DUMMYFUNCTION("""COMPUTED_VALUE"""),1)</f>
        <v>1</v>
      </c>
      <c r="G1848" s="5">
        <f ca="1">IFERROR(__xludf.DUMMYFUNCTION("""COMPUTED_VALUE"""),0)</f>
        <v>0</v>
      </c>
      <c r="H1848" s="9" t="str">
        <f ca="1">IFERROR(__xludf.DUMMYFUNCTION("""COMPUTED_VALUE"""),"https://www.newspapers.com/image/99155324/?terms=student%2Bshot")</f>
        <v>https://www.newspapers.com/image/99155324/?terms=student%2Bshot</v>
      </c>
      <c r="I1848" s="5"/>
      <c r="J1848" s="5"/>
      <c r="K1848" s="5">
        <f ca="1">IFERROR(__xludf.DUMMYFUNCTION("""COMPUTED_VALUE"""),2)</f>
        <v>2</v>
      </c>
      <c r="L1848" s="5" t="str">
        <f ca="1">IFERROR(__xludf.DUMMYFUNCTION("""COMPUTED_VALUE"""),"Summer")</f>
        <v>Summer</v>
      </c>
      <c r="M1848" s="5" t="str">
        <f ca="1">IFERROR(__xludf.DUMMYFUNCTION("""COMPUTED_VALUE"""),"Detroit")</f>
        <v>Detroit</v>
      </c>
      <c r="N1848" s="5" t="str">
        <f ca="1">IFERROR(__xludf.DUMMYFUNCTION("""COMPUTED_VALUE"""),"MI")</f>
        <v>MI</v>
      </c>
      <c r="O1848" s="5" t="str">
        <f ca="1">IFERROR(__xludf.DUMMYFUNCTION("""COMPUTED_VALUE"""),"High")</f>
        <v>High</v>
      </c>
      <c r="P1848" s="5" t="str">
        <f ca="1">IFERROR(__xludf.DUMMYFUNCTION("""COMPUTED_VALUE"""),"Beside Building")</f>
        <v>Beside Building</v>
      </c>
      <c r="Q1848" s="5" t="str">
        <f ca="1">IFERROR(__xludf.DUMMYFUNCTION("""COMPUTED_VALUE"""),"Outside on School Property")</f>
        <v>Outside on School Property</v>
      </c>
      <c r="R1848" s="5" t="str">
        <f ca="1">IFERROR(__xludf.DUMMYFUNCTION("""COMPUTED_VALUE"""),"Yes")</f>
        <v>Yes</v>
      </c>
      <c r="S1848" s="5" t="str">
        <f ca="1">IFERROR(__xludf.DUMMYFUNCTION("""COMPUTED_VALUE"""),"Lunch")</f>
        <v>Lunch</v>
      </c>
      <c r="T1848" s="10">
        <f ca="1">IFERROR(__xludf.DUMMYFUNCTION("""COMPUTED_VALUE"""),0.46875)</f>
        <v>0.46875</v>
      </c>
      <c r="U1848" s="5">
        <f ca="1">IFERROR(__xludf.DUMMYFUNCTION("""COMPUTED_VALUE"""),1)</f>
        <v>1</v>
      </c>
      <c r="V1848" s="5" t="str">
        <f ca="1">IFERROR(__xludf.DUMMYFUNCTION("""COMPUTED_VALUE"""),"Mistaken identity related to gang violence")</f>
        <v>Mistaken identity related to gang violence</v>
      </c>
      <c r="W1848"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X1848" s="5" t="str">
        <f ca="1">IFERROR(__xludf.DUMMYFUNCTION("""COMPUTED_VALUE"""),"Escalation of Dispute")</f>
        <v>Escalation of Dispute</v>
      </c>
      <c r="Y1848" s="5" t="str">
        <f ca="1">IFERROR(__xludf.DUMMYFUNCTION("""COMPUTED_VALUE"""),"Random Shooting")</f>
        <v>Random Shooting</v>
      </c>
      <c r="Z1848" s="5" t="str">
        <f ca="1">IFERROR(__xludf.DUMMYFUNCTION("""COMPUTED_VALUE"""),"No")</f>
        <v>No</v>
      </c>
      <c r="AA1848" s="5"/>
      <c r="AB1848" s="5" t="str">
        <f ca="1">IFERROR(__xludf.DUMMYFUNCTION("""COMPUTED_VALUE"""),"No")</f>
        <v>No</v>
      </c>
      <c r="AC1848" s="5" t="str">
        <f ca="1">IFERROR(__xludf.DUMMYFUNCTION("""COMPUTED_VALUE"""),"No")</f>
        <v>No</v>
      </c>
      <c r="AD1848" s="5" t="str">
        <f ca="1">IFERROR(__xludf.DUMMYFUNCTION("""COMPUTED_VALUE"""),"No")</f>
        <v>No</v>
      </c>
      <c r="AE1848" s="5" t="str">
        <f ca="1">IFERROR(__xludf.DUMMYFUNCTION("""COMPUTED_VALUE"""),"No")</f>
        <v>No</v>
      </c>
      <c r="AF1848" s="5" t="str">
        <f ca="1">IFERROR(__xludf.DUMMYFUNCTION("""COMPUTED_VALUE"""),"No")</f>
        <v>No</v>
      </c>
      <c r="AG1848" s="5" t="str">
        <f ca="1">IFERROR(__xludf.DUMMYFUNCTION("""COMPUTED_VALUE"""),"Yes")</f>
        <v>Yes</v>
      </c>
      <c r="AH1848" s="5"/>
    </row>
    <row r="1849" spans="1:34" ht="12.75">
      <c r="A1849" s="5" t="str">
        <f ca="1">IFERROR(__xludf.DUMMYFUNCTION("""COMPUTED_VALUE"""),"19840522OHCLC")</f>
        <v>19840522OHCLC</v>
      </c>
      <c r="B1849" s="8">
        <f ca="1">IFERROR(__xludf.DUMMYFUNCTION("""COMPUTED_VALUE"""),30824)</f>
        <v>30824</v>
      </c>
      <c r="C1849" s="5" t="str">
        <f ca="1">IFERROR(__xludf.DUMMYFUNCTION("""COMPUTED_VALUE"""),"Cleveland Heights High School")</f>
        <v>Cleveland Heights High School</v>
      </c>
      <c r="D1849" s="5">
        <f ca="1">IFERROR(__xludf.DUMMYFUNCTION("""COMPUTED_VALUE"""),0)</f>
        <v>0</v>
      </c>
      <c r="E1849" s="5">
        <f ca="1">IFERROR(__xludf.DUMMYFUNCTION("""COMPUTED_VALUE"""),1)</f>
        <v>1</v>
      </c>
      <c r="F1849" s="5">
        <f ca="1">IFERROR(__xludf.DUMMYFUNCTION("""COMPUTED_VALUE"""),1)</f>
        <v>1</v>
      </c>
      <c r="G1849" s="5">
        <f ca="1">IFERROR(__xludf.DUMMYFUNCTION("""COMPUTED_VALUE"""),0)</f>
        <v>0</v>
      </c>
      <c r="H1849" s="9" t="str">
        <f ca="1">IFERROR(__xludf.DUMMYFUNCTION("""COMPUTED_VALUE"""),"https://www.newspapers.com/image/153645072/?terms=michael%2Bbrody")</f>
        <v>https://www.newspapers.com/image/153645072/?terms=michael%2Bbrody</v>
      </c>
      <c r="I1849" s="5"/>
      <c r="J1849" s="5"/>
      <c r="K1849" s="5">
        <f ca="1">IFERROR(__xludf.DUMMYFUNCTION("""COMPUTED_VALUE"""),2)</f>
        <v>2</v>
      </c>
      <c r="L1849" s="5" t="str">
        <f ca="1">IFERROR(__xludf.DUMMYFUNCTION("""COMPUTED_VALUE"""),"Spring")</f>
        <v>Spring</v>
      </c>
      <c r="M1849" s="5" t="str">
        <f ca="1">IFERROR(__xludf.DUMMYFUNCTION("""COMPUTED_VALUE"""),"Cleveland Heights")</f>
        <v>Cleveland Heights</v>
      </c>
      <c r="N1849" s="5" t="str">
        <f ca="1">IFERROR(__xludf.DUMMYFUNCTION("""COMPUTED_VALUE"""),"OH")</f>
        <v>OH</v>
      </c>
      <c r="O1849" s="5" t="str">
        <f ca="1">IFERROR(__xludf.DUMMYFUNCTION("""COMPUTED_VALUE"""),"High")</f>
        <v>High</v>
      </c>
      <c r="P1849" s="5" t="str">
        <f ca="1">IFERROR(__xludf.DUMMYFUNCTION("""COMPUTED_VALUE"""),"Classroom")</f>
        <v>Classroom</v>
      </c>
      <c r="Q1849" s="5" t="str">
        <f ca="1">IFERROR(__xludf.DUMMYFUNCTION("""COMPUTED_VALUE"""),"Inside School Building")</f>
        <v>Inside School Building</v>
      </c>
      <c r="R1849" s="5" t="str">
        <f ca="1">IFERROR(__xludf.DUMMYFUNCTION("""COMPUTED_VALUE"""),"Yes")</f>
        <v>Yes</v>
      </c>
      <c r="S1849" s="5"/>
      <c r="T1849" s="5"/>
      <c r="U1849" s="5">
        <f ca="1">IFERROR(__xludf.DUMMYFUNCTION("""COMPUTED_VALUE"""),1)</f>
        <v>1</v>
      </c>
      <c r="V1849" s="5" t="str">
        <f ca="1">IFERROR(__xludf.DUMMYFUNCTION("""COMPUTED_VALUE"""),"Shooter dropped bag with gun inside. Gun went off striking victim")</f>
        <v>Shooter dropped bag with gun inside. Gun went off striking victim</v>
      </c>
      <c r="W1849"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X1849" s="5" t="str">
        <f ca="1">IFERROR(__xludf.DUMMYFUNCTION("""COMPUTED_VALUE"""),"Accidental")</f>
        <v>Accidental</v>
      </c>
      <c r="Y1849" s="5" t="str">
        <f ca="1">IFERROR(__xludf.DUMMYFUNCTION("""COMPUTED_VALUE"""),"Random Shooting")</f>
        <v>Random Shooting</v>
      </c>
      <c r="Z1849" s="5"/>
      <c r="AA1849" s="5"/>
      <c r="AB1849" s="5" t="str">
        <f ca="1">IFERROR(__xludf.DUMMYFUNCTION("""COMPUTED_VALUE"""),"No")</f>
        <v>No</v>
      </c>
      <c r="AC1849" s="5" t="str">
        <f ca="1">IFERROR(__xludf.DUMMYFUNCTION("""COMPUTED_VALUE"""),"No")</f>
        <v>No</v>
      </c>
      <c r="AD1849" s="5" t="str">
        <f ca="1">IFERROR(__xludf.DUMMYFUNCTION("""COMPUTED_VALUE"""),"No")</f>
        <v>No</v>
      </c>
      <c r="AE1849" s="5" t="str">
        <f ca="1">IFERROR(__xludf.DUMMYFUNCTION("""COMPUTED_VALUE"""),"No")</f>
        <v>No</v>
      </c>
      <c r="AF1849" s="5" t="str">
        <f ca="1">IFERROR(__xludf.DUMMYFUNCTION("""COMPUTED_VALUE"""),"No")</f>
        <v>No</v>
      </c>
      <c r="AG1849" s="5" t="str">
        <f ca="1">IFERROR(__xludf.DUMMYFUNCTION("""COMPUTED_VALUE"""),"No")</f>
        <v>No</v>
      </c>
      <c r="AH1849" s="5"/>
    </row>
    <row r="1850" spans="1:34" ht="12.75">
      <c r="A1850" s="5" t="str">
        <f ca="1">IFERROR(__xludf.DUMMYFUNCTION("""COMPUTED_VALUE"""),"19840518CANON")</f>
        <v>19840518CANON</v>
      </c>
      <c r="B1850" s="8">
        <f ca="1">IFERROR(__xludf.DUMMYFUNCTION("""COMPUTED_VALUE"""),30820)</f>
        <v>30820</v>
      </c>
      <c r="C1850" s="5" t="str">
        <f ca="1">IFERROR(__xludf.DUMMYFUNCTION("""COMPUTED_VALUE"""),"Norco High School")</f>
        <v>Norco High School</v>
      </c>
      <c r="D1850" s="5">
        <f ca="1">IFERROR(__xludf.DUMMYFUNCTION("""COMPUTED_VALUE"""),0)</f>
        <v>0</v>
      </c>
      <c r="E1850" s="5">
        <f ca="1">IFERROR(__xludf.DUMMYFUNCTION("""COMPUTED_VALUE"""),12)</f>
        <v>12</v>
      </c>
      <c r="F1850" s="5">
        <f ca="1">IFERROR(__xludf.DUMMYFUNCTION("""COMPUTED_VALUE"""),12)</f>
        <v>12</v>
      </c>
      <c r="G1850" s="5">
        <f ca="1">IFERROR(__xludf.DUMMYFUNCTION("""COMPUTED_VALUE"""),0)</f>
        <v>0</v>
      </c>
      <c r="H1850" s="9" t="str">
        <f ca="1">IFERROR(__xludf.DUMMYFUNCTION("""COMPUTED_VALUE"""),"https://www.newspapers.com/image/368938109/?terms=Norco%2BHigh%2BSchool%2Bshooting")</f>
        <v>https://www.newspapers.com/image/368938109/?terms=Norco%2BHigh%2BSchool%2Bshooting</v>
      </c>
      <c r="I1850" s="5"/>
      <c r="J1850" s="5"/>
      <c r="K1850" s="5">
        <f ca="1">IFERROR(__xludf.DUMMYFUNCTION("""COMPUTED_VALUE"""),2)</f>
        <v>2</v>
      </c>
      <c r="L1850" s="5" t="str">
        <f ca="1">IFERROR(__xludf.DUMMYFUNCTION("""COMPUTED_VALUE"""),"Spring")</f>
        <v>Spring</v>
      </c>
      <c r="M1850" s="5" t="str">
        <f ca="1">IFERROR(__xludf.DUMMYFUNCTION("""COMPUTED_VALUE"""),"Norco")</f>
        <v>Norco</v>
      </c>
      <c r="N1850" s="5" t="str">
        <f ca="1">IFERROR(__xludf.DUMMYFUNCTION("""COMPUTED_VALUE"""),"CA")</f>
        <v>CA</v>
      </c>
      <c r="O1850" s="5" t="str">
        <f ca="1">IFERROR(__xludf.DUMMYFUNCTION("""COMPUTED_VALUE"""),"High")</f>
        <v>High</v>
      </c>
      <c r="P1850" s="5" t="str">
        <f ca="1">IFERROR(__xludf.DUMMYFUNCTION("""COMPUTED_VALUE"""),"Hallway")</f>
        <v>Hallway</v>
      </c>
      <c r="Q1850" s="5" t="str">
        <f ca="1">IFERROR(__xludf.DUMMYFUNCTION("""COMPUTED_VALUE"""),"Inside School Building")</f>
        <v>Inside School Building</v>
      </c>
      <c r="R1850" s="5" t="str">
        <f ca="1">IFERROR(__xludf.DUMMYFUNCTION("""COMPUTED_VALUE"""),"Yes")</f>
        <v>Yes</v>
      </c>
      <c r="S1850" s="5" t="str">
        <f ca="1">IFERROR(__xludf.DUMMYFUNCTION("""COMPUTED_VALUE"""),"Morning Classes")</f>
        <v>Morning Classes</v>
      </c>
      <c r="T1850" s="10">
        <f ca="1">IFERROR(__xludf.DUMMYFUNCTION("""COMPUTED_VALUE"""),0.416666666666666)</f>
        <v>0.41666666666666602</v>
      </c>
      <c r="U1850" s="5">
        <f ca="1">IFERROR(__xludf.DUMMYFUNCTION("""COMPUTED_VALUE"""),1)</f>
        <v>1</v>
      </c>
      <c r="V1850" s="5" t="str">
        <f ca="1">IFERROR(__xludf.DUMMYFUNCTION("""COMPUTED_VALUE"""),"Shooter was trying to settle argument, tackled by students")</f>
        <v>Shooter was trying to settle argument, tackled by students</v>
      </c>
      <c r="W1850"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X1850" s="5" t="str">
        <f ca="1">IFERROR(__xludf.DUMMYFUNCTION("""COMPUTED_VALUE"""),"Escalation of Dispute")</f>
        <v>Escalation of Dispute</v>
      </c>
      <c r="Y1850" s="5" t="str">
        <f ca="1">IFERROR(__xludf.DUMMYFUNCTION("""COMPUTED_VALUE"""),"Both")</f>
        <v>Both</v>
      </c>
      <c r="Z1850" s="5" t="str">
        <f ca="1">IFERROR(__xludf.DUMMYFUNCTION("""COMPUTED_VALUE"""),"No")</f>
        <v>No</v>
      </c>
      <c r="AA1850" s="5"/>
      <c r="AB1850" s="5" t="str">
        <f ca="1">IFERROR(__xludf.DUMMYFUNCTION("""COMPUTED_VALUE"""),"No")</f>
        <v>No</v>
      </c>
      <c r="AC1850" s="5" t="str">
        <f ca="1">IFERROR(__xludf.DUMMYFUNCTION("""COMPUTED_VALUE"""),"No")</f>
        <v>No</v>
      </c>
      <c r="AD1850" s="5" t="str">
        <f ca="1">IFERROR(__xludf.DUMMYFUNCTION("""COMPUTED_VALUE"""),"No")</f>
        <v>No</v>
      </c>
      <c r="AE1850" s="5" t="str">
        <f ca="1">IFERROR(__xludf.DUMMYFUNCTION("""COMPUTED_VALUE"""),"No")</f>
        <v>No</v>
      </c>
      <c r="AF1850" s="5" t="str">
        <f ca="1">IFERROR(__xludf.DUMMYFUNCTION("""COMPUTED_VALUE"""),"No")</f>
        <v>No</v>
      </c>
      <c r="AG1850" s="5" t="str">
        <f ca="1">IFERROR(__xludf.DUMMYFUNCTION("""COMPUTED_VALUE"""),"No")</f>
        <v>No</v>
      </c>
      <c r="AH1850" s="5"/>
    </row>
    <row r="1851" spans="1:34" ht="12.75">
      <c r="A1851" s="5" t="str">
        <f ca="1">IFERROR(__xludf.DUMMYFUNCTION("""COMPUTED_VALUE"""),"19840517TXBOH")</f>
        <v>19840517TXBOH</v>
      </c>
      <c r="B1851" s="8">
        <f ca="1">IFERROR(__xludf.DUMMYFUNCTION("""COMPUTED_VALUE"""),30819)</f>
        <v>30819</v>
      </c>
      <c r="C1851" s="5" t="str">
        <f ca="1">IFERROR(__xludf.DUMMYFUNCTION("""COMPUTED_VALUE"""),"Booker T. Washington High School")</f>
        <v>Booker T. Washington High School</v>
      </c>
      <c r="D1851" s="5">
        <f ca="1">IFERROR(__xludf.DUMMYFUNCTION("""COMPUTED_VALUE"""),0)</f>
        <v>0</v>
      </c>
      <c r="E1851" s="5">
        <f ca="1">IFERROR(__xludf.DUMMYFUNCTION("""COMPUTED_VALUE"""),1)</f>
        <v>1</v>
      </c>
      <c r="F1851" s="5">
        <f ca="1">IFERROR(__xludf.DUMMYFUNCTION("""COMPUTED_VALUE"""),1)</f>
        <v>1</v>
      </c>
      <c r="G1851" s="5">
        <f ca="1">IFERROR(__xludf.DUMMYFUNCTION("""COMPUTED_VALUE"""),1)</f>
        <v>1</v>
      </c>
      <c r="H1851"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I1851" s="5"/>
      <c r="J1851" s="5"/>
      <c r="K1851" s="5">
        <f ca="1">IFERROR(__xludf.DUMMYFUNCTION("""COMPUTED_VALUE"""),2)</f>
        <v>2</v>
      </c>
      <c r="L1851" s="5" t="str">
        <f ca="1">IFERROR(__xludf.DUMMYFUNCTION("""COMPUTED_VALUE"""),"Spring")</f>
        <v>Spring</v>
      </c>
      <c r="M1851" s="5" t="str">
        <f ca="1">IFERROR(__xludf.DUMMYFUNCTION("""COMPUTED_VALUE"""),"Houston")</f>
        <v>Houston</v>
      </c>
      <c r="N1851" s="5" t="str">
        <f ca="1">IFERROR(__xludf.DUMMYFUNCTION("""COMPUTED_VALUE"""),"TX")</f>
        <v>TX</v>
      </c>
      <c r="O1851" s="5" t="str">
        <f ca="1">IFERROR(__xludf.DUMMYFUNCTION("""COMPUTED_VALUE"""),"High")</f>
        <v>High</v>
      </c>
      <c r="P1851" s="5" t="str">
        <f ca="1">IFERROR(__xludf.DUMMYFUNCTION("""COMPUTED_VALUE"""),"Classroom")</f>
        <v>Classroom</v>
      </c>
      <c r="Q1851" s="5" t="str">
        <f ca="1">IFERROR(__xludf.DUMMYFUNCTION("""COMPUTED_VALUE"""),"Inside School Building")</f>
        <v>Inside School Building</v>
      </c>
      <c r="R1851" s="5" t="str">
        <f ca="1">IFERROR(__xludf.DUMMYFUNCTION("""COMPUTED_VALUE"""),"Yes")</f>
        <v>Yes</v>
      </c>
      <c r="S1851" s="5" t="str">
        <f ca="1">IFERROR(__xludf.DUMMYFUNCTION("""COMPUTED_VALUE"""),"Morning Classes")</f>
        <v>Morning Classes</v>
      </c>
      <c r="T1851" s="10">
        <f ca="1">IFERROR(__xludf.DUMMYFUNCTION("""COMPUTED_VALUE"""),0.447916666666666)</f>
        <v>0.44791666666666602</v>
      </c>
      <c r="U1851" s="5">
        <f ca="1">IFERROR(__xludf.DUMMYFUNCTION("""COMPUTED_VALUE"""),1)</f>
        <v>1</v>
      </c>
      <c r="V1851" s="5" t="str">
        <f ca="1">IFERROR(__xludf.DUMMYFUNCTION("""COMPUTED_VALUE"""),"Anger over suspension / fight with girlfriend")</f>
        <v>Anger over suspension / fight with girlfriend</v>
      </c>
      <c r="W1851"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X1851" s="5" t="str">
        <f ca="1">IFERROR(__xludf.DUMMYFUNCTION("""COMPUTED_VALUE"""),"Domestic w/ Targeted Victim")</f>
        <v>Domestic w/ Targeted Victim</v>
      </c>
      <c r="Y1851" s="5" t="str">
        <f ca="1">IFERROR(__xludf.DUMMYFUNCTION("""COMPUTED_VALUE"""),"Victims Targeted")</f>
        <v>Victims Targeted</v>
      </c>
      <c r="Z1851" s="5" t="str">
        <f ca="1">IFERROR(__xludf.DUMMYFUNCTION("""COMPUTED_VALUE"""),"No")</f>
        <v>No</v>
      </c>
      <c r="AA1851" s="5"/>
      <c r="AB1851" s="5" t="str">
        <f ca="1">IFERROR(__xludf.DUMMYFUNCTION("""COMPUTED_VALUE"""),"No")</f>
        <v>No</v>
      </c>
      <c r="AC1851" s="5" t="str">
        <f ca="1">IFERROR(__xludf.DUMMYFUNCTION("""COMPUTED_VALUE"""),"No")</f>
        <v>No</v>
      </c>
      <c r="AD1851" s="5" t="str">
        <f ca="1">IFERROR(__xludf.DUMMYFUNCTION("""COMPUTED_VALUE"""),"No")</f>
        <v>No</v>
      </c>
      <c r="AE1851" s="5" t="str">
        <f ca="1">IFERROR(__xludf.DUMMYFUNCTION("""COMPUTED_VALUE"""),"No")</f>
        <v>No</v>
      </c>
      <c r="AF1851" s="5" t="str">
        <f ca="1">IFERROR(__xludf.DUMMYFUNCTION("""COMPUTED_VALUE"""),"Yes")</f>
        <v>Yes</v>
      </c>
      <c r="AG1851" s="5" t="str">
        <f ca="1">IFERROR(__xludf.DUMMYFUNCTION("""COMPUTED_VALUE"""),"No")</f>
        <v>No</v>
      </c>
      <c r="AH1851" s="5" t="str">
        <f ca="1">IFERROR(__xludf.DUMMYFUNCTION("""COMPUTED_VALUE"""),"Yes")</f>
        <v>Yes</v>
      </c>
    </row>
    <row r="1852" spans="1:34" ht="12.75">
      <c r="A1852" s="5" t="str">
        <f ca="1">IFERROR(__xludf.DUMMYFUNCTION("""COMPUTED_VALUE"""),"19840517IASOP")</f>
        <v>19840517IASOP</v>
      </c>
      <c r="B1852" s="8">
        <f ca="1">IFERROR(__xludf.DUMMYFUNCTION("""COMPUTED_VALUE"""),30819)</f>
        <v>30819</v>
      </c>
      <c r="C1852" s="5" t="str">
        <f ca="1">IFERROR(__xludf.DUMMYFUNCTION("""COMPUTED_VALUE"""),"Southeast Polk High School")</f>
        <v>Southeast Polk High School</v>
      </c>
      <c r="D1852" s="5">
        <f ca="1">IFERROR(__xludf.DUMMYFUNCTION("""COMPUTED_VALUE"""),1)</f>
        <v>1</v>
      </c>
      <c r="E1852" s="5">
        <f ca="1">IFERROR(__xludf.DUMMYFUNCTION("""COMPUTED_VALUE"""),0)</f>
        <v>0</v>
      </c>
      <c r="F1852" s="5">
        <f ca="1">IFERROR(__xludf.DUMMYFUNCTION("""COMPUTED_VALUE"""),1)</f>
        <v>1</v>
      </c>
      <c r="G1852" s="5">
        <f ca="1">IFERROR(__xludf.DUMMYFUNCTION("""COMPUTED_VALUE"""),1)</f>
        <v>1</v>
      </c>
      <c r="H1852"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I1852" s="5"/>
      <c r="J1852" s="5"/>
      <c r="K1852" s="5">
        <f ca="1">IFERROR(__xludf.DUMMYFUNCTION("""COMPUTED_VALUE"""),2)</f>
        <v>2</v>
      </c>
      <c r="L1852" s="5" t="str">
        <f ca="1">IFERROR(__xludf.DUMMYFUNCTION("""COMPUTED_VALUE"""),"Spring")</f>
        <v>Spring</v>
      </c>
      <c r="M1852" s="5" t="str">
        <f ca="1">IFERROR(__xludf.DUMMYFUNCTION("""COMPUTED_VALUE"""),"Pleasant Hill")</f>
        <v>Pleasant Hill</v>
      </c>
      <c r="N1852" s="5" t="str">
        <f ca="1">IFERROR(__xludf.DUMMYFUNCTION("""COMPUTED_VALUE"""),"IA")</f>
        <v>IA</v>
      </c>
      <c r="O1852" s="5" t="str">
        <f ca="1">IFERROR(__xludf.DUMMYFUNCTION("""COMPUTED_VALUE"""),"High")</f>
        <v>High</v>
      </c>
      <c r="P1852" s="5" t="str">
        <f ca="1">IFERROR(__xludf.DUMMYFUNCTION("""COMPUTED_VALUE"""),"Classroom")</f>
        <v>Classroom</v>
      </c>
      <c r="Q1852" s="5" t="str">
        <f ca="1">IFERROR(__xludf.DUMMYFUNCTION("""COMPUTED_VALUE"""),"Inside School Building")</f>
        <v>Inside School Building</v>
      </c>
      <c r="R1852" s="5" t="str">
        <f ca="1">IFERROR(__xludf.DUMMYFUNCTION("""COMPUTED_VALUE"""),"Yes")</f>
        <v>Yes</v>
      </c>
      <c r="S1852" s="5" t="str">
        <f ca="1">IFERROR(__xludf.DUMMYFUNCTION("""COMPUTED_VALUE"""),"Morning Classes")</f>
        <v>Morning Classes</v>
      </c>
      <c r="T1852" s="10">
        <f ca="1">IFERROR(__xludf.DUMMYFUNCTION("""COMPUTED_VALUE"""),0.447916666666666)</f>
        <v>0.44791666666666602</v>
      </c>
      <c r="U1852" s="5">
        <f ca="1">IFERROR(__xludf.DUMMYFUNCTION("""COMPUTED_VALUE"""),1)</f>
        <v>1</v>
      </c>
      <c r="V1852" s="5" t="str">
        <f ca="1">IFERROR(__xludf.DUMMYFUNCTION("""COMPUTED_VALUE"""),"Shot girlfriend and then self after break-up")</f>
        <v>Shot girlfriend and then self after break-up</v>
      </c>
      <c r="W1852"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X1852" s="5" t="str">
        <f ca="1">IFERROR(__xludf.DUMMYFUNCTION("""COMPUTED_VALUE"""),"Murder/Suicide")</f>
        <v>Murder/Suicide</v>
      </c>
      <c r="Y1852" s="5" t="str">
        <f ca="1">IFERROR(__xludf.DUMMYFUNCTION("""COMPUTED_VALUE"""),"Victims Targeted")</f>
        <v>Victims Targeted</v>
      </c>
      <c r="Z1852" s="5" t="str">
        <f ca="1">IFERROR(__xludf.DUMMYFUNCTION("""COMPUTED_VALUE"""),"No")</f>
        <v>No</v>
      </c>
      <c r="AA1852" s="5"/>
      <c r="AB1852" s="5" t="str">
        <f ca="1">IFERROR(__xludf.DUMMYFUNCTION("""COMPUTED_VALUE"""),"No")</f>
        <v>No</v>
      </c>
      <c r="AC1852" s="5" t="str">
        <f ca="1">IFERROR(__xludf.DUMMYFUNCTION("""COMPUTED_VALUE"""),"No")</f>
        <v>No</v>
      </c>
      <c r="AD1852" s="5" t="str">
        <f ca="1">IFERROR(__xludf.DUMMYFUNCTION("""COMPUTED_VALUE"""),"No")</f>
        <v>No</v>
      </c>
      <c r="AE1852" s="5" t="str">
        <f ca="1">IFERROR(__xludf.DUMMYFUNCTION("""COMPUTED_VALUE"""),"No")</f>
        <v>No</v>
      </c>
      <c r="AF1852" s="5" t="str">
        <f ca="1">IFERROR(__xludf.DUMMYFUNCTION("""COMPUTED_VALUE"""),"No")</f>
        <v>No</v>
      </c>
      <c r="AG1852" s="5" t="str">
        <f ca="1">IFERROR(__xludf.DUMMYFUNCTION("""COMPUTED_VALUE"""),"No")</f>
        <v>No</v>
      </c>
      <c r="AH1852" s="5"/>
    </row>
    <row r="1853" spans="1:34" ht="12.75">
      <c r="A1853" s="5" t="str">
        <f ca="1">IFERROR(__xludf.DUMMYFUNCTION("""COMPUTED_VALUE"""),"19840515MTCMG")</f>
        <v>19840515MTCMG</v>
      </c>
      <c r="B1853" s="8">
        <f ca="1">IFERROR(__xludf.DUMMYFUNCTION("""COMPUTED_VALUE"""),30817)</f>
        <v>30817</v>
      </c>
      <c r="C1853" s="5" t="str">
        <f ca="1">IFERROR(__xludf.DUMMYFUNCTION("""COMPUTED_VALUE"""),"C M Russell High School")</f>
        <v>C M Russell High School</v>
      </c>
      <c r="D1853" s="5">
        <f ca="1">IFERROR(__xludf.DUMMYFUNCTION("""COMPUTED_VALUE"""),0)</f>
        <v>0</v>
      </c>
      <c r="E1853" s="5">
        <f ca="1">IFERROR(__xludf.DUMMYFUNCTION("""COMPUTED_VALUE"""),0)</f>
        <v>0</v>
      </c>
      <c r="F1853" s="5">
        <f ca="1">IFERROR(__xludf.DUMMYFUNCTION("""COMPUTED_VALUE"""),0)</f>
        <v>0</v>
      </c>
      <c r="G1853" s="5">
        <f ca="1">IFERROR(__xludf.DUMMYFUNCTION("""COMPUTED_VALUE"""),0)</f>
        <v>0</v>
      </c>
      <c r="H1853" s="9" t="str">
        <f ca="1">IFERROR(__xludf.DUMMYFUNCTION("""COMPUTED_VALUE"""),"https://www.newspapers.com/image/240845256/?terms=STUDENT%2BSHOOTS")</f>
        <v>https://www.newspapers.com/image/240845256/?terms=STUDENT%2BSHOOTS</v>
      </c>
      <c r="I1853" s="5"/>
      <c r="J1853" s="5"/>
      <c r="K1853" s="5">
        <f ca="1">IFERROR(__xludf.DUMMYFUNCTION("""COMPUTED_VALUE"""),2)</f>
        <v>2</v>
      </c>
      <c r="L1853" s="5" t="str">
        <f ca="1">IFERROR(__xludf.DUMMYFUNCTION("""COMPUTED_VALUE"""),"Spring")</f>
        <v>Spring</v>
      </c>
      <c r="M1853" s="5" t="str">
        <f ca="1">IFERROR(__xludf.DUMMYFUNCTION("""COMPUTED_VALUE"""),"Great Falls")</f>
        <v>Great Falls</v>
      </c>
      <c r="N1853" s="5" t="str">
        <f ca="1">IFERROR(__xludf.DUMMYFUNCTION("""COMPUTED_VALUE"""),"MT")</f>
        <v>MT</v>
      </c>
      <c r="O1853" s="5" t="str">
        <f ca="1">IFERROR(__xludf.DUMMYFUNCTION("""COMPUTED_VALUE"""),"High")</f>
        <v>High</v>
      </c>
      <c r="P1853" s="5" t="str">
        <f ca="1">IFERROR(__xludf.DUMMYFUNCTION("""COMPUTED_VALUE"""),"Parking Lot")</f>
        <v>Parking Lot</v>
      </c>
      <c r="Q1853" s="5" t="str">
        <f ca="1">IFERROR(__xludf.DUMMYFUNCTION("""COMPUTED_VALUE"""),"Outside on School Property")</f>
        <v>Outside on School Property</v>
      </c>
      <c r="R1853" s="5" t="str">
        <f ca="1">IFERROR(__xludf.DUMMYFUNCTION("""COMPUTED_VALUE"""),"Yes")</f>
        <v>Yes</v>
      </c>
      <c r="S1853" s="5" t="str">
        <f ca="1">IFERROR(__xludf.DUMMYFUNCTION("""COMPUTED_VALUE"""),"After School")</f>
        <v>After School</v>
      </c>
      <c r="T1853" s="10">
        <f ca="1">IFERROR(__xludf.DUMMYFUNCTION("""COMPUTED_VALUE"""),0.604166666666666)</f>
        <v>0.60416666666666596</v>
      </c>
      <c r="U1853" s="5">
        <f ca="1">IFERROR(__xludf.DUMMYFUNCTION("""COMPUTED_VALUE"""),1)</f>
        <v>1</v>
      </c>
      <c r="V1853" s="5" t="str">
        <f ca="1">IFERROR(__xludf.DUMMYFUNCTION("""COMPUTED_VALUE"""),"Student shot self in chest in school parking lot")</f>
        <v>Student shot self in chest in school parking lot</v>
      </c>
      <c r="W1853" s="5" t="str">
        <f ca="1">IFERROR(__xludf.DUMMYFUNCTION("""COMPUTED_VALUE"""),"Senior shot himself in the chest with a .22 caliber rifle while sitting in his car in school parking lot -")</f>
        <v>Senior shot himself in the chest with a .22 caliber rifle while sitting in his car in school parking lot -</v>
      </c>
      <c r="X1853" s="5" t="str">
        <f ca="1">IFERROR(__xludf.DUMMYFUNCTION("""COMPUTED_VALUE"""),"Suicide/Attempted")</f>
        <v>Suicide/Attempted</v>
      </c>
      <c r="Y1853" s="5" t="str">
        <f ca="1">IFERROR(__xludf.DUMMYFUNCTION("""COMPUTED_VALUE"""),"Victims Targeted")</f>
        <v>Victims Targeted</v>
      </c>
      <c r="Z1853" s="5" t="str">
        <f ca="1">IFERROR(__xludf.DUMMYFUNCTION("""COMPUTED_VALUE"""),"No")</f>
        <v>No</v>
      </c>
      <c r="AA1853" s="5"/>
      <c r="AB1853" s="5" t="str">
        <f ca="1">IFERROR(__xludf.DUMMYFUNCTION("""COMPUTED_VALUE"""),"No")</f>
        <v>No</v>
      </c>
      <c r="AC1853" s="5" t="str">
        <f ca="1">IFERROR(__xludf.DUMMYFUNCTION("""COMPUTED_VALUE"""),"No")</f>
        <v>No</v>
      </c>
      <c r="AD1853" s="5" t="str">
        <f ca="1">IFERROR(__xludf.DUMMYFUNCTION("""COMPUTED_VALUE"""),"No")</f>
        <v>No</v>
      </c>
      <c r="AE1853" s="5" t="str">
        <f ca="1">IFERROR(__xludf.DUMMYFUNCTION("""COMPUTED_VALUE"""),"No")</f>
        <v>No</v>
      </c>
      <c r="AF1853" s="5" t="str">
        <f ca="1">IFERROR(__xludf.DUMMYFUNCTION("""COMPUTED_VALUE"""),"No")</f>
        <v>No</v>
      </c>
      <c r="AG1853" s="5" t="str">
        <f ca="1">IFERROR(__xludf.DUMMYFUNCTION("""COMPUTED_VALUE"""),"No")</f>
        <v>No</v>
      </c>
      <c r="AH1853" s="5"/>
    </row>
    <row r="1854" spans="1:34" ht="12.75">
      <c r="A1854" s="5" t="str">
        <f ca="1">IFERROR(__xludf.DUMMYFUNCTION("""COMPUTED_VALUE"""),"19840426NCROW")</f>
        <v>19840426NCROW</v>
      </c>
      <c r="B1854" s="8">
        <f ca="1">IFERROR(__xludf.DUMMYFUNCTION("""COMPUTED_VALUE"""),30798)</f>
        <v>30798</v>
      </c>
      <c r="C1854" s="5" t="str">
        <f ca="1">IFERROR(__xludf.DUMMYFUNCTION("""COMPUTED_VALUE"""),"Rose Hill Magnolia Elementary School")</f>
        <v>Rose Hill Magnolia Elementary School</v>
      </c>
      <c r="D1854" s="5">
        <f ca="1">IFERROR(__xludf.DUMMYFUNCTION("""COMPUTED_VALUE"""),0)</f>
        <v>0</v>
      </c>
      <c r="E1854" s="5">
        <f ca="1">IFERROR(__xludf.DUMMYFUNCTION("""COMPUTED_VALUE"""),0)</f>
        <v>0</v>
      </c>
      <c r="F1854" s="5">
        <f ca="1">IFERROR(__xludf.DUMMYFUNCTION("""COMPUTED_VALUE"""),0)</f>
        <v>0</v>
      </c>
      <c r="G1854" s="5">
        <f ca="1">IFERROR(__xludf.DUMMYFUNCTION("""COMPUTED_VALUE"""),0)</f>
        <v>0</v>
      </c>
      <c r="H1854" s="9" t="str">
        <f ca="1">IFERROR(__xludf.DUMMYFUNCTION("""COMPUTED_VALUE"""),"https://www.newspapers.com/image/337840295/?terms=STUDENT%2BSHOOTS")</f>
        <v>https://www.newspapers.com/image/337840295/?terms=STUDENT%2BSHOOTS</v>
      </c>
      <c r="I1854" s="5"/>
      <c r="J1854" s="5"/>
      <c r="K1854" s="5">
        <f ca="1">IFERROR(__xludf.DUMMYFUNCTION("""COMPUTED_VALUE"""),2)</f>
        <v>2</v>
      </c>
      <c r="L1854" s="5" t="str">
        <f ca="1">IFERROR(__xludf.DUMMYFUNCTION("""COMPUTED_VALUE"""),"Spring")</f>
        <v>Spring</v>
      </c>
      <c r="M1854" s="5" t="str">
        <f ca="1">IFERROR(__xludf.DUMMYFUNCTION("""COMPUTED_VALUE"""),"Wallace")</f>
        <v>Wallace</v>
      </c>
      <c r="N1854" s="5" t="str">
        <f ca="1">IFERROR(__xludf.DUMMYFUNCTION("""COMPUTED_VALUE"""),"NC")</f>
        <v>NC</v>
      </c>
      <c r="O1854" s="5" t="str">
        <f ca="1">IFERROR(__xludf.DUMMYFUNCTION("""COMPUTED_VALUE"""),"Elementary")</f>
        <v>Elementary</v>
      </c>
      <c r="P1854" s="5" t="str">
        <f ca="1">IFERROR(__xludf.DUMMYFUNCTION("""COMPUTED_VALUE"""),"Classroom")</f>
        <v>Classroom</v>
      </c>
      <c r="Q1854" s="5" t="str">
        <f ca="1">IFERROR(__xludf.DUMMYFUNCTION("""COMPUTED_VALUE"""),"Inside School Building")</f>
        <v>Inside School Building</v>
      </c>
      <c r="R1854" s="5" t="str">
        <f ca="1">IFERROR(__xludf.DUMMYFUNCTION("""COMPUTED_VALUE"""),"Yes")</f>
        <v>Yes</v>
      </c>
      <c r="S1854" s="5"/>
      <c r="T1854" s="5"/>
      <c r="U1854" s="5">
        <f ca="1">IFERROR(__xludf.DUMMYFUNCTION("""COMPUTED_VALUE"""),1)</f>
        <v>1</v>
      </c>
      <c r="V1854" s="5" t="str">
        <f ca="1">IFERROR(__xludf.DUMMYFUNCTION("""COMPUTED_VALUE"""),"Suicide attempt in front of classroom")</f>
        <v>Suicide attempt in front of classroom</v>
      </c>
      <c r="W1854" s="5" t="str">
        <f ca="1">IFERROR(__xludf.DUMMYFUNCTION("""COMPUTED_VALUE"""),"Student stood up in front of his fifth grade class, declared no one loved him then shot himself")</f>
        <v>Student stood up in front of his fifth grade class, declared no one loved him then shot himself</v>
      </c>
      <c r="X1854" s="5" t="str">
        <f ca="1">IFERROR(__xludf.DUMMYFUNCTION("""COMPUTED_VALUE"""),"Suicide/Attempted")</f>
        <v>Suicide/Attempted</v>
      </c>
      <c r="Y1854" s="5" t="str">
        <f ca="1">IFERROR(__xludf.DUMMYFUNCTION("""COMPUTED_VALUE"""),"Victims Targeted")</f>
        <v>Victims Targeted</v>
      </c>
      <c r="Z1854" s="5" t="str">
        <f ca="1">IFERROR(__xludf.DUMMYFUNCTION("""COMPUTED_VALUE"""),"No")</f>
        <v>No</v>
      </c>
      <c r="AA1854" s="5"/>
      <c r="AB1854" s="5" t="str">
        <f ca="1">IFERROR(__xludf.DUMMYFUNCTION("""COMPUTED_VALUE"""),"No")</f>
        <v>No</v>
      </c>
      <c r="AC1854" s="5" t="str">
        <f ca="1">IFERROR(__xludf.DUMMYFUNCTION("""COMPUTED_VALUE"""),"No")</f>
        <v>No</v>
      </c>
      <c r="AD1854" s="5" t="str">
        <f ca="1">IFERROR(__xludf.DUMMYFUNCTION("""COMPUTED_VALUE"""),"No")</f>
        <v>No</v>
      </c>
      <c r="AE1854" s="5" t="str">
        <f ca="1">IFERROR(__xludf.DUMMYFUNCTION("""COMPUTED_VALUE"""),"No")</f>
        <v>No</v>
      </c>
      <c r="AF1854" s="5" t="str">
        <f ca="1">IFERROR(__xludf.DUMMYFUNCTION("""COMPUTED_VALUE"""),"No")</f>
        <v>No</v>
      </c>
      <c r="AG1854" s="5" t="str">
        <f ca="1">IFERROR(__xludf.DUMMYFUNCTION("""COMPUTED_VALUE"""),"No")</f>
        <v>No</v>
      </c>
      <c r="AH1854" s="5"/>
    </row>
    <row r="1855" spans="1:34" ht="12.75">
      <c r="A1855" s="5" t="str">
        <f ca="1">IFERROR(__xludf.DUMMYFUNCTION("""COMPUTED_VALUE"""),"19840420MIPRD")</f>
        <v>19840420MIPRD</v>
      </c>
      <c r="B1855" s="8">
        <f ca="1">IFERROR(__xludf.DUMMYFUNCTION("""COMPUTED_VALUE"""),30792)</f>
        <v>30792</v>
      </c>
      <c r="C1855" s="5" t="str">
        <f ca="1">IFERROR(__xludf.DUMMYFUNCTION("""COMPUTED_VALUE"""),"Precious Blood School")</f>
        <v>Precious Blood School</v>
      </c>
      <c r="D1855" s="5">
        <f ca="1">IFERROR(__xludf.DUMMYFUNCTION("""COMPUTED_VALUE"""),1)</f>
        <v>1</v>
      </c>
      <c r="E1855" s="5">
        <f ca="1">IFERROR(__xludf.DUMMYFUNCTION("""COMPUTED_VALUE"""),0)</f>
        <v>0</v>
      </c>
      <c r="F1855" s="5">
        <f ca="1">IFERROR(__xludf.DUMMYFUNCTION("""COMPUTED_VALUE"""),1)</f>
        <v>1</v>
      </c>
      <c r="G1855" s="5">
        <f ca="1">IFERROR(__xludf.DUMMYFUNCTION("""COMPUTED_VALUE"""),0)</f>
        <v>0</v>
      </c>
      <c r="H1855" s="9" t="str">
        <f ca="1">IFERROR(__xludf.DUMMYFUNCTION("""COMPUTED_VALUE"""),"https://www.newspapers.com/newspage/99072089/")</f>
        <v>https://www.newspapers.com/newspage/99072089/</v>
      </c>
      <c r="I1855" s="5"/>
      <c r="J1855" s="5"/>
      <c r="K1855" s="5">
        <f ca="1">IFERROR(__xludf.DUMMYFUNCTION("""COMPUTED_VALUE"""),2)</f>
        <v>2</v>
      </c>
      <c r="L1855" s="5" t="str">
        <f ca="1">IFERROR(__xludf.DUMMYFUNCTION("""COMPUTED_VALUE"""),"Spring")</f>
        <v>Spring</v>
      </c>
      <c r="M1855" s="5" t="str">
        <f ca="1">IFERROR(__xludf.DUMMYFUNCTION("""COMPUTED_VALUE"""),"Detroit")</f>
        <v>Detroit</v>
      </c>
      <c r="N1855" s="5" t="str">
        <f ca="1">IFERROR(__xludf.DUMMYFUNCTION("""COMPUTED_VALUE"""),"MI")</f>
        <v>MI</v>
      </c>
      <c r="O1855" s="5" t="str">
        <f ca="1">IFERROR(__xludf.DUMMYFUNCTION("""COMPUTED_VALUE"""),"K-12")</f>
        <v>K-12</v>
      </c>
      <c r="P1855" s="5" t="str">
        <f ca="1">IFERROR(__xludf.DUMMYFUNCTION("""COMPUTED_VALUE"""),"Classroom")</f>
        <v>Classroom</v>
      </c>
      <c r="Q1855" s="5" t="str">
        <f ca="1">IFERROR(__xludf.DUMMYFUNCTION("""COMPUTED_VALUE"""),"Inside School Building")</f>
        <v>Inside School Building</v>
      </c>
      <c r="R1855" s="5" t="str">
        <f ca="1">IFERROR(__xludf.DUMMYFUNCTION("""COMPUTED_VALUE"""),"Yes")</f>
        <v>Yes</v>
      </c>
      <c r="S1855" s="5"/>
      <c r="T1855" s="5"/>
      <c r="U1855" s="5">
        <f ca="1">IFERROR(__xludf.DUMMYFUNCTION("""COMPUTED_VALUE"""),1)</f>
        <v>1</v>
      </c>
      <c r="V1855" s="5" t="str">
        <f ca="1">IFERROR(__xludf.DUMMYFUNCTION("""COMPUTED_VALUE"""),"Accidental while showing off gun")</f>
        <v>Accidental while showing off gun</v>
      </c>
      <c r="W1855"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X1855" s="5" t="str">
        <f ca="1">IFERROR(__xludf.DUMMYFUNCTION("""COMPUTED_VALUE"""),"Accidental")</f>
        <v>Accidental</v>
      </c>
      <c r="Y1855" s="5" t="str">
        <f ca="1">IFERROR(__xludf.DUMMYFUNCTION("""COMPUTED_VALUE"""),"Random Shooting")</f>
        <v>Random Shooting</v>
      </c>
      <c r="Z1855" s="5" t="str">
        <f ca="1">IFERROR(__xludf.DUMMYFUNCTION("""COMPUTED_VALUE"""),"No")</f>
        <v>No</v>
      </c>
      <c r="AA1855" s="5"/>
      <c r="AB1855" s="5" t="str">
        <f ca="1">IFERROR(__xludf.DUMMYFUNCTION("""COMPUTED_VALUE"""),"No")</f>
        <v>No</v>
      </c>
      <c r="AC1855" s="5" t="str">
        <f ca="1">IFERROR(__xludf.DUMMYFUNCTION("""COMPUTED_VALUE"""),"No")</f>
        <v>No</v>
      </c>
      <c r="AD1855" s="5" t="str">
        <f ca="1">IFERROR(__xludf.DUMMYFUNCTION("""COMPUTED_VALUE"""),"No")</f>
        <v>No</v>
      </c>
      <c r="AE1855" s="5" t="str">
        <f ca="1">IFERROR(__xludf.DUMMYFUNCTION("""COMPUTED_VALUE"""),"No")</f>
        <v>No</v>
      </c>
      <c r="AF1855" s="5" t="str">
        <f ca="1">IFERROR(__xludf.DUMMYFUNCTION("""COMPUTED_VALUE"""),"No")</f>
        <v>No</v>
      </c>
      <c r="AG1855" s="5" t="str">
        <f ca="1">IFERROR(__xludf.DUMMYFUNCTION("""COMPUTED_VALUE"""),"No")</f>
        <v>No</v>
      </c>
      <c r="AH1855" s="5"/>
    </row>
    <row r="1856" spans="1:34" ht="12.75">
      <c r="A1856" s="5" t="str">
        <f ca="1">IFERROR(__xludf.DUMMYFUNCTION("""COMPUTED_VALUE"""),"19840405LACLC")</f>
        <v>19840405LACLC</v>
      </c>
      <c r="B1856" s="8">
        <f ca="1">IFERROR(__xludf.DUMMYFUNCTION("""COMPUTED_VALUE"""),30777)</f>
        <v>30777</v>
      </c>
      <c r="C1856" s="5" t="str">
        <f ca="1">IFERROR(__xludf.DUMMYFUNCTION("""COMPUTED_VALUE"""),"Clinton High School")</f>
        <v>Clinton High School</v>
      </c>
      <c r="D1856" s="5">
        <f ca="1">IFERROR(__xludf.DUMMYFUNCTION("""COMPUTED_VALUE"""),0)</f>
        <v>0</v>
      </c>
      <c r="E1856" s="5">
        <f ca="1">IFERROR(__xludf.DUMMYFUNCTION("""COMPUTED_VALUE"""),1)</f>
        <v>1</v>
      </c>
      <c r="F1856" s="5">
        <f ca="1">IFERROR(__xludf.DUMMYFUNCTION("""COMPUTED_VALUE"""),1)</f>
        <v>1</v>
      </c>
      <c r="G1856" s="5">
        <f ca="1">IFERROR(__xludf.DUMMYFUNCTION("""COMPUTED_VALUE"""),0)</f>
        <v>0</v>
      </c>
      <c r="H1856" s="9" t="str">
        <f ca="1">IFERROR(__xludf.DUMMYFUNCTION("""COMPUTED_VALUE"""),"https://www.newspapers.com/image/216585063/?terms=student%2Bshot")</f>
        <v>https://www.newspapers.com/image/216585063/?terms=student%2Bshot</v>
      </c>
      <c r="I1856" s="5"/>
      <c r="J1856" s="5"/>
      <c r="K1856" s="5">
        <f ca="1">IFERROR(__xludf.DUMMYFUNCTION("""COMPUTED_VALUE"""),2)</f>
        <v>2</v>
      </c>
      <c r="L1856" s="5" t="str">
        <f ca="1">IFERROR(__xludf.DUMMYFUNCTION("""COMPUTED_VALUE"""),"Spring")</f>
        <v>Spring</v>
      </c>
      <c r="M1856" s="5" t="str">
        <f ca="1">IFERROR(__xludf.DUMMYFUNCTION("""COMPUTED_VALUE"""),"Clinton")</f>
        <v>Clinton</v>
      </c>
      <c r="N1856" s="5" t="str">
        <f ca="1">IFERROR(__xludf.DUMMYFUNCTION("""COMPUTED_VALUE"""),"LA")</f>
        <v>LA</v>
      </c>
      <c r="O1856" s="5" t="str">
        <f ca="1">IFERROR(__xludf.DUMMYFUNCTION("""COMPUTED_VALUE"""),"High")</f>
        <v>High</v>
      </c>
      <c r="P1856" s="5" t="str">
        <f ca="1">IFERROR(__xludf.DUMMYFUNCTION("""COMPUTED_VALUE"""),"Auditorium")</f>
        <v>Auditorium</v>
      </c>
      <c r="Q1856" s="5" t="str">
        <f ca="1">IFERROR(__xludf.DUMMYFUNCTION("""COMPUTED_VALUE"""),"Inside School Building")</f>
        <v>Inside School Building</v>
      </c>
      <c r="R1856" s="5" t="str">
        <f ca="1">IFERROR(__xludf.DUMMYFUNCTION("""COMPUTED_VALUE"""),"Yes")</f>
        <v>Yes</v>
      </c>
      <c r="S1856" s="5"/>
      <c r="T1856" s="5"/>
      <c r="U1856" s="5">
        <f ca="1">IFERROR(__xludf.DUMMYFUNCTION("""COMPUTED_VALUE"""),1)</f>
        <v>1</v>
      </c>
      <c r="V1856" s="5" t="str">
        <f ca="1">IFERROR(__xludf.DUMMYFUNCTION("""COMPUTED_VALUE"""),"Ongoing conflicts with fellow students")</f>
        <v>Ongoing conflicts with fellow students</v>
      </c>
      <c r="W1856" s="5" t="str">
        <f ca="1">IFERROR(__xludf.DUMMYFUNCTION("""COMPUTED_VALUE"""),"Ongoing escalation of conflict between two students - shooting occurred in crowded auditorium")</f>
        <v>Ongoing escalation of conflict between two students - shooting occurred in crowded auditorium</v>
      </c>
      <c r="X1856" s="5" t="str">
        <f ca="1">IFERROR(__xludf.DUMMYFUNCTION("""COMPUTED_VALUE"""),"Escalation of Dispute")</f>
        <v>Escalation of Dispute</v>
      </c>
      <c r="Y1856" s="5" t="str">
        <f ca="1">IFERROR(__xludf.DUMMYFUNCTION("""COMPUTED_VALUE"""),"Victims Targeted")</f>
        <v>Victims Targeted</v>
      </c>
      <c r="Z1856" s="5" t="str">
        <f ca="1">IFERROR(__xludf.DUMMYFUNCTION("""COMPUTED_VALUE"""),"No")</f>
        <v>No</v>
      </c>
      <c r="AA1856" s="5"/>
      <c r="AB1856" s="5" t="str">
        <f ca="1">IFERROR(__xludf.DUMMYFUNCTION("""COMPUTED_VALUE"""),"No")</f>
        <v>No</v>
      </c>
      <c r="AC1856" s="5" t="str">
        <f ca="1">IFERROR(__xludf.DUMMYFUNCTION("""COMPUTED_VALUE"""),"No")</f>
        <v>No</v>
      </c>
      <c r="AD1856" s="5" t="str">
        <f ca="1">IFERROR(__xludf.DUMMYFUNCTION("""COMPUTED_VALUE"""),"No")</f>
        <v>No</v>
      </c>
      <c r="AE1856" s="5"/>
      <c r="AF1856" s="5" t="str">
        <f ca="1">IFERROR(__xludf.DUMMYFUNCTION("""COMPUTED_VALUE"""),"No")</f>
        <v>No</v>
      </c>
      <c r="AG1856" s="5" t="str">
        <f ca="1">IFERROR(__xludf.DUMMYFUNCTION("""COMPUTED_VALUE"""),"No")</f>
        <v>No</v>
      </c>
      <c r="AH1856" s="5"/>
    </row>
    <row r="1857" spans="1:34" ht="12.75">
      <c r="A1857" s="5" t="str">
        <f ca="1">IFERROR(__xludf.DUMMYFUNCTION("""COMPUTED_VALUE"""),"19840224CA49L")</f>
        <v>19840224CA49L</v>
      </c>
      <c r="B1857" s="8">
        <f ca="1">IFERROR(__xludf.DUMMYFUNCTION("""COMPUTED_VALUE"""),30736)</f>
        <v>30736</v>
      </c>
      <c r="C1857" s="5" t="str">
        <f ca="1">IFERROR(__xludf.DUMMYFUNCTION("""COMPUTED_VALUE"""),"49th Street Elementary School")</f>
        <v>49th Street Elementary School</v>
      </c>
      <c r="D1857" s="5">
        <f ca="1">IFERROR(__xludf.DUMMYFUNCTION("""COMPUTED_VALUE"""),2)</f>
        <v>2</v>
      </c>
      <c r="E1857" s="5">
        <f ca="1">IFERROR(__xludf.DUMMYFUNCTION("""COMPUTED_VALUE"""),8)</f>
        <v>8</v>
      </c>
      <c r="F1857" s="5">
        <f ca="1">IFERROR(__xludf.DUMMYFUNCTION("""COMPUTED_VALUE"""),10)</f>
        <v>10</v>
      </c>
      <c r="G1857" s="5">
        <f ca="1">IFERROR(__xludf.DUMMYFUNCTION("""COMPUTED_VALUE"""),1)</f>
        <v>1</v>
      </c>
      <c r="H1857"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I1857" s="5"/>
      <c r="J1857" s="5"/>
      <c r="K1857" s="5">
        <f ca="1">IFERROR(__xludf.DUMMYFUNCTION("""COMPUTED_VALUE"""),3)</f>
        <v>3</v>
      </c>
      <c r="L1857" s="5" t="str">
        <f ca="1">IFERROR(__xludf.DUMMYFUNCTION("""COMPUTED_VALUE"""),"Winter")</f>
        <v>Winter</v>
      </c>
      <c r="M1857" s="5" t="str">
        <f ca="1">IFERROR(__xludf.DUMMYFUNCTION("""COMPUTED_VALUE"""),"Los Angeles")</f>
        <v>Los Angeles</v>
      </c>
      <c r="N1857" s="5" t="str">
        <f ca="1">IFERROR(__xludf.DUMMYFUNCTION("""COMPUTED_VALUE"""),"CA")</f>
        <v>CA</v>
      </c>
      <c r="O1857" s="5" t="str">
        <f ca="1">IFERROR(__xludf.DUMMYFUNCTION("""COMPUTED_VALUE"""),"Elementary")</f>
        <v>Elementary</v>
      </c>
      <c r="P1857" s="5" t="str">
        <f ca="1">IFERROR(__xludf.DUMMYFUNCTION("""COMPUTED_VALUE"""),"Playground")</f>
        <v>Playground</v>
      </c>
      <c r="Q1857" s="5" t="str">
        <f ca="1">IFERROR(__xludf.DUMMYFUNCTION("""COMPUTED_VALUE"""),"Off School Property")</f>
        <v>Off School Property</v>
      </c>
      <c r="R1857" s="5" t="str">
        <f ca="1">IFERROR(__xludf.DUMMYFUNCTION("""COMPUTED_VALUE"""),"Yes")</f>
        <v>Yes</v>
      </c>
      <c r="S1857" s="5" t="str">
        <f ca="1">IFERROR(__xludf.DUMMYFUNCTION("""COMPUTED_VALUE"""),"After School")</f>
        <v>After School</v>
      </c>
      <c r="T1857" s="10">
        <f ca="1">IFERROR(__xludf.DUMMYFUNCTION("""COMPUTED_VALUE"""),0.599305555555555)</f>
        <v>0.59930555555555498</v>
      </c>
      <c r="U1857" s="5"/>
      <c r="V1857" s="5" t="str">
        <f ca="1">IFERROR(__xludf.DUMMYFUNCTION("""COMPUTED_VALUE"""),"Shot multiple students from house across the street during mental breakdown")</f>
        <v>Shot multiple students from house across the street during mental breakdown</v>
      </c>
      <c r="W1857"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X1857" s="5" t="str">
        <f ca="1">IFERROR(__xludf.DUMMYFUNCTION("""COMPUTED_VALUE"""),"Psychosis")</f>
        <v>Psychosis</v>
      </c>
      <c r="Y1857" s="5" t="str">
        <f ca="1">IFERROR(__xludf.DUMMYFUNCTION("""COMPUTED_VALUE"""),"Random Shooting")</f>
        <v>Random Shooting</v>
      </c>
      <c r="Z1857" s="5" t="str">
        <f ca="1">IFERROR(__xludf.DUMMYFUNCTION("""COMPUTED_VALUE"""),"No")</f>
        <v>No</v>
      </c>
      <c r="AA1857" s="5"/>
      <c r="AB1857" s="5" t="str">
        <f ca="1">IFERROR(__xludf.DUMMYFUNCTION("""COMPUTED_VALUE"""),"No")</f>
        <v>No</v>
      </c>
      <c r="AC1857" s="5" t="str">
        <f ca="1">IFERROR(__xludf.DUMMYFUNCTION("""COMPUTED_VALUE"""),"No")</f>
        <v>No</v>
      </c>
      <c r="AD1857" s="5" t="str">
        <f ca="1">IFERROR(__xludf.DUMMYFUNCTION("""COMPUTED_VALUE"""),"No")</f>
        <v>No</v>
      </c>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IFERROR(__xludf.DUMMYFUNCTION("""COMPUTED_VALUE"""),"Yes")</f>
        <v>Yes</v>
      </c>
    </row>
    <row r="1858" spans="1:34" ht="12.75">
      <c r="A1858" s="5" t="str">
        <f ca="1">IFERROR(__xludf.DUMMYFUNCTION("""COMPUTED_VALUE"""),"19840221TXSHH")</f>
        <v>19840221TXSHH</v>
      </c>
      <c r="B1858" s="8">
        <f ca="1">IFERROR(__xludf.DUMMYFUNCTION("""COMPUTED_VALUE"""),30733)</f>
        <v>30733</v>
      </c>
      <c r="C1858" s="5" t="str">
        <f ca="1">IFERROR(__xludf.DUMMYFUNCTION("""COMPUTED_VALUE"""),"Sharpstown High School")</f>
        <v>Sharpstown High School</v>
      </c>
      <c r="D1858" s="5">
        <f ca="1">IFERROR(__xludf.DUMMYFUNCTION("""COMPUTED_VALUE"""),0)</f>
        <v>0</v>
      </c>
      <c r="E1858" s="5">
        <f ca="1">IFERROR(__xludf.DUMMYFUNCTION("""COMPUTED_VALUE"""),1)</f>
        <v>1</v>
      </c>
      <c r="F1858" s="5">
        <f ca="1">IFERROR(__xludf.DUMMYFUNCTION("""COMPUTED_VALUE"""),1)</f>
        <v>1</v>
      </c>
      <c r="G1858" s="5">
        <f ca="1">IFERROR(__xludf.DUMMYFUNCTION("""COMPUTED_VALUE"""),0)</f>
        <v>0</v>
      </c>
      <c r="H1858" s="9" t="str">
        <f ca="1">IFERROR(__xludf.DUMMYFUNCTION("""COMPUTED_VALUE"""),"https://www.newspapers.com/image/439511158/?terms=sharpstown%2Bhigh%2Bschool%2Bteacher")</f>
        <v>https://www.newspapers.com/image/439511158/?terms=sharpstown%2Bhigh%2Bschool%2Bteacher</v>
      </c>
      <c r="I1858" s="5"/>
      <c r="J1858" s="5"/>
      <c r="K1858" s="5">
        <f ca="1">IFERROR(__xludf.DUMMYFUNCTION("""COMPUTED_VALUE"""),2)</f>
        <v>2</v>
      </c>
      <c r="L1858" s="5" t="str">
        <f ca="1">IFERROR(__xludf.DUMMYFUNCTION("""COMPUTED_VALUE"""),"Winter")</f>
        <v>Winter</v>
      </c>
      <c r="M1858" s="5" t="str">
        <f ca="1">IFERROR(__xludf.DUMMYFUNCTION("""COMPUTED_VALUE"""),"Houston")</f>
        <v>Houston</v>
      </c>
      <c r="N1858" s="5" t="str">
        <f ca="1">IFERROR(__xludf.DUMMYFUNCTION("""COMPUTED_VALUE"""),"TX")</f>
        <v>TX</v>
      </c>
      <c r="O1858" s="5" t="str">
        <f ca="1">IFERROR(__xludf.DUMMYFUNCTION("""COMPUTED_VALUE"""),"High")</f>
        <v>High</v>
      </c>
      <c r="P1858" s="5" t="str">
        <f ca="1">IFERROR(__xludf.DUMMYFUNCTION("""COMPUTED_VALUE"""),"Classroom")</f>
        <v>Classroom</v>
      </c>
      <c r="Q1858" s="5" t="str">
        <f ca="1">IFERROR(__xludf.DUMMYFUNCTION("""COMPUTED_VALUE"""),"Inside School Building")</f>
        <v>Inside School Building</v>
      </c>
      <c r="R1858" s="5" t="str">
        <f ca="1">IFERROR(__xludf.DUMMYFUNCTION("""COMPUTED_VALUE"""),"Yes")</f>
        <v>Yes</v>
      </c>
      <c r="S1858" s="5" t="str">
        <f ca="1">IFERROR(__xludf.DUMMYFUNCTION("""COMPUTED_VALUE"""),"Lunch")</f>
        <v>Lunch</v>
      </c>
      <c r="T1858" s="5"/>
      <c r="U1858" s="5">
        <f ca="1">IFERROR(__xludf.DUMMYFUNCTION("""COMPUTED_VALUE"""),1)</f>
        <v>1</v>
      </c>
      <c r="V1858" s="5" t="str">
        <f ca="1">IFERROR(__xludf.DUMMYFUNCTION("""COMPUTED_VALUE"""),"Shooter shot teacher twice during lunch")</f>
        <v>Shooter shot teacher twice during lunch</v>
      </c>
      <c r="W1858"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X1858" s="5" t="str">
        <f ca="1">IFERROR(__xludf.DUMMYFUNCTION("""COMPUTED_VALUE"""),"Anger Over Grade/Suspension/Discipline")</f>
        <v>Anger Over Grade/Suspension/Discipline</v>
      </c>
      <c r="Y1858" s="5" t="str">
        <f ca="1">IFERROR(__xludf.DUMMYFUNCTION("""COMPUTED_VALUE"""),"Victims Targeted")</f>
        <v>Victims Targeted</v>
      </c>
      <c r="Z1858" s="5"/>
      <c r="AA1858" s="5"/>
      <c r="AB1858" s="5" t="str">
        <f ca="1">IFERROR(__xludf.DUMMYFUNCTION("""COMPUTED_VALUE"""),"No")</f>
        <v>No</v>
      </c>
      <c r="AC1858" s="5" t="str">
        <f ca="1">IFERROR(__xludf.DUMMYFUNCTION("""COMPUTED_VALUE"""),"No")</f>
        <v>No</v>
      </c>
      <c r="AD1858" s="5" t="str">
        <f ca="1">IFERROR(__xludf.DUMMYFUNCTION("""COMPUTED_VALUE"""),"No")</f>
        <v>No</v>
      </c>
      <c r="AE1858" s="5" t="str">
        <f ca="1">IFERROR(__xludf.DUMMYFUNCTION("""COMPUTED_VALUE"""),"No")</f>
        <v>No</v>
      </c>
      <c r="AF1858" s="5" t="str">
        <f ca="1">IFERROR(__xludf.DUMMYFUNCTION("""COMPUTED_VALUE"""),"No")</f>
        <v>No</v>
      </c>
      <c r="AG1858" s="5" t="str">
        <f ca="1">IFERROR(__xludf.DUMMYFUNCTION("""COMPUTED_VALUE"""),"No")</f>
        <v>No</v>
      </c>
      <c r="AH1858" s="5"/>
    </row>
    <row r="1859" spans="1:34" ht="12.75">
      <c r="A1859" s="5" t="str">
        <f ca="1">IFERROR(__xludf.DUMMYFUNCTION("""COMPUTED_VALUE"""),"19840206KYCEL")</f>
        <v>19840206KYCEL</v>
      </c>
      <c r="B1859" s="8">
        <f ca="1">IFERROR(__xludf.DUMMYFUNCTION("""COMPUTED_VALUE"""),30718)</f>
        <v>30718</v>
      </c>
      <c r="C1859" s="5" t="str">
        <f ca="1">IFERROR(__xludf.DUMMYFUNCTION("""COMPUTED_VALUE"""),"Central High School")</f>
        <v>Central High School</v>
      </c>
      <c r="D1859" s="5">
        <f ca="1">IFERROR(__xludf.DUMMYFUNCTION("""COMPUTED_VALUE"""),0)</f>
        <v>0</v>
      </c>
      <c r="E1859" s="5">
        <f ca="1">IFERROR(__xludf.DUMMYFUNCTION("""COMPUTED_VALUE"""),1)</f>
        <v>1</v>
      </c>
      <c r="F1859" s="5">
        <f ca="1">IFERROR(__xludf.DUMMYFUNCTION("""COMPUTED_VALUE"""),1)</f>
        <v>1</v>
      </c>
      <c r="G1859" s="5">
        <f ca="1">IFERROR(__xludf.DUMMYFUNCTION("""COMPUTED_VALUE"""),0)</f>
        <v>0</v>
      </c>
      <c r="H1859" s="9" t="str">
        <f ca="1">IFERROR(__xludf.DUMMYFUNCTION("""COMPUTED_VALUE"""),"https://www.newspapers.com/image/109675401/?terms=student%2Bshot")</f>
        <v>https://www.newspapers.com/image/109675401/?terms=student%2Bshot</v>
      </c>
      <c r="I1859" s="5"/>
      <c r="J1859" s="5"/>
      <c r="K1859" s="5">
        <f ca="1">IFERROR(__xludf.DUMMYFUNCTION("""COMPUTED_VALUE"""),2)</f>
        <v>2</v>
      </c>
      <c r="L1859" s="5" t="str">
        <f ca="1">IFERROR(__xludf.DUMMYFUNCTION("""COMPUTED_VALUE"""),"Winter")</f>
        <v>Winter</v>
      </c>
      <c r="M1859" s="5" t="str">
        <f ca="1">IFERROR(__xludf.DUMMYFUNCTION("""COMPUTED_VALUE"""),"Louisville")</f>
        <v>Louisville</v>
      </c>
      <c r="N1859" s="5" t="str">
        <f ca="1">IFERROR(__xludf.DUMMYFUNCTION("""COMPUTED_VALUE"""),"KY")</f>
        <v>KY</v>
      </c>
      <c r="O1859" s="5" t="str">
        <f ca="1">IFERROR(__xludf.DUMMYFUNCTION("""COMPUTED_VALUE"""),"High")</f>
        <v>High</v>
      </c>
      <c r="P1859" s="5" t="str">
        <f ca="1">IFERROR(__xludf.DUMMYFUNCTION("""COMPUTED_VALUE"""),"Outside on School Property")</f>
        <v>Outside on School Property</v>
      </c>
      <c r="Q1859" s="5" t="str">
        <f ca="1">IFERROR(__xludf.DUMMYFUNCTION("""COMPUTED_VALUE"""),"Outside on School Property")</f>
        <v>Outside on School Property</v>
      </c>
      <c r="R1859" s="5" t="str">
        <f ca="1">IFERROR(__xludf.DUMMYFUNCTION("""COMPUTED_VALUE"""),"Yes")</f>
        <v>Yes</v>
      </c>
      <c r="S1859" s="5" t="str">
        <f ca="1">IFERROR(__xludf.DUMMYFUNCTION("""COMPUTED_VALUE"""),"Lunch")</f>
        <v>Lunch</v>
      </c>
      <c r="T1859" s="5"/>
      <c r="U1859" s="5">
        <f ca="1">IFERROR(__xludf.DUMMYFUNCTION("""COMPUTED_VALUE"""),1)</f>
        <v>1</v>
      </c>
      <c r="V1859" s="5" t="str">
        <f ca="1">IFERROR(__xludf.DUMMYFUNCTION("""COMPUTED_VALUE"""),"Argument in school hallway led to victim being shot")</f>
        <v>Argument in school hallway led to victim being shot</v>
      </c>
      <c r="W1859" s="5" t="str">
        <f ca="1">IFERROR(__xludf.DUMMYFUNCTION("""COMPUTED_VALUE"""),"Ongoing conflict between students")</f>
        <v>Ongoing conflict between students</v>
      </c>
      <c r="X1859" s="5" t="str">
        <f ca="1">IFERROR(__xludf.DUMMYFUNCTION("""COMPUTED_VALUE"""),"Escalation of Dispute")</f>
        <v>Escalation of Dispute</v>
      </c>
      <c r="Y1859" s="5" t="str">
        <f ca="1">IFERROR(__xludf.DUMMYFUNCTION("""COMPUTED_VALUE"""),"Victims Targeted")</f>
        <v>Victims Targeted</v>
      </c>
      <c r="Z1859" s="5" t="str">
        <f ca="1">IFERROR(__xludf.DUMMYFUNCTION("""COMPUTED_VALUE"""),"Yes")</f>
        <v>Yes</v>
      </c>
      <c r="AA1859" s="5" t="str">
        <f ca="1">IFERROR(__xludf.DUMMYFUNCTION("""COMPUTED_VALUE"""),"3 students involved")</f>
        <v>3 students involved</v>
      </c>
      <c r="AB1859" s="5" t="str">
        <f ca="1">IFERROR(__xludf.DUMMYFUNCTION("""COMPUTED_VALUE"""),"No")</f>
        <v>No</v>
      </c>
      <c r="AC1859" s="5" t="str">
        <f ca="1">IFERROR(__xludf.DUMMYFUNCTION("""COMPUTED_VALUE"""),"No")</f>
        <v>No</v>
      </c>
      <c r="AD1859" s="5" t="str">
        <f ca="1">IFERROR(__xludf.DUMMYFUNCTION("""COMPUTED_VALUE"""),"No")</f>
        <v>No</v>
      </c>
      <c r="AE1859" s="5" t="str">
        <f ca="1">IFERROR(__xludf.DUMMYFUNCTION("""COMPUTED_VALUE"""),"No")</f>
        <v>No</v>
      </c>
      <c r="AF1859" s="5" t="str">
        <f ca="1">IFERROR(__xludf.DUMMYFUNCTION("""COMPUTED_VALUE"""),"No")</f>
        <v>No</v>
      </c>
      <c r="AG1859" s="5" t="str">
        <f ca="1">IFERROR(__xludf.DUMMYFUNCTION("""COMPUTED_VALUE"""),"No")</f>
        <v>No</v>
      </c>
      <c r="AH1859" s="5"/>
    </row>
    <row r="1860" spans="1:34" ht="12.75">
      <c r="A1860" s="5" t="str">
        <f ca="1">IFERROR(__xludf.DUMMYFUNCTION("""COMPUTED_VALUE"""),"19840105MDLAB")</f>
        <v>19840105MDLAB</v>
      </c>
      <c r="B1860" s="8">
        <f ca="1">IFERROR(__xludf.DUMMYFUNCTION("""COMPUTED_VALUE"""),30686)</f>
        <v>30686</v>
      </c>
      <c r="C1860" s="5" t="str">
        <f ca="1">IFERROR(__xludf.DUMMYFUNCTION("""COMPUTED_VALUE"""),"Lake Clifton Senior HIgh School")</f>
        <v>Lake Clifton Senior HIgh School</v>
      </c>
      <c r="D1860" s="5">
        <f ca="1">IFERROR(__xludf.DUMMYFUNCTION("""COMPUTED_VALUE"""),0)</f>
        <v>0</v>
      </c>
      <c r="E1860" s="5">
        <f ca="1">IFERROR(__xludf.DUMMYFUNCTION("""COMPUTED_VALUE"""),1)</f>
        <v>1</v>
      </c>
      <c r="F1860" s="5">
        <f ca="1">IFERROR(__xludf.DUMMYFUNCTION("""COMPUTED_VALUE"""),1)</f>
        <v>1</v>
      </c>
      <c r="G1860" s="5">
        <f ca="1">IFERROR(__xludf.DUMMYFUNCTION("""COMPUTED_VALUE"""),0)</f>
        <v>0</v>
      </c>
      <c r="H1860"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I1860" s="5"/>
      <c r="J1860" s="5"/>
      <c r="K1860" s="5">
        <f ca="1">IFERROR(__xludf.DUMMYFUNCTION("""COMPUTED_VALUE"""),2)</f>
        <v>2</v>
      </c>
      <c r="L1860" s="5" t="str">
        <f ca="1">IFERROR(__xludf.DUMMYFUNCTION("""COMPUTED_VALUE"""),"Winter")</f>
        <v>Winter</v>
      </c>
      <c r="M1860" s="5" t="str">
        <f ca="1">IFERROR(__xludf.DUMMYFUNCTION("""COMPUTED_VALUE"""),"Baltimore")</f>
        <v>Baltimore</v>
      </c>
      <c r="N1860" s="5" t="str">
        <f ca="1">IFERROR(__xludf.DUMMYFUNCTION("""COMPUTED_VALUE"""),"MD")</f>
        <v>MD</v>
      </c>
      <c r="O1860" s="5" t="str">
        <f ca="1">IFERROR(__xludf.DUMMYFUNCTION("""COMPUTED_VALUE"""),"High")</f>
        <v>High</v>
      </c>
      <c r="P1860" s="5" t="str">
        <f ca="1">IFERROR(__xludf.DUMMYFUNCTION("""COMPUTED_VALUE"""),"Parking Lot")</f>
        <v>Parking Lot</v>
      </c>
      <c r="Q1860" s="5" t="str">
        <f ca="1">IFERROR(__xludf.DUMMYFUNCTION("""COMPUTED_VALUE"""),"Outside on School Property")</f>
        <v>Outside on School Property</v>
      </c>
      <c r="R1860" s="5" t="str">
        <f ca="1">IFERROR(__xludf.DUMMYFUNCTION("""COMPUTED_VALUE"""),"No")</f>
        <v>No</v>
      </c>
      <c r="S1860" s="5" t="str">
        <f ca="1">IFERROR(__xludf.DUMMYFUNCTION("""COMPUTED_VALUE"""),"After School")</f>
        <v>After School</v>
      </c>
      <c r="T1860" s="10">
        <f ca="1">IFERROR(__xludf.DUMMYFUNCTION("""COMPUTED_VALUE"""),0.645833333333333)</f>
        <v>0.64583333333333304</v>
      </c>
      <c r="U1860" s="5">
        <f ca="1">IFERROR(__xludf.DUMMYFUNCTION("""COMPUTED_VALUE"""),1)</f>
        <v>1</v>
      </c>
      <c r="V1860" s="5" t="str">
        <f ca="1">IFERROR(__xludf.DUMMYFUNCTION("""COMPUTED_VALUE"""),"Victim argued with 4 other youths on parking lot before being shot")</f>
        <v>Victim argued with 4 other youths on parking lot before being shot</v>
      </c>
      <c r="W1860"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X1860" s="5" t="str">
        <f ca="1">IFERROR(__xludf.DUMMYFUNCTION("""COMPUTED_VALUE"""),"Escalation of Dispute")</f>
        <v>Escalation of Dispute</v>
      </c>
      <c r="Y1860" s="5" t="str">
        <f ca="1">IFERROR(__xludf.DUMMYFUNCTION("""COMPUTED_VALUE"""),"Victims Targeted")</f>
        <v>Victims Targeted</v>
      </c>
      <c r="Z1860" s="5" t="str">
        <f ca="1">IFERROR(__xludf.DUMMYFUNCTION("""COMPUTED_VALUE"""),"No")</f>
        <v>No</v>
      </c>
      <c r="AA1860" s="5"/>
      <c r="AB1860" s="5" t="str">
        <f ca="1">IFERROR(__xludf.DUMMYFUNCTION("""COMPUTED_VALUE"""),"No")</f>
        <v>No</v>
      </c>
      <c r="AC1860" s="5" t="str">
        <f ca="1">IFERROR(__xludf.DUMMYFUNCTION("""COMPUTED_VALUE"""),"No")</f>
        <v>No</v>
      </c>
      <c r="AD1860" s="5" t="str">
        <f ca="1">IFERROR(__xludf.DUMMYFUNCTION("""COMPUTED_VALUE"""),"No")</f>
        <v>No</v>
      </c>
      <c r="AE1860" s="5" t="str">
        <f ca="1">IFERROR(__xludf.DUMMYFUNCTION("""COMPUTED_VALUE"""),"No")</f>
        <v>No</v>
      </c>
      <c r="AF1860" s="5" t="str">
        <f ca="1">IFERROR(__xludf.DUMMYFUNCTION("""COMPUTED_VALUE"""),"No")</f>
        <v>No</v>
      </c>
      <c r="AG1860" s="5" t="str">
        <f ca="1">IFERROR(__xludf.DUMMYFUNCTION("""COMPUTED_VALUE"""),"No")</f>
        <v>No</v>
      </c>
      <c r="AH1860" s="5"/>
    </row>
    <row r="1861" spans="1:34" ht="12.75">
      <c r="A1861" s="5" t="str">
        <f ca="1">IFERROR(__xludf.DUMMYFUNCTION("""COMPUTED_VALUE"""),"19831216ILBOR")</f>
        <v>19831216ILBOR</v>
      </c>
      <c r="B1861" s="8">
        <f ca="1">IFERROR(__xludf.DUMMYFUNCTION("""COMPUTED_VALUE"""),30666)</f>
        <v>30666</v>
      </c>
      <c r="C1861" s="5" t="str">
        <f ca="1">IFERROR(__xludf.DUMMYFUNCTION("""COMPUTED_VALUE"""),"Boylan Central Catholic High School")</f>
        <v>Boylan Central Catholic High School</v>
      </c>
      <c r="D1861" s="5">
        <f ca="1">IFERROR(__xludf.DUMMYFUNCTION("""COMPUTED_VALUE"""),0)</f>
        <v>0</v>
      </c>
      <c r="E1861" s="5">
        <f ca="1">IFERROR(__xludf.DUMMYFUNCTION("""COMPUTED_VALUE"""),1)</f>
        <v>1</v>
      </c>
      <c r="F1861" s="5">
        <f ca="1">IFERROR(__xludf.DUMMYFUNCTION("""COMPUTED_VALUE"""),1)</f>
        <v>1</v>
      </c>
      <c r="G1861" s="5">
        <f ca="1">IFERROR(__xludf.DUMMYFUNCTION("""COMPUTED_VALUE"""),0)</f>
        <v>0</v>
      </c>
      <c r="H1861" s="9" t="str">
        <f ca="1">IFERROR(__xludf.DUMMYFUNCTION("""COMPUTED_VALUE"""),"https://news.google.com/newspapers?id=uSEVAAAAIBAJ&amp;sjid=UwYEAAAAIBAJ&amp;pg=3636,1012288&amp;dq=")</f>
        <v>https://news.google.com/newspapers?id=uSEVAAAAIBAJ&amp;sjid=UwYEAAAAIBAJ&amp;pg=3636,1012288&amp;dq=</v>
      </c>
      <c r="I1861" s="5"/>
      <c r="J1861" s="5"/>
      <c r="K1861" s="5">
        <f ca="1">IFERROR(__xludf.DUMMYFUNCTION("""COMPUTED_VALUE"""),2)</f>
        <v>2</v>
      </c>
      <c r="L1861" s="5" t="str">
        <f ca="1">IFERROR(__xludf.DUMMYFUNCTION("""COMPUTED_VALUE"""),"Winter")</f>
        <v>Winter</v>
      </c>
      <c r="M1861" s="5" t="str">
        <f ca="1">IFERROR(__xludf.DUMMYFUNCTION("""COMPUTED_VALUE"""),"Rockford")</f>
        <v>Rockford</v>
      </c>
      <c r="N1861" s="5" t="str">
        <f ca="1">IFERROR(__xludf.DUMMYFUNCTION("""COMPUTED_VALUE"""),"IL")</f>
        <v>IL</v>
      </c>
      <c r="O1861" s="5" t="str">
        <f ca="1">IFERROR(__xludf.DUMMYFUNCTION("""COMPUTED_VALUE"""),"High")</f>
        <v>High</v>
      </c>
      <c r="P1861" s="5" t="str">
        <f ca="1">IFERROR(__xludf.DUMMYFUNCTION("""COMPUTED_VALUE"""),"Classroom")</f>
        <v>Classroom</v>
      </c>
      <c r="Q1861" s="5" t="str">
        <f ca="1">IFERROR(__xludf.DUMMYFUNCTION("""COMPUTED_VALUE"""),"Inside School Building")</f>
        <v>Inside School Building</v>
      </c>
      <c r="R1861" s="5" t="str">
        <f ca="1">IFERROR(__xludf.DUMMYFUNCTION("""COMPUTED_VALUE"""),"Yes")</f>
        <v>Yes</v>
      </c>
      <c r="S1861" s="5" t="str">
        <f ca="1">IFERROR(__xludf.DUMMYFUNCTION("""COMPUTED_VALUE"""),"Morning Classes")</f>
        <v>Morning Classes</v>
      </c>
      <c r="T1861" s="5"/>
      <c r="U1861" s="5">
        <f ca="1">IFERROR(__xludf.DUMMYFUNCTION("""COMPUTED_VALUE"""),1)</f>
        <v>1</v>
      </c>
      <c r="V1861" s="5" t="str">
        <f ca="1">IFERROR(__xludf.DUMMYFUNCTION("""COMPUTED_VALUE"""),"Suspect shot German teacher due to previously being disciplined by her.")</f>
        <v>Suspect shot German teacher due to previously being disciplined by her.</v>
      </c>
      <c r="W1861"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X1861" s="5" t="str">
        <f ca="1">IFERROR(__xludf.DUMMYFUNCTION("""COMPUTED_VALUE"""),"Anger Over Grade/Suspension/Discipline")</f>
        <v>Anger Over Grade/Suspension/Discipline</v>
      </c>
      <c r="Y1861" s="5" t="str">
        <f ca="1">IFERROR(__xludf.DUMMYFUNCTION("""COMPUTED_VALUE"""),"Victims Targeted")</f>
        <v>Victims Targeted</v>
      </c>
      <c r="Z1861" s="5" t="str">
        <f ca="1">IFERROR(__xludf.DUMMYFUNCTION("""COMPUTED_VALUE"""),"No")</f>
        <v>No</v>
      </c>
      <c r="AA1861" s="5"/>
      <c r="AB1861" s="5" t="str">
        <f ca="1">IFERROR(__xludf.DUMMYFUNCTION("""COMPUTED_VALUE"""),"No")</f>
        <v>No</v>
      </c>
      <c r="AC1861" s="5" t="str">
        <f ca="1">IFERROR(__xludf.DUMMYFUNCTION("""COMPUTED_VALUE"""),"No")</f>
        <v>No</v>
      </c>
      <c r="AD1861" s="5" t="str">
        <f ca="1">IFERROR(__xludf.DUMMYFUNCTION("""COMPUTED_VALUE"""),"No")</f>
        <v>No</v>
      </c>
      <c r="AE1861" s="5" t="str">
        <f ca="1">IFERROR(__xludf.DUMMYFUNCTION("""COMPUTED_VALUE"""),"No")</f>
        <v>No</v>
      </c>
      <c r="AF1861" s="5" t="str">
        <f ca="1">IFERROR(__xludf.DUMMYFUNCTION("""COMPUTED_VALUE"""),"No")</f>
        <v>No</v>
      </c>
      <c r="AG1861" s="5" t="str">
        <f ca="1">IFERROR(__xludf.DUMMYFUNCTION("""COMPUTED_VALUE"""),"No")</f>
        <v>No</v>
      </c>
      <c r="AH1861" s="5"/>
    </row>
    <row r="1862" spans="1:34" ht="12.75">
      <c r="A1862" s="5" t="str">
        <f ca="1">IFERROR(__xludf.DUMMYFUNCTION("""COMPUTED_VALUE"""),"19831202INCRC")</f>
        <v>19831202INCRC</v>
      </c>
      <c r="B1862" s="8">
        <f ca="1">IFERROR(__xludf.DUMMYFUNCTION("""COMPUTED_VALUE"""),30652)</f>
        <v>30652</v>
      </c>
      <c r="C1862" s="5" t="str">
        <f ca="1">IFERROR(__xludf.DUMMYFUNCTION("""COMPUTED_VALUE"""),"Crawfordsville High School")</f>
        <v>Crawfordsville High School</v>
      </c>
      <c r="D1862" s="5">
        <f ca="1">IFERROR(__xludf.DUMMYFUNCTION("""COMPUTED_VALUE"""),0)</f>
        <v>0</v>
      </c>
      <c r="E1862" s="5">
        <f ca="1">IFERROR(__xludf.DUMMYFUNCTION("""COMPUTED_VALUE"""),1)</f>
        <v>1</v>
      </c>
      <c r="F1862" s="5">
        <f ca="1">IFERROR(__xludf.DUMMYFUNCTION("""COMPUTED_VALUE"""),1)</f>
        <v>1</v>
      </c>
      <c r="G1862" s="5">
        <f ca="1">IFERROR(__xludf.DUMMYFUNCTION("""COMPUTED_VALUE"""),0)</f>
        <v>0</v>
      </c>
      <c r="H1862" s="9" t="str">
        <f ca="1">IFERROR(__xludf.DUMMYFUNCTION("""COMPUTED_VALUE"""),"https://www.newspapers.com/image/178928817/?terms=student%2Bshot")</f>
        <v>https://www.newspapers.com/image/178928817/?terms=student%2Bshot</v>
      </c>
      <c r="I1862" s="5"/>
      <c r="J1862" s="5"/>
      <c r="K1862" s="5">
        <f ca="1">IFERROR(__xludf.DUMMYFUNCTION("""COMPUTED_VALUE"""),2)</f>
        <v>2</v>
      </c>
      <c r="L1862" s="5" t="str">
        <f ca="1">IFERROR(__xludf.DUMMYFUNCTION("""COMPUTED_VALUE"""),"Winter")</f>
        <v>Winter</v>
      </c>
      <c r="M1862" s="5" t="str">
        <f ca="1">IFERROR(__xludf.DUMMYFUNCTION("""COMPUTED_VALUE"""),"Crawfordsville")</f>
        <v>Crawfordsville</v>
      </c>
      <c r="N1862" s="5" t="str">
        <f ca="1">IFERROR(__xludf.DUMMYFUNCTION("""COMPUTED_VALUE"""),"IN")</f>
        <v>IN</v>
      </c>
      <c r="O1862" s="5" t="str">
        <f ca="1">IFERROR(__xludf.DUMMYFUNCTION("""COMPUTED_VALUE"""),"High")</f>
        <v>High</v>
      </c>
      <c r="P1862" s="5" t="str">
        <f ca="1">IFERROR(__xludf.DUMMYFUNCTION("""COMPUTED_VALUE"""),"Cafeteria")</f>
        <v>Cafeteria</v>
      </c>
      <c r="Q1862" s="5" t="str">
        <f ca="1">IFERROR(__xludf.DUMMYFUNCTION("""COMPUTED_VALUE"""),"Inside School Building")</f>
        <v>Inside School Building</v>
      </c>
      <c r="R1862" s="5" t="str">
        <f ca="1">IFERROR(__xludf.DUMMYFUNCTION("""COMPUTED_VALUE"""),"Yes")</f>
        <v>Yes</v>
      </c>
      <c r="S1862" s="5" t="str">
        <f ca="1">IFERROR(__xludf.DUMMYFUNCTION("""COMPUTED_VALUE"""),"Lunch")</f>
        <v>Lunch</v>
      </c>
      <c r="T1862" s="10">
        <f ca="1">IFERROR(__xludf.DUMMYFUNCTION("""COMPUTED_VALUE"""),0.493055555555555)</f>
        <v>0.49305555555555503</v>
      </c>
      <c r="U1862" s="5">
        <f ca="1">IFERROR(__xludf.DUMMYFUNCTION("""COMPUTED_VALUE"""),1)</f>
        <v>1</v>
      </c>
      <c r="V1862" s="5" t="str">
        <f ca="1">IFERROR(__xludf.DUMMYFUNCTION("""COMPUTED_VALUE"""),"Shooter shot victim while in cafeteria taking test.")</f>
        <v>Shooter shot victim while in cafeteria taking test.</v>
      </c>
      <c r="W1862"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X1862" s="5" t="str">
        <f ca="1">IFERROR(__xludf.DUMMYFUNCTION("""COMPUTED_VALUE"""),"Escalation of Dispute")</f>
        <v>Escalation of Dispute</v>
      </c>
      <c r="Y1862" s="5" t="str">
        <f ca="1">IFERROR(__xludf.DUMMYFUNCTION("""COMPUTED_VALUE"""),"Victims Targeted")</f>
        <v>Victims Targeted</v>
      </c>
      <c r="Z1862" s="5" t="str">
        <f ca="1">IFERROR(__xludf.DUMMYFUNCTION("""COMPUTED_VALUE"""),"No")</f>
        <v>No</v>
      </c>
      <c r="AA1862" s="5"/>
      <c r="AB1862" s="5" t="str">
        <f ca="1">IFERROR(__xludf.DUMMYFUNCTION("""COMPUTED_VALUE"""),"No")</f>
        <v>No</v>
      </c>
      <c r="AC1862" s="5" t="str">
        <f ca="1">IFERROR(__xludf.DUMMYFUNCTION("""COMPUTED_VALUE"""),"No")</f>
        <v>No</v>
      </c>
      <c r="AD1862" s="5" t="str">
        <f ca="1">IFERROR(__xludf.DUMMYFUNCTION("""COMPUTED_VALUE"""),"No")</f>
        <v>No</v>
      </c>
      <c r="AE1862" s="5" t="str">
        <f ca="1">IFERROR(__xludf.DUMMYFUNCTION("""COMPUTED_VALUE"""),"No")</f>
        <v>No</v>
      </c>
      <c r="AF1862" s="5" t="str">
        <f ca="1">IFERROR(__xludf.DUMMYFUNCTION("""COMPUTED_VALUE"""),"No")</f>
        <v>No</v>
      </c>
      <c r="AG1862" s="5" t="str">
        <f ca="1">IFERROR(__xludf.DUMMYFUNCTION("""COMPUTED_VALUE"""),"No")</f>
        <v>No</v>
      </c>
      <c r="AH1862" s="5"/>
    </row>
    <row r="1863" spans="1:34" ht="12.75">
      <c r="A1863" s="5" t="str">
        <f ca="1">IFERROR(__xludf.DUMMYFUNCTION("""COMPUTED_VALUE"""),"19831118MDHAB")</f>
        <v>19831118MDHAB</v>
      </c>
      <c r="B1863" s="8">
        <f ca="1">IFERROR(__xludf.DUMMYFUNCTION("""COMPUTED_VALUE"""),30638)</f>
        <v>30638</v>
      </c>
      <c r="C1863" s="5" t="str">
        <f ca="1">IFERROR(__xludf.DUMMYFUNCTION("""COMPUTED_VALUE"""),"Harlem Park Junior High School")</f>
        <v>Harlem Park Junior High School</v>
      </c>
      <c r="D1863" s="5">
        <f ca="1">IFERROR(__xludf.DUMMYFUNCTION("""COMPUTED_VALUE"""),1)</f>
        <v>1</v>
      </c>
      <c r="E1863" s="5">
        <f ca="1">IFERROR(__xludf.DUMMYFUNCTION("""COMPUTED_VALUE"""),0)</f>
        <v>0</v>
      </c>
      <c r="F1863" s="5">
        <f ca="1">IFERROR(__xludf.DUMMYFUNCTION("""COMPUTED_VALUE"""),1)</f>
        <v>1</v>
      </c>
      <c r="G1863" s="5">
        <f ca="1">IFERROR(__xludf.DUMMYFUNCTION("""COMPUTED_VALUE"""),0)</f>
        <v>0</v>
      </c>
      <c r="H1863"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I1863" s="5"/>
      <c r="J1863" s="5"/>
      <c r="K1863" s="5">
        <f ca="1">IFERROR(__xludf.DUMMYFUNCTION("""COMPUTED_VALUE"""),2)</f>
        <v>2</v>
      </c>
      <c r="L1863" s="5" t="str">
        <f ca="1">IFERROR(__xludf.DUMMYFUNCTION("""COMPUTED_VALUE"""),"Fall")</f>
        <v>Fall</v>
      </c>
      <c r="M1863" s="5" t="str">
        <f ca="1">IFERROR(__xludf.DUMMYFUNCTION("""COMPUTED_VALUE"""),"Baltimore")</f>
        <v>Baltimore</v>
      </c>
      <c r="N1863" s="5" t="str">
        <f ca="1">IFERROR(__xludf.DUMMYFUNCTION("""COMPUTED_VALUE"""),"MD")</f>
        <v>MD</v>
      </c>
      <c r="O1863" s="5" t="str">
        <f ca="1">IFERROR(__xludf.DUMMYFUNCTION("""COMPUTED_VALUE"""),"Junior High")</f>
        <v>Junior High</v>
      </c>
      <c r="P1863" s="5" t="str">
        <f ca="1">IFERROR(__xludf.DUMMYFUNCTION("""COMPUTED_VALUE"""),"Hallway")</f>
        <v>Hallway</v>
      </c>
      <c r="Q1863" s="5" t="str">
        <f ca="1">IFERROR(__xludf.DUMMYFUNCTION("""COMPUTED_VALUE"""),"Inside School Building")</f>
        <v>Inside School Building</v>
      </c>
      <c r="R1863" s="5" t="str">
        <f ca="1">IFERROR(__xludf.DUMMYFUNCTION("""COMPUTED_VALUE"""),"Yes")</f>
        <v>Yes</v>
      </c>
      <c r="S1863" s="5" t="str">
        <f ca="1">IFERROR(__xludf.DUMMYFUNCTION("""COMPUTED_VALUE"""),"Afternoon Classes")</f>
        <v>Afternoon Classes</v>
      </c>
      <c r="T1863" s="10">
        <f ca="1">IFERROR(__xludf.DUMMYFUNCTION("""COMPUTED_VALUE"""),0.559027777777777)</f>
        <v>0.55902777777777701</v>
      </c>
      <c r="U1863" s="5">
        <f ca="1">IFERROR(__xludf.DUMMYFUNCTION("""COMPUTED_VALUE"""),1)</f>
        <v>1</v>
      </c>
      <c r="V1863" s="5" t="str">
        <f ca="1">IFERROR(__xludf.DUMMYFUNCTION("""COMPUTED_VALUE"""),"Robbery of Georgetown jacket in school hallway")</f>
        <v>Robbery of Georgetown jacket in school hallway</v>
      </c>
      <c r="W1863"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X1863" s="5" t="str">
        <f ca="1">IFERROR(__xludf.DUMMYFUNCTION("""COMPUTED_VALUE"""),"Illegal Activity")</f>
        <v>Illegal Activity</v>
      </c>
      <c r="Y1863" s="5" t="str">
        <f ca="1">IFERROR(__xludf.DUMMYFUNCTION("""COMPUTED_VALUE"""),"Victims Targeted")</f>
        <v>Victims Targeted</v>
      </c>
      <c r="Z1863" s="5" t="str">
        <f ca="1">IFERROR(__xludf.DUMMYFUNCTION("""COMPUTED_VALUE"""),"No")</f>
        <v>No</v>
      </c>
      <c r="AA1863" s="5"/>
      <c r="AB1863" s="5" t="str">
        <f ca="1">IFERROR(__xludf.DUMMYFUNCTION("""COMPUTED_VALUE"""),"No")</f>
        <v>No</v>
      </c>
      <c r="AC1863" s="5" t="str">
        <f ca="1">IFERROR(__xludf.DUMMYFUNCTION("""COMPUTED_VALUE"""),"No")</f>
        <v>No</v>
      </c>
      <c r="AD1863" s="5" t="str">
        <f ca="1">IFERROR(__xludf.DUMMYFUNCTION("""COMPUTED_VALUE"""),"No")</f>
        <v>No</v>
      </c>
      <c r="AE1863" s="5" t="str">
        <f ca="1">IFERROR(__xludf.DUMMYFUNCTION("""COMPUTED_VALUE"""),"No")</f>
        <v>No</v>
      </c>
      <c r="AF1863" s="5" t="str">
        <f ca="1">IFERROR(__xludf.DUMMYFUNCTION("""COMPUTED_VALUE"""),"No")</f>
        <v>No</v>
      </c>
      <c r="AG1863" s="5" t="str">
        <f ca="1">IFERROR(__xludf.DUMMYFUNCTION("""COMPUTED_VALUE"""),"No")</f>
        <v>No</v>
      </c>
      <c r="AH1863" s="5"/>
    </row>
    <row r="1864" spans="1:34" ht="12.75">
      <c r="A1864" s="5" t="str">
        <f ca="1">IFERROR(__xludf.DUMMYFUNCTION("""COMPUTED_VALUE"""),"19831117ILJAC")</f>
        <v>19831117ILJAC</v>
      </c>
      <c r="B1864" s="8">
        <f ca="1">IFERROR(__xludf.DUMMYFUNCTION("""COMPUTED_VALUE"""),30637)</f>
        <v>30637</v>
      </c>
      <c r="C1864" s="5" t="str">
        <f ca="1">IFERROR(__xludf.DUMMYFUNCTION("""COMPUTED_VALUE"""),"James G. Blaine Elementary School")</f>
        <v>James G. Blaine Elementary School</v>
      </c>
      <c r="D1864" s="5">
        <f ca="1">IFERROR(__xludf.DUMMYFUNCTION("""COMPUTED_VALUE"""),1)</f>
        <v>1</v>
      </c>
      <c r="E1864" s="5">
        <f ca="1">IFERROR(__xludf.DUMMYFUNCTION("""COMPUTED_VALUE"""),1)</f>
        <v>1</v>
      </c>
      <c r="F1864" s="5">
        <f ca="1">IFERROR(__xludf.DUMMYFUNCTION("""COMPUTED_VALUE"""),2)</f>
        <v>2</v>
      </c>
      <c r="G1864" s="5">
        <f ca="1">IFERROR(__xludf.DUMMYFUNCTION("""COMPUTED_VALUE"""),0)</f>
        <v>0</v>
      </c>
      <c r="H1864" s="9" t="str">
        <f ca="1">IFERROR(__xludf.DUMMYFUNCTION("""COMPUTED_VALUE"""),"https://www.newspapers.com/image/388094016/?terms=school%2Bshooting")</f>
        <v>https://www.newspapers.com/image/388094016/?terms=school%2Bshooting</v>
      </c>
      <c r="I1864" s="5"/>
      <c r="J1864" s="5"/>
      <c r="K1864" s="5">
        <f ca="1">IFERROR(__xludf.DUMMYFUNCTION("""COMPUTED_VALUE"""),2)</f>
        <v>2</v>
      </c>
      <c r="L1864" s="5" t="str">
        <f ca="1">IFERROR(__xludf.DUMMYFUNCTION("""COMPUTED_VALUE"""),"Fall")</f>
        <v>Fall</v>
      </c>
      <c r="M1864" s="5" t="str">
        <f ca="1">IFERROR(__xludf.DUMMYFUNCTION("""COMPUTED_VALUE"""),"Chicago")</f>
        <v>Chicago</v>
      </c>
      <c r="N1864" s="5" t="str">
        <f ca="1">IFERROR(__xludf.DUMMYFUNCTION("""COMPUTED_VALUE"""),"IL")</f>
        <v>IL</v>
      </c>
      <c r="O1864" s="5" t="str">
        <f ca="1">IFERROR(__xludf.DUMMYFUNCTION("""COMPUTED_VALUE"""),"Elementary")</f>
        <v>Elementary</v>
      </c>
      <c r="P1864" s="5" t="str">
        <f ca="1">IFERROR(__xludf.DUMMYFUNCTION("""COMPUTED_VALUE"""),"Outside on School Property")</f>
        <v>Outside on School Property</v>
      </c>
      <c r="Q1864" s="5" t="str">
        <f ca="1">IFERROR(__xludf.DUMMYFUNCTION("""COMPUTED_VALUE"""),"Outside on School Property")</f>
        <v>Outside on School Property</v>
      </c>
      <c r="R1864" s="5" t="str">
        <f ca="1">IFERROR(__xludf.DUMMYFUNCTION("""COMPUTED_VALUE"""),"Yes")</f>
        <v>Yes</v>
      </c>
      <c r="S1864" s="5" t="str">
        <f ca="1">IFERROR(__xludf.DUMMYFUNCTION("""COMPUTED_VALUE"""),"After School")</f>
        <v>After School</v>
      </c>
      <c r="T1864" s="5"/>
      <c r="U1864" s="5">
        <f ca="1">IFERROR(__xludf.DUMMYFUNCTION("""COMPUTED_VALUE"""),1)</f>
        <v>1</v>
      </c>
      <c r="V1864" s="5" t="str">
        <f ca="1">IFERROR(__xludf.DUMMYFUNCTION("""COMPUTED_VALUE"""),"Shooter shot rival gang members during argument over a girl's sweater")</f>
        <v>Shooter shot rival gang members during argument over a girl's sweater</v>
      </c>
      <c r="W1864"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X1864" s="5" t="str">
        <f ca="1">IFERROR(__xludf.DUMMYFUNCTION("""COMPUTED_VALUE"""),"Escalation of Dispute")</f>
        <v>Escalation of Dispute</v>
      </c>
      <c r="Y1864" s="5" t="str">
        <f ca="1">IFERROR(__xludf.DUMMYFUNCTION("""COMPUTED_VALUE"""),"Victims Targeted")</f>
        <v>Victims Targeted</v>
      </c>
      <c r="Z1864" s="5" t="str">
        <f ca="1">IFERROR(__xludf.DUMMYFUNCTION("""COMPUTED_VALUE"""),"No")</f>
        <v>No</v>
      </c>
      <c r="AA1864" s="5"/>
      <c r="AB1864" s="5" t="str">
        <f ca="1">IFERROR(__xludf.DUMMYFUNCTION("""COMPUTED_VALUE"""),"No")</f>
        <v>No</v>
      </c>
      <c r="AC1864" s="5" t="str">
        <f ca="1">IFERROR(__xludf.DUMMYFUNCTION("""COMPUTED_VALUE"""),"No")</f>
        <v>No</v>
      </c>
      <c r="AD1864" s="5" t="str">
        <f ca="1">IFERROR(__xludf.DUMMYFUNCTION("""COMPUTED_VALUE"""),"No")</f>
        <v>No</v>
      </c>
      <c r="AE1864" s="5" t="str">
        <f ca="1">IFERROR(__xludf.DUMMYFUNCTION("""COMPUTED_VALUE"""),"No")</f>
        <v>No</v>
      </c>
      <c r="AF1864" s="5" t="str">
        <f ca="1">IFERROR(__xludf.DUMMYFUNCTION("""COMPUTED_VALUE"""),"No")</f>
        <v>No</v>
      </c>
      <c r="AG1864" s="5" t="str">
        <f ca="1">IFERROR(__xludf.DUMMYFUNCTION("""COMPUTED_VALUE"""),"Yes")</f>
        <v>Yes</v>
      </c>
      <c r="AH1864" s="5"/>
    </row>
    <row r="1865" spans="1:34" ht="12.75">
      <c r="A1865" s="5" t="str">
        <f ca="1">IFERROR(__xludf.DUMMYFUNCTION("""COMPUTED_VALUE"""),"19831108MIHIH")</f>
        <v>19831108MIHIH</v>
      </c>
      <c r="B1865" s="8">
        <f ca="1">IFERROR(__xludf.DUMMYFUNCTION("""COMPUTED_VALUE"""),30628)</f>
        <v>30628</v>
      </c>
      <c r="C1865" s="5" t="str">
        <f ca="1">IFERROR(__xludf.DUMMYFUNCTION("""COMPUTED_VALUE"""),"Highland Park High School")</f>
        <v>Highland Park High School</v>
      </c>
      <c r="D1865" s="5">
        <f ca="1">IFERROR(__xludf.DUMMYFUNCTION("""COMPUTED_VALUE"""),1)</f>
        <v>1</v>
      </c>
      <c r="E1865" s="5">
        <f ca="1">IFERROR(__xludf.DUMMYFUNCTION("""COMPUTED_VALUE"""),0)</f>
        <v>0</v>
      </c>
      <c r="F1865" s="5">
        <f ca="1">IFERROR(__xludf.DUMMYFUNCTION("""COMPUTED_VALUE"""),1)</f>
        <v>1</v>
      </c>
      <c r="G1865" s="5">
        <f ca="1">IFERROR(__xludf.DUMMYFUNCTION("""COMPUTED_VALUE"""),0)</f>
        <v>0</v>
      </c>
      <c r="H1865"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I1865" s="5"/>
      <c r="J1865" s="5"/>
      <c r="K1865" s="5">
        <f ca="1">IFERROR(__xludf.DUMMYFUNCTION("""COMPUTED_VALUE"""),2)</f>
        <v>2</v>
      </c>
      <c r="L1865" s="5" t="str">
        <f ca="1">IFERROR(__xludf.DUMMYFUNCTION("""COMPUTED_VALUE"""),"Fall")</f>
        <v>Fall</v>
      </c>
      <c r="M1865" s="5" t="str">
        <f ca="1">IFERROR(__xludf.DUMMYFUNCTION("""COMPUTED_VALUE"""),"Highland Park")</f>
        <v>Highland Park</v>
      </c>
      <c r="N1865" s="5" t="str">
        <f ca="1">IFERROR(__xludf.DUMMYFUNCTION("""COMPUTED_VALUE"""),"MI")</f>
        <v>MI</v>
      </c>
      <c r="O1865" s="5" t="str">
        <f ca="1">IFERROR(__xludf.DUMMYFUNCTION("""COMPUTED_VALUE"""),"High")</f>
        <v>High</v>
      </c>
      <c r="P1865" s="5" t="str">
        <f ca="1">IFERROR(__xludf.DUMMYFUNCTION("""COMPUTED_VALUE"""),"Inside School Building")</f>
        <v>Inside School Building</v>
      </c>
      <c r="Q1865" s="5" t="str">
        <f ca="1">IFERROR(__xludf.DUMMYFUNCTION("""COMPUTED_VALUE"""),"Inside School Building")</f>
        <v>Inside School Building</v>
      </c>
      <c r="R1865" s="5" t="str">
        <f ca="1">IFERROR(__xludf.DUMMYFUNCTION("""COMPUTED_VALUE"""),"Yes")</f>
        <v>Yes</v>
      </c>
      <c r="S1865" s="5" t="str">
        <f ca="1">IFERROR(__xludf.DUMMYFUNCTION("""COMPUTED_VALUE"""),"Before School")</f>
        <v>Before School</v>
      </c>
      <c r="T1865" s="10">
        <f ca="1">IFERROR(__xludf.DUMMYFUNCTION("""COMPUTED_VALUE"""),0.326388888888888)</f>
        <v>0.32638888888888801</v>
      </c>
      <c r="U1865" s="5">
        <f ca="1">IFERROR(__xludf.DUMMYFUNCTION("""COMPUTED_VALUE"""),1)</f>
        <v>1</v>
      </c>
      <c r="V1865" s="5" t="str">
        <f ca="1">IFERROR(__xludf.DUMMYFUNCTION("""COMPUTED_VALUE"""),"Shooter killed victim with gun after being punched")</f>
        <v>Shooter killed victim with gun after being punched</v>
      </c>
      <c r="W1865"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X1865" s="5" t="str">
        <f ca="1">IFERROR(__xludf.DUMMYFUNCTION("""COMPUTED_VALUE"""),"Escalation of Dispute")</f>
        <v>Escalation of Dispute</v>
      </c>
      <c r="Y1865" s="5" t="str">
        <f ca="1">IFERROR(__xludf.DUMMYFUNCTION("""COMPUTED_VALUE"""),"Victims Targeted")</f>
        <v>Victims Targeted</v>
      </c>
      <c r="Z1865" s="5"/>
      <c r="AA1865" s="5"/>
      <c r="AB1865" s="5" t="str">
        <f ca="1">IFERROR(__xludf.DUMMYFUNCTION("""COMPUTED_VALUE"""),"No")</f>
        <v>No</v>
      </c>
      <c r="AC1865" s="5" t="str">
        <f ca="1">IFERROR(__xludf.DUMMYFUNCTION("""COMPUTED_VALUE"""),"No")</f>
        <v>No</v>
      </c>
      <c r="AD1865" s="5" t="str">
        <f ca="1">IFERROR(__xludf.DUMMYFUNCTION("""COMPUTED_VALUE"""),"No")</f>
        <v>No</v>
      </c>
      <c r="AE1865" s="5"/>
      <c r="AF1865" s="5" t="str">
        <f ca="1">IFERROR(__xludf.DUMMYFUNCTION("""COMPUTED_VALUE"""),"No")</f>
        <v>No</v>
      </c>
      <c r="AG1865" s="5" t="str">
        <f ca="1">IFERROR(__xludf.DUMMYFUNCTION("""COMPUTED_VALUE"""),"No")</f>
        <v>No</v>
      </c>
      <c r="AH1865" s="5"/>
    </row>
    <row r="1866" spans="1:34" ht="12.75">
      <c r="A1866" s="5" t="str">
        <f ca="1">IFERROR(__xludf.DUMMYFUNCTION("""COMPUTED_VALUE"""),"19831022MDCAB")</f>
        <v>19831022MDCAB</v>
      </c>
      <c r="B1866" s="8">
        <f ca="1">IFERROR(__xludf.DUMMYFUNCTION("""COMPUTED_VALUE"""),30611)</f>
        <v>30611</v>
      </c>
      <c r="C1866" s="5" t="str">
        <f ca="1">IFERROR(__xludf.DUMMYFUNCTION("""COMPUTED_VALUE"""),"Carver Vocational-Technical Senior High")</f>
        <v>Carver Vocational-Technical Senior High</v>
      </c>
      <c r="D1866" s="5">
        <f ca="1">IFERROR(__xludf.DUMMYFUNCTION("""COMPUTED_VALUE"""),1)</f>
        <v>1</v>
      </c>
      <c r="E1866" s="5">
        <f ca="1">IFERROR(__xludf.DUMMYFUNCTION("""COMPUTED_VALUE"""),0)</f>
        <v>0</v>
      </c>
      <c r="F1866" s="5">
        <f ca="1">IFERROR(__xludf.DUMMYFUNCTION("""COMPUTED_VALUE"""),1)</f>
        <v>1</v>
      </c>
      <c r="G1866" s="5">
        <f ca="1">IFERROR(__xludf.DUMMYFUNCTION("""COMPUTED_VALUE"""),0)</f>
        <v>0</v>
      </c>
      <c r="H1866" s="9" t="str">
        <f ca="1">IFERROR(__xludf.DUMMYFUNCTION("""COMPUTED_VALUE"""),"https://www.newspapers.com/image/371003589/?terms=student%2Bshot&amp;match=10")</f>
        <v>https://www.newspapers.com/image/371003589/?terms=student%2Bshot&amp;match=10</v>
      </c>
      <c r="I1866" s="5"/>
      <c r="J1866" s="5"/>
      <c r="K1866" s="5">
        <f ca="1">IFERROR(__xludf.DUMMYFUNCTION("""COMPUTED_VALUE"""),2)</f>
        <v>2</v>
      </c>
      <c r="L1866" s="5" t="str">
        <f ca="1">IFERROR(__xludf.DUMMYFUNCTION("""COMPUTED_VALUE"""),"Fall")</f>
        <v>Fall</v>
      </c>
      <c r="M1866" s="5" t="str">
        <f ca="1">IFERROR(__xludf.DUMMYFUNCTION("""COMPUTED_VALUE"""),"Baltimore")</f>
        <v>Baltimore</v>
      </c>
      <c r="N1866" s="5" t="str">
        <f ca="1">IFERROR(__xludf.DUMMYFUNCTION("""COMPUTED_VALUE"""),"MD")</f>
        <v>MD</v>
      </c>
      <c r="O1866" s="5" t="str">
        <f ca="1">IFERROR(__xludf.DUMMYFUNCTION("""COMPUTED_VALUE"""),"High")</f>
        <v>High</v>
      </c>
      <c r="P1866" s="5" t="str">
        <f ca="1">IFERROR(__xludf.DUMMYFUNCTION("""COMPUTED_VALUE"""),"Beside Building")</f>
        <v>Beside Building</v>
      </c>
      <c r="Q1866" s="5" t="str">
        <f ca="1">IFERROR(__xludf.DUMMYFUNCTION("""COMPUTED_VALUE"""),"Outside on School Property")</f>
        <v>Outside on School Property</v>
      </c>
      <c r="R1866" s="5" t="str">
        <f ca="1">IFERROR(__xludf.DUMMYFUNCTION("""COMPUTED_VALUE"""),"No")</f>
        <v>No</v>
      </c>
      <c r="S1866" s="5" t="str">
        <f ca="1">IFERROR(__xludf.DUMMYFUNCTION("""COMPUTED_VALUE"""),"School Event")</f>
        <v>School Event</v>
      </c>
      <c r="T1866" s="10">
        <f ca="1">IFERROR(__xludf.DUMMYFUNCTION("""COMPUTED_VALUE"""),0.958333333333333)</f>
        <v>0.95833333333333304</v>
      </c>
      <c r="U1866" s="5">
        <f ca="1">IFERROR(__xludf.DUMMYFUNCTION("""COMPUTED_VALUE"""),1)</f>
        <v>1</v>
      </c>
      <c r="V1866" s="5" t="str">
        <f ca="1">IFERROR(__xludf.DUMMYFUNCTION("""COMPUTED_VALUE"""),"Victim purposely shot with starter pistol outside school dance.")</f>
        <v>Victim purposely shot with starter pistol outside school dance.</v>
      </c>
      <c r="W1866"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X1866" s="5" t="str">
        <f ca="1">IFERROR(__xludf.DUMMYFUNCTION("""COMPUTED_VALUE"""),"Illegal Activity")</f>
        <v>Illegal Activity</v>
      </c>
      <c r="Y1866" s="5" t="str">
        <f ca="1">IFERROR(__xludf.DUMMYFUNCTION("""COMPUTED_VALUE"""),"Victims Targeted")</f>
        <v>Victims Targeted</v>
      </c>
      <c r="Z1866" s="5" t="str">
        <f ca="1">IFERROR(__xludf.DUMMYFUNCTION("""COMPUTED_VALUE"""),"No")</f>
        <v>No</v>
      </c>
      <c r="AA1866" s="5"/>
      <c r="AB1866" s="5" t="str">
        <f ca="1">IFERROR(__xludf.DUMMYFUNCTION("""COMPUTED_VALUE"""),"No")</f>
        <v>No</v>
      </c>
      <c r="AC1866" s="5" t="str">
        <f ca="1">IFERROR(__xludf.DUMMYFUNCTION("""COMPUTED_VALUE"""),"No")</f>
        <v>No</v>
      </c>
      <c r="AD1866" s="5" t="str">
        <f ca="1">IFERROR(__xludf.DUMMYFUNCTION("""COMPUTED_VALUE"""),"No")</f>
        <v>No</v>
      </c>
      <c r="AE1866" s="5" t="str">
        <f ca="1">IFERROR(__xludf.DUMMYFUNCTION("""COMPUTED_VALUE"""),"No")</f>
        <v>No</v>
      </c>
      <c r="AF1866" s="5" t="str">
        <f ca="1">IFERROR(__xludf.DUMMYFUNCTION("""COMPUTED_VALUE"""),"No")</f>
        <v>No</v>
      </c>
      <c r="AG1866" s="5" t="str">
        <f ca="1">IFERROR(__xludf.DUMMYFUNCTION("""COMPUTED_VALUE"""),"No")</f>
        <v>No</v>
      </c>
      <c r="AH1866" s="5"/>
    </row>
    <row r="1867" spans="1:34" ht="12.75">
      <c r="A1867" s="5" t="str">
        <f ca="1">IFERROR(__xludf.DUMMYFUNCTION("""COMPUTED_VALUE"""),"19831007CACOL")</f>
        <v>19831007CACOL</v>
      </c>
      <c r="B1867" s="8">
        <f ca="1">IFERROR(__xludf.DUMMYFUNCTION("""COMPUTED_VALUE"""),30596)</f>
        <v>30596</v>
      </c>
      <c r="C1867" s="5" t="str">
        <f ca="1">IFERROR(__xludf.DUMMYFUNCTION("""COMPUTED_VALUE"""),"Compton High School")</f>
        <v>Compton High School</v>
      </c>
      <c r="D1867" s="5">
        <f ca="1">IFERROR(__xludf.DUMMYFUNCTION("""COMPUTED_VALUE"""),0)</f>
        <v>0</v>
      </c>
      <c r="E1867" s="5">
        <f ca="1">IFERROR(__xludf.DUMMYFUNCTION("""COMPUTED_VALUE"""),1)</f>
        <v>1</v>
      </c>
      <c r="F1867" s="5">
        <f ca="1">IFERROR(__xludf.DUMMYFUNCTION("""COMPUTED_VALUE"""),1)</f>
        <v>1</v>
      </c>
      <c r="G1867" s="5">
        <f ca="1">IFERROR(__xludf.DUMMYFUNCTION("""COMPUTED_VALUE"""),0)</f>
        <v>0</v>
      </c>
      <c r="H1867" s="9" t="str">
        <f ca="1">IFERROR(__xludf.DUMMYFUNCTION("""COMPUTED_VALUE"""),"https://www.newspapers.com/image/390896596/?terms=Compton%2BHigh%2BSchool%2Bshooting")</f>
        <v>https://www.newspapers.com/image/390896596/?terms=Compton%2BHigh%2BSchool%2Bshooting</v>
      </c>
      <c r="I1867" s="5"/>
      <c r="J1867" s="5"/>
      <c r="K1867" s="5">
        <f ca="1">IFERROR(__xludf.DUMMYFUNCTION("""COMPUTED_VALUE"""),2)</f>
        <v>2</v>
      </c>
      <c r="L1867" s="5" t="str">
        <f ca="1">IFERROR(__xludf.DUMMYFUNCTION("""COMPUTED_VALUE"""),"Fall")</f>
        <v>Fall</v>
      </c>
      <c r="M1867" s="5" t="str">
        <f ca="1">IFERROR(__xludf.DUMMYFUNCTION("""COMPUTED_VALUE"""),"Los Angeles")</f>
        <v>Los Angeles</v>
      </c>
      <c r="N1867" s="5" t="str">
        <f ca="1">IFERROR(__xludf.DUMMYFUNCTION("""COMPUTED_VALUE"""),"CA")</f>
        <v>CA</v>
      </c>
      <c r="O1867" s="5" t="str">
        <f ca="1">IFERROR(__xludf.DUMMYFUNCTION("""COMPUTED_VALUE"""),"High")</f>
        <v>High</v>
      </c>
      <c r="P1867" s="5" t="str">
        <f ca="1">IFERROR(__xludf.DUMMYFUNCTION("""COMPUTED_VALUE"""),"Hallway")</f>
        <v>Hallway</v>
      </c>
      <c r="Q1867" s="5" t="str">
        <f ca="1">IFERROR(__xludf.DUMMYFUNCTION("""COMPUTED_VALUE"""),"Inside School Building")</f>
        <v>Inside School Building</v>
      </c>
      <c r="R1867" s="5" t="str">
        <f ca="1">IFERROR(__xludf.DUMMYFUNCTION("""COMPUTED_VALUE"""),"Yes")</f>
        <v>Yes</v>
      </c>
      <c r="S1867" s="5"/>
      <c r="T1867" s="5"/>
      <c r="U1867" s="5">
        <f ca="1">IFERROR(__xludf.DUMMYFUNCTION("""COMPUTED_VALUE"""),1)</f>
        <v>1</v>
      </c>
      <c r="V1867" s="5" t="str">
        <f ca="1">IFERROR(__xludf.DUMMYFUNCTION("""COMPUTED_VALUE"""),"Victim hit in cross fire of gang shooting")</f>
        <v>Victim hit in cross fire of gang shooting</v>
      </c>
      <c r="W1867" s="5" t="str">
        <f ca="1">IFERROR(__xludf.DUMMYFUNCTION("""COMPUTED_VALUE"""),"16YOF student hit in crossfire of gang related shooting.")</f>
        <v>16YOF student hit in crossfire of gang related shooting.</v>
      </c>
      <c r="X1867" s="5" t="str">
        <f ca="1">IFERROR(__xludf.DUMMYFUNCTION("""COMPUTED_VALUE"""),"Escalation of Dispute")</f>
        <v>Escalation of Dispute</v>
      </c>
      <c r="Y1867" s="5" t="str">
        <f ca="1">IFERROR(__xludf.DUMMYFUNCTION("""COMPUTED_VALUE"""),"Random Shooting")</f>
        <v>Random Shooting</v>
      </c>
      <c r="Z1867" s="5" t="str">
        <f ca="1">IFERROR(__xludf.DUMMYFUNCTION("""COMPUTED_VALUE"""),"No")</f>
        <v>No</v>
      </c>
      <c r="AA1867" s="5"/>
      <c r="AB1867" s="5" t="str">
        <f ca="1">IFERROR(__xludf.DUMMYFUNCTION("""COMPUTED_VALUE"""),"No")</f>
        <v>No</v>
      </c>
      <c r="AC1867" s="5" t="str">
        <f ca="1">IFERROR(__xludf.DUMMYFUNCTION("""COMPUTED_VALUE"""),"No")</f>
        <v>No</v>
      </c>
      <c r="AD1867" s="5" t="str">
        <f ca="1">IFERROR(__xludf.DUMMYFUNCTION("""COMPUTED_VALUE"""),"No")</f>
        <v>No</v>
      </c>
      <c r="AE1867" s="5" t="str">
        <f ca="1">IFERROR(__xludf.DUMMYFUNCTION("""COMPUTED_VALUE"""),"No")</f>
        <v>No</v>
      </c>
      <c r="AF1867" s="5" t="str">
        <f ca="1">IFERROR(__xludf.DUMMYFUNCTION("""COMPUTED_VALUE"""),"No")</f>
        <v>No</v>
      </c>
      <c r="AG1867" s="5" t="str">
        <f ca="1">IFERROR(__xludf.DUMMYFUNCTION("""COMPUTED_VALUE"""),"Yes")</f>
        <v>Yes</v>
      </c>
      <c r="AH1867" s="5"/>
    </row>
    <row r="1868" spans="1:34" ht="12.75">
      <c r="A1868" s="5" t="str">
        <f ca="1">IFERROR(__xludf.DUMMYFUNCTION("""COMPUTED_VALUE"""),"19830930TXTET")</f>
        <v>19830930TXTET</v>
      </c>
      <c r="B1868" s="8">
        <f ca="1">IFERROR(__xludf.DUMMYFUNCTION("""COMPUTED_VALUE"""),30589)</f>
        <v>30589</v>
      </c>
      <c r="C1868" s="5" t="str">
        <f ca="1">IFERROR(__xludf.DUMMYFUNCTION("""COMPUTED_VALUE"""),"Temple High School")</f>
        <v>Temple High School</v>
      </c>
      <c r="D1868" s="5">
        <f ca="1">IFERROR(__xludf.DUMMYFUNCTION("""COMPUTED_VALUE"""),0)</f>
        <v>0</v>
      </c>
      <c r="E1868" s="5">
        <f ca="1">IFERROR(__xludf.DUMMYFUNCTION("""COMPUTED_VALUE"""),3)</f>
        <v>3</v>
      </c>
      <c r="F1868" s="5">
        <f ca="1">IFERROR(__xludf.DUMMYFUNCTION("""COMPUTED_VALUE"""),3)</f>
        <v>3</v>
      </c>
      <c r="G1868" s="5">
        <f ca="1">IFERROR(__xludf.DUMMYFUNCTION("""COMPUTED_VALUE"""),0)</f>
        <v>0</v>
      </c>
      <c r="H1868" s="9" t="str">
        <f ca="1">IFERROR(__xludf.DUMMYFUNCTION("""COMPUTED_VALUE"""),"https://www.newspapers.com/image/379323248/?terms=temple%2Bhigh%2Bschool%2Bshooting")</f>
        <v>https://www.newspapers.com/image/379323248/?terms=temple%2Bhigh%2Bschool%2Bshooting</v>
      </c>
      <c r="I1868" s="5"/>
      <c r="J1868" s="5"/>
      <c r="K1868" s="5">
        <f ca="1">IFERROR(__xludf.DUMMYFUNCTION("""COMPUTED_VALUE"""),2)</f>
        <v>2</v>
      </c>
      <c r="L1868" s="5" t="str">
        <f ca="1">IFERROR(__xludf.DUMMYFUNCTION("""COMPUTED_VALUE"""),"Fall")</f>
        <v>Fall</v>
      </c>
      <c r="M1868" s="5" t="str">
        <f ca="1">IFERROR(__xludf.DUMMYFUNCTION("""COMPUTED_VALUE"""),"Temple")</f>
        <v>Temple</v>
      </c>
      <c r="N1868" s="5" t="str">
        <f ca="1">IFERROR(__xludf.DUMMYFUNCTION("""COMPUTED_VALUE"""),"TX")</f>
        <v>TX</v>
      </c>
      <c r="O1868" s="5" t="str">
        <f ca="1">IFERROR(__xludf.DUMMYFUNCTION("""COMPUTED_VALUE"""),"High")</f>
        <v>High</v>
      </c>
      <c r="P1868" s="5" t="str">
        <f ca="1">IFERROR(__xludf.DUMMYFUNCTION("""COMPUTED_VALUE"""),"Football Field/Track")</f>
        <v>Football Field/Track</v>
      </c>
      <c r="Q1868" s="5" t="str">
        <f ca="1">IFERROR(__xludf.DUMMYFUNCTION("""COMPUTED_VALUE"""),"Outside on School Property")</f>
        <v>Outside on School Property</v>
      </c>
      <c r="R1868" s="5" t="str">
        <f ca="1">IFERROR(__xludf.DUMMYFUNCTION("""COMPUTED_VALUE"""),"No")</f>
        <v>No</v>
      </c>
      <c r="S1868" s="5" t="str">
        <f ca="1">IFERROR(__xludf.DUMMYFUNCTION("""COMPUTED_VALUE"""),"Sport Event")</f>
        <v>Sport Event</v>
      </c>
      <c r="T1868" s="5"/>
      <c r="U1868" s="5">
        <f ca="1">IFERROR(__xludf.DUMMYFUNCTION("""COMPUTED_VALUE"""),1)</f>
        <v>1</v>
      </c>
      <c r="V1868" s="5" t="str">
        <f ca="1">IFERROR(__xludf.DUMMYFUNCTION("""COMPUTED_VALUE"""),"Ongoing conflict for multiple days with victims")</f>
        <v>Ongoing conflict for multiple days with victims</v>
      </c>
      <c r="W1868"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X1868" s="5" t="str">
        <f ca="1">IFERROR(__xludf.DUMMYFUNCTION("""COMPUTED_VALUE"""),"Escalation of Dispute")</f>
        <v>Escalation of Dispute</v>
      </c>
      <c r="Y1868" s="5" t="str">
        <f ca="1">IFERROR(__xludf.DUMMYFUNCTION("""COMPUTED_VALUE"""),"Victims Targeted")</f>
        <v>Victims Targeted</v>
      </c>
      <c r="Z1868" s="5" t="str">
        <f ca="1">IFERROR(__xludf.DUMMYFUNCTION("""COMPUTED_VALUE"""),"No")</f>
        <v>No</v>
      </c>
      <c r="AA1868" s="5"/>
      <c r="AB1868" s="5" t="str">
        <f ca="1">IFERROR(__xludf.DUMMYFUNCTION("""COMPUTED_VALUE"""),"No")</f>
        <v>No</v>
      </c>
      <c r="AC1868" s="5" t="str">
        <f ca="1">IFERROR(__xludf.DUMMYFUNCTION("""COMPUTED_VALUE"""),"No")</f>
        <v>No</v>
      </c>
      <c r="AD1868" s="5" t="str">
        <f ca="1">IFERROR(__xludf.DUMMYFUNCTION("""COMPUTED_VALUE"""),"No")</f>
        <v>No</v>
      </c>
      <c r="AE1868" s="5" t="str">
        <f ca="1">IFERROR(__xludf.DUMMYFUNCTION("""COMPUTED_VALUE"""),"No")</f>
        <v>No</v>
      </c>
      <c r="AF1868" s="5" t="str">
        <f ca="1">IFERROR(__xludf.DUMMYFUNCTION("""COMPUTED_VALUE"""),"No")</f>
        <v>No</v>
      </c>
      <c r="AG1868" s="5" t="str">
        <f ca="1">IFERROR(__xludf.DUMMYFUNCTION("""COMPUTED_VALUE"""),"No")</f>
        <v>No</v>
      </c>
      <c r="AH1868" s="5"/>
    </row>
    <row r="1869" spans="1:34" ht="12.75">
      <c r="A1869" s="5" t="str">
        <f ca="1">IFERROR(__xludf.DUMMYFUNCTION("""COMPUTED_VALUE"""),"19830921MDWAB")</f>
        <v>19830921MDWAB</v>
      </c>
      <c r="B1869" s="8">
        <f ca="1">IFERROR(__xludf.DUMMYFUNCTION("""COMPUTED_VALUE"""),30580)</f>
        <v>30580</v>
      </c>
      <c r="C1869" s="5" t="str">
        <f ca="1">IFERROR(__xludf.DUMMYFUNCTION("""COMPUTED_VALUE"""),"Walbrook High School")</f>
        <v>Walbrook High School</v>
      </c>
      <c r="D1869" s="5">
        <f ca="1">IFERROR(__xludf.DUMMYFUNCTION("""COMPUTED_VALUE"""),0)</f>
        <v>0</v>
      </c>
      <c r="E1869" s="5">
        <f ca="1">IFERROR(__xludf.DUMMYFUNCTION("""COMPUTED_VALUE"""),0)</f>
        <v>0</v>
      </c>
      <c r="F1869" s="5">
        <f ca="1">IFERROR(__xludf.DUMMYFUNCTION("""COMPUTED_VALUE"""),0)</f>
        <v>0</v>
      </c>
      <c r="G1869" s="5">
        <f ca="1">IFERROR(__xludf.DUMMYFUNCTION("""COMPUTED_VALUE"""),0)</f>
        <v>0</v>
      </c>
      <c r="H1869" s="9" t="str">
        <f ca="1">IFERROR(__xludf.DUMMYFUNCTION("""COMPUTED_VALUE"""),"https://www.newspapers.com/image/369822289")</f>
        <v>https://www.newspapers.com/image/369822289</v>
      </c>
      <c r="I1869" s="5"/>
      <c r="J1869" s="5"/>
      <c r="K1869" s="5">
        <f ca="1">IFERROR(__xludf.DUMMYFUNCTION("""COMPUTED_VALUE"""),2)</f>
        <v>2</v>
      </c>
      <c r="L1869" s="5" t="str">
        <f ca="1">IFERROR(__xludf.DUMMYFUNCTION("""COMPUTED_VALUE"""),"Fall")</f>
        <v>Fall</v>
      </c>
      <c r="M1869" s="5" t="str">
        <f ca="1">IFERROR(__xludf.DUMMYFUNCTION("""COMPUTED_VALUE"""),"Baltimore")</f>
        <v>Baltimore</v>
      </c>
      <c r="N1869" s="5" t="str">
        <f ca="1">IFERROR(__xludf.DUMMYFUNCTION("""COMPUTED_VALUE"""),"MD")</f>
        <v>MD</v>
      </c>
      <c r="O1869" s="5" t="str">
        <f ca="1">IFERROR(__xludf.DUMMYFUNCTION("""COMPUTED_VALUE"""),"High")</f>
        <v>High</v>
      </c>
      <c r="P1869" s="5" t="str">
        <f ca="1">IFERROR(__xludf.DUMMYFUNCTION("""COMPUTED_VALUE"""),"Classroom")</f>
        <v>Classroom</v>
      </c>
      <c r="Q1869" s="5" t="str">
        <f ca="1">IFERROR(__xludf.DUMMYFUNCTION("""COMPUTED_VALUE"""),"Inside School Building")</f>
        <v>Inside School Building</v>
      </c>
      <c r="R1869" s="5" t="str">
        <f ca="1">IFERROR(__xludf.DUMMYFUNCTION("""COMPUTED_VALUE"""),"Yes")</f>
        <v>Yes</v>
      </c>
      <c r="S1869" s="5" t="str">
        <f ca="1">IFERROR(__xludf.DUMMYFUNCTION("""COMPUTED_VALUE"""),"Morning Classes")</f>
        <v>Morning Classes</v>
      </c>
      <c r="T1869" s="10">
        <f ca="1">IFERROR(__xludf.DUMMYFUNCTION("""COMPUTED_VALUE"""),0.458333333333333)</f>
        <v>0.45833333333333298</v>
      </c>
      <c r="U1869" s="5">
        <f ca="1">IFERROR(__xludf.DUMMYFUNCTION("""COMPUTED_VALUE"""),1)</f>
        <v>1</v>
      </c>
      <c r="V1869" s="5" t="str">
        <f ca="1">IFERROR(__xludf.DUMMYFUNCTION("""COMPUTED_VALUE"""),"Student accidentally shot self in leg while in class")</f>
        <v>Student accidentally shot self in leg while in class</v>
      </c>
      <c r="W1869"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X1869" s="5" t="str">
        <f ca="1">IFERROR(__xludf.DUMMYFUNCTION("""COMPUTED_VALUE"""),"Accidental")</f>
        <v>Accidental</v>
      </c>
      <c r="Y1869" s="5" t="str">
        <f ca="1">IFERROR(__xludf.DUMMYFUNCTION("""COMPUTED_VALUE"""),"Random Shooting")</f>
        <v>Random Shooting</v>
      </c>
      <c r="Z1869" s="5"/>
      <c r="AA1869" s="5"/>
      <c r="AB1869" s="5" t="str">
        <f ca="1">IFERROR(__xludf.DUMMYFUNCTION("""COMPUTED_VALUE"""),"No")</f>
        <v>No</v>
      </c>
      <c r="AC1869" s="5" t="str">
        <f ca="1">IFERROR(__xludf.DUMMYFUNCTION("""COMPUTED_VALUE"""),"No")</f>
        <v>No</v>
      </c>
      <c r="AD1869" s="5" t="str">
        <f ca="1">IFERROR(__xludf.DUMMYFUNCTION("""COMPUTED_VALUE"""),"No")</f>
        <v>No</v>
      </c>
      <c r="AE1869" s="5" t="str">
        <f ca="1">IFERROR(__xludf.DUMMYFUNCTION("""COMPUTED_VALUE"""),"No")</f>
        <v>No</v>
      </c>
      <c r="AF1869" s="5" t="str">
        <f ca="1">IFERROR(__xludf.DUMMYFUNCTION("""COMPUTED_VALUE"""),"No")</f>
        <v>No</v>
      </c>
      <c r="AG1869" s="5" t="str">
        <f ca="1">IFERROR(__xludf.DUMMYFUNCTION("""COMPUTED_VALUE"""),"No")</f>
        <v>No</v>
      </c>
      <c r="AH1869" s="5"/>
    </row>
    <row r="1870" spans="1:34" ht="12.75">
      <c r="A1870" s="5" t="str">
        <f ca="1">IFERROR(__xludf.DUMMYFUNCTION("""COMPUTED_VALUE"""),"19830912MIHED")</f>
        <v>19830912MIHED</v>
      </c>
      <c r="B1870" s="8">
        <f ca="1">IFERROR(__xludf.DUMMYFUNCTION("""COMPUTED_VALUE"""),30571)</f>
        <v>30571</v>
      </c>
      <c r="C1870" s="5" t="str">
        <f ca="1">IFERROR(__xludf.DUMMYFUNCTION("""COMPUTED_VALUE"""),"Henry Ford High School")</f>
        <v>Henry Ford High School</v>
      </c>
      <c r="D1870" s="5">
        <f ca="1">IFERROR(__xludf.DUMMYFUNCTION("""COMPUTED_VALUE"""),1)</f>
        <v>1</v>
      </c>
      <c r="E1870" s="5">
        <f ca="1">IFERROR(__xludf.DUMMYFUNCTION("""COMPUTED_VALUE"""),0)</f>
        <v>0</v>
      </c>
      <c r="F1870" s="5">
        <f ca="1">IFERROR(__xludf.DUMMYFUNCTION("""COMPUTED_VALUE"""),1)</f>
        <v>1</v>
      </c>
      <c r="G1870" s="5">
        <f ca="1">IFERROR(__xludf.DUMMYFUNCTION("""COMPUTED_VALUE"""),0)</f>
        <v>0</v>
      </c>
      <c r="H1870" s="9" t="str">
        <f ca="1">IFERROR(__xludf.DUMMYFUNCTION("""COMPUTED_VALUE"""),"https://www.newspapers.com/image/97839646")</f>
        <v>https://www.newspapers.com/image/97839646</v>
      </c>
      <c r="I1870" s="5"/>
      <c r="J1870" s="5"/>
      <c r="K1870" s="5">
        <f ca="1">IFERROR(__xludf.DUMMYFUNCTION("""COMPUTED_VALUE"""),2)</f>
        <v>2</v>
      </c>
      <c r="L1870" s="5" t="str">
        <f ca="1">IFERROR(__xludf.DUMMYFUNCTION("""COMPUTED_VALUE"""),"Fall")</f>
        <v>Fall</v>
      </c>
      <c r="M1870" s="5" t="str">
        <f ca="1">IFERROR(__xludf.DUMMYFUNCTION("""COMPUTED_VALUE"""),"Detroit")</f>
        <v>Detroit</v>
      </c>
      <c r="N1870" s="5" t="str">
        <f ca="1">IFERROR(__xludf.DUMMYFUNCTION("""COMPUTED_VALUE"""),"MI")</f>
        <v>MI</v>
      </c>
      <c r="O1870" s="5" t="str">
        <f ca="1">IFERROR(__xludf.DUMMYFUNCTION("""COMPUTED_VALUE"""),"High")</f>
        <v>High</v>
      </c>
      <c r="P1870" s="5" t="str">
        <f ca="1">IFERROR(__xludf.DUMMYFUNCTION("""COMPUTED_VALUE"""),"Beside Building")</f>
        <v>Beside Building</v>
      </c>
      <c r="Q1870" s="5" t="str">
        <f ca="1">IFERROR(__xludf.DUMMYFUNCTION("""COMPUTED_VALUE"""),"Outside on School Property")</f>
        <v>Outside on School Property</v>
      </c>
      <c r="R1870" s="5" t="str">
        <f ca="1">IFERROR(__xludf.DUMMYFUNCTION("""COMPUTED_VALUE"""),"Yes")</f>
        <v>Yes</v>
      </c>
      <c r="S1870" s="5" t="str">
        <f ca="1">IFERROR(__xludf.DUMMYFUNCTION("""COMPUTED_VALUE"""),"School Start")</f>
        <v>School Start</v>
      </c>
      <c r="T1870" s="10">
        <f ca="1">IFERROR(__xludf.DUMMYFUNCTION("""COMPUTED_VALUE"""),0.364583333333333)</f>
        <v>0.36458333333333298</v>
      </c>
      <c r="U1870" s="5">
        <f ca="1">IFERROR(__xludf.DUMMYFUNCTION("""COMPUTED_VALUE"""),1)</f>
        <v>1</v>
      </c>
      <c r="V1870" s="5" t="str">
        <f ca="1">IFERROR(__xludf.DUMMYFUNCTION("""COMPUTED_VALUE"""),"Fight outside on school grounds turned into shooting.")</f>
        <v>Fight outside on school grounds turned into shooting.</v>
      </c>
      <c r="W1870"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X1870" s="5" t="str">
        <f ca="1">IFERROR(__xludf.DUMMYFUNCTION("""COMPUTED_VALUE"""),"Escalation of Dispute")</f>
        <v>Escalation of Dispute</v>
      </c>
      <c r="Y1870" s="5" t="str">
        <f ca="1">IFERROR(__xludf.DUMMYFUNCTION("""COMPUTED_VALUE"""),"Victims Targeted")</f>
        <v>Victims Targeted</v>
      </c>
      <c r="Z1870" s="5" t="str">
        <f ca="1">IFERROR(__xludf.DUMMYFUNCTION("""COMPUTED_VALUE"""),"No")</f>
        <v>No</v>
      </c>
      <c r="AA1870" s="5"/>
      <c r="AB1870" s="5" t="str">
        <f ca="1">IFERROR(__xludf.DUMMYFUNCTION("""COMPUTED_VALUE"""),"No")</f>
        <v>No</v>
      </c>
      <c r="AC1870" s="5" t="str">
        <f ca="1">IFERROR(__xludf.DUMMYFUNCTION("""COMPUTED_VALUE"""),"No")</f>
        <v>No</v>
      </c>
      <c r="AD1870" s="5" t="str">
        <f ca="1">IFERROR(__xludf.DUMMYFUNCTION("""COMPUTED_VALUE"""),"No")</f>
        <v>No</v>
      </c>
      <c r="AE1870" s="5" t="str">
        <f ca="1">IFERROR(__xludf.DUMMYFUNCTION("""COMPUTED_VALUE"""),"No")</f>
        <v>No</v>
      </c>
      <c r="AF1870" s="5" t="str">
        <f ca="1">IFERROR(__xludf.DUMMYFUNCTION("""COMPUTED_VALUE"""),"No")</f>
        <v>No</v>
      </c>
      <c r="AG1870" s="5" t="str">
        <f ca="1">IFERROR(__xludf.DUMMYFUNCTION("""COMPUTED_VALUE"""),"No")</f>
        <v>No</v>
      </c>
      <c r="AH1870" s="5"/>
    </row>
    <row r="1871" spans="1:34" ht="12.75">
      <c r="A1871" s="5" t="str">
        <f ca="1">IFERROR(__xludf.DUMMYFUNCTION("""COMPUTED_VALUE"""),"19830912CAMAC")</f>
        <v>19830912CAMAC</v>
      </c>
      <c r="B1871" s="8">
        <f ca="1">IFERROR(__xludf.DUMMYFUNCTION("""COMPUTED_VALUE"""),30571)</f>
        <v>30571</v>
      </c>
      <c r="C1871" s="5" t="str">
        <f ca="1">IFERROR(__xludf.DUMMYFUNCTION("""COMPUTED_VALUE"""),"Manuel Dominguez High School")</f>
        <v>Manuel Dominguez High School</v>
      </c>
      <c r="D1871" s="5">
        <f ca="1">IFERROR(__xludf.DUMMYFUNCTION("""COMPUTED_VALUE"""),0)</f>
        <v>0</v>
      </c>
      <c r="E1871" s="5">
        <f ca="1">IFERROR(__xludf.DUMMYFUNCTION("""COMPUTED_VALUE"""),5)</f>
        <v>5</v>
      </c>
      <c r="F1871" s="5">
        <f ca="1">IFERROR(__xludf.DUMMYFUNCTION("""COMPUTED_VALUE"""),5)</f>
        <v>5</v>
      </c>
      <c r="G1871" s="5">
        <f ca="1">IFERROR(__xludf.DUMMYFUNCTION("""COMPUTED_VALUE"""),0)</f>
        <v>0</v>
      </c>
      <c r="H1871" s="9" t="str">
        <f ca="1">IFERROR(__xludf.DUMMYFUNCTION("""COMPUTED_VALUE"""),"https://www.newspapers.com/image/381958766/?terms=student%2Bshot")</f>
        <v>https://www.newspapers.com/image/381958766/?terms=student%2Bshot</v>
      </c>
      <c r="I1871" s="5"/>
      <c r="J1871" s="5"/>
      <c r="K1871" s="5">
        <f ca="1">IFERROR(__xludf.DUMMYFUNCTION("""COMPUTED_VALUE"""),2)</f>
        <v>2</v>
      </c>
      <c r="L1871" s="5" t="str">
        <f ca="1">IFERROR(__xludf.DUMMYFUNCTION("""COMPUTED_VALUE"""),"Fall")</f>
        <v>Fall</v>
      </c>
      <c r="M1871" s="5" t="str">
        <f ca="1">IFERROR(__xludf.DUMMYFUNCTION("""COMPUTED_VALUE"""),"Compton")</f>
        <v>Compton</v>
      </c>
      <c r="N1871" s="5" t="str">
        <f ca="1">IFERROR(__xludf.DUMMYFUNCTION("""COMPUTED_VALUE"""),"CA")</f>
        <v>CA</v>
      </c>
      <c r="O1871" s="5" t="str">
        <f ca="1">IFERROR(__xludf.DUMMYFUNCTION("""COMPUTED_VALUE"""),"High")</f>
        <v>High</v>
      </c>
      <c r="P1871" s="5" t="str">
        <f ca="1">IFERROR(__xludf.DUMMYFUNCTION("""COMPUTED_VALUE"""),"Hallway")</f>
        <v>Hallway</v>
      </c>
      <c r="Q1871" s="5" t="str">
        <f ca="1">IFERROR(__xludf.DUMMYFUNCTION("""COMPUTED_VALUE"""),"Inside School Building")</f>
        <v>Inside School Building</v>
      </c>
      <c r="R1871" s="5" t="str">
        <f ca="1">IFERROR(__xludf.DUMMYFUNCTION("""COMPUTED_VALUE"""),"Yes")</f>
        <v>Yes</v>
      </c>
      <c r="S1871" s="5" t="str">
        <f ca="1">IFERROR(__xludf.DUMMYFUNCTION("""COMPUTED_VALUE"""),"Morning Classes")</f>
        <v>Morning Classes</v>
      </c>
      <c r="T1871" s="5"/>
      <c r="U1871" s="5">
        <f ca="1">IFERROR(__xludf.DUMMYFUNCTION("""COMPUTED_VALUE"""),1)</f>
        <v>1</v>
      </c>
      <c r="V1871" s="5" t="str">
        <f ca="1">IFERROR(__xludf.DUMMYFUNCTION("""COMPUTED_VALUE"""),"Gang fight stemming from weekend fight")</f>
        <v>Gang fight stemming from weekend fight</v>
      </c>
      <c r="W1871"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X1871" s="5" t="str">
        <f ca="1">IFERROR(__xludf.DUMMYFUNCTION("""COMPUTED_VALUE"""),"Escalation of Dispute")</f>
        <v>Escalation of Dispute</v>
      </c>
      <c r="Y1871" s="5" t="str">
        <f ca="1">IFERROR(__xludf.DUMMYFUNCTION("""COMPUTED_VALUE"""),"Both")</f>
        <v>Both</v>
      </c>
      <c r="Z1871" s="5" t="str">
        <f ca="1">IFERROR(__xludf.DUMMYFUNCTION("""COMPUTED_VALUE"""),"Yes")</f>
        <v>Yes</v>
      </c>
      <c r="AA1871" s="5" t="str">
        <f ca="1">IFERROR(__xludf.DUMMYFUNCTION("""COMPUTED_VALUE"""),"6 gang members arrested")</f>
        <v>6 gang members arrested</v>
      </c>
      <c r="AB1871" s="5" t="str">
        <f ca="1">IFERROR(__xludf.DUMMYFUNCTION("""COMPUTED_VALUE"""),"No")</f>
        <v>No</v>
      </c>
      <c r="AC1871" s="5" t="str">
        <f ca="1">IFERROR(__xludf.DUMMYFUNCTION("""COMPUTED_VALUE"""),"No")</f>
        <v>No</v>
      </c>
      <c r="AD1871" s="5" t="str">
        <f ca="1">IFERROR(__xludf.DUMMYFUNCTION("""COMPUTED_VALUE"""),"No")</f>
        <v>No</v>
      </c>
      <c r="AE1871" s="5" t="str">
        <f ca="1">IFERROR(__xludf.DUMMYFUNCTION("""COMPUTED_VALUE"""),"No")</f>
        <v>No</v>
      </c>
      <c r="AF1871" s="5" t="str">
        <f ca="1">IFERROR(__xludf.DUMMYFUNCTION("""COMPUTED_VALUE"""),"No")</f>
        <v>No</v>
      </c>
      <c r="AG1871" s="5" t="str">
        <f ca="1">IFERROR(__xludf.DUMMYFUNCTION("""COMPUTED_VALUE"""),"Yes")</f>
        <v>Yes</v>
      </c>
      <c r="AH1871" s="5"/>
    </row>
    <row r="1872" spans="1:34" ht="12.75">
      <c r="A1872" s="5" t="str">
        <f ca="1">IFERROR(__xludf.DUMMYFUNCTION("""COMPUTED_VALUE"""),"19830526PAGRJ")</f>
        <v>19830526PAGRJ</v>
      </c>
      <c r="B1872" s="8">
        <f ca="1">IFERROR(__xludf.DUMMYFUNCTION("""COMPUTED_VALUE"""),30462)</f>
        <v>30462</v>
      </c>
      <c r="C1872" s="5" t="str">
        <f ca="1">IFERROR(__xludf.DUMMYFUNCTION("""COMPUTED_VALUE"""),"Greater Johnstown High School")</f>
        <v>Greater Johnstown High School</v>
      </c>
      <c r="D1872" s="5">
        <f ca="1">IFERROR(__xludf.DUMMYFUNCTION("""COMPUTED_VALUE"""),0)</f>
        <v>0</v>
      </c>
      <c r="E1872" s="5">
        <f ca="1">IFERROR(__xludf.DUMMYFUNCTION("""COMPUTED_VALUE"""),0)</f>
        <v>0</v>
      </c>
      <c r="F1872" s="5">
        <f ca="1">IFERROR(__xludf.DUMMYFUNCTION("""COMPUTED_VALUE"""),0)</f>
        <v>0</v>
      </c>
      <c r="G1872" s="5">
        <f ca="1">IFERROR(__xludf.DUMMYFUNCTION("""COMPUTED_VALUE"""),1)</f>
        <v>1</v>
      </c>
      <c r="H1872" s="9" t="str">
        <f ca="1">IFERROR(__xludf.DUMMYFUNCTION("""COMPUTED_VALUE"""),"https://www.newspapers.com/image/89740743/?terms=student%2Bshot")</f>
        <v>https://www.newspapers.com/image/89740743/?terms=student%2Bshot</v>
      </c>
      <c r="I1872" s="5"/>
      <c r="J1872" s="5"/>
      <c r="K1872" s="5">
        <f ca="1">IFERROR(__xludf.DUMMYFUNCTION("""COMPUTED_VALUE"""),2)</f>
        <v>2</v>
      </c>
      <c r="L1872" s="5" t="str">
        <f ca="1">IFERROR(__xludf.DUMMYFUNCTION("""COMPUTED_VALUE"""),"Spring")</f>
        <v>Spring</v>
      </c>
      <c r="M1872" s="5" t="str">
        <f ca="1">IFERROR(__xludf.DUMMYFUNCTION("""COMPUTED_VALUE"""),"Johnstown")</f>
        <v>Johnstown</v>
      </c>
      <c r="N1872" s="5" t="str">
        <f ca="1">IFERROR(__xludf.DUMMYFUNCTION("""COMPUTED_VALUE"""),"PA")</f>
        <v>PA</v>
      </c>
      <c r="O1872" s="5" t="str">
        <f ca="1">IFERROR(__xludf.DUMMYFUNCTION("""COMPUTED_VALUE"""),"High")</f>
        <v>High</v>
      </c>
      <c r="P1872" s="5" t="str">
        <f ca="1">IFERROR(__xludf.DUMMYFUNCTION("""COMPUTED_VALUE"""),"Other")</f>
        <v>Other</v>
      </c>
      <c r="Q1872" s="5" t="str">
        <f ca="1">IFERROR(__xludf.DUMMYFUNCTION("""COMPUTED_VALUE"""),"Inside School Building")</f>
        <v>Inside School Building</v>
      </c>
      <c r="R1872" s="5" t="str">
        <f ca="1">IFERROR(__xludf.DUMMYFUNCTION("""COMPUTED_VALUE"""),"Yes")</f>
        <v>Yes</v>
      </c>
      <c r="S1872" s="5"/>
      <c r="T1872" s="5"/>
      <c r="U1872" s="5">
        <f ca="1">IFERROR(__xludf.DUMMYFUNCTION("""COMPUTED_VALUE"""),1)</f>
        <v>1</v>
      </c>
      <c r="V1872" s="5" t="str">
        <f ca="1">IFERROR(__xludf.DUMMYFUNCTION("""COMPUTED_VALUE"""),"Accidentally shot self during game of Russian Roulette")</f>
        <v>Accidentally shot self during game of Russian Roulette</v>
      </c>
      <c r="W1872"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X1872" s="5" t="str">
        <f ca="1">IFERROR(__xludf.DUMMYFUNCTION("""COMPUTED_VALUE"""),"Accidental")</f>
        <v>Accidental</v>
      </c>
      <c r="Y1872" s="5" t="str">
        <f ca="1">IFERROR(__xludf.DUMMYFUNCTION("""COMPUTED_VALUE"""),"Neither")</f>
        <v>Neither</v>
      </c>
      <c r="Z1872" s="5" t="str">
        <f ca="1">IFERROR(__xludf.DUMMYFUNCTION("""COMPUTED_VALUE"""),"No")</f>
        <v>No</v>
      </c>
      <c r="AA1872" s="5"/>
      <c r="AB1872" s="5" t="str">
        <f ca="1">IFERROR(__xludf.DUMMYFUNCTION("""COMPUTED_VALUE"""),"No")</f>
        <v>No</v>
      </c>
      <c r="AC1872" s="5" t="str">
        <f ca="1">IFERROR(__xludf.DUMMYFUNCTION("""COMPUTED_VALUE"""),"No")</f>
        <v>No</v>
      </c>
      <c r="AD1872" s="5" t="str">
        <f ca="1">IFERROR(__xludf.DUMMYFUNCTION("""COMPUTED_VALUE"""),"No")</f>
        <v>No</v>
      </c>
      <c r="AE1872" s="5" t="str">
        <f ca="1">IFERROR(__xludf.DUMMYFUNCTION("""COMPUTED_VALUE"""),"No")</f>
        <v>No</v>
      </c>
      <c r="AF1872" s="5" t="str">
        <f ca="1">IFERROR(__xludf.DUMMYFUNCTION("""COMPUTED_VALUE"""),"No")</f>
        <v>No</v>
      </c>
      <c r="AG1872" s="5" t="str">
        <f ca="1">IFERROR(__xludf.DUMMYFUNCTION("""COMPUTED_VALUE"""),"No")</f>
        <v>No</v>
      </c>
      <c r="AH1872" s="5"/>
    </row>
    <row r="1873" spans="1:34" ht="12.75">
      <c r="A1873" s="5" t="str">
        <f ca="1">IFERROR(__xludf.DUMMYFUNCTION("""COMPUTED_VALUE"""),"19830523OHMAM")</f>
        <v>19830523OHMAM</v>
      </c>
      <c r="B1873" s="8">
        <f ca="1">IFERROR(__xludf.DUMMYFUNCTION("""COMPUTED_VALUE"""),30459)</f>
        <v>30459</v>
      </c>
      <c r="C1873" s="5" t="str">
        <f ca="1">IFERROR(__xludf.DUMMYFUNCTION("""COMPUTED_VALUE"""),"Mansfield Senior High School")</f>
        <v>Mansfield Senior High School</v>
      </c>
      <c r="D1873" s="5">
        <f ca="1">IFERROR(__xludf.DUMMYFUNCTION("""COMPUTED_VALUE"""),0)</f>
        <v>0</v>
      </c>
      <c r="E1873" s="5">
        <f ca="1">IFERROR(__xludf.DUMMYFUNCTION("""COMPUTED_VALUE"""),1)</f>
        <v>1</v>
      </c>
      <c r="F1873" s="5">
        <f ca="1">IFERROR(__xludf.DUMMYFUNCTION("""COMPUTED_VALUE"""),1)</f>
        <v>1</v>
      </c>
      <c r="G1873" s="5">
        <f ca="1">IFERROR(__xludf.DUMMYFUNCTION("""COMPUTED_VALUE"""),0)</f>
        <v>0</v>
      </c>
      <c r="H1873" s="9" t="str">
        <f ca="1">IFERROR(__xludf.DUMMYFUNCTION("""COMPUTED_VALUE"""),"https://www.newspapers.com/image/296835492/?terms=mansfield%2Bsenior%2Bhigh%2Bschool")</f>
        <v>https://www.newspapers.com/image/296835492/?terms=mansfield%2Bsenior%2Bhigh%2Bschool</v>
      </c>
      <c r="I1873" s="5"/>
      <c r="J1873" s="5"/>
      <c r="K1873" s="5">
        <f ca="1">IFERROR(__xludf.DUMMYFUNCTION("""COMPUTED_VALUE"""),2)</f>
        <v>2</v>
      </c>
      <c r="L1873" s="5" t="str">
        <f ca="1">IFERROR(__xludf.DUMMYFUNCTION("""COMPUTED_VALUE"""),"Spring")</f>
        <v>Spring</v>
      </c>
      <c r="M1873" s="5" t="str">
        <f ca="1">IFERROR(__xludf.DUMMYFUNCTION("""COMPUTED_VALUE"""),"Mansfield")</f>
        <v>Mansfield</v>
      </c>
      <c r="N1873" s="5" t="str">
        <f ca="1">IFERROR(__xludf.DUMMYFUNCTION("""COMPUTED_VALUE"""),"OH")</f>
        <v>OH</v>
      </c>
      <c r="O1873" s="5" t="str">
        <f ca="1">IFERROR(__xludf.DUMMYFUNCTION("""COMPUTED_VALUE"""),"High")</f>
        <v>High</v>
      </c>
      <c r="P1873" s="5" t="str">
        <f ca="1">IFERROR(__xludf.DUMMYFUNCTION("""COMPUTED_VALUE"""),"Beside Building")</f>
        <v>Beside Building</v>
      </c>
      <c r="Q1873" s="5" t="str">
        <f ca="1">IFERROR(__xludf.DUMMYFUNCTION("""COMPUTED_VALUE"""),"Outside on School Property")</f>
        <v>Outside on School Property</v>
      </c>
      <c r="R1873" s="5" t="str">
        <f ca="1">IFERROR(__xludf.DUMMYFUNCTION("""COMPUTED_VALUE"""),"Yes")</f>
        <v>Yes</v>
      </c>
      <c r="S1873" s="5" t="str">
        <f ca="1">IFERROR(__xludf.DUMMYFUNCTION("""COMPUTED_VALUE"""),"Before School")</f>
        <v>Before School</v>
      </c>
      <c r="T1873" s="10">
        <f ca="1">IFERROR(__xludf.DUMMYFUNCTION("""COMPUTED_VALUE"""),0.336805555555555)</f>
        <v>0.33680555555555503</v>
      </c>
      <c r="U1873" s="5">
        <f ca="1">IFERROR(__xludf.DUMMYFUNCTION("""COMPUTED_VALUE"""),1)</f>
        <v>1</v>
      </c>
      <c r="V1873" s="5" t="str">
        <f ca="1">IFERROR(__xludf.DUMMYFUNCTION("""COMPUTED_VALUE"""),"Ongoing conflict over a girl ended with victim shot")</f>
        <v>Ongoing conflict over a girl ended with victim shot</v>
      </c>
      <c r="W1873"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X1873" s="5" t="str">
        <f ca="1">IFERROR(__xludf.DUMMYFUNCTION("""COMPUTED_VALUE"""),"Escalation of Dispute")</f>
        <v>Escalation of Dispute</v>
      </c>
      <c r="Y1873" s="5" t="str">
        <f ca="1">IFERROR(__xludf.DUMMYFUNCTION("""COMPUTED_VALUE"""),"Victims Targeted")</f>
        <v>Victims Targeted</v>
      </c>
      <c r="Z1873" s="5" t="str">
        <f ca="1">IFERROR(__xludf.DUMMYFUNCTION("""COMPUTED_VALUE"""),"No")</f>
        <v>No</v>
      </c>
      <c r="AA1873" s="5"/>
      <c r="AB1873" s="5" t="str">
        <f ca="1">IFERROR(__xludf.DUMMYFUNCTION("""COMPUTED_VALUE"""),"No")</f>
        <v>No</v>
      </c>
      <c r="AC1873" s="5" t="str">
        <f ca="1">IFERROR(__xludf.DUMMYFUNCTION("""COMPUTED_VALUE"""),"No")</f>
        <v>No</v>
      </c>
      <c r="AD1873" s="5" t="str">
        <f ca="1">IFERROR(__xludf.DUMMYFUNCTION("""COMPUTED_VALUE"""),"No")</f>
        <v>No</v>
      </c>
      <c r="AE1873" s="5" t="str">
        <f ca="1">IFERROR(__xludf.DUMMYFUNCTION("""COMPUTED_VALUE"""),"No")</f>
        <v>No</v>
      </c>
      <c r="AF1873" s="5" t="str">
        <f ca="1">IFERROR(__xludf.DUMMYFUNCTION("""COMPUTED_VALUE"""),"No")</f>
        <v>No</v>
      </c>
      <c r="AG1873" s="5" t="str">
        <f ca="1">IFERROR(__xludf.DUMMYFUNCTION("""COMPUTED_VALUE"""),"No")</f>
        <v>No</v>
      </c>
      <c r="AH1873" s="5"/>
    </row>
    <row r="1874" spans="1:34" ht="12.75">
      <c r="A1874" s="5" t="str">
        <f ca="1">IFERROR(__xludf.DUMMYFUNCTION("""COMPUTED_VALUE"""),"19830518FLNOM")</f>
        <v>19830518FLNOM</v>
      </c>
      <c r="B1874" s="8">
        <f ca="1">IFERROR(__xludf.DUMMYFUNCTION("""COMPUTED_VALUE"""),30454)</f>
        <v>30454</v>
      </c>
      <c r="C1874" s="5" t="str">
        <f ca="1">IFERROR(__xludf.DUMMYFUNCTION("""COMPUTED_VALUE"""),"North Miami Senior High School")</f>
        <v>North Miami Senior High School</v>
      </c>
      <c r="D1874" s="5">
        <f ca="1">IFERROR(__xludf.DUMMYFUNCTION("""COMPUTED_VALUE"""),0)</f>
        <v>0</v>
      </c>
      <c r="E1874" s="5">
        <f ca="1">IFERROR(__xludf.DUMMYFUNCTION("""COMPUTED_VALUE"""),1)</f>
        <v>1</v>
      </c>
      <c r="F1874" s="5">
        <f ca="1">IFERROR(__xludf.DUMMYFUNCTION("""COMPUTED_VALUE"""),1)</f>
        <v>1</v>
      </c>
      <c r="G1874" s="5">
        <f ca="1">IFERROR(__xludf.DUMMYFUNCTION("""COMPUTED_VALUE"""),0)</f>
        <v>0</v>
      </c>
      <c r="H1874"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I1874" s="5"/>
      <c r="J1874" s="5"/>
      <c r="K1874" s="5">
        <f ca="1">IFERROR(__xludf.DUMMYFUNCTION("""COMPUTED_VALUE"""),2)</f>
        <v>2</v>
      </c>
      <c r="L1874" s="5" t="str">
        <f ca="1">IFERROR(__xludf.DUMMYFUNCTION("""COMPUTED_VALUE"""),"Spring")</f>
        <v>Spring</v>
      </c>
      <c r="M1874" s="5" t="str">
        <f ca="1">IFERROR(__xludf.DUMMYFUNCTION("""COMPUTED_VALUE"""),"Miami")</f>
        <v>Miami</v>
      </c>
      <c r="N1874" s="5" t="str">
        <f ca="1">IFERROR(__xludf.DUMMYFUNCTION("""COMPUTED_VALUE"""),"FL")</f>
        <v>FL</v>
      </c>
      <c r="O1874" s="5" t="str">
        <f ca="1">IFERROR(__xludf.DUMMYFUNCTION("""COMPUTED_VALUE"""),"High")</f>
        <v>High</v>
      </c>
      <c r="P1874" s="5" t="str">
        <f ca="1">IFERROR(__xludf.DUMMYFUNCTION("""COMPUTED_VALUE"""),"Hallway")</f>
        <v>Hallway</v>
      </c>
      <c r="Q1874" s="5" t="str">
        <f ca="1">IFERROR(__xludf.DUMMYFUNCTION("""COMPUTED_VALUE"""),"Inside School Building")</f>
        <v>Inside School Building</v>
      </c>
      <c r="R1874" s="5" t="str">
        <f ca="1">IFERROR(__xludf.DUMMYFUNCTION("""COMPUTED_VALUE"""),"Yes")</f>
        <v>Yes</v>
      </c>
      <c r="S1874" s="5" t="str">
        <f ca="1">IFERROR(__xludf.DUMMYFUNCTION("""COMPUTED_VALUE"""),"Afternoon Classes")</f>
        <v>Afternoon Classes</v>
      </c>
      <c r="T1874" s="10">
        <f ca="1">IFERROR(__xludf.DUMMYFUNCTION("""COMPUTED_VALUE"""),0.604166666666666)</f>
        <v>0.60416666666666596</v>
      </c>
      <c r="U1874" s="5">
        <f ca="1">IFERROR(__xludf.DUMMYFUNCTION("""COMPUTED_VALUE"""),1)</f>
        <v>1</v>
      </c>
      <c r="V1874" s="5" t="str">
        <f ca="1">IFERROR(__xludf.DUMMYFUNCTION("""COMPUTED_VALUE"""),"Shooter confronted victim about a girl, fight ensued, victim shot.")</f>
        <v>Shooter confronted victim about a girl, fight ensued, victim shot.</v>
      </c>
      <c r="W1874"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X1874" s="5" t="str">
        <f ca="1">IFERROR(__xludf.DUMMYFUNCTION("""COMPUTED_VALUE"""),"Escalation of Dispute")</f>
        <v>Escalation of Dispute</v>
      </c>
      <c r="Y1874" s="5" t="str">
        <f ca="1">IFERROR(__xludf.DUMMYFUNCTION("""COMPUTED_VALUE"""),"Victims Targeted")</f>
        <v>Victims Targeted</v>
      </c>
      <c r="Z1874" s="5" t="str">
        <f ca="1">IFERROR(__xludf.DUMMYFUNCTION("""COMPUTED_VALUE"""),"No")</f>
        <v>No</v>
      </c>
      <c r="AA1874" s="5"/>
      <c r="AB1874" s="5" t="str">
        <f ca="1">IFERROR(__xludf.DUMMYFUNCTION("""COMPUTED_VALUE"""),"No")</f>
        <v>No</v>
      </c>
      <c r="AC1874" s="5" t="str">
        <f ca="1">IFERROR(__xludf.DUMMYFUNCTION("""COMPUTED_VALUE"""),"No")</f>
        <v>No</v>
      </c>
      <c r="AD1874" s="5" t="str">
        <f ca="1">IFERROR(__xludf.DUMMYFUNCTION("""COMPUTED_VALUE"""),"No")</f>
        <v>No</v>
      </c>
      <c r="AE1874" s="5" t="str">
        <f ca="1">IFERROR(__xludf.DUMMYFUNCTION("""COMPUTED_VALUE"""),"No")</f>
        <v>No</v>
      </c>
      <c r="AF1874" s="5" t="str">
        <f ca="1">IFERROR(__xludf.DUMMYFUNCTION("""COMPUTED_VALUE"""),"No")</f>
        <v>No</v>
      </c>
      <c r="AG1874" s="5" t="str">
        <f ca="1">IFERROR(__xludf.DUMMYFUNCTION("""COMPUTED_VALUE"""),"No")</f>
        <v>No</v>
      </c>
      <c r="AH1874" s="5"/>
    </row>
    <row r="1875" spans="1:34" ht="12.75">
      <c r="A1875" s="5" t="str">
        <f ca="1">IFERROR(__xludf.DUMMYFUNCTION("""COMPUTED_VALUE"""),"19830516TXLAD")</f>
        <v>19830516TXLAD</v>
      </c>
      <c r="B1875" s="8">
        <f ca="1">IFERROR(__xludf.DUMMYFUNCTION("""COMPUTED_VALUE"""),30452)</f>
        <v>30452</v>
      </c>
      <c r="C1875" s="5" t="str">
        <f ca="1">IFERROR(__xludf.DUMMYFUNCTION("""COMPUTED_VALUE"""),"Lake Highland High School")</f>
        <v>Lake Highland High School</v>
      </c>
      <c r="D1875" s="5">
        <f ca="1">IFERROR(__xludf.DUMMYFUNCTION("""COMPUTED_VALUE"""),1)</f>
        <v>1</v>
      </c>
      <c r="E1875" s="5">
        <f ca="1">IFERROR(__xludf.DUMMYFUNCTION("""COMPUTED_VALUE"""),0)</f>
        <v>0</v>
      </c>
      <c r="F1875" s="5">
        <f ca="1">IFERROR(__xludf.DUMMYFUNCTION("""COMPUTED_VALUE"""),1)</f>
        <v>1</v>
      </c>
      <c r="G1875" s="5">
        <f ca="1">IFERROR(__xludf.DUMMYFUNCTION("""COMPUTED_VALUE"""),0)</f>
        <v>0</v>
      </c>
      <c r="H1875" s="9" t="str">
        <f ca="1">IFERROR(__xludf.DUMMYFUNCTION("""COMPUTED_VALUE"""),"https://lakehighlands.advocatemag.com/2014/03/history-shooting-lake-highlands-cafeteria-worker-remembered/")</f>
        <v>https://lakehighlands.advocatemag.com/2014/03/history-shooting-lake-highlands-cafeteria-worker-remembered/</v>
      </c>
      <c r="I1875" s="5"/>
      <c r="J1875" s="5" t="str">
        <f ca="1">IFERROR(__xludf.DUMMYFUNCTION("""COMPUTED_VALUE"""),"Local")</f>
        <v>Local</v>
      </c>
      <c r="K1875" s="5">
        <f ca="1">IFERROR(__xludf.DUMMYFUNCTION("""COMPUTED_VALUE"""),2)</f>
        <v>2</v>
      </c>
      <c r="L1875" s="5" t="str">
        <f ca="1">IFERROR(__xludf.DUMMYFUNCTION("""COMPUTED_VALUE"""),"Spring")</f>
        <v>Spring</v>
      </c>
      <c r="M1875" s="5" t="str">
        <f ca="1">IFERROR(__xludf.DUMMYFUNCTION("""COMPUTED_VALUE"""),"Dallas")</f>
        <v>Dallas</v>
      </c>
      <c r="N1875" s="5" t="str">
        <f ca="1">IFERROR(__xludf.DUMMYFUNCTION("""COMPUTED_VALUE"""),"TX")</f>
        <v>TX</v>
      </c>
      <c r="O1875" s="5" t="str">
        <f ca="1">IFERROR(__xludf.DUMMYFUNCTION("""COMPUTED_VALUE"""),"High")</f>
        <v>High</v>
      </c>
      <c r="P1875" s="5" t="str">
        <f ca="1">IFERROR(__xludf.DUMMYFUNCTION("""COMPUTED_VALUE"""),"Cafeteria")</f>
        <v>Cafeteria</v>
      </c>
      <c r="Q1875" s="5" t="str">
        <f ca="1">IFERROR(__xludf.DUMMYFUNCTION("""COMPUTED_VALUE"""),"Inside School Building")</f>
        <v>Inside School Building</v>
      </c>
      <c r="R1875" s="5" t="str">
        <f ca="1">IFERROR(__xludf.DUMMYFUNCTION("""COMPUTED_VALUE"""),"No")</f>
        <v>No</v>
      </c>
      <c r="S1875" s="5" t="str">
        <f ca="1">IFERROR(__xludf.DUMMYFUNCTION("""COMPUTED_VALUE"""),"After School")</f>
        <v>After School</v>
      </c>
      <c r="T1875" s="5"/>
      <c r="U1875" s="5">
        <f ca="1">IFERROR(__xludf.DUMMYFUNCTION("""COMPUTED_VALUE"""),1)</f>
        <v>1</v>
      </c>
      <c r="V1875" s="5" t="str">
        <f ca="1">IFERROR(__xludf.DUMMYFUNCTION("""COMPUTED_VALUE"""),"Shot and killed cafeteria worker during robbery")</f>
        <v>Shot and killed cafeteria worker during robbery</v>
      </c>
      <c r="W1875"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X1875" s="5" t="str">
        <f ca="1">IFERROR(__xludf.DUMMYFUNCTION("""COMPUTED_VALUE"""),"Illegal Activity")</f>
        <v>Illegal Activity</v>
      </c>
      <c r="Y1875" s="5" t="str">
        <f ca="1">IFERROR(__xludf.DUMMYFUNCTION("""COMPUTED_VALUE"""),"Neither")</f>
        <v>Neither</v>
      </c>
      <c r="Z1875" s="5" t="str">
        <f ca="1">IFERROR(__xludf.DUMMYFUNCTION("""COMPUTED_VALUE"""),"No")</f>
        <v>No</v>
      </c>
      <c r="AA1875" s="5"/>
      <c r="AB1875" s="5" t="str">
        <f ca="1">IFERROR(__xludf.DUMMYFUNCTION("""COMPUTED_VALUE"""),"No")</f>
        <v>No</v>
      </c>
      <c r="AC1875" s="5" t="str">
        <f ca="1">IFERROR(__xludf.DUMMYFUNCTION("""COMPUTED_VALUE"""),"No")</f>
        <v>No</v>
      </c>
      <c r="AD1875" s="5" t="str">
        <f ca="1">IFERROR(__xludf.DUMMYFUNCTION("""COMPUTED_VALUE"""),"No")</f>
        <v>No</v>
      </c>
      <c r="AE1875" s="5" t="str">
        <f ca="1">IFERROR(__xludf.DUMMYFUNCTION("""COMPUTED_VALUE"""),"No")</f>
        <v>No</v>
      </c>
      <c r="AF1875" s="5" t="str">
        <f ca="1">IFERROR(__xludf.DUMMYFUNCTION("""COMPUTED_VALUE"""),"No")</f>
        <v>No</v>
      </c>
      <c r="AG1875" s="5" t="str">
        <f ca="1">IFERROR(__xludf.DUMMYFUNCTION("""COMPUTED_VALUE"""),"No")</f>
        <v>No</v>
      </c>
      <c r="AH1875" s="5"/>
    </row>
    <row r="1876" spans="1:34" ht="12.75">
      <c r="A1876" s="5" t="str">
        <f ca="1">IFERROR(__xludf.DUMMYFUNCTION("""COMPUTED_VALUE"""),"19830516NYBRN")</f>
        <v>19830516NYBRN</v>
      </c>
      <c r="B1876" s="8">
        <f ca="1">IFERROR(__xludf.DUMMYFUNCTION("""COMPUTED_VALUE"""),30452)</f>
        <v>30452</v>
      </c>
      <c r="C1876" s="5" t="str">
        <f ca="1">IFERROR(__xludf.DUMMYFUNCTION("""COMPUTED_VALUE"""),"Brentwood High School")</f>
        <v>Brentwood High School</v>
      </c>
      <c r="D1876" s="5">
        <f ca="1">IFERROR(__xludf.DUMMYFUNCTION("""COMPUTED_VALUE"""),0)</f>
        <v>0</v>
      </c>
      <c r="E1876" s="5">
        <f ca="1">IFERROR(__xludf.DUMMYFUNCTION("""COMPUTED_VALUE"""),2)</f>
        <v>2</v>
      </c>
      <c r="F1876" s="5">
        <f ca="1">IFERROR(__xludf.DUMMYFUNCTION("""COMPUTED_VALUE"""),2)</f>
        <v>2</v>
      </c>
      <c r="G1876" s="5">
        <f ca="1">IFERROR(__xludf.DUMMYFUNCTION("""COMPUTED_VALUE"""),1)</f>
        <v>1</v>
      </c>
      <c r="H1876" s="9" t="str">
        <f ca="1">IFERROR(__xludf.DUMMYFUNCTION("""COMPUTED_VALUE"""),"https://www.nytimes.com/1983/05/17/nyregion/hostages-at-li-school-are-freed-and-gunman-then-kills-himself.html")</f>
        <v>https://www.nytimes.com/1983/05/17/nyregion/hostages-at-li-school-are-freed-and-gunman-then-kills-himself.html</v>
      </c>
      <c r="I1876" s="5"/>
      <c r="J1876" s="5"/>
      <c r="K1876" s="5">
        <f ca="1">IFERROR(__xludf.DUMMYFUNCTION("""COMPUTED_VALUE"""),2)</f>
        <v>2</v>
      </c>
      <c r="L1876" s="5" t="str">
        <f ca="1">IFERROR(__xludf.DUMMYFUNCTION("""COMPUTED_VALUE"""),"Spring")</f>
        <v>Spring</v>
      </c>
      <c r="M1876" s="5" t="str">
        <f ca="1">IFERROR(__xludf.DUMMYFUNCTION("""COMPUTED_VALUE"""),"New York")</f>
        <v>New York</v>
      </c>
      <c r="N1876" s="5" t="str">
        <f ca="1">IFERROR(__xludf.DUMMYFUNCTION("""COMPUTED_VALUE"""),"NY")</f>
        <v>NY</v>
      </c>
      <c r="O1876" s="5" t="str">
        <f ca="1">IFERROR(__xludf.DUMMYFUNCTION("""COMPUTED_VALUE"""),"High")</f>
        <v>High</v>
      </c>
      <c r="P1876" s="5" t="str">
        <f ca="1">IFERROR(__xludf.DUMMYFUNCTION("""COMPUTED_VALUE"""),"Classroom")</f>
        <v>Classroom</v>
      </c>
      <c r="Q1876" s="5" t="str">
        <f ca="1">IFERROR(__xludf.DUMMYFUNCTION("""COMPUTED_VALUE"""),"Inside School Building")</f>
        <v>Inside School Building</v>
      </c>
      <c r="R1876" s="5" t="str">
        <f ca="1">IFERROR(__xludf.DUMMYFUNCTION("""COMPUTED_VALUE"""),"Yes")</f>
        <v>Yes</v>
      </c>
      <c r="S1876" s="5" t="str">
        <f ca="1">IFERROR(__xludf.DUMMYFUNCTION("""COMPUTED_VALUE"""),"Lunch")</f>
        <v>Lunch</v>
      </c>
      <c r="T1876" s="10">
        <f ca="1">IFERROR(__xludf.DUMMYFUNCTION("""COMPUTED_VALUE"""),0.53125)</f>
        <v>0.53125</v>
      </c>
      <c r="U1876" s="5"/>
      <c r="V1876" s="5" t="str">
        <f ca="1">IFERROR(__xludf.DUMMYFUNCTION("""COMPUTED_VALUE"""),"Shooter was former teacher, came back to school, took class hostage, shot victim then self.")</f>
        <v>Shooter was former teacher, came back to school, took class hostage, shot victim then self.</v>
      </c>
      <c r="W1876"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X1876" s="5" t="str">
        <f ca="1">IFERROR(__xludf.DUMMYFUNCTION("""COMPUTED_VALUE"""),"Hostage/Standoff")</f>
        <v>Hostage/Standoff</v>
      </c>
      <c r="Y1876" s="5" t="str">
        <f ca="1">IFERROR(__xludf.DUMMYFUNCTION("""COMPUTED_VALUE"""),"Both")</f>
        <v>Both</v>
      </c>
      <c r="Z1876" s="5" t="str">
        <f ca="1">IFERROR(__xludf.DUMMYFUNCTION("""COMPUTED_VALUE"""),"No")</f>
        <v>No</v>
      </c>
      <c r="AA1876" s="5"/>
      <c r="AB1876" s="5" t="str">
        <f ca="1">IFERROR(__xludf.DUMMYFUNCTION("""COMPUTED_VALUE"""),"Yes")</f>
        <v>Yes</v>
      </c>
      <c r="AC1876" s="5" t="str">
        <f ca="1">IFERROR(__xludf.DUMMYFUNCTION("""COMPUTED_VALUE"""),"Yes")</f>
        <v>Yes</v>
      </c>
      <c r="AD1876" s="5" t="str">
        <f ca="1">IFERROR(__xludf.DUMMYFUNCTION("""COMPUTED_VALUE"""),"No")</f>
        <v>No</v>
      </c>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IFERROR(__xludf.DUMMYFUNCTION("""COMPUTED_VALUE"""),"Yes")</f>
        <v>Yes</v>
      </c>
    </row>
    <row r="1877" spans="1:34" ht="12.75">
      <c r="A1877" s="5" t="str">
        <f ca="1">IFERROR(__xludf.DUMMYFUNCTION("""COMPUTED_VALUE"""),"19830421MOBES")</f>
        <v>19830421MOBES</v>
      </c>
      <c r="B1877" s="8">
        <f ca="1">IFERROR(__xludf.DUMMYFUNCTION("""COMPUTED_VALUE"""),30427)</f>
        <v>30427</v>
      </c>
      <c r="C1877" s="5" t="str">
        <f ca="1">IFERROR(__xludf.DUMMYFUNCTION("""COMPUTED_VALUE"""),"Beaumont High School")</f>
        <v>Beaumont High School</v>
      </c>
      <c r="D1877" s="5">
        <f ca="1">IFERROR(__xludf.DUMMYFUNCTION("""COMPUTED_VALUE"""),0)</f>
        <v>0</v>
      </c>
      <c r="E1877" s="5">
        <f ca="1">IFERROR(__xludf.DUMMYFUNCTION("""COMPUTED_VALUE"""),1)</f>
        <v>1</v>
      </c>
      <c r="F1877" s="5">
        <f ca="1">IFERROR(__xludf.DUMMYFUNCTION("""COMPUTED_VALUE"""),1)</f>
        <v>1</v>
      </c>
      <c r="G1877" s="5">
        <f ca="1">IFERROR(__xludf.DUMMYFUNCTION("""COMPUTED_VALUE"""),0)</f>
        <v>0</v>
      </c>
      <c r="H1877" s="9" t="str">
        <f ca="1">IFERROR(__xludf.DUMMYFUNCTION("""COMPUTED_VALUE"""),"https://www.newspapers.com/image/139911306/?terms=student%2Bshot")</f>
        <v>https://www.newspapers.com/image/139911306/?terms=student%2Bshot</v>
      </c>
      <c r="I1877" s="5"/>
      <c r="J1877" s="5"/>
      <c r="K1877" s="5">
        <f ca="1">IFERROR(__xludf.DUMMYFUNCTION("""COMPUTED_VALUE"""),2)</f>
        <v>2</v>
      </c>
      <c r="L1877" s="5" t="str">
        <f ca="1">IFERROR(__xludf.DUMMYFUNCTION("""COMPUTED_VALUE"""),"Spring")</f>
        <v>Spring</v>
      </c>
      <c r="M1877" s="5" t="str">
        <f ca="1">IFERROR(__xludf.DUMMYFUNCTION("""COMPUTED_VALUE"""),"St. Louis")</f>
        <v>St. Louis</v>
      </c>
      <c r="N1877" s="5" t="str">
        <f ca="1">IFERROR(__xludf.DUMMYFUNCTION("""COMPUTED_VALUE"""),"MO")</f>
        <v>MO</v>
      </c>
      <c r="O1877" s="5" t="str">
        <f ca="1">IFERROR(__xludf.DUMMYFUNCTION("""COMPUTED_VALUE"""),"High")</f>
        <v>High</v>
      </c>
      <c r="P1877" s="5" t="str">
        <f ca="1">IFERROR(__xludf.DUMMYFUNCTION("""COMPUTED_VALUE"""),"Hallway")</f>
        <v>Hallway</v>
      </c>
      <c r="Q1877" s="5" t="str">
        <f ca="1">IFERROR(__xludf.DUMMYFUNCTION("""COMPUTED_VALUE"""),"Inside School Building")</f>
        <v>Inside School Building</v>
      </c>
      <c r="R1877" s="5" t="str">
        <f ca="1">IFERROR(__xludf.DUMMYFUNCTION("""COMPUTED_VALUE"""),"Yes")</f>
        <v>Yes</v>
      </c>
      <c r="S1877" s="5" t="str">
        <f ca="1">IFERROR(__xludf.DUMMYFUNCTION("""COMPUTED_VALUE"""),"Morning Classes")</f>
        <v>Morning Classes</v>
      </c>
      <c r="T1877" s="10">
        <f ca="1">IFERROR(__xludf.DUMMYFUNCTION("""COMPUTED_VALUE"""),0.458333333333333)</f>
        <v>0.45833333333333298</v>
      </c>
      <c r="U1877" s="5">
        <f ca="1">IFERROR(__xludf.DUMMYFUNCTION("""COMPUTED_VALUE"""),1)</f>
        <v>1</v>
      </c>
      <c r="V1877" s="5" t="str">
        <f ca="1">IFERROR(__xludf.DUMMYFUNCTION("""COMPUTED_VALUE"""),"Victim accidentally shot after stepping between two quarreling teens in school basement restroom")</f>
        <v>Victim accidentally shot after stepping between two quarreling teens in school basement restroom</v>
      </c>
      <c r="W1877"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X1877" s="5" t="str">
        <f ca="1">IFERROR(__xludf.DUMMYFUNCTION("""COMPUTED_VALUE"""),"Escalation of Dispute")</f>
        <v>Escalation of Dispute</v>
      </c>
      <c r="Y1877" s="5" t="str">
        <f ca="1">IFERROR(__xludf.DUMMYFUNCTION("""COMPUTED_VALUE"""),"Random Shooting")</f>
        <v>Random Shooting</v>
      </c>
      <c r="Z1877" s="5" t="str">
        <f ca="1">IFERROR(__xludf.DUMMYFUNCTION("""COMPUTED_VALUE"""),"No")</f>
        <v>No</v>
      </c>
      <c r="AA1877" s="5"/>
      <c r="AB1877" s="5" t="str">
        <f ca="1">IFERROR(__xludf.DUMMYFUNCTION("""COMPUTED_VALUE"""),"No")</f>
        <v>No</v>
      </c>
      <c r="AC1877" s="5" t="str">
        <f ca="1">IFERROR(__xludf.DUMMYFUNCTION("""COMPUTED_VALUE"""),"No")</f>
        <v>No</v>
      </c>
      <c r="AD1877" s="5" t="str">
        <f ca="1">IFERROR(__xludf.DUMMYFUNCTION("""COMPUTED_VALUE"""),"No")</f>
        <v>No</v>
      </c>
      <c r="AE1877" s="5" t="str">
        <f ca="1">IFERROR(__xludf.DUMMYFUNCTION("""COMPUTED_VALUE"""),"No")</f>
        <v>No</v>
      </c>
      <c r="AF1877" s="5" t="str">
        <f ca="1">IFERROR(__xludf.DUMMYFUNCTION("""COMPUTED_VALUE"""),"No")</f>
        <v>No</v>
      </c>
      <c r="AG1877" s="5" t="str">
        <f ca="1">IFERROR(__xludf.DUMMYFUNCTION("""COMPUTED_VALUE"""),"No")</f>
        <v>No</v>
      </c>
      <c r="AH1877" s="5"/>
    </row>
    <row r="1878" spans="1:34" ht="12.75">
      <c r="A1878" s="5" t="str">
        <f ca="1">IFERROR(__xludf.DUMMYFUNCTION("""COMPUTED_VALUE"""),"19830331ILSAC")</f>
        <v>19830331ILSAC</v>
      </c>
      <c r="B1878" s="8">
        <f ca="1">IFERROR(__xludf.DUMMYFUNCTION("""COMPUTED_VALUE"""),30406)</f>
        <v>30406</v>
      </c>
      <c r="C1878" s="5" t="str">
        <f ca="1">IFERROR(__xludf.DUMMYFUNCTION("""COMPUTED_VALUE"""),"Santa Maria InCornata-Santa Lucia School")</f>
        <v>Santa Maria InCornata-Santa Lucia School</v>
      </c>
      <c r="D1878" s="5">
        <f ca="1">IFERROR(__xludf.DUMMYFUNCTION("""COMPUTED_VALUE"""),0)</f>
        <v>0</v>
      </c>
      <c r="E1878" s="5">
        <f ca="1">IFERROR(__xludf.DUMMYFUNCTION("""COMPUTED_VALUE"""),0)</f>
        <v>0</v>
      </c>
      <c r="F1878" s="5">
        <f ca="1">IFERROR(__xludf.DUMMYFUNCTION("""COMPUTED_VALUE"""),0)</f>
        <v>0</v>
      </c>
      <c r="G1878" s="5">
        <f ca="1">IFERROR(__xludf.DUMMYFUNCTION("""COMPUTED_VALUE"""),0)</f>
        <v>0</v>
      </c>
      <c r="H1878" s="9" t="str">
        <f ca="1">IFERROR(__xludf.DUMMYFUNCTION("""COMPUTED_VALUE"""),"https://www.newspapers.com/image/277257866/?terms=Santa%2BMaria%2BInCornata-Santa%2BLucia%2BSchool%2Bshooting")</f>
        <v>https://www.newspapers.com/image/277257866/?terms=Santa%2BMaria%2BInCornata-Santa%2BLucia%2BSchool%2Bshooting</v>
      </c>
      <c r="I1878" s="5"/>
      <c r="J1878" s="5"/>
      <c r="K1878" s="5">
        <f ca="1">IFERROR(__xludf.DUMMYFUNCTION("""COMPUTED_VALUE"""),2)</f>
        <v>2</v>
      </c>
      <c r="L1878" s="5" t="str">
        <f ca="1">IFERROR(__xludf.DUMMYFUNCTION("""COMPUTED_VALUE"""),"Spring")</f>
        <v>Spring</v>
      </c>
      <c r="M1878" s="5" t="str">
        <f ca="1">IFERROR(__xludf.DUMMYFUNCTION("""COMPUTED_VALUE"""),"Chicago")</f>
        <v>Chicago</v>
      </c>
      <c r="N1878" s="5" t="str">
        <f ca="1">IFERROR(__xludf.DUMMYFUNCTION("""COMPUTED_VALUE"""),"IL")</f>
        <v>IL</v>
      </c>
      <c r="O1878" s="5" t="str">
        <f ca="1">IFERROR(__xludf.DUMMYFUNCTION("""COMPUTED_VALUE"""),"Other")</f>
        <v>Other</v>
      </c>
      <c r="P1878" s="5" t="str">
        <f ca="1">IFERROR(__xludf.DUMMYFUNCTION("""COMPUTED_VALUE"""),"Classroom")</f>
        <v>Classroom</v>
      </c>
      <c r="Q1878" s="5" t="str">
        <f ca="1">IFERROR(__xludf.DUMMYFUNCTION("""COMPUTED_VALUE"""),"Inside School Building")</f>
        <v>Inside School Building</v>
      </c>
      <c r="R1878" s="5" t="str">
        <f ca="1">IFERROR(__xludf.DUMMYFUNCTION("""COMPUTED_VALUE"""),"Yes")</f>
        <v>Yes</v>
      </c>
      <c r="S1878" s="5" t="str">
        <f ca="1">IFERROR(__xludf.DUMMYFUNCTION("""COMPUTED_VALUE"""),"Morning Classes")</f>
        <v>Morning Classes</v>
      </c>
      <c r="T1878" s="5"/>
      <c r="U1878" s="5">
        <f ca="1">IFERROR(__xludf.DUMMYFUNCTION("""COMPUTED_VALUE"""),1)</f>
        <v>1</v>
      </c>
      <c r="V1878" s="5" t="str">
        <f ca="1">IFERROR(__xludf.DUMMYFUNCTION("""COMPUTED_VALUE"""),"Shot at teacher in class and missed, angry about discipline")</f>
        <v>Shot at teacher in class and missed, angry about discipline</v>
      </c>
      <c r="W1878"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X1878" s="5" t="str">
        <f ca="1">IFERROR(__xludf.DUMMYFUNCTION("""COMPUTED_VALUE"""),"Anger Over Grade/Suspension/Discipline")</f>
        <v>Anger Over Grade/Suspension/Discipline</v>
      </c>
      <c r="Y1878" s="5" t="str">
        <f ca="1">IFERROR(__xludf.DUMMYFUNCTION("""COMPUTED_VALUE"""),"Victims Targeted")</f>
        <v>Victims Targeted</v>
      </c>
      <c r="Z1878" s="5"/>
      <c r="AA1878" s="5"/>
      <c r="AB1878" s="5" t="str">
        <f ca="1">IFERROR(__xludf.DUMMYFUNCTION("""COMPUTED_VALUE"""),"No")</f>
        <v>No</v>
      </c>
      <c r="AC1878" s="5" t="str">
        <f ca="1">IFERROR(__xludf.DUMMYFUNCTION("""COMPUTED_VALUE"""),"No")</f>
        <v>No</v>
      </c>
      <c r="AD1878" s="5" t="str">
        <f ca="1">IFERROR(__xludf.DUMMYFUNCTION("""COMPUTED_VALUE"""),"No")</f>
        <v>No</v>
      </c>
      <c r="AE1878" s="5" t="str">
        <f ca="1">IFERROR(__xludf.DUMMYFUNCTION("""COMPUTED_VALUE"""),"No")</f>
        <v>No</v>
      </c>
      <c r="AF1878" s="5" t="str">
        <f ca="1">IFERROR(__xludf.DUMMYFUNCTION("""COMPUTED_VALUE"""),"No")</f>
        <v>No</v>
      </c>
      <c r="AG1878" s="5" t="str">
        <f ca="1">IFERROR(__xludf.DUMMYFUNCTION("""COMPUTED_VALUE"""),"No")</f>
        <v>No</v>
      </c>
      <c r="AH1878" s="5"/>
    </row>
    <row r="1879" spans="1:34" ht="12.75">
      <c r="A1879" s="5" t="str">
        <f ca="1">IFERROR(__xludf.DUMMYFUNCTION("""COMPUTED_VALUE"""),"19830202NMALA")</f>
        <v>19830202NMALA</v>
      </c>
      <c r="B1879" s="8">
        <f ca="1">IFERROR(__xludf.DUMMYFUNCTION("""COMPUTED_VALUE"""),30349)</f>
        <v>30349</v>
      </c>
      <c r="C1879" s="5" t="str">
        <f ca="1">IFERROR(__xludf.DUMMYFUNCTION("""COMPUTED_VALUE"""),"Albuquerque High School")</f>
        <v>Albuquerque High School</v>
      </c>
      <c r="D1879" s="5">
        <f ca="1">IFERROR(__xludf.DUMMYFUNCTION("""COMPUTED_VALUE"""),0)</f>
        <v>0</v>
      </c>
      <c r="E1879" s="5">
        <f ca="1">IFERROR(__xludf.DUMMYFUNCTION("""COMPUTED_VALUE"""),1)</f>
        <v>1</v>
      </c>
      <c r="F1879" s="5">
        <f ca="1">IFERROR(__xludf.DUMMYFUNCTION("""COMPUTED_VALUE"""),1)</f>
        <v>1</v>
      </c>
      <c r="G1879" s="5">
        <f ca="1">IFERROR(__xludf.DUMMYFUNCTION("""COMPUTED_VALUE"""),0)</f>
        <v>0</v>
      </c>
      <c r="H1879" s="9" t="str">
        <f ca="1">IFERROR(__xludf.DUMMYFUNCTION("""COMPUTED_VALUE"""),"https://www.newspapers.com/image/157419087/?terms=student%2Bshot")</f>
        <v>https://www.newspapers.com/image/157419087/?terms=student%2Bshot</v>
      </c>
      <c r="I1879" s="5"/>
      <c r="J1879" s="5"/>
      <c r="K1879" s="5">
        <f ca="1">IFERROR(__xludf.DUMMYFUNCTION("""COMPUTED_VALUE"""),2)</f>
        <v>2</v>
      </c>
      <c r="L1879" s="5" t="str">
        <f ca="1">IFERROR(__xludf.DUMMYFUNCTION("""COMPUTED_VALUE"""),"Winter")</f>
        <v>Winter</v>
      </c>
      <c r="M1879" s="5" t="str">
        <f ca="1">IFERROR(__xludf.DUMMYFUNCTION("""COMPUTED_VALUE"""),"Alburquerque")</f>
        <v>Alburquerque</v>
      </c>
      <c r="N1879" s="5" t="str">
        <f ca="1">IFERROR(__xludf.DUMMYFUNCTION("""COMPUTED_VALUE"""),"NM")</f>
        <v>NM</v>
      </c>
      <c r="O1879" s="5" t="str">
        <f ca="1">IFERROR(__xludf.DUMMYFUNCTION("""COMPUTED_VALUE"""),"High")</f>
        <v>High</v>
      </c>
      <c r="P1879" s="5" t="str">
        <f ca="1">IFERROR(__xludf.DUMMYFUNCTION("""COMPUTED_VALUE"""),"Field (General)")</f>
        <v>Field (General)</v>
      </c>
      <c r="Q1879" s="5" t="str">
        <f ca="1">IFERROR(__xludf.DUMMYFUNCTION("""COMPUTED_VALUE"""),"Outside on School Property")</f>
        <v>Outside on School Property</v>
      </c>
      <c r="R1879" s="5" t="str">
        <f ca="1">IFERROR(__xludf.DUMMYFUNCTION("""COMPUTED_VALUE"""),"Yes")</f>
        <v>Yes</v>
      </c>
      <c r="S1879" s="5" t="str">
        <f ca="1">IFERROR(__xludf.DUMMYFUNCTION("""COMPUTED_VALUE"""),"Dismissal")</f>
        <v>Dismissal</v>
      </c>
      <c r="T1879" s="5"/>
      <c r="U1879" s="5">
        <f ca="1">IFERROR(__xludf.DUMMYFUNCTION("""COMPUTED_VALUE"""),1)</f>
        <v>1</v>
      </c>
      <c r="V1879" s="5" t="str">
        <f ca="1">IFERROR(__xludf.DUMMYFUNCTION("""COMPUTED_VALUE"""),"Victim shot by unknown assailant while on football field")</f>
        <v>Victim shot by unknown assailant while on football field</v>
      </c>
      <c r="W1879"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X1879" s="5" t="str">
        <f ca="1">IFERROR(__xludf.DUMMYFUNCTION("""COMPUTED_VALUE"""),"Unknown")</f>
        <v>Unknown</v>
      </c>
      <c r="Y1879" s="5"/>
      <c r="Z1879" s="5" t="str">
        <f ca="1">IFERROR(__xludf.DUMMYFUNCTION("""COMPUTED_VALUE"""),"No")</f>
        <v>No</v>
      </c>
      <c r="AA1879" s="5"/>
      <c r="AB1879" s="5" t="str">
        <f ca="1">IFERROR(__xludf.DUMMYFUNCTION("""COMPUTED_VALUE"""),"No")</f>
        <v>No</v>
      </c>
      <c r="AC1879" s="5" t="str">
        <f ca="1">IFERROR(__xludf.DUMMYFUNCTION("""COMPUTED_VALUE"""),"No")</f>
        <v>No</v>
      </c>
      <c r="AD1879" s="5" t="str">
        <f ca="1">IFERROR(__xludf.DUMMYFUNCTION("""COMPUTED_VALUE"""),"No")</f>
        <v>No</v>
      </c>
      <c r="AE1879" s="5" t="str">
        <f ca="1">IFERROR(__xludf.DUMMYFUNCTION("""COMPUTED_VALUE"""),"No")</f>
        <v>No</v>
      </c>
      <c r="AF1879" s="5" t="str">
        <f ca="1">IFERROR(__xludf.DUMMYFUNCTION("""COMPUTED_VALUE"""),"No")</f>
        <v>No</v>
      </c>
      <c r="AG1879" s="5"/>
      <c r="AH1879" s="5"/>
    </row>
    <row r="1880" spans="1:34" ht="12.75">
      <c r="A1880" s="5" t="str">
        <f ca="1">IFERROR(__xludf.DUMMYFUNCTION("""COMPUTED_VALUE"""),"19830201TNRIM")</f>
        <v>19830201TNRIM</v>
      </c>
      <c r="B1880" s="8">
        <f ca="1">IFERROR(__xludf.DUMMYFUNCTION("""COMPUTED_VALUE"""),30348)</f>
        <v>30348</v>
      </c>
      <c r="C1880" s="5" t="str">
        <f ca="1">IFERROR(__xludf.DUMMYFUNCTION("""COMPUTED_VALUE"""),"Riverdale High School")</f>
        <v>Riverdale High School</v>
      </c>
      <c r="D1880" s="5">
        <f ca="1">IFERROR(__xludf.DUMMYFUNCTION("""COMPUTED_VALUE"""),0)</f>
        <v>0</v>
      </c>
      <c r="E1880" s="5">
        <f ca="1">IFERROR(__xludf.DUMMYFUNCTION("""COMPUTED_VALUE"""),0)</f>
        <v>0</v>
      </c>
      <c r="F1880" s="5">
        <f ca="1">IFERROR(__xludf.DUMMYFUNCTION("""COMPUTED_VALUE"""),0)</f>
        <v>0</v>
      </c>
      <c r="G1880" s="5">
        <f ca="1">IFERROR(__xludf.DUMMYFUNCTION("""COMPUTED_VALUE"""),0)</f>
        <v>0</v>
      </c>
      <c r="H1880" s="9" t="str">
        <f ca="1">IFERROR(__xludf.DUMMYFUNCTION("""COMPUTED_VALUE"""),"https://www.newspapers.com/image/112306526/?terms=troy%2Bhale")</f>
        <v>https://www.newspapers.com/image/112306526/?terms=troy%2Bhale</v>
      </c>
      <c r="I1880" s="5"/>
      <c r="J1880" s="5"/>
      <c r="K1880" s="5">
        <f ca="1">IFERROR(__xludf.DUMMYFUNCTION("""COMPUTED_VALUE"""),2)</f>
        <v>2</v>
      </c>
      <c r="L1880" s="5" t="str">
        <f ca="1">IFERROR(__xludf.DUMMYFUNCTION("""COMPUTED_VALUE"""),"Winter")</f>
        <v>Winter</v>
      </c>
      <c r="M1880" s="5" t="str">
        <f ca="1">IFERROR(__xludf.DUMMYFUNCTION("""COMPUTED_VALUE"""),"Murfreesboro")</f>
        <v>Murfreesboro</v>
      </c>
      <c r="N1880" s="5" t="str">
        <f ca="1">IFERROR(__xludf.DUMMYFUNCTION("""COMPUTED_VALUE"""),"TN")</f>
        <v>TN</v>
      </c>
      <c r="O1880" s="5" t="str">
        <f ca="1">IFERROR(__xludf.DUMMYFUNCTION("""COMPUTED_VALUE"""),"High")</f>
        <v>High</v>
      </c>
      <c r="P1880" s="5" t="str">
        <f ca="1">IFERROR(__xludf.DUMMYFUNCTION("""COMPUTED_VALUE"""),"School Bus")</f>
        <v>School Bus</v>
      </c>
      <c r="Q1880" s="5" t="str">
        <f ca="1">IFERROR(__xludf.DUMMYFUNCTION("""COMPUTED_VALUE"""),"School Bus")</f>
        <v>School Bus</v>
      </c>
      <c r="R1880" s="5" t="str">
        <f ca="1">IFERROR(__xludf.DUMMYFUNCTION("""COMPUTED_VALUE"""),"No")</f>
        <v>No</v>
      </c>
      <c r="S1880" s="5" t="str">
        <f ca="1">IFERROR(__xludf.DUMMYFUNCTION("""COMPUTED_VALUE"""),"After School")</f>
        <v>After School</v>
      </c>
      <c r="T1880" s="5"/>
      <c r="U1880" s="5">
        <f ca="1">IFERROR(__xludf.DUMMYFUNCTION("""COMPUTED_VALUE"""),1)</f>
        <v>1</v>
      </c>
      <c r="V1880" s="5" t="str">
        <f ca="1">IFERROR(__xludf.DUMMYFUNCTION("""COMPUTED_VALUE"""),"Shooter on school bus showing off gun when he accidentally shot self")</f>
        <v>Shooter on school bus showing off gun when he accidentally shot self</v>
      </c>
      <c r="W1880"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X1880" s="5" t="str">
        <f ca="1">IFERROR(__xludf.DUMMYFUNCTION("""COMPUTED_VALUE"""),"Accidental")</f>
        <v>Accidental</v>
      </c>
      <c r="Y1880" s="5" t="str">
        <f ca="1">IFERROR(__xludf.DUMMYFUNCTION("""COMPUTED_VALUE"""),"Random Shooting")</f>
        <v>Random Shooting</v>
      </c>
      <c r="Z1880" s="5"/>
      <c r="AA1880" s="5"/>
      <c r="AB1880" s="5" t="str">
        <f ca="1">IFERROR(__xludf.DUMMYFUNCTION("""COMPUTED_VALUE"""),"No")</f>
        <v>No</v>
      </c>
      <c r="AC1880" s="5" t="str">
        <f ca="1">IFERROR(__xludf.DUMMYFUNCTION("""COMPUTED_VALUE"""),"No")</f>
        <v>No</v>
      </c>
      <c r="AD1880" s="5" t="str">
        <f ca="1">IFERROR(__xludf.DUMMYFUNCTION("""COMPUTED_VALUE"""),"No")</f>
        <v>No</v>
      </c>
      <c r="AE1880" s="5" t="str">
        <f ca="1">IFERROR(__xludf.DUMMYFUNCTION("""COMPUTED_VALUE"""),"No")</f>
        <v>No</v>
      </c>
      <c r="AF1880" s="5" t="str">
        <f ca="1">IFERROR(__xludf.DUMMYFUNCTION("""COMPUTED_VALUE"""),"No")</f>
        <v>No</v>
      </c>
      <c r="AG1880" s="5" t="str">
        <f ca="1">IFERROR(__xludf.DUMMYFUNCTION("""COMPUTED_VALUE"""),"No")</f>
        <v>No</v>
      </c>
      <c r="AH1880" s="5"/>
    </row>
    <row r="1881" spans="1:34" ht="12.75">
      <c r="A1881" s="5" t="str">
        <f ca="1">IFERROR(__xludf.DUMMYFUNCTION("""COMPUTED_VALUE"""),"19830131FLDED")</f>
        <v>19830131FLDED</v>
      </c>
      <c r="B1881" s="8">
        <f ca="1">IFERROR(__xludf.DUMMYFUNCTION("""COMPUTED_VALUE"""),30347)</f>
        <v>30347</v>
      </c>
      <c r="C1881" s="5" t="str">
        <f ca="1">IFERROR(__xludf.DUMMYFUNCTION("""COMPUTED_VALUE"""),"DeLand High School")</f>
        <v>DeLand High School</v>
      </c>
      <c r="D1881" s="5">
        <f ca="1">IFERROR(__xludf.DUMMYFUNCTION("""COMPUTED_VALUE"""),0)</f>
        <v>0</v>
      </c>
      <c r="E1881" s="5">
        <f ca="1">IFERROR(__xludf.DUMMYFUNCTION("""COMPUTED_VALUE"""),0)</f>
        <v>0</v>
      </c>
      <c r="F1881" s="5">
        <f ca="1">IFERROR(__xludf.DUMMYFUNCTION("""COMPUTED_VALUE"""),0)</f>
        <v>0</v>
      </c>
      <c r="G1881" s="5">
        <f ca="1">IFERROR(__xludf.DUMMYFUNCTION("""COMPUTED_VALUE"""),0)</f>
        <v>0</v>
      </c>
      <c r="H1881" s="9" t="str">
        <f ca="1">IFERROR(__xludf.DUMMYFUNCTION("""COMPUTED_VALUE"""),"https://www.newspapers.com/image/227592168/?terms=student%2Bshoots")</f>
        <v>https://www.newspapers.com/image/227592168/?terms=student%2Bshoots</v>
      </c>
      <c r="I1881" s="5"/>
      <c r="J1881" s="5"/>
      <c r="K1881" s="5">
        <f ca="1">IFERROR(__xludf.DUMMYFUNCTION("""COMPUTED_VALUE"""),2)</f>
        <v>2</v>
      </c>
      <c r="L1881" s="5" t="str">
        <f ca="1">IFERROR(__xludf.DUMMYFUNCTION("""COMPUTED_VALUE"""),"Winter")</f>
        <v>Winter</v>
      </c>
      <c r="M1881" s="5" t="str">
        <f ca="1">IFERROR(__xludf.DUMMYFUNCTION("""COMPUTED_VALUE"""),"DeLand")</f>
        <v>DeLand</v>
      </c>
      <c r="N1881" s="5" t="str">
        <f ca="1">IFERROR(__xludf.DUMMYFUNCTION("""COMPUTED_VALUE"""),"FL")</f>
        <v>FL</v>
      </c>
      <c r="O1881" s="5" t="str">
        <f ca="1">IFERROR(__xludf.DUMMYFUNCTION("""COMPUTED_VALUE"""),"High")</f>
        <v>High</v>
      </c>
      <c r="P1881" s="5" t="str">
        <f ca="1">IFERROR(__xludf.DUMMYFUNCTION("""COMPUTED_VALUE"""),"Bathroom")</f>
        <v>Bathroom</v>
      </c>
      <c r="Q1881" s="5" t="str">
        <f ca="1">IFERROR(__xludf.DUMMYFUNCTION("""COMPUTED_VALUE"""),"Inside School Building")</f>
        <v>Inside School Building</v>
      </c>
      <c r="R1881" s="5" t="str">
        <f ca="1">IFERROR(__xludf.DUMMYFUNCTION("""COMPUTED_VALUE"""),"Yes")</f>
        <v>Yes</v>
      </c>
      <c r="S1881" s="5"/>
      <c r="T1881" s="5"/>
      <c r="U1881" s="5">
        <f ca="1">IFERROR(__xludf.DUMMYFUNCTION("""COMPUTED_VALUE"""),1)</f>
        <v>1</v>
      </c>
      <c r="V1881" s="5" t="str">
        <f ca="1">IFERROR(__xludf.DUMMYFUNCTION("""COMPUTED_VALUE"""),"Suicidal due to known drug problem")</f>
        <v>Suicidal due to known drug problem</v>
      </c>
      <c r="W1881"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X1881" s="5" t="str">
        <f ca="1">IFERROR(__xludf.DUMMYFUNCTION("""COMPUTED_VALUE"""),"Suicide/Attempted")</f>
        <v>Suicide/Attempted</v>
      </c>
      <c r="Y1881" s="5" t="str">
        <f ca="1">IFERROR(__xludf.DUMMYFUNCTION("""COMPUTED_VALUE"""),"Victims Targeted")</f>
        <v>Victims Targeted</v>
      </c>
      <c r="Z1881" s="5" t="str">
        <f ca="1">IFERROR(__xludf.DUMMYFUNCTION("""COMPUTED_VALUE"""),"No")</f>
        <v>No</v>
      </c>
      <c r="AA1881" s="5"/>
      <c r="AB1881" s="5" t="str">
        <f ca="1">IFERROR(__xludf.DUMMYFUNCTION("""COMPUTED_VALUE"""),"No")</f>
        <v>No</v>
      </c>
      <c r="AC1881" s="5" t="str">
        <f ca="1">IFERROR(__xludf.DUMMYFUNCTION("""COMPUTED_VALUE"""),"No")</f>
        <v>No</v>
      </c>
      <c r="AD1881" s="5" t="str">
        <f ca="1">IFERROR(__xludf.DUMMYFUNCTION("""COMPUTED_VALUE"""),"No")</f>
        <v>No</v>
      </c>
      <c r="AE1881" s="5" t="str">
        <f ca="1">IFERROR(__xludf.DUMMYFUNCTION("""COMPUTED_VALUE"""),"No")</f>
        <v>No</v>
      </c>
      <c r="AF1881" s="5" t="str">
        <f ca="1">IFERROR(__xludf.DUMMYFUNCTION("""COMPUTED_VALUE"""),"No")</f>
        <v>No</v>
      </c>
      <c r="AG1881" s="5" t="str">
        <f ca="1">IFERROR(__xludf.DUMMYFUNCTION("""COMPUTED_VALUE"""),"No")</f>
        <v>No</v>
      </c>
      <c r="AH1881" s="5"/>
    </row>
    <row r="1882" spans="1:34" ht="12.75">
      <c r="A1882" s="5" t="str">
        <f ca="1">IFERROR(__xludf.DUMMYFUNCTION("""COMPUTED_VALUE"""),"19830130TXWEC")</f>
        <v>19830130TXWEC</v>
      </c>
      <c r="B1882" s="8">
        <f ca="1">IFERROR(__xludf.DUMMYFUNCTION("""COMPUTED_VALUE"""),30346)</f>
        <v>30346</v>
      </c>
      <c r="C1882" s="5" t="str">
        <f ca="1">IFERROR(__xludf.DUMMYFUNCTION("""COMPUTED_VALUE"""),"West Ward School")</f>
        <v>West Ward School</v>
      </c>
      <c r="D1882" s="5">
        <f ca="1">IFERROR(__xludf.DUMMYFUNCTION("""COMPUTED_VALUE"""),1)</f>
        <v>1</v>
      </c>
      <c r="E1882" s="5">
        <f ca="1">IFERROR(__xludf.DUMMYFUNCTION("""COMPUTED_VALUE"""),0)</f>
        <v>0</v>
      </c>
      <c r="F1882" s="5">
        <f ca="1">IFERROR(__xludf.DUMMYFUNCTION("""COMPUTED_VALUE"""),1)</f>
        <v>1</v>
      </c>
      <c r="G1882" s="5">
        <f ca="1">IFERROR(__xludf.DUMMYFUNCTION("""COMPUTED_VALUE"""),0)</f>
        <v>0</v>
      </c>
      <c r="H1882"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I1882" s="5"/>
      <c r="J1882" s="5"/>
      <c r="K1882" s="5">
        <f ca="1">IFERROR(__xludf.DUMMYFUNCTION("""COMPUTED_VALUE"""),2)</f>
        <v>2</v>
      </c>
      <c r="L1882" s="5" t="str">
        <f ca="1">IFERROR(__xludf.DUMMYFUNCTION("""COMPUTED_VALUE"""),"Winter")</f>
        <v>Winter</v>
      </c>
      <c r="M1882" s="5" t="str">
        <f ca="1">IFERROR(__xludf.DUMMYFUNCTION("""COMPUTED_VALUE"""),"Coleman")</f>
        <v>Coleman</v>
      </c>
      <c r="N1882" s="5" t="str">
        <f ca="1">IFERROR(__xludf.DUMMYFUNCTION("""COMPUTED_VALUE"""),"TX")</f>
        <v>TX</v>
      </c>
      <c r="O1882" s="5" t="str">
        <f ca="1">IFERROR(__xludf.DUMMYFUNCTION("""COMPUTED_VALUE"""),"High")</f>
        <v>High</v>
      </c>
      <c r="P1882" s="5" t="str">
        <f ca="1">IFERROR(__xludf.DUMMYFUNCTION("""COMPUTED_VALUE"""),"Basketball Court")</f>
        <v>Basketball Court</v>
      </c>
      <c r="Q1882" s="5"/>
      <c r="R1882" s="5" t="str">
        <f ca="1">IFERROR(__xludf.DUMMYFUNCTION("""COMPUTED_VALUE"""),"No")</f>
        <v>No</v>
      </c>
      <c r="S1882" s="5" t="str">
        <f ca="1">IFERROR(__xludf.DUMMYFUNCTION("""COMPUTED_VALUE"""),"Not a School Day")</f>
        <v>Not a School Day</v>
      </c>
      <c r="T1882" s="10">
        <f ca="1">IFERROR(__xludf.DUMMYFUNCTION("""COMPUTED_VALUE"""),0.486111111111111)</f>
        <v>0.48611111111111099</v>
      </c>
      <c r="U1882" s="5">
        <f ca="1">IFERROR(__xludf.DUMMYFUNCTION("""COMPUTED_VALUE"""),1)</f>
        <v>1</v>
      </c>
      <c r="V1882" s="5" t="str">
        <f ca="1">IFERROR(__xludf.DUMMYFUNCTION("""COMPUTED_VALUE"""),"Two students were playing basketball at school on Sunday - get in argument - shooter kills victim")</f>
        <v>Two students were playing basketball at school on Sunday - get in argument - shooter kills victim</v>
      </c>
      <c r="W1882"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X1882" s="5" t="str">
        <f ca="1">IFERROR(__xludf.DUMMYFUNCTION("""COMPUTED_VALUE"""),"Escalation of Dispute")</f>
        <v>Escalation of Dispute</v>
      </c>
      <c r="Y1882" s="5" t="str">
        <f ca="1">IFERROR(__xludf.DUMMYFUNCTION("""COMPUTED_VALUE"""),"Victims Targeted")</f>
        <v>Victims Targeted</v>
      </c>
      <c r="Z1882" s="5" t="str">
        <f ca="1">IFERROR(__xludf.DUMMYFUNCTION("""COMPUTED_VALUE"""),"No")</f>
        <v>No</v>
      </c>
      <c r="AA1882" s="5"/>
      <c r="AB1882" s="5" t="str">
        <f ca="1">IFERROR(__xludf.DUMMYFUNCTION("""COMPUTED_VALUE"""),"No")</f>
        <v>No</v>
      </c>
      <c r="AC1882" s="5" t="str">
        <f ca="1">IFERROR(__xludf.DUMMYFUNCTION("""COMPUTED_VALUE"""),"No")</f>
        <v>No</v>
      </c>
      <c r="AD1882" s="5" t="str">
        <f ca="1">IFERROR(__xludf.DUMMYFUNCTION("""COMPUTED_VALUE"""),"No")</f>
        <v>No</v>
      </c>
      <c r="AE1882" s="5" t="str">
        <f ca="1">IFERROR(__xludf.DUMMYFUNCTION("""COMPUTED_VALUE"""),"No")</f>
        <v>No</v>
      </c>
      <c r="AF1882" s="5" t="str">
        <f ca="1">IFERROR(__xludf.DUMMYFUNCTION("""COMPUTED_VALUE"""),"No")</f>
        <v>No</v>
      </c>
      <c r="AG1882" s="5" t="str">
        <f ca="1">IFERROR(__xludf.DUMMYFUNCTION("""COMPUTED_VALUE"""),"No")</f>
        <v>No</v>
      </c>
      <c r="AH1882" s="5"/>
    </row>
    <row r="1883" spans="1:34" ht="12.75">
      <c r="A1883" s="5" t="str">
        <f ca="1">IFERROR(__xludf.DUMMYFUNCTION("""COMPUTED_VALUE"""),"19830128MDWIB")</f>
        <v>19830128MDWIB</v>
      </c>
      <c r="B1883" s="8">
        <f ca="1">IFERROR(__xludf.DUMMYFUNCTION("""COMPUTED_VALUE"""),30344)</f>
        <v>30344</v>
      </c>
      <c r="C1883" s="5" t="str">
        <f ca="1">IFERROR(__xludf.DUMMYFUNCTION("""COMPUTED_VALUE"""),"William H. Lemmel Middle School")</f>
        <v>William H. Lemmel Middle School</v>
      </c>
      <c r="D1883" s="5">
        <f ca="1">IFERROR(__xludf.DUMMYFUNCTION("""COMPUTED_VALUE"""),0)</f>
        <v>0</v>
      </c>
      <c r="E1883" s="5">
        <f ca="1">IFERROR(__xludf.DUMMYFUNCTION("""COMPUTED_VALUE"""),0)</f>
        <v>0</v>
      </c>
      <c r="F1883" s="5">
        <f ca="1">IFERROR(__xludf.DUMMYFUNCTION("""COMPUTED_VALUE"""),0)</f>
        <v>0</v>
      </c>
      <c r="G1883" s="5">
        <f ca="1">IFERROR(__xludf.DUMMYFUNCTION("""COMPUTED_VALUE"""),0)</f>
        <v>0</v>
      </c>
      <c r="H1883" s="9" t="str">
        <f ca="1">IFERROR(__xludf.DUMMYFUNCTION("""COMPUTED_VALUE"""),"https://www.newspapers.com/image/372294245/?terms=lemmel%2Bmiddle%2Bschool")</f>
        <v>https://www.newspapers.com/image/372294245/?terms=lemmel%2Bmiddle%2Bschool</v>
      </c>
      <c r="I1883" s="5"/>
      <c r="J1883" s="5"/>
      <c r="K1883" s="5">
        <f ca="1">IFERROR(__xludf.DUMMYFUNCTION("""COMPUTED_VALUE"""),2)</f>
        <v>2</v>
      </c>
      <c r="L1883" s="5" t="str">
        <f ca="1">IFERROR(__xludf.DUMMYFUNCTION("""COMPUTED_VALUE"""),"Winter")</f>
        <v>Winter</v>
      </c>
      <c r="M1883" s="5" t="str">
        <f ca="1">IFERROR(__xludf.DUMMYFUNCTION("""COMPUTED_VALUE"""),"Baltimore")</f>
        <v>Baltimore</v>
      </c>
      <c r="N1883" s="5" t="str">
        <f ca="1">IFERROR(__xludf.DUMMYFUNCTION("""COMPUTED_VALUE"""),"MD")</f>
        <v>MD</v>
      </c>
      <c r="O1883" s="5" t="str">
        <f ca="1">IFERROR(__xludf.DUMMYFUNCTION("""COMPUTED_VALUE"""),"Middle")</f>
        <v>Middle</v>
      </c>
      <c r="P1883" s="5" t="str">
        <f ca="1">IFERROR(__xludf.DUMMYFUNCTION("""COMPUTED_VALUE"""),"Classroom")</f>
        <v>Classroom</v>
      </c>
      <c r="Q1883" s="5" t="str">
        <f ca="1">IFERROR(__xludf.DUMMYFUNCTION("""COMPUTED_VALUE"""),"Inside School Building")</f>
        <v>Inside School Building</v>
      </c>
      <c r="R1883" s="5" t="str">
        <f ca="1">IFERROR(__xludf.DUMMYFUNCTION("""COMPUTED_VALUE"""),"Yes")</f>
        <v>Yes</v>
      </c>
      <c r="S1883" s="5" t="str">
        <f ca="1">IFERROR(__xludf.DUMMYFUNCTION("""COMPUTED_VALUE"""),"Morning Classes")</f>
        <v>Morning Classes</v>
      </c>
      <c r="T1883" s="5"/>
      <c r="U1883" s="5">
        <f ca="1">IFERROR(__xludf.DUMMYFUNCTION("""COMPUTED_VALUE"""),1)</f>
        <v>1</v>
      </c>
      <c r="V1883" s="5" t="str">
        <f ca="1">IFERROR(__xludf.DUMMYFUNCTION("""COMPUTED_VALUE"""),"Shooter checked safety on gun in class and accidentally shot self")</f>
        <v>Shooter checked safety on gun in class and accidentally shot self</v>
      </c>
      <c r="W1883"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X1883" s="5" t="str">
        <f ca="1">IFERROR(__xludf.DUMMYFUNCTION("""COMPUTED_VALUE"""),"Accidental")</f>
        <v>Accidental</v>
      </c>
      <c r="Y1883" s="5" t="str">
        <f ca="1">IFERROR(__xludf.DUMMYFUNCTION("""COMPUTED_VALUE"""),"Random Shooting")</f>
        <v>Random Shooting</v>
      </c>
      <c r="Z1883" s="5"/>
      <c r="AA1883" s="5"/>
      <c r="AB1883" s="5" t="str">
        <f ca="1">IFERROR(__xludf.DUMMYFUNCTION("""COMPUTED_VALUE"""),"No")</f>
        <v>No</v>
      </c>
      <c r="AC1883" s="5" t="str">
        <f ca="1">IFERROR(__xludf.DUMMYFUNCTION("""COMPUTED_VALUE"""),"No")</f>
        <v>No</v>
      </c>
      <c r="AD1883" s="5" t="str">
        <f ca="1">IFERROR(__xludf.DUMMYFUNCTION("""COMPUTED_VALUE"""),"No")</f>
        <v>No</v>
      </c>
      <c r="AE1883" s="5" t="str">
        <f ca="1">IFERROR(__xludf.DUMMYFUNCTION("""COMPUTED_VALUE"""),"No")</f>
        <v>No</v>
      </c>
      <c r="AF1883" s="5" t="str">
        <f ca="1">IFERROR(__xludf.DUMMYFUNCTION("""COMPUTED_VALUE"""),"No")</f>
        <v>No</v>
      </c>
      <c r="AG1883" s="5" t="str">
        <f ca="1">IFERROR(__xludf.DUMMYFUNCTION("""COMPUTED_VALUE"""),"No")</f>
        <v>No</v>
      </c>
      <c r="AH1883" s="5"/>
    </row>
    <row r="1884" spans="1:34" ht="12.75">
      <c r="A1884" s="5" t="str">
        <f ca="1">IFERROR(__xludf.DUMMYFUNCTION("""COMPUTED_VALUE"""),"19830120MOPAB")</f>
        <v>19830120MOPAB</v>
      </c>
      <c r="B1884" s="8">
        <f ca="1">IFERROR(__xludf.DUMMYFUNCTION("""COMPUTED_VALUE"""),30336)</f>
        <v>30336</v>
      </c>
      <c r="C1884" s="5" t="str">
        <f ca="1">IFERROR(__xludf.DUMMYFUNCTION("""COMPUTED_VALUE"""),"Parkway South Middle School")</f>
        <v>Parkway South Middle School</v>
      </c>
      <c r="D1884" s="5">
        <f ca="1">IFERROR(__xludf.DUMMYFUNCTION("""COMPUTED_VALUE"""),1)</f>
        <v>1</v>
      </c>
      <c r="E1884" s="5">
        <f ca="1">IFERROR(__xludf.DUMMYFUNCTION("""COMPUTED_VALUE"""),1)</f>
        <v>1</v>
      </c>
      <c r="F1884" s="5">
        <f ca="1">IFERROR(__xludf.DUMMYFUNCTION("""COMPUTED_VALUE"""),2)</f>
        <v>2</v>
      </c>
      <c r="G1884" s="5">
        <f ca="1">IFERROR(__xludf.DUMMYFUNCTION("""COMPUTED_VALUE"""),1)</f>
        <v>1</v>
      </c>
      <c r="H1884" s="9" t="str">
        <f ca="1">IFERROR(__xludf.DUMMYFUNCTION("""COMPUTED_VALUE"""),"http://articles.baltimoresun.com/1999-05-02/topic/9905040373_1_senti-firecracker-beneath")</f>
        <v>http://articles.baltimoresun.com/1999-05-02/topic/9905040373_1_senti-firecracker-beneath</v>
      </c>
      <c r="I1884" s="5"/>
      <c r="J1884" s="5"/>
      <c r="K1884" s="5">
        <f ca="1">IFERROR(__xludf.DUMMYFUNCTION("""COMPUTED_VALUE"""),2)</f>
        <v>2</v>
      </c>
      <c r="L1884" s="5" t="str">
        <f ca="1">IFERROR(__xludf.DUMMYFUNCTION("""COMPUTED_VALUE"""),"Winter")</f>
        <v>Winter</v>
      </c>
      <c r="M1884" s="5" t="str">
        <f ca="1">IFERROR(__xludf.DUMMYFUNCTION("""COMPUTED_VALUE"""),"Baldwin")</f>
        <v>Baldwin</v>
      </c>
      <c r="N1884" s="5" t="str">
        <f ca="1">IFERROR(__xludf.DUMMYFUNCTION("""COMPUTED_VALUE"""),"MO")</f>
        <v>MO</v>
      </c>
      <c r="O1884" s="5" t="str">
        <f ca="1">IFERROR(__xludf.DUMMYFUNCTION("""COMPUTED_VALUE"""),"Middle")</f>
        <v>Middle</v>
      </c>
      <c r="P1884" s="5" t="str">
        <f ca="1">IFERROR(__xludf.DUMMYFUNCTION("""COMPUTED_VALUE"""),"Inside School Building")</f>
        <v>Inside School Building</v>
      </c>
      <c r="Q1884" s="5" t="str">
        <f ca="1">IFERROR(__xludf.DUMMYFUNCTION("""COMPUTED_VALUE"""),"Inside School Building")</f>
        <v>Inside School Building</v>
      </c>
      <c r="R1884" s="5" t="str">
        <f ca="1">IFERROR(__xludf.DUMMYFUNCTION("""COMPUTED_VALUE"""),"Yes")</f>
        <v>Yes</v>
      </c>
      <c r="S1884" s="5" t="str">
        <f ca="1">IFERROR(__xludf.DUMMYFUNCTION("""COMPUTED_VALUE"""),"Morning Classes")</f>
        <v>Morning Classes</v>
      </c>
      <c r="T1884" s="10">
        <f ca="1">IFERROR(__xludf.DUMMYFUNCTION("""COMPUTED_VALUE"""),0.493055555555555)</f>
        <v>0.49305555555555503</v>
      </c>
      <c r="U1884" s="5"/>
      <c r="V1884" s="5" t="str">
        <f ca="1">IFERROR(__xludf.DUMMYFUNCTION("""COMPUTED_VALUE"""),"Previous fight with victim; brother was bullied by victims")</f>
        <v>Previous fight with victim; brother was bullied by victims</v>
      </c>
      <c r="W1884" s="5" t="str">
        <f ca="1">IFERROR(__xludf.DUMMYFUNCTION("""COMPUTED_VALUE"""),"Police found suicide note, knife, and 100 rounds of ammo inside duffle bag suspect brought guns into school with. Statement made that suspect was angry at two victims for disparaging remarks made about brother.")</f>
        <v>Police found suicide note, knife, and 100 rounds of ammo inside duffle bag suspect brought guns into school with. Statement made that suspect was angry at two victims for disparaging remarks made about brother.</v>
      </c>
      <c r="X1884" s="5" t="str">
        <f ca="1">IFERROR(__xludf.DUMMYFUNCTION("""COMPUTED_VALUE"""),"Bullying")</f>
        <v>Bullying</v>
      </c>
      <c r="Y1884" s="5" t="str">
        <f ca="1">IFERROR(__xludf.DUMMYFUNCTION("""COMPUTED_VALUE"""),"Victims Targeted")</f>
        <v>Victims Targeted</v>
      </c>
      <c r="Z1884" s="5" t="str">
        <f ca="1">IFERROR(__xludf.DUMMYFUNCTION("""COMPUTED_VALUE"""),"No")</f>
        <v>No</v>
      </c>
      <c r="AA1884" s="5"/>
      <c r="AB1884" s="5" t="str">
        <f ca="1">IFERROR(__xludf.DUMMYFUNCTION("""COMPUTED_VALUE"""),"No")</f>
        <v>No</v>
      </c>
      <c r="AC1884" s="5" t="str">
        <f ca="1">IFERROR(__xludf.DUMMYFUNCTION("""COMPUTED_VALUE"""),"No")</f>
        <v>No</v>
      </c>
      <c r="AD1884" s="5" t="str">
        <f ca="1">IFERROR(__xludf.DUMMYFUNCTION("""COMPUTED_VALUE"""),"No")</f>
        <v>No</v>
      </c>
      <c r="AE1884" s="5" t="str">
        <f ca="1">IFERROR(__xludf.DUMMYFUNCTION("""COMPUTED_VALUE"""),"Yes")</f>
        <v>Yes</v>
      </c>
      <c r="AF1884" s="5" t="str">
        <f ca="1">IFERROR(__xludf.DUMMYFUNCTION("""COMPUTED_VALUE"""),"No")</f>
        <v>No</v>
      </c>
      <c r="AG1884" s="5" t="str">
        <f ca="1">IFERROR(__xludf.DUMMYFUNCTION("""COMPUTED_VALUE"""),"No")</f>
        <v>No</v>
      </c>
      <c r="AH1884" s="5" t="str">
        <f ca="1">IFERROR(__xludf.DUMMYFUNCTION("""COMPUTED_VALUE"""),"Yes")</f>
        <v>Yes</v>
      </c>
    </row>
    <row r="1885" spans="1:34" ht="12.75">
      <c r="A1885" s="5" t="str">
        <f ca="1">IFERROR(__xludf.DUMMYFUNCTION("""COMPUTED_VALUE"""),"19830118TXJOH")</f>
        <v>19830118TXJOH</v>
      </c>
      <c r="B1885" s="8">
        <f ca="1">IFERROR(__xludf.DUMMYFUNCTION("""COMPUTED_VALUE"""),30334)</f>
        <v>30334</v>
      </c>
      <c r="C1885" s="5" t="str">
        <f ca="1">IFERROR(__xludf.DUMMYFUNCTION("""COMPUTED_VALUE"""),"John H. Reagan High School")</f>
        <v>John H. Reagan High School</v>
      </c>
      <c r="D1885" s="5">
        <f ca="1">IFERROR(__xludf.DUMMYFUNCTION("""COMPUTED_VALUE"""),1)</f>
        <v>1</v>
      </c>
      <c r="E1885" s="5">
        <f ca="1">IFERROR(__xludf.DUMMYFUNCTION("""COMPUTED_VALUE"""),0)</f>
        <v>0</v>
      </c>
      <c r="F1885" s="5">
        <f ca="1">IFERROR(__xludf.DUMMYFUNCTION("""COMPUTED_VALUE"""),1)</f>
        <v>1</v>
      </c>
      <c r="G1885" s="5">
        <f ca="1">IFERROR(__xludf.DUMMYFUNCTION("""COMPUTED_VALUE"""),1)</f>
        <v>1</v>
      </c>
      <c r="H1885" s="5" t="str">
        <f ca="1">IFERROR(__xludf.DUMMYFUNCTION("""COMPUTED_VALUE"""),"https://www.newspapers.com/image/149416885/?terms=student%2Bshot; https://www.newspapers.com/image/18080004/?terms=student%2Bshot")</f>
        <v>https://www.newspapers.com/image/149416885/?terms=student%2Bshot; https://www.newspapers.com/image/18080004/?terms=student%2Bshot</v>
      </c>
      <c r="I1885" s="5"/>
      <c r="J1885" s="5"/>
      <c r="K1885" s="5">
        <f ca="1">IFERROR(__xludf.DUMMYFUNCTION("""COMPUTED_VALUE"""),3)</f>
        <v>3</v>
      </c>
      <c r="L1885" s="5" t="str">
        <f ca="1">IFERROR(__xludf.DUMMYFUNCTION("""COMPUTED_VALUE"""),"Winter")</f>
        <v>Winter</v>
      </c>
      <c r="M1885" s="5" t="str">
        <f ca="1">IFERROR(__xludf.DUMMYFUNCTION("""COMPUTED_VALUE"""),"Houston")</f>
        <v>Houston</v>
      </c>
      <c r="N1885" s="5" t="str">
        <f ca="1">IFERROR(__xludf.DUMMYFUNCTION("""COMPUTED_VALUE"""),"TX")</f>
        <v>TX</v>
      </c>
      <c r="O1885" s="5" t="str">
        <f ca="1">IFERROR(__xludf.DUMMYFUNCTION("""COMPUTED_VALUE"""),"High")</f>
        <v>High</v>
      </c>
      <c r="P1885" s="5" t="str">
        <f ca="1">IFERROR(__xludf.DUMMYFUNCTION("""COMPUTED_VALUE"""),"Office")</f>
        <v>Office</v>
      </c>
      <c r="Q1885" s="5" t="str">
        <f ca="1">IFERROR(__xludf.DUMMYFUNCTION("""COMPUTED_VALUE"""),"Inside School Building")</f>
        <v>Inside School Building</v>
      </c>
      <c r="R1885" s="5" t="str">
        <f ca="1">IFERROR(__xludf.DUMMYFUNCTION("""COMPUTED_VALUE"""),"Yes")</f>
        <v>Yes</v>
      </c>
      <c r="S1885" s="5" t="str">
        <f ca="1">IFERROR(__xludf.DUMMYFUNCTION("""COMPUTED_VALUE"""),"Morning Classes")</f>
        <v>Morning Classes</v>
      </c>
      <c r="T1885" s="10">
        <f ca="1">IFERROR(__xludf.DUMMYFUNCTION("""COMPUTED_VALUE"""),0.434027777777777)</f>
        <v>0.43402777777777701</v>
      </c>
      <c r="U1885" s="5">
        <f ca="1">IFERROR(__xludf.DUMMYFUNCTION("""COMPUTED_VALUE"""),1)</f>
        <v>1</v>
      </c>
      <c r="V1885" s="5" t="str">
        <f ca="1">IFERROR(__xludf.DUMMYFUNCTION("""COMPUTED_VALUE"""),"Shooter killed wife and shot self in counselor's office")</f>
        <v>Shooter killed wife and shot self in counselor's office</v>
      </c>
      <c r="W1885"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X1885" s="5" t="str">
        <f ca="1">IFERROR(__xludf.DUMMYFUNCTION("""COMPUTED_VALUE"""),"Murder/Suicide")</f>
        <v>Murder/Suicide</v>
      </c>
      <c r="Y1885" s="5" t="str">
        <f ca="1">IFERROR(__xludf.DUMMYFUNCTION("""COMPUTED_VALUE"""),"Victims Targeted")</f>
        <v>Victims Targeted</v>
      </c>
      <c r="Z1885" s="5" t="str">
        <f ca="1">IFERROR(__xludf.DUMMYFUNCTION("""COMPUTED_VALUE"""),"No")</f>
        <v>No</v>
      </c>
      <c r="AA1885" s="5"/>
      <c r="AB1885" s="5" t="str">
        <f ca="1">IFERROR(__xludf.DUMMYFUNCTION("""COMPUTED_VALUE"""),"No")</f>
        <v>No</v>
      </c>
      <c r="AC1885" s="5" t="str">
        <f ca="1">IFERROR(__xludf.DUMMYFUNCTION("""COMPUTED_VALUE"""),"No")</f>
        <v>No</v>
      </c>
      <c r="AD1885" s="5" t="str">
        <f ca="1">IFERROR(__xludf.DUMMYFUNCTION("""COMPUTED_VALUE"""),"No")</f>
        <v>No</v>
      </c>
      <c r="AE1885" s="5" t="str">
        <f ca="1">IFERROR(__xludf.DUMMYFUNCTION("""COMPUTED_VALUE"""),"No")</f>
        <v>No</v>
      </c>
      <c r="AF1885" s="5" t="str">
        <f ca="1">IFERROR(__xludf.DUMMYFUNCTION("""COMPUTED_VALUE"""),"Yes")</f>
        <v>Yes</v>
      </c>
      <c r="AG1885" s="5" t="str">
        <f ca="1">IFERROR(__xludf.DUMMYFUNCTION("""COMPUTED_VALUE"""),"No")</f>
        <v>No</v>
      </c>
      <c r="AH1885" s="5"/>
    </row>
    <row r="1886" spans="1:34" ht="12.75">
      <c r="A1886" s="5" t="str">
        <f ca="1">IFERROR(__xludf.DUMMYFUNCTION("""COMPUTED_VALUE"""),"19821220MIFID")</f>
        <v>19821220MIFID</v>
      </c>
      <c r="B1886" s="8">
        <f ca="1">IFERROR(__xludf.DUMMYFUNCTION("""COMPUTED_VALUE"""),30305)</f>
        <v>30305</v>
      </c>
      <c r="C1886" s="5" t="str">
        <f ca="1">IFERROR(__xludf.DUMMYFUNCTION("""COMPUTED_VALUE"""),"Finney High School")</f>
        <v>Finney High School</v>
      </c>
      <c r="D1886" s="5">
        <f ca="1">IFERROR(__xludf.DUMMYFUNCTION("""COMPUTED_VALUE"""),0)</f>
        <v>0</v>
      </c>
      <c r="E1886" s="5">
        <f ca="1">IFERROR(__xludf.DUMMYFUNCTION("""COMPUTED_VALUE"""),1)</f>
        <v>1</v>
      </c>
      <c r="F1886" s="5">
        <f ca="1">IFERROR(__xludf.DUMMYFUNCTION("""COMPUTED_VALUE"""),1)</f>
        <v>1</v>
      </c>
      <c r="G1886" s="5">
        <f ca="1">IFERROR(__xludf.DUMMYFUNCTION("""COMPUTED_VALUE"""),0)</f>
        <v>0</v>
      </c>
      <c r="H1886"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I1886" s="5"/>
      <c r="J1886" s="5"/>
      <c r="K1886" s="5">
        <f ca="1">IFERROR(__xludf.DUMMYFUNCTION("""COMPUTED_VALUE"""),3)</f>
        <v>3</v>
      </c>
      <c r="L1886" s="5" t="str">
        <f ca="1">IFERROR(__xludf.DUMMYFUNCTION("""COMPUTED_VALUE"""),"Winter")</f>
        <v>Winter</v>
      </c>
      <c r="M1886" s="5" t="str">
        <f ca="1">IFERROR(__xludf.DUMMYFUNCTION("""COMPUTED_VALUE"""),"Detroit")</f>
        <v>Detroit</v>
      </c>
      <c r="N1886" s="5" t="str">
        <f ca="1">IFERROR(__xludf.DUMMYFUNCTION("""COMPUTED_VALUE"""),"MI")</f>
        <v>MI</v>
      </c>
      <c r="O1886" s="5" t="str">
        <f ca="1">IFERROR(__xludf.DUMMYFUNCTION("""COMPUTED_VALUE"""),"High")</f>
        <v>High</v>
      </c>
      <c r="P1886" s="5" t="str">
        <f ca="1">IFERROR(__xludf.DUMMYFUNCTION("""COMPUTED_VALUE"""),"Hallway")</f>
        <v>Hallway</v>
      </c>
      <c r="Q1886" s="5" t="str">
        <f ca="1">IFERROR(__xludf.DUMMYFUNCTION("""COMPUTED_VALUE"""),"Inside School Building")</f>
        <v>Inside School Building</v>
      </c>
      <c r="R1886" s="5" t="str">
        <f ca="1">IFERROR(__xludf.DUMMYFUNCTION("""COMPUTED_VALUE"""),"Yes")</f>
        <v>Yes</v>
      </c>
      <c r="S1886" s="5" t="str">
        <f ca="1">IFERROR(__xludf.DUMMYFUNCTION("""COMPUTED_VALUE"""),"School Start")</f>
        <v>School Start</v>
      </c>
      <c r="T1886" s="10">
        <f ca="1">IFERROR(__xludf.DUMMYFUNCTION("""COMPUTED_VALUE"""),0.371527777777777)</f>
        <v>0.37152777777777701</v>
      </c>
      <c r="U1886" s="5">
        <f ca="1">IFERROR(__xludf.DUMMYFUNCTION("""COMPUTED_VALUE"""),1)</f>
        <v>1</v>
      </c>
      <c r="V1886" s="5" t="str">
        <f ca="1">IFERROR(__xludf.DUMMYFUNCTION("""COMPUTED_VALUE"""),"Robbery for a jacket")</f>
        <v>Robbery for a jacket</v>
      </c>
      <c r="W1886"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X1886" s="5" t="str">
        <f ca="1">IFERROR(__xludf.DUMMYFUNCTION("""COMPUTED_VALUE"""),"Illegal Activity")</f>
        <v>Illegal Activity</v>
      </c>
      <c r="Y1886" s="5" t="str">
        <f ca="1">IFERROR(__xludf.DUMMYFUNCTION("""COMPUTED_VALUE"""),"Victims Targeted")</f>
        <v>Victims Targeted</v>
      </c>
      <c r="Z1886" s="5" t="str">
        <f ca="1">IFERROR(__xludf.DUMMYFUNCTION("""COMPUTED_VALUE"""),"Yes")</f>
        <v>Yes</v>
      </c>
      <c r="AA1886" s="5" t="str">
        <f ca="1">IFERROR(__xludf.DUMMYFUNCTION("""COMPUTED_VALUE"""),"2 others")</f>
        <v>2 others</v>
      </c>
      <c r="AB1886" s="5" t="str">
        <f ca="1">IFERROR(__xludf.DUMMYFUNCTION("""COMPUTED_VALUE"""),"No")</f>
        <v>No</v>
      </c>
      <c r="AC1886" s="5" t="str">
        <f ca="1">IFERROR(__xludf.DUMMYFUNCTION("""COMPUTED_VALUE"""),"No")</f>
        <v>No</v>
      </c>
      <c r="AD1886" s="5" t="str">
        <f ca="1">IFERROR(__xludf.DUMMYFUNCTION("""COMPUTED_VALUE"""),"No")</f>
        <v>No</v>
      </c>
      <c r="AE1886" s="5" t="str">
        <f ca="1">IFERROR(__xludf.DUMMYFUNCTION("""COMPUTED_VALUE"""),"No")</f>
        <v>No</v>
      </c>
      <c r="AF1886" s="5" t="str">
        <f ca="1">IFERROR(__xludf.DUMMYFUNCTION("""COMPUTED_VALUE"""),"No")</f>
        <v>No</v>
      </c>
      <c r="AG1886" s="5" t="str">
        <f ca="1">IFERROR(__xludf.DUMMYFUNCTION("""COMPUTED_VALUE"""),"No")</f>
        <v>No</v>
      </c>
      <c r="AH1886" s="5"/>
    </row>
    <row r="1887" spans="1:34" ht="12.75">
      <c r="A1887" s="5" t="str">
        <f ca="1">IFERROR(__xludf.DUMMYFUNCTION("""COMPUTED_VALUE"""),"19821206ALHUH")</f>
        <v>19821206ALHUH</v>
      </c>
      <c r="B1887" s="8">
        <f ca="1">IFERROR(__xludf.DUMMYFUNCTION("""COMPUTED_VALUE"""),30291)</f>
        <v>30291</v>
      </c>
      <c r="C1887" s="5" t="str">
        <f ca="1">IFERROR(__xludf.DUMMYFUNCTION("""COMPUTED_VALUE"""),"Huntsville High School")</f>
        <v>Huntsville High School</v>
      </c>
      <c r="D1887" s="5">
        <f ca="1">IFERROR(__xludf.DUMMYFUNCTION("""COMPUTED_VALUE"""),0)</f>
        <v>0</v>
      </c>
      <c r="E1887" s="5">
        <f ca="1">IFERROR(__xludf.DUMMYFUNCTION("""COMPUTED_VALUE"""),0)</f>
        <v>0</v>
      </c>
      <c r="F1887" s="5">
        <f ca="1">IFERROR(__xludf.DUMMYFUNCTION("""COMPUTED_VALUE"""),0)</f>
        <v>0</v>
      </c>
      <c r="G1887" s="5">
        <f ca="1">IFERROR(__xludf.DUMMYFUNCTION("""COMPUTED_VALUE"""),1)</f>
        <v>1</v>
      </c>
      <c r="H1887"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I1887" s="5"/>
      <c r="J1887" s="5"/>
      <c r="K1887" s="5">
        <f ca="1">IFERROR(__xludf.DUMMYFUNCTION("""COMPUTED_VALUE"""),3)</f>
        <v>3</v>
      </c>
      <c r="L1887" s="5" t="str">
        <f ca="1">IFERROR(__xludf.DUMMYFUNCTION("""COMPUTED_VALUE"""),"Winter")</f>
        <v>Winter</v>
      </c>
      <c r="M1887" s="5" t="str">
        <f ca="1">IFERROR(__xludf.DUMMYFUNCTION("""COMPUTED_VALUE"""),"Huntsville")</f>
        <v>Huntsville</v>
      </c>
      <c r="N1887" s="5" t="str">
        <f ca="1">IFERROR(__xludf.DUMMYFUNCTION("""COMPUTED_VALUE"""),"AL")</f>
        <v>AL</v>
      </c>
      <c r="O1887" s="5" t="str">
        <f ca="1">IFERROR(__xludf.DUMMYFUNCTION("""COMPUTED_VALUE"""),"High")</f>
        <v>High</v>
      </c>
      <c r="P1887" s="5" t="str">
        <f ca="1">IFERROR(__xludf.DUMMYFUNCTION("""COMPUTED_VALUE"""),"Classroom")</f>
        <v>Classroom</v>
      </c>
      <c r="Q1887" s="5" t="str">
        <f ca="1">IFERROR(__xludf.DUMMYFUNCTION("""COMPUTED_VALUE"""),"Inside School Building")</f>
        <v>Inside School Building</v>
      </c>
      <c r="R1887" s="5" t="str">
        <f ca="1">IFERROR(__xludf.DUMMYFUNCTION("""COMPUTED_VALUE"""),"Yes")</f>
        <v>Yes</v>
      </c>
      <c r="S1887" s="5" t="str">
        <f ca="1">IFERROR(__xludf.DUMMYFUNCTION("""COMPUTED_VALUE"""),"Morning Classes")</f>
        <v>Morning Classes</v>
      </c>
      <c r="T1887" s="10">
        <f ca="1">IFERROR(__xludf.DUMMYFUNCTION("""COMPUTED_VALUE"""),0.489583333333333)</f>
        <v>0.48958333333333298</v>
      </c>
      <c r="U1887" s="5"/>
      <c r="V1887" s="5" t="str">
        <f ca="1">IFERROR(__xludf.DUMMYFUNCTION("""COMPUTED_VALUE"""),"Shooter took teacher hostage then shot self in head")</f>
        <v>Shooter took teacher hostage then shot self in head</v>
      </c>
      <c r="W1887"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X1887" s="5" t="str">
        <f ca="1">IFERROR(__xludf.DUMMYFUNCTION("""COMPUTED_VALUE"""),"Suicide/Attempted")</f>
        <v>Suicide/Attempted</v>
      </c>
      <c r="Y1887" s="5" t="str">
        <f ca="1">IFERROR(__xludf.DUMMYFUNCTION("""COMPUTED_VALUE"""),"Victims Targeted")</f>
        <v>Victims Targeted</v>
      </c>
      <c r="Z1887" s="5" t="str">
        <f ca="1">IFERROR(__xludf.DUMMYFUNCTION("""COMPUTED_VALUE"""),"No")</f>
        <v>No</v>
      </c>
      <c r="AA1887" s="5"/>
      <c r="AB1887" s="5" t="str">
        <f ca="1">IFERROR(__xludf.DUMMYFUNCTION("""COMPUTED_VALUE"""),"Yes")</f>
        <v>Yes</v>
      </c>
      <c r="AC1887" s="5" t="str">
        <f ca="1">IFERROR(__xludf.DUMMYFUNCTION("""COMPUTED_VALUE"""),"Yes")</f>
        <v>Yes</v>
      </c>
      <c r="AD1887" s="5" t="str">
        <f ca="1">IFERROR(__xludf.DUMMYFUNCTION("""COMPUTED_VALUE"""),"No")</f>
        <v>No</v>
      </c>
      <c r="AE1887" s="5" t="str">
        <f ca="1">IFERROR(__xludf.DUMMYFUNCTION("""COMPUTED_VALUE"""),"No")</f>
        <v>No</v>
      </c>
      <c r="AF1887" s="5" t="str">
        <f ca="1">IFERROR(__xludf.DUMMYFUNCTION("""COMPUTED_VALUE"""),"No")</f>
        <v>No</v>
      </c>
      <c r="AG1887" s="5" t="str">
        <f ca="1">IFERROR(__xludf.DUMMYFUNCTION("""COMPUTED_VALUE"""),"No")</f>
        <v>No</v>
      </c>
      <c r="AH1887" s="5"/>
    </row>
    <row r="1888" spans="1:34" ht="12.75">
      <c r="A1888" s="5" t="str">
        <f ca="1">IFERROR(__xludf.DUMMYFUNCTION("""COMPUTED_VALUE"""),"19821112MSWIJ")</f>
        <v>19821112MSWIJ</v>
      </c>
      <c r="B1888" s="8">
        <f ca="1">IFERROR(__xludf.DUMMYFUNCTION("""COMPUTED_VALUE"""),30267)</f>
        <v>30267</v>
      </c>
      <c r="C1888" s="5" t="str">
        <f ca="1">IFERROR(__xludf.DUMMYFUNCTION("""COMPUTED_VALUE"""),"Wingfield High School")</f>
        <v>Wingfield High School</v>
      </c>
      <c r="D1888" s="5">
        <f ca="1">IFERROR(__xludf.DUMMYFUNCTION("""COMPUTED_VALUE"""),1)</f>
        <v>1</v>
      </c>
      <c r="E1888" s="5">
        <f ca="1">IFERROR(__xludf.DUMMYFUNCTION("""COMPUTED_VALUE"""),0)</f>
        <v>0</v>
      </c>
      <c r="F1888" s="5">
        <f ca="1">IFERROR(__xludf.DUMMYFUNCTION("""COMPUTED_VALUE"""),1)</f>
        <v>1</v>
      </c>
      <c r="G1888" s="5">
        <f ca="1">IFERROR(__xludf.DUMMYFUNCTION("""COMPUTED_VALUE"""),1)</f>
        <v>1</v>
      </c>
      <c r="H1888" s="5" t="str">
        <f ca="1">IFERROR(__xludf.DUMMYFUNCTION("""COMPUTED_VALUE"""),"https://newspaperarchive.com/yuma-sun-nov-14-1982-p-6/   https://www.newspapers.com/image/314230215/?terms=james%2Bhartzog")</f>
        <v>https://newspaperarchive.com/yuma-sun-nov-14-1982-p-6/   https://www.newspapers.com/image/314230215/?terms=james%2Bhartzog</v>
      </c>
      <c r="I1888" s="5"/>
      <c r="J1888" s="5"/>
      <c r="K1888" s="5">
        <f ca="1">IFERROR(__xludf.DUMMYFUNCTION("""COMPUTED_VALUE"""),2)</f>
        <v>2</v>
      </c>
      <c r="L1888" s="5" t="str">
        <f ca="1">IFERROR(__xludf.DUMMYFUNCTION("""COMPUTED_VALUE"""),"Fall")</f>
        <v>Fall</v>
      </c>
      <c r="M1888" s="5" t="str">
        <f ca="1">IFERROR(__xludf.DUMMYFUNCTION("""COMPUTED_VALUE"""),"Jackson")</f>
        <v>Jackson</v>
      </c>
      <c r="N1888" s="5" t="str">
        <f ca="1">IFERROR(__xludf.DUMMYFUNCTION("""COMPUTED_VALUE"""),"MS")</f>
        <v>MS</v>
      </c>
      <c r="O1888" s="5" t="str">
        <f ca="1">IFERROR(__xludf.DUMMYFUNCTION("""COMPUTED_VALUE"""),"High")</f>
        <v>High</v>
      </c>
      <c r="P1888" s="5" t="str">
        <f ca="1">IFERROR(__xludf.DUMMYFUNCTION("""COMPUTED_VALUE"""),"Classroom")</f>
        <v>Classroom</v>
      </c>
      <c r="Q1888" s="5" t="str">
        <f ca="1">IFERROR(__xludf.DUMMYFUNCTION("""COMPUTED_VALUE"""),"Inside School Building")</f>
        <v>Inside School Building</v>
      </c>
      <c r="R1888" s="5" t="str">
        <f ca="1">IFERROR(__xludf.DUMMYFUNCTION("""COMPUTED_VALUE"""),"Yes")</f>
        <v>Yes</v>
      </c>
      <c r="S1888" s="5" t="str">
        <f ca="1">IFERROR(__xludf.DUMMYFUNCTION("""COMPUTED_VALUE"""),"Afternoon Classes")</f>
        <v>Afternoon Classes</v>
      </c>
      <c r="T1888" s="5"/>
      <c r="U1888" s="5">
        <f ca="1">IFERROR(__xludf.DUMMYFUNCTION("""COMPUTED_VALUE"""),1)</f>
        <v>1</v>
      </c>
      <c r="V1888" s="5" t="str">
        <f ca="1">IFERROR(__xludf.DUMMYFUNCTION("""COMPUTED_VALUE"""),"Boyfriend came into girlfriend's algebra class, shot her with shotgun and killed self")</f>
        <v>Boyfriend came into girlfriend's algebra class, shot her with shotgun and killed self</v>
      </c>
      <c r="W1888"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X1888" s="5" t="str">
        <f ca="1">IFERROR(__xludf.DUMMYFUNCTION("""COMPUTED_VALUE"""),"Murder/Suicide")</f>
        <v>Murder/Suicide</v>
      </c>
      <c r="Y1888" s="5" t="str">
        <f ca="1">IFERROR(__xludf.DUMMYFUNCTION("""COMPUTED_VALUE"""),"Victims Targeted")</f>
        <v>Victims Targeted</v>
      </c>
      <c r="Z1888" s="5" t="str">
        <f ca="1">IFERROR(__xludf.DUMMYFUNCTION("""COMPUTED_VALUE"""),"No")</f>
        <v>No</v>
      </c>
      <c r="AA1888" s="5"/>
      <c r="AB1888" s="5" t="str">
        <f ca="1">IFERROR(__xludf.DUMMYFUNCTION("""COMPUTED_VALUE"""),"No")</f>
        <v>No</v>
      </c>
      <c r="AC1888" s="5" t="str">
        <f ca="1">IFERROR(__xludf.DUMMYFUNCTION("""COMPUTED_VALUE"""),"No")</f>
        <v>No</v>
      </c>
      <c r="AD1888" s="5" t="str">
        <f ca="1">IFERROR(__xludf.DUMMYFUNCTION("""COMPUTED_VALUE"""),"No")</f>
        <v>No</v>
      </c>
      <c r="AE1888" s="5" t="str">
        <f ca="1">IFERROR(__xludf.DUMMYFUNCTION("""COMPUTED_VALUE"""),"No")</f>
        <v>No</v>
      </c>
      <c r="AF1888" s="5" t="str">
        <f ca="1">IFERROR(__xludf.DUMMYFUNCTION("""COMPUTED_VALUE"""),"Yes")</f>
        <v>Yes</v>
      </c>
      <c r="AG1888" s="5" t="str">
        <f ca="1">IFERROR(__xludf.DUMMYFUNCTION("""COMPUTED_VALUE"""),"No")</f>
        <v>No</v>
      </c>
      <c r="AH1888" s="5"/>
    </row>
    <row r="1889" spans="1:34" ht="12.75">
      <c r="A1889" s="5" t="str">
        <f ca="1">IFERROR(__xludf.DUMMYFUNCTION("""COMPUTED_VALUE"""),"19821108MICOD")</f>
        <v>19821108MICOD</v>
      </c>
      <c r="B1889" s="8">
        <f ca="1">IFERROR(__xludf.DUMMYFUNCTION("""COMPUTED_VALUE"""),30263)</f>
        <v>30263</v>
      </c>
      <c r="C1889" s="5" t="str">
        <f ca="1">IFERROR(__xludf.DUMMYFUNCTION("""COMPUTED_VALUE"""),"Cooley High School")</f>
        <v>Cooley High School</v>
      </c>
      <c r="D1889" s="5">
        <f ca="1">IFERROR(__xludf.DUMMYFUNCTION("""COMPUTED_VALUE"""),0)</f>
        <v>0</v>
      </c>
      <c r="E1889" s="5">
        <f ca="1">IFERROR(__xludf.DUMMYFUNCTION("""COMPUTED_VALUE"""),2)</f>
        <v>2</v>
      </c>
      <c r="F1889" s="5">
        <f ca="1">IFERROR(__xludf.DUMMYFUNCTION("""COMPUTED_VALUE"""),2)</f>
        <v>2</v>
      </c>
      <c r="G1889" s="5">
        <f ca="1">IFERROR(__xludf.DUMMYFUNCTION("""COMPUTED_VALUE"""),0)</f>
        <v>0</v>
      </c>
      <c r="H1889"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I1889" s="5"/>
      <c r="J1889" s="5"/>
      <c r="K1889" s="5">
        <f ca="1">IFERROR(__xludf.DUMMYFUNCTION("""COMPUTED_VALUE"""),2)</f>
        <v>2</v>
      </c>
      <c r="L1889" s="5" t="str">
        <f ca="1">IFERROR(__xludf.DUMMYFUNCTION("""COMPUTED_VALUE"""),"Fall")</f>
        <v>Fall</v>
      </c>
      <c r="M1889" s="5" t="str">
        <f ca="1">IFERROR(__xludf.DUMMYFUNCTION("""COMPUTED_VALUE"""),"Detroit")</f>
        <v>Detroit</v>
      </c>
      <c r="N1889" s="5" t="str">
        <f ca="1">IFERROR(__xludf.DUMMYFUNCTION("""COMPUTED_VALUE"""),"MI")</f>
        <v>MI</v>
      </c>
      <c r="O1889" s="5" t="str">
        <f ca="1">IFERROR(__xludf.DUMMYFUNCTION("""COMPUTED_VALUE"""),"High")</f>
        <v>High</v>
      </c>
      <c r="P1889" s="5" t="str">
        <f ca="1">IFERROR(__xludf.DUMMYFUNCTION("""COMPUTED_VALUE"""),"Inside School Building")</f>
        <v>Inside School Building</v>
      </c>
      <c r="Q1889" s="5" t="str">
        <f ca="1">IFERROR(__xludf.DUMMYFUNCTION("""COMPUTED_VALUE"""),"Inside School Building")</f>
        <v>Inside School Building</v>
      </c>
      <c r="R1889" s="5" t="str">
        <f ca="1">IFERROR(__xludf.DUMMYFUNCTION("""COMPUTED_VALUE"""),"Yes")</f>
        <v>Yes</v>
      </c>
      <c r="S1889" s="5" t="str">
        <f ca="1">IFERROR(__xludf.DUMMYFUNCTION("""COMPUTED_VALUE"""),"Morning Classes")</f>
        <v>Morning Classes</v>
      </c>
      <c r="T1889" s="10">
        <f ca="1">IFERROR(__xludf.DUMMYFUNCTION("""COMPUTED_VALUE"""),0.340277777777777)</f>
        <v>0.34027777777777701</v>
      </c>
      <c r="U1889" s="5">
        <f ca="1">IFERROR(__xludf.DUMMYFUNCTION("""COMPUTED_VALUE"""),1)</f>
        <v>1</v>
      </c>
      <c r="V1889" s="5" t="str">
        <f ca="1">IFERROR(__xludf.DUMMYFUNCTION("""COMPUTED_VALUE"""),"Shooter showing gun to friends accidentally goes off striking two students")</f>
        <v>Shooter showing gun to friends accidentally goes off striking two students</v>
      </c>
      <c r="W1889"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X1889" s="5" t="str">
        <f ca="1">IFERROR(__xludf.DUMMYFUNCTION("""COMPUTED_VALUE"""),"Accidental")</f>
        <v>Accidental</v>
      </c>
      <c r="Y1889" s="5" t="str">
        <f ca="1">IFERROR(__xludf.DUMMYFUNCTION("""COMPUTED_VALUE"""),"Random Shooting")</f>
        <v>Random Shooting</v>
      </c>
      <c r="Z1889" s="5"/>
      <c r="AA1889" s="5"/>
      <c r="AB1889" s="5" t="str">
        <f ca="1">IFERROR(__xludf.DUMMYFUNCTION("""COMPUTED_VALUE"""),"No")</f>
        <v>No</v>
      </c>
      <c r="AC1889" s="5" t="str">
        <f ca="1">IFERROR(__xludf.DUMMYFUNCTION("""COMPUTED_VALUE"""),"No")</f>
        <v>No</v>
      </c>
      <c r="AD1889" s="5" t="str">
        <f ca="1">IFERROR(__xludf.DUMMYFUNCTION("""COMPUTED_VALUE"""),"No")</f>
        <v>No</v>
      </c>
      <c r="AE1889" s="5" t="str">
        <f ca="1">IFERROR(__xludf.DUMMYFUNCTION("""COMPUTED_VALUE"""),"No")</f>
        <v>No</v>
      </c>
      <c r="AF1889" s="5" t="str">
        <f ca="1">IFERROR(__xludf.DUMMYFUNCTION("""COMPUTED_VALUE"""),"No")</f>
        <v>No</v>
      </c>
      <c r="AG1889" s="5" t="str">
        <f ca="1">IFERROR(__xludf.DUMMYFUNCTION("""COMPUTED_VALUE"""),"No")</f>
        <v>No</v>
      </c>
      <c r="AH1889" s="5"/>
    </row>
    <row r="1890" spans="1:34" ht="12.75">
      <c r="A1890" s="5" t="str">
        <f ca="1">IFERROR(__xludf.DUMMYFUNCTION("""COMPUTED_VALUE"""),"19821101NYELE")</f>
        <v>19821101NYELE</v>
      </c>
      <c r="B1890" s="8">
        <f ca="1">IFERROR(__xludf.DUMMYFUNCTION("""COMPUTED_VALUE"""),30256)</f>
        <v>30256</v>
      </c>
      <c r="C1890" s="5" t="str">
        <f ca="1">IFERROR(__xludf.DUMMYFUNCTION("""COMPUTED_VALUE"""),"Elmont Memorial High School")</f>
        <v>Elmont Memorial High School</v>
      </c>
      <c r="D1890" s="5">
        <f ca="1">IFERROR(__xludf.DUMMYFUNCTION("""COMPUTED_VALUE"""),0)</f>
        <v>0</v>
      </c>
      <c r="E1890" s="5">
        <f ca="1">IFERROR(__xludf.DUMMYFUNCTION("""COMPUTED_VALUE"""),1)</f>
        <v>1</v>
      </c>
      <c r="F1890" s="5">
        <f ca="1">IFERROR(__xludf.DUMMYFUNCTION("""COMPUTED_VALUE"""),1)</f>
        <v>1</v>
      </c>
      <c r="G1890" s="5">
        <f ca="1">IFERROR(__xludf.DUMMYFUNCTION("""COMPUTED_VALUE"""),0)</f>
        <v>0</v>
      </c>
      <c r="H1890" s="9" t="str">
        <f ca="1">IFERROR(__xludf.DUMMYFUNCTION("""COMPUTED_VALUE"""),"https://www.newspapers.com/image/397000389/?terms=student%2Bshot")</f>
        <v>https://www.newspapers.com/image/397000389/?terms=student%2Bshot</v>
      </c>
      <c r="I1890" s="5"/>
      <c r="J1890" s="5"/>
      <c r="K1890" s="5">
        <f ca="1">IFERROR(__xludf.DUMMYFUNCTION("""COMPUTED_VALUE"""),2)</f>
        <v>2</v>
      </c>
      <c r="L1890" s="5" t="str">
        <f ca="1">IFERROR(__xludf.DUMMYFUNCTION("""COMPUTED_VALUE"""),"Fall")</f>
        <v>Fall</v>
      </c>
      <c r="M1890" s="5" t="str">
        <f ca="1">IFERROR(__xludf.DUMMYFUNCTION("""COMPUTED_VALUE"""),"Elmont")</f>
        <v>Elmont</v>
      </c>
      <c r="N1890" s="5" t="str">
        <f ca="1">IFERROR(__xludf.DUMMYFUNCTION("""COMPUTED_VALUE"""),"NY")</f>
        <v>NY</v>
      </c>
      <c r="O1890" s="5" t="str">
        <f ca="1">IFERROR(__xludf.DUMMYFUNCTION("""COMPUTED_VALUE"""),"High")</f>
        <v>High</v>
      </c>
      <c r="P1890" s="5" t="str">
        <f ca="1">IFERROR(__xludf.DUMMYFUNCTION("""COMPUTED_VALUE"""),"Inside School Building")</f>
        <v>Inside School Building</v>
      </c>
      <c r="Q1890" s="5" t="str">
        <f ca="1">IFERROR(__xludf.DUMMYFUNCTION("""COMPUTED_VALUE"""),"Inside School Building")</f>
        <v>Inside School Building</v>
      </c>
      <c r="R1890" s="5" t="str">
        <f ca="1">IFERROR(__xludf.DUMMYFUNCTION("""COMPUTED_VALUE"""),"Yes")</f>
        <v>Yes</v>
      </c>
      <c r="S1890" s="5" t="str">
        <f ca="1">IFERROR(__xludf.DUMMYFUNCTION("""COMPUTED_VALUE"""),"Afternoon Classes")</f>
        <v>Afternoon Classes</v>
      </c>
      <c r="T1890" s="10">
        <f ca="1">IFERROR(__xludf.DUMMYFUNCTION("""COMPUTED_VALUE"""),0.548611111111111)</f>
        <v>0.54861111111111105</v>
      </c>
      <c r="U1890" s="5">
        <f ca="1">IFERROR(__xludf.DUMMYFUNCTION("""COMPUTED_VALUE"""),1)</f>
        <v>1</v>
      </c>
      <c r="V1890" s="5" t="str">
        <f ca="1">IFERROR(__xludf.DUMMYFUNCTION("""COMPUTED_VALUE"""),"Ongoing conflicts with fellow students")</f>
        <v>Ongoing conflicts with fellow students</v>
      </c>
      <c r="W1890" s="5" t="str">
        <f ca="1">IFERROR(__xludf.DUMMYFUNCTION("""COMPUTED_VALUE"""),"Ongoing fight led to shooting")</f>
        <v>Ongoing fight led to shooting</v>
      </c>
      <c r="X1890" s="5" t="str">
        <f ca="1">IFERROR(__xludf.DUMMYFUNCTION("""COMPUTED_VALUE"""),"Escalation of Dispute")</f>
        <v>Escalation of Dispute</v>
      </c>
      <c r="Y1890" s="5" t="str">
        <f ca="1">IFERROR(__xludf.DUMMYFUNCTION("""COMPUTED_VALUE"""),"Victims Targeted")</f>
        <v>Victims Targeted</v>
      </c>
      <c r="Z1890" s="5" t="str">
        <f ca="1">IFERROR(__xludf.DUMMYFUNCTION("""COMPUTED_VALUE"""),"No")</f>
        <v>No</v>
      </c>
      <c r="AA1890" s="5"/>
      <c r="AB1890" s="5" t="str">
        <f ca="1">IFERROR(__xludf.DUMMYFUNCTION("""COMPUTED_VALUE"""),"No")</f>
        <v>No</v>
      </c>
      <c r="AC1890" s="5" t="str">
        <f ca="1">IFERROR(__xludf.DUMMYFUNCTION("""COMPUTED_VALUE"""),"No")</f>
        <v>No</v>
      </c>
      <c r="AD1890" s="5" t="str">
        <f ca="1">IFERROR(__xludf.DUMMYFUNCTION("""COMPUTED_VALUE"""),"No")</f>
        <v>No</v>
      </c>
      <c r="AE1890" s="5" t="str">
        <f ca="1">IFERROR(__xludf.DUMMYFUNCTION("""COMPUTED_VALUE"""),"No")</f>
        <v>No</v>
      </c>
      <c r="AF1890" s="5" t="str">
        <f ca="1">IFERROR(__xludf.DUMMYFUNCTION("""COMPUTED_VALUE"""),"No")</f>
        <v>No</v>
      </c>
      <c r="AG1890" s="5" t="str">
        <f ca="1">IFERROR(__xludf.DUMMYFUNCTION("""COMPUTED_VALUE"""),"No")</f>
        <v>No</v>
      </c>
      <c r="AH1890" s="5"/>
    </row>
    <row r="1891" spans="1:34" ht="12.75">
      <c r="A1891" s="5" t="str">
        <f ca="1">IFERROR(__xludf.DUMMYFUNCTION("""COMPUTED_VALUE"""),"19820915ARSOP")</f>
        <v>19820915ARSOP</v>
      </c>
      <c r="B1891" s="8">
        <f ca="1">IFERROR(__xludf.DUMMYFUNCTION("""COMPUTED_VALUE"""),30209)</f>
        <v>30209</v>
      </c>
      <c r="C1891" s="5" t="str">
        <f ca="1">IFERROR(__xludf.DUMMYFUNCTION("""COMPUTED_VALUE"""),"South West Middle School")</f>
        <v>South West Middle School</v>
      </c>
      <c r="D1891" s="5">
        <f ca="1">IFERROR(__xludf.DUMMYFUNCTION("""COMPUTED_VALUE"""),0)</f>
        <v>0</v>
      </c>
      <c r="E1891" s="5">
        <f ca="1">IFERROR(__xludf.DUMMYFUNCTION("""COMPUTED_VALUE"""),0)</f>
        <v>0</v>
      </c>
      <c r="F1891" s="5">
        <f ca="1">IFERROR(__xludf.DUMMYFUNCTION("""COMPUTED_VALUE"""),0)</f>
        <v>0</v>
      </c>
      <c r="G1891" s="5">
        <f ca="1">IFERROR(__xludf.DUMMYFUNCTION("""COMPUTED_VALUE"""),0)</f>
        <v>0</v>
      </c>
      <c r="H1891" s="9" t="str">
        <f ca="1">IFERROR(__xludf.DUMMYFUNCTION("""COMPUTED_VALUE"""),"https://www.newspapers.com/image/356116122/?terms=STUDENT%2BSHOOTS")</f>
        <v>https://www.newspapers.com/image/356116122/?terms=STUDENT%2BSHOOTS</v>
      </c>
      <c r="I1891" s="5"/>
      <c r="J1891" s="5"/>
      <c r="K1891" s="5">
        <f ca="1">IFERROR(__xludf.DUMMYFUNCTION("""COMPUTED_VALUE"""),2)</f>
        <v>2</v>
      </c>
      <c r="L1891" s="5" t="str">
        <f ca="1">IFERROR(__xludf.DUMMYFUNCTION("""COMPUTED_VALUE"""),"Fall")</f>
        <v>Fall</v>
      </c>
      <c r="M1891" s="5" t="str">
        <f ca="1">IFERROR(__xludf.DUMMYFUNCTION("""COMPUTED_VALUE"""),"Pine Bluff")</f>
        <v>Pine Bluff</v>
      </c>
      <c r="N1891" s="5" t="str">
        <f ca="1">IFERROR(__xludf.DUMMYFUNCTION("""COMPUTED_VALUE"""),"AR")</f>
        <v>AR</v>
      </c>
      <c r="O1891" s="5" t="str">
        <f ca="1">IFERROR(__xludf.DUMMYFUNCTION("""COMPUTED_VALUE"""),"Middle")</f>
        <v>Middle</v>
      </c>
      <c r="P1891" s="5" t="str">
        <f ca="1">IFERROR(__xludf.DUMMYFUNCTION("""COMPUTED_VALUE"""),"Cafeteria")</f>
        <v>Cafeteria</v>
      </c>
      <c r="Q1891" s="5" t="str">
        <f ca="1">IFERROR(__xludf.DUMMYFUNCTION("""COMPUTED_VALUE"""),"Inside School Building")</f>
        <v>Inside School Building</v>
      </c>
      <c r="R1891" s="5" t="str">
        <f ca="1">IFERROR(__xludf.DUMMYFUNCTION("""COMPUTED_VALUE"""),"Yes")</f>
        <v>Yes</v>
      </c>
      <c r="S1891" s="5" t="str">
        <f ca="1">IFERROR(__xludf.DUMMYFUNCTION("""COMPUTED_VALUE"""),"Lunch")</f>
        <v>Lunch</v>
      </c>
      <c r="T1891" s="5"/>
      <c r="U1891" s="5">
        <f ca="1">IFERROR(__xludf.DUMMYFUNCTION("""COMPUTED_VALUE"""),1)</f>
        <v>1</v>
      </c>
      <c r="V1891" s="5" t="str">
        <f ca="1">IFERROR(__xludf.DUMMYFUNCTION("""COMPUTED_VALUE"""),"Student intentionally shot self in head during lunch")</f>
        <v>Student intentionally shot self in head during lunch</v>
      </c>
      <c r="W1891" s="5" t="str">
        <f ca="1">IFERROR(__xludf.DUMMYFUNCTION("""COMPUTED_VALUE"""),"12 year old student shot self in head during lunch with .22 pistol while classmates watched")</f>
        <v>12 year old student shot self in head during lunch with .22 pistol while classmates watched</v>
      </c>
      <c r="X1891" s="5" t="str">
        <f ca="1">IFERROR(__xludf.DUMMYFUNCTION("""COMPUTED_VALUE"""),"Suicide/Attempted")</f>
        <v>Suicide/Attempted</v>
      </c>
      <c r="Y1891" s="5" t="str">
        <f ca="1">IFERROR(__xludf.DUMMYFUNCTION("""COMPUTED_VALUE"""),"Victims Targeted")</f>
        <v>Victims Targeted</v>
      </c>
      <c r="Z1891" s="5" t="str">
        <f ca="1">IFERROR(__xludf.DUMMYFUNCTION("""COMPUTED_VALUE"""),"No")</f>
        <v>No</v>
      </c>
      <c r="AA1891" s="5"/>
      <c r="AB1891" s="5" t="str">
        <f ca="1">IFERROR(__xludf.DUMMYFUNCTION("""COMPUTED_VALUE"""),"No")</f>
        <v>No</v>
      </c>
      <c r="AC1891" s="5" t="str">
        <f ca="1">IFERROR(__xludf.DUMMYFUNCTION("""COMPUTED_VALUE"""),"No")</f>
        <v>No</v>
      </c>
      <c r="AD1891" s="5" t="str">
        <f ca="1">IFERROR(__xludf.DUMMYFUNCTION("""COMPUTED_VALUE"""),"No")</f>
        <v>No</v>
      </c>
      <c r="AE1891" s="5"/>
      <c r="AF1891" s="5"/>
      <c r="AG1891" s="5" t="str">
        <f ca="1">IFERROR(__xludf.DUMMYFUNCTION("""COMPUTED_VALUE"""),"No")</f>
        <v>No</v>
      </c>
      <c r="AH1891" s="5"/>
    </row>
    <row r="1892" spans="1:34" ht="12.75">
      <c r="A1892" s="5" t="str">
        <f ca="1">IFERROR(__xludf.DUMMYFUNCTION("""COMPUTED_VALUE"""),"19820910VALAB")</f>
        <v>19820910VALAB</v>
      </c>
      <c r="B1892" s="8">
        <f ca="1">IFERROR(__xludf.DUMMYFUNCTION("""COMPUTED_VALUE"""),30204)</f>
        <v>30204</v>
      </c>
      <c r="C1892" s="5" t="str">
        <f ca="1">IFERROR(__xludf.DUMMYFUNCTION("""COMPUTED_VALUE"""),"Lake Braddock Secondary School")</f>
        <v>Lake Braddock Secondary School</v>
      </c>
      <c r="D1892" s="5">
        <f ca="1">IFERROR(__xludf.DUMMYFUNCTION("""COMPUTED_VALUE"""),0)</f>
        <v>0</v>
      </c>
      <c r="E1892" s="5">
        <f ca="1">IFERROR(__xludf.DUMMYFUNCTION("""COMPUTED_VALUE"""),0)</f>
        <v>0</v>
      </c>
      <c r="F1892" s="5">
        <f ca="1">IFERROR(__xludf.DUMMYFUNCTION("""COMPUTED_VALUE"""),0)</f>
        <v>0</v>
      </c>
      <c r="G1892" s="5">
        <f ca="1">IFERROR(__xludf.DUMMYFUNCTION("""COMPUTED_VALUE"""),0)</f>
        <v>0</v>
      </c>
      <c r="H1892" s="9" t="str">
        <f ca="1">IFERROR(__xludf.DUMMYFUNCTION("""COMPUTED_VALUE"""),"https://www.newspapers.com/image/365939621/?terms=Lake%2BBraddock%2BSecondary%2BSchool%2Bshooting")</f>
        <v>https://www.newspapers.com/image/365939621/?terms=Lake%2BBraddock%2BSecondary%2BSchool%2Bshooting</v>
      </c>
      <c r="I1892" s="5"/>
      <c r="J1892" s="5"/>
      <c r="K1892" s="5">
        <f ca="1">IFERROR(__xludf.DUMMYFUNCTION("""COMPUTED_VALUE"""),2)</f>
        <v>2</v>
      </c>
      <c r="L1892" s="5" t="str">
        <f ca="1">IFERROR(__xludf.DUMMYFUNCTION("""COMPUTED_VALUE"""),"Fall")</f>
        <v>Fall</v>
      </c>
      <c r="M1892" s="5" t="str">
        <f ca="1">IFERROR(__xludf.DUMMYFUNCTION("""COMPUTED_VALUE"""),"Burke")</f>
        <v>Burke</v>
      </c>
      <c r="N1892" s="5" t="str">
        <f ca="1">IFERROR(__xludf.DUMMYFUNCTION("""COMPUTED_VALUE"""),"VA")</f>
        <v>VA</v>
      </c>
      <c r="O1892" s="5" t="str">
        <f ca="1">IFERROR(__xludf.DUMMYFUNCTION("""COMPUTED_VALUE"""),"Other")</f>
        <v>Other</v>
      </c>
      <c r="P1892" s="5" t="str">
        <f ca="1">IFERROR(__xludf.DUMMYFUNCTION("""COMPUTED_VALUE"""),"Inside School Building")</f>
        <v>Inside School Building</v>
      </c>
      <c r="Q1892" s="5" t="str">
        <f ca="1">IFERROR(__xludf.DUMMYFUNCTION("""COMPUTED_VALUE"""),"Inside School Building")</f>
        <v>Inside School Building</v>
      </c>
      <c r="R1892" s="5" t="str">
        <f ca="1">IFERROR(__xludf.DUMMYFUNCTION("""COMPUTED_VALUE"""),"Yes")</f>
        <v>Yes</v>
      </c>
      <c r="S1892" s="5" t="str">
        <f ca="1">IFERROR(__xludf.DUMMYFUNCTION("""COMPUTED_VALUE"""),"Afternoon Classes")</f>
        <v>Afternoon Classes</v>
      </c>
      <c r="T1892" s="10">
        <f ca="1">IFERROR(__xludf.DUMMYFUNCTION("""COMPUTED_VALUE"""),0.572916666666666)</f>
        <v>0.57291666666666596</v>
      </c>
      <c r="U1892" s="5">
        <f ca="1">IFERROR(__xludf.DUMMYFUNCTION("""COMPUTED_VALUE"""),1.26)</f>
        <v>1.26</v>
      </c>
      <c r="V1892" s="5" t="str">
        <f ca="1">IFERROR(__xludf.DUMMYFUNCTION("""COMPUTED_VALUE"""),"Held 9 students hostage for 21 hours")</f>
        <v>Held 9 students hostage for 21 hours</v>
      </c>
      <c r="W1892"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X1892" s="5" t="str">
        <f ca="1">IFERROR(__xludf.DUMMYFUNCTION("""COMPUTED_VALUE"""),"Domestic w/ Targeted Victim")</f>
        <v>Domestic w/ Targeted Victim</v>
      </c>
      <c r="Y1892" s="5" t="str">
        <f ca="1">IFERROR(__xludf.DUMMYFUNCTION("""COMPUTED_VALUE"""),"Random Shooting")</f>
        <v>Random Shooting</v>
      </c>
      <c r="Z1892" s="5" t="str">
        <f ca="1">IFERROR(__xludf.DUMMYFUNCTION("""COMPUTED_VALUE"""),"No")</f>
        <v>No</v>
      </c>
      <c r="AA1892" s="5"/>
      <c r="AB1892" s="5" t="str">
        <f ca="1">IFERROR(__xludf.DUMMYFUNCTION("""COMPUTED_VALUE"""),"Yes")</f>
        <v>Yes</v>
      </c>
      <c r="AC1892" s="5" t="str">
        <f ca="1">IFERROR(__xludf.DUMMYFUNCTION("""COMPUTED_VALUE"""),"Yes")</f>
        <v>Yes</v>
      </c>
      <c r="AD1892" s="5" t="str">
        <f ca="1">IFERROR(__xludf.DUMMYFUNCTION("""COMPUTED_VALUE"""),"No")</f>
        <v>No</v>
      </c>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IFERROR(__xludf.DUMMYFUNCTION("""COMPUTED_VALUE"""),"Yes")</f>
        <v>Yes</v>
      </c>
    </row>
    <row r="1893" spans="1:34" ht="12.75">
      <c r="A1893" s="5" t="str">
        <f ca="1">IFERROR(__xludf.DUMMYFUNCTION("""COMPUTED_VALUE"""),"19820527NVGAL")</f>
        <v>19820527NVGAL</v>
      </c>
      <c r="B1893" s="8">
        <f ca="1">IFERROR(__xludf.DUMMYFUNCTION("""COMPUTED_VALUE"""),30098)</f>
        <v>30098</v>
      </c>
      <c r="C1893" s="5" t="str">
        <f ca="1">IFERROR(__xludf.DUMMYFUNCTION("""COMPUTED_VALUE"""),"Garside Junior High School")</f>
        <v>Garside Junior High School</v>
      </c>
      <c r="D1893" s="5">
        <f ca="1">IFERROR(__xludf.DUMMYFUNCTION("""COMPUTED_VALUE"""),0)</f>
        <v>0</v>
      </c>
      <c r="E1893" s="5">
        <f ca="1">IFERROR(__xludf.DUMMYFUNCTION("""COMPUTED_VALUE"""),2)</f>
        <v>2</v>
      </c>
      <c r="F1893" s="5">
        <f ca="1">IFERROR(__xludf.DUMMYFUNCTION("""COMPUTED_VALUE"""),2)</f>
        <v>2</v>
      </c>
      <c r="G1893" s="5">
        <f ca="1">IFERROR(__xludf.DUMMYFUNCTION("""COMPUTED_VALUE"""),0)</f>
        <v>0</v>
      </c>
      <c r="H1893" s="9" t="str">
        <f ca="1">IFERROR(__xludf.DUMMYFUNCTION("""COMPUTED_VALUE"""),"https://www.newspapers.com/image/283184637/?terms=student%2Bshot")</f>
        <v>https://www.newspapers.com/image/283184637/?terms=student%2Bshot</v>
      </c>
      <c r="I1893" s="5"/>
      <c r="J1893" s="5"/>
      <c r="K1893" s="5">
        <f ca="1">IFERROR(__xludf.DUMMYFUNCTION("""COMPUTED_VALUE"""),2)</f>
        <v>2</v>
      </c>
      <c r="L1893" s="5" t="str">
        <f ca="1">IFERROR(__xludf.DUMMYFUNCTION("""COMPUTED_VALUE"""),"Spring")</f>
        <v>Spring</v>
      </c>
      <c r="M1893" s="5" t="str">
        <f ca="1">IFERROR(__xludf.DUMMYFUNCTION("""COMPUTED_VALUE"""),"Las Vegas")</f>
        <v>Las Vegas</v>
      </c>
      <c r="N1893" s="5" t="str">
        <f ca="1">IFERROR(__xludf.DUMMYFUNCTION("""COMPUTED_VALUE"""),"NV")</f>
        <v>NV</v>
      </c>
      <c r="O1893" s="5" t="str">
        <f ca="1">IFERROR(__xludf.DUMMYFUNCTION("""COMPUTED_VALUE"""),"Junior High")</f>
        <v>Junior High</v>
      </c>
      <c r="P1893" s="5" t="str">
        <f ca="1">IFERROR(__xludf.DUMMYFUNCTION("""COMPUTED_VALUE"""),"Beside Building")</f>
        <v>Beside Building</v>
      </c>
      <c r="Q1893" s="5" t="str">
        <f ca="1">IFERROR(__xludf.DUMMYFUNCTION("""COMPUTED_VALUE"""),"Outside on School Property")</f>
        <v>Outside on School Property</v>
      </c>
      <c r="R1893" s="5" t="str">
        <f ca="1">IFERROR(__xludf.DUMMYFUNCTION("""COMPUTED_VALUE"""),"Yes")</f>
        <v>Yes</v>
      </c>
      <c r="S1893" s="5" t="str">
        <f ca="1">IFERROR(__xludf.DUMMYFUNCTION("""COMPUTED_VALUE"""),"Dismissal")</f>
        <v>Dismissal</v>
      </c>
      <c r="T1893" s="5"/>
      <c r="U1893" s="5">
        <f ca="1">IFERROR(__xludf.DUMMYFUNCTION("""COMPUTED_VALUE"""),1)</f>
        <v>1</v>
      </c>
      <c r="V1893" s="5" t="str">
        <f ca="1">IFERROR(__xludf.DUMMYFUNCTION("""COMPUTED_VALUE"""),"Two students shot by three males with high powered bb or pellet guns")</f>
        <v>Two students shot by three males with high powered bb or pellet guns</v>
      </c>
      <c r="W1893"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X1893" s="5" t="str">
        <f ca="1">IFERROR(__xludf.DUMMYFUNCTION("""COMPUTED_VALUE"""),"Drive-by Shooting")</f>
        <v>Drive-by Shooting</v>
      </c>
      <c r="Y1893" s="5"/>
      <c r="Z1893" s="5" t="str">
        <f ca="1">IFERROR(__xludf.DUMMYFUNCTION("""COMPUTED_VALUE"""),"Yes")</f>
        <v>Yes</v>
      </c>
      <c r="AA1893" s="5" t="str">
        <f ca="1">IFERROR(__xludf.DUMMYFUNCTION("""COMPUTED_VALUE"""),"Three males in car")</f>
        <v>Three males in car</v>
      </c>
      <c r="AB1893" s="5" t="str">
        <f ca="1">IFERROR(__xludf.DUMMYFUNCTION("""COMPUTED_VALUE"""),"No")</f>
        <v>No</v>
      </c>
      <c r="AC1893" s="5" t="str">
        <f ca="1">IFERROR(__xludf.DUMMYFUNCTION("""COMPUTED_VALUE"""),"No")</f>
        <v>No</v>
      </c>
      <c r="AD1893" s="5" t="str">
        <f ca="1">IFERROR(__xludf.DUMMYFUNCTION("""COMPUTED_VALUE"""),"No")</f>
        <v>No</v>
      </c>
      <c r="AE1893" s="5"/>
      <c r="AF1893" s="5"/>
      <c r="AG1893" s="5" t="str">
        <f ca="1">IFERROR(__xludf.DUMMYFUNCTION("""COMPUTED_VALUE"""),"No")</f>
        <v>No</v>
      </c>
      <c r="AH1893" s="5"/>
    </row>
    <row r="1894" spans="1:34" ht="12.75">
      <c r="A1894" s="5" t="str">
        <f ca="1">IFERROR(__xludf.DUMMYFUNCTION("""COMPUTED_VALUE"""),"19820430FLANA")</f>
        <v>19820430FLANA</v>
      </c>
      <c r="B1894" s="8">
        <f ca="1">IFERROR(__xludf.DUMMYFUNCTION("""COMPUTED_VALUE"""),30071)</f>
        <v>30071</v>
      </c>
      <c r="C1894" s="5" t="str">
        <f ca="1">IFERROR(__xludf.DUMMYFUNCTION("""COMPUTED_VALUE"""),"Anniston High School")</f>
        <v>Anniston High School</v>
      </c>
      <c r="D1894" s="5">
        <f ca="1">IFERROR(__xludf.DUMMYFUNCTION("""COMPUTED_VALUE"""),0)</f>
        <v>0</v>
      </c>
      <c r="E1894" s="5">
        <f ca="1">IFERROR(__xludf.DUMMYFUNCTION("""COMPUTED_VALUE"""),1)</f>
        <v>1</v>
      </c>
      <c r="F1894" s="5">
        <f ca="1">IFERROR(__xludf.DUMMYFUNCTION("""COMPUTED_VALUE"""),1)</f>
        <v>1</v>
      </c>
      <c r="G1894" s="5">
        <f ca="1">IFERROR(__xludf.DUMMYFUNCTION("""COMPUTED_VALUE"""),0)</f>
        <v>0</v>
      </c>
      <c r="H1894" s="5" t="str">
        <f ca="1">IFERROR(__xludf.DUMMYFUNCTION("""COMPUTED_VALUE"""),"https://www.newspapers.com/image/266105025/?terms=student%2Bshot; https://www.newspapers.com/image/106680805/?terms=student%2Bshot")</f>
        <v>https://www.newspapers.com/image/266105025/?terms=student%2Bshot; https://www.newspapers.com/image/106680805/?terms=student%2Bshot</v>
      </c>
      <c r="I1894" s="5"/>
      <c r="J1894" s="5"/>
      <c r="K1894" s="5">
        <f ca="1">IFERROR(__xludf.DUMMYFUNCTION("""COMPUTED_VALUE"""),2)</f>
        <v>2</v>
      </c>
      <c r="L1894" s="5" t="str">
        <f ca="1">IFERROR(__xludf.DUMMYFUNCTION("""COMPUTED_VALUE"""),"Spring")</f>
        <v>Spring</v>
      </c>
      <c r="M1894" s="5" t="str">
        <f ca="1">IFERROR(__xludf.DUMMYFUNCTION("""COMPUTED_VALUE"""),"Anniston")</f>
        <v>Anniston</v>
      </c>
      <c r="N1894" s="5" t="str">
        <f ca="1">IFERROR(__xludf.DUMMYFUNCTION("""COMPUTED_VALUE"""),"FL")</f>
        <v>FL</v>
      </c>
      <c r="O1894" s="5" t="str">
        <f ca="1">IFERROR(__xludf.DUMMYFUNCTION("""COMPUTED_VALUE"""),"High")</f>
        <v>High</v>
      </c>
      <c r="P1894" s="5" t="str">
        <f ca="1">IFERROR(__xludf.DUMMYFUNCTION("""COMPUTED_VALUE"""),"Parking Lot")</f>
        <v>Parking Lot</v>
      </c>
      <c r="Q1894" s="5" t="str">
        <f ca="1">IFERROR(__xludf.DUMMYFUNCTION("""COMPUTED_VALUE"""),"Outside on School Property")</f>
        <v>Outside on School Property</v>
      </c>
      <c r="R1894" s="5" t="str">
        <f ca="1">IFERROR(__xludf.DUMMYFUNCTION("""COMPUTED_VALUE"""),"Yes")</f>
        <v>Yes</v>
      </c>
      <c r="S1894" s="5" t="str">
        <f ca="1">IFERROR(__xludf.DUMMYFUNCTION("""COMPUTED_VALUE"""),"Before School")</f>
        <v>Before School</v>
      </c>
      <c r="T1894" s="10">
        <f ca="1">IFERROR(__xludf.DUMMYFUNCTION("""COMPUTED_VALUE"""),0.309027777777777)</f>
        <v>0.30902777777777701</v>
      </c>
      <c r="U1894" s="5">
        <f ca="1">IFERROR(__xludf.DUMMYFUNCTION("""COMPUTED_VALUE"""),1)</f>
        <v>1</v>
      </c>
      <c r="V1894" s="5" t="str">
        <f ca="1">IFERROR(__xludf.DUMMYFUNCTION("""COMPUTED_VALUE"""),"Shooting resulted from escalation of ongoing conflict in school parking lot")</f>
        <v>Shooting resulted from escalation of ongoing conflict in school parking lot</v>
      </c>
      <c r="W1894" s="5" t="str">
        <f ca="1">IFERROR(__xludf.DUMMYFUNCTION("""COMPUTED_VALUE"""),"Escalation of ongoing conflict - occurred in parking lot of school")</f>
        <v>Escalation of ongoing conflict - occurred in parking lot of school</v>
      </c>
      <c r="X1894" s="5" t="str">
        <f ca="1">IFERROR(__xludf.DUMMYFUNCTION("""COMPUTED_VALUE"""),"Escalation of Dispute")</f>
        <v>Escalation of Dispute</v>
      </c>
      <c r="Y1894" s="5" t="str">
        <f ca="1">IFERROR(__xludf.DUMMYFUNCTION("""COMPUTED_VALUE"""),"Victims Targeted")</f>
        <v>Victims Targeted</v>
      </c>
      <c r="Z1894" s="5" t="str">
        <f ca="1">IFERROR(__xludf.DUMMYFUNCTION("""COMPUTED_VALUE"""),"No")</f>
        <v>No</v>
      </c>
      <c r="AA1894" s="5"/>
      <c r="AB1894" s="5" t="str">
        <f ca="1">IFERROR(__xludf.DUMMYFUNCTION("""COMPUTED_VALUE"""),"No")</f>
        <v>No</v>
      </c>
      <c r="AC1894" s="5" t="str">
        <f ca="1">IFERROR(__xludf.DUMMYFUNCTION("""COMPUTED_VALUE"""),"No")</f>
        <v>No</v>
      </c>
      <c r="AD1894" s="5" t="str">
        <f ca="1">IFERROR(__xludf.DUMMYFUNCTION("""COMPUTED_VALUE"""),"No")</f>
        <v>No</v>
      </c>
      <c r="AE1894" s="5" t="str">
        <f ca="1">IFERROR(__xludf.DUMMYFUNCTION("""COMPUTED_VALUE"""),"No")</f>
        <v>No</v>
      </c>
      <c r="AF1894" s="5" t="str">
        <f ca="1">IFERROR(__xludf.DUMMYFUNCTION("""COMPUTED_VALUE"""),"No")</f>
        <v>No</v>
      </c>
      <c r="AG1894" s="5" t="str">
        <f ca="1">IFERROR(__xludf.DUMMYFUNCTION("""COMPUTED_VALUE"""),"No")</f>
        <v>No</v>
      </c>
      <c r="AH1894" s="5"/>
    </row>
    <row r="1895" spans="1:34" ht="12.75">
      <c r="A1895" s="5" t="str">
        <f ca="1">IFERROR(__xludf.DUMMYFUNCTION("""COMPUTED_VALUE"""),"19820429GARUE")</f>
        <v>19820429GARUE</v>
      </c>
      <c r="B1895" s="8">
        <f ca="1">IFERROR(__xludf.DUMMYFUNCTION("""COMPUTED_VALUE"""),30070)</f>
        <v>30070</v>
      </c>
      <c r="C1895" s="5" t="str">
        <f ca="1">IFERROR(__xludf.DUMMYFUNCTION("""COMPUTED_VALUE"""),"Russell High School")</f>
        <v>Russell High School</v>
      </c>
      <c r="D1895" s="5">
        <f ca="1">IFERROR(__xludf.DUMMYFUNCTION("""COMPUTED_VALUE"""),0)</f>
        <v>0</v>
      </c>
      <c r="E1895" s="5">
        <f ca="1">IFERROR(__xludf.DUMMYFUNCTION("""COMPUTED_VALUE"""),0)</f>
        <v>0</v>
      </c>
      <c r="F1895" s="5">
        <f ca="1">IFERROR(__xludf.DUMMYFUNCTION("""COMPUTED_VALUE"""),0)</f>
        <v>0</v>
      </c>
      <c r="G1895" s="5">
        <f ca="1">IFERROR(__xludf.DUMMYFUNCTION("""COMPUTED_VALUE"""),0)</f>
        <v>0</v>
      </c>
      <c r="H1895" s="9" t="str">
        <f ca="1">IFERROR(__xludf.DUMMYFUNCTION("""COMPUTED_VALUE"""),"https://www.newspapers.com/image/399546733/?terms=student%2Bshot&amp;match=3")</f>
        <v>https://www.newspapers.com/image/399546733/?terms=student%2Bshot&amp;match=3</v>
      </c>
      <c r="I1895" s="5"/>
      <c r="J1895" s="5"/>
      <c r="K1895" s="5">
        <f ca="1">IFERROR(__xludf.DUMMYFUNCTION("""COMPUTED_VALUE"""),2)</f>
        <v>2</v>
      </c>
      <c r="L1895" s="5" t="str">
        <f ca="1">IFERROR(__xludf.DUMMYFUNCTION("""COMPUTED_VALUE"""),"Spring")</f>
        <v>Spring</v>
      </c>
      <c r="M1895" s="5" t="str">
        <f ca="1">IFERROR(__xludf.DUMMYFUNCTION("""COMPUTED_VALUE"""),"East Point")</f>
        <v>East Point</v>
      </c>
      <c r="N1895" s="5" t="str">
        <f ca="1">IFERROR(__xludf.DUMMYFUNCTION("""COMPUTED_VALUE"""),"GA")</f>
        <v>GA</v>
      </c>
      <c r="O1895" s="5" t="str">
        <f ca="1">IFERROR(__xludf.DUMMYFUNCTION("""COMPUTED_VALUE"""),"High")</f>
        <v>High</v>
      </c>
      <c r="P1895" s="5" t="str">
        <f ca="1">IFERROR(__xludf.DUMMYFUNCTION("""COMPUTED_VALUE"""),"Inside School Building")</f>
        <v>Inside School Building</v>
      </c>
      <c r="Q1895" s="5" t="str">
        <f ca="1">IFERROR(__xludf.DUMMYFUNCTION("""COMPUTED_VALUE"""),"Inside School Building")</f>
        <v>Inside School Building</v>
      </c>
      <c r="R1895" s="5" t="str">
        <f ca="1">IFERROR(__xludf.DUMMYFUNCTION("""COMPUTED_VALUE"""),"Yes")</f>
        <v>Yes</v>
      </c>
      <c r="S1895" s="5" t="str">
        <f ca="1">IFERROR(__xludf.DUMMYFUNCTION("""COMPUTED_VALUE"""),"Morning Classes")</f>
        <v>Morning Classes</v>
      </c>
      <c r="T1895" s="10">
        <f ca="1">IFERROR(__xludf.DUMMYFUNCTION("""COMPUTED_VALUE"""),0.4375)</f>
        <v>0.4375</v>
      </c>
      <c r="U1895" s="5">
        <f ca="1">IFERROR(__xludf.DUMMYFUNCTION("""COMPUTED_VALUE"""),1)</f>
        <v>1</v>
      </c>
      <c r="V1895" s="5" t="str">
        <f ca="1">IFERROR(__xludf.DUMMYFUNCTION("""COMPUTED_VALUE"""),"ROTC Student cleaning rifle presumed unloaded - accidental shooting of self")</f>
        <v>ROTC Student cleaning rifle presumed unloaded - accidental shooting of self</v>
      </c>
      <c r="W1895" s="5" t="str">
        <f ca="1">IFERROR(__xludf.DUMMYFUNCTION("""COMPUTED_VALUE"""),"ROTC Student cleaning rifle presumed unloaded - accidental shooting of self")</f>
        <v>ROTC Student cleaning rifle presumed unloaded - accidental shooting of self</v>
      </c>
      <c r="X1895" s="5" t="str">
        <f ca="1">IFERROR(__xludf.DUMMYFUNCTION("""COMPUTED_VALUE"""),"Accidental")</f>
        <v>Accidental</v>
      </c>
      <c r="Y1895" s="5" t="str">
        <f ca="1">IFERROR(__xludf.DUMMYFUNCTION("""COMPUTED_VALUE"""),"Random Shooting")</f>
        <v>Random Shooting</v>
      </c>
      <c r="Z1895" s="5"/>
      <c r="AA1895" s="5"/>
      <c r="AB1895" s="5" t="str">
        <f ca="1">IFERROR(__xludf.DUMMYFUNCTION("""COMPUTED_VALUE"""),"No")</f>
        <v>No</v>
      </c>
      <c r="AC1895" s="5" t="str">
        <f ca="1">IFERROR(__xludf.DUMMYFUNCTION("""COMPUTED_VALUE"""),"No")</f>
        <v>No</v>
      </c>
      <c r="AD1895" s="5" t="str">
        <f ca="1">IFERROR(__xludf.DUMMYFUNCTION("""COMPUTED_VALUE"""),"No")</f>
        <v>No</v>
      </c>
      <c r="AE1895" s="5" t="str">
        <f ca="1">IFERROR(__xludf.DUMMYFUNCTION("""COMPUTED_VALUE"""),"No")</f>
        <v>No</v>
      </c>
      <c r="AF1895" s="5" t="str">
        <f ca="1">IFERROR(__xludf.DUMMYFUNCTION("""COMPUTED_VALUE"""),"No")</f>
        <v>No</v>
      </c>
      <c r="AG1895" s="5" t="str">
        <f ca="1">IFERROR(__xludf.DUMMYFUNCTION("""COMPUTED_VALUE"""),"No")</f>
        <v>No</v>
      </c>
      <c r="AH1895" s="5"/>
    </row>
    <row r="1896" spans="1:34" ht="12.75">
      <c r="A1896" s="5" t="str">
        <f ca="1">IFERROR(__xludf.DUMMYFUNCTION("""COMPUTED_VALUE"""),"19820415MDFOB")</f>
        <v>19820415MDFOB</v>
      </c>
      <c r="B1896" s="8">
        <f ca="1">IFERROR(__xludf.DUMMYFUNCTION("""COMPUTED_VALUE"""),30056)</f>
        <v>30056</v>
      </c>
      <c r="C1896" s="5" t="str">
        <f ca="1">IFERROR(__xludf.DUMMYFUNCTION("""COMPUTED_VALUE"""),"Forest Park Senior High School")</f>
        <v>Forest Park Senior High School</v>
      </c>
      <c r="D1896" s="5">
        <f ca="1">IFERROR(__xludf.DUMMYFUNCTION("""COMPUTED_VALUE"""),0)</f>
        <v>0</v>
      </c>
      <c r="E1896" s="5">
        <f ca="1">IFERROR(__xludf.DUMMYFUNCTION("""COMPUTED_VALUE"""),1)</f>
        <v>1</v>
      </c>
      <c r="F1896" s="5">
        <f ca="1">IFERROR(__xludf.DUMMYFUNCTION("""COMPUTED_VALUE"""),1)</f>
        <v>1</v>
      </c>
      <c r="G1896" s="5">
        <f ca="1">IFERROR(__xludf.DUMMYFUNCTION("""COMPUTED_VALUE"""),0)</f>
        <v>0</v>
      </c>
      <c r="H1896" s="9" t="str">
        <f ca="1">IFERROR(__xludf.DUMMYFUNCTION("""COMPUTED_VALUE"""),"https://www.newspapers.com/image/377444331/?terms=TEACHER%2BSHOT")</f>
        <v>https://www.newspapers.com/image/377444331/?terms=TEACHER%2BSHOT</v>
      </c>
      <c r="I1896" s="5"/>
      <c r="J1896" s="5"/>
      <c r="K1896" s="5">
        <f ca="1">IFERROR(__xludf.DUMMYFUNCTION("""COMPUTED_VALUE"""),2)</f>
        <v>2</v>
      </c>
      <c r="L1896" s="5" t="str">
        <f ca="1">IFERROR(__xludf.DUMMYFUNCTION("""COMPUTED_VALUE"""),"Spring")</f>
        <v>Spring</v>
      </c>
      <c r="M1896" s="5" t="str">
        <f ca="1">IFERROR(__xludf.DUMMYFUNCTION("""COMPUTED_VALUE"""),"Baltimore")</f>
        <v>Baltimore</v>
      </c>
      <c r="N1896" s="5" t="str">
        <f ca="1">IFERROR(__xludf.DUMMYFUNCTION("""COMPUTED_VALUE"""),"MD")</f>
        <v>MD</v>
      </c>
      <c r="O1896" s="5" t="str">
        <f ca="1">IFERROR(__xludf.DUMMYFUNCTION("""COMPUTED_VALUE"""),"High")</f>
        <v>High</v>
      </c>
      <c r="P1896" s="5" t="str">
        <f ca="1">IFERROR(__xludf.DUMMYFUNCTION("""COMPUTED_VALUE"""),"Hallway")</f>
        <v>Hallway</v>
      </c>
      <c r="Q1896" s="5" t="str">
        <f ca="1">IFERROR(__xludf.DUMMYFUNCTION("""COMPUTED_VALUE"""),"Inside School Building")</f>
        <v>Inside School Building</v>
      </c>
      <c r="R1896" s="5" t="str">
        <f ca="1">IFERROR(__xludf.DUMMYFUNCTION("""COMPUTED_VALUE"""),"Yes")</f>
        <v>Yes</v>
      </c>
      <c r="S1896" s="5" t="str">
        <f ca="1">IFERROR(__xludf.DUMMYFUNCTION("""COMPUTED_VALUE"""),"After School")</f>
        <v>After School</v>
      </c>
      <c r="T1896" s="10">
        <f ca="1">IFERROR(__xludf.DUMMYFUNCTION("""COMPUTED_VALUE"""),0.59375)</f>
        <v>0.59375</v>
      </c>
      <c r="U1896" s="5">
        <f ca="1">IFERROR(__xludf.DUMMYFUNCTION("""COMPUTED_VALUE"""),1)</f>
        <v>1</v>
      </c>
      <c r="V1896" s="5" t="str">
        <f ca="1">IFERROR(__xludf.DUMMYFUNCTION("""COMPUTED_VALUE"""),"Youth intruder chased through school shoots teacher before escaping")</f>
        <v>Youth intruder chased through school shoots teacher before escaping</v>
      </c>
      <c r="W1896"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X1896" s="5" t="str">
        <f ca="1">IFERROR(__xludf.DUMMYFUNCTION("""COMPUTED_VALUE"""),"Illegal Activity")</f>
        <v>Illegal Activity</v>
      </c>
      <c r="Y1896" s="5" t="str">
        <f ca="1">IFERROR(__xludf.DUMMYFUNCTION("""COMPUTED_VALUE"""),"Random Shooting")</f>
        <v>Random Shooting</v>
      </c>
      <c r="Z1896" s="5" t="str">
        <f ca="1">IFERROR(__xludf.DUMMYFUNCTION("""COMPUTED_VALUE"""),"No")</f>
        <v>No</v>
      </c>
      <c r="AA1896" s="5"/>
      <c r="AB1896" s="5" t="str">
        <f ca="1">IFERROR(__xludf.DUMMYFUNCTION("""COMPUTED_VALUE"""),"No")</f>
        <v>No</v>
      </c>
      <c r="AC1896" s="5" t="str">
        <f ca="1">IFERROR(__xludf.DUMMYFUNCTION("""COMPUTED_VALUE"""),"No")</f>
        <v>No</v>
      </c>
      <c r="AD1896" s="5" t="str">
        <f ca="1">IFERROR(__xludf.DUMMYFUNCTION("""COMPUTED_VALUE"""),"No")</f>
        <v>No</v>
      </c>
      <c r="AE1896" s="5" t="str">
        <f ca="1">IFERROR(__xludf.DUMMYFUNCTION("""COMPUTED_VALUE"""),"No")</f>
        <v>No</v>
      </c>
      <c r="AF1896" s="5" t="str">
        <f ca="1">IFERROR(__xludf.DUMMYFUNCTION("""COMPUTED_VALUE"""),"No")</f>
        <v>No</v>
      </c>
      <c r="AG1896" s="5" t="str">
        <f ca="1">IFERROR(__xludf.DUMMYFUNCTION("""COMPUTED_VALUE"""),"No")</f>
        <v>No</v>
      </c>
      <c r="AH1896" s="5"/>
    </row>
    <row r="1897" spans="1:34" ht="12.75">
      <c r="A1897" s="5" t="str">
        <f ca="1">IFERROR(__xludf.DUMMYFUNCTION("""COMPUTED_VALUE"""),"19820407CODEL")</f>
        <v>19820407CODEL</v>
      </c>
      <c r="B1897" s="8">
        <f ca="1">IFERROR(__xludf.DUMMYFUNCTION("""COMPUTED_VALUE"""),30048)</f>
        <v>30048</v>
      </c>
      <c r="C1897" s="5" t="str">
        <f ca="1">IFERROR(__xludf.DUMMYFUNCTION("""COMPUTED_VALUE"""),"Deer Creek Junior High School")</f>
        <v>Deer Creek Junior High School</v>
      </c>
      <c r="D1897" s="5">
        <f ca="1">IFERROR(__xludf.DUMMYFUNCTION("""COMPUTED_VALUE"""),1)</f>
        <v>1</v>
      </c>
      <c r="E1897" s="5">
        <f ca="1">IFERROR(__xludf.DUMMYFUNCTION("""COMPUTED_VALUE"""),0)</f>
        <v>0</v>
      </c>
      <c r="F1897" s="5">
        <f ca="1">IFERROR(__xludf.DUMMYFUNCTION("""COMPUTED_VALUE"""),1)</f>
        <v>1</v>
      </c>
      <c r="G1897" s="5">
        <f ca="1">IFERROR(__xludf.DUMMYFUNCTION("""COMPUTED_VALUE"""),0)</f>
        <v>0</v>
      </c>
      <c r="H1897"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I1897" s="5"/>
      <c r="J1897" s="5" t="str">
        <f ca="1">IFERROR(__xludf.DUMMYFUNCTION("""COMPUTED_VALUE"""),"Local")</f>
        <v>Local</v>
      </c>
      <c r="K1897" s="5">
        <f ca="1">IFERROR(__xludf.DUMMYFUNCTION("""COMPUTED_VALUE"""),3)</f>
        <v>3</v>
      </c>
      <c r="L1897" s="5" t="str">
        <f ca="1">IFERROR(__xludf.DUMMYFUNCTION("""COMPUTED_VALUE"""),"Spring")</f>
        <v>Spring</v>
      </c>
      <c r="M1897" s="5" t="str">
        <f ca="1">IFERROR(__xludf.DUMMYFUNCTION("""COMPUTED_VALUE"""),"Littleton")</f>
        <v>Littleton</v>
      </c>
      <c r="N1897" s="5" t="str">
        <f ca="1">IFERROR(__xludf.DUMMYFUNCTION("""COMPUTED_VALUE"""),"CO")</f>
        <v>CO</v>
      </c>
      <c r="O1897" s="5" t="str">
        <f ca="1">IFERROR(__xludf.DUMMYFUNCTION("""COMPUTED_VALUE"""),"High")</f>
        <v>High</v>
      </c>
      <c r="P1897" s="5" t="str">
        <f ca="1">IFERROR(__xludf.DUMMYFUNCTION("""COMPUTED_VALUE"""),"Field (General)")</f>
        <v>Field (General)</v>
      </c>
      <c r="Q1897" s="5" t="str">
        <f ca="1">IFERROR(__xludf.DUMMYFUNCTION("""COMPUTED_VALUE"""),"Outside on School Property")</f>
        <v>Outside on School Property</v>
      </c>
      <c r="R1897" s="5" t="str">
        <f ca="1">IFERROR(__xludf.DUMMYFUNCTION("""COMPUTED_VALUE"""),"No")</f>
        <v>No</v>
      </c>
      <c r="S1897" s="5" t="str">
        <f ca="1">IFERROR(__xludf.DUMMYFUNCTION("""COMPUTED_VALUE"""),"Lunch")</f>
        <v>Lunch</v>
      </c>
      <c r="T1897" s="5"/>
      <c r="U1897" s="5"/>
      <c r="V1897" s="5" t="str">
        <f ca="1">IFERROR(__xludf.DUMMYFUNCTION("""COMPUTED_VALUE"""),"Two students were shooting prairie dogs, one suddenly turned the gun and fatally shot the other")</f>
        <v>Two students were shooting prairie dogs, one suddenly turned the gun and fatally shot the other</v>
      </c>
      <c r="W1897"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X1897" s="5" t="str">
        <f ca="1">IFERROR(__xludf.DUMMYFUNCTION("""COMPUTED_VALUE"""),"Psychosis")</f>
        <v>Psychosis</v>
      </c>
      <c r="Y1897" s="5" t="str">
        <f ca="1">IFERROR(__xludf.DUMMYFUNCTION("""COMPUTED_VALUE"""),"Victims Targeted")</f>
        <v>Victims Targeted</v>
      </c>
      <c r="Z1897" s="5" t="str">
        <f ca="1">IFERROR(__xludf.DUMMYFUNCTION("""COMPUTED_VALUE"""),"No")</f>
        <v>No</v>
      </c>
      <c r="AA1897" s="5"/>
      <c r="AB1897" s="5" t="str">
        <f ca="1">IFERROR(__xludf.DUMMYFUNCTION("""COMPUTED_VALUE"""),"No")</f>
        <v>No</v>
      </c>
      <c r="AC1897" s="5" t="str">
        <f ca="1">IFERROR(__xludf.DUMMYFUNCTION("""COMPUTED_VALUE"""),"No")</f>
        <v>No</v>
      </c>
      <c r="AD1897" s="5" t="str">
        <f ca="1">IFERROR(__xludf.DUMMYFUNCTION("""COMPUTED_VALUE"""),"No")</f>
        <v>No</v>
      </c>
      <c r="AE1897" s="5" t="str">
        <f ca="1">IFERROR(__xludf.DUMMYFUNCTION("""COMPUTED_VALUE"""),"No")</f>
        <v>No</v>
      </c>
      <c r="AF1897" s="5" t="str">
        <f ca="1">IFERROR(__xludf.DUMMYFUNCTION("""COMPUTED_VALUE"""),"No")</f>
        <v>No</v>
      </c>
      <c r="AG1897" s="5" t="str">
        <f ca="1">IFERROR(__xludf.DUMMYFUNCTION("""COMPUTED_VALUE"""),"No")</f>
        <v>No</v>
      </c>
      <c r="AH1897" s="5"/>
    </row>
    <row r="1898" spans="1:34" ht="12.75">
      <c r="A1898" s="5" t="str">
        <f ca="1">IFERROR(__xludf.DUMMYFUNCTION("""COMPUTED_VALUE"""),"19820319NVVAL")</f>
        <v>19820319NVVAL</v>
      </c>
      <c r="B1898" s="8">
        <f ca="1">IFERROR(__xludf.DUMMYFUNCTION("""COMPUTED_VALUE"""),30029)</f>
        <v>30029</v>
      </c>
      <c r="C1898" s="5" t="str">
        <f ca="1">IFERROR(__xludf.DUMMYFUNCTION("""COMPUTED_VALUE"""),"Valley High School")</f>
        <v>Valley High School</v>
      </c>
      <c r="D1898" s="5">
        <f ca="1">IFERROR(__xludf.DUMMYFUNCTION("""COMPUTED_VALUE"""),1)</f>
        <v>1</v>
      </c>
      <c r="E1898" s="5">
        <f ca="1">IFERROR(__xludf.DUMMYFUNCTION("""COMPUTED_VALUE"""),2)</f>
        <v>2</v>
      </c>
      <c r="F1898" s="5">
        <f ca="1">IFERROR(__xludf.DUMMYFUNCTION("""COMPUTED_VALUE"""),3)</f>
        <v>3</v>
      </c>
      <c r="G1898" s="5">
        <f ca="1">IFERROR(__xludf.DUMMYFUNCTION("""COMPUTED_VALUE"""),0)</f>
        <v>0</v>
      </c>
      <c r="H1898"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I1898" s="5"/>
      <c r="J1898" s="5"/>
      <c r="K1898" s="5">
        <f ca="1">IFERROR(__xludf.DUMMYFUNCTION("""COMPUTED_VALUE"""),4)</f>
        <v>4</v>
      </c>
      <c r="L1898" s="5" t="str">
        <f ca="1">IFERROR(__xludf.DUMMYFUNCTION("""COMPUTED_VALUE"""),"Spring")</f>
        <v>Spring</v>
      </c>
      <c r="M1898" s="5" t="str">
        <f ca="1">IFERROR(__xludf.DUMMYFUNCTION("""COMPUTED_VALUE"""),"Las Vegas")</f>
        <v>Las Vegas</v>
      </c>
      <c r="N1898" s="5" t="str">
        <f ca="1">IFERROR(__xludf.DUMMYFUNCTION("""COMPUTED_VALUE"""),"NV")</f>
        <v>NV</v>
      </c>
      <c r="O1898" s="5" t="str">
        <f ca="1">IFERROR(__xludf.DUMMYFUNCTION("""COMPUTED_VALUE"""),"High")</f>
        <v>High</v>
      </c>
      <c r="P1898" s="5" t="str">
        <f ca="1">IFERROR(__xludf.DUMMYFUNCTION("""COMPUTED_VALUE"""),"Classroom")</f>
        <v>Classroom</v>
      </c>
      <c r="Q1898" s="5" t="str">
        <f ca="1">IFERROR(__xludf.DUMMYFUNCTION("""COMPUTED_VALUE"""),"Inside School Building")</f>
        <v>Inside School Building</v>
      </c>
      <c r="R1898" s="5" t="str">
        <f ca="1">IFERROR(__xludf.DUMMYFUNCTION("""COMPUTED_VALUE"""),"Yes")</f>
        <v>Yes</v>
      </c>
      <c r="S1898" s="5" t="str">
        <f ca="1">IFERROR(__xludf.DUMMYFUNCTION("""COMPUTED_VALUE"""),"Morning Classes")</f>
        <v>Morning Classes</v>
      </c>
      <c r="T1898" s="10">
        <f ca="1">IFERROR(__xludf.DUMMYFUNCTION("""COMPUTED_VALUE"""),0.326388888888888)</f>
        <v>0.32638888888888801</v>
      </c>
      <c r="U1898" s="5">
        <f ca="1">IFERROR(__xludf.DUMMYFUNCTION("""COMPUTED_VALUE"""),1)</f>
        <v>1</v>
      </c>
      <c r="V1898" s="5" t="str">
        <f ca="1">IFERROR(__xludf.DUMMYFUNCTION("""COMPUTED_VALUE"""),"Thought teacher - victim - wanted him committed to mental hospital")</f>
        <v>Thought teacher - victim - wanted him committed to mental hospital</v>
      </c>
      <c r="W1898"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X1898" s="5" t="str">
        <f ca="1">IFERROR(__xludf.DUMMYFUNCTION("""COMPUTED_VALUE"""),"Psychosis")</f>
        <v>Psychosis</v>
      </c>
      <c r="Y1898" s="5" t="str">
        <f ca="1">IFERROR(__xludf.DUMMYFUNCTION("""COMPUTED_VALUE"""),"Both")</f>
        <v>Both</v>
      </c>
      <c r="Z1898" s="5" t="str">
        <f ca="1">IFERROR(__xludf.DUMMYFUNCTION("""COMPUTED_VALUE"""),"No")</f>
        <v>No</v>
      </c>
      <c r="AA1898" s="5"/>
      <c r="AB1898" s="5" t="str">
        <f ca="1">IFERROR(__xludf.DUMMYFUNCTION("""COMPUTED_VALUE"""),"No")</f>
        <v>No</v>
      </c>
      <c r="AC1898" s="5" t="str">
        <f ca="1">IFERROR(__xludf.DUMMYFUNCTION("""COMPUTED_VALUE"""),"No")</f>
        <v>No</v>
      </c>
      <c r="AD1898" s="5" t="str">
        <f ca="1">IFERROR(__xludf.DUMMYFUNCTION("""COMPUTED_VALUE"""),"No")</f>
        <v>No</v>
      </c>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IFERROR(__xludf.DUMMYFUNCTION("""COMPUTED_VALUE"""),"Yes")</f>
        <v>Yes</v>
      </c>
    </row>
    <row r="1899" spans="1:34" ht="12.75">
      <c r="A1899" s="5" t="str">
        <f ca="1">IFERROR(__xludf.DUMMYFUNCTION("""COMPUTED_VALUE"""),"19820317OHLOL")</f>
        <v>19820317OHLOL</v>
      </c>
      <c r="B1899" s="8">
        <f ca="1">IFERROR(__xludf.DUMMYFUNCTION("""COMPUTED_VALUE"""),30027)</f>
        <v>30027</v>
      </c>
      <c r="C1899" s="5" t="str">
        <f ca="1">IFERROR(__xludf.DUMMYFUNCTION("""COMPUTED_VALUE"""),"Lorain High School")</f>
        <v>Lorain High School</v>
      </c>
      <c r="D1899" s="5">
        <f ca="1">IFERROR(__xludf.DUMMYFUNCTION("""COMPUTED_VALUE"""),0)</f>
        <v>0</v>
      </c>
      <c r="E1899" s="5">
        <f ca="1">IFERROR(__xludf.DUMMYFUNCTION("""COMPUTED_VALUE"""),0)</f>
        <v>0</v>
      </c>
      <c r="F1899" s="5">
        <f ca="1">IFERROR(__xludf.DUMMYFUNCTION("""COMPUTED_VALUE"""),0)</f>
        <v>0</v>
      </c>
      <c r="G1899" s="5">
        <f ca="1">IFERROR(__xludf.DUMMYFUNCTION("""COMPUTED_VALUE"""),0)</f>
        <v>0</v>
      </c>
      <c r="H1899" s="9" t="str">
        <f ca="1">IFERROR(__xludf.DUMMYFUNCTION("""COMPUTED_VALUE"""),"https://www.newspapers.com/image/155231508/?terms=STUDENT%2BSHOOTS")</f>
        <v>https://www.newspapers.com/image/155231508/?terms=STUDENT%2BSHOOTS</v>
      </c>
      <c r="I1899" s="5"/>
      <c r="J1899" s="5"/>
      <c r="K1899" s="5">
        <f ca="1">IFERROR(__xludf.DUMMYFUNCTION("""COMPUTED_VALUE"""),2)</f>
        <v>2</v>
      </c>
      <c r="L1899" s="5" t="str">
        <f ca="1">IFERROR(__xludf.DUMMYFUNCTION("""COMPUTED_VALUE"""),"Spring")</f>
        <v>Spring</v>
      </c>
      <c r="M1899" s="5" t="str">
        <f ca="1">IFERROR(__xludf.DUMMYFUNCTION("""COMPUTED_VALUE"""),"Lorain")</f>
        <v>Lorain</v>
      </c>
      <c r="N1899" s="5" t="str">
        <f ca="1">IFERROR(__xludf.DUMMYFUNCTION("""COMPUTED_VALUE"""),"OH")</f>
        <v>OH</v>
      </c>
      <c r="O1899" s="5" t="str">
        <f ca="1">IFERROR(__xludf.DUMMYFUNCTION("""COMPUTED_VALUE"""),"High")</f>
        <v>High</v>
      </c>
      <c r="P1899" s="5" t="str">
        <f ca="1">IFERROR(__xludf.DUMMYFUNCTION("""COMPUTED_VALUE"""),"Cafeteria")</f>
        <v>Cafeteria</v>
      </c>
      <c r="Q1899" s="5" t="str">
        <f ca="1">IFERROR(__xludf.DUMMYFUNCTION("""COMPUTED_VALUE"""),"Inside School Building")</f>
        <v>Inside School Building</v>
      </c>
      <c r="R1899" s="5" t="str">
        <f ca="1">IFERROR(__xludf.DUMMYFUNCTION("""COMPUTED_VALUE"""),"Yes")</f>
        <v>Yes</v>
      </c>
      <c r="S1899" s="5" t="str">
        <f ca="1">IFERROR(__xludf.DUMMYFUNCTION("""COMPUTED_VALUE"""),"Lunch")</f>
        <v>Lunch</v>
      </c>
      <c r="T1899" s="5"/>
      <c r="U1899" s="5">
        <f ca="1">IFERROR(__xludf.DUMMYFUNCTION("""COMPUTED_VALUE"""),1)</f>
        <v>1</v>
      </c>
      <c r="V1899" s="5" t="str">
        <f ca="1">IFERROR(__xludf.DUMMYFUNCTION("""COMPUTED_VALUE"""),"Student carrying bible, pulled out gun during lunch and shot self in stomach")</f>
        <v>Student carrying bible, pulled out gun during lunch and shot self in stomach</v>
      </c>
      <c r="W1899"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X1899" s="5" t="str">
        <f ca="1">IFERROR(__xludf.DUMMYFUNCTION("""COMPUTED_VALUE"""),"Suicide/Attempted")</f>
        <v>Suicide/Attempted</v>
      </c>
      <c r="Y1899" s="5" t="str">
        <f ca="1">IFERROR(__xludf.DUMMYFUNCTION("""COMPUTED_VALUE"""),"Victims Targeted")</f>
        <v>Victims Targeted</v>
      </c>
      <c r="Z1899" s="5" t="str">
        <f ca="1">IFERROR(__xludf.DUMMYFUNCTION("""COMPUTED_VALUE"""),"No")</f>
        <v>No</v>
      </c>
      <c r="AA1899" s="5"/>
      <c r="AB1899" s="5" t="str">
        <f ca="1">IFERROR(__xludf.DUMMYFUNCTION("""COMPUTED_VALUE"""),"No")</f>
        <v>No</v>
      </c>
      <c r="AC1899" s="5" t="str">
        <f ca="1">IFERROR(__xludf.DUMMYFUNCTION("""COMPUTED_VALUE"""),"No")</f>
        <v>No</v>
      </c>
      <c r="AD1899" s="5" t="str">
        <f ca="1">IFERROR(__xludf.DUMMYFUNCTION("""COMPUTED_VALUE"""),"No")</f>
        <v>No</v>
      </c>
      <c r="AE1899" s="5"/>
      <c r="AF1899" s="5"/>
      <c r="AG1899" s="5" t="str">
        <f ca="1">IFERROR(__xludf.DUMMYFUNCTION("""COMPUTED_VALUE"""),"No")</f>
        <v>No</v>
      </c>
      <c r="AH1899" s="5"/>
    </row>
    <row r="1900" spans="1:34" ht="12.75">
      <c r="A1900" s="5" t="str">
        <f ca="1">IFERROR(__xludf.DUMMYFUNCTION("""COMPUTED_VALUE"""),"19820315ORSPS")</f>
        <v>19820315ORSPS</v>
      </c>
      <c r="B1900" s="8">
        <f ca="1">IFERROR(__xludf.DUMMYFUNCTION("""COMPUTED_VALUE"""),30025)</f>
        <v>30025</v>
      </c>
      <c r="C1900" s="5" t="str">
        <f ca="1">IFERROR(__xludf.DUMMYFUNCTION("""COMPUTED_VALUE"""),"Springfield High School")</f>
        <v>Springfield High School</v>
      </c>
      <c r="D1900" s="5">
        <f ca="1">IFERROR(__xludf.DUMMYFUNCTION("""COMPUTED_VALUE"""),0)</f>
        <v>0</v>
      </c>
      <c r="E1900" s="5">
        <f ca="1">IFERROR(__xludf.DUMMYFUNCTION("""COMPUTED_VALUE"""),0)</f>
        <v>0</v>
      </c>
      <c r="F1900" s="5">
        <f ca="1">IFERROR(__xludf.DUMMYFUNCTION("""COMPUTED_VALUE"""),0)</f>
        <v>0</v>
      </c>
      <c r="G1900" s="5">
        <f ca="1">IFERROR(__xludf.DUMMYFUNCTION("""COMPUTED_VALUE"""),1)</f>
        <v>1</v>
      </c>
      <c r="H1900" s="9" t="str">
        <f ca="1">IFERROR(__xludf.DUMMYFUNCTION("""COMPUTED_VALUE"""),"https://www.newspapers.com/image/199055882/?terms=STUDENT%2BSHOOTS")</f>
        <v>https://www.newspapers.com/image/199055882/?terms=STUDENT%2BSHOOTS</v>
      </c>
      <c r="I1900" s="5"/>
      <c r="J1900" s="5"/>
      <c r="K1900" s="5">
        <f ca="1">IFERROR(__xludf.DUMMYFUNCTION("""COMPUTED_VALUE"""),2)</f>
        <v>2</v>
      </c>
      <c r="L1900" s="5" t="str">
        <f ca="1">IFERROR(__xludf.DUMMYFUNCTION("""COMPUTED_VALUE"""),"Spring")</f>
        <v>Spring</v>
      </c>
      <c r="M1900" s="5" t="str">
        <f ca="1">IFERROR(__xludf.DUMMYFUNCTION("""COMPUTED_VALUE"""),"Springfield")</f>
        <v>Springfield</v>
      </c>
      <c r="N1900" s="5" t="str">
        <f ca="1">IFERROR(__xludf.DUMMYFUNCTION("""COMPUTED_VALUE"""),"OR")</f>
        <v>OR</v>
      </c>
      <c r="O1900" s="5" t="str">
        <f ca="1">IFERROR(__xludf.DUMMYFUNCTION("""COMPUTED_VALUE"""),"High")</f>
        <v>High</v>
      </c>
      <c r="P1900" s="5" t="str">
        <f ca="1">IFERROR(__xludf.DUMMYFUNCTION("""COMPUTED_VALUE"""),"Classroom")</f>
        <v>Classroom</v>
      </c>
      <c r="Q1900" s="5" t="str">
        <f ca="1">IFERROR(__xludf.DUMMYFUNCTION("""COMPUTED_VALUE"""),"Inside School Building")</f>
        <v>Inside School Building</v>
      </c>
      <c r="R1900" s="5" t="str">
        <f ca="1">IFERROR(__xludf.DUMMYFUNCTION("""COMPUTED_VALUE"""),"Yes")</f>
        <v>Yes</v>
      </c>
      <c r="S1900" s="5" t="str">
        <f ca="1">IFERROR(__xludf.DUMMYFUNCTION("""COMPUTED_VALUE"""),"Morning Classes")</f>
        <v>Morning Classes</v>
      </c>
      <c r="T1900" s="10">
        <f ca="1">IFERROR(__xludf.DUMMYFUNCTION("""COMPUTED_VALUE"""),0.354166666666666)</f>
        <v>0.35416666666666602</v>
      </c>
      <c r="U1900" s="5">
        <f ca="1">IFERROR(__xludf.DUMMYFUNCTION("""COMPUTED_VALUE"""),80)</f>
        <v>80</v>
      </c>
      <c r="V1900"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W1900"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X1900" s="5" t="str">
        <f ca="1">IFERROR(__xludf.DUMMYFUNCTION("""COMPUTED_VALUE"""),"Suicide/Attempted")</f>
        <v>Suicide/Attempted</v>
      </c>
      <c r="Y1900" s="5" t="str">
        <f ca="1">IFERROR(__xludf.DUMMYFUNCTION("""COMPUTED_VALUE"""),"Victims Targeted")</f>
        <v>Victims Targeted</v>
      </c>
      <c r="Z1900" s="5" t="str">
        <f ca="1">IFERROR(__xludf.DUMMYFUNCTION("""COMPUTED_VALUE"""),"No")</f>
        <v>No</v>
      </c>
      <c r="AA1900" s="5"/>
      <c r="AB1900" s="5" t="str">
        <f ca="1">IFERROR(__xludf.DUMMYFUNCTION("""COMPUTED_VALUE"""),"No")</f>
        <v>No</v>
      </c>
      <c r="AC1900" s="5" t="str">
        <f ca="1">IFERROR(__xludf.DUMMYFUNCTION("""COMPUTED_VALUE"""),"No")</f>
        <v>No</v>
      </c>
      <c r="AD1900" s="5" t="str">
        <f ca="1">IFERROR(__xludf.DUMMYFUNCTION("""COMPUTED_VALUE"""),"No")</f>
        <v>No</v>
      </c>
      <c r="AE1900" s="5"/>
      <c r="AF1900" s="5"/>
      <c r="AG1900" s="5" t="str">
        <f ca="1">IFERROR(__xludf.DUMMYFUNCTION("""COMPUTED_VALUE"""),"No")</f>
        <v>No</v>
      </c>
      <c r="AH1900" s="5"/>
    </row>
    <row r="1901" spans="1:34" ht="12.75">
      <c r="A1901" s="5" t="str">
        <f ca="1">IFERROR(__xludf.DUMMYFUNCTION("""COMPUTED_VALUE"""),"19820209LAJON")</f>
        <v>19820209LAJON</v>
      </c>
      <c r="B1901" s="8">
        <f ca="1">IFERROR(__xludf.DUMMYFUNCTION("""COMPUTED_VALUE"""),29991)</f>
        <v>29991</v>
      </c>
      <c r="C1901" s="5" t="str">
        <f ca="1">IFERROR(__xludf.DUMMYFUNCTION("""COMPUTED_VALUE"""),"John McDonough Senior High")</f>
        <v>John McDonough Senior High</v>
      </c>
      <c r="D1901" s="5">
        <f ca="1">IFERROR(__xludf.DUMMYFUNCTION("""COMPUTED_VALUE"""),1)</f>
        <v>1</v>
      </c>
      <c r="E1901" s="5">
        <f ca="1">IFERROR(__xludf.DUMMYFUNCTION("""COMPUTED_VALUE"""),0)</f>
        <v>0</v>
      </c>
      <c r="F1901" s="5">
        <f ca="1">IFERROR(__xludf.DUMMYFUNCTION("""COMPUTED_VALUE"""),1)</f>
        <v>1</v>
      </c>
      <c r="G1901" s="5">
        <f ca="1">IFERROR(__xludf.DUMMYFUNCTION("""COMPUTED_VALUE"""),0)</f>
        <v>0</v>
      </c>
      <c r="H1901" s="9" t="str">
        <f ca="1">IFERROR(__xludf.DUMMYFUNCTION("""COMPUTED_VALUE"""),"https://www.newspapers.com/image/305864381/?terms=student%2Bshot")</f>
        <v>https://www.newspapers.com/image/305864381/?terms=student%2Bshot</v>
      </c>
      <c r="I1901" s="5"/>
      <c r="J1901" s="5"/>
      <c r="K1901" s="5">
        <f ca="1">IFERROR(__xludf.DUMMYFUNCTION("""COMPUTED_VALUE"""),2)</f>
        <v>2</v>
      </c>
      <c r="L1901" s="5" t="str">
        <f ca="1">IFERROR(__xludf.DUMMYFUNCTION("""COMPUTED_VALUE"""),"Winter")</f>
        <v>Winter</v>
      </c>
      <c r="M1901" s="5" t="str">
        <f ca="1">IFERROR(__xludf.DUMMYFUNCTION("""COMPUTED_VALUE"""),"New Orleans")</f>
        <v>New Orleans</v>
      </c>
      <c r="N1901" s="5" t="str">
        <f ca="1">IFERROR(__xludf.DUMMYFUNCTION("""COMPUTED_VALUE"""),"LA")</f>
        <v>LA</v>
      </c>
      <c r="O1901" s="5" t="str">
        <f ca="1">IFERROR(__xludf.DUMMYFUNCTION("""COMPUTED_VALUE"""),"High")</f>
        <v>High</v>
      </c>
      <c r="P1901" s="5" t="str">
        <f ca="1">IFERROR(__xludf.DUMMYFUNCTION("""COMPUTED_VALUE"""),"Hallway")</f>
        <v>Hallway</v>
      </c>
      <c r="Q1901" s="5" t="str">
        <f ca="1">IFERROR(__xludf.DUMMYFUNCTION("""COMPUTED_VALUE"""),"Inside School Building")</f>
        <v>Inside School Building</v>
      </c>
      <c r="R1901" s="5" t="str">
        <f ca="1">IFERROR(__xludf.DUMMYFUNCTION("""COMPUTED_VALUE"""),"Yes")</f>
        <v>Yes</v>
      </c>
      <c r="S1901" s="5" t="str">
        <f ca="1">IFERROR(__xludf.DUMMYFUNCTION("""COMPUTED_VALUE"""),"Lunch")</f>
        <v>Lunch</v>
      </c>
      <c r="T1901" s="10">
        <f ca="1">IFERROR(__xludf.DUMMYFUNCTION("""COMPUTED_VALUE"""),0.548611111111111)</f>
        <v>0.54861111111111105</v>
      </c>
      <c r="U1901" s="5">
        <f ca="1">IFERROR(__xludf.DUMMYFUNCTION("""COMPUTED_VALUE"""),1)</f>
        <v>1</v>
      </c>
      <c r="V1901" s="5" t="str">
        <f ca="1">IFERROR(__xludf.DUMMYFUNCTION("""COMPUTED_VALUE"""),"Escalating argument between students - they shot each other")</f>
        <v>Escalating argument between students - they shot each other</v>
      </c>
      <c r="W1901"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X1901" s="5" t="str">
        <f ca="1">IFERROR(__xludf.DUMMYFUNCTION("""COMPUTED_VALUE"""),"Escalation of Dispute")</f>
        <v>Escalation of Dispute</v>
      </c>
      <c r="Y1901" s="5" t="str">
        <f ca="1">IFERROR(__xludf.DUMMYFUNCTION("""COMPUTED_VALUE"""),"Victims Targeted")</f>
        <v>Victims Targeted</v>
      </c>
      <c r="Z1901" s="5" t="str">
        <f ca="1">IFERROR(__xludf.DUMMYFUNCTION("""COMPUTED_VALUE"""),"No")</f>
        <v>No</v>
      </c>
      <c r="AA1901" s="5"/>
      <c r="AB1901" s="5" t="str">
        <f ca="1">IFERROR(__xludf.DUMMYFUNCTION("""COMPUTED_VALUE"""),"No")</f>
        <v>No</v>
      </c>
      <c r="AC1901" s="5" t="str">
        <f ca="1">IFERROR(__xludf.DUMMYFUNCTION("""COMPUTED_VALUE"""),"No")</f>
        <v>No</v>
      </c>
      <c r="AD1901" s="5" t="str">
        <f ca="1">IFERROR(__xludf.DUMMYFUNCTION("""COMPUTED_VALUE"""),"No")</f>
        <v>No</v>
      </c>
      <c r="AE1901" s="5"/>
      <c r="AF1901" s="5"/>
      <c r="AG1901" s="5" t="str">
        <f ca="1">IFERROR(__xludf.DUMMYFUNCTION("""COMPUTED_VALUE"""),"No")</f>
        <v>No</v>
      </c>
      <c r="AH1901" s="5"/>
    </row>
    <row r="1902" spans="1:34" ht="12.75">
      <c r="A1902" s="5" t="str">
        <f ca="1">IFERROR(__xludf.DUMMYFUNCTION("""COMPUTED_VALUE"""),"19820208MADOD")</f>
        <v>19820208MADOD</v>
      </c>
      <c r="B1902" s="8">
        <f ca="1">IFERROR(__xludf.DUMMYFUNCTION("""COMPUTED_VALUE"""),29990)</f>
        <v>29990</v>
      </c>
      <c r="C1902" s="5" t="str">
        <f ca="1">IFERROR(__xludf.DUMMYFUNCTION("""COMPUTED_VALUE"""),"Dorchester High School")</f>
        <v>Dorchester High School</v>
      </c>
      <c r="D1902" s="5">
        <f ca="1">IFERROR(__xludf.DUMMYFUNCTION("""COMPUTED_VALUE"""),0)</f>
        <v>0</v>
      </c>
      <c r="E1902" s="5">
        <f ca="1">IFERROR(__xludf.DUMMYFUNCTION("""COMPUTED_VALUE"""),1)</f>
        <v>1</v>
      </c>
      <c r="F1902" s="5">
        <f ca="1">IFERROR(__xludf.DUMMYFUNCTION("""COMPUTED_VALUE"""),1)</f>
        <v>1</v>
      </c>
      <c r="G1902" s="5">
        <f ca="1">IFERROR(__xludf.DUMMYFUNCTION("""COMPUTED_VALUE"""),0)</f>
        <v>0</v>
      </c>
      <c r="H1902"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I1902" s="5"/>
      <c r="J1902" s="5"/>
      <c r="K1902" s="5">
        <f ca="1">IFERROR(__xludf.DUMMYFUNCTION("""COMPUTED_VALUE"""),3)</f>
        <v>3</v>
      </c>
      <c r="L1902" s="5" t="str">
        <f ca="1">IFERROR(__xludf.DUMMYFUNCTION("""COMPUTED_VALUE"""),"Winter")</f>
        <v>Winter</v>
      </c>
      <c r="M1902" s="5" t="str">
        <f ca="1">IFERROR(__xludf.DUMMYFUNCTION("""COMPUTED_VALUE"""),"Dorchester")</f>
        <v>Dorchester</v>
      </c>
      <c r="N1902" s="5" t="str">
        <f ca="1">IFERROR(__xludf.DUMMYFUNCTION("""COMPUTED_VALUE"""),"MA")</f>
        <v>MA</v>
      </c>
      <c r="O1902" s="5" t="str">
        <f ca="1">IFERROR(__xludf.DUMMYFUNCTION("""COMPUTED_VALUE"""),"High")</f>
        <v>High</v>
      </c>
      <c r="P1902" s="5" t="str">
        <f ca="1">IFERROR(__xludf.DUMMYFUNCTION("""COMPUTED_VALUE"""),"Inside School Building")</f>
        <v>Inside School Building</v>
      </c>
      <c r="Q1902" s="5" t="str">
        <f ca="1">IFERROR(__xludf.DUMMYFUNCTION("""COMPUTED_VALUE"""),"Inside School Building")</f>
        <v>Inside School Building</v>
      </c>
      <c r="R1902" s="5" t="str">
        <f ca="1">IFERROR(__xludf.DUMMYFUNCTION("""COMPUTED_VALUE"""),"Yes")</f>
        <v>Yes</v>
      </c>
      <c r="S1902" s="5" t="str">
        <f ca="1">IFERROR(__xludf.DUMMYFUNCTION("""COMPUTED_VALUE"""),"Dismissal")</f>
        <v>Dismissal</v>
      </c>
      <c r="T1902" s="10">
        <f ca="1">IFERROR(__xludf.DUMMYFUNCTION("""COMPUTED_VALUE"""),0.572916666666666)</f>
        <v>0.57291666666666596</v>
      </c>
      <c r="U1902" s="5">
        <f ca="1">IFERROR(__xludf.DUMMYFUNCTION("""COMPUTED_VALUE"""),1)</f>
        <v>1</v>
      </c>
      <c r="V1902" s="5" t="str">
        <f ca="1">IFERROR(__xludf.DUMMYFUNCTION("""COMPUTED_VALUE"""),"Shooter was showing off gun in class and accidentally shot victim")</f>
        <v>Shooter was showing off gun in class and accidentally shot victim</v>
      </c>
      <c r="W1902" s="5" t="str">
        <f ca="1">IFERROR(__xludf.DUMMYFUNCTION("""COMPUTED_VALUE"""),"Shooter was showing off gun and accidentally shot victim -")</f>
        <v>Shooter was showing off gun and accidentally shot victim -</v>
      </c>
      <c r="X1902" s="5" t="str">
        <f ca="1">IFERROR(__xludf.DUMMYFUNCTION("""COMPUTED_VALUE"""),"Accidental")</f>
        <v>Accidental</v>
      </c>
      <c r="Y1902" s="5" t="str">
        <f ca="1">IFERROR(__xludf.DUMMYFUNCTION("""COMPUTED_VALUE"""),"Random Shooting")</f>
        <v>Random Shooting</v>
      </c>
      <c r="Z1902" s="5" t="str">
        <f ca="1">IFERROR(__xludf.DUMMYFUNCTION("""COMPUTED_VALUE"""),"No")</f>
        <v>No</v>
      </c>
      <c r="AA1902" s="5"/>
      <c r="AB1902" s="5" t="str">
        <f ca="1">IFERROR(__xludf.DUMMYFUNCTION("""COMPUTED_VALUE"""),"No")</f>
        <v>No</v>
      </c>
      <c r="AC1902" s="5" t="str">
        <f ca="1">IFERROR(__xludf.DUMMYFUNCTION("""COMPUTED_VALUE"""),"No")</f>
        <v>No</v>
      </c>
      <c r="AD1902" s="5" t="str">
        <f ca="1">IFERROR(__xludf.DUMMYFUNCTION("""COMPUTED_VALUE"""),"No")</f>
        <v>No</v>
      </c>
      <c r="AE1902" s="5" t="str">
        <f ca="1">IFERROR(__xludf.DUMMYFUNCTION("""COMPUTED_VALUE"""),"No")</f>
        <v>No</v>
      </c>
      <c r="AF1902" s="5" t="str">
        <f ca="1">IFERROR(__xludf.DUMMYFUNCTION("""COMPUTED_VALUE"""),"No")</f>
        <v>No</v>
      </c>
      <c r="AG1902" s="5" t="str">
        <f ca="1">IFERROR(__xludf.DUMMYFUNCTION("""COMPUTED_VALUE"""),"No")</f>
        <v>No</v>
      </c>
      <c r="AH1902" s="5"/>
    </row>
    <row r="1903" spans="1:34" ht="12.75">
      <c r="A1903" s="5" t="str">
        <f ca="1">IFERROR(__xludf.DUMMYFUNCTION("""COMPUTED_VALUE"""),"19820205TNHAM")</f>
        <v>19820205TNHAM</v>
      </c>
      <c r="B1903" s="8">
        <f ca="1">IFERROR(__xludf.DUMMYFUNCTION("""COMPUTED_VALUE"""),29987)</f>
        <v>29987</v>
      </c>
      <c r="C1903" s="5" t="str">
        <f ca="1">IFERROR(__xludf.DUMMYFUNCTION("""COMPUTED_VALUE"""),"Hamilton High School")</f>
        <v>Hamilton High School</v>
      </c>
      <c r="D1903" s="5">
        <f ca="1">IFERROR(__xludf.DUMMYFUNCTION("""COMPUTED_VALUE"""),1)</f>
        <v>1</v>
      </c>
      <c r="E1903" s="5">
        <f ca="1">IFERROR(__xludf.DUMMYFUNCTION("""COMPUTED_VALUE"""),0)</f>
        <v>0</v>
      </c>
      <c r="F1903" s="5">
        <f ca="1">IFERROR(__xludf.DUMMYFUNCTION("""COMPUTED_VALUE"""),1)</f>
        <v>1</v>
      </c>
      <c r="G1903" s="5">
        <f ca="1">IFERROR(__xludf.DUMMYFUNCTION("""COMPUTED_VALUE"""),0)</f>
        <v>0</v>
      </c>
      <c r="H1903" s="9" t="str">
        <f ca="1">IFERROR(__xludf.DUMMYFUNCTION("""COMPUTED_VALUE"""),"https://www.newspapers.com/image/279068651/?terms=teacher%2Bshot")</f>
        <v>https://www.newspapers.com/image/279068651/?terms=teacher%2Bshot</v>
      </c>
      <c r="I1903" s="5"/>
      <c r="J1903" s="5"/>
      <c r="K1903" s="5">
        <f ca="1">IFERROR(__xludf.DUMMYFUNCTION("""COMPUTED_VALUE"""),2)</f>
        <v>2</v>
      </c>
      <c r="L1903" s="5" t="str">
        <f ca="1">IFERROR(__xludf.DUMMYFUNCTION("""COMPUTED_VALUE"""),"Winter")</f>
        <v>Winter</v>
      </c>
      <c r="M1903" s="5" t="str">
        <f ca="1">IFERROR(__xludf.DUMMYFUNCTION("""COMPUTED_VALUE"""),"Memphis")</f>
        <v>Memphis</v>
      </c>
      <c r="N1903" s="5" t="str">
        <f ca="1">IFERROR(__xludf.DUMMYFUNCTION("""COMPUTED_VALUE"""),"TN")</f>
        <v>TN</v>
      </c>
      <c r="O1903" s="5" t="str">
        <f ca="1">IFERROR(__xludf.DUMMYFUNCTION("""COMPUTED_VALUE"""),"High")</f>
        <v>High</v>
      </c>
      <c r="P1903" s="5" t="str">
        <f ca="1">IFERROR(__xludf.DUMMYFUNCTION("""COMPUTED_VALUE"""),"Gym")</f>
        <v>Gym</v>
      </c>
      <c r="Q1903" s="5" t="str">
        <f ca="1">IFERROR(__xludf.DUMMYFUNCTION("""COMPUTED_VALUE"""),"Inside School Building")</f>
        <v>Inside School Building</v>
      </c>
      <c r="R1903" s="5" t="str">
        <f ca="1">IFERROR(__xludf.DUMMYFUNCTION("""COMPUTED_VALUE"""),"No")</f>
        <v>No</v>
      </c>
      <c r="S1903" s="5" t="str">
        <f ca="1">IFERROR(__xludf.DUMMYFUNCTION("""COMPUTED_VALUE"""),"Sport Event")</f>
        <v>Sport Event</v>
      </c>
      <c r="T1903" s="5"/>
      <c r="U1903" s="5">
        <f ca="1">IFERROR(__xludf.DUMMYFUNCTION("""COMPUTED_VALUE"""),1)</f>
        <v>1</v>
      </c>
      <c r="V1903" s="5" t="str">
        <f ca="1">IFERROR(__xludf.DUMMYFUNCTION("""COMPUTED_VALUE"""),"Robbery of teacher who was collecting money outside HS basketball game")</f>
        <v>Robbery of teacher who was collecting money outside HS basketball game</v>
      </c>
      <c r="W1903"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X1903" s="5" t="str">
        <f ca="1">IFERROR(__xludf.DUMMYFUNCTION("""COMPUTED_VALUE"""),"Illegal Activity")</f>
        <v>Illegal Activity</v>
      </c>
      <c r="Y1903" s="5" t="str">
        <f ca="1">IFERROR(__xludf.DUMMYFUNCTION("""COMPUTED_VALUE"""),"Victims Targeted")</f>
        <v>Victims Targeted</v>
      </c>
      <c r="Z1903" s="5" t="str">
        <f ca="1">IFERROR(__xludf.DUMMYFUNCTION("""COMPUTED_VALUE"""),"No")</f>
        <v>No</v>
      </c>
      <c r="AA1903" s="5"/>
      <c r="AB1903" s="5" t="str">
        <f ca="1">IFERROR(__xludf.DUMMYFUNCTION("""COMPUTED_VALUE"""),"No")</f>
        <v>No</v>
      </c>
      <c r="AC1903" s="5" t="str">
        <f ca="1">IFERROR(__xludf.DUMMYFUNCTION("""COMPUTED_VALUE"""),"No")</f>
        <v>No</v>
      </c>
      <c r="AD1903" s="5" t="str">
        <f ca="1">IFERROR(__xludf.DUMMYFUNCTION("""COMPUTED_VALUE"""),"No")</f>
        <v>No</v>
      </c>
      <c r="AE1903" s="5" t="str">
        <f ca="1">IFERROR(__xludf.DUMMYFUNCTION("""COMPUTED_VALUE"""),"No")</f>
        <v>No</v>
      </c>
      <c r="AF1903" s="5" t="str">
        <f ca="1">IFERROR(__xludf.DUMMYFUNCTION("""COMPUTED_VALUE"""),"No")</f>
        <v>No</v>
      </c>
      <c r="AG1903" s="5" t="str">
        <f ca="1">IFERROR(__xludf.DUMMYFUNCTION("""COMPUTED_VALUE"""),"No")</f>
        <v>No</v>
      </c>
      <c r="AH1903" s="5"/>
    </row>
    <row r="1904" spans="1:34" ht="12.75">
      <c r="A1904" s="5" t="str">
        <f ca="1">IFERROR(__xludf.DUMMYFUNCTION("""COMPUTED_VALUE"""),"19811223NYJAB")</f>
        <v>19811223NYJAB</v>
      </c>
      <c r="B1904" s="8">
        <f ca="1">IFERROR(__xludf.DUMMYFUNCTION("""COMPUTED_VALUE"""),29943)</f>
        <v>29943</v>
      </c>
      <c r="C1904" s="5" t="str">
        <f ca="1">IFERROR(__xludf.DUMMYFUNCTION("""COMPUTED_VALUE"""),"James Madison High School")</f>
        <v>James Madison High School</v>
      </c>
      <c r="D1904" s="5">
        <f ca="1">IFERROR(__xludf.DUMMYFUNCTION("""COMPUTED_VALUE"""),1)</f>
        <v>1</v>
      </c>
      <c r="E1904" s="5">
        <f ca="1">IFERROR(__xludf.DUMMYFUNCTION("""COMPUTED_VALUE"""),0)</f>
        <v>0</v>
      </c>
      <c r="F1904" s="5">
        <f ca="1">IFERROR(__xludf.DUMMYFUNCTION("""COMPUTED_VALUE"""),1)</f>
        <v>1</v>
      </c>
      <c r="G1904" s="5">
        <f ca="1">IFERROR(__xludf.DUMMYFUNCTION("""COMPUTED_VALUE"""),0)</f>
        <v>0</v>
      </c>
      <c r="H1904" s="9" t="str">
        <f ca="1">IFERROR(__xludf.DUMMYFUNCTION("""COMPUTED_VALUE"""),"https://www.nytimes.com/1981/12/24/nyregion/wrong-kid-is-fatally-shot-in-fight-at-brooklyn-school.html")</f>
        <v>https://www.nytimes.com/1981/12/24/nyregion/wrong-kid-is-fatally-shot-in-fight-at-brooklyn-school.html</v>
      </c>
      <c r="I1904" s="5"/>
      <c r="J1904" s="5"/>
      <c r="K1904" s="5">
        <f ca="1">IFERROR(__xludf.DUMMYFUNCTION("""COMPUTED_VALUE"""),2)</f>
        <v>2</v>
      </c>
      <c r="L1904" s="5" t="str">
        <f ca="1">IFERROR(__xludf.DUMMYFUNCTION("""COMPUTED_VALUE"""),"Winter")</f>
        <v>Winter</v>
      </c>
      <c r="M1904" s="5" t="str">
        <f ca="1">IFERROR(__xludf.DUMMYFUNCTION("""COMPUTED_VALUE"""),"Brooklyn")</f>
        <v>Brooklyn</v>
      </c>
      <c r="N1904" s="5" t="str">
        <f ca="1">IFERROR(__xludf.DUMMYFUNCTION("""COMPUTED_VALUE"""),"NY")</f>
        <v>NY</v>
      </c>
      <c r="O1904" s="5" t="str">
        <f ca="1">IFERROR(__xludf.DUMMYFUNCTION("""COMPUTED_VALUE"""),"High")</f>
        <v>High</v>
      </c>
      <c r="P1904" s="5" t="str">
        <f ca="1">IFERROR(__xludf.DUMMYFUNCTION("""COMPUTED_VALUE"""),"Hallway")</f>
        <v>Hallway</v>
      </c>
      <c r="Q1904" s="5" t="str">
        <f ca="1">IFERROR(__xludf.DUMMYFUNCTION("""COMPUTED_VALUE"""),"Inside School Building")</f>
        <v>Inside School Building</v>
      </c>
      <c r="R1904" s="5" t="str">
        <f ca="1">IFERROR(__xludf.DUMMYFUNCTION("""COMPUTED_VALUE"""),"Yes")</f>
        <v>Yes</v>
      </c>
      <c r="S1904" s="5" t="str">
        <f ca="1">IFERROR(__xludf.DUMMYFUNCTION("""COMPUTED_VALUE"""),"Morning Classes")</f>
        <v>Morning Classes</v>
      </c>
      <c r="T1904" s="10">
        <f ca="1">IFERROR(__xludf.DUMMYFUNCTION("""COMPUTED_VALUE"""),0.416666666666666)</f>
        <v>0.41666666666666602</v>
      </c>
      <c r="U1904" s="5">
        <f ca="1">IFERROR(__xludf.DUMMYFUNCTION("""COMPUTED_VALUE"""),1)</f>
        <v>1</v>
      </c>
      <c r="V1904" s="5" t="str">
        <f ca="1">IFERROR(__xludf.DUMMYFUNCTION("""COMPUTED_VALUE"""),"Fight between a group of students - victim was bystander")</f>
        <v>Fight between a group of students - victim was bystander</v>
      </c>
      <c r="W1904" s="5" t="str">
        <f ca="1">IFERROR(__xludf.DUMMYFUNCTION("""COMPUTED_VALUE"""),"Bystander student was shot during an attempted robbery of a coat outside of the school.")</f>
        <v>Bystander student was shot during an attempted robbery of a coat outside of the school.</v>
      </c>
      <c r="X1904" s="5" t="str">
        <f ca="1">IFERROR(__xludf.DUMMYFUNCTION("""COMPUTED_VALUE"""),"Illegal Activity")</f>
        <v>Illegal Activity</v>
      </c>
      <c r="Y1904" s="5" t="str">
        <f ca="1">IFERROR(__xludf.DUMMYFUNCTION("""COMPUTED_VALUE"""),"Random Shooting")</f>
        <v>Random Shooting</v>
      </c>
      <c r="Z1904" s="5" t="str">
        <f ca="1">IFERROR(__xludf.DUMMYFUNCTION("""COMPUTED_VALUE"""),"No")</f>
        <v>No</v>
      </c>
      <c r="AA1904" s="5"/>
      <c r="AB1904" s="5" t="str">
        <f ca="1">IFERROR(__xludf.DUMMYFUNCTION("""COMPUTED_VALUE"""),"No")</f>
        <v>No</v>
      </c>
      <c r="AC1904" s="5" t="str">
        <f ca="1">IFERROR(__xludf.DUMMYFUNCTION("""COMPUTED_VALUE"""),"No")</f>
        <v>No</v>
      </c>
      <c r="AD1904" s="5" t="str">
        <f ca="1">IFERROR(__xludf.DUMMYFUNCTION("""COMPUTED_VALUE"""),"No")</f>
        <v>No</v>
      </c>
      <c r="AE1904" s="5" t="str">
        <f ca="1">IFERROR(__xludf.DUMMYFUNCTION("""COMPUTED_VALUE"""),"No")</f>
        <v>No</v>
      </c>
      <c r="AF1904" s="5" t="str">
        <f ca="1">IFERROR(__xludf.DUMMYFUNCTION("""COMPUTED_VALUE"""),"No")</f>
        <v>No</v>
      </c>
      <c r="AG1904" s="5" t="str">
        <f ca="1">IFERROR(__xludf.DUMMYFUNCTION("""COMPUTED_VALUE"""),"No")</f>
        <v>No</v>
      </c>
      <c r="AH1904" s="5"/>
    </row>
    <row r="1905" spans="1:34" ht="12.75">
      <c r="A1905" s="5" t="str">
        <f ca="1">IFERROR(__xludf.DUMMYFUNCTION("""COMPUTED_VALUE"""),"19811216TXUNH")</f>
        <v>19811216TXUNH</v>
      </c>
      <c r="B1905" s="8">
        <f ca="1">IFERROR(__xludf.DUMMYFUNCTION("""COMPUTED_VALUE"""),29936)</f>
        <v>29936</v>
      </c>
      <c r="C1905" s="5" t="str">
        <f ca="1">IFERROR(__xludf.DUMMYFUNCTION("""COMPUTED_VALUE"""),"Unnamed school")</f>
        <v>Unnamed school</v>
      </c>
      <c r="D1905" s="5">
        <f ca="1">IFERROR(__xludf.DUMMYFUNCTION("""COMPUTED_VALUE"""),0)</f>
        <v>0</v>
      </c>
      <c r="E1905" s="5">
        <f ca="1">IFERROR(__xludf.DUMMYFUNCTION("""COMPUTED_VALUE"""),1)</f>
        <v>1</v>
      </c>
      <c r="F1905" s="5">
        <f ca="1">IFERROR(__xludf.DUMMYFUNCTION("""COMPUTED_VALUE"""),1)</f>
        <v>1</v>
      </c>
      <c r="G1905" s="5">
        <f ca="1">IFERROR(__xludf.DUMMYFUNCTION("""COMPUTED_VALUE"""),0)</f>
        <v>0</v>
      </c>
      <c r="H1905" s="9" t="str">
        <f ca="1">IFERROR(__xludf.DUMMYFUNCTION("""COMPUTED_VALUE"""),"https://www.newspapers.com/image/209382299/?terms=student%2BshoT")</f>
        <v>https://www.newspapers.com/image/209382299/?terms=student%2BshoT</v>
      </c>
      <c r="I1905" s="5"/>
      <c r="J1905" s="5"/>
      <c r="K1905" s="5">
        <f ca="1">IFERROR(__xludf.DUMMYFUNCTION("""COMPUTED_VALUE"""),2)</f>
        <v>2</v>
      </c>
      <c r="L1905" s="5" t="str">
        <f ca="1">IFERROR(__xludf.DUMMYFUNCTION("""COMPUTED_VALUE"""),"Winter")</f>
        <v>Winter</v>
      </c>
      <c r="M1905" s="5" t="str">
        <f ca="1">IFERROR(__xludf.DUMMYFUNCTION("""COMPUTED_VALUE"""),"Houston")</f>
        <v>Houston</v>
      </c>
      <c r="N1905" s="5" t="str">
        <f ca="1">IFERROR(__xludf.DUMMYFUNCTION("""COMPUTED_VALUE"""),"TX")</f>
        <v>TX</v>
      </c>
      <c r="O1905" s="5" t="str">
        <f ca="1">IFERROR(__xludf.DUMMYFUNCTION("""COMPUTED_VALUE"""),"High")</f>
        <v>High</v>
      </c>
      <c r="P1905" s="5" t="str">
        <f ca="1">IFERROR(__xludf.DUMMYFUNCTION("""COMPUTED_VALUE"""),"Hallway")</f>
        <v>Hallway</v>
      </c>
      <c r="Q1905" s="5" t="str">
        <f ca="1">IFERROR(__xludf.DUMMYFUNCTION("""COMPUTED_VALUE"""),"Inside School Building")</f>
        <v>Inside School Building</v>
      </c>
      <c r="R1905" s="5" t="str">
        <f ca="1">IFERROR(__xludf.DUMMYFUNCTION("""COMPUTED_VALUE"""),"Yes")</f>
        <v>Yes</v>
      </c>
      <c r="S1905" s="5" t="str">
        <f ca="1">IFERROR(__xludf.DUMMYFUNCTION("""COMPUTED_VALUE"""),"Morning Classes")</f>
        <v>Morning Classes</v>
      </c>
      <c r="T1905" s="10">
        <f ca="1">IFERROR(__xludf.DUMMYFUNCTION("""COMPUTED_VALUE"""),0.322916666666666)</f>
        <v>0.32291666666666602</v>
      </c>
      <c r="U1905" s="5">
        <f ca="1">IFERROR(__xludf.DUMMYFUNCTION("""COMPUTED_VALUE"""),1)</f>
        <v>1</v>
      </c>
      <c r="V1905" s="5" t="str">
        <f ca="1">IFERROR(__xludf.DUMMYFUNCTION("""COMPUTED_VALUE"""),"Shooting followed two day argument over a girl")</f>
        <v>Shooting followed two day argument over a girl</v>
      </c>
      <c r="W1905"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X1905" s="5" t="str">
        <f ca="1">IFERROR(__xludf.DUMMYFUNCTION("""COMPUTED_VALUE"""),"Escalation of Dispute")</f>
        <v>Escalation of Dispute</v>
      </c>
      <c r="Y1905" s="5" t="str">
        <f ca="1">IFERROR(__xludf.DUMMYFUNCTION("""COMPUTED_VALUE"""),"Victims Targeted")</f>
        <v>Victims Targeted</v>
      </c>
      <c r="Z1905" s="5" t="str">
        <f ca="1">IFERROR(__xludf.DUMMYFUNCTION("""COMPUTED_VALUE"""),"No")</f>
        <v>No</v>
      </c>
      <c r="AA1905" s="5"/>
      <c r="AB1905" s="5" t="str">
        <f ca="1">IFERROR(__xludf.DUMMYFUNCTION("""COMPUTED_VALUE"""),"No")</f>
        <v>No</v>
      </c>
      <c r="AC1905" s="5" t="str">
        <f ca="1">IFERROR(__xludf.DUMMYFUNCTION("""COMPUTED_VALUE"""),"No")</f>
        <v>No</v>
      </c>
      <c r="AD1905" s="5" t="str">
        <f ca="1">IFERROR(__xludf.DUMMYFUNCTION("""COMPUTED_VALUE"""),"No")</f>
        <v>No</v>
      </c>
      <c r="AE1905" s="5" t="str">
        <f ca="1">IFERROR(__xludf.DUMMYFUNCTION("""COMPUTED_VALUE"""),"No")</f>
        <v>No</v>
      </c>
      <c r="AF1905" s="5" t="str">
        <f ca="1">IFERROR(__xludf.DUMMYFUNCTION("""COMPUTED_VALUE"""),"No")</f>
        <v>No</v>
      </c>
      <c r="AG1905" s="5" t="str">
        <f ca="1">IFERROR(__xludf.DUMMYFUNCTION("""COMPUTED_VALUE"""),"No")</f>
        <v>No</v>
      </c>
      <c r="AH1905" s="5"/>
    </row>
    <row r="1906" spans="1:34" ht="12.75">
      <c r="A1906" s="5" t="str">
        <f ca="1">IFERROR(__xludf.DUMMYFUNCTION("""COMPUTED_VALUE"""),"19811209NYGEB")</f>
        <v>19811209NYGEB</v>
      </c>
      <c r="B1906" s="8">
        <f ca="1">IFERROR(__xludf.DUMMYFUNCTION("""COMPUTED_VALUE"""),29929)</f>
        <v>29929</v>
      </c>
      <c r="C1906" s="5" t="str">
        <f ca="1">IFERROR(__xludf.DUMMYFUNCTION("""COMPUTED_VALUE"""),"George W. Wingate High School")</f>
        <v>George W. Wingate High School</v>
      </c>
      <c r="D1906" s="5">
        <f ca="1">IFERROR(__xludf.DUMMYFUNCTION("""COMPUTED_VALUE"""),1)</f>
        <v>1</v>
      </c>
      <c r="E1906" s="5">
        <f ca="1">IFERROR(__xludf.DUMMYFUNCTION("""COMPUTED_VALUE"""),0)</f>
        <v>0</v>
      </c>
      <c r="F1906" s="5">
        <f ca="1">IFERROR(__xludf.DUMMYFUNCTION("""COMPUTED_VALUE"""),1)</f>
        <v>1</v>
      </c>
      <c r="G1906" s="5">
        <f ca="1">IFERROR(__xludf.DUMMYFUNCTION("""COMPUTED_VALUE"""),0)</f>
        <v>0</v>
      </c>
      <c r="H1906" s="9" t="str">
        <f ca="1">IFERROR(__xludf.DUMMYFUNCTION("""COMPUTED_VALUE"""),"https://www.nytimes.com/1981/12/24/nyregion/wrong-kid-is-fatally-shot-in-fight-at-brooklyn-school.html")</f>
        <v>https://www.nytimes.com/1981/12/24/nyregion/wrong-kid-is-fatally-shot-in-fight-at-brooklyn-school.html</v>
      </c>
      <c r="I1906" s="5"/>
      <c r="J1906" s="5"/>
      <c r="K1906" s="5">
        <f ca="1">IFERROR(__xludf.DUMMYFUNCTION("""COMPUTED_VALUE"""),2)</f>
        <v>2</v>
      </c>
      <c r="L1906" s="5" t="str">
        <f ca="1">IFERROR(__xludf.DUMMYFUNCTION("""COMPUTED_VALUE"""),"Winter")</f>
        <v>Winter</v>
      </c>
      <c r="M1906" s="5" t="str">
        <f ca="1">IFERROR(__xludf.DUMMYFUNCTION("""COMPUTED_VALUE"""),"Brooklyn")</f>
        <v>Brooklyn</v>
      </c>
      <c r="N1906" s="5" t="str">
        <f ca="1">IFERROR(__xludf.DUMMYFUNCTION("""COMPUTED_VALUE"""),"NY")</f>
        <v>NY</v>
      </c>
      <c r="O1906" s="5" t="str">
        <f ca="1">IFERROR(__xludf.DUMMYFUNCTION("""COMPUTED_VALUE"""),"High")</f>
        <v>High</v>
      </c>
      <c r="P1906" s="5" t="str">
        <f ca="1">IFERROR(__xludf.DUMMYFUNCTION("""COMPUTED_VALUE"""),"Outside on School Property")</f>
        <v>Outside on School Property</v>
      </c>
      <c r="Q1906" s="5" t="str">
        <f ca="1">IFERROR(__xludf.DUMMYFUNCTION("""COMPUTED_VALUE"""),"Outside on School Property")</f>
        <v>Outside on School Property</v>
      </c>
      <c r="R1906" s="5"/>
      <c r="S1906" s="5"/>
      <c r="T1906" s="5"/>
      <c r="U1906" s="5">
        <f ca="1">IFERROR(__xludf.DUMMYFUNCTION("""COMPUTED_VALUE"""),1)</f>
        <v>1</v>
      </c>
      <c r="V1906" s="5" t="str">
        <f ca="1">IFERROR(__xludf.DUMMYFUNCTION("""COMPUTED_VALUE"""),"Attempted robbery - shot for gold ring")</f>
        <v>Attempted robbery - shot for gold ring</v>
      </c>
      <c r="W1906" s="5" t="str">
        <f ca="1">IFERROR(__xludf.DUMMYFUNCTION("""COMPUTED_VALUE"""),"18YOM student shot outside of school during robbery. No other details.")</f>
        <v>18YOM student shot outside of school during robbery. No other details.</v>
      </c>
      <c r="X1906" s="5" t="str">
        <f ca="1">IFERROR(__xludf.DUMMYFUNCTION("""COMPUTED_VALUE"""),"Illegal Activity")</f>
        <v>Illegal Activity</v>
      </c>
      <c r="Y1906" s="5" t="str">
        <f ca="1">IFERROR(__xludf.DUMMYFUNCTION("""COMPUTED_VALUE"""),"Victims Targeted")</f>
        <v>Victims Targeted</v>
      </c>
      <c r="Z1906" s="5" t="str">
        <f ca="1">IFERROR(__xludf.DUMMYFUNCTION("""COMPUTED_VALUE"""),"No")</f>
        <v>No</v>
      </c>
      <c r="AA1906" s="5"/>
      <c r="AB1906" s="5" t="str">
        <f ca="1">IFERROR(__xludf.DUMMYFUNCTION("""COMPUTED_VALUE"""),"No")</f>
        <v>No</v>
      </c>
      <c r="AC1906" s="5" t="str">
        <f ca="1">IFERROR(__xludf.DUMMYFUNCTION("""COMPUTED_VALUE"""),"No")</f>
        <v>No</v>
      </c>
      <c r="AD1906" s="5" t="str">
        <f ca="1">IFERROR(__xludf.DUMMYFUNCTION("""COMPUTED_VALUE"""),"No")</f>
        <v>No</v>
      </c>
      <c r="AE1906" s="5" t="str">
        <f ca="1">IFERROR(__xludf.DUMMYFUNCTION("""COMPUTED_VALUE"""),"No")</f>
        <v>No</v>
      </c>
      <c r="AF1906" s="5" t="str">
        <f ca="1">IFERROR(__xludf.DUMMYFUNCTION("""COMPUTED_VALUE"""),"No")</f>
        <v>No</v>
      </c>
      <c r="AG1906" s="5" t="str">
        <f ca="1">IFERROR(__xludf.DUMMYFUNCTION("""COMPUTED_VALUE"""),"No")</f>
        <v>No</v>
      </c>
      <c r="AH1906" s="5"/>
    </row>
    <row r="1907" spans="1:34" ht="12.75">
      <c r="A1907" s="5" t="str">
        <f ca="1">IFERROR(__xludf.DUMMYFUNCTION("""COMPUTED_VALUE"""),"19811013CTHAH")</f>
        <v>19811013CTHAH</v>
      </c>
      <c r="B1907" s="8">
        <f ca="1">IFERROR(__xludf.DUMMYFUNCTION("""COMPUTED_VALUE"""),29872)</f>
        <v>29872</v>
      </c>
      <c r="C1907" s="5" t="str">
        <f ca="1">IFERROR(__xludf.DUMMYFUNCTION("""COMPUTED_VALUE"""),"Hartford Public High School")</f>
        <v>Hartford Public High School</v>
      </c>
      <c r="D1907" s="5">
        <f ca="1">IFERROR(__xludf.DUMMYFUNCTION("""COMPUTED_VALUE"""),0)</f>
        <v>0</v>
      </c>
      <c r="E1907" s="5">
        <f ca="1">IFERROR(__xludf.DUMMYFUNCTION("""COMPUTED_VALUE"""),1)</f>
        <v>1</v>
      </c>
      <c r="F1907" s="5">
        <f ca="1">IFERROR(__xludf.DUMMYFUNCTION("""COMPUTED_VALUE"""),1)</f>
        <v>1</v>
      </c>
      <c r="G1907" s="5">
        <f ca="1">IFERROR(__xludf.DUMMYFUNCTION("""COMPUTED_VALUE"""),0)</f>
        <v>0</v>
      </c>
      <c r="H1907"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I1907" s="5"/>
      <c r="J1907" s="5"/>
      <c r="K1907" s="5">
        <f ca="1">IFERROR(__xludf.DUMMYFUNCTION("""COMPUTED_VALUE"""),3)</f>
        <v>3</v>
      </c>
      <c r="L1907" s="5" t="str">
        <f ca="1">IFERROR(__xludf.DUMMYFUNCTION("""COMPUTED_VALUE"""),"Fall")</f>
        <v>Fall</v>
      </c>
      <c r="M1907" s="5" t="str">
        <f ca="1">IFERROR(__xludf.DUMMYFUNCTION("""COMPUTED_VALUE"""),"Hartford")</f>
        <v>Hartford</v>
      </c>
      <c r="N1907" s="5" t="str">
        <f ca="1">IFERROR(__xludf.DUMMYFUNCTION("""COMPUTED_VALUE"""),"CT")</f>
        <v>CT</v>
      </c>
      <c r="O1907" s="5" t="str">
        <f ca="1">IFERROR(__xludf.DUMMYFUNCTION("""COMPUTED_VALUE"""),"High")</f>
        <v>High</v>
      </c>
      <c r="P1907" s="5" t="str">
        <f ca="1">IFERROR(__xludf.DUMMYFUNCTION("""COMPUTED_VALUE"""),"Inside School Building")</f>
        <v>Inside School Building</v>
      </c>
      <c r="Q1907" s="5" t="str">
        <f ca="1">IFERROR(__xludf.DUMMYFUNCTION("""COMPUTED_VALUE"""),"Inside School Building")</f>
        <v>Inside School Building</v>
      </c>
      <c r="R1907" s="5" t="str">
        <f ca="1">IFERROR(__xludf.DUMMYFUNCTION("""COMPUTED_VALUE"""),"Yes")</f>
        <v>Yes</v>
      </c>
      <c r="S1907" s="5" t="str">
        <f ca="1">IFERROR(__xludf.DUMMYFUNCTION("""COMPUTED_VALUE"""),"Morning Classes")</f>
        <v>Morning Classes</v>
      </c>
      <c r="T1907" s="10">
        <f ca="1">IFERROR(__xludf.DUMMYFUNCTION("""COMPUTED_VALUE"""),0.4375)</f>
        <v>0.4375</v>
      </c>
      <c r="U1907" s="5">
        <f ca="1">IFERROR(__xludf.DUMMYFUNCTION("""COMPUTED_VALUE"""),1)</f>
        <v>1</v>
      </c>
      <c r="V1907" s="5" t="str">
        <f ca="1">IFERROR(__xludf.DUMMYFUNCTION("""COMPUTED_VALUE"""),"Students arguing over $1 gambling debt")</f>
        <v>Students arguing over $1 gambling debt</v>
      </c>
      <c r="W1907" s="5" t="str">
        <f ca="1">IFERROR(__xludf.DUMMYFUNCTION("""COMPUTED_VALUE"""),"Student shot by other student over gambling debt. Shooter fled the scene and was later arrested.")</f>
        <v>Student shot by other student over gambling debt. Shooter fled the scene and was later arrested.</v>
      </c>
      <c r="X1907" s="5" t="str">
        <f ca="1">IFERROR(__xludf.DUMMYFUNCTION("""COMPUTED_VALUE"""),"Escalation of Dispute")</f>
        <v>Escalation of Dispute</v>
      </c>
      <c r="Y1907" s="5" t="str">
        <f ca="1">IFERROR(__xludf.DUMMYFUNCTION("""COMPUTED_VALUE"""),"Victims Targeted")</f>
        <v>Victims Targeted</v>
      </c>
      <c r="Z1907" s="5" t="str">
        <f ca="1">IFERROR(__xludf.DUMMYFUNCTION("""COMPUTED_VALUE"""),"No")</f>
        <v>No</v>
      </c>
      <c r="AA1907" s="5"/>
      <c r="AB1907" s="5" t="str">
        <f ca="1">IFERROR(__xludf.DUMMYFUNCTION("""COMPUTED_VALUE"""),"No")</f>
        <v>No</v>
      </c>
      <c r="AC1907" s="5" t="str">
        <f ca="1">IFERROR(__xludf.DUMMYFUNCTION("""COMPUTED_VALUE"""),"No")</f>
        <v>No</v>
      </c>
      <c r="AD1907" s="5" t="str">
        <f ca="1">IFERROR(__xludf.DUMMYFUNCTION("""COMPUTED_VALUE"""),"No")</f>
        <v>No</v>
      </c>
      <c r="AE1907" s="5"/>
      <c r="AF1907" s="5"/>
      <c r="AG1907" s="5" t="str">
        <f ca="1">IFERROR(__xludf.DUMMYFUNCTION("""COMPUTED_VALUE"""),"No")</f>
        <v>No</v>
      </c>
      <c r="AH1907" s="5"/>
    </row>
    <row r="1908" spans="1:34" ht="12.75">
      <c r="A1908" s="5" t="str">
        <f ca="1">IFERROR(__xludf.DUMMYFUNCTION("""COMPUTED_VALUE"""),"19810913MDABA")</f>
        <v>19810913MDABA</v>
      </c>
      <c r="B1908" s="8">
        <f ca="1">IFERROR(__xludf.DUMMYFUNCTION("""COMPUTED_VALUE"""),29842)</f>
        <v>29842</v>
      </c>
      <c r="C1908" s="5" t="str">
        <f ca="1">IFERROR(__xludf.DUMMYFUNCTION("""COMPUTED_VALUE"""),"Aberdeen High School")</f>
        <v>Aberdeen High School</v>
      </c>
      <c r="D1908" s="5">
        <f ca="1">IFERROR(__xludf.DUMMYFUNCTION("""COMPUTED_VALUE"""),1)</f>
        <v>1</v>
      </c>
      <c r="E1908" s="5">
        <f ca="1">IFERROR(__xludf.DUMMYFUNCTION("""COMPUTED_VALUE"""),0)</f>
        <v>0</v>
      </c>
      <c r="F1908" s="5">
        <f ca="1">IFERROR(__xludf.DUMMYFUNCTION("""COMPUTED_VALUE"""),1)</f>
        <v>1</v>
      </c>
      <c r="G1908" s="5">
        <f ca="1">IFERROR(__xludf.DUMMYFUNCTION("""COMPUTED_VALUE"""),0)</f>
        <v>0</v>
      </c>
      <c r="H1908" s="9" t="str">
        <f ca="1">IFERROR(__xludf.DUMMYFUNCTION("""COMPUTED_VALUE"""),"https://www.newspapers.com/image/371656005")</f>
        <v>https://www.newspapers.com/image/371656005</v>
      </c>
      <c r="I1908" s="5"/>
      <c r="J1908" s="5"/>
      <c r="K1908" s="5">
        <f ca="1">IFERROR(__xludf.DUMMYFUNCTION("""COMPUTED_VALUE"""),2)</f>
        <v>2</v>
      </c>
      <c r="L1908" s="5" t="str">
        <f ca="1">IFERROR(__xludf.DUMMYFUNCTION("""COMPUTED_VALUE"""),"Fall")</f>
        <v>Fall</v>
      </c>
      <c r="M1908" s="5" t="str">
        <f ca="1">IFERROR(__xludf.DUMMYFUNCTION("""COMPUTED_VALUE"""),"Aberdeen")</f>
        <v>Aberdeen</v>
      </c>
      <c r="N1908" s="5" t="str">
        <f ca="1">IFERROR(__xludf.DUMMYFUNCTION("""COMPUTED_VALUE"""),"MD")</f>
        <v>MD</v>
      </c>
      <c r="O1908" s="5" t="str">
        <f ca="1">IFERROR(__xludf.DUMMYFUNCTION("""COMPUTED_VALUE"""),"High")</f>
        <v>High</v>
      </c>
      <c r="P1908" s="5"/>
      <c r="Q1908" s="5"/>
      <c r="R1908" s="5" t="str">
        <f ca="1">IFERROR(__xludf.DUMMYFUNCTION("""COMPUTED_VALUE"""),"No")</f>
        <v>No</v>
      </c>
      <c r="S1908" s="5" t="str">
        <f ca="1">IFERROR(__xludf.DUMMYFUNCTION("""COMPUTED_VALUE"""),"Not a School Day")</f>
        <v>Not a School Day</v>
      </c>
      <c r="T1908" s="5"/>
      <c r="U1908" s="5">
        <f ca="1">IFERROR(__xludf.DUMMYFUNCTION("""COMPUTED_VALUE"""),1)</f>
        <v>1</v>
      </c>
      <c r="V1908" s="5" t="str">
        <f ca="1">IFERROR(__xludf.DUMMYFUNCTION("""COMPUTED_VALUE"""),"Shot by officer, situation unclear, may have been vandalizing school")</f>
        <v>Shot by officer, situation unclear, may have been vandalizing school</v>
      </c>
      <c r="W1908"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X1908" s="5" t="str">
        <f ca="1">IFERROR(__xludf.DUMMYFUNCTION("""COMPUTED_VALUE"""),"Illegal Activity")</f>
        <v>Illegal Activity</v>
      </c>
      <c r="Y1908" s="5" t="str">
        <f ca="1">IFERROR(__xludf.DUMMYFUNCTION("""COMPUTED_VALUE"""),"Victims Targeted")</f>
        <v>Victims Targeted</v>
      </c>
      <c r="Z1908" s="5" t="str">
        <f ca="1">IFERROR(__xludf.DUMMYFUNCTION("""COMPUTED_VALUE"""),"No")</f>
        <v>No</v>
      </c>
      <c r="AA1908" s="5"/>
      <c r="AB1908" s="5" t="str">
        <f ca="1">IFERROR(__xludf.DUMMYFUNCTION("""COMPUTED_VALUE"""),"No")</f>
        <v>No</v>
      </c>
      <c r="AC1908" s="5" t="str">
        <f ca="1">IFERROR(__xludf.DUMMYFUNCTION("""COMPUTED_VALUE"""),"No")</f>
        <v>No</v>
      </c>
      <c r="AD1908" s="5" t="str">
        <f ca="1">IFERROR(__xludf.DUMMYFUNCTION("""COMPUTED_VALUE"""),"Yes")</f>
        <v>Yes</v>
      </c>
      <c r="AE1908" s="5" t="str">
        <f ca="1">IFERROR(__xludf.DUMMYFUNCTION("""COMPUTED_VALUE"""),"N/A")</f>
        <v>N/A</v>
      </c>
      <c r="AF1908" s="5" t="str">
        <f ca="1">IFERROR(__xludf.DUMMYFUNCTION("""COMPUTED_VALUE"""),"N/A")</f>
        <v>N/A</v>
      </c>
      <c r="AG1908" s="5" t="str">
        <f ca="1">IFERROR(__xludf.DUMMYFUNCTION("""COMPUTED_VALUE"""),"N/A")</f>
        <v>N/A</v>
      </c>
      <c r="AH1908" s="5" t="str">
        <f ca="1">IFERROR(__xludf.DUMMYFUNCTION("""COMPUTED_VALUE"""),"N/A")</f>
        <v>N/A</v>
      </c>
    </row>
    <row r="1909" spans="1:34" ht="12.75">
      <c r="A1909" s="5" t="str">
        <f ca="1">IFERROR(__xludf.DUMMYFUNCTION("""COMPUTED_VALUE"""),"19810908FLSTW")</f>
        <v>19810908FLSTW</v>
      </c>
      <c r="B1909" s="8">
        <f ca="1">IFERROR(__xludf.DUMMYFUNCTION("""COMPUTED_VALUE"""),29837)</f>
        <v>29837</v>
      </c>
      <c r="C1909" s="5" t="str">
        <f ca="1">IFERROR(__xludf.DUMMYFUNCTION("""COMPUTED_VALUE"""),"Stuart Middle School")</f>
        <v>Stuart Middle School</v>
      </c>
      <c r="D1909" s="5">
        <f ca="1">IFERROR(__xludf.DUMMYFUNCTION("""COMPUTED_VALUE"""),0)</f>
        <v>0</v>
      </c>
      <c r="E1909" s="5">
        <f ca="1">IFERROR(__xludf.DUMMYFUNCTION("""COMPUTED_VALUE"""),0)</f>
        <v>0</v>
      </c>
      <c r="F1909" s="5">
        <f ca="1">IFERROR(__xludf.DUMMYFUNCTION("""COMPUTED_VALUE"""),0)</f>
        <v>0</v>
      </c>
      <c r="G1909" s="5">
        <f ca="1">IFERROR(__xludf.DUMMYFUNCTION("""COMPUTED_VALUE"""),0)</f>
        <v>0</v>
      </c>
      <c r="H1909" s="9" t="str">
        <f ca="1">IFERROR(__xludf.DUMMYFUNCTION("""COMPUTED_VALUE"""),"https://www.newspapers.com/image/130082201/?terms=student%2Bshoots")</f>
        <v>https://www.newspapers.com/image/130082201/?terms=student%2Bshoots</v>
      </c>
      <c r="I1909" s="5"/>
      <c r="J1909" s="5"/>
      <c r="K1909" s="5">
        <f ca="1">IFERROR(__xludf.DUMMYFUNCTION("""COMPUTED_VALUE"""),2)</f>
        <v>2</v>
      </c>
      <c r="L1909" s="5" t="str">
        <f ca="1">IFERROR(__xludf.DUMMYFUNCTION("""COMPUTED_VALUE"""),"Fall")</f>
        <v>Fall</v>
      </c>
      <c r="M1909" s="5" t="str">
        <f ca="1">IFERROR(__xludf.DUMMYFUNCTION("""COMPUTED_VALUE"""),"West Palm Beach")</f>
        <v>West Palm Beach</v>
      </c>
      <c r="N1909" s="5" t="str">
        <f ca="1">IFERROR(__xludf.DUMMYFUNCTION("""COMPUTED_VALUE"""),"FL")</f>
        <v>FL</v>
      </c>
      <c r="O1909" s="5" t="str">
        <f ca="1">IFERROR(__xludf.DUMMYFUNCTION("""COMPUTED_VALUE"""),"Middle")</f>
        <v>Middle</v>
      </c>
      <c r="P1909" s="5" t="str">
        <f ca="1">IFERROR(__xludf.DUMMYFUNCTION("""COMPUTED_VALUE"""),"Classroom")</f>
        <v>Classroom</v>
      </c>
      <c r="Q1909" s="5" t="str">
        <f ca="1">IFERROR(__xludf.DUMMYFUNCTION("""COMPUTED_VALUE"""),"Inside School Building")</f>
        <v>Inside School Building</v>
      </c>
      <c r="R1909" s="5" t="str">
        <f ca="1">IFERROR(__xludf.DUMMYFUNCTION("""COMPUTED_VALUE"""),"Yes")</f>
        <v>Yes</v>
      </c>
      <c r="S1909" s="5"/>
      <c r="T1909" s="5"/>
      <c r="U1909" s="5">
        <f ca="1">IFERROR(__xludf.DUMMYFUNCTION("""COMPUTED_VALUE"""),1)</f>
        <v>1</v>
      </c>
      <c r="V1909" s="5" t="str">
        <f ca="1">IFERROR(__xludf.DUMMYFUNCTION("""COMPUTED_VALUE"""),"12 year old boy shot .22 caliber handgun into classroom wall then went outside and shot himself in stomach")</f>
        <v>12 year old boy shot .22 caliber handgun into classroom wall then went outside and shot himself in stomach</v>
      </c>
      <c r="W1909"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X1909" s="5" t="str">
        <f ca="1">IFERROR(__xludf.DUMMYFUNCTION("""COMPUTED_VALUE"""),"Accidental")</f>
        <v>Accidental</v>
      </c>
      <c r="Y1909" s="5" t="str">
        <f ca="1">IFERROR(__xludf.DUMMYFUNCTION("""COMPUTED_VALUE"""),"Victims Targeted")</f>
        <v>Victims Targeted</v>
      </c>
      <c r="Z1909" s="5" t="str">
        <f ca="1">IFERROR(__xludf.DUMMYFUNCTION("""COMPUTED_VALUE"""),"No")</f>
        <v>No</v>
      </c>
      <c r="AA1909" s="5"/>
      <c r="AB1909" s="5" t="str">
        <f ca="1">IFERROR(__xludf.DUMMYFUNCTION("""COMPUTED_VALUE"""),"No")</f>
        <v>No</v>
      </c>
      <c r="AC1909" s="5" t="str">
        <f ca="1">IFERROR(__xludf.DUMMYFUNCTION("""COMPUTED_VALUE"""),"No")</f>
        <v>No</v>
      </c>
      <c r="AD1909" s="5" t="str">
        <f ca="1">IFERROR(__xludf.DUMMYFUNCTION("""COMPUTED_VALUE"""),"No")</f>
        <v>No</v>
      </c>
      <c r="AE1909" s="5"/>
      <c r="AF1909" s="5"/>
      <c r="AG1909" s="5" t="str">
        <f ca="1">IFERROR(__xludf.DUMMYFUNCTION("""COMPUTED_VALUE"""),"No")</f>
        <v>No</v>
      </c>
      <c r="AH1909" s="5"/>
    </row>
    <row r="1910" spans="1:34" ht="12.75">
      <c r="A1910" s="5" t="str">
        <f ca="1">IFERROR(__xludf.DUMMYFUNCTION("""COMPUTED_VALUE"""),"19810904NMHOS")</f>
        <v>19810904NMHOS</v>
      </c>
      <c r="B1910" s="8">
        <f ca="1">IFERROR(__xludf.DUMMYFUNCTION("""COMPUTED_VALUE"""),29833)</f>
        <v>29833</v>
      </c>
      <c r="C1910" s="5" t="str">
        <f ca="1">IFERROR(__xludf.DUMMYFUNCTION("""COMPUTED_VALUE"""),"Hobbs High School")</f>
        <v>Hobbs High School</v>
      </c>
      <c r="D1910" s="5">
        <f ca="1">IFERROR(__xludf.DUMMYFUNCTION("""COMPUTED_VALUE"""),0)</f>
        <v>0</v>
      </c>
      <c r="E1910" s="5">
        <f ca="1">IFERROR(__xludf.DUMMYFUNCTION("""COMPUTED_VALUE"""),2)</f>
        <v>2</v>
      </c>
      <c r="F1910" s="5">
        <f ca="1">IFERROR(__xludf.DUMMYFUNCTION("""COMPUTED_VALUE"""),2)</f>
        <v>2</v>
      </c>
      <c r="G1910" s="5">
        <f ca="1">IFERROR(__xludf.DUMMYFUNCTION("""COMPUTED_VALUE"""),0)</f>
        <v>0</v>
      </c>
      <c r="H1910"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I1910" s="5"/>
      <c r="J1910" s="5"/>
      <c r="K1910" s="5">
        <f ca="1">IFERROR(__xludf.DUMMYFUNCTION("""COMPUTED_VALUE"""),3)</f>
        <v>3</v>
      </c>
      <c r="L1910" s="5" t="str">
        <f ca="1">IFERROR(__xludf.DUMMYFUNCTION("""COMPUTED_VALUE"""),"Fall")</f>
        <v>Fall</v>
      </c>
      <c r="M1910" s="5" t="str">
        <f ca="1">IFERROR(__xludf.DUMMYFUNCTION("""COMPUTED_VALUE"""),"Santa Fe")</f>
        <v>Santa Fe</v>
      </c>
      <c r="N1910" s="5" t="str">
        <f ca="1">IFERROR(__xludf.DUMMYFUNCTION("""COMPUTED_VALUE"""),"NM")</f>
        <v>NM</v>
      </c>
      <c r="O1910" s="5" t="str">
        <f ca="1">IFERROR(__xludf.DUMMYFUNCTION("""COMPUTED_VALUE"""),"High")</f>
        <v>High</v>
      </c>
      <c r="P1910" s="5" t="str">
        <f ca="1">IFERROR(__xludf.DUMMYFUNCTION("""COMPUTED_VALUE"""),"Beside Building")</f>
        <v>Beside Building</v>
      </c>
      <c r="Q1910" s="5" t="str">
        <f ca="1">IFERROR(__xludf.DUMMYFUNCTION("""COMPUTED_VALUE"""),"Outside on School Property")</f>
        <v>Outside on School Property</v>
      </c>
      <c r="R1910" s="5" t="str">
        <f ca="1">IFERROR(__xludf.DUMMYFUNCTION("""COMPUTED_VALUE"""),"Yes")</f>
        <v>Yes</v>
      </c>
      <c r="S1910" s="5" t="str">
        <f ca="1">IFERROR(__xludf.DUMMYFUNCTION("""COMPUTED_VALUE"""),"Morning Classes")</f>
        <v>Morning Classes</v>
      </c>
      <c r="T1910" s="10">
        <f ca="1">IFERROR(__xludf.DUMMYFUNCTION("""COMPUTED_VALUE"""),0.427083333333333)</f>
        <v>0.42708333333333298</v>
      </c>
      <c r="U1910" s="5">
        <f ca="1">IFERROR(__xludf.DUMMYFUNCTION("""COMPUTED_VALUE"""),1)</f>
        <v>1</v>
      </c>
      <c r="V1910" s="5" t="str">
        <f ca="1">IFERROR(__xludf.DUMMYFUNCTION("""COMPUTED_VALUE"""),"2 student shot outside of school, shooter fled")</f>
        <v>2 student shot outside of school, shooter fled</v>
      </c>
      <c r="W1910"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X1910" s="5" t="str">
        <f ca="1">IFERROR(__xludf.DUMMYFUNCTION("""COMPUTED_VALUE"""),"Unknown")</f>
        <v>Unknown</v>
      </c>
      <c r="Y1910" s="5" t="str">
        <f ca="1">IFERROR(__xludf.DUMMYFUNCTION("""COMPUTED_VALUE"""),"Victims Targeted")</f>
        <v>Victims Targeted</v>
      </c>
      <c r="Z1910" s="5" t="str">
        <f ca="1">IFERROR(__xludf.DUMMYFUNCTION("""COMPUTED_VALUE"""),"No")</f>
        <v>No</v>
      </c>
      <c r="AA1910" s="5"/>
      <c r="AB1910" s="5" t="str">
        <f ca="1">IFERROR(__xludf.DUMMYFUNCTION("""COMPUTED_VALUE"""),"No")</f>
        <v>No</v>
      </c>
      <c r="AC1910" s="5" t="str">
        <f ca="1">IFERROR(__xludf.DUMMYFUNCTION("""COMPUTED_VALUE"""),"No")</f>
        <v>No</v>
      </c>
      <c r="AD1910" s="5" t="str">
        <f ca="1">IFERROR(__xludf.DUMMYFUNCTION("""COMPUTED_VALUE"""),"No")</f>
        <v>No</v>
      </c>
      <c r="AE1910" s="5"/>
      <c r="AF1910" s="5" t="str">
        <f ca="1">IFERROR(__xludf.DUMMYFUNCTION("""COMPUTED_VALUE"""),"No")</f>
        <v>No</v>
      </c>
      <c r="AG1910" s="5"/>
      <c r="AH1910" s="5"/>
    </row>
    <row r="1911" spans="1:34" ht="12.75">
      <c r="A1911" s="5" t="str">
        <f ca="1">IFERROR(__xludf.DUMMYFUNCTION("""COMPUTED_VALUE"""),"19810901PAWIP")</f>
        <v>19810901PAWIP</v>
      </c>
      <c r="B1911" s="8">
        <f ca="1">IFERROR(__xludf.DUMMYFUNCTION("""COMPUTED_VALUE"""),29830)</f>
        <v>29830</v>
      </c>
      <c r="C1911" s="5" t="str">
        <f ca="1">IFERROR(__xludf.DUMMYFUNCTION("""COMPUTED_VALUE"""),"William Longstreth Elementary School")</f>
        <v>William Longstreth Elementary School</v>
      </c>
      <c r="D1911" s="5">
        <f ca="1">IFERROR(__xludf.DUMMYFUNCTION("""COMPUTED_VALUE"""),0)</f>
        <v>0</v>
      </c>
      <c r="E1911" s="5">
        <f ca="1">IFERROR(__xludf.DUMMYFUNCTION("""COMPUTED_VALUE"""),3)</f>
        <v>3</v>
      </c>
      <c r="F1911" s="5">
        <f ca="1">IFERROR(__xludf.DUMMYFUNCTION("""COMPUTED_VALUE"""),3)</f>
        <v>3</v>
      </c>
      <c r="G1911" s="5">
        <f ca="1">IFERROR(__xludf.DUMMYFUNCTION("""COMPUTED_VALUE"""),0)</f>
        <v>0</v>
      </c>
      <c r="H1911" s="9" t="str">
        <f ca="1">IFERROR(__xludf.DUMMYFUNCTION("""COMPUTED_VALUE"""),"https://www.newspapers.com/image/174012189/?terms=William%2BLongstreth%2BElementary%2BSchool%2Bshooting")</f>
        <v>https://www.newspapers.com/image/174012189/?terms=William%2BLongstreth%2BElementary%2BSchool%2Bshooting</v>
      </c>
      <c r="I1911" s="5"/>
      <c r="J1911" s="5"/>
      <c r="K1911" s="5">
        <f ca="1">IFERROR(__xludf.DUMMYFUNCTION("""COMPUTED_VALUE"""),2)</f>
        <v>2</v>
      </c>
      <c r="L1911" s="5" t="str">
        <f ca="1">IFERROR(__xludf.DUMMYFUNCTION("""COMPUTED_VALUE"""),"Fall")</f>
        <v>Fall</v>
      </c>
      <c r="M1911" s="5" t="str">
        <f ca="1">IFERROR(__xludf.DUMMYFUNCTION("""COMPUTED_VALUE"""),"Philadelphia")</f>
        <v>Philadelphia</v>
      </c>
      <c r="N1911" s="5" t="str">
        <f ca="1">IFERROR(__xludf.DUMMYFUNCTION("""COMPUTED_VALUE"""),"PA")</f>
        <v>PA</v>
      </c>
      <c r="O1911" s="5" t="str">
        <f ca="1">IFERROR(__xludf.DUMMYFUNCTION("""COMPUTED_VALUE"""),"Elementary")</f>
        <v>Elementary</v>
      </c>
      <c r="P1911" s="5" t="str">
        <f ca="1">IFERROR(__xludf.DUMMYFUNCTION("""COMPUTED_VALUE"""),"Basketball Court")</f>
        <v>Basketball Court</v>
      </c>
      <c r="Q1911" s="5" t="str">
        <f ca="1">IFERROR(__xludf.DUMMYFUNCTION("""COMPUTED_VALUE"""),"Outside on School Property")</f>
        <v>Outside on School Property</v>
      </c>
      <c r="R1911" s="5" t="str">
        <f ca="1">IFERROR(__xludf.DUMMYFUNCTION("""COMPUTED_VALUE"""),"No")</f>
        <v>No</v>
      </c>
      <c r="S1911" s="5" t="str">
        <f ca="1">IFERROR(__xludf.DUMMYFUNCTION("""COMPUTED_VALUE"""),"Evening")</f>
        <v>Evening</v>
      </c>
      <c r="T1911" s="10">
        <f ca="1">IFERROR(__xludf.DUMMYFUNCTION("""COMPUTED_VALUE"""),0.854166666666666)</f>
        <v>0.85416666666666596</v>
      </c>
      <c r="U1911" s="5">
        <f ca="1">IFERROR(__xludf.DUMMYFUNCTION("""COMPUTED_VALUE"""),1)</f>
        <v>1</v>
      </c>
      <c r="V1911" s="5" t="str">
        <f ca="1">IFERROR(__xludf.DUMMYFUNCTION("""COMPUTED_VALUE"""),"Fight between rival gang members on basketball court, 2 bystanders stuck")</f>
        <v>Fight between rival gang members on basketball court, 2 bystanders stuck</v>
      </c>
      <c r="W1911"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X1911" s="5" t="str">
        <f ca="1">IFERROR(__xludf.DUMMYFUNCTION("""COMPUTED_VALUE"""),"Escalation of Dispute")</f>
        <v>Escalation of Dispute</v>
      </c>
      <c r="Y1911" s="5" t="str">
        <f ca="1">IFERROR(__xludf.DUMMYFUNCTION("""COMPUTED_VALUE"""),"Both")</f>
        <v>Both</v>
      </c>
      <c r="Z1911" s="5" t="str">
        <f ca="1">IFERROR(__xludf.DUMMYFUNCTION("""COMPUTED_VALUE"""),"Yes")</f>
        <v>Yes</v>
      </c>
      <c r="AA1911" s="5" t="str">
        <f ca="1">IFERROR(__xludf.DUMMYFUNCTION("""COMPUTED_VALUE"""),"Group of gang members")</f>
        <v>Group of gang members</v>
      </c>
      <c r="AB1911" s="5" t="str">
        <f ca="1">IFERROR(__xludf.DUMMYFUNCTION("""COMPUTED_VALUE"""),"No")</f>
        <v>No</v>
      </c>
      <c r="AC1911" s="5" t="str">
        <f ca="1">IFERROR(__xludf.DUMMYFUNCTION("""COMPUTED_VALUE"""),"No")</f>
        <v>No</v>
      </c>
      <c r="AD1911" s="5" t="str">
        <f ca="1">IFERROR(__xludf.DUMMYFUNCTION("""COMPUTED_VALUE"""),"No")</f>
        <v>No</v>
      </c>
      <c r="AE1911" s="5" t="str">
        <f ca="1">IFERROR(__xludf.DUMMYFUNCTION("""COMPUTED_VALUE"""),"No")</f>
        <v>No</v>
      </c>
      <c r="AF1911" s="5" t="str">
        <f ca="1">IFERROR(__xludf.DUMMYFUNCTION("""COMPUTED_VALUE"""),"No")</f>
        <v>No</v>
      </c>
      <c r="AG1911" s="5" t="str">
        <f ca="1">IFERROR(__xludf.DUMMYFUNCTION("""COMPUTED_VALUE"""),"Yes")</f>
        <v>Yes</v>
      </c>
      <c r="AH1911" s="5"/>
    </row>
    <row r="1912" spans="1:34" ht="12.75">
      <c r="A1912" s="5" t="str">
        <f ca="1">IFERROR(__xludf.DUMMYFUNCTION("""COMPUTED_VALUE"""),"19810515LANEN")</f>
        <v>19810515LANEN</v>
      </c>
      <c r="B1912" s="8">
        <f ca="1">IFERROR(__xludf.DUMMYFUNCTION("""COMPUTED_VALUE"""),29721)</f>
        <v>29721</v>
      </c>
      <c r="C1912" s="5" t="str">
        <f ca="1">IFERROR(__xludf.DUMMYFUNCTION("""COMPUTED_VALUE"""),"New Iberia Junior HIgh School")</f>
        <v>New Iberia Junior HIgh School</v>
      </c>
      <c r="D1912" s="5">
        <f ca="1">IFERROR(__xludf.DUMMYFUNCTION("""COMPUTED_VALUE"""),0)</f>
        <v>0</v>
      </c>
      <c r="E1912" s="5">
        <f ca="1">IFERROR(__xludf.DUMMYFUNCTION("""COMPUTED_VALUE"""),1)</f>
        <v>1</v>
      </c>
      <c r="F1912" s="5">
        <f ca="1">IFERROR(__xludf.DUMMYFUNCTION("""COMPUTED_VALUE"""),1)</f>
        <v>1</v>
      </c>
      <c r="G1912" s="5">
        <f ca="1">IFERROR(__xludf.DUMMYFUNCTION("""COMPUTED_VALUE"""),0)</f>
        <v>0</v>
      </c>
      <c r="H1912" s="9" t="str">
        <f ca="1">IFERROR(__xludf.DUMMYFUNCTION("""COMPUTED_VALUE"""),"https://www.newspapers.com/image/216284765/?terms=new%2BIberia%2Bteacher%2Bshot")</f>
        <v>https://www.newspapers.com/image/216284765/?terms=new%2BIberia%2Bteacher%2Bshot</v>
      </c>
      <c r="I1912" s="5"/>
      <c r="J1912" s="5"/>
      <c r="K1912" s="5">
        <f ca="1">IFERROR(__xludf.DUMMYFUNCTION("""COMPUTED_VALUE"""),2)</f>
        <v>2</v>
      </c>
      <c r="L1912" s="5" t="str">
        <f ca="1">IFERROR(__xludf.DUMMYFUNCTION("""COMPUTED_VALUE"""),"Spring")</f>
        <v>Spring</v>
      </c>
      <c r="M1912" s="5" t="str">
        <f ca="1">IFERROR(__xludf.DUMMYFUNCTION("""COMPUTED_VALUE"""),"New Iberia")</f>
        <v>New Iberia</v>
      </c>
      <c r="N1912" s="5" t="str">
        <f ca="1">IFERROR(__xludf.DUMMYFUNCTION("""COMPUTED_VALUE"""),"LA")</f>
        <v>LA</v>
      </c>
      <c r="O1912" s="5" t="str">
        <f ca="1">IFERROR(__xludf.DUMMYFUNCTION("""COMPUTED_VALUE"""),"Junior High")</f>
        <v>Junior High</v>
      </c>
      <c r="P1912" s="5" t="str">
        <f ca="1">IFERROR(__xludf.DUMMYFUNCTION("""COMPUTED_VALUE"""),"Inside School Building")</f>
        <v>Inside School Building</v>
      </c>
      <c r="Q1912" s="5" t="str">
        <f ca="1">IFERROR(__xludf.DUMMYFUNCTION("""COMPUTED_VALUE"""),"Inside School Building")</f>
        <v>Inside School Building</v>
      </c>
      <c r="R1912" s="5" t="str">
        <f ca="1">IFERROR(__xludf.DUMMYFUNCTION("""COMPUTED_VALUE"""),"Yes")</f>
        <v>Yes</v>
      </c>
      <c r="S1912" s="5" t="str">
        <f ca="1">IFERROR(__xludf.DUMMYFUNCTION("""COMPUTED_VALUE"""),"Before School")</f>
        <v>Before School</v>
      </c>
      <c r="T1912" s="10">
        <f ca="1">IFERROR(__xludf.DUMMYFUNCTION("""COMPUTED_VALUE"""),0.333333333333333)</f>
        <v>0.33333333333333298</v>
      </c>
      <c r="U1912" s="5">
        <f ca="1">IFERROR(__xludf.DUMMYFUNCTION("""COMPUTED_VALUE"""),1)</f>
        <v>1</v>
      </c>
      <c r="V1912" s="5" t="str">
        <f ca="1">IFERROR(__xludf.DUMMYFUNCTION("""COMPUTED_VALUE"""),"Vice Principal shoots teacher in language arts class before school")</f>
        <v>Vice Principal shoots teacher in language arts class before school</v>
      </c>
      <c r="W1912"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X1912" s="5" t="str">
        <f ca="1">IFERROR(__xludf.DUMMYFUNCTION("""COMPUTED_VALUE"""),"Domestic w/ Targeted Victim")</f>
        <v>Domestic w/ Targeted Victim</v>
      </c>
      <c r="Y1912" s="5" t="str">
        <f ca="1">IFERROR(__xludf.DUMMYFUNCTION("""COMPUTED_VALUE"""),"Victims Targeted")</f>
        <v>Victims Targeted</v>
      </c>
      <c r="Z1912" s="5" t="str">
        <f ca="1">IFERROR(__xludf.DUMMYFUNCTION("""COMPUTED_VALUE"""),"No")</f>
        <v>No</v>
      </c>
      <c r="AA1912" s="5"/>
      <c r="AB1912" s="5" t="str">
        <f ca="1">IFERROR(__xludf.DUMMYFUNCTION("""COMPUTED_VALUE"""),"No")</f>
        <v>No</v>
      </c>
      <c r="AC1912" s="5" t="str">
        <f ca="1">IFERROR(__xludf.DUMMYFUNCTION("""COMPUTED_VALUE"""),"No")</f>
        <v>No</v>
      </c>
      <c r="AD1912" s="5" t="str">
        <f ca="1">IFERROR(__xludf.DUMMYFUNCTION("""COMPUTED_VALUE"""),"No")</f>
        <v>No</v>
      </c>
      <c r="AE1912" s="5" t="str">
        <f ca="1">IFERROR(__xludf.DUMMYFUNCTION("""COMPUTED_VALUE"""),"No")</f>
        <v>No</v>
      </c>
      <c r="AF1912" s="5" t="str">
        <f ca="1">IFERROR(__xludf.DUMMYFUNCTION("""COMPUTED_VALUE"""),"Yes")</f>
        <v>Yes</v>
      </c>
      <c r="AG1912" s="5" t="str">
        <f ca="1">IFERROR(__xludf.DUMMYFUNCTION("""COMPUTED_VALUE"""),"No")</f>
        <v>No</v>
      </c>
      <c r="AH1912" s="5"/>
    </row>
    <row r="1913" spans="1:34" ht="12.75">
      <c r="A1913" s="5" t="str">
        <f ca="1">IFERROR(__xludf.DUMMYFUNCTION("""COMPUTED_VALUE"""),"19810407MSPOP")</f>
        <v>19810407MSPOP</v>
      </c>
      <c r="B1913" s="8">
        <f ca="1">IFERROR(__xludf.DUMMYFUNCTION("""COMPUTED_VALUE"""),29683)</f>
        <v>29683</v>
      </c>
      <c r="C1913" s="5" t="str">
        <f ca="1">IFERROR(__xludf.DUMMYFUNCTION("""COMPUTED_VALUE"""),"Poplarville High School")</f>
        <v>Poplarville High School</v>
      </c>
      <c r="D1913" s="5">
        <f ca="1">IFERROR(__xludf.DUMMYFUNCTION("""COMPUTED_VALUE"""),0)</f>
        <v>0</v>
      </c>
      <c r="E1913" s="5">
        <f ca="1">IFERROR(__xludf.DUMMYFUNCTION("""COMPUTED_VALUE"""),1)</f>
        <v>1</v>
      </c>
      <c r="F1913" s="5">
        <f ca="1">IFERROR(__xludf.DUMMYFUNCTION("""COMPUTED_VALUE"""),1)</f>
        <v>1</v>
      </c>
      <c r="G1913" s="5">
        <f ca="1">IFERROR(__xludf.DUMMYFUNCTION("""COMPUTED_VALUE"""),0)</f>
        <v>0</v>
      </c>
      <c r="H1913" s="9" t="str">
        <f ca="1">IFERROR(__xludf.DUMMYFUNCTION("""COMPUTED_VALUE"""),"https://www.newspapers.com/image/278826646/?terms=student%2Bshot")</f>
        <v>https://www.newspapers.com/image/278826646/?terms=student%2Bshot</v>
      </c>
      <c r="I1913" s="5"/>
      <c r="J1913" s="5"/>
      <c r="K1913" s="5">
        <f ca="1">IFERROR(__xludf.DUMMYFUNCTION("""COMPUTED_VALUE"""),2)</f>
        <v>2</v>
      </c>
      <c r="L1913" s="5" t="str">
        <f ca="1">IFERROR(__xludf.DUMMYFUNCTION("""COMPUTED_VALUE"""),"Spring")</f>
        <v>Spring</v>
      </c>
      <c r="M1913" s="5" t="str">
        <f ca="1">IFERROR(__xludf.DUMMYFUNCTION("""COMPUTED_VALUE"""),"Poplarville")</f>
        <v>Poplarville</v>
      </c>
      <c r="N1913" s="5" t="str">
        <f ca="1">IFERROR(__xludf.DUMMYFUNCTION("""COMPUTED_VALUE"""),"MS")</f>
        <v>MS</v>
      </c>
      <c r="O1913" s="5" t="str">
        <f ca="1">IFERROR(__xludf.DUMMYFUNCTION("""COMPUTED_VALUE"""),"High")</f>
        <v>High</v>
      </c>
      <c r="P1913" s="5" t="str">
        <f ca="1">IFERROR(__xludf.DUMMYFUNCTION("""COMPUTED_VALUE"""),"Beside Building")</f>
        <v>Beside Building</v>
      </c>
      <c r="Q1913" s="5" t="str">
        <f ca="1">IFERROR(__xludf.DUMMYFUNCTION("""COMPUTED_VALUE"""),"Outside on School Property")</f>
        <v>Outside on School Property</v>
      </c>
      <c r="R1913" s="5" t="str">
        <f ca="1">IFERROR(__xludf.DUMMYFUNCTION("""COMPUTED_VALUE"""),"Yes")</f>
        <v>Yes</v>
      </c>
      <c r="S1913" s="5" t="str">
        <f ca="1">IFERROR(__xludf.DUMMYFUNCTION("""COMPUTED_VALUE"""),"Sport Event")</f>
        <v>Sport Event</v>
      </c>
      <c r="T1913" s="5"/>
      <c r="U1913" s="5">
        <f ca="1">IFERROR(__xludf.DUMMYFUNCTION("""COMPUTED_VALUE"""),1)</f>
        <v>1</v>
      </c>
      <c r="V1913" s="5" t="str">
        <f ca="1">IFERROR(__xludf.DUMMYFUNCTION("""COMPUTED_VALUE"""),"Victim shot by unknown assailant while standing next to school building")</f>
        <v>Victim shot by unknown assailant while standing next to school building</v>
      </c>
      <c r="W1913"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X1913" s="5" t="str">
        <f ca="1">IFERROR(__xludf.DUMMYFUNCTION("""COMPUTED_VALUE"""),"Unknown")</f>
        <v>Unknown</v>
      </c>
      <c r="Y1913" s="5"/>
      <c r="Z1913" s="5" t="str">
        <f ca="1">IFERROR(__xludf.DUMMYFUNCTION("""COMPUTED_VALUE"""),"No")</f>
        <v>No</v>
      </c>
      <c r="AA1913" s="5"/>
      <c r="AB1913" s="5" t="str">
        <f ca="1">IFERROR(__xludf.DUMMYFUNCTION("""COMPUTED_VALUE"""),"No")</f>
        <v>No</v>
      </c>
      <c r="AC1913" s="5" t="str">
        <f ca="1">IFERROR(__xludf.DUMMYFUNCTION("""COMPUTED_VALUE"""),"No")</f>
        <v>No</v>
      </c>
      <c r="AD1913" s="5" t="str">
        <f ca="1">IFERROR(__xludf.DUMMYFUNCTION("""COMPUTED_VALUE"""),"No")</f>
        <v>No</v>
      </c>
      <c r="AE1913" s="5" t="str">
        <f ca="1">IFERROR(__xludf.DUMMYFUNCTION("""COMPUTED_VALUE"""),"No")</f>
        <v>No</v>
      </c>
      <c r="AF1913" s="5" t="str">
        <f ca="1">IFERROR(__xludf.DUMMYFUNCTION("""COMPUTED_VALUE"""),"No")</f>
        <v>No</v>
      </c>
      <c r="AG1913" s="5"/>
      <c r="AH1913" s="5"/>
    </row>
    <row r="1914" spans="1:34" ht="12.75">
      <c r="A1914" s="5" t="str">
        <f ca="1">IFERROR(__xludf.DUMMYFUNCTION("""COMPUTED_VALUE"""),"19810402OHALC")</f>
        <v>19810402OHALC</v>
      </c>
      <c r="B1914" s="8">
        <f ca="1">IFERROR(__xludf.DUMMYFUNCTION("""COMPUTED_VALUE"""),29678)</f>
        <v>29678</v>
      </c>
      <c r="C1914" s="5" t="str">
        <f ca="1">IFERROR(__xludf.DUMMYFUNCTION("""COMPUTED_VALUE"""),"Alexander Hamilton Junior High School")</f>
        <v>Alexander Hamilton Junior High School</v>
      </c>
      <c r="D1914" s="5">
        <f ca="1">IFERROR(__xludf.DUMMYFUNCTION("""COMPUTED_VALUE"""),0)</f>
        <v>0</v>
      </c>
      <c r="E1914" s="5">
        <f ca="1">IFERROR(__xludf.DUMMYFUNCTION("""COMPUTED_VALUE"""),1)</f>
        <v>1</v>
      </c>
      <c r="F1914" s="5">
        <f ca="1">IFERROR(__xludf.DUMMYFUNCTION("""COMPUTED_VALUE"""),1)</f>
        <v>1</v>
      </c>
      <c r="G1914" s="5">
        <f ca="1">IFERROR(__xludf.DUMMYFUNCTION("""COMPUTED_VALUE"""),0)</f>
        <v>0</v>
      </c>
      <c r="H1914"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I1914" s="5"/>
      <c r="J1914" s="5"/>
      <c r="K1914" s="5">
        <f ca="1">IFERROR(__xludf.DUMMYFUNCTION("""COMPUTED_VALUE"""),3)</f>
        <v>3</v>
      </c>
      <c r="L1914" s="5" t="str">
        <f ca="1">IFERROR(__xludf.DUMMYFUNCTION("""COMPUTED_VALUE"""),"Spring")</f>
        <v>Spring</v>
      </c>
      <c r="M1914" s="5" t="str">
        <f ca="1">IFERROR(__xludf.DUMMYFUNCTION("""COMPUTED_VALUE"""),"Cleveland")</f>
        <v>Cleveland</v>
      </c>
      <c r="N1914" s="5" t="str">
        <f ca="1">IFERROR(__xludf.DUMMYFUNCTION("""COMPUTED_VALUE"""),"OH")</f>
        <v>OH</v>
      </c>
      <c r="O1914" s="5" t="str">
        <f ca="1">IFERROR(__xludf.DUMMYFUNCTION("""COMPUTED_VALUE"""),"Junior High")</f>
        <v>Junior High</v>
      </c>
      <c r="P1914" s="5" t="str">
        <f ca="1">IFERROR(__xludf.DUMMYFUNCTION("""COMPUTED_VALUE"""),"Bathroom")</f>
        <v>Bathroom</v>
      </c>
      <c r="Q1914" s="5" t="str">
        <f ca="1">IFERROR(__xludf.DUMMYFUNCTION("""COMPUTED_VALUE"""),"Inside School Building")</f>
        <v>Inside School Building</v>
      </c>
      <c r="R1914" s="5" t="str">
        <f ca="1">IFERROR(__xludf.DUMMYFUNCTION("""COMPUTED_VALUE"""),"Yes")</f>
        <v>Yes</v>
      </c>
      <c r="S1914" s="5" t="str">
        <f ca="1">IFERROR(__xludf.DUMMYFUNCTION("""COMPUTED_VALUE"""),"Before School")</f>
        <v>Before School</v>
      </c>
      <c r="T1914" s="10">
        <f ca="1">IFERROR(__xludf.DUMMYFUNCTION("""COMPUTED_VALUE"""),0.322916666666666)</f>
        <v>0.32291666666666602</v>
      </c>
      <c r="U1914" s="5">
        <f ca="1">IFERROR(__xludf.DUMMYFUNCTION("""COMPUTED_VALUE"""),1)</f>
        <v>1</v>
      </c>
      <c r="V1914" s="5" t="str">
        <f ca="1">IFERROR(__xludf.DUMMYFUNCTION("""COMPUTED_VALUE"""),"Shooter tried to talk victim out of testifying")</f>
        <v>Shooter tried to talk victim out of testifying</v>
      </c>
      <c r="W1914"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X1914" s="5" t="str">
        <f ca="1">IFERROR(__xludf.DUMMYFUNCTION("""COMPUTED_VALUE"""),"Escalation of Dispute")</f>
        <v>Escalation of Dispute</v>
      </c>
      <c r="Y1914" s="5" t="str">
        <f ca="1">IFERROR(__xludf.DUMMYFUNCTION("""COMPUTED_VALUE"""),"Victims Targeted")</f>
        <v>Victims Targeted</v>
      </c>
      <c r="Z1914" s="5" t="str">
        <f ca="1">IFERROR(__xludf.DUMMYFUNCTION("""COMPUTED_VALUE"""),"No")</f>
        <v>No</v>
      </c>
      <c r="AA1914" s="5"/>
      <c r="AB1914" s="5" t="str">
        <f ca="1">IFERROR(__xludf.DUMMYFUNCTION("""COMPUTED_VALUE"""),"No")</f>
        <v>No</v>
      </c>
      <c r="AC1914" s="5" t="str">
        <f ca="1">IFERROR(__xludf.DUMMYFUNCTION("""COMPUTED_VALUE"""),"No")</f>
        <v>No</v>
      </c>
      <c r="AD1914" s="5" t="str">
        <f ca="1">IFERROR(__xludf.DUMMYFUNCTION("""COMPUTED_VALUE"""),"No")</f>
        <v>No</v>
      </c>
      <c r="AE1914" s="5" t="str">
        <f ca="1">IFERROR(__xludf.DUMMYFUNCTION("""COMPUTED_VALUE"""),"No")</f>
        <v>No</v>
      </c>
      <c r="AF1914" s="5" t="str">
        <f ca="1">IFERROR(__xludf.DUMMYFUNCTION("""COMPUTED_VALUE"""),"No")</f>
        <v>No</v>
      </c>
      <c r="AG1914" s="5" t="str">
        <f ca="1">IFERROR(__xludf.DUMMYFUNCTION("""COMPUTED_VALUE"""),"No")</f>
        <v>No</v>
      </c>
      <c r="AH1914" s="5"/>
    </row>
    <row r="1915" spans="1:34" ht="12.75">
      <c r="A1915" s="5" t="str">
        <f ca="1">IFERROR(__xludf.DUMMYFUNCTION("""COMPUTED_VALUE"""),"19810328FLDIF")</f>
        <v>19810328FLDIF</v>
      </c>
      <c r="B1915" s="8">
        <f ca="1">IFERROR(__xludf.DUMMYFUNCTION("""COMPUTED_VALUE"""),29673)</f>
        <v>29673</v>
      </c>
      <c r="C1915" s="5" t="str">
        <f ca="1">IFERROR(__xludf.DUMMYFUNCTION("""COMPUTED_VALUE"""),"Dillard High School")</f>
        <v>Dillard High School</v>
      </c>
      <c r="D1915" s="5">
        <f ca="1">IFERROR(__xludf.DUMMYFUNCTION("""COMPUTED_VALUE"""),1)</f>
        <v>1</v>
      </c>
      <c r="E1915" s="5">
        <f ca="1">IFERROR(__xludf.DUMMYFUNCTION("""COMPUTED_VALUE"""),0)</f>
        <v>0</v>
      </c>
      <c r="F1915" s="5">
        <f ca="1">IFERROR(__xludf.DUMMYFUNCTION("""COMPUTED_VALUE"""),1)</f>
        <v>1</v>
      </c>
      <c r="G1915" s="5">
        <f ca="1">IFERROR(__xludf.DUMMYFUNCTION("""COMPUTED_VALUE"""),0)</f>
        <v>0</v>
      </c>
      <c r="H1915" s="9" t="str">
        <f ca="1">IFERROR(__xludf.DUMMYFUNCTION("""COMPUTED_VALUE"""),"https://www.newspapers.com/image/235456423/?terms=dillard%2Bhigh%2Bschool%2Bshooting")</f>
        <v>https://www.newspapers.com/image/235456423/?terms=dillard%2Bhigh%2Bschool%2Bshooting</v>
      </c>
      <c r="I1915" s="5"/>
      <c r="J1915" s="5"/>
      <c r="K1915" s="5">
        <f ca="1">IFERROR(__xludf.DUMMYFUNCTION("""COMPUTED_VALUE"""),2)</f>
        <v>2</v>
      </c>
      <c r="L1915" s="5" t="str">
        <f ca="1">IFERROR(__xludf.DUMMYFUNCTION("""COMPUTED_VALUE"""),"Spring")</f>
        <v>Spring</v>
      </c>
      <c r="M1915" s="5" t="str">
        <f ca="1">IFERROR(__xludf.DUMMYFUNCTION("""COMPUTED_VALUE"""),"Fort Lauderdale")</f>
        <v>Fort Lauderdale</v>
      </c>
      <c r="N1915" s="5" t="str">
        <f ca="1">IFERROR(__xludf.DUMMYFUNCTION("""COMPUTED_VALUE"""),"FL")</f>
        <v>FL</v>
      </c>
      <c r="O1915" s="5" t="str">
        <f ca="1">IFERROR(__xludf.DUMMYFUNCTION("""COMPUTED_VALUE"""),"High")</f>
        <v>High</v>
      </c>
      <c r="P1915" s="5" t="str">
        <f ca="1">IFERROR(__xludf.DUMMYFUNCTION("""COMPUTED_VALUE"""),"Beside Building")</f>
        <v>Beside Building</v>
      </c>
      <c r="Q1915" s="5" t="str">
        <f ca="1">IFERROR(__xludf.DUMMYFUNCTION("""COMPUTED_VALUE"""),"Outside on School Property")</f>
        <v>Outside on School Property</v>
      </c>
      <c r="R1915" s="5" t="str">
        <f ca="1">IFERROR(__xludf.DUMMYFUNCTION("""COMPUTED_VALUE"""),"No")</f>
        <v>No</v>
      </c>
      <c r="S1915" s="5" t="str">
        <f ca="1">IFERROR(__xludf.DUMMYFUNCTION("""COMPUTED_VALUE"""),"School Event")</f>
        <v>School Event</v>
      </c>
      <c r="T1915" s="10">
        <f ca="1">IFERROR(__xludf.DUMMYFUNCTION("""COMPUTED_VALUE"""),0.875)</f>
        <v>0.875</v>
      </c>
      <c r="U1915" s="5">
        <f ca="1">IFERROR(__xludf.DUMMYFUNCTION("""COMPUTED_VALUE"""),1)</f>
        <v>1</v>
      </c>
      <c r="V1915" s="5" t="str">
        <f ca="1">IFERROR(__xludf.DUMMYFUNCTION("""COMPUTED_VALUE"""),"Shot outside the school dance following an argument with suspects")</f>
        <v>Shot outside the school dance following an argument with suspects</v>
      </c>
      <c r="W1915"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X1915" s="5" t="str">
        <f ca="1">IFERROR(__xludf.DUMMYFUNCTION("""COMPUTED_VALUE"""),"Escalation of Dispute")</f>
        <v>Escalation of Dispute</v>
      </c>
      <c r="Y1915" s="5" t="str">
        <f ca="1">IFERROR(__xludf.DUMMYFUNCTION("""COMPUTED_VALUE"""),"Victims Targeted")</f>
        <v>Victims Targeted</v>
      </c>
      <c r="Z1915" s="5" t="str">
        <f ca="1">IFERROR(__xludf.DUMMYFUNCTION("""COMPUTED_VALUE"""),"Yes")</f>
        <v>Yes</v>
      </c>
      <c r="AA1915" s="5" t="str">
        <f ca="1">IFERROR(__xludf.DUMMYFUNCTION("""COMPUTED_VALUE"""),"Two 18YOMs arrested")</f>
        <v>Two 18YOMs arrested</v>
      </c>
      <c r="AB1915" s="5" t="str">
        <f ca="1">IFERROR(__xludf.DUMMYFUNCTION("""COMPUTED_VALUE"""),"No")</f>
        <v>No</v>
      </c>
      <c r="AC1915" s="5" t="str">
        <f ca="1">IFERROR(__xludf.DUMMYFUNCTION("""COMPUTED_VALUE"""),"No")</f>
        <v>No</v>
      </c>
      <c r="AD1915" s="5" t="str">
        <f ca="1">IFERROR(__xludf.DUMMYFUNCTION("""COMPUTED_VALUE"""),"No")</f>
        <v>No</v>
      </c>
      <c r="AE1915" s="5" t="str">
        <f ca="1">IFERROR(__xludf.DUMMYFUNCTION("""COMPUTED_VALUE"""),"No")</f>
        <v>No</v>
      </c>
      <c r="AF1915" s="5" t="str">
        <f ca="1">IFERROR(__xludf.DUMMYFUNCTION("""COMPUTED_VALUE"""),"No")</f>
        <v>No</v>
      </c>
      <c r="AG1915" s="5" t="str">
        <f ca="1">IFERROR(__xludf.DUMMYFUNCTION("""COMPUTED_VALUE"""),"No")</f>
        <v>No</v>
      </c>
      <c r="AH1915" s="5"/>
    </row>
    <row r="1916" spans="1:34" ht="12.75">
      <c r="A1916" s="5" t="str">
        <f ca="1">IFERROR(__xludf.DUMMYFUNCTION("""COMPUTED_VALUE"""),"19810303INMAI")</f>
        <v>19810303INMAI</v>
      </c>
      <c r="B1916" s="8">
        <f ca="1">IFERROR(__xludf.DUMMYFUNCTION("""COMPUTED_VALUE"""),29648)</f>
        <v>29648</v>
      </c>
      <c r="C1916" s="5" t="str">
        <f ca="1">IFERROR(__xludf.DUMMYFUNCTION("""COMPUTED_VALUE"""),"Marshall High School")</f>
        <v>Marshall High School</v>
      </c>
      <c r="D1916" s="5">
        <f ca="1">IFERROR(__xludf.DUMMYFUNCTION("""COMPUTED_VALUE"""),0)</f>
        <v>0</v>
      </c>
      <c r="E1916" s="5">
        <f ca="1">IFERROR(__xludf.DUMMYFUNCTION("""COMPUTED_VALUE"""),1)</f>
        <v>1</v>
      </c>
      <c r="F1916" s="5">
        <f ca="1">IFERROR(__xludf.DUMMYFUNCTION("""COMPUTED_VALUE"""),1)</f>
        <v>1</v>
      </c>
      <c r="G1916" s="5">
        <f ca="1">IFERROR(__xludf.DUMMYFUNCTION("""COMPUTED_VALUE"""),0)</f>
        <v>0</v>
      </c>
      <c r="H1916" s="9" t="str">
        <f ca="1">IFERROR(__xludf.DUMMYFUNCTION("""COMPUTED_VALUE"""),"https://www.newspapers.com/image/312662676/?terms=student%2Bshot")</f>
        <v>https://www.newspapers.com/image/312662676/?terms=student%2Bshot</v>
      </c>
      <c r="I1916" s="5"/>
      <c r="J1916" s="5"/>
      <c r="K1916" s="5">
        <f ca="1">IFERROR(__xludf.DUMMYFUNCTION("""COMPUTED_VALUE"""),2)</f>
        <v>2</v>
      </c>
      <c r="L1916" s="5" t="str">
        <f ca="1">IFERROR(__xludf.DUMMYFUNCTION("""COMPUTED_VALUE"""),"Spring")</f>
        <v>Spring</v>
      </c>
      <c r="M1916" s="5" t="str">
        <f ca="1">IFERROR(__xludf.DUMMYFUNCTION("""COMPUTED_VALUE"""),"Indianapolis")</f>
        <v>Indianapolis</v>
      </c>
      <c r="N1916" s="5" t="str">
        <f ca="1">IFERROR(__xludf.DUMMYFUNCTION("""COMPUTED_VALUE"""),"IN")</f>
        <v>IN</v>
      </c>
      <c r="O1916" s="5" t="str">
        <f ca="1">IFERROR(__xludf.DUMMYFUNCTION("""COMPUTED_VALUE"""),"High")</f>
        <v>High</v>
      </c>
      <c r="P1916" s="5" t="str">
        <f ca="1">IFERROR(__xludf.DUMMYFUNCTION("""COMPUTED_VALUE"""),"Hallway")</f>
        <v>Hallway</v>
      </c>
      <c r="Q1916" s="5" t="str">
        <f ca="1">IFERROR(__xludf.DUMMYFUNCTION("""COMPUTED_VALUE"""),"Inside School Building")</f>
        <v>Inside School Building</v>
      </c>
      <c r="R1916" s="5" t="str">
        <f ca="1">IFERROR(__xludf.DUMMYFUNCTION("""COMPUTED_VALUE"""),"Yes")</f>
        <v>Yes</v>
      </c>
      <c r="S1916" s="5" t="str">
        <f ca="1">IFERROR(__xludf.DUMMYFUNCTION("""COMPUTED_VALUE"""),"Morning Classes")</f>
        <v>Morning Classes</v>
      </c>
      <c r="T1916" s="10">
        <f ca="1">IFERROR(__xludf.DUMMYFUNCTION("""COMPUTED_VALUE"""),0.361111111111111)</f>
        <v>0.36111111111111099</v>
      </c>
      <c r="U1916" s="5">
        <f ca="1">IFERROR(__xludf.DUMMYFUNCTION("""COMPUTED_VALUE"""),1)</f>
        <v>1</v>
      </c>
      <c r="V1916" s="5" t="str">
        <f ca="1">IFERROR(__xludf.DUMMYFUNCTION("""COMPUTED_VALUE"""),"Ongoing conflicts with fellow students")</f>
        <v>Ongoing conflicts with fellow students</v>
      </c>
      <c r="W1916" s="5" t="str">
        <f ca="1">IFERROR(__xludf.DUMMYFUNCTION("""COMPUTED_VALUE"""),"15YOM shot 16YOM student during an argument in the hallway.")</f>
        <v>15YOM shot 16YOM student during an argument in the hallway.</v>
      </c>
      <c r="X1916" s="5" t="str">
        <f ca="1">IFERROR(__xludf.DUMMYFUNCTION("""COMPUTED_VALUE"""),"Escalation of Dispute")</f>
        <v>Escalation of Dispute</v>
      </c>
      <c r="Y1916" s="5" t="str">
        <f ca="1">IFERROR(__xludf.DUMMYFUNCTION("""COMPUTED_VALUE"""),"Victims Targeted")</f>
        <v>Victims Targeted</v>
      </c>
      <c r="Z1916" s="5" t="str">
        <f ca="1">IFERROR(__xludf.DUMMYFUNCTION("""COMPUTED_VALUE"""),"No")</f>
        <v>No</v>
      </c>
      <c r="AA1916" s="5"/>
      <c r="AB1916" s="5" t="str">
        <f ca="1">IFERROR(__xludf.DUMMYFUNCTION("""COMPUTED_VALUE"""),"No")</f>
        <v>No</v>
      </c>
      <c r="AC1916" s="5" t="str">
        <f ca="1">IFERROR(__xludf.DUMMYFUNCTION("""COMPUTED_VALUE"""),"No")</f>
        <v>No</v>
      </c>
      <c r="AD1916" s="5" t="str">
        <f ca="1">IFERROR(__xludf.DUMMYFUNCTION("""COMPUTED_VALUE"""),"No")</f>
        <v>No</v>
      </c>
      <c r="AE1916" s="5"/>
      <c r="AF1916" s="5" t="str">
        <f ca="1">IFERROR(__xludf.DUMMYFUNCTION("""COMPUTED_VALUE"""),"No")</f>
        <v>No</v>
      </c>
      <c r="AG1916" s="5" t="str">
        <f ca="1">IFERROR(__xludf.DUMMYFUNCTION("""COMPUTED_VALUE"""),"No")</f>
        <v>No</v>
      </c>
      <c r="AH1916" s="5"/>
    </row>
    <row r="1917" spans="1:34" ht="12.75">
      <c r="A1917" s="5" t="str">
        <f ca="1">IFERROR(__xludf.DUMMYFUNCTION("""COMPUTED_VALUE"""),"19810210CAMAL")</f>
        <v>19810210CAMAL</v>
      </c>
      <c r="B1917" s="8">
        <f ca="1">IFERROR(__xludf.DUMMYFUNCTION("""COMPUTED_VALUE"""),29627)</f>
        <v>29627</v>
      </c>
      <c r="C1917" s="5" t="str">
        <f ca="1">IFERROR(__xludf.DUMMYFUNCTION("""COMPUTED_VALUE"""),"Manuel Arts High School")</f>
        <v>Manuel Arts High School</v>
      </c>
      <c r="D1917" s="5">
        <f ca="1">IFERROR(__xludf.DUMMYFUNCTION("""COMPUTED_VALUE"""),1)</f>
        <v>1</v>
      </c>
      <c r="E1917" s="5">
        <f ca="1">IFERROR(__xludf.DUMMYFUNCTION("""COMPUTED_VALUE"""),0)</f>
        <v>0</v>
      </c>
      <c r="F1917" s="5">
        <f ca="1">IFERROR(__xludf.DUMMYFUNCTION("""COMPUTED_VALUE"""),1)</f>
        <v>1</v>
      </c>
      <c r="G1917" s="5">
        <f ca="1">IFERROR(__xludf.DUMMYFUNCTION("""COMPUTED_VALUE"""),0)</f>
        <v>0</v>
      </c>
      <c r="H1917" s="9" t="str">
        <f ca="1">IFERROR(__xludf.DUMMYFUNCTION("""COMPUTED_VALUE"""),"https://www.newspapers.com/image/378838711/?terms=Manuel%2BArts%2BHigh%2BSchool%2Bshooting")</f>
        <v>https://www.newspapers.com/image/378838711/?terms=Manuel%2BArts%2BHigh%2BSchool%2Bshooting</v>
      </c>
      <c r="I1917" s="5"/>
      <c r="J1917" s="5"/>
      <c r="K1917" s="5">
        <f ca="1">IFERROR(__xludf.DUMMYFUNCTION("""COMPUTED_VALUE"""),2)</f>
        <v>2</v>
      </c>
      <c r="L1917" s="5" t="str">
        <f ca="1">IFERROR(__xludf.DUMMYFUNCTION("""COMPUTED_VALUE"""),"Winter")</f>
        <v>Winter</v>
      </c>
      <c r="M1917" s="5" t="str">
        <f ca="1">IFERROR(__xludf.DUMMYFUNCTION("""COMPUTED_VALUE"""),"Los Angeles")</f>
        <v>Los Angeles</v>
      </c>
      <c r="N1917" s="5" t="str">
        <f ca="1">IFERROR(__xludf.DUMMYFUNCTION("""COMPUTED_VALUE"""),"CA")</f>
        <v>CA</v>
      </c>
      <c r="O1917" s="5" t="str">
        <f ca="1">IFERROR(__xludf.DUMMYFUNCTION("""COMPUTED_VALUE"""),"High")</f>
        <v>High</v>
      </c>
      <c r="P1917" s="5" t="str">
        <f ca="1">IFERROR(__xludf.DUMMYFUNCTION("""COMPUTED_VALUE"""),"Courtyard")</f>
        <v>Courtyard</v>
      </c>
      <c r="Q1917" s="5" t="str">
        <f ca="1">IFERROR(__xludf.DUMMYFUNCTION("""COMPUTED_VALUE"""),"Outside on School Property")</f>
        <v>Outside on School Property</v>
      </c>
      <c r="R1917" s="5" t="str">
        <f ca="1">IFERROR(__xludf.DUMMYFUNCTION("""COMPUTED_VALUE"""),"Yes")</f>
        <v>Yes</v>
      </c>
      <c r="S1917" s="5" t="str">
        <f ca="1">IFERROR(__xludf.DUMMYFUNCTION("""COMPUTED_VALUE"""),"Lunch")</f>
        <v>Lunch</v>
      </c>
      <c r="T1917" s="10">
        <f ca="1">IFERROR(__xludf.DUMMYFUNCTION("""COMPUTED_VALUE"""),0.493055555555555)</f>
        <v>0.49305555555555503</v>
      </c>
      <c r="U1917" s="5">
        <f ca="1">IFERROR(__xludf.DUMMYFUNCTION("""COMPUTED_VALUE"""),1)</f>
        <v>1</v>
      </c>
      <c r="V1917" s="5" t="str">
        <f ca="1">IFERROR(__xludf.DUMMYFUNCTION("""COMPUTED_VALUE"""),"Gang shooting in outdoor courtyard")</f>
        <v>Gang shooting in outdoor courtyard</v>
      </c>
      <c r="W1917"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X1917" s="5" t="str">
        <f ca="1">IFERROR(__xludf.DUMMYFUNCTION("""COMPUTED_VALUE"""),"Escalation of Dispute")</f>
        <v>Escalation of Dispute</v>
      </c>
      <c r="Y1917" s="5" t="str">
        <f ca="1">IFERROR(__xludf.DUMMYFUNCTION("""COMPUTED_VALUE"""),"Victims Targeted")</f>
        <v>Victims Targeted</v>
      </c>
      <c r="Z1917" s="5" t="str">
        <f ca="1">IFERROR(__xludf.DUMMYFUNCTION("""COMPUTED_VALUE"""),"Yes")</f>
        <v>Yes</v>
      </c>
      <c r="AA1917" s="5" t="str">
        <f ca="1">IFERROR(__xludf.DUMMYFUNCTION("""COMPUTED_VALUE"""),"Group of 4 suspects involved")</f>
        <v>Group of 4 suspects involved</v>
      </c>
      <c r="AB1917" s="5" t="str">
        <f ca="1">IFERROR(__xludf.DUMMYFUNCTION("""COMPUTED_VALUE"""),"No")</f>
        <v>No</v>
      </c>
      <c r="AC1917" s="5" t="str">
        <f ca="1">IFERROR(__xludf.DUMMYFUNCTION("""COMPUTED_VALUE"""),"No")</f>
        <v>No</v>
      </c>
      <c r="AD1917" s="5" t="str">
        <f ca="1">IFERROR(__xludf.DUMMYFUNCTION("""COMPUTED_VALUE"""),"No")</f>
        <v>No</v>
      </c>
      <c r="AE1917" s="5" t="str">
        <f ca="1">IFERROR(__xludf.DUMMYFUNCTION("""COMPUTED_VALUE"""),"No")</f>
        <v>No</v>
      </c>
      <c r="AF1917" s="5" t="str">
        <f ca="1">IFERROR(__xludf.DUMMYFUNCTION("""COMPUTED_VALUE"""),"No")</f>
        <v>No</v>
      </c>
      <c r="AG1917" s="5" t="str">
        <f ca="1">IFERROR(__xludf.DUMMYFUNCTION("""COMPUTED_VALUE"""),"Yes")</f>
        <v>Yes</v>
      </c>
      <c r="AH1917" s="5"/>
    </row>
    <row r="1918" spans="1:34" ht="12.75">
      <c r="A1918" s="5" t="str">
        <f ca="1">IFERROR(__xludf.DUMMYFUNCTION("""COMPUTED_VALUE"""),"19810210ARLIL")</f>
        <v>19810210ARLIL</v>
      </c>
      <c r="B1918" s="8">
        <f ca="1">IFERROR(__xludf.DUMMYFUNCTION("""COMPUTED_VALUE"""),29627)</f>
        <v>29627</v>
      </c>
      <c r="C1918" s="5" t="str">
        <f ca="1">IFERROR(__xludf.DUMMYFUNCTION("""COMPUTED_VALUE"""),"Little Rock Hall High School")</f>
        <v>Little Rock Hall High School</v>
      </c>
      <c r="D1918" s="5">
        <f ca="1">IFERROR(__xludf.DUMMYFUNCTION("""COMPUTED_VALUE"""),0)</f>
        <v>0</v>
      </c>
      <c r="E1918" s="5">
        <f ca="1">IFERROR(__xludf.DUMMYFUNCTION("""COMPUTED_VALUE"""),1)</f>
        <v>1</v>
      </c>
      <c r="F1918" s="5">
        <f ca="1">IFERROR(__xludf.DUMMYFUNCTION("""COMPUTED_VALUE"""),1)</f>
        <v>1</v>
      </c>
      <c r="G1918" s="5">
        <f ca="1">IFERROR(__xludf.DUMMYFUNCTION("""COMPUTED_VALUE"""),0)</f>
        <v>0</v>
      </c>
      <c r="H1918" s="5" t="str">
        <f ca="1">IFERROR(__xludf.DUMMYFUNCTION("""COMPUTED_VALUE"""),"https://www.newspapers.com/image/310189175/?terms=student%2Bshot  https://www.newspapers.com/image/307770309/?terms=student%2BshoT")</f>
        <v>https://www.newspapers.com/image/310189175/?terms=student%2Bshot  https://www.newspapers.com/image/307770309/?terms=student%2BshoT</v>
      </c>
      <c r="I1918" s="5"/>
      <c r="J1918" s="5"/>
      <c r="K1918" s="5">
        <f ca="1">IFERROR(__xludf.DUMMYFUNCTION("""COMPUTED_VALUE"""),3)</f>
        <v>3</v>
      </c>
      <c r="L1918" s="5" t="str">
        <f ca="1">IFERROR(__xludf.DUMMYFUNCTION("""COMPUTED_VALUE"""),"Winter")</f>
        <v>Winter</v>
      </c>
      <c r="M1918" s="5" t="str">
        <f ca="1">IFERROR(__xludf.DUMMYFUNCTION("""COMPUTED_VALUE"""),"Little Rock")</f>
        <v>Little Rock</v>
      </c>
      <c r="N1918" s="5" t="str">
        <f ca="1">IFERROR(__xludf.DUMMYFUNCTION("""COMPUTED_VALUE"""),"AR")</f>
        <v>AR</v>
      </c>
      <c r="O1918" s="5" t="str">
        <f ca="1">IFERROR(__xludf.DUMMYFUNCTION("""COMPUTED_VALUE"""),"High")</f>
        <v>High</v>
      </c>
      <c r="P1918" s="5" t="str">
        <f ca="1">IFERROR(__xludf.DUMMYFUNCTION("""COMPUTED_VALUE"""),"Parking Lot")</f>
        <v>Parking Lot</v>
      </c>
      <c r="Q1918" s="5" t="str">
        <f ca="1">IFERROR(__xludf.DUMMYFUNCTION("""COMPUTED_VALUE"""),"Outside on School Property")</f>
        <v>Outside on School Property</v>
      </c>
      <c r="R1918" s="5" t="str">
        <f ca="1">IFERROR(__xludf.DUMMYFUNCTION("""COMPUTED_VALUE"""),"Yes")</f>
        <v>Yes</v>
      </c>
      <c r="S1918" s="5" t="str">
        <f ca="1">IFERROR(__xludf.DUMMYFUNCTION("""COMPUTED_VALUE"""),"Before School")</f>
        <v>Before School</v>
      </c>
      <c r="T1918" s="5"/>
      <c r="U1918" s="5">
        <f ca="1">IFERROR(__xludf.DUMMYFUNCTION("""COMPUTED_VALUE"""),1)</f>
        <v>1</v>
      </c>
      <c r="V1918" s="5" t="str">
        <f ca="1">IFERROR(__xludf.DUMMYFUNCTION("""COMPUTED_VALUE"""),"Shooter and victim get into argument on bus - shooter shoots victim once they arrive to school")</f>
        <v>Shooter and victim get into argument on bus - shooter shoots victim once they arrive to school</v>
      </c>
      <c r="W1918"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X1918" s="5" t="str">
        <f ca="1">IFERROR(__xludf.DUMMYFUNCTION("""COMPUTED_VALUE"""),"Escalation of Dispute")</f>
        <v>Escalation of Dispute</v>
      </c>
      <c r="Y1918" s="5" t="str">
        <f ca="1">IFERROR(__xludf.DUMMYFUNCTION("""COMPUTED_VALUE"""),"Victims Targeted")</f>
        <v>Victims Targeted</v>
      </c>
      <c r="Z1918" s="5" t="str">
        <f ca="1">IFERROR(__xludf.DUMMYFUNCTION("""COMPUTED_VALUE"""),"No")</f>
        <v>No</v>
      </c>
      <c r="AA1918" s="5"/>
      <c r="AB1918" s="5" t="str">
        <f ca="1">IFERROR(__xludf.DUMMYFUNCTION("""COMPUTED_VALUE"""),"No")</f>
        <v>No</v>
      </c>
      <c r="AC1918" s="5" t="str">
        <f ca="1">IFERROR(__xludf.DUMMYFUNCTION("""COMPUTED_VALUE"""),"No")</f>
        <v>No</v>
      </c>
      <c r="AD1918" s="5" t="str">
        <f ca="1">IFERROR(__xludf.DUMMYFUNCTION("""COMPUTED_VALUE"""),"No")</f>
        <v>No</v>
      </c>
      <c r="AE1918" s="5" t="str">
        <f ca="1">IFERROR(__xludf.DUMMYFUNCTION("""COMPUTED_VALUE"""),"No")</f>
        <v>No</v>
      </c>
      <c r="AF1918" s="5"/>
      <c r="AG1918" s="5" t="str">
        <f ca="1">IFERROR(__xludf.DUMMYFUNCTION("""COMPUTED_VALUE"""),"No")</f>
        <v>No</v>
      </c>
      <c r="AH1918" s="5"/>
    </row>
    <row r="1919" spans="1:34" ht="12.75">
      <c r="A1919" s="5" t="str">
        <f ca="1">IFERROR(__xludf.DUMMYFUNCTION("""COMPUTED_VALUE"""),"19810122MDFRB")</f>
        <v>19810122MDFRB</v>
      </c>
      <c r="B1919" s="8">
        <f ca="1">IFERROR(__xludf.DUMMYFUNCTION("""COMPUTED_VALUE"""),29608)</f>
        <v>29608</v>
      </c>
      <c r="C1919" s="5" t="str">
        <f ca="1">IFERROR(__xludf.DUMMYFUNCTION("""COMPUTED_VALUE"""),"Francis M. Wood Senior High School")</f>
        <v>Francis M. Wood Senior High School</v>
      </c>
      <c r="D1919" s="5">
        <f ca="1">IFERROR(__xludf.DUMMYFUNCTION("""COMPUTED_VALUE"""),0)</f>
        <v>0</v>
      </c>
      <c r="E1919" s="5">
        <f ca="1">IFERROR(__xludf.DUMMYFUNCTION("""COMPUTED_VALUE"""),0)</f>
        <v>0</v>
      </c>
      <c r="F1919" s="5">
        <f ca="1">IFERROR(__xludf.DUMMYFUNCTION("""COMPUTED_VALUE"""),0)</f>
        <v>0</v>
      </c>
      <c r="G1919" s="5">
        <f ca="1">IFERROR(__xludf.DUMMYFUNCTION("""COMPUTED_VALUE"""),0)</f>
        <v>0</v>
      </c>
      <c r="H1919" s="9" t="str">
        <f ca="1">IFERROR(__xludf.DUMMYFUNCTION("""COMPUTED_VALUE"""),"https://www.newspapers.com/image/377747566/?terms=student%2Bshot")</f>
        <v>https://www.newspapers.com/image/377747566/?terms=student%2Bshot</v>
      </c>
      <c r="I1919" s="5"/>
      <c r="J1919" s="5"/>
      <c r="K1919" s="5">
        <f ca="1">IFERROR(__xludf.DUMMYFUNCTION("""COMPUTED_VALUE"""),2)</f>
        <v>2</v>
      </c>
      <c r="L1919" s="5" t="str">
        <f ca="1">IFERROR(__xludf.DUMMYFUNCTION("""COMPUTED_VALUE"""),"Winter")</f>
        <v>Winter</v>
      </c>
      <c r="M1919" s="5" t="str">
        <f ca="1">IFERROR(__xludf.DUMMYFUNCTION("""COMPUTED_VALUE"""),"Baltimore")</f>
        <v>Baltimore</v>
      </c>
      <c r="N1919" s="5" t="str">
        <f ca="1">IFERROR(__xludf.DUMMYFUNCTION("""COMPUTED_VALUE"""),"MD")</f>
        <v>MD</v>
      </c>
      <c r="O1919" s="5" t="str">
        <f ca="1">IFERROR(__xludf.DUMMYFUNCTION("""COMPUTED_VALUE"""),"High")</f>
        <v>High</v>
      </c>
      <c r="P1919" s="5" t="str">
        <f ca="1">IFERROR(__xludf.DUMMYFUNCTION("""COMPUTED_VALUE"""),"Inside School Building")</f>
        <v>Inside School Building</v>
      </c>
      <c r="Q1919" s="5" t="str">
        <f ca="1">IFERROR(__xludf.DUMMYFUNCTION("""COMPUTED_VALUE"""),"Inside School Building")</f>
        <v>Inside School Building</v>
      </c>
      <c r="R1919" s="5" t="str">
        <f ca="1">IFERROR(__xludf.DUMMYFUNCTION("""COMPUTED_VALUE"""),"Yes")</f>
        <v>Yes</v>
      </c>
      <c r="S1919" s="5" t="str">
        <f ca="1">IFERROR(__xludf.DUMMYFUNCTION("""COMPUTED_VALUE"""),"Afternoon Classes")</f>
        <v>Afternoon Classes</v>
      </c>
      <c r="T1919" s="10">
        <f ca="1">IFERROR(__xludf.DUMMYFUNCTION("""COMPUTED_VALUE"""),0.583333333333333)</f>
        <v>0.58333333333333304</v>
      </c>
      <c r="U1919" s="5">
        <f ca="1">IFERROR(__xludf.DUMMYFUNCTION("""COMPUTED_VALUE"""),1)</f>
        <v>1</v>
      </c>
      <c r="V1919" s="5" t="str">
        <f ca="1">IFERROR(__xludf.DUMMYFUNCTION("""COMPUTED_VALUE"""),"Shooter and victim fought earlier, when challenged again, shooter pull gun and shot victim")</f>
        <v>Shooter and victim fought earlier, when challenged again, shooter pull gun and shot victim</v>
      </c>
      <c r="W1919"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X1919" s="5" t="str">
        <f ca="1">IFERROR(__xludf.DUMMYFUNCTION("""COMPUTED_VALUE"""),"Escalation of Dispute")</f>
        <v>Escalation of Dispute</v>
      </c>
      <c r="Y1919" s="5" t="str">
        <f ca="1">IFERROR(__xludf.DUMMYFUNCTION("""COMPUTED_VALUE"""),"Victims Targeted")</f>
        <v>Victims Targeted</v>
      </c>
      <c r="Z1919" s="5" t="str">
        <f ca="1">IFERROR(__xludf.DUMMYFUNCTION("""COMPUTED_VALUE"""),"No")</f>
        <v>No</v>
      </c>
      <c r="AA1919" s="5"/>
      <c r="AB1919" s="5" t="str">
        <f ca="1">IFERROR(__xludf.DUMMYFUNCTION("""COMPUTED_VALUE"""),"No")</f>
        <v>No</v>
      </c>
      <c r="AC1919" s="5" t="str">
        <f ca="1">IFERROR(__xludf.DUMMYFUNCTION("""COMPUTED_VALUE"""),"No")</f>
        <v>No</v>
      </c>
      <c r="AD1919" s="5" t="str">
        <f ca="1">IFERROR(__xludf.DUMMYFUNCTION("""COMPUTED_VALUE"""),"No")</f>
        <v>No</v>
      </c>
      <c r="AE1919" s="5" t="str">
        <f ca="1">IFERROR(__xludf.DUMMYFUNCTION("""COMPUTED_VALUE"""),"No")</f>
        <v>No</v>
      </c>
      <c r="AF1919" s="5" t="str">
        <f ca="1">IFERROR(__xludf.DUMMYFUNCTION("""COMPUTED_VALUE"""),"No")</f>
        <v>No</v>
      </c>
      <c r="AG1919" s="5" t="str">
        <f ca="1">IFERROR(__xludf.DUMMYFUNCTION("""COMPUTED_VALUE"""),"No")</f>
        <v>No</v>
      </c>
      <c r="AH1919" s="5"/>
    </row>
    <row r="1920" spans="1:34" ht="12.75">
      <c r="A1920" s="5" t="str">
        <f ca="1">IFERROR(__xludf.DUMMYFUNCTION("""COMPUTED_VALUE"""),"19810121OHWIB")</f>
        <v>19810121OHWIB</v>
      </c>
      <c r="B1920" s="8">
        <f ca="1">IFERROR(__xludf.DUMMYFUNCTION("""COMPUTED_VALUE"""),29607)</f>
        <v>29607</v>
      </c>
      <c r="C1920" s="5" t="str">
        <f ca="1">IFERROR(__xludf.DUMMYFUNCTION("""COMPUTED_VALUE"""),"Willetts Middle School")</f>
        <v>Willetts Middle School</v>
      </c>
      <c r="D1920" s="5">
        <f ca="1">IFERROR(__xludf.DUMMYFUNCTION("""COMPUTED_VALUE"""),0)</f>
        <v>0</v>
      </c>
      <c r="E1920" s="5">
        <f ca="1">IFERROR(__xludf.DUMMYFUNCTION("""COMPUTED_VALUE"""),1)</f>
        <v>1</v>
      </c>
      <c r="F1920" s="5">
        <f ca="1">IFERROR(__xludf.DUMMYFUNCTION("""COMPUTED_VALUE"""),1)</f>
        <v>1</v>
      </c>
      <c r="G1920" s="5">
        <f ca="1">IFERROR(__xludf.DUMMYFUNCTION("""COMPUTED_VALUE"""),0)</f>
        <v>0</v>
      </c>
      <c r="H1920" s="9" t="str">
        <f ca="1">IFERROR(__xludf.DUMMYFUNCTION("""COMPUTED_VALUE"""),"https://www.upi.com/Archives/1981/01/21/A-science-teacher-was-shot-and-wounded-Wednesday-by/6947348901200/")</f>
        <v>https://www.upi.com/Archives/1981/01/21/A-science-teacher-was-shot-and-wounded-Wednesday-by/6947348901200/</v>
      </c>
      <c r="I1920" s="5"/>
      <c r="J1920" s="5"/>
      <c r="K1920" s="5">
        <f ca="1">IFERROR(__xludf.DUMMYFUNCTION("""COMPUTED_VALUE"""),2)</f>
        <v>2</v>
      </c>
      <c r="L1920" s="5" t="str">
        <f ca="1">IFERROR(__xludf.DUMMYFUNCTION("""COMPUTED_VALUE"""),"Winter")</f>
        <v>Winter</v>
      </c>
      <c r="M1920" s="5" t="str">
        <f ca="1">IFERROR(__xludf.DUMMYFUNCTION("""COMPUTED_VALUE"""),"Brunswick")</f>
        <v>Brunswick</v>
      </c>
      <c r="N1920" s="5" t="str">
        <f ca="1">IFERROR(__xludf.DUMMYFUNCTION("""COMPUTED_VALUE"""),"OH")</f>
        <v>OH</v>
      </c>
      <c r="O1920" s="5" t="str">
        <f ca="1">IFERROR(__xludf.DUMMYFUNCTION("""COMPUTED_VALUE"""),"Junior High")</f>
        <v>Junior High</v>
      </c>
      <c r="P1920" s="5" t="str">
        <f ca="1">IFERROR(__xludf.DUMMYFUNCTION("""COMPUTED_VALUE"""),"Classroom")</f>
        <v>Classroom</v>
      </c>
      <c r="Q1920" s="5" t="str">
        <f ca="1">IFERROR(__xludf.DUMMYFUNCTION("""COMPUTED_VALUE"""),"Inside School Building")</f>
        <v>Inside School Building</v>
      </c>
      <c r="R1920" s="5" t="str">
        <f ca="1">IFERROR(__xludf.DUMMYFUNCTION("""COMPUTED_VALUE"""),"Yes")</f>
        <v>Yes</v>
      </c>
      <c r="S1920" s="5" t="str">
        <f ca="1">IFERROR(__xludf.DUMMYFUNCTION("""COMPUTED_VALUE"""),"Before School")</f>
        <v>Before School</v>
      </c>
      <c r="T1920" s="10">
        <f ca="1">IFERROR(__xludf.DUMMYFUNCTION("""COMPUTED_VALUE"""),0.395833333333333)</f>
        <v>0.39583333333333298</v>
      </c>
      <c r="U1920" s="5">
        <f ca="1">IFERROR(__xludf.DUMMYFUNCTION("""COMPUTED_VALUE"""),1)</f>
        <v>1</v>
      </c>
      <c r="V1920" s="5" t="str">
        <f ca="1">IFERROR(__xludf.DUMMYFUNCTION("""COMPUTED_VALUE"""),"14-year old student walks into class before school and shoots teacher in hip")</f>
        <v>14-year old student walks into class before school and shoots teacher in hip</v>
      </c>
      <c r="W1920"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X1920" s="5" t="str">
        <f ca="1">IFERROR(__xludf.DUMMYFUNCTION("""COMPUTED_VALUE"""),"Anger Over Grade/Suspension/Discipline")</f>
        <v>Anger Over Grade/Suspension/Discipline</v>
      </c>
      <c r="Y1920" s="5" t="str">
        <f ca="1">IFERROR(__xludf.DUMMYFUNCTION("""COMPUTED_VALUE"""),"Victims Targeted")</f>
        <v>Victims Targeted</v>
      </c>
      <c r="Z1920" s="5" t="str">
        <f ca="1">IFERROR(__xludf.DUMMYFUNCTION("""COMPUTED_VALUE"""),"No")</f>
        <v>No</v>
      </c>
      <c r="AA1920" s="5"/>
      <c r="AB1920" s="5" t="str">
        <f ca="1">IFERROR(__xludf.DUMMYFUNCTION("""COMPUTED_VALUE"""),"No")</f>
        <v>No</v>
      </c>
      <c r="AC1920" s="5" t="str">
        <f ca="1">IFERROR(__xludf.DUMMYFUNCTION("""COMPUTED_VALUE"""),"No")</f>
        <v>No</v>
      </c>
      <c r="AD1920" s="5" t="str">
        <f ca="1">IFERROR(__xludf.DUMMYFUNCTION("""COMPUTED_VALUE"""),"No")</f>
        <v>No</v>
      </c>
      <c r="AE1920" s="5"/>
      <c r="AF1920" s="5" t="str">
        <f ca="1">IFERROR(__xludf.DUMMYFUNCTION("""COMPUTED_VALUE"""),"No")</f>
        <v>No</v>
      </c>
      <c r="AG1920" s="5" t="str">
        <f ca="1">IFERROR(__xludf.DUMMYFUNCTION("""COMPUTED_VALUE"""),"No")</f>
        <v>No</v>
      </c>
      <c r="AH1920" s="5"/>
    </row>
    <row r="1921" spans="1:34" ht="12.75">
      <c r="A1921" s="5" t="str">
        <f ca="1">IFERROR(__xludf.DUMMYFUNCTION("""COMPUTED_VALUE"""),"19801212OHLOL")</f>
        <v>19801212OHLOL</v>
      </c>
      <c r="B1921" s="8">
        <f ca="1">IFERROR(__xludf.DUMMYFUNCTION("""COMPUTED_VALUE"""),29567)</f>
        <v>29567</v>
      </c>
      <c r="C1921" s="5" t="str">
        <f ca="1">IFERROR(__xludf.DUMMYFUNCTION("""COMPUTED_VALUE"""),"Longfellow Junior HIgh School")</f>
        <v>Longfellow Junior HIgh School</v>
      </c>
      <c r="D1921" s="5">
        <f ca="1">IFERROR(__xludf.DUMMYFUNCTION("""COMPUTED_VALUE"""),0)</f>
        <v>0</v>
      </c>
      <c r="E1921" s="5">
        <f ca="1">IFERROR(__xludf.DUMMYFUNCTION("""COMPUTED_VALUE"""),1)</f>
        <v>1</v>
      </c>
      <c r="F1921" s="5">
        <f ca="1">IFERROR(__xludf.DUMMYFUNCTION("""COMPUTED_VALUE"""),1)</f>
        <v>1</v>
      </c>
      <c r="G1921" s="5">
        <f ca="1">IFERROR(__xludf.DUMMYFUNCTION("""COMPUTED_VALUE"""),0)</f>
        <v>0</v>
      </c>
      <c r="H1921"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I1921" s="5"/>
      <c r="J1921" s="5"/>
      <c r="K1921" s="5">
        <f ca="1">IFERROR(__xludf.DUMMYFUNCTION("""COMPUTED_VALUE"""),2)</f>
        <v>2</v>
      </c>
      <c r="L1921" s="5" t="str">
        <f ca="1">IFERROR(__xludf.DUMMYFUNCTION("""COMPUTED_VALUE"""),"Winter")</f>
        <v>Winter</v>
      </c>
      <c r="M1921" s="5" t="str">
        <f ca="1">IFERROR(__xludf.DUMMYFUNCTION("""COMPUTED_VALUE"""),"Lorain")</f>
        <v>Lorain</v>
      </c>
      <c r="N1921" s="5" t="str">
        <f ca="1">IFERROR(__xludf.DUMMYFUNCTION("""COMPUTED_VALUE"""),"OH")</f>
        <v>OH</v>
      </c>
      <c r="O1921" s="5" t="str">
        <f ca="1">IFERROR(__xludf.DUMMYFUNCTION("""COMPUTED_VALUE"""),"Junior High")</f>
        <v>Junior High</v>
      </c>
      <c r="P1921" s="5" t="str">
        <f ca="1">IFERROR(__xludf.DUMMYFUNCTION("""COMPUTED_VALUE"""),"Classroom")</f>
        <v>Classroom</v>
      </c>
      <c r="Q1921" s="5" t="str">
        <f ca="1">IFERROR(__xludf.DUMMYFUNCTION("""COMPUTED_VALUE"""),"Inside School Building")</f>
        <v>Inside School Building</v>
      </c>
      <c r="R1921" s="5" t="str">
        <f ca="1">IFERROR(__xludf.DUMMYFUNCTION("""COMPUTED_VALUE"""),"Yes")</f>
        <v>Yes</v>
      </c>
      <c r="S1921" s="5" t="str">
        <f ca="1">IFERROR(__xludf.DUMMYFUNCTION("""COMPUTED_VALUE"""),"School Start")</f>
        <v>School Start</v>
      </c>
      <c r="T1921" s="10">
        <f ca="1">IFERROR(__xludf.DUMMYFUNCTION("""COMPUTED_VALUE"""),0.375)</f>
        <v>0.375</v>
      </c>
      <c r="U1921" s="5">
        <f ca="1">IFERROR(__xludf.DUMMYFUNCTION("""COMPUTED_VALUE"""),30)</f>
        <v>30</v>
      </c>
      <c r="V1921" s="5" t="str">
        <f ca="1">IFERROR(__xludf.DUMMYFUNCTION("""COMPUTED_VALUE"""),"Shot school counselor - held 30 hostages until surrendered to police")</f>
        <v>Shot school counselor - held 30 hostages until surrendered to police</v>
      </c>
      <c r="W1921"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X1921" s="5" t="str">
        <f ca="1">IFERROR(__xludf.DUMMYFUNCTION("""COMPUTED_VALUE"""),"Hostage/Standoff")</f>
        <v>Hostage/Standoff</v>
      </c>
      <c r="Y1921" s="5" t="str">
        <f ca="1">IFERROR(__xludf.DUMMYFUNCTION("""COMPUTED_VALUE"""),"Random Shooting")</f>
        <v>Random Shooting</v>
      </c>
      <c r="Z1921" s="5" t="str">
        <f ca="1">IFERROR(__xludf.DUMMYFUNCTION("""COMPUTED_VALUE"""),"No")</f>
        <v>No</v>
      </c>
      <c r="AA1921" s="5"/>
      <c r="AB1921" s="5" t="str">
        <f ca="1">IFERROR(__xludf.DUMMYFUNCTION("""COMPUTED_VALUE"""),"Yes")</f>
        <v>Yes</v>
      </c>
      <c r="AC1921" s="5" t="str">
        <f ca="1">IFERROR(__xludf.DUMMYFUNCTION("""COMPUTED_VALUE"""),"Yes")</f>
        <v>Yes</v>
      </c>
      <c r="AD1921" s="5" t="str">
        <f ca="1">IFERROR(__xludf.DUMMYFUNCTION("""COMPUTED_VALUE"""),"No")</f>
        <v>No</v>
      </c>
      <c r="AE1921" s="5"/>
      <c r="AF1921" s="5" t="str">
        <f ca="1">IFERROR(__xludf.DUMMYFUNCTION("""COMPUTED_VALUE"""),"No")</f>
        <v>No</v>
      </c>
      <c r="AG1921" s="5" t="str">
        <f ca="1">IFERROR(__xludf.DUMMYFUNCTION("""COMPUTED_VALUE"""),"No")</f>
        <v>No</v>
      </c>
      <c r="AH1921" s="5" t="str">
        <f ca="1">IFERROR(__xludf.DUMMYFUNCTION("""COMPUTED_VALUE"""),"Yes")</f>
        <v>Yes</v>
      </c>
    </row>
    <row r="1922" spans="1:34" ht="12.75">
      <c r="A1922" s="5" t="str">
        <f ca="1">IFERROR(__xludf.DUMMYFUNCTION("""COMPUTED_VALUE"""),"19801212ALPAB")</f>
        <v>19801212ALPAB</v>
      </c>
      <c r="B1922" s="8">
        <f ca="1">IFERROR(__xludf.DUMMYFUNCTION("""COMPUTED_VALUE"""),29567)</f>
        <v>29567</v>
      </c>
      <c r="C1922" s="5" t="str">
        <f ca="1">IFERROR(__xludf.DUMMYFUNCTION("""COMPUTED_VALUE"""),"Parker High School")</f>
        <v>Parker High School</v>
      </c>
      <c r="D1922" s="5">
        <f ca="1">IFERROR(__xludf.DUMMYFUNCTION("""COMPUTED_VALUE"""),0)</f>
        <v>0</v>
      </c>
      <c r="E1922" s="5">
        <f ca="1">IFERROR(__xludf.DUMMYFUNCTION("""COMPUTED_VALUE"""),1)</f>
        <v>1</v>
      </c>
      <c r="F1922" s="5">
        <f ca="1">IFERROR(__xludf.DUMMYFUNCTION("""COMPUTED_VALUE"""),1)</f>
        <v>1</v>
      </c>
      <c r="G1922" s="5">
        <f ca="1">IFERROR(__xludf.DUMMYFUNCTION("""COMPUTED_VALUE"""),0)</f>
        <v>0</v>
      </c>
      <c r="H1922" s="9" t="str">
        <f ca="1">IFERROR(__xludf.DUMMYFUNCTION("""COMPUTED_VALUE"""),"https://www.newspapers.com/image/262419526/?terms=Parker%2BHigh%2BSchool%2Bshooting%2Bbirmingham")</f>
        <v>https://www.newspapers.com/image/262419526/?terms=Parker%2BHigh%2BSchool%2Bshooting%2Bbirmingham</v>
      </c>
      <c r="I1922" s="5"/>
      <c r="J1922" s="5"/>
      <c r="K1922" s="5">
        <f ca="1">IFERROR(__xludf.DUMMYFUNCTION("""COMPUTED_VALUE"""),2)</f>
        <v>2</v>
      </c>
      <c r="L1922" s="5" t="str">
        <f ca="1">IFERROR(__xludf.DUMMYFUNCTION("""COMPUTED_VALUE"""),"Winter")</f>
        <v>Winter</v>
      </c>
      <c r="M1922" s="5" t="str">
        <f ca="1">IFERROR(__xludf.DUMMYFUNCTION("""COMPUTED_VALUE"""),"Birmingham")</f>
        <v>Birmingham</v>
      </c>
      <c r="N1922" s="5" t="str">
        <f ca="1">IFERROR(__xludf.DUMMYFUNCTION("""COMPUTED_VALUE"""),"AL")</f>
        <v>AL</v>
      </c>
      <c r="O1922" s="5" t="str">
        <f ca="1">IFERROR(__xludf.DUMMYFUNCTION("""COMPUTED_VALUE"""),"High")</f>
        <v>High</v>
      </c>
      <c r="P1922" s="5" t="str">
        <f ca="1">IFERROR(__xludf.DUMMYFUNCTION("""COMPUTED_VALUE"""),"Hallway")</f>
        <v>Hallway</v>
      </c>
      <c r="Q1922" s="5" t="str">
        <f ca="1">IFERROR(__xludf.DUMMYFUNCTION("""COMPUTED_VALUE"""),"Inside School Building")</f>
        <v>Inside School Building</v>
      </c>
      <c r="R1922" s="5" t="str">
        <f ca="1">IFERROR(__xludf.DUMMYFUNCTION("""COMPUTED_VALUE"""),"Yes")</f>
        <v>Yes</v>
      </c>
      <c r="S1922" s="5" t="str">
        <f ca="1">IFERROR(__xludf.DUMMYFUNCTION("""COMPUTED_VALUE"""),"Dismissal")</f>
        <v>Dismissal</v>
      </c>
      <c r="T1922" s="10">
        <f ca="1">IFERROR(__xludf.DUMMYFUNCTION("""COMPUTED_VALUE"""),0.625)</f>
        <v>0.625</v>
      </c>
      <c r="U1922" s="5">
        <f ca="1">IFERROR(__xludf.DUMMYFUNCTION("""COMPUTED_VALUE"""),1)</f>
        <v>1</v>
      </c>
      <c r="V1922"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W1922"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X1922" s="5" t="str">
        <f ca="1">IFERROR(__xludf.DUMMYFUNCTION("""COMPUTED_VALUE"""),"Illegal Activity")</f>
        <v>Illegal Activity</v>
      </c>
      <c r="Y1922" s="5" t="str">
        <f ca="1">IFERROR(__xludf.DUMMYFUNCTION("""COMPUTED_VALUE"""),"Both")</f>
        <v>Both</v>
      </c>
      <c r="Z1922" s="5" t="str">
        <f ca="1">IFERROR(__xludf.DUMMYFUNCTION("""COMPUTED_VALUE"""),"Yes")</f>
        <v>Yes</v>
      </c>
      <c r="AA1922" s="5" t="str">
        <f ca="1">IFERROR(__xludf.DUMMYFUNCTION("""COMPUTED_VALUE"""),"Group of 4 non-students")</f>
        <v>Group of 4 non-students</v>
      </c>
      <c r="AB1922" s="5" t="str">
        <f ca="1">IFERROR(__xludf.DUMMYFUNCTION("""COMPUTED_VALUE"""),"No")</f>
        <v>No</v>
      </c>
      <c r="AC1922" s="5" t="str">
        <f ca="1">IFERROR(__xludf.DUMMYFUNCTION("""COMPUTED_VALUE"""),"No")</f>
        <v>No</v>
      </c>
      <c r="AD1922" s="5" t="str">
        <f ca="1">IFERROR(__xludf.DUMMYFUNCTION("""COMPUTED_VALUE"""),"No")</f>
        <v>No</v>
      </c>
      <c r="AE1922" s="5" t="str">
        <f ca="1">IFERROR(__xludf.DUMMYFUNCTION("""COMPUTED_VALUE"""),"No")</f>
        <v>No</v>
      </c>
      <c r="AF1922" s="5" t="str">
        <f ca="1">IFERROR(__xludf.DUMMYFUNCTION("""COMPUTED_VALUE"""),"No")</f>
        <v>No</v>
      </c>
      <c r="AG1922" s="5"/>
      <c r="AH1922" s="5"/>
    </row>
    <row r="1923" spans="1:34" ht="12.75">
      <c r="A1923" s="5" t="str">
        <f ca="1">IFERROR(__xludf.DUMMYFUNCTION("""COMPUTED_VALUE"""),"19801117TXEAF")</f>
        <v>19801117TXEAF</v>
      </c>
      <c r="B1923" s="8">
        <f ca="1">IFERROR(__xludf.DUMMYFUNCTION("""COMPUTED_VALUE"""),29542)</f>
        <v>29542</v>
      </c>
      <c r="C1923" s="5" t="str">
        <f ca="1">IFERROR(__xludf.DUMMYFUNCTION("""COMPUTED_VALUE"""),"Eastern Hills High School")</f>
        <v>Eastern Hills High School</v>
      </c>
      <c r="D1923" s="5">
        <f ca="1">IFERROR(__xludf.DUMMYFUNCTION("""COMPUTED_VALUE"""),0)</f>
        <v>0</v>
      </c>
      <c r="E1923" s="5">
        <f ca="1">IFERROR(__xludf.DUMMYFUNCTION("""COMPUTED_VALUE"""),1)</f>
        <v>1</v>
      </c>
      <c r="F1923" s="5">
        <f ca="1">IFERROR(__xludf.DUMMYFUNCTION("""COMPUTED_VALUE"""),1)</f>
        <v>1</v>
      </c>
      <c r="G1923" s="5">
        <f ca="1">IFERROR(__xludf.DUMMYFUNCTION("""COMPUTED_VALUE"""),0)</f>
        <v>0</v>
      </c>
      <c r="H1923"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I1923" s="5"/>
      <c r="J1923" s="5"/>
      <c r="K1923" s="5">
        <f ca="1">IFERROR(__xludf.DUMMYFUNCTION("""COMPUTED_VALUE"""),2)</f>
        <v>2</v>
      </c>
      <c r="L1923" s="5" t="str">
        <f ca="1">IFERROR(__xludf.DUMMYFUNCTION("""COMPUTED_VALUE"""),"Fall")</f>
        <v>Fall</v>
      </c>
      <c r="M1923" s="5" t="str">
        <f ca="1">IFERROR(__xludf.DUMMYFUNCTION("""COMPUTED_VALUE"""),"Fort Worth")</f>
        <v>Fort Worth</v>
      </c>
      <c r="N1923" s="5" t="str">
        <f ca="1">IFERROR(__xludf.DUMMYFUNCTION("""COMPUTED_VALUE"""),"TX")</f>
        <v>TX</v>
      </c>
      <c r="O1923" s="5" t="str">
        <f ca="1">IFERROR(__xludf.DUMMYFUNCTION("""COMPUTED_VALUE"""),"High")</f>
        <v>High</v>
      </c>
      <c r="P1923" s="5" t="str">
        <f ca="1">IFERROR(__xludf.DUMMYFUNCTION("""COMPUTED_VALUE"""),"Parking Lot")</f>
        <v>Parking Lot</v>
      </c>
      <c r="Q1923" s="5" t="str">
        <f ca="1">IFERROR(__xludf.DUMMYFUNCTION("""COMPUTED_VALUE"""),"Outside on School Property")</f>
        <v>Outside on School Property</v>
      </c>
      <c r="R1923" s="5" t="str">
        <f ca="1">IFERROR(__xludf.DUMMYFUNCTION("""COMPUTED_VALUE"""),"Yes")</f>
        <v>Yes</v>
      </c>
      <c r="S1923" s="5" t="str">
        <f ca="1">IFERROR(__xludf.DUMMYFUNCTION("""COMPUTED_VALUE"""),"Lunch")</f>
        <v>Lunch</v>
      </c>
      <c r="T1923" s="10">
        <f ca="1">IFERROR(__xludf.DUMMYFUNCTION("""COMPUTED_VALUE"""),0.5)</f>
        <v>0.5</v>
      </c>
      <c r="U1923" s="5">
        <f ca="1">IFERROR(__xludf.DUMMYFUNCTION("""COMPUTED_VALUE"""),1)</f>
        <v>1</v>
      </c>
      <c r="V1923" s="5" t="str">
        <f ca="1">IFERROR(__xludf.DUMMYFUNCTION("""COMPUTED_VALUE"""),"Occurred in school parking lot - on going argument")</f>
        <v>Occurred in school parking lot - on going argument</v>
      </c>
      <c r="W1923"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X1923" s="5" t="str">
        <f ca="1">IFERROR(__xludf.DUMMYFUNCTION("""COMPUTED_VALUE"""),"Escalation of Dispute")</f>
        <v>Escalation of Dispute</v>
      </c>
      <c r="Y1923" s="5" t="str">
        <f ca="1">IFERROR(__xludf.DUMMYFUNCTION("""COMPUTED_VALUE"""),"Victims Targeted")</f>
        <v>Victims Targeted</v>
      </c>
      <c r="Z1923" s="5" t="str">
        <f ca="1">IFERROR(__xludf.DUMMYFUNCTION("""COMPUTED_VALUE"""),"No")</f>
        <v>No</v>
      </c>
      <c r="AA1923" s="5"/>
      <c r="AB1923" s="5" t="str">
        <f ca="1">IFERROR(__xludf.DUMMYFUNCTION("""COMPUTED_VALUE"""),"No")</f>
        <v>No</v>
      </c>
      <c r="AC1923" s="5" t="str">
        <f ca="1">IFERROR(__xludf.DUMMYFUNCTION("""COMPUTED_VALUE"""),"No")</f>
        <v>No</v>
      </c>
      <c r="AD1923" s="5" t="str">
        <f ca="1">IFERROR(__xludf.DUMMYFUNCTION("""COMPUTED_VALUE"""),"No")</f>
        <v>No</v>
      </c>
      <c r="AE1923" s="5"/>
      <c r="AF1923" s="5" t="str">
        <f ca="1">IFERROR(__xludf.DUMMYFUNCTION("""COMPUTED_VALUE"""),"No")</f>
        <v>No</v>
      </c>
      <c r="AG1923" s="5" t="str">
        <f ca="1">IFERROR(__xludf.DUMMYFUNCTION("""COMPUTED_VALUE"""),"No")</f>
        <v>No</v>
      </c>
      <c r="AH1923" s="5"/>
    </row>
    <row r="1924" spans="1:34" ht="12.75">
      <c r="A1924" s="5" t="str">
        <f ca="1">IFERROR(__xludf.DUMMYFUNCTION("""COMPUTED_VALUE"""),"19801031ALHUH")</f>
        <v>19801031ALHUH</v>
      </c>
      <c r="B1924" s="8">
        <f ca="1">IFERROR(__xludf.DUMMYFUNCTION("""COMPUTED_VALUE"""),29525)</f>
        <v>29525</v>
      </c>
      <c r="C1924" s="5" t="str">
        <f ca="1">IFERROR(__xludf.DUMMYFUNCTION("""COMPUTED_VALUE"""),"Hueytown High School")</f>
        <v>Hueytown High School</v>
      </c>
      <c r="D1924" s="5">
        <f ca="1">IFERROR(__xludf.DUMMYFUNCTION("""COMPUTED_VALUE"""),0)</f>
        <v>0</v>
      </c>
      <c r="E1924" s="5">
        <f ca="1">IFERROR(__xludf.DUMMYFUNCTION("""COMPUTED_VALUE"""),1)</f>
        <v>1</v>
      </c>
      <c r="F1924" s="5">
        <f ca="1">IFERROR(__xludf.DUMMYFUNCTION("""COMPUTED_VALUE"""),1)</f>
        <v>1</v>
      </c>
      <c r="G1924" s="5">
        <f ca="1">IFERROR(__xludf.DUMMYFUNCTION("""COMPUTED_VALUE"""),1)</f>
        <v>1</v>
      </c>
      <c r="H1924" s="9" t="str">
        <f ca="1">IFERROR(__xludf.DUMMYFUNCTION("""COMPUTED_VALUE"""),"https://www.newspapers.com/newspage/106527312/")</f>
        <v>https://www.newspapers.com/newspage/106527312/</v>
      </c>
      <c r="I1924" s="5"/>
      <c r="J1924" s="5"/>
      <c r="K1924" s="5">
        <f ca="1">IFERROR(__xludf.DUMMYFUNCTION("""COMPUTED_VALUE"""),2)</f>
        <v>2</v>
      </c>
      <c r="L1924" s="5" t="str">
        <f ca="1">IFERROR(__xludf.DUMMYFUNCTION("""COMPUTED_VALUE"""),"Fall")</f>
        <v>Fall</v>
      </c>
      <c r="M1924" s="5" t="str">
        <f ca="1">IFERROR(__xludf.DUMMYFUNCTION("""COMPUTED_VALUE"""),"Hueytown")</f>
        <v>Hueytown</v>
      </c>
      <c r="N1924" s="5" t="str">
        <f ca="1">IFERROR(__xludf.DUMMYFUNCTION("""COMPUTED_VALUE"""),"AL")</f>
        <v>AL</v>
      </c>
      <c r="O1924" s="5" t="str">
        <f ca="1">IFERROR(__xludf.DUMMYFUNCTION("""COMPUTED_VALUE"""),"High")</f>
        <v>High</v>
      </c>
      <c r="P1924" s="5" t="str">
        <f ca="1">IFERROR(__xludf.DUMMYFUNCTION("""COMPUTED_VALUE"""),"Classroom")</f>
        <v>Classroom</v>
      </c>
      <c r="Q1924" s="5" t="str">
        <f ca="1">IFERROR(__xludf.DUMMYFUNCTION("""COMPUTED_VALUE"""),"Inside School Building")</f>
        <v>Inside School Building</v>
      </c>
      <c r="R1924" s="5" t="str">
        <f ca="1">IFERROR(__xludf.DUMMYFUNCTION("""COMPUTED_VALUE"""),"Yes")</f>
        <v>Yes</v>
      </c>
      <c r="S1924" s="5"/>
      <c r="T1924" s="5"/>
      <c r="U1924" s="5">
        <f ca="1">IFERROR(__xludf.DUMMYFUNCTION("""COMPUTED_VALUE"""),1)</f>
        <v>1</v>
      </c>
      <c r="V1924" s="5" t="str">
        <f ca="1">IFERROR(__xludf.DUMMYFUNCTION("""COMPUTED_VALUE"""),"Shooter pulled out a .22 caliber pistol and wounded a fellow student in the art room then shot himself")</f>
        <v>Shooter pulled out a .22 caliber pistol and wounded a fellow student in the art room then shot himself</v>
      </c>
      <c r="W1924"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X1924" s="5" t="str">
        <f ca="1">IFERROR(__xludf.DUMMYFUNCTION("""COMPUTED_VALUE"""),"Escalation of Dispute")</f>
        <v>Escalation of Dispute</v>
      </c>
      <c r="Y1924" s="5" t="str">
        <f ca="1">IFERROR(__xludf.DUMMYFUNCTION("""COMPUTED_VALUE"""),"Victims Targeted")</f>
        <v>Victims Targeted</v>
      </c>
      <c r="Z1924" s="5" t="str">
        <f ca="1">IFERROR(__xludf.DUMMYFUNCTION("""COMPUTED_VALUE"""),"No")</f>
        <v>No</v>
      </c>
      <c r="AA1924" s="5"/>
      <c r="AB1924" s="5" t="str">
        <f ca="1">IFERROR(__xludf.DUMMYFUNCTION("""COMPUTED_VALUE"""),"No")</f>
        <v>No</v>
      </c>
      <c r="AC1924" s="5" t="str">
        <f ca="1">IFERROR(__xludf.DUMMYFUNCTION("""COMPUTED_VALUE"""),"No")</f>
        <v>No</v>
      </c>
      <c r="AD1924" s="5" t="str">
        <f ca="1">IFERROR(__xludf.DUMMYFUNCTION("""COMPUTED_VALUE"""),"No")</f>
        <v>No</v>
      </c>
      <c r="AE1924" s="5"/>
      <c r="AF1924" s="5" t="str">
        <f ca="1">IFERROR(__xludf.DUMMYFUNCTION("""COMPUTED_VALUE"""),"No")</f>
        <v>No</v>
      </c>
      <c r="AG1924" s="5" t="str">
        <f ca="1">IFERROR(__xludf.DUMMYFUNCTION("""COMPUTED_VALUE"""),"No")</f>
        <v>No</v>
      </c>
      <c r="AH1924" s="5"/>
    </row>
    <row r="1925" spans="1:34" ht="12.75">
      <c r="A1925" s="5" t="str">
        <f ca="1">IFERROR(__xludf.DUMMYFUNCTION("""COMPUTED_VALUE"""),"19801013ALCET")</f>
        <v>19801013ALCET</v>
      </c>
      <c r="B1925" s="8">
        <f ca="1">IFERROR(__xludf.DUMMYFUNCTION("""COMPUTED_VALUE"""),29507)</f>
        <v>29507</v>
      </c>
      <c r="C1925" s="5" t="str">
        <f ca="1">IFERROR(__xludf.DUMMYFUNCTION("""COMPUTED_VALUE"""),"Central High School")</f>
        <v>Central High School</v>
      </c>
      <c r="D1925" s="5">
        <f ca="1">IFERROR(__xludf.DUMMYFUNCTION("""COMPUTED_VALUE"""),0)</f>
        <v>0</v>
      </c>
      <c r="E1925" s="5">
        <f ca="1">IFERROR(__xludf.DUMMYFUNCTION("""COMPUTED_VALUE"""),1)</f>
        <v>1</v>
      </c>
      <c r="F1925" s="5">
        <f ca="1">IFERROR(__xludf.DUMMYFUNCTION("""COMPUTED_VALUE"""),1)</f>
        <v>1</v>
      </c>
      <c r="G1925" s="5">
        <f ca="1">IFERROR(__xludf.DUMMYFUNCTION("""COMPUTED_VALUE"""),0)</f>
        <v>0</v>
      </c>
      <c r="H1925" s="9" t="str">
        <f ca="1">IFERROR(__xludf.DUMMYFUNCTION("""COMPUTED_VALUE"""),"https://www.newspapers.com/image/266962735/?terms=Central%2BHigh%2BSchool%2Btuscaloosa%2Bshooting")</f>
        <v>https://www.newspapers.com/image/266962735/?terms=Central%2BHigh%2BSchool%2Btuscaloosa%2Bshooting</v>
      </c>
      <c r="I1925" s="5"/>
      <c r="J1925" s="5"/>
      <c r="K1925" s="5">
        <f ca="1">IFERROR(__xludf.DUMMYFUNCTION("""COMPUTED_VALUE"""),2)</f>
        <v>2</v>
      </c>
      <c r="L1925" s="5" t="str">
        <f ca="1">IFERROR(__xludf.DUMMYFUNCTION("""COMPUTED_VALUE"""),"Fall")</f>
        <v>Fall</v>
      </c>
      <c r="M1925" s="5" t="str">
        <f ca="1">IFERROR(__xludf.DUMMYFUNCTION("""COMPUTED_VALUE"""),"Tuscaloosa")</f>
        <v>Tuscaloosa</v>
      </c>
      <c r="N1925" s="5" t="str">
        <f ca="1">IFERROR(__xludf.DUMMYFUNCTION("""COMPUTED_VALUE"""),"AL")</f>
        <v>AL</v>
      </c>
      <c r="O1925" s="5" t="str">
        <f ca="1">IFERROR(__xludf.DUMMYFUNCTION("""COMPUTED_VALUE"""),"High")</f>
        <v>High</v>
      </c>
      <c r="P1925" s="5" t="str">
        <f ca="1">IFERROR(__xludf.DUMMYFUNCTION("""COMPUTED_VALUE"""),"ND")</f>
        <v>ND</v>
      </c>
      <c r="Q1925" s="5" t="str">
        <f ca="1">IFERROR(__xludf.DUMMYFUNCTION("""COMPUTED_VALUE"""),"ND")</f>
        <v>ND</v>
      </c>
      <c r="R1925" s="5" t="str">
        <f ca="1">IFERROR(__xludf.DUMMYFUNCTION("""COMPUTED_VALUE"""),"No")</f>
        <v>No</v>
      </c>
      <c r="S1925" s="5" t="str">
        <f ca="1">IFERROR(__xludf.DUMMYFUNCTION("""COMPUTED_VALUE"""),"After School")</f>
        <v>After School</v>
      </c>
      <c r="T1925" s="5"/>
      <c r="U1925" s="5">
        <f ca="1">IFERROR(__xludf.DUMMYFUNCTION("""COMPUTED_VALUE"""),1)</f>
        <v>1</v>
      </c>
      <c r="V1925" s="5" t="str">
        <f ca="1">IFERROR(__xludf.DUMMYFUNCTION("""COMPUTED_VALUE"""),"Student shot another student in the back after school, motive unknown")</f>
        <v>Student shot another student in the back after school, motive unknown</v>
      </c>
      <c r="W1925" s="5" t="str">
        <f ca="1">IFERROR(__xludf.DUMMYFUNCTION("""COMPUTED_VALUE"""),"17YOM shot a 15YOM student in the back after school.")</f>
        <v>17YOM shot a 15YOM student in the back after school.</v>
      </c>
      <c r="X1925" s="5" t="str">
        <f ca="1">IFERROR(__xludf.DUMMYFUNCTION("""COMPUTED_VALUE"""),"Escalation of Dispute")</f>
        <v>Escalation of Dispute</v>
      </c>
      <c r="Y1925" s="5" t="str">
        <f ca="1">IFERROR(__xludf.DUMMYFUNCTION("""COMPUTED_VALUE"""),"Victims Targeted")</f>
        <v>Victims Targeted</v>
      </c>
      <c r="Z1925" s="5" t="str">
        <f ca="1">IFERROR(__xludf.DUMMYFUNCTION("""COMPUTED_VALUE"""),"No")</f>
        <v>No</v>
      </c>
      <c r="AA1925" s="5"/>
      <c r="AB1925" s="5" t="str">
        <f ca="1">IFERROR(__xludf.DUMMYFUNCTION("""COMPUTED_VALUE"""),"No")</f>
        <v>No</v>
      </c>
      <c r="AC1925" s="5" t="str">
        <f ca="1">IFERROR(__xludf.DUMMYFUNCTION("""COMPUTED_VALUE"""),"No")</f>
        <v>No</v>
      </c>
      <c r="AD1925" s="5" t="str">
        <f ca="1">IFERROR(__xludf.DUMMYFUNCTION("""COMPUTED_VALUE"""),"No")</f>
        <v>No</v>
      </c>
      <c r="AE1925" s="5"/>
      <c r="AF1925" s="5" t="str">
        <f ca="1">IFERROR(__xludf.DUMMYFUNCTION("""COMPUTED_VALUE"""),"No")</f>
        <v>No</v>
      </c>
      <c r="AG1925" s="5" t="str">
        <f ca="1">IFERROR(__xludf.DUMMYFUNCTION("""COMPUTED_VALUE"""),"No")</f>
        <v>No</v>
      </c>
      <c r="AH1925" s="5"/>
    </row>
    <row r="1926" spans="1:34" ht="12.75">
      <c r="A1926" s="5" t="str">
        <f ca="1">IFERROR(__xludf.DUMMYFUNCTION("""COMPUTED_VALUE"""),"19800926CTBRB")</f>
        <v>19800926CTBRB</v>
      </c>
      <c r="B1926" s="8">
        <f ca="1">IFERROR(__xludf.DUMMYFUNCTION("""COMPUTED_VALUE"""),29490)</f>
        <v>29490</v>
      </c>
      <c r="C1926" s="5" t="str">
        <f ca="1">IFERROR(__xludf.DUMMYFUNCTION("""COMPUTED_VALUE"""),"Bridgeport Central High School")</f>
        <v>Bridgeport Central High School</v>
      </c>
      <c r="D1926" s="5">
        <f ca="1">IFERROR(__xludf.DUMMYFUNCTION("""COMPUTED_VALUE"""),0)</f>
        <v>0</v>
      </c>
      <c r="E1926" s="5">
        <f ca="1">IFERROR(__xludf.DUMMYFUNCTION("""COMPUTED_VALUE"""),2)</f>
        <v>2</v>
      </c>
      <c r="F1926" s="5">
        <f ca="1">IFERROR(__xludf.DUMMYFUNCTION("""COMPUTED_VALUE"""),2)</f>
        <v>2</v>
      </c>
      <c r="G1926" s="5">
        <f ca="1">IFERROR(__xludf.DUMMYFUNCTION("""COMPUTED_VALUE"""),0)</f>
        <v>0</v>
      </c>
      <c r="H1926" s="9" t="str">
        <f ca="1">IFERROR(__xludf.DUMMYFUNCTION("""COMPUTED_VALUE"""),"https://www.newspapers.com/image/242933436/?terms=student%2Bshot")</f>
        <v>https://www.newspapers.com/image/242933436/?terms=student%2Bshot</v>
      </c>
      <c r="I1926" s="5"/>
      <c r="J1926" s="5"/>
      <c r="K1926" s="5">
        <f ca="1">IFERROR(__xludf.DUMMYFUNCTION("""COMPUTED_VALUE"""),2)</f>
        <v>2</v>
      </c>
      <c r="L1926" s="5" t="str">
        <f ca="1">IFERROR(__xludf.DUMMYFUNCTION("""COMPUTED_VALUE"""),"Fall")</f>
        <v>Fall</v>
      </c>
      <c r="M1926" s="5" t="str">
        <f ca="1">IFERROR(__xludf.DUMMYFUNCTION("""COMPUTED_VALUE"""),"Bridgeport")</f>
        <v>Bridgeport</v>
      </c>
      <c r="N1926" s="5" t="str">
        <f ca="1">IFERROR(__xludf.DUMMYFUNCTION("""COMPUTED_VALUE"""),"CT")</f>
        <v>CT</v>
      </c>
      <c r="O1926" s="5" t="str">
        <f ca="1">IFERROR(__xludf.DUMMYFUNCTION("""COMPUTED_VALUE"""),"High")</f>
        <v>High</v>
      </c>
      <c r="P1926" s="5" t="str">
        <f ca="1">IFERROR(__xludf.DUMMYFUNCTION("""COMPUTED_VALUE"""),"Beside Building")</f>
        <v>Beside Building</v>
      </c>
      <c r="Q1926" s="5" t="str">
        <f ca="1">IFERROR(__xludf.DUMMYFUNCTION("""COMPUTED_VALUE"""),"Outside on School Property")</f>
        <v>Outside on School Property</v>
      </c>
      <c r="R1926" s="5" t="str">
        <f ca="1">IFERROR(__xludf.DUMMYFUNCTION("""COMPUTED_VALUE"""),"Yes")</f>
        <v>Yes</v>
      </c>
      <c r="S1926" s="5" t="str">
        <f ca="1">IFERROR(__xludf.DUMMYFUNCTION("""COMPUTED_VALUE"""),"School Start")</f>
        <v>School Start</v>
      </c>
      <c r="T1926" s="10">
        <f ca="1">IFERROR(__xludf.DUMMYFUNCTION("""COMPUTED_VALUE"""),0.371527777777777)</f>
        <v>0.37152777777777701</v>
      </c>
      <c r="U1926" s="5"/>
      <c r="V1926" s="5" t="str">
        <f ca="1">IFERROR(__xludf.DUMMYFUNCTION("""COMPUTED_VALUE"""),"Looking for ex-girlfriend, fired indiscriminately when he could not find her")</f>
        <v>Looking for ex-girlfriend, fired indiscriminately when he could not find her</v>
      </c>
      <c r="W1926"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X1926" s="5" t="str">
        <f ca="1">IFERROR(__xludf.DUMMYFUNCTION("""COMPUTED_VALUE"""),"Indiscriminate Shooting")</f>
        <v>Indiscriminate Shooting</v>
      </c>
      <c r="Y1926" s="5" t="str">
        <f ca="1">IFERROR(__xludf.DUMMYFUNCTION("""COMPUTED_VALUE"""),"Both")</f>
        <v>Both</v>
      </c>
      <c r="Z1926" s="5" t="str">
        <f ca="1">IFERROR(__xludf.DUMMYFUNCTION("""COMPUTED_VALUE"""),"No")</f>
        <v>No</v>
      </c>
      <c r="AA1926" s="5"/>
      <c r="AB1926" s="5" t="str">
        <f ca="1">IFERROR(__xludf.DUMMYFUNCTION("""COMPUTED_VALUE"""),"No")</f>
        <v>No</v>
      </c>
      <c r="AC1926" s="5" t="str">
        <f ca="1">IFERROR(__xludf.DUMMYFUNCTION("""COMPUTED_VALUE"""),"No")</f>
        <v>No</v>
      </c>
      <c r="AD1926" s="5" t="str">
        <f ca="1">IFERROR(__xludf.DUMMYFUNCTION("""COMPUTED_VALUE"""),"No")</f>
        <v>No</v>
      </c>
      <c r="AE1926" s="5" t="str">
        <f ca="1">IFERROR(__xludf.DUMMYFUNCTION("""COMPUTED_VALUE"""),"No")</f>
        <v>No</v>
      </c>
      <c r="AF1926" s="5" t="str">
        <f ca="1">IFERROR(__xludf.DUMMYFUNCTION("""COMPUTED_VALUE"""),"Yes")</f>
        <v>Yes</v>
      </c>
      <c r="AG1926" s="5" t="str">
        <f ca="1">IFERROR(__xludf.DUMMYFUNCTION("""COMPUTED_VALUE"""),"No")</f>
        <v>No</v>
      </c>
      <c r="AH1926" s="5" t="str">
        <f ca="1">IFERROR(__xludf.DUMMYFUNCTION("""COMPUTED_VALUE"""),"Yes")</f>
        <v>Yes</v>
      </c>
    </row>
    <row r="1927" spans="1:34" ht="12.75">
      <c r="A1927" s="5" t="str">
        <f ca="1">IFERROR(__xludf.DUMMYFUNCTION("""COMPUTED_VALUE"""),"19800911ALJOM")</f>
        <v>19800911ALJOM</v>
      </c>
      <c r="B1927" s="8">
        <f ca="1">IFERROR(__xludf.DUMMYFUNCTION("""COMPUTED_VALUE"""),29475)</f>
        <v>29475</v>
      </c>
      <c r="C1927" s="5" t="str">
        <f ca="1">IFERROR(__xludf.DUMMYFUNCTION("""COMPUTED_VALUE"""),"John S. Shaw High School")</f>
        <v>John S. Shaw High School</v>
      </c>
      <c r="D1927" s="5">
        <f ca="1">IFERROR(__xludf.DUMMYFUNCTION("""COMPUTED_VALUE"""),1)</f>
        <v>1</v>
      </c>
      <c r="E1927" s="5">
        <f ca="1">IFERROR(__xludf.DUMMYFUNCTION("""COMPUTED_VALUE"""),0)</f>
        <v>0</v>
      </c>
      <c r="F1927" s="5">
        <f ca="1">IFERROR(__xludf.DUMMYFUNCTION("""COMPUTED_VALUE"""),1)</f>
        <v>1</v>
      </c>
      <c r="G1927" s="5">
        <f ca="1">IFERROR(__xludf.DUMMYFUNCTION("""COMPUTED_VALUE"""),0)</f>
        <v>0</v>
      </c>
      <c r="H1927" s="9" t="str">
        <f ca="1">IFERROR(__xludf.DUMMYFUNCTION("""COMPUTED_VALUE"""),"https://www.newspapers.com/image/265350967/?terms=marian%2Bgreen")</f>
        <v>https://www.newspapers.com/image/265350967/?terms=marian%2Bgreen</v>
      </c>
      <c r="I1927" s="5"/>
      <c r="J1927" s="5"/>
      <c r="K1927" s="5">
        <f ca="1">IFERROR(__xludf.DUMMYFUNCTION("""COMPUTED_VALUE"""),2)</f>
        <v>2</v>
      </c>
      <c r="L1927" s="5" t="str">
        <f ca="1">IFERROR(__xludf.DUMMYFUNCTION("""COMPUTED_VALUE"""),"Fall")</f>
        <v>Fall</v>
      </c>
      <c r="M1927" s="5" t="str">
        <f ca="1">IFERROR(__xludf.DUMMYFUNCTION("""COMPUTED_VALUE"""),"Mobile")</f>
        <v>Mobile</v>
      </c>
      <c r="N1927" s="5" t="str">
        <f ca="1">IFERROR(__xludf.DUMMYFUNCTION("""COMPUTED_VALUE"""),"AL")</f>
        <v>AL</v>
      </c>
      <c r="O1927" s="5" t="str">
        <f ca="1">IFERROR(__xludf.DUMMYFUNCTION("""COMPUTED_VALUE"""),"High")</f>
        <v>High</v>
      </c>
      <c r="P1927" s="5" t="str">
        <f ca="1">IFERROR(__xludf.DUMMYFUNCTION("""COMPUTED_VALUE"""),"Office")</f>
        <v>Office</v>
      </c>
      <c r="Q1927" s="5" t="str">
        <f ca="1">IFERROR(__xludf.DUMMYFUNCTION("""COMPUTED_VALUE"""),"Inside School Building")</f>
        <v>Inside School Building</v>
      </c>
      <c r="R1927" s="5" t="str">
        <f ca="1">IFERROR(__xludf.DUMMYFUNCTION("""COMPUTED_VALUE"""),"Yes")</f>
        <v>Yes</v>
      </c>
      <c r="S1927" s="5"/>
      <c r="T1927" s="5"/>
      <c r="U1927" s="5">
        <f ca="1">IFERROR(__xludf.DUMMYFUNCTION("""COMPUTED_VALUE"""),1)</f>
        <v>1</v>
      </c>
      <c r="V1927" s="5" t="str">
        <f ca="1">IFERROR(__xludf.DUMMYFUNCTION("""COMPUTED_VALUE"""),"Ongoing fight between teachers")</f>
        <v>Ongoing fight between teachers</v>
      </c>
      <c r="W1927"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X1927" s="5" t="str">
        <f ca="1">IFERROR(__xludf.DUMMYFUNCTION("""COMPUTED_VALUE"""),"Escalation of Dispute")</f>
        <v>Escalation of Dispute</v>
      </c>
      <c r="Y1927" s="5" t="str">
        <f ca="1">IFERROR(__xludf.DUMMYFUNCTION("""COMPUTED_VALUE"""),"Victims Targeted")</f>
        <v>Victims Targeted</v>
      </c>
      <c r="Z1927" s="5"/>
      <c r="AA1927" s="5"/>
      <c r="AB1927" s="5" t="str">
        <f ca="1">IFERROR(__xludf.DUMMYFUNCTION("""COMPUTED_VALUE"""),"No")</f>
        <v>No</v>
      </c>
      <c r="AC1927" s="5" t="str">
        <f ca="1">IFERROR(__xludf.DUMMYFUNCTION("""COMPUTED_VALUE"""),"No")</f>
        <v>No</v>
      </c>
      <c r="AD1927" s="5" t="str">
        <f ca="1">IFERROR(__xludf.DUMMYFUNCTION("""COMPUTED_VALUE"""),"No")</f>
        <v>No</v>
      </c>
      <c r="AE1927" s="5" t="str">
        <f ca="1">IFERROR(__xludf.DUMMYFUNCTION("""COMPUTED_VALUE"""),"No")</f>
        <v>No</v>
      </c>
      <c r="AF1927" s="5" t="str">
        <f ca="1">IFERROR(__xludf.DUMMYFUNCTION("""COMPUTED_VALUE"""),"No")</f>
        <v>No</v>
      </c>
      <c r="AG1927" s="5" t="str">
        <f ca="1">IFERROR(__xludf.DUMMYFUNCTION("""COMPUTED_VALUE"""),"No")</f>
        <v>No</v>
      </c>
      <c r="AH1927" s="5"/>
    </row>
    <row r="1928" spans="1:34" ht="12.75">
      <c r="A1928" s="5" t="str">
        <f ca="1">IFERROR(__xludf.DUMMYFUNCTION("""COMPUTED_VALUE"""),"19800910DCSPW")</f>
        <v>19800910DCSPW</v>
      </c>
      <c r="B1928" s="8">
        <f ca="1">IFERROR(__xludf.DUMMYFUNCTION("""COMPUTED_VALUE"""),29474)</f>
        <v>29474</v>
      </c>
      <c r="C1928" s="5" t="str">
        <f ca="1">IFERROR(__xludf.DUMMYFUNCTION("""COMPUTED_VALUE"""),"Springarn High School")</f>
        <v>Springarn High School</v>
      </c>
      <c r="D1928" s="5">
        <f ca="1">IFERROR(__xludf.DUMMYFUNCTION("""COMPUTED_VALUE"""),1)</f>
        <v>1</v>
      </c>
      <c r="E1928" s="5">
        <f ca="1">IFERROR(__xludf.DUMMYFUNCTION("""COMPUTED_VALUE"""),0)</f>
        <v>0</v>
      </c>
      <c r="F1928" s="5">
        <f ca="1">IFERROR(__xludf.DUMMYFUNCTION("""COMPUTED_VALUE"""),1)</f>
        <v>1</v>
      </c>
      <c r="G1928" s="5">
        <f ca="1">IFERROR(__xludf.DUMMYFUNCTION("""COMPUTED_VALUE"""),0)</f>
        <v>0</v>
      </c>
      <c r="H1928"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I1928" s="5"/>
      <c r="J1928" s="5"/>
      <c r="K1928" s="5">
        <f ca="1">IFERROR(__xludf.DUMMYFUNCTION("""COMPUTED_VALUE"""),2)</f>
        <v>2</v>
      </c>
      <c r="L1928" s="5" t="str">
        <f ca="1">IFERROR(__xludf.DUMMYFUNCTION("""COMPUTED_VALUE"""),"Fall")</f>
        <v>Fall</v>
      </c>
      <c r="M1928" s="5" t="str">
        <f ca="1">IFERROR(__xludf.DUMMYFUNCTION("""COMPUTED_VALUE"""),"Washington")</f>
        <v>Washington</v>
      </c>
      <c r="N1928" s="5" t="str">
        <f ca="1">IFERROR(__xludf.DUMMYFUNCTION("""COMPUTED_VALUE"""),"DC")</f>
        <v>DC</v>
      </c>
      <c r="O1928" s="5" t="str">
        <f ca="1">IFERROR(__xludf.DUMMYFUNCTION("""COMPUTED_VALUE"""),"High")</f>
        <v>High</v>
      </c>
      <c r="P1928" s="5" t="str">
        <f ca="1">IFERROR(__xludf.DUMMYFUNCTION("""COMPUTED_VALUE"""),"Auditorium")</f>
        <v>Auditorium</v>
      </c>
      <c r="Q1928" s="5" t="str">
        <f ca="1">IFERROR(__xludf.DUMMYFUNCTION("""COMPUTED_VALUE"""),"Inside School Building")</f>
        <v>Inside School Building</v>
      </c>
      <c r="R1928" s="5" t="str">
        <f ca="1">IFERROR(__xludf.DUMMYFUNCTION("""COMPUTED_VALUE"""),"Yes")</f>
        <v>Yes</v>
      </c>
      <c r="S1928" s="5" t="str">
        <f ca="1">IFERROR(__xludf.DUMMYFUNCTION("""COMPUTED_VALUE"""),"Morning Classes")</f>
        <v>Morning Classes</v>
      </c>
      <c r="T1928" s="10">
        <f ca="1">IFERROR(__xludf.DUMMYFUNCTION("""COMPUTED_VALUE"""),0.4375)</f>
        <v>0.4375</v>
      </c>
      <c r="U1928" s="5">
        <f ca="1">IFERROR(__xludf.DUMMYFUNCTION("""COMPUTED_VALUE"""),1)</f>
        <v>1</v>
      </c>
      <c r="V1928" s="5" t="str">
        <f ca="1">IFERROR(__xludf.DUMMYFUNCTION("""COMPUTED_VALUE"""),"Playing with gun during assembly, shot friend")</f>
        <v>Playing with gun during assembly, shot friend</v>
      </c>
      <c r="W1928"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X1928" s="5" t="str">
        <f ca="1">IFERROR(__xludf.DUMMYFUNCTION("""COMPUTED_VALUE"""),"Accidental")</f>
        <v>Accidental</v>
      </c>
      <c r="Y1928" s="5" t="str">
        <f ca="1">IFERROR(__xludf.DUMMYFUNCTION("""COMPUTED_VALUE"""),"Random Shooting")</f>
        <v>Random Shooting</v>
      </c>
      <c r="Z1928" s="5" t="str">
        <f ca="1">IFERROR(__xludf.DUMMYFUNCTION("""COMPUTED_VALUE"""),"Yes")</f>
        <v>Yes</v>
      </c>
      <c r="AA1928" s="5" t="str">
        <f ca="1">IFERROR(__xludf.DUMMYFUNCTION("""COMPUTED_VALUE"""),"17YOM brought the gun to school")</f>
        <v>17YOM brought the gun to school</v>
      </c>
      <c r="AB1928" s="5" t="str">
        <f ca="1">IFERROR(__xludf.DUMMYFUNCTION("""COMPUTED_VALUE"""),"No")</f>
        <v>No</v>
      </c>
      <c r="AC1928" s="5" t="str">
        <f ca="1">IFERROR(__xludf.DUMMYFUNCTION("""COMPUTED_VALUE"""),"No")</f>
        <v>No</v>
      </c>
      <c r="AD1928" s="5" t="str">
        <f ca="1">IFERROR(__xludf.DUMMYFUNCTION("""COMPUTED_VALUE"""),"No")</f>
        <v>No</v>
      </c>
      <c r="AE1928" s="5" t="str">
        <f ca="1">IFERROR(__xludf.DUMMYFUNCTION("""COMPUTED_VALUE"""),"No")</f>
        <v>No</v>
      </c>
      <c r="AF1928" s="5" t="str">
        <f ca="1">IFERROR(__xludf.DUMMYFUNCTION("""COMPUTED_VALUE"""),"No")</f>
        <v>No</v>
      </c>
      <c r="AG1928" s="5" t="str">
        <f ca="1">IFERROR(__xludf.DUMMYFUNCTION("""COMPUTED_VALUE"""),"No")</f>
        <v>No</v>
      </c>
      <c r="AH1928" s="5"/>
    </row>
    <row r="1929" spans="1:34" ht="12.75">
      <c r="A1929" s="5" t="str">
        <f ca="1">IFERROR(__xludf.DUMMYFUNCTION("""COMPUTED_VALUE"""),"19800908FLFOJ")</f>
        <v>19800908FLFOJ</v>
      </c>
      <c r="B1929" s="8">
        <f ca="1">IFERROR(__xludf.DUMMYFUNCTION("""COMPUTED_VALUE"""),29472)</f>
        <v>29472</v>
      </c>
      <c r="C1929" s="5" t="str">
        <f ca="1">IFERROR(__xludf.DUMMYFUNCTION("""COMPUTED_VALUE"""),"Forrest High School")</f>
        <v>Forrest High School</v>
      </c>
      <c r="D1929" s="5">
        <f ca="1">IFERROR(__xludf.DUMMYFUNCTION("""COMPUTED_VALUE"""),0)</f>
        <v>0</v>
      </c>
      <c r="E1929" s="5">
        <f ca="1">IFERROR(__xludf.DUMMYFUNCTION("""COMPUTED_VALUE"""),1)</f>
        <v>1</v>
      </c>
      <c r="F1929" s="5">
        <f ca="1">IFERROR(__xludf.DUMMYFUNCTION("""COMPUTED_VALUE"""),1)</f>
        <v>1</v>
      </c>
      <c r="G1929" s="5">
        <f ca="1">IFERROR(__xludf.DUMMYFUNCTION("""COMPUTED_VALUE"""),0)</f>
        <v>0</v>
      </c>
      <c r="H1929" s="9" t="str">
        <f ca="1">IFERROR(__xludf.DUMMYFUNCTION("""COMPUTED_VALUE"""),"https://www.newspapers.com/image/437154147/?terms=jim%2BScherny")</f>
        <v>https://www.newspapers.com/image/437154147/?terms=jim%2BScherny</v>
      </c>
      <c r="I1929" s="5"/>
      <c r="J1929" s="5"/>
      <c r="K1929" s="5">
        <f ca="1">IFERROR(__xludf.DUMMYFUNCTION("""COMPUTED_VALUE"""),2)</f>
        <v>2</v>
      </c>
      <c r="L1929" s="5" t="str">
        <f ca="1">IFERROR(__xludf.DUMMYFUNCTION("""COMPUTED_VALUE"""),"Fall")</f>
        <v>Fall</v>
      </c>
      <c r="M1929" s="5" t="str">
        <f ca="1">IFERROR(__xludf.DUMMYFUNCTION("""COMPUTED_VALUE"""),"Jacksonville")</f>
        <v>Jacksonville</v>
      </c>
      <c r="N1929" s="5" t="str">
        <f ca="1">IFERROR(__xludf.DUMMYFUNCTION("""COMPUTED_VALUE"""),"FL")</f>
        <v>FL</v>
      </c>
      <c r="O1929" s="5" t="str">
        <f ca="1">IFERROR(__xludf.DUMMYFUNCTION("""COMPUTED_VALUE"""),"High")</f>
        <v>High</v>
      </c>
      <c r="P1929" s="5" t="str">
        <f ca="1">IFERROR(__xludf.DUMMYFUNCTION("""COMPUTED_VALUE"""),"Parking Lot")</f>
        <v>Parking Lot</v>
      </c>
      <c r="Q1929" s="5" t="str">
        <f ca="1">IFERROR(__xludf.DUMMYFUNCTION("""COMPUTED_VALUE"""),"Outside on School Property")</f>
        <v>Outside on School Property</v>
      </c>
      <c r="R1929" s="5" t="str">
        <f ca="1">IFERROR(__xludf.DUMMYFUNCTION("""COMPUTED_VALUE"""),"Yes")</f>
        <v>Yes</v>
      </c>
      <c r="S1929" s="5"/>
      <c r="T1929" s="5"/>
      <c r="U1929" s="5">
        <f ca="1">IFERROR(__xludf.DUMMYFUNCTION("""COMPUTED_VALUE"""),1)</f>
        <v>1</v>
      </c>
      <c r="V1929" s="5" t="str">
        <f ca="1">IFERROR(__xludf.DUMMYFUNCTION("""COMPUTED_VALUE"""),"Shots fired during fight in parking lot")</f>
        <v>Shots fired during fight in parking lot</v>
      </c>
      <c r="W1929"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X1929" s="5" t="str">
        <f ca="1">IFERROR(__xludf.DUMMYFUNCTION("""COMPUTED_VALUE"""),"Escalation of Dispute")</f>
        <v>Escalation of Dispute</v>
      </c>
      <c r="Y1929" s="5" t="str">
        <f ca="1">IFERROR(__xludf.DUMMYFUNCTION("""COMPUTED_VALUE"""),"Victims Targeted")</f>
        <v>Victims Targeted</v>
      </c>
      <c r="Z1929" s="5" t="str">
        <f ca="1">IFERROR(__xludf.DUMMYFUNCTION("""COMPUTED_VALUE"""),"No")</f>
        <v>No</v>
      </c>
      <c r="AA1929" s="5"/>
      <c r="AB1929" s="5" t="str">
        <f ca="1">IFERROR(__xludf.DUMMYFUNCTION("""COMPUTED_VALUE"""),"No")</f>
        <v>No</v>
      </c>
      <c r="AC1929" s="5" t="str">
        <f ca="1">IFERROR(__xludf.DUMMYFUNCTION("""COMPUTED_VALUE"""),"No")</f>
        <v>No</v>
      </c>
      <c r="AD1929" s="5" t="str">
        <f ca="1">IFERROR(__xludf.DUMMYFUNCTION("""COMPUTED_VALUE"""),"No")</f>
        <v>No</v>
      </c>
      <c r="AE1929" s="5" t="str">
        <f ca="1">IFERROR(__xludf.DUMMYFUNCTION("""COMPUTED_VALUE"""),"No")</f>
        <v>No</v>
      </c>
      <c r="AF1929" s="5" t="str">
        <f ca="1">IFERROR(__xludf.DUMMYFUNCTION("""COMPUTED_VALUE"""),"No")</f>
        <v>No</v>
      </c>
      <c r="AG1929" s="5" t="str">
        <f ca="1">IFERROR(__xludf.DUMMYFUNCTION("""COMPUTED_VALUE"""),"No")</f>
        <v>No</v>
      </c>
      <c r="AH1929" s="5"/>
    </row>
    <row r="1930" spans="1:34" ht="12.75">
      <c r="A1930" s="5" t="str">
        <f ca="1">IFERROR(__xludf.DUMMYFUNCTION("""COMPUTED_VALUE"""),"19800902CAWHL")</f>
        <v>19800902CAWHL</v>
      </c>
      <c r="B1930" s="8">
        <f ca="1">IFERROR(__xludf.DUMMYFUNCTION("""COMPUTED_VALUE"""),29466)</f>
        <v>29466</v>
      </c>
      <c r="C1930" s="5" t="str">
        <f ca="1">IFERROR(__xludf.DUMMYFUNCTION("""COMPUTED_VALUE"""),"Whittier High School")</f>
        <v>Whittier High School</v>
      </c>
      <c r="D1930" s="5">
        <f ca="1">IFERROR(__xludf.DUMMYFUNCTION("""COMPUTED_VALUE"""),0)</f>
        <v>0</v>
      </c>
      <c r="E1930" s="5">
        <f ca="1">IFERROR(__xludf.DUMMYFUNCTION("""COMPUTED_VALUE"""),10)</f>
        <v>10</v>
      </c>
      <c r="F1930" s="5">
        <f ca="1">IFERROR(__xludf.DUMMYFUNCTION("""COMPUTED_VALUE"""),10)</f>
        <v>10</v>
      </c>
      <c r="G1930" s="5">
        <f ca="1">IFERROR(__xludf.DUMMYFUNCTION("""COMPUTED_VALUE"""),0)</f>
        <v>0</v>
      </c>
      <c r="H1930" s="9" t="str">
        <f ca="1">IFERROR(__xludf.DUMMYFUNCTION("""COMPUTED_VALUE"""),"https://www.newspapers.com/image/63246339/?terms=Whittier%2BHigh%2BSchool%2Bshooting")</f>
        <v>https://www.newspapers.com/image/63246339/?terms=Whittier%2BHigh%2BSchool%2Bshooting</v>
      </c>
      <c r="I1930" s="5"/>
      <c r="J1930" s="5"/>
      <c r="K1930" s="5">
        <f ca="1">IFERROR(__xludf.DUMMYFUNCTION("""COMPUTED_VALUE"""),2)</f>
        <v>2</v>
      </c>
      <c r="L1930" s="5" t="str">
        <f ca="1">IFERROR(__xludf.DUMMYFUNCTION("""COMPUTED_VALUE"""),"Fall")</f>
        <v>Fall</v>
      </c>
      <c r="M1930" s="5" t="str">
        <f ca="1">IFERROR(__xludf.DUMMYFUNCTION("""COMPUTED_VALUE"""),"Los Angeles")</f>
        <v>Los Angeles</v>
      </c>
      <c r="N1930" s="5" t="str">
        <f ca="1">IFERROR(__xludf.DUMMYFUNCTION("""COMPUTED_VALUE"""),"CA")</f>
        <v>CA</v>
      </c>
      <c r="O1930" s="5" t="str">
        <f ca="1">IFERROR(__xludf.DUMMYFUNCTION("""COMPUTED_VALUE"""),"High")</f>
        <v>High</v>
      </c>
      <c r="P1930" s="5" t="str">
        <f ca="1">IFERROR(__xludf.DUMMYFUNCTION("""COMPUTED_VALUE"""),"Football Field/Track")</f>
        <v>Football Field/Track</v>
      </c>
      <c r="Q1930" s="5" t="str">
        <f ca="1">IFERROR(__xludf.DUMMYFUNCTION("""COMPUTED_VALUE"""),"Outside on School Property")</f>
        <v>Outside on School Property</v>
      </c>
      <c r="R1930" s="5" t="str">
        <f ca="1">IFERROR(__xludf.DUMMYFUNCTION("""COMPUTED_VALUE"""),"No")</f>
        <v>No</v>
      </c>
      <c r="S1930" s="5" t="str">
        <f ca="1">IFERROR(__xludf.DUMMYFUNCTION("""COMPUTED_VALUE"""),"After School")</f>
        <v>After School</v>
      </c>
      <c r="T1930" s="5"/>
      <c r="U1930" s="5">
        <f ca="1">IFERROR(__xludf.DUMMYFUNCTION("""COMPUTED_VALUE"""),1)</f>
        <v>1</v>
      </c>
      <c r="V1930" s="5" t="str">
        <f ca="1">IFERROR(__xludf.DUMMYFUNCTION("""COMPUTED_VALUE"""),"Fired shotgun at football team during practice")</f>
        <v>Fired shotgun at football team during practice</v>
      </c>
      <c r="W1930"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X1930" s="5" t="str">
        <f ca="1">IFERROR(__xludf.DUMMYFUNCTION("""COMPUTED_VALUE"""),"Indiscriminate Shooting")</f>
        <v>Indiscriminate Shooting</v>
      </c>
      <c r="Y1930" s="5" t="str">
        <f ca="1">IFERROR(__xludf.DUMMYFUNCTION("""COMPUTED_VALUE"""),"Both")</f>
        <v>Both</v>
      </c>
      <c r="Z1930" s="5" t="str">
        <f ca="1">IFERROR(__xludf.DUMMYFUNCTION("""COMPUTED_VALUE"""),"Yes")</f>
        <v>Yes</v>
      </c>
      <c r="AA1930" s="5" t="str">
        <f ca="1">IFERROR(__xludf.DUMMYFUNCTION("""COMPUTED_VALUE"""),"Left in car")</f>
        <v>Left in car</v>
      </c>
      <c r="AB1930" s="5" t="str">
        <f ca="1">IFERROR(__xludf.DUMMYFUNCTION("""COMPUTED_VALUE"""),"No")</f>
        <v>No</v>
      </c>
      <c r="AC1930" s="5" t="str">
        <f ca="1">IFERROR(__xludf.DUMMYFUNCTION("""COMPUTED_VALUE"""),"No")</f>
        <v>No</v>
      </c>
      <c r="AD1930" s="5" t="str">
        <f ca="1">IFERROR(__xludf.DUMMYFUNCTION("""COMPUTED_VALUE"""),"No")</f>
        <v>No</v>
      </c>
      <c r="AE1930" s="5"/>
      <c r="AF1930" s="5" t="str">
        <f ca="1">IFERROR(__xludf.DUMMYFUNCTION("""COMPUTED_VALUE"""),"No")</f>
        <v>No</v>
      </c>
      <c r="AG1930" s="5" t="str">
        <f ca="1">IFERROR(__xludf.DUMMYFUNCTION("""COMPUTED_VALUE"""),"Yes")</f>
        <v>Yes</v>
      </c>
      <c r="AH1930" s="5" t="str">
        <f ca="1">IFERROR(__xludf.DUMMYFUNCTION("""COMPUTED_VALUE"""),"Yes")</f>
        <v>Yes</v>
      </c>
    </row>
    <row r="1931" spans="1:34" ht="12.75">
      <c r="A1931" s="5" t="str">
        <f ca="1">IFERROR(__xludf.DUMMYFUNCTION("""COMPUTED_VALUE"""),"19800530NYCLB")</f>
        <v>19800530NYCLB</v>
      </c>
      <c r="B1931" s="8">
        <f ca="1">IFERROR(__xludf.DUMMYFUNCTION("""COMPUTED_VALUE"""),29371)</f>
        <v>29371</v>
      </c>
      <c r="C1931" s="5" t="str">
        <f ca="1">IFERROR(__xludf.DUMMYFUNCTION("""COMPUTED_VALUE"""),"Clara Barton High School")</f>
        <v>Clara Barton High School</v>
      </c>
      <c r="D1931" s="5">
        <f ca="1">IFERROR(__xludf.DUMMYFUNCTION("""COMPUTED_VALUE"""),0)</f>
        <v>0</v>
      </c>
      <c r="E1931" s="5">
        <f ca="1">IFERROR(__xludf.DUMMYFUNCTION("""COMPUTED_VALUE"""),0)</f>
        <v>0</v>
      </c>
      <c r="F1931" s="5">
        <f ca="1">IFERROR(__xludf.DUMMYFUNCTION("""COMPUTED_VALUE"""),0)</f>
        <v>0</v>
      </c>
      <c r="G1931" s="5">
        <f ca="1">IFERROR(__xludf.DUMMYFUNCTION("""COMPUTED_VALUE"""),0)</f>
        <v>0</v>
      </c>
      <c r="H1931" s="9" t="str">
        <f ca="1">IFERROR(__xludf.DUMMYFUNCTION("""COMPUTED_VALUE"""),"https://www.newspapers.com/image/335123478/?terms=student%2Bshoots%2Bself")</f>
        <v>https://www.newspapers.com/image/335123478/?terms=student%2Bshoots%2Bself</v>
      </c>
      <c r="I1931" s="5"/>
      <c r="J1931" s="5"/>
      <c r="K1931" s="5">
        <f ca="1">IFERROR(__xludf.DUMMYFUNCTION("""COMPUTED_VALUE"""),2)</f>
        <v>2</v>
      </c>
      <c r="L1931" s="5" t="str">
        <f ca="1">IFERROR(__xludf.DUMMYFUNCTION("""COMPUTED_VALUE"""),"Spring")</f>
        <v>Spring</v>
      </c>
      <c r="M1931" s="5" t="str">
        <f ca="1">IFERROR(__xludf.DUMMYFUNCTION("""COMPUTED_VALUE"""),"Brooklyn")</f>
        <v>Brooklyn</v>
      </c>
      <c r="N1931" s="5" t="str">
        <f ca="1">IFERROR(__xludf.DUMMYFUNCTION("""COMPUTED_VALUE"""),"NY")</f>
        <v>NY</v>
      </c>
      <c r="O1931" s="5" t="str">
        <f ca="1">IFERROR(__xludf.DUMMYFUNCTION("""COMPUTED_VALUE"""),"High")</f>
        <v>High</v>
      </c>
      <c r="P1931" s="5" t="str">
        <f ca="1">IFERROR(__xludf.DUMMYFUNCTION("""COMPUTED_VALUE"""),"Classroom")</f>
        <v>Classroom</v>
      </c>
      <c r="Q1931" s="5" t="str">
        <f ca="1">IFERROR(__xludf.DUMMYFUNCTION("""COMPUTED_VALUE"""),"Inside School Building")</f>
        <v>Inside School Building</v>
      </c>
      <c r="R1931" s="5" t="str">
        <f ca="1">IFERROR(__xludf.DUMMYFUNCTION("""COMPUTED_VALUE"""),"Yes")</f>
        <v>Yes</v>
      </c>
      <c r="S1931" s="5" t="str">
        <f ca="1">IFERROR(__xludf.DUMMYFUNCTION("""COMPUTED_VALUE"""),"Morning Classes")</f>
        <v>Morning Classes</v>
      </c>
      <c r="T1931" s="10">
        <f ca="1">IFERROR(__xludf.DUMMYFUNCTION("""COMPUTED_VALUE"""),0.395833333333333)</f>
        <v>0.39583333333333298</v>
      </c>
      <c r="U1931" s="5">
        <f ca="1">IFERROR(__xludf.DUMMYFUNCTION("""COMPUTED_VALUE"""),1)</f>
        <v>1</v>
      </c>
      <c r="V1931" s="5" t="str">
        <f ca="1">IFERROR(__xludf.DUMMYFUNCTION("""COMPUTED_VALUE"""),"Student playing with gun in class accidentally shot self")</f>
        <v>Student playing with gun in class accidentally shot self</v>
      </c>
      <c r="W1931" s="5" t="str">
        <f ca="1">IFERROR(__xludf.DUMMYFUNCTION("""COMPUTED_VALUE"""),"Accidental - student playing with gun in class - shot self in left arm")</f>
        <v>Accidental - student playing with gun in class - shot self in left arm</v>
      </c>
      <c r="X1931" s="5" t="str">
        <f ca="1">IFERROR(__xludf.DUMMYFUNCTION("""COMPUTED_VALUE"""),"Accidental")</f>
        <v>Accidental</v>
      </c>
      <c r="Y1931" s="5" t="str">
        <f ca="1">IFERROR(__xludf.DUMMYFUNCTION("""COMPUTED_VALUE"""),"Random Shooting")</f>
        <v>Random Shooting</v>
      </c>
      <c r="Z1931" s="5" t="str">
        <f ca="1">IFERROR(__xludf.DUMMYFUNCTION("""COMPUTED_VALUE"""),"No")</f>
        <v>No</v>
      </c>
      <c r="AA1931" s="5"/>
      <c r="AB1931" s="5" t="str">
        <f ca="1">IFERROR(__xludf.DUMMYFUNCTION("""COMPUTED_VALUE"""),"No")</f>
        <v>No</v>
      </c>
      <c r="AC1931" s="5" t="str">
        <f ca="1">IFERROR(__xludf.DUMMYFUNCTION("""COMPUTED_VALUE"""),"No")</f>
        <v>No</v>
      </c>
      <c r="AD1931" s="5" t="str">
        <f ca="1">IFERROR(__xludf.DUMMYFUNCTION("""COMPUTED_VALUE"""),"No")</f>
        <v>No</v>
      </c>
      <c r="AE1931" s="5" t="str">
        <f ca="1">IFERROR(__xludf.DUMMYFUNCTION("""COMPUTED_VALUE"""),"No")</f>
        <v>No</v>
      </c>
      <c r="AF1931" s="5" t="str">
        <f ca="1">IFERROR(__xludf.DUMMYFUNCTION("""COMPUTED_VALUE"""),"No")</f>
        <v>No</v>
      </c>
      <c r="AG1931" s="5" t="str">
        <f ca="1">IFERROR(__xludf.DUMMYFUNCTION("""COMPUTED_VALUE"""),"No")</f>
        <v>No</v>
      </c>
      <c r="AH1931" s="5"/>
    </row>
    <row r="1932" spans="1:34" ht="12.75">
      <c r="A1932" s="5" t="str">
        <f ca="1">IFERROR(__xludf.DUMMYFUNCTION("""COMPUTED_VALUE"""),"19800417VACAC")</f>
        <v>19800417VACAC</v>
      </c>
      <c r="B1932" s="8">
        <f ca="1">IFERROR(__xludf.DUMMYFUNCTION("""COMPUTED_VALUE"""),29328)</f>
        <v>29328</v>
      </c>
      <c r="C1932" s="5" t="str">
        <f ca="1">IFERROR(__xludf.DUMMYFUNCTION("""COMPUTED_VALUE"""),"Capeville Elementary School")</f>
        <v>Capeville Elementary School</v>
      </c>
      <c r="D1932" s="5">
        <f ca="1">IFERROR(__xludf.DUMMYFUNCTION("""COMPUTED_VALUE"""),2)</f>
        <v>2</v>
      </c>
      <c r="E1932" s="5">
        <f ca="1">IFERROR(__xludf.DUMMYFUNCTION("""COMPUTED_VALUE"""),0)</f>
        <v>0</v>
      </c>
      <c r="F1932" s="5">
        <f ca="1">IFERROR(__xludf.DUMMYFUNCTION("""COMPUTED_VALUE"""),2)</f>
        <v>2</v>
      </c>
      <c r="G1932" s="5">
        <f ca="1">IFERROR(__xludf.DUMMYFUNCTION("""COMPUTED_VALUE"""),0)</f>
        <v>0</v>
      </c>
      <c r="H1932" s="9" t="str">
        <f ca="1">IFERROR(__xludf.DUMMYFUNCTION("""COMPUTED_VALUE"""),"https://www.newspapers.com/image/281071758/?terms=Capeville%2BElementary%2BSchool%2Bshooting")</f>
        <v>https://www.newspapers.com/image/281071758/?terms=Capeville%2BElementary%2BSchool%2Bshooting</v>
      </c>
      <c r="I1932" s="5"/>
      <c r="J1932" s="5"/>
      <c r="K1932" s="5">
        <f ca="1">IFERROR(__xludf.DUMMYFUNCTION("""COMPUTED_VALUE"""),2)</f>
        <v>2</v>
      </c>
      <c r="L1932" s="5" t="str">
        <f ca="1">IFERROR(__xludf.DUMMYFUNCTION("""COMPUTED_VALUE"""),"Spring")</f>
        <v>Spring</v>
      </c>
      <c r="M1932" s="5" t="str">
        <f ca="1">IFERROR(__xludf.DUMMYFUNCTION("""COMPUTED_VALUE"""),"Capeville")</f>
        <v>Capeville</v>
      </c>
      <c r="N1932" s="5" t="str">
        <f ca="1">IFERROR(__xludf.DUMMYFUNCTION("""COMPUTED_VALUE"""),"VA")</f>
        <v>VA</v>
      </c>
      <c r="O1932" s="5" t="str">
        <f ca="1">IFERROR(__xludf.DUMMYFUNCTION("""COMPUTED_VALUE"""),"Elementary")</f>
        <v>Elementary</v>
      </c>
      <c r="P1932" s="5" t="str">
        <f ca="1">IFERROR(__xludf.DUMMYFUNCTION("""COMPUTED_VALUE"""),"Office")</f>
        <v>Office</v>
      </c>
      <c r="Q1932" s="5" t="str">
        <f ca="1">IFERROR(__xludf.DUMMYFUNCTION("""COMPUTED_VALUE"""),"Inside School Building")</f>
        <v>Inside School Building</v>
      </c>
      <c r="R1932" s="5" t="str">
        <f ca="1">IFERROR(__xludf.DUMMYFUNCTION("""COMPUTED_VALUE"""),"Yes")</f>
        <v>Yes</v>
      </c>
      <c r="S1932" s="5" t="str">
        <f ca="1">IFERROR(__xludf.DUMMYFUNCTION("""COMPUTED_VALUE"""),"Morning Classes")</f>
        <v>Morning Classes</v>
      </c>
      <c r="T1932" s="10">
        <f ca="1">IFERROR(__xludf.DUMMYFUNCTION("""COMPUTED_VALUE"""),0.427083333333333)</f>
        <v>0.42708333333333298</v>
      </c>
      <c r="U1932" s="5">
        <f ca="1">IFERROR(__xludf.DUMMYFUNCTION("""COMPUTED_VALUE"""),1)</f>
        <v>1</v>
      </c>
      <c r="V1932" s="5" t="str">
        <f ca="1">IFERROR(__xludf.DUMMYFUNCTION("""COMPUTED_VALUE"""),"Killed estranged wife (school employee) and school principal in their office")</f>
        <v>Killed estranged wife (school employee) and school principal in their office</v>
      </c>
      <c r="W1932"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X1932" s="5" t="str">
        <f ca="1">IFERROR(__xludf.DUMMYFUNCTION("""COMPUTED_VALUE"""),"Domestic w/ Targeted Victim")</f>
        <v>Domestic w/ Targeted Victim</v>
      </c>
      <c r="Y1932" s="5" t="str">
        <f ca="1">IFERROR(__xludf.DUMMYFUNCTION("""COMPUTED_VALUE"""),"Victims Targeted")</f>
        <v>Victims Targeted</v>
      </c>
      <c r="Z1932" s="5" t="str">
        <f ca="1">IFERROR(__xludf.DUMMYFUNCTION("""COMPUTED_VALUE"""),"No")</f>
        <v>No</v>
      </c>
      <c r="AA1932" s="5"/>
      <c r="AB1932" s="5" t="str">
        <f ca="1">IFERROR(__xludf.DUMMYFUNCTION("""COMPUTED_VALUE"""),"No")</f>
        <v>No</v>
      </c>
      <c r="AC1932" s="5" t="str">
        <f ca="1">IFERROR(__xludf.DUMMYFUNCTION("""COMPUTED_VALUE"""),"No")</f>
        <v>No</v>
      </c>
      <c r="AD1932" s="5" t="str">
        <f ca="1">IFERROR(__xludf.DUMMYFUNCTION("""COMPUTED_VALUE"""),"No")</f>
        <v>No</v>
      </c>
      <c r="AE1932" s="5" t="str">
        <f ca="1">IFERROR(__xludf.DUMMYFUNCTION("""COMPUTED_VALUE"""),"No")</f>
        <v>No</v>
      </c>
      <c r="AF1932" s="5" t="str">
        <f ca="1">IFERROR(__xludf.DUMMYFUNCTION("""COMPUTED_VALUE"""),"Yes")</f>
        <v>Yes</v>
      </c>
      <c r="AG1932" s="5" t="str">
        <f ca="1">IFERROR(__xludf.DUMMYFUNCTION("""COMPUTED_VALUE"""),"No")</f>
        <v>No</v>
      </c>
      <c r="AH1932" s="5"/>
    </row>
    <row r="1933" spans="1:34" ht="12.75">
      <c r="A1933" s="5" t="str">
        <f ca="1">IFERROR(__xludf.DUMMYFUNCTION("""COMPUTED_VALUE"""),"19800331MDFRB")</f>
        <v>19800331MDFRB</v>
      </c>
      <c r="B1933" s="8">
        <f ca="1">IFERROR(__xludf.DUMMYFUNCTION("""COMPUTED_VALUE"""),29311)</f>
        <v>29311</v>
      </c>
      <c r="C1933" s="5" t="str">
        <f ca="1">IFERROR(__xludf.DUMMYFUNCTION("""COMPUTED_VALUE"""),"Frederick Douglass Senior High School")</f>
        <v>Frederick Douglass Senior High School</v>
      </c>
      <c r="D1933" s="5">
        <f ca="1">IFERROR(__xludf.DUMMYFUNCTION("""COMPUTED_VALUE"""),0)</f>
        <v>0</v>
      </c>
      <c r="E1933" s="5">
        <f ca="1">IFERROR(__xludf.DUMMYFUNCTION("""COMPUTED_VALUE"""),1)</f>
        <v>1</v>
      </c>
      <c r="F1933" s="5">
        <f ca="1">IFERROR(__xludf.DUMMYFUNCTION("""COMPUTED_VALUE"""),1)</f>
        <v>1</v>
      </c>
      <c r="G1933" s="5">
        <f ca="1">IFERROR(__xludf.DUMMYFUNCTION("""COMPUTED_VALUE"""),0)</f>
        <v>0</v>
      </c>
      <c r="H1933" s="9" t="str">
        <f ca="1">IFERROR(__xludf.DUMMYFUNCTION("""COMPUTED_VALUE"""),"https://www.newspapers.com/image/377692610/?terms=Frederick%2BDouglass%2BSenior%2BHigh%2BSchool%2Bshooting")</f>
        <v>https://www.newspapers.com/image/377692610/?terms=Frederick%2BDouglass%2BSenior%2BHigh%2BSchool%2Bshooting</v>
      </c>
      <c r="I1933" s="5"/>
      <c r="J1933" s="5"/>
      <c r="K1933" s="5">
        <f ca="1">IFERROR(__xludf.DUMMYFUNCTION("""COMPUTED_VALUE"""),2)</f>
        <v>2</v>
      </c>
      <c r="L1933" s="5" t="str">
        <f ca="1">IFERROR(__xludf.DUMMYFUNCTION("""COMPUTED_VALUE"""),"Spring")</f>
        <v>Spring</v>
      </c>
      <c r="M1933" s="5" t="str">
        <f ca="1">IFERROR(__xludf.DUMMYFUNCTION("""COMPUTED_VALUE"""),"Baltimore")</f>
        <v>Baltimore</v>
      </c>
      <c r="N1933" s="5" t="str">
        <f ca="1">IFERROR(__xludf.DUMMYFUNCTION("""COMPUTED_VALUE"""),"MD")</f>
        <v>MD</v>
      </c>
      <c r="O1933" s="5" t="str">
        <f ca="1">IFERROR(__xludf.DUMMYFUNCTION("""COMPUTED_VALUE"""),"High")</f>
        <v>High</v>
      </c>
      <c r="P1933" s="5" t="str">
        <f ca="1">IFERROR(__xludf.DUMMYFUNCTION("""COMPUTED_VALUE"""),"Hallway")</f>
        <v>Hallway</v>
      </c>
      <c r="Q1933" s="5" t="str">
        <f ca="1">IFERROR(__xludf.DUMMYFUNCTION("""COMPUTED_VALUE"""),"Inside School Building")</f>
        <v>Inside School Building</v>
      </c>
      <c r="R1933" s="5" t="str">
        <f ca="1">IFERROR(__xludf.DUMMYFUNCTION("""COMPUTED_VALUE"""),"Yes")</f>
        <v>Yes</v>
      </c>
      <c r="S1933" s="5" t="str">
        <f ca="1">IFERROR(__xludf.DUMMYFUNCTION("""COMPUTED_VALUE"""),"School Start")</f>
        <v>School Start</v>
      </c>
      <c r="T1933" s="10">
        <f ca="1">IFERROR(__xludf.DUMMYFUNCTION("""COMPUTED_VALUE"""),0.375)</f>
        <v>0.375</v>
      </c>
      <c r="U1933" s="5">
        <f ca="1">IFERROR(__xludf.DUMMYFUNCTION("""COMPUTED_VALUE"""),1)</f>
        <v>1</v>
      </c>
      <c r="V1933" s="5" t="str">
        <f ca="1">IFERROR(__xludf.DUMMYFUNCTION("""COMPUTED_VALUE"""),"Shot fired during fight in hallway between students with Ongoing dispute")</f>
        <v>Shot fired during fight in hallway between students with Ongoing dispute</v>
      </c>
      <c r="W1933"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X1933" s="5" t="str">
        <f ca="1">IFERROR(__xludf.DUMMYFUNCTION("""COMPUTED_VALUE"""),"Escalation of Dispute")</f>
        <v>Escalation of Dispute</v>
      </c>
      <c r="Y1933" s="5" t="str">
        <f ca="1">IFERROR(__xludf.DUMMYFUNCTION("""COMPUTED_VALUE"""),"Victims Targeted")</f>
        <v>Victims Targeted</v>
      </c>
      <c r="Z1933" s="5" t="str">
        <f ca="1">IFERROR(__xludf.DUMMYFUNCTION("""COMPUTED_VALUE"""),"Yes")</f>
        <v>Yes</v>
      </c>
      <c r="AA1933" s="5" t="str">
        <f ca="1">IFERROR(__xludf.DUMMYFUNCTION("""COMPUTED_VALUE"""),"Handed gun in a paper bag by another student")</f>
        <v>Handed gun in a paper bag by another student</v>
      </c>
      <c r="AB1933" s="5" t="str">
        <f ca="1">IFERROR(__xludf.DUMMYFUNCTION("""COMPUTED_VALUE"""),"No")</f>
        <v>No</v>
      </c>
      <c r="AC1933" s="5" t="str">
        <f ca="1">IFERROR(__xludf.DUMMYFUNCTION("""COMPUTED_VALUE"""),"No")</f>
        <v>No</v>
      </c>
      <c r="AD1933" s="5" t="str">
        <f ca="1">IFERROR(__xludf.DUMMYFUNCTION("""COMPUTED_VALUE"""),"No")</f>
        <v>No</v>
      </c>
      <c r="AE1933" s="5" t="str">
        <f ca="1">IFERROR(__xludf.DUMMYFUNCTION("""COMPUTED_VALUE"""),"No")</f>
        <v>No</v>
      </c>
      <c r="AF1933" s="5" t="str">
        <f ca="1">IFERROR(__xludf.DUMMYFUNCTION("""COMPUTED_VALUE"""),"No")</f>
        <v>No</v>
      </c>
      <c r="AG1933" s="5" t="str">
        <f ca="1">IFERROR(__xludf.DUMMYFUNCTION("""COMPUTED_VALUE"""),"No")</f>
        <v>No</v>
      </c>
      <c r="AH1933" s="5"/>
    </row>
    <row r="1934" spans="1:34" ht="12.75">
      <c r="A1934" s="5" t="str">
        <f ca="1">IFERROR(__xludf.DUMMYFUNCTION("""COMPUTED_VALUE"""),"19800320TXJLD")</f>
        <v>19800320TXJLD</v>
      </c>
      <c r="B1934" s="8">
        <f ca="1">IFERROR(__xludf.DUMMYFUNCTION("""COMPUTED_VALUE"""),29300)</f>
        <v>29300</v>
      </c>
      <c r="C1934" s="5" t="str">
        <f ca="1">IFERROR(__xludf.DUMMYFUNCTION("""COMPUTED_VALUE"""),"J Leslie Patton School")</f>
        <v>J Leslie Patton School</v>
      </c>
      <c r="D1934" s="5">
        <f ca="1">IFERROR(__xludf.DUMMYFUNCTION("""COMPUTED_VALUE"""),1)</f>
        <v>1</v>
      </c>
      <c r="E1934" s="5">
        <f ca="1">IFERROR(__xludf.DUMMYFUNCTION("""COMPUTED_VALUE"""),0)</f>
        <v>0</v>
      </c>
      <c r="F1934" s="5">
        <f ca="1">IFERROR(__xludf.DUMMYFUNCTION("""COMPUTED_VALUE"""),1)</f>
        <v>1</v>
      </c>
      <c r="G1934" s="5">
        <f ca="1">IFERROR(__xludf.DUMMYFUNCTION("""COMPUTED_VALUE"""),0)</f>
        <v>0</v>
      </c>
      <c r="H1934" s="5" t="str">
        <f ca="1">IFERROR(__xludf.DUMMYFUNCTION("""COMPUTED_VALUE"""),"https://www.newspapers.com/newspage/9077625/; https://www.newspapers.com/image/436830529/?terms=ROSIE%2BPEARSON%2BSHOT")</f>
        <v>https://www.newspapers.com/newspage/9077625/; https://www.newspapers.com/image/436830529/?terms=ROSIE%2BPEARSON%2BSHOT</v>
      </c>
      <c r="I1934" s="5"/>
      <c r="J1934" s="5"/>
      <c r="K1934" s="5">
        <f ca="1">IFERROR(__xludf.DUMMYFUNCTION("""COMPUTED_VALUE"""),2)</f>
        <v>2</v>
      </c>
      <c r="L1934" s="5" t="str">
        <f ca="1">IFERROR(__xludf.DUMMYFUNCTION("""COMPUTED_VALUE"""),"Spring")</f>
        <v>Spring</v>
      </c>
      <c r="M1934" s="5" t="str">
        <f ca="1">IFERROR(__xludf.DUMMYFUNCTION("""COMPUTED_VALUE"""),"Dallas")</f>
        <v>Dallas</v>
      </c>
      <c r="N1934" s="5" t="str">
        <f ca="1">IFERROR(__xludf.DUMMYFUNCTION("""COMPUTED_VALUE"""),"TX")</f>
        <v>TX</v>
      </c>
      <c r="O1934" s="5" t="str">
        <f ca="1">IFERROR(__xludf.DUMMYFUNCTION("""COMPUTED_VALUE"""),"High")</f>
        <v>High</v>
      </c>
      <c r="P1934" s="5" t="str">
        <f ca="1">IFERROR(__xludf.DUMMYFUNCTION("""COMPUTED_VALUE"""),"Entryway")</f>
        <v>Entryway</v>
      </c>
      <c r="Q1934" s="5" t="str">
        <f ca="1">IFERROR(__xludf.DUMMYFUNCTION("""COMPUTED_VALUE"""),"Inside School Building")</f>
        <v>Inside School Building</v>
      </c>
      <c r="R1934" s="5" t="str">
        <f ca="1">IFERROR(__xludf.DUMMYFUNCTION("""COMPUTED_VALUE"""),"No")</f>
        <v>No</v>
      </c>
      <c r="S1934" s="5" t="str">
        <f ca="1">IFERROR(__xludf.DUMMYFUNCTION("""COMPUTED_VALUE"""),"After School")</f>
        <v>After School</v>
      </c>
      <c r="T1934" s="10">
        <f ca="1">IFERROR(__xludf.DUMMYFUNCTION("""COMPUTED_VALUE"""),0.647916666666666)</f>
        <v>0.64791666666666603</v>
      </c>
      <c r="U1934" s="5">
        <f ca="1">IFERROR(__xludf.DUMMYFUNCTION("""COMPUTED_VALUE"""),1)</f>
        <v>1</v>
      </c>
      <c r="V1934" s="5" t="str">
        <f ca="1">IFERROR(__xludf.DUMMYFUNCTION("""COMPUTED_VALUE"""),"Unknown suspect targeted teacher shot after school")</f>
        <v>Unknown suspect targeted teacher shot after school</v>
      </c>
      <c r="W1934"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X1934" s="5" t="str">
        <f ca="1">IFERROR(__xludf.DUMMYFUNCTION("""COMPUTED_VALUE"""),"Domestic w/ Targeted Victim")</f>
        <v>Domestic w/ Targeted Victim</v>
      </c>
      <c r="Y1934" s="5" t="str">
        <f ca="1">IFERROR(__xludf.DUMMYFUNCTION("""COMPUTED_VALUE"""),"Victims Targeted")</f>
        <v>Victims Targeted</v>
      </c>
      <c r="Z1934" s="5" t="str">
        <f ca="1">IFERROR(__xludf.DUMMYFUNCTION("""COMPUTED_VALUE"""),"No")</f>
        <v>No</v>
      </c>
      <c r="AA1934" s="5"/>
      <c r="AB1934" s="5" t="str">
        <f ca="1">IFERROR(__xludf.DUMMYFUNCTION("""COMPUTED_VALUE"""),"No")</f>
        <v>No</v>
      </c>
      <c r="AC1934" s="5" t="str">
        <f ca="1">IFERROR(__xludf.DUMMYFUNCTION("""COMPUTED_VALUE"""),"No")</f>
        <v>No</v>
      </c>
      <c r="AD1934" s="5" t="str">
        <f ca="1">IFERROR(__xludf.DUMMYFUNCTION("""COMPUTED_VALUE"""),"No")</f>
        <v>No</v>
      </c>
      <c r="AE1934" s="5"/>
      <c r="AF1934" s="5" t="str">
        <f ca="1">IFERROR(__xludf.DUMMYFUNCTION("""COMPUTED_VALUE"""),"Yes")</f>
        <v>Yes</v>
      </c>
      <c r="AG1934" s="5" t="str">
        <f ca="1">IFERROR(__xludf.DUMMYFUNCTION("""COMPUTED_VALUE"""),"No")</f>
        <v>No</v>
      </c>
      <c r="AH1934" s="5"/>
    </row>
    <row r="1935" spans="1:34" ht="12.75">
      <c r="A1935" s="5" t="str">
        <f ca="1">IFERROR(__xludf.DUMMYFUNCTION("""COMPUTED_VALUE"""),"19800215MSHUM")</f>
        <v>19800215MSHUM</v>
      </c>
      <c r="B1935" s="8">
        <f ca="1">IFERROR(__xludf.DUMMYFUNCTION("""COMPUTED_VALUE"""),29266)</f>
        <v>29266</v>
      </c>
      <c r="C1935" s="5" t="str">
        <f ca="1">IFERROR(__xludf.DUMMYFUNCTION("""COMPUTED_VALUE"""),"Hughes School")</f>
        <v>Hughes School</v>
      </c>
      <c r="D1935" s="5">
        <f ca="1">IFERROR(__xludf.DUMMYFUNCTION("""COMPUTED_VALUE"""),1)</f>
        <v>1</v>
      </c>
      <c r="E1935" s="5">
        <f ca="1">IFERROR(__xludf.DUMMYFUNCTION("""COMPUTED_VALUE"""),0)</f>
        <v>0</v>
      </c>
      <c r="F1935" s="5">
        <f ca="1">IFERROR(__xludf.DUMMYFUNCTION("""COMPUTED_VALUE"""),1)</f>
        <v>1</v>
      </c>
      <c r="G1935" s="5">
        <f ca="1">IFERROR(__xludf.DUMMYFUNCTION("""COMPUTED_VALUE"""),0)</f>
        <v>0</v>
      </c>
      <c r="H1935" s="9" t="str">
        <f ca="1">IFERROR(__xludf.DUMMYFUNCTION("""COMPUTED_VALUE"""),"https://www.newspapers.com/image/318405620/?terms=sandra%2Bviser%2Bmccomb")</f>
        <v>https://www.newspapers.com/image/318405620/?terms=sandra%2Bviser%2Bmccomb</v>
      </c>
      <c r="I1935" s="5"/>
      <c r="J1935" s="5"/>
      <c r="K1935" s="5">
        <f ca="1">IFERROR(__xludf.DUMMYFUNCTION("""COMPUTED_VALUE"""),2)</f>
        <v>2</v>
      </c>
      <c r="L1935" s="5" t="str">
        <f ca="1">IFERROR(__xludf.DUMMYFUNCTION("""COMPUTED_VALUE"""),"Winter")</f>
        <v>Winter</v>
      </c>
      <c r="M1935" s="5" t="str">
        <f ca="1">IFERROR(__xludf.DUMMYFUNCTION("""COMPUTED_VALUE"""),"McComb")</f>
        <v>McComb</v>
      </c>
      <c r="N1935" s="5" t="str">
        <f ca="1">IFERROR(__xludf.DUMMYFUNCTION("""COMPUTED_VALUE"""),"MS")</f>
        <v>MS</v>
      </c>
      <c r="O1935" s="5" t="str">
        <f ca="1">IFERROR(__xludf.DUMMYFUNCTION("""COMPUTED_VALUE"""),"Other")</f>
        <v>Other</v>
      </c>
      <c r="P1935" s="5" t="str">
        <f ca="1">IFERROR(__xludf.DUMMYFUNCTION("""COMPUTED_VALUE"""),"Outside on School Property")</f>
        <v>Outside on School Property</v>
      </c>
      <c r="Q1935" s="5" t="str">
        <f ca="1">IFERROR(__xludf.DUMMYFUNCTION("""COMPUTED_VALUE"""),"Outside on School Property")</f>
        <v>Outside on School Property</v>
      </c>
      <c r="R1935" s="5" t="str">
        <f ca="1">IFERROR(__xludf.DUMMYFUNCTION("""COMPUTED_VALUE"""),"Yes")</f>
        <v>Yes</v>
      </c>
      <c r="S1935" s="5" t="str">
        <f ca="1">IFERROR(__xludf.DUMMYFUNCTION("""COMPUTED_VALUE"""),"Afternoon Classes")</f>
        <v>Afternoon Classes</v>
      </c>
      <c r="T1935" s="10">
        <f ca="1">IFERROR(__xludf.DUMMYFUNCTION("""COMPUTED_VALUE"""),0.569444444444444)</f>
        <v>0.56944444444444398</v>
      </c>
      <c r="U1935" s="5">
        <f ca="1">IFERROR(__xludf.DUMMYFUNCTION("""COMPUTED_VALUE"""),1)</f>
        <v>1</v>
      </c>
      <c r="V1935" s="5" t="str">
        <f ca="1">IFERROR(__xludf.DUMMYFUNCTION("""COMPUTED_VALUE"""),"School teacher was shot be her husband outside school building")</f>
        <v>School teacher was shot be her husband outside school building</v>
      </c>
      <c r="W1935" s="5" t="str">
        <f ca="1">IFERROR(__xludf.DUMMYFUNCTION("""COMPUTED_VALUE"""),"Victim was shot by her husband after a domestic")</f>
        <v>Victim was shot by her husband after a domestic</v>
      </c>
      <c r="X1935" s="5" t="str">
        <f ca="1">IFERROR(__xludf.DUMMYFUNCTION("""COMPUTED_VALUE"""),"Domestic w/ Targeted Victim")</f>
        <v>Domestic w/ Targeted Victim</v>
      </c>
      <c r="Y1935" s="5" t="str">
        <f ca="1">IFERROR(__xludf.DUMMYFUNCTION("""COMPUTED_VALUE"""),"Victims Targeted")</f>
        <v>Victims Targeted</v>
      </c>
      <c r="Z1935" s="5" t="str">
        <f ca="1">IFERROR(__xludf.DUMMYFUNCTION("""COMPUTED_VALUE"""),"No")</f>
        <v>No</v>
      </c>
      <c r="AA1935" s="5"/>
      <c r="AB1935" s="5" t="str">
        <f ca="1">IFERROR(__xludf.DUMMYFUNCTION("""COMPUTED_VALUE"""),"No")</f>
        <v>No</v>
      </c>
      <c r="AC1935" s="5" t="str">
        <f ca="1">IFERROR(__xludf.DUMMYFUNCTION("""COMPUTED_VALUE"""),"No")</f>
        <v>No</v>
      </c>
      <c r="AD1935" s="5" t="str">
        <f ca="1">IFERROR(__xludf.DUMMYFUNCTION("""COMPUTED_VALUE"""),"No")</f>
        <v>No</v>
      </c>
      <c r="AE1935" s="5" t="str">
        <f ca="1">IFERROR(__xludf.DUMMYFUNCTION("""COMPUTED_VALUE"""),"No")</f>
        <v>No</v>
      </c>
      <c r="AF1935" s="5" t="str">
        <f ca="1">IFERROR(__xludf.DUMMYFUNCTION("""COMPUTED_VALUE"""),"Yes")</f>
        <v>Yes</v>
      </c>
      <c r="AG1935" s="5" t="str">
        <f ca="1">IFERROR(__xludf.DUMMYFUNCTION("""COMPUTED_VALUE"""),"No")</f>
        <v>No</v>
      </c>
      <c r="AH1935" s="5"/>
    </row>
    <row r="1936" spans="1:34" ht="12.75">
      <c r="A1936" s="5" t="str">
        <f ca="1">IFERROR(__xludf.DUMMYFUNCTION("""COMPUTED_VALUE"""),"19800211INARI")</f>
        <v>19800211INARI</v>
      </c>
      <c r="B1936" s="8">
        <f ca="1">IFERROR(__xludf.DUMMYFUNCTION("""COMPUTED_VALUE"""),29262)</f>
        <v>29262</v>
      </c>
      <c r="C1936" s="5" t="str">
        <f ca="1">IFERROR(__xludf.DUMMYFUNCTION("""COMPUTED_VALUE"""),"Arsenal Technical High School")</f>
        <v>Arsenal Technical High School</v>
      </c>
      <c r="D1936" s="5">
        <f ca="1">IFERROR(__xludf.DUMMYFUNCTION("""COMPUTED_VALUE"""),0)</f>
        <v>0</v>
      </c>
      <c r="E1936" s="5">
        <f ca="1">IFERROR(__xludf.DUMMYFUNCTION("""COMPUTED_VALUE"""),1)</f>
        <v>1</v>
      </c>
      <c r="F1936" s="5">
        <f ca="1">IFERROR(__xludf.DUMMYFUNCTION("""COMPUTED_VALUE"""),1)</f>
        <v>1</v>
      </c>
      <c r="G1936" s="5">
        <f ca="1">IFERROR(__xludf.DUMMYFUNCTION("""COMPUTED_VALUE"""),0)</f>
        <v>0</v>
      </c>
      <c r="H1936" s="9" t="str">
        <f ca="1">IFERROR(__xludf.DUMMYFUNCTION("""COMPUTED_VALUE"""),"https://www.newspapers.com/image/107593168/?terms=DANIEL%2BPEREZ%2BARSENAL%2BTECHNICAL%2BHIGH%2BSCHOOL")</f>
        <v>https://www.newspapers.com/image/107593168/?terms=DANIEL%2BPEREZ%2BARSENAL%2BTECHNICAL%2BHIGH%2BSCHOOL</v>
      </c>
      <c r="I1936" s="5"/>
      <c r="J1936" s="5"/>
      <c r="K1936" s="5">
        <f ca="1">IFERROR(__xludf.DUMMYFUNCTION("""COMPUTED_VALUE"""),2)</f>
        <v>2</v>
      </c>
      <c r="L1936" s="5" t="str">
        <f ca="1">IFERROR(__xludf.DUMMYFUNCTION("""COMPUTED_VALUE"""),"Winter")</f>
        <v>Winter</v>
      </c>
      <c r="M1936" s="5" t="str">
        <f ca="1">IFERROR(__xludf.DUMMYFUNCTION("""COMPUTED_VALUE"""),"Indianapolis")</f>
        <v>Indianapolis</v>
      </c>
      <c r="N1936" s="5" t="str">
        <f ca="1">IFERROR(__xludf.DUMMYFUNCTION("""COMPUTED_VALUE"""),"IN")</f>
        <v>IN</v>
      </c>
      <c r="O1936" s="5" t="str">
        <f ca="1">IFERROR(__xludf.DUMMYFUNCTION("""COMPUTED_VALUE"""),"High")</f>
        <v>High</v>
      </c>
      <c r="P1936" s="5" t="str">
        <f ca="1">IFERROR(__xludf.DUMMYFUNCTION("""COMPUTED_VALUE"""),"Outside on School Property")</f>
        <v>Outside on School Property</v>
      </c>
      <c r="Q1936" s="5" t="str">
        <f ca="1">IFERROR(__xludf.DUMMYFUNCTION("""COMPUTED_VALUE"""),"Outside on School Property")</f>
        <v>Outside on School Property</v>
      </c>
      <c r="R1936" s="5" t="str">
        <f ca="1">IFERROR(__xludf.DUMMYFUNCTION("""COMPUTED_VALUE"""),"Yes")</f>
        <v>Yes</v>
      </c>
      <c r="S1936" s="5" t="str">
        <f ca="1">IFERROR(__xludf.DUMMYFUNCTION("""COMPUTED_VALUE"""),"Lunch")</f>
        <v>Lunch</v>
      </c>
      <c r="T1936" s="10">
        <f ca="1">IFERROR(__xludf.DUMMYFUNCTION("""COMPUTED_VALUE"""),0.534722222222222)</f>
        <v>0.53472222222222199</v>
      </c>
      <c r="U1936" s="5">
        <f ca="1">IFERROR(__xludf.DUMMYFUNCTION("""COMPUTED_VALUE"""),1)</f>
        <v>1</v>
      </c>
      <c r="V1936" s="5" t="str">
        <f ca="1">IFERROR(__xludf.DUMMYFUNCTION("""COMPUTED_VALUE"""),"Robbery or a drug deal gone bad")</f>
        <v>Robbery or a drug deal gone bad</v>
      </c>
      <c r="W1936"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X1936" s="5" t="str">
        <f ca="1">IFERROR(__xludf.DUMMYFUNCTION("""COMPUTED_VALUE"""),"Illegal Activity")</f>
        <v>Illegal Activity</v>
      </c>
      <c r="Y1936" s="5" t="str">
        <f ca="1">IFERROR(__xludf.DUMMYFUNCTION("""COMPUTED_VALUE"""),"Victims Targeted")</f>
        <v>Victims Targeted</v>
      </c>
      <c r="Z1936" s="5" t="str">
        <f ca="1">IFERROR(__xludf.DUMMYFUNCTION("""COMPUTED_VALUE"""),"No")</f>
        <v>No</v>
      </c>
      <c r="AA1936" s="5"/>
      <c r="AB1936" s="5" t="str">
        <f ca="1">IFERROR(__xludf.DUMMYFUNCTION("""COMPUTED_VALUE"""),"No")</f>
        <v>No</v>
      </c>
      <c r="AC1936" s="5" t="str">
        <f ca="1">IFERROR(__xludf.DUMMYFUNCTION("""COMPUTED_VALUE"""),"No")</f>
        <v>No</v>
      </c>
      <c r="AD1936" s="5" t="str">
        <f ca="1">IFERROR(__xludf.DUMMYFUNCTION("""COMPUTED_VALUE"""),"No")</f>
        <v>No</v>
      </c>
      <c r="AE1936" s="5" t="str">
        <f ca="1">IFERROR(__xludf.DUMMYFUNCTION("""COMPUTED_VALUE"""),"No")</f>
        <v>No</v>
      </c>
      <c r="AF1936" s="5" t="str">
        <f ca="1">IFERROR(__xludf.DUMMYFUNCTION("""COMPUTED_VALUE"""),"No")</f>
        <v>No</v>
      </c>
      <c r="AG1936" s="5" t="str">
        <f ca="1">IFERROR(__xludf.DUMMYFUNCTION("""COMPUTED_VALUE"""),"No")</f>
        <v>No</v>
      </c>
      <c r="AH1936" s="5"/>
    </row>
    <row r="1937" spans="1:34" ht="12.75">
      <c r="A1937" s="5" t="str">
        <f ca="1">IFERROR(__xludf.DUMMYFUNCTION("""COMPUTED_VALUE"""),"19800207TXVAL")</f>
        <v>19800207TXVAL</v>
      </c>
      <c r="B1937" s="8">
        <f ca="1">IFERROR(__xludf.DUMMYFUNCTION("""COMPUTED_VALUE"""),29258)</f>
        <v>29258</v>
      </c>
      <c r="C1937" s="5" t="str">
        <f ca="1">IFERROR(__xludf.DUMMYFUNCTION("""COMPUTED_VALUE"""),"Valley View Elementary School")</f>
        <v>Valley View Elementary School</v>
      </c>
      <c r="D1937" s="5">
        <f ca="1">IFERROR(__xludf.DUMMYFUNCTION("""COMPUTED_VALUE"""),0)</f>
        <v>0</v>
      </c>
      <c r="E1937" s="5">
        <f ca="1">IFERROR(__xludf.DUMMYFUNCTION("""COMPUTED_VALUE"""),1)</f>
        <v>1</v>
      </c>
      <c r="F1937" s="5">
        <f ca="1">IFERROR(__xludf.DUMMYFUNCTION("""COMPUTED_VALUE"""),1)</f>
        <v>1</v>
      </c>
      <c r="G1937" s="5">
        <f ca="1">IFERROR(__xludf.DUMMYFUNCTION("""COMPUTED_VALUE"""),0)</f>
        <v>0</v>
      </c>
      <c r="H1937" s="9" t="str">
        <f ca="1">IFERROR(__xludf.DUMMYFUNCTION("""COMPUTED_VALUE"""),"https://www.newspapers.com/image/217265072/?terms=10-year%2Bold%2Bboy%2Baccidentally%2Bshot")</f>
        <v>https://www.newspapers.com/image/217265072/?terms=10-year%2Bold%2Bboy%2Baccidentally%2Bshot</v>
      </c>
      <c r="I1937" s="5"/>
      <c r="J1937" s="5"/>
      <c r="K1937" s="5">
        <f ca="1">IFERROR(__xludf.DUMMYFUNCTION("""COMPUTED_VALUE"""),2)</f>
        <v>2</v>
      </c>
      <c r="L1937" s="5" t="str">
        <f ca="1">IFERROR(__xludf.DUMMYFUNCTION("""COMPUTED_VALUE"""),"Winter")</f>
        <v>Winter</v>
      </c>
      <c r="M1937" s="5" t="str">
        <f ca="1">IFERROR(__xludf.DUMMYFUNCTION("""COMPUTED_VALUE"""),"Longview")</f>
        <v>Longview</v>
      </c>
      <c r="N1937" s="5" t="str">
        <f ca="1">IFERROR(__xludf.DUMMYFUNCTION("""COMPUTED_VALUE"""),"TX")</f>
        <v>TX</v>
      </c>
      <c r="O1937" s="5" t="str">
        <f ca="1">IFERROR(__xludf.DUMMYFUNCTION("""COMPUTED_VALUE"""),"Elementary")</f>
        <v>Elementary</v>
      </c>
      <c r="P1937" s="5" t="str">
        <f ca="1">IFERROR(__xludf.DUMMYFUNCTION("""COMPUTED_VALUE"""),"Inside School Building")</f>
        <v>Inside School Building</v>
      </c>
      <c r="Q1937" s="5" t="str">
        <f ca="1">IFERROR(__xludf.DUMMYFUNCTION("""COMPUTED_VALUE"""),"Inside School Building")</f>
        <v>Inside School Building</v>
      </c>
      <c r="R1937" s="5" t="str">
        <f ca="1">IFERROR(__xludf.DUMMYFUNCTION("""COMPUTED_VALUE"""),"Yes")</f>
        <v>Yes</v>
      </c>
      <c r="S1937" s="5" t="str">
        <f ca="1">IFERROR(__xludf.DUMMYFUNCTION("""COMPUTED_VALUE"""),"Morning Classes")</f>
        <v>Morning Classes</v>
      </c>
      <c r="T1937" s="10">
        <f ca="1">IFERROR(__xludf.DUMMYFUNCTION("""COMPUTED_VALUE"""),0.4375)</f>
        <v>0.4375</v>
      </c>
      <c r="U1937" s="5">
        <f ca="1">IFERROR(__xludf.DUMMYFUNCTION("""COMPUTED_VALUE"""),1)</f>
        <v>1</v>
      </c>
      <c r="V1937" s="5" t="str">
        <f ca="1">IFERROR(__xludf.DUMMYFUNCTION("""COMPUTED_VALUE"""),"Youth showing gun off at school - accidentally went off striking student")</f>
        <v>Youth showing gun off at school - accidentally went off striking student</v>
      </c>
      <c r="W1937"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X1937" s="5" t="str">
        <f ca="1">IFERROR(__xludf.DUMMYFUNCTION("""COMPUTED_VALUE"""),"Accidental")</f>
        <v>Accidental</v>
      </c>
      <c r="Y1937" s="5" t="str">
        <f ca="1">IFERROR(__xludf.DUMMYFUNCTION("""COMPUTED_VALUE"""),"Random Shooting")</f>
        <v>Random Shooting</v>
      </c>
      <c r="Z1937" s="5"/>
      <c r="AA1937" s="5"/>
      <c r="AB1937" s="5" t="str">
        <f ca="1">IFERROR(__xludf.DUMMYFUNCTION("""COMPUTED_VALUE"""),"No")</f>
        <v>No</v>
      </c>
      <c r="AC1937" s="5" t="str">
        <f ca="1">IFERROR(__xludf.DUMMYFUNCTION("""COMPUTED_VALUE"""),"No")</f>
        <v>No</v>
      </c>
      <c r="AD1937" s="5" t="str">
        <f ca="1">IFERROR(__xludf.DUMMYFUNCTION("""COMPUTED_VALUE"""),"No")</f>
        <v>No</v>
      </c>
      <c r="AE1937" s="5" t="str">
        <f ca="1">IFERROR(__xludf.DUMMYFUNCTION("""COMPUTED_VALUE"""),"No")</f>
        <v>No</v>
      </c>
      <c r="AF1937" s="5" t="str">
        <f ca="1">IFERROR(__xludf.DUMMYFUNCTION("""COMPUTED_VALUE"""),"No")</f>
        <v>No</v>
      </c>
      <c r="AG1937" s="5" t="str">
        <f ca="1">IFERROR(__xludf.DUMMYFUNCTION("""COMPUTED_VALUE"""),"No")</f>
        <v>No</v>
      </c>
      <c r="AH1937" s="5"/>
    </row>
    <row r="1938" spans="1:34" ht="12.75">
      <c r="A1938" s="5" t="str">
        <f ca="1">IFERROR(__xludf.DUMMYFUNCTION("""COMPUTED_VALUE"""),"19800201DCLAW")</f>
        <v>19800201DCLAW</v>
      </c>
      <c r="B1938" s="8">
        <f ca="1">IFERROR(__xludf.DUMMYFUNCTION("""COMPUTED_VALUE"""),29252)</f>
        <v>29252</v>
      </c>
      <c r="C1938" s="5" t="str">
        <f ca="1">IFERROR(__xludf.DUMMYFUNCTION("""COMPUTED_VALUE"""),"Langdon Elementary School")</f>
        <v>Langdon Elementary School</v>
      </c>
      <c r="D1938" s="5">
        <f ca="1">IFERROR(__xludf.DUMMYFUNCTION("""COMPUTED_VALUE"""),0)</f>
        <v>0</v>
      </c>
      <c r="E1938" s="5">
        <f ca="1">IFERROR(__xludf.DUMMYFUNCTION("""COMPUTED_VALUE"""),1)</f>
        <v>1</v>
      </c>
      <c r="F1938" s="5">
        <f ca="1">IFERROR(__xludf.DUMMYFUNCTION("""COMPUTED_VALUE"""),1)</f>
        <v>1</v>
      </c>
      <c r="G1938" s="5">
        <f ca="1">IFERROR(__xludf.DUMMYFUNCTION("""COMPUTED_VALUE"""),0)</f>
        <v>0</v>
      </c>
      <c r="H1938"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I1938" s="5"/>
      <c r="J1938" s="5"/>
      <c r="K1938" s="5">
        <f ca="1">IFERROR(__xludf.DUMMYFUNCTION("""COMPUTED_VALUE"""),2)</f>
        <v>2</v>
      </c>
      <c r="L1938" s="5" t="str">
        <f ca="1">IFERROR(__xludf.DUMMYFUNCTION("""COMPUTED_VALUE"""),"Winter")</f>
        <v>Winter</v>
      </c>
      <c r="M1938" s="5" t="str">
        <f ca="1">IFERROR(__xludf.DUMMYFUNCTION("""COMPUTED_VALUE"""),"Washington, DC")</f>
        <v>Washington, DC</v>
      </c>
      <c r="N1938" s="5" t="str">
        <f ca="1">IFERROR(__xludf.DUMMYFUNCTION("""COMPUTED_VALUE"""),"DC")</f>
        <v>DC</v>
      </c>
      <c r="O1938" s="5" t="str">
        <f ca="1">IFERROR(__xludf.DUMMYFUNCTION("""COMPUTED_VALUE"""),"Elementary")</f>
        <v>Elementary</v>
      </c>
      <c r="P1938" s="5" t="str">
        <f ca="1">IFERROR(__xludf.DUMMYFUNCTION("""COMPUTED_VALUE"""),"Bathroom")</f>
        <v>Bathroom</v>
      </c>
      <c r="Q1938" s="5" t="str">
        <f ca="1">IFERROR(__xludf.DUMMYFUNCTION("""COMPUTED_VALUE"""),"Inside School Building")</f>
        <v>Inside School Building</v>
      </c>
      <c r="R1938" s="5" t="str">
        <f ca="1">IFERROR(__xludf.DUMMYFUNCTION("""COMPUTED_VALUE"""),"Yes")</f>
        <v>Yes</v>
      </c>
      <c r="S1938" s="5" t="str">
        <f ca="1">IFERROR(__xludf.DUMMYFUNCTION("""COMPUTED_VALUE"""),"Morning Classes")</f>
        <v>Morning Classes</v>
      </c>
      <c r="T1938" s="10">
        <f ca="1">IFERROR(__xludf.DUMMYFUNCTION("""COMPUTED_VALUE"""),0.375)</f>
        <v>0.375</v>
      </c>
      <c r="U1938" s="5">
        <f ca="1">IFERROR(__xludf.DUMMYFUNCTION("""COMPUTED_VALUE"""),1)</f>
        <v>1</v>
      </c>
      <c r="V1938" s="5" t="str">
        <f ca="1">IFERROR(__xludf.DUMMYFUNCTION("""COMPUTED_VALUE"""),"Showing off gun in bathroom, pulled trigger to prove it was real")</f>
        <v>Showing off gun in bathroom, pulled trigger to prove it was real</v>
      </c>
      <c r="W1938"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X1938" s="5" t="str">
        <f ca="1">IFERROR(__xludf.DUMMYFUNCTION("""COMPUTED_VALUE"""),"Accidental")</f>
        <v>Accidental</v>
      </c>
      <c r="Y1938" s="5" t="str">
        <f ca="1">IFERROR(__xludf.DUMMYFUNCTION("""COMPUTED_VALUE"""),"Neither")</f>
        <v>Neither</v>
      </c>
      <c r="Z1938" s="5" t="str">
        <f ca="1">IFERROR(__xludf.DUMMYFUNCTION("""COMPUTED_VALUE"""),"No")</f>
        <v>No</v>
      </c>
      <c r="AA1938" s="5"/>
      <c r="AB1938" s="5" t="str">
        <f ca="1">IFERROR(__xludf.DUMMYFUNCTION("""COMPUTED_VALUE"""),"No")</f>
        <v>No</v>
      </c>
      <c r="AC1938" s="5" t="str">
        <f ca="1">IFERROR(__xludf.DUMMYFUNCTION("""COMPUTED_VALUE"""),"No")</f>
        <v>No</v>
      </c>
      <c r="AD1938" s="5" t="str">
        <f ca="1">IFERROR(__xludf.DUMMYFUNCTION("""COMPUTED_VALUE"""),"No")</f>
        <v>No</v>
      </c>
      <c r="AE1938" s="5" t="str">
        <f ca="1">IFERROR(__xludf.DUMMYFUNCTION("""COMPUTED_VALUE"""),"No")</f>
        <v>No</v>
      </c>
      <c r="AF1938" s="5" t="str">
        <f ca="1">IFERROR(__xludf.DUMMYFUNCTION("""COMPUTED_VALUE"""),"No")</f>
        <v>No</v>
      </c>
      <c r="AG1938" s="5" t="str">
        <f ca="1">IFERROR(__xludf.DUMMYFUNCTION("""COMPUTED_VALUE"""),"No")</f>
        <v>No</v>
      </c>
      <c r="AH1938" s="5"/>
    </row>
    <row r="1939" spans="1:34" ht="12.75">
      <c r="A1939" s="5" t="str">
        <f ca="1">IFERROR(__xludf.DUMMYFUNCTION("""COMPUTED_VALUE"""),"19800129VALAW")</f>
        <v>19800129VALAW</v>
      </c>
      <c r="B1939" s="8">
        <f ca="1">IFERROR(__xludf.DUMMYFUNCTION("""COMPUTED_VALUE"""),29249)</f>
        <v>29249</v>
      </c>
      <c r="C1939" s="5" t="str">
        <f ca="1">IFERROR(__xludf.DUMMYFUNCTION("""COMPUTED_VALUE"""),"Lafayette High School")</f>
        <v>Lafayette High School</v>
      </c>
      <c r="D1939" s="5">
        <f ca="1">IFERROR(__xludf.DUMMYFUNCTION("""COMPUTED_VALUE"""),0)</f>
        <v>0</v>
      </c>
      <c r="E1939" s="5">
        <f ca="1">IFERROR(__xludf.DUMMYFUNCTION("""COMPUTED_VALUE"""),0)</f>
        <v>0</v>
      </c>
      <c r="F1939" s="5">
        <f ca="1">IFERROR(__xludf.DUMMYFUNCTION("""COMPUTED_VALUE"""),0)</f>
        <v>0</v>
      </c>
      <c r="G1939" s="5">
        <f ca="1">IFERROR(__xludf.DUMMYFUNCTION("""COMPUTED_VALUE"""),0)</f>
        <v>0</v>
      </c>
      <c r="H1939" s="9" t="str">
        <f ca="1">IFERROR(__xludf.DUMMYFUNCTION("""COMPUTED_VALUE"""),"https://www.newspapers.com/image/234200567/?terms=student%2Bwho%2Bshot%2Bself")</f>
        <v>https://www.newspapers.com/image/234200567/?terms=student%2Bwho%2Bshot%2Bself</v>
      </c>
      <c r="I1939" s="5"/>
      <c r="J1939" s="5"/>
      <c r="K1939" s="5">
        <f ca="1">IFERROR(__xludf.DUMMYFUNCTION("""COMPUTED_VALUE"""),2)</f>
        <v>2</v>
      </c>
      <c r="L1939" s="5" t="str">
        <f ca="1">IFERROR(__xludf.DUMMYFUNCTION("""COMPUTED_VALUE"""),"Winter")</f>
        <v>Winter</v>
      </c>
      <c r="M1939" s="5" t="str">
        <f ca="1">IFERROR(__xludf.DUMMYFUNCTION("""COMPUTED_VALUE"""),"Williamsburg")</f>
        <v>Williamsburg</v>
      </c>
      <c r="N1939" s="5" t="str">
        <f ca="1">IFERROR(__xludf.DUMMYFUNCTION("""COMPUTED_VALUE"""),"VA")</f>
        <v>VA</v>
      </c>
      <c r="O1939" s="5" t="str">
        <f ca="1">IFERROR(__xludf.DUMMYFUNCTION("""COMPUTED_VALUE"""),"High")</f>
        <v>High</v>
      </c>
      <c r="P1939" s="5" t="str">
        <f ca="1">IFERROR(__xludf.DUMMYFUNCTION("""COMPUTED_VALUE"""),"Other")</f>
        <v>Other</v>
      </c>
      <c r="Q1939" s="5" t="str">
        <f ca="1">IFERROR(__xludf.DUMMYFUNCTION("""COMPUTED_VALUE"""),"Inside School Building")</f>
        <v>Inside School Building</v>
      </c>
      <c r="R1939" s="5" t="str">
        <f ca="1">IFERROR(__xludf.DUMMYFUNCTION("""COMPUTED_VALUE"""),"Yes")</f>
        <v>Yes</v>
      </c>
      <c r="S1939" s="5" t="str">
        <f ca="1">IFERROR(__xludf.DUMMYFUNCTION("""COMPUTED_VALUE"""),"Morning Classes")</f>
        <v>Morning Classes</v>
      </c>
      <c r="T1939" s="10">
        <f ca="1">IFERROR(__xludf.DUMMYFUNCTION("""COMPUTED_VALUE"""),0.336805555555555)</f>
        <v>0.33680555555555503</v>
      </c>
      <c r="U1939" s="5">
        <f ca="1">IFERROR(__xludf.DUMMYFUNCTION("""COMPUTED_VALUE"""),1)</f>
        <v>1</v>
      </c>
      <c r="V1939" s="5" t="str">
        <f ca="1">IFERROR(__xludf.DUMMYFUNCTION("""COMPUTED_VALUE"""),"Shooter shot self in chest in school library")</f>
        <v>Shooter shot self in chest in school library</v>
      </c>
      <c r="W1939"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X1939" s="5" t="str">
        <f ca="1">IFERROR(__xludf.DUMMYFUNCTION("""COMPUTED_VALUE"""),"Suicide/Attempted")</f>
        <v>Suicide/Attempted</v>
      </c>
      <c r="Y1939" s="5" t="str">
        <f ca="1">IFERROR(__xludf.DUMMYFUNCTION("""COMPUTED_VALUE"""),"Victims Targeted")</f>
        <v>Victims Targeted</v>
      </c>
      <c r="Z1939" s="5" t="str">
        <f ca="1">IFERROR(__xludf.DUMMYFUNCTION("""COMPUTED_VALUE"""),"No")</f>
        <v>No</v>
      </c>
      <c r="AA1939" s="5"/>
      <c r="AB1939" s="5" t="str">
        <f ca="1">IFERROR(__xludf.DUMMYFUNCTION("""COMPUTED_VALUE"""),"No")</f>
        <v>No</v>
      </c>
      <c r="AC1939" s="5" t="str">
        <f ca="1">IFERROR(__xludf.DUMMYFUNCTION("""COMPUTED_VALUE"""),"No")</f>
        <v>No</v>
      </c>
      <c r="AD1939" s="5" t="str">
        <f ca="1">IFERROR(__xludf.DUMMYFUNCTION("""COMPUTED_VALUE"""),"No")</f>
        <v>No</v>
      </c>
      <c r="AE1939" s="5"/>
      <c r="AF1939" s="5" t="str">
        <f ca="1">IFERROR(__xludf.DUMMYFUNCTION("""COMPUTED_VALUE"""),"No")</f>
        <v>No</v>
      </c>
      <c r="AG1939" s="5" t="str">
        <f ca="1">IFERROR(__xludf.DUMMYFUNCTION("""COMPUTED_VALUE"""),"No")</f>
        <v>No</v>
      </c>
      <c r="AH1939" s="5"/>
    </row>
    <row r="1940" spans="1:34" ht="12.75">
      <c r="A1940" s="5" t="str">
        <f ca="1">IFERROR(__xludf.DUMMYFUNCTION("""COMPUTED_VALUE"""),"19800107ARSTS")</f>
        <v>19800107ARSTS</v>
      </c>
      <c r="B1940" s="8">
        <f ca="1">IFERROR(__xludf.DUMMYFUNCTION("""COMPUTED_VALUE"""),29227)</f>
        <v>29227</v>
      </c>
      <c r="C1940" s="5" t="str">
        <f ca="1">IFERROR(__xludf.DUMMYFUNCTION("""COMPUTED_VALUE"""),"Stamps High School")</f>
        <v>Stamps High School</v>
      </c>
      <c r="D1940" s="5">
        <f ca="1">IFERROR(__xludf.DUMMYFUNCTION("""COMPUTED_VALUE"""),1)</f>
        <v>1</v>
      </c>
      <c r="E1940" s="5">
        <f ca="1">IFERROR(__xludf.DUMMYFUNCTION("""COMPUTED_VALUE"""),0)</f>
        <v>0</v>
      </c>
      <c r="F1940" s="5">
        <f ca="1">IFERROR(__xludf.DUMMYFUNCTION("""COMPUTED_VALUE"""),1)</f>
        <v>1</v>
      </c>
      <c r="G1940" s="5">
        <f ca="1">IFERROR(__xludf.DUMMYFUNCTION("""COMPUTED_VALUE"""),0)</f>
        <v>0</v>
      </c>
      <c r="H1940" s="5" t="str">
        <f ca="1">IFERROR(__xludf.DUMMYFUNCTION("""COMPUTED_VALUE"""),"https://www.newspapers.com/image/312609368/?terms=stamps%2Bhigh%2Bschool%2Bshooting https://www.pressreader.com/usa/arkansas-democrat-gazette/20180318/284447099346596")</f>
        <v>https://www.newspapers.com/image/312609368/?terms=stamps%2Bhigh%2Bschool%2Bshooting https://www.pressreader.com/usa/arkansas-democrat-gazette/20180318/284447099346596</v>
      </c>
      <c r="I1940" s="5"/>
      <c r="J1940" s="5"/>
      <c r="K1940" s="5">
        <f ca="1">IFERROR(__xludf.DUMMYFUNCTION("""COMPUTED_VALUE"""),3)</f>
        <v>3</v>
      </c>
      <c r="L1940" s="5" t="str">
        <f ca="1">IFERROR(__xludf.DUMMYFUNCTION("""COMPUTED_VALUE"""),"Winter")</f>
        <v>Winter</v>
      </c>
      <c r="M1940" s="5" t="str">
        <f ca="1">IFERROR(__xludf.DUMMYFUNCTION("""COMPUTED_VALUE"""),"Stamps")</f>
        <v>Stamps</v>
      </c>
      <c r="N1940" s="5" t="str">
        <f ca="1">IFERROR(__xludf.DUMMYFUNCTION("""COMPUTED_VALUE"""),"AR")</f>
        <v>AR</v>
      </c>
      <c r="O1940" s="5" t="str">
        <f ca="1">IFERROR(__xludf.DUMMYFUNCTION("""COMPUTED_VALUE"""),"High")</f>
        <v>High</v>
      </c>
      <c r="P1940" s="5" t="str">
        <f ca="1">IFERROR(__xludf.DUMMYFUNCTION("""COMPUTED_VALUE"""),"Classroom")</f>
        <v>Classroom</v>
      </c>
      <c r="Q1940" s="5" t="str">
        <f ca="1">IFERROR(__xludf.DUMMYFUNCTION("""COMPUTED_VALUE"""),"Inside School Building")</f>
        <v>Inside School Building</v>
      </c>
      <c r="R1940" s="5" t="str">
        <f ca="1">IFERROR(__xludf.DUMMYFUNCTION("""COMPUTED_VALUE"""),"Yes")</f>
        <v>Yes</v>
      </c>
      <c r="S1940" s="5" t="str">
        <f ca="1">IFERROR(__xludf.DUMMYFUNCTION("""COMPUTED_VALUE"""),"Morning Classes")</f>
        <v>Morning Classes</v>
      </c>
      <c r="T1940" s="10">
        <f ca="1">IFERROR(__xludf.DUMMYFUNCTION("""COMPUTED_VALUE"""),0.376388888888888)</f>
        <v>0.376388888888888</v>
      </c>
      <c r="U1940" s="5">
        <f ca="1">IFERROR(__xludf.DUMMYFUNCTION("""COMPUTED_VALUE"""),1)</f>
        <v>1</v>
      </c>
      <c r="V1940" s="5" t="str">
        <f ca="1">IFERROR(__xludf.DUMMYFUNCTION("""COMPUTED_VALUE"""),"Student shot other student 3 times in class then walked to principals office and handed over gun")</f>
        <v>Student shot other student 3 times in class then walked to principals office and handed over gun</v>
      </c>
      <c r="W1940"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School officials were not aware of any motive.")</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X1940" s="5" t="str">
        <f ca="1">IFERROR(__xludf.DUMMYFUNCTION("""COMPUTED_VALUE"""),"Psychosis")</f>
        <v>Psychosis</v>
      </c>
      <c r="Y1940" s="5" t="str">
        <f ca="1">IFERROR(__xludf.DUMMYFUNCTION("""COMPUTED_VALUE"""),"Victims Targeted")</f>
        <v>Victims Targeted</v>
      </c>
      <c r="Z1940" s="5" t="str">
        <f ca="1">IFERROR(__xludf.DUMMYFUNCTION("""COMPUTED_VALUE"""),"No")</f>
        <v>No</v>
      </c>
      <c r="AA1940" s="5"/>
      <c r="AB1940" s="5" t="str">
        <f ca="1">IFERROR(__xludf.DUMMYFUNCTION("""COMPUTED_VALUE"""),"No")</f>
        <v>No</v>
      </c>
      <c r="AC1940" s="5" t="str">
        <f ca="1">IFERROR(__xludf.DUMMYFUNCTION("""COMPUTED_VALUE"""),"No")</f>
        <v>No</v>
      </c>
      <c r="AD1940" s="5" t="str">
        <f ca="1">IFERROR(__xludf.DUMMYFUNCTION("""COMPUTED_VALUE"""),"No")</f>
        <v>No</v>
      </c>
      <c r="AE1940" s="5"/>
      <c r="AF1940" s="5" t="str">
        <f ca="1">IFERROR(__xludf.DUMMYFUNCTION("""COMPUTED_VALUE"""),"No")</f>
        <v>No</v>
      </c>
      <c r="AG1940" s="5" t="str">
        <f ca="1">IFERROR(__xludf.DUMMYFUNCTION("""COMPUTED_VALUE"""),"No")</f>
        <v>No</v>
      </c>
      <c r="AH1940" s="5"/>
    </row>
    <row r="1941" spans="1:34" ht="12.75">
      <c r="A1941" s="5" t="str">
        <f ca="1">IFERROR(__xludf.DUMMYFUNCTION("""COMPUTED_VALUE"""),"19791221MOBLS")</f>
        <v>19791221MOBLS</v>
      </c>
      <c r="B1941" s="8">
        <f ca="1">IFERROR(__xludf.DUMMYFUNCTION("""COMPUTED_VALUE"""),29210)</f>
        <v>29210</v>
      </c>
      <c r="C1941" s="5" t="str">
        <f ca="1">IFERROR(__xludf.DUMMYFUNCTION("""COMPUTED_VALUE"""),"Blewett Middle School")</f>
        <v>Blewett Middle School</v>
      </c>
      <c r="D1941" s="5">
        <f ca="1">IFERROR(__xludf.DUMMYFUNCTION("""COMPUTED_VALUE"""),0)</f>
        <v>0</v>
      </c>
      <c r="E1941" s="5">
        <f ca="1">IFERROR(__xludf.DUMMYFUNCTION("""COMPUTED_VALUE"""),1)</f>
        <v>1</v>
      </c>
      <c r="F1941" s="5">
        <f ca="1">IFERROR(__xludf.DUMMYFUNCTION("""COMPUTED_VALUE"""),1)</f>
        <v>1</v>
      </c>
      <c r="G1941" s="5">
        <f ca="1">IFERROR(__xludf.DUMMYFUNCTION("""COMPUTED_VALUE"""),0)</f>
        <v>0</v>
      </c>
      <c r="H1941" s="9" t="str">
        <f ca="1">IFERROR(__xludf.DUMMYFUNCTION("""COMPUTED_VALUE"""),"https://www.newspapers.com/image/139639371/?terms=school%2Bshooting")</f>
        <v>https://www.newspapers.com/image/139639371/?terms=school%2Bshooting</v>
      </c>
      <c r="I1941" s="5"/>
      <c r="J1941" s="5"/>
      <c r="K1941" s="5">
        <f ca="1">IFERROR(__xludf.DUMMYFUNCTION("""COMPUTED_VALUE"""),2)</f>
        <v>2</v>
      </c>
      <c r="L1941" s="5" t="str">
        <f ca="1">IFERROR(__xludf.DUMMYFUNCTION("""COMPUTED_VALUE"""),"Winter")</f>
        <v>Winter</v>
      </c>
      <c r="M1941" s="5" t="str">
        <f ca="1">IFERROR(__xludf.DUMMYFUNCTION("""COMPUTED_VALUE"""),"St. Louis")</f>
        <v>St. Louis</v>
      </c>
      <c r="N1941" s="5" t="str">
        <f ca="1">IFERROR(__xludf.DUMMYFUNCTION("""COMPUTED_VALUE"""),"MO")</f>
        <v>MO</v>
      </c>
      <c r="O1941" s="5" t="str">
        <f ca="1">IFERROR(__xludf.DUMMYFUNCTION("""COMPUTED_VALUE"""),"Middle")</f>
        <v>Middle</v>
      </c>
      <c r="P1941" s="5" t="str">
        <f ca="1">IFERROR(__xludf.DUMMYFUNCTION("""COMPUTED_VALUE"""),"Hallway")</f>
        <v>Hallway</v>
      </c>
      <c r="Q1941" s="5" t="str">
        <f ca="1">IFERROR(__xludf.DUMMYFUNCTION("""COMPUTED_VALUE"""),"Inside School Building")</f>
        <v>Inside School Building</v>
      </c>
      <c r="R1941" s="5" t="str">
        <f ca="1">IFERROR(__xludf.DUMMYFUNCTION("""COMPUTED_VALUE"""),"Yes")</f>
        <v>Yes</v>
      </c>
      <c r="S1941" s="5" t="str">
        <f ca="1">IFERROR(__xludf.DUMMYFUNCTION("""COMPUTED_VALUE"""),"Morning Classes")</f>
        <v>Morning Classes</v>
      </c>
      <c r="T1941" s="5"/>
      <c r="U1941" s="5">
        <f ca="1">IFERROR(__xludf.DUMMYFUNCTION("""COMPUTED_VALUE"""),1)</f>
        <v>1</v>
      </c>
      <c r="V1941" s="5" t="str">
        <f ca="1">IFERROR(__xludf.DUMMYFUNCTION("""COMPUTED_VALUE"""),"Fight during dispute over money resulted in shooting")</f>
        <v>Fight during dispute over money resulted in shooting</v>
      </c>
      <c r="W1941" s="5" t="str">
        <f ca="1">IFERROR(__xludf.DUMMYFUNCTION("""COMPUTED_VALUE"""),"16YOM shot by 14YOM in the stairwell of the school during a dispute over money.")</f>
        <v>16YOM shot by 14YOM in the stairwell of the school during a dispute over money.</v>
      </c>
      <c r="X1941" s="5" t="str">
        <f ca="1">IFERROR(__xludf.DUMMYFUNCTION("""COMPUTED_VALUE"""),"Escalation of Dispute")</f>
        <v>Escalation of Dispute</v>
      </c>
      <c r="Y1941" s="5" t="str">
        <f ca="1">IFERROR(__xludf.DUMMYFUNCTION("""COMPUTED_VALUE"""),"Victims Targeted")</f>
        <v>Victims Targeted</v>
      </c>
      <c r="Z1941" s="5" t="str">
        <f ca="1">IFERROR(__xludf.DUMMYFUNCTION("""COMPUTED_VALUE"""),"No")</f>
        <v>No</v>
      </c>
      <c r="AA1941" s="5"/>
      <c r="AB1941" s="5" t="str">
        <f ca="1">IFERROR(__xludf.DUMMYFUNCTION("""COMPUTED_VALUE"""),"No")</f>
        <v>No</v>
      </c>
      <c r="AC1941" s="5" t="str">
        <f ca="1">IFERROR(__xludf.DUMMYFUNCTION("""COMPUTED_VALUE"""),"No")</f>
        <v>No</v>
      </c>
      <c r="AD1941" s="5" t="str">
        <f ca="1">IFERROR(__xludf.DUMMYFUNCTION("""COMPUTED_VALUE"""),"No")</f>
        <v>No</v>
      </c>
      <c r="AE1941" s="5" t="str">
        <f ca="1">IFERROR(__xludf.DUMMYFUNCTION("""COMPUTED_VALUE"""),"No")</f>
        <v>No</v>
      </c>
      <c r="AF1941" s="5" t="str">
        <f ca="1">IFERROR(__xludf.DUMMYFUNCTION("""COMPUTED_VALUE"""),"No")</f>
        <v>No</v>
      </c>
      <c r="AG1941" s="5" t="str">
        <f ca="1">IFERROR(__xludf.DUMMYFUNCTION("""COMPUTED_VALUE"""),"No")</f>
        <v>No</v>
      </c>
      <c r="AH1941" s="5"/>
    </row>
    <row r="1942" spans="1:34" ht="12.75">
      <c r="A1942" s="5" t="str">
        <f ca="1">IFERROR(__xludf.DUMMYFUNCTION("""COMPUTED_VALUE"""),"19791203MDEAB")</f>
        <v>19791203MDEAB</v>
      </c>
      <c r="B1942" s="8">
        <f ca="1">IFERROR(__xludf.DUMMYFUNCTION("""COMPUTED_VALUE"""),29192)</f>
        <v>29192</v>
      </c>
      <c r="C1942" s="5" t="str">
        <f ca="1">IFERROR(__xludf.DUMMYFUNCTION("""COMPUTED_VALUE"""),"Eastern High School")</f>
        <v>Eastern High School</v>
      </c>
      <c r="D1942" s="5">
        <f ca="1">IFERROR(__xludf.DUMMYFUNCTION("""COMPUTED_VALUE"""),0)</f>
        <v>0</v>
      </c>
      <c r="E1942" s="5">
        <f ca="1">IFERROR(__xludf.DUMMYFUNCTION("""COMPUTED_VALUE"""),3)</f>
        <v>3</v>
      </c>
      <c r="F1942" s="5">
        <f ca="1">IFERROR(__xludf.DUMMYFUNCTION("""COMPUTED_VALUE"""),3)</f>
        <v>3</v>
      </c>
      <c r="G1942" s="5">
        <f ca="1">IFERROR(__xludf.DUMMYFUNCTION("""COMPUTED_VALUE"""),0)</f>
        <v>0</v>
      </c>
      <c r="H1942" s="9" t="str">
        <f ca="1">IFERROR(__xludf.DUMMYFUNCTION("""COMPUTED_VALUE"""),"https://www.newspapers.com/image/281107557/?terms=eastern%2Bhigh%2Bschool%2Bshooting%2Bbaltimore")</f>
        <v>https://www.newspapers.com/image/281107557/?terms=eastern%2Bhigh%2Bschool%2Bshooting%2Bbaltimore</v>
      </c>
      <c r="I1942" s="5"/>
      <c r="J1942" s="5"/>
      <c r="K1942" s="5">
        <f ca="1">IFERROR(__xludf.DUMMYFUNCTION("""COMPUTED_VALUE"""),2)</f>
        <v>2</v>
      </c>
      <c r="L1942" s="5" t="str">
        <f ca="1">IFERROR(__xludf.DUMMYFUNCTION("""COMPUTED_VALUE"""),"Winter")</f>
        <v>Winter</v>
      </c>
      <c r="M1942" s="5" t="str">
        <f ca="1">IFERROR(__xludf.DUMMYFUNCTION("""COMPUTED_VALUE"""),"Baltimore")</f>
        <v>Baltimore</v>
      </c>
      <c r="N1942" s="5" t="str">
        <f ca="1">IFERROR(__xludf.DUMMYFUNCTION("""COMPUTED_VALUE"""),"MD")</f>
        <v>MD</v>
      </c>
      <c r="O1942" s="5" t="str">
        <f ca="1">IFERROR(__xludf.DUMMYFUNCTION("""COMPUTED_VALUE"""),"High")</f>
        <v>High</v>
      </c>
      <c r="P1942" s="5" t="str">
        <f ca="1">IFERROR(__xludf.DUMMYFUNCTION("""COMPUTED_VALUE"""),"Cafeteria")</f>
        <v>Cafeteria</v>
      </c>
      <c r="Q1942" s="5" t="str">
        <f ca="1">IFERROR(__xludf.DUMMYFUNCTION("""COMPUTED_VALUE"""),"Inside School Building")</f>
        <v>Inside School Building</v>
      </c>
      <c r="R1942" s="5" t="str">
        <f ca="1">IFERROR(__xludf.DUMMYFUNCTION("""COMPUTED_VALUE"""),"Yes")</f>
        <v>Yes</v>
      </c>
      <c r="S1942" s="5" t="str">
        <f ca="1">IFERROR(__xludf.DUMMYFUNCTION("""COMPUTED_VALUE"""),"Lunch")</f>
        <v>Lunch</v>
      </c>
      <c r="T1942" s="5"/>
      <c r="U1942" s="5">
        <f ca="1">IFERROR(__xludf.DUMMYFUNCTION("""COMPUTED_VALUE"""),1)</f>
        <v>1</v>
      </c>
      <c r="V1942" s="5" t="str">
        <f ca="1">IFERROR(__xludf.DUMMYFUNCTION("""COMPUTED_VALUE"""),"Three student gang members fired at rival gang members who fired back in cafeteria")</f>
        <v>Three student gang members fired at rival gang members who fired back in cafeteria</v>
      </c>
      <c r="W1942"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X1942" s="5" t="str">
        <f ca="1">IFERROR(__xludf.DUMMYFUNCTION("""COMPUTED_VALUE"""),"Escalation of Dispute")</f>
        <v>Escalation of Dispute</v>
      </c>
      <c r="Y1942" s="5" t="str">
        <f ca="1">IFERROR(__xludf.DUMMYFUNCTION("""COMPUTED_VALUE"""),"Both")</f>
        <v>Both</v>
      </c>
      <c r="Z1942" s="5" t="str">
        <f ca="1">IFERROR(__xludf.DUMMYFUNCTION("""COMPUTED_VALUE"""),"Yes")</f>
        <v>Yes</v>
      </c>
      <c r="AA1942" s="5" t="str">
        <f ca="1">IFERROR(__xludf.DUMMYFUNCTION("""COMPUTED_VALUE"""),"Three armed teens attacked one armed tean")</f>
        <v>Three armed teens attacked one armed tean</v>
      </c>
      <c r="AB1942" s="5" t="str">
        <f ca="1">IFERROR(__xludf.DUMMYFUNCTION("""COMPUTED_VALUE"""),"No")</f>
        <v>No</v>
      </c>
      <c r="AC1942" s="5" t="str">
        <f ca="1">IFERROR(__xludf.DUMMYFUNCTION("""COMPUTED_VALUE"""),"No")</f>
        <v>No</v>
      </c>
      <c r="AD1942" s="5" t="str">
        <f ca="1">IFERROR(__xludf.DUMMYFUNCTION("""COMPUTED_VALUE"""),"No")</f>
        <v>No</v>
      </c>
      <c r="AE1942" s="5" t="str">
        <f ca="1">IFERROR(__xludf.DUMMYFUNCTION("""COMPUTED_VALUE"""),"No")</f>
        <v>No</v>
      </c>
      <c r="AF1942" s="5" t="str">
        <f ca="1">IFERROR(__xludf.DUMMYFUNCTION("""COMPUTED_VALUE"""),"No")</f>
        <v>No</v>
      </c>
      <c r="AG1942" s="5" t="str">
        <f ca="1">IFERROR(__xludf.DUMMYFUNCTION("""COMPUTED_VALUE"""),"Yes")</f>
        <v>Yes</v>
      </c>
      <c r="AH1942" s="5"/>
    </row>
    <row r="1943" spans="1:34" ht="12.75">
      <c r="A1943" s="5" t="str">
        <f ca="1">IFERROR(__xludf.DUMMYFUNCTION("""COMPUTED_VALUE"""),"19791130TXUNL")</f>
        <v>19791130TXUNL</v>
      </c>
      <c r="B1943" s="8">
        <f ca="1">IFERROR(__xludf.DUMMYFUNCTION("""COMPUTED_VALUE"""),29189)</f>
        <v>29189</v>
      </c>
      <c r="C1943" s="5" t="str">
        <f ca="1">IFERROR(__xludf.DUMMYFUNCTION("""COMPUTED_VALUE"""),"Unknown School")</f>
        <v>Unknown School</v>
      </c>
      <c r="D1943" s="5">
        <f ca="1">IFERROR(__xludf.DUMMYFUNCTION("""COMPUTED_VALUE"""),0)</f>
        <v>0</v>
      </c>
      <c r="E1943" s="5">
        <f ca="1">IFERROR(__xludf.DUMMYFUNCTION("""COMPUTED_VALUE"""),1)</f>
        <v>1</v>
      </c>
      <c r="F1943" s="5">
        <f ca="1">IFERROR(__xludf.DUMMYFUNCTION("""COMPUTED_VALUE"""),1)</f>
        <v>1</v>
      </c>
      <c r="G1943" s="5">
        <f ca="1">IFERROR(__xludf.DUMMYFUNCTION("""COMPUTED_VALUE"""),0)</f>
        <v>0</v>
      </c>
      <c r="H1943"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I1943" s="5"/>
      <c r="J1943" s="5"/>
      <c r="K1943" s="5">
        <f ca="1">IFERROR(__xludf.DUMMYFUNCTION("""COMPUTED_VALUE"""),3)</f>
        <v>3</v>
      </c>
      <c r="L1943" s="5" t="str">
        <f ca="1">IFERROR(__xludf.DUMMYFUNCTION("""COMPUTED_VALUE"""),"Fall")</f>
        <v>Fall</v>
      </c>
      <c r="M1943" s="5" t="str">
        <f ca="1">IFERROR(__xludf.DUMMYFUNCTION("""COMPUTED_VALUE"""),"Lewisville")</f>
        <v>Lewisville</v>
      </c>
      <c r="N1943" s="5" t="str">
        <f ca="1">IFERROR(__xludf.DUMMYFUNCTION("""COMPUTED_VALUE"""),"TX")</f>
        <v>TX</v>
      </c>
      <c r="O1943" s="5"/>
      <c r="P1943" s="5" t="str">
        <f ca="1">IFERROR(__xludf.DUMMYFUNCTION("""COMPUTED_VALUE"""),"Inside School Building")</f>
        <v>Inside School Building</v>
      </c>
      <c r="Q1943" s="5" t="str">
        <f ca="1">IFERROR(__xludf.DUMMYFUNCTION("""COMPUTED_VALUE"""),"Inside School Building")</f>
        <v>Inside School Building</v>
      </c>
      <c r="R1943" s="5" t="str">
        <f ca="1">IFERROR(__xludf.DUMMYFUNCTION("""COMPUTED_VALUE"""),"Yes")</f>
        <v>Yes</v>
      </c>
      <c r="S1943" s="5"/>
      <c r="T1943" s="5"/>
      <c r="U1943" s="5">
        <f ca="1">IFERROR(__xludf.DUMMYFUNCTION("""COMPUTED_VALUE"""),1)</f>
        <v>1</v>
      </c>
      <c r="V1943" s="5" t="str">
        <f ca="1">IFERROR(__xludf.DUMMYFUNCTION("""COMPUTED_VALUE"""),"14 year old student shot 11 year old girl in school hallway - unknown motive")</f>
        <v>14 year old student shot 11 year old girl in school hallway - unknown motive</v>
      </c>
      <c r="W1943"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X1943" s="5" t="str">
        <f ca="1">IFERROR(__xludf.DUMMYFUNCTION("""COMPUTED_VALUE"""),"Accidental")</f>
        <v>Accidental</v>
      </c>
      <c r="Y1943" s="5" t="str">
        <f ca="1">IFERROR(__xludf.DUMMYFUNCTION("""COMPUTED_VALUE"""),"Random Shooting")</f>
        <v>Random Shooting</v>
      </c>
      <c r="Z1943" s="5" t="str">
        <f ca="1">IFERROR(__xludf.DUMMYFUNCTION("""COMPUTED_VALUE"""),"No")</f>
        <v>No</v>
      </c>
      <c r="AA1943" s="5"/>
      <c r="AB1943" s="5" t="str">
        <f ca="1">IFERROR(__xludf.DUMMYFUNCTION("""COMPUTED_VALUE"""),"No")</f>
        <v>No</v>
      </c>
      <c r="AC1943" s="5" t="str">
        <f ca="1">IFERROR(__xludf.DUMMYFUNCTION("""COMPUTED_VALUE"""),"No")</f>
        <v>No</v>
      </c>
      <c r="AD1943" s="5" t="str">
        <f ca="1">IFERROR(__xludf.DUMMYFUNCTION("""COMPUTED_VALUE"""),"No")</f>
        <v>No</v>
      </c>
      <c r="AE1943" s="5"/>
      <c r="AF1943" s="5"/>
      <c r="AG1943" s="5"/>
      <c r="AH1943" s="5"/>
    </row>
    <row r="1944" spans="1:34" ht="12.75">
      <c r="A1944" s="5" t="str">
        <f ca="1">IFERROR(__xludf.DUMMYFUNCTION("""COMPUTED_VALUE"""),"19791105INWAI")</f>
        <v>19791105INWAI</v>
      </c>
      <c r="B1944" s="8">
        <f ca="1">IFERROR(__xludf.DUMMYFUNCTION("""COMPUTED_VALUE"""),29164)</f>
        <v>29164</v>
      </c>
      <c r="C1944" s="5" t="str">
        <f ca="1">IFERROR(__xludf.DUMMYFUNCTION("""COMPUTED_VALUE"""),"Washington High School")</f>
        <v>Washington High School</v>
      </c>
      <c r="D1944" s="5">
        <f ca="1">IFERROR(__xludf.DUMMYFUNCTION("""COMPUTED_VALUE"""),0)</f>
        <v>0</v>
      </c>
      <c r="E1944" s="5">
        <f ca="1">IFERROR(__xludf.DUMMYFUNCTION("""COMPUTED_VALUE"""),1)</f>
        <v>1</v>
      </c>
      <c r="F1944" s="5">
        <f ca="1">IFERROR(__xludf.DUMMYFUNCTION("""COMPUTED_VALUE"""),1)</f>
        <v>1</v>
      </c>
      <c r="G1944" s="5">
        <f ca="1">IFERROR(__xludf.DUMMYFUNCTION("""COMPUTED_VALUE"""),0)</f>
        <v>0</v>
      </c>
      <c r="H1944" s="9" t="str">
        <f ca="1">IFERROR(__xludf.DUMMYFUNCTION("""COMPUTED_VALUE"""),"https://www.newspapers.com/image/107586036/?terms=school%2Bshooting")</f>
        <v>https://www.newspapers.com/image/107586036/?terms=school%2Bshooting</v>
      </c>
      <c r="I1944" s="5"/>
      <c r="J1944" s="5"/>
      <c r="K1944" s="5">
        <f ca="1">IFERROR(__xludf.DUMMYFUNCTION("""COMPUTED_VALUE"""),2)</f>
        <v>2</v>
      </c>
      <c r="L1944" s="5" t="str">
        <f ca="1">IFERROR(__xludf.DUMMYFUNCTION("""COMPUTED_VALUE"""),"Fall")</f>
        <v>Fall</v>
      </c>
      <c r="M1944" s="5" t="str">
        <f ca="1">IFERROR(__xludf.DUMMYFUNCTION("""COMPUTED_VALUE"""),"Indianapolis")</f>
        <v>Indianapolis</v>
      </c>
      <c r="N1944" s="5" t="str">
        <f ca="1">IFERROR(__xludf.DUMMYFUNCTION("""COMPUTED_VALUE"""),"IN")</f>
        <v>IN</v>
      </c>
      <c r="O1944" s="5" t="str">
        <f ca="1">IFERROR(__xludf.DUMMYFUNCTION("""COMPUTED_VALUE"""),"High")</f>
        <v>High</v>
      </c>
      <c r="P1944" s="5" t="str">
        <f ca="1">IFERROR(__xludf.DUMMYFUNCTION("""COMPUTED_VALUE"""),"Beside Building")</f>
        <v>Beside Building</v>
      </c>
      <c r="Q1944" s="5" t="str">
        <f ca="1">IFERROR(__xludf.DUMMYFUNCTION("""COMPUTED_VALUE"""),"Outside on School Property")</f>
        <v>Outside on School Property</v>
      </c>
      <c r="R1944" s="5" t="str">
        <f ca="1">IFERROR(__xludf.DUMMYFUNCTION("""COMPUTED_VALUE"""),"Yes")</f>
        <v>Yes</v>
      </c>
      <c r="S1944" s="5" t="str">
        <f ca="1">IFERROR(__xludf.DUMMYFUNCTION("""COMPUTED_VALUE"""),"Dismissal")</f>
        <v>Dismissal</v>
      </c>
      <c r="T1944" s="5"/>
      <c r="U1944" s="5">
        <f ca="1">IFERROR(__xludf.DUMMYFUNCTION("""COMPUTED_VALUE"""),1)</f>
        <v>1</v>
      </c>
      <c r="V1944" s="5" t="str">
        <f ca="1">IFERROR(__xludf.DUMMYFUNCTION("""COMPUTED_VALUE"""),"Student shot other student exiting school")</f>
        <v>Student shot other student exiting school</v>
      </c>
      <c r="W1944" s="5" t="str">
        <f ca="1">IFERROR(__xludf.DUMMYFUNCTION("""COMPUTED_VALUE"""),"18 year-old male student shot a 14 year-old male student leaving the school.")</f>
        <v>18 year-old male student shot a 14 year-old male student leaving the school.</v>
      </c>
      <c r="X1944" s="5" t="str">
        <f ca="1">IFERROR(__xludf.DUMMYFUNCTION("""COMPUTED_VALUE"""),"Escalation of Dispute")</f>
        <v>Escalation of Dispute</v>
      </c>
      <c r="Y1944" s="5" t="str">
        <f ca="1">IFERROR(__xludf.DUMMYFUNCTION("""COMPUTED_VALUE"""),"Victims Targeted")</f>
        <v>Victims Targeted</v>
      </c>
      <c r="Z1944" s="5" t="str">
        <f ca="1">IFERROR(__xludf.DUMMYFUNCTION("""COMPUTED_VALUE"""),"No")</f>
        <v>No</v>
      </c>
      <c r="AA1944" s="5"/>
      <c r="AB1944" s="5" t="str">
        <f ca="1">IFERROR(__xludf.DUMMYFUNCTION("""COMPUTED_VALUE"""),"No")</f>
        <v>No</v>
      </c>
      <c r="AC1944" s="5" t="str">
        <f ca="1">IFERROR(__xludf.DUMMYFUNCTION("""COMPUTED_VALUE"""),"No")</f>
        <v>No</v>
      </c>
      <c r="AD1944" s="5" t="str">
        <f ca="1">IFERROR(__xludf.DUMMYFUNCTION("""COMPUTED_VALUE"""),"No")</f>
        <v>No</v>
      </c>
      <c r="AE1944" s="5"/>
      <c r="AF1944" s="5" t="str">
        <f ca="1">IFERROR(__xludf.DUMMYFUNCTION("""COMPUTED_VALUE"""),"No")</f>
        <v>No</v>
      </c>
      <c r="AG1944" s="5"/>
      <c r="AH1944" s="5"/>
    </row>
    <row r="1945" spans="1:34" ht="12.75">
      <c r="A1945" s="5" t="str">
        <f ca="1">IFERROR(__xludf.DUMMYFUNCTION("""COMPUTED_VALUE"""),"19791023MOOFS")</f>
        <v>19791023MOOFS</v>
      </c>
      <c r="B1945" s="8">
        <f ca="1">IFERROR(__xludf.DUMMYFUNCTION("""COMPUTED_VALUE"""),29151)</f>
        <v>29151</v>
      </c>
      <c r="C1945" s="5" t="str">
        <f ca="1">IFERROR(__xludf.DUMMYFUNCTION("""COMPUTED_VALUE"""),"O Fallen Technical High School")</f>
        <v>O Fallen Technical High School</v>
      </c>
      <c r="D1945" s="5">
        <f ca="1">IFERROR(__xludf.DUMMYFUNCTION("""COMPUTED_VALUE"""),0)</f>
        <v>0</v>
      </c>
      <c r="E1945" s="5">
        <f ca="1">IFERROR(__xludf.DUMMYFUNCTION("""COMPUTED_VALUE"""),2)</f>
        <v>2</v>
      </c>
      <c r="F1945" s="5">
        <f ca="1">IFERROR(__xludf.DUMMYFUNCTION("""COMPUTED_VALUE"""),2)</f>
        <v>2</v>
      </c>
      <c r="G1945" s="5">
        <f ca="1">IFERROR(__xludf.DUMMYFUNCTION("""COMPUTED_VALUE"""),0)</f>
        <v>0</v>
      </c>
      <c r="H1945" s="9" t="str">
        <f ca="1">IFERROR(__xludf.DUMMYFUNCTION("""COMPUTED_VALUE"""),"https://www.newspapers.com/image/307812073/?terms=school%2Bshooting")</f>
        <v>https://www.newspapers.com/image/307812073/?terms=school%2Bshooting</v>
      </c>
      <c r="I1945" s="5"/>
      <c r="J1945" s="5"/>
      <c r="K1945" s="5">
        <f ca="1">IFERROR(__xludf.DUMMYFUNCTION("""COMPUTED_VALUE"""),2)</f>
        <v>2</v>
      </c>
      <c r="L1945" s="5" t="str">
        <f ca="1">IFERROR(__xludf.DUMMYFUNCTION("""COMPUTED_VALUE"""),"Fall")</f>
        <v>Fall</v>
      </c>
      <c r="M1945" s="5" t="str">
        <f ca="1">IFERROR(__xludf.DUMMYFUNCTION("""COMPUTED_VALUE"""),"St. Louis")</f>
        <v>St. Louis</v>
      </c>
      <c r="N1945" s="5" t="str">
        <f ca="1">IFERROR(__xludf.DUMMYFUNCTION("""COMPUTED_VALUE"""),"MO")</f>
        <v>MO</v>
      </c>
      <c r="O1945" s="5" t="str">
        <f ca="1">IFERROR(__xludf.DUMMYFUNCTION("""COMPUTED_VALUE"""),"High")</f>
        <v>High</v>
      </c>
      <c r="P1945" s="5" t="str">
        <f ca="1">IFERROR(__xludf.DUMMYFUNCTION("""COMPUTED_VALUE"""),"Inside School Building")</f>
        <v>Inside School Building</v>
      </c>
      <c r="Q1945" s="5" t="str">
        <f ca="1">IFERROR(__xludf.DUMMYFUNCTION("""COMPUTED_VALUE"""),"Inside School Building")</f>
        <v>Inside School Building</v>
      </c>
      <c r="R1945" s="5" t="str">
        <f ca="1">IFERROR(__xludf.DUMMYFUNCTION("""COMPUTED_VALUE"""),"Yes")</f>
        <v>Yes</v>
      </c>
      <c r="S1945" s="5" t="str">
        <f ca="1">IFERROR(__xludf.DUMMYFUNCTION("""COMPUTED_VALUE"""),"Morning Classes")</f>
        <v>Morning Classes</v>
      </c>
      <c r="T1945" s="5"/>
      <c r="U1945" s="5">
        <f ca="1">IFERROR(__xludf.DUMMYFUNCTION("""COMPUTED_VALUE"""),1)</f>
        <v>1</v>
      </c>
      <c r="V1945" s="5" t="str">
        <f ca="1">IFERROR(__xludf.DUMMYFUNCTION("""COMPUTED_VALUE"""),"Argument over stolen watch")</f>
        <v>Argument over stolen watch</v>
      </c>
      <c r="W1945" s="5" t="str">
        <f ca="1">IFERROR(__xludf.DUMMYFUNCTION("""COMPUTED_VALUE"""),"16 year-old male shooter fired at two other students during an argument over a stolen watch.")</f>
        <v>16 year-old male shooter fired at two other students during an argument over a stolen watch.</v>
      </c>
      <c r="X1945" s="5" t="str">
        <f ca="1">IFERROR(__xludf.DUMMYFUNCTION("""COMPUTED_VALUE"""),"Illegal Activity")</f>
        <v>Illegal Activity</v>
      </c>
      <c r="Y1945" s="5" t="str">
        <f ca="1">IFERROR(__xludf.DUMMYFUNCTION("""COMPUTED_VALUE"""),"Victims Targeted")</f>
        <v>Victims Targeted</v>
      </c>
      <c r="Z1945" s="5" t="str">
        <f ca="1">IFERROR(__xludf.DUMMYFUNCTION("""COMPUTED_VALUE"""),"No")</f>
        <v>No</v>
      </c>
      <c r="AA1945" s="5"/>
      <c r="AB1945" s="5" t="str">
        <f ca="1">IFERROR(__xludf.DUMMYFUNCTION("""COMPUTED_VALUE"""),"No")</f>
        <v>No</v>
      </c>
      <c r="AC1945" s="5" t="str">
        <f ca="1">IFERROR(__xludf.DUMMYFUNCTION("""COMPUTED_VALUE"""),"No")</f>
        <v>No</v>
      </c>
      <c r="AD1945" s="5" t="str">
        <f ca="1">IFERROR(__xludf.DUMMYFUNCTION("""COMPUTED_VALUE"""),"No")</f>
        <v>No</v>
      </c>
      <c r="AE1945" s="5" t="str">
        <f ca="1">IFERROR(__xludf.DUMMYFUNCTION("""COMPUTED_VALUE"""),"No")</f>
        <v>No</v>
      </c>
      <c r="AF1945" s="5" t="str">
        <f ca="1">IFERROR(__xludf.DUMMYFUNCTION("""COMPUTED_VALUE"""),"No")</f>
        <v>No</v>
      </c>
      <c r="AG1945" s="5" t="str">
        <f ca="1">IFERROR(__xludf.DUMMYFUNCTION("""COMPUTED_VALUE"""),"No")</f>
        <v>No</v>
      </c>
      <c r="AH1945" s="5"/>
    </row>
    <row r="1946" spans="1:34" ht="12.75">
      <c r="A1946" s="5" t="str">
        <f ca="1">IFERROR(__xludf.DUMMYFUNCTION("""COMPUTED_VALUE"""),"19790928MACHC")</f>
        <v>19790928MACHC</v>
      </c>
      <c r="B1946" s="8">
        <f ca="1">IFERROR(__xludf.DUMMYFUNCTION("""COMPUTED_VALUE"""),29126)</f>
        <v>29126</v>
      </c>
      <c r="C1946" s="5" t="str">
        <f ca="1">IFERROR(__xludf.DUMMYFUNCTION("""COMPUTED_VALUE"""),"Charlestown High School")</f>
        <v>Charlestown High School</v>
      </c>
      <c r="D1946" s="5">
        <f ca="1">IFERROR(__xludf.DUMMYFUNCTION("""COMPUTED_VALUE"""),0)</f>
        <v>0</v>
      </c>
      <c r="E1946" s="5">
        <f ca="1">IFERROR(__xludf.DUMMYFUNCTION("""COMPUTED_VALUE"""),1)</f>
        <v>1</v>
      </c>
      <c r="F1946" s="5">
        <f ca="1">IFERROR(__xludf.DUMMYFUNCTION("""COMPUTED_VALUE"""),1)</f>
        <v>1</v>
      </c>
      <c r="G1946" s="5">
        <f ca="1">IFERROR(__xludf.DUMMYFUNCTION("""COMPUTED_VALUE"""),0)</f>
        <v>0</v>
      </c>
      <c r="H1946"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I1946" s="5"/>
      <c r="J1946" s="5"/>
      <c r="K1946" s="5">
        <f ca="1">IFERROR(__xludf.DUMMYFUNCTION("""COMPUTED_VALUE"""),3)</f>
        <v>3</v>
      </c>
      <c r="L1946" s="5" t="str">
        <f ca="1">IFERROR(__xludf.DUMMYFUNCTION("""COMPUTED_VALUE"""),"Fall")</f>
        <v>Fall</v>
      </c>
      <c r="M1946" s="5" t="str">
        <f ca="1">IFERROR(__xludf.DUMMYFUNCTION("""COMPUTED_VALUE"""),"Charlestown")</f>
        <v>Charlestown</v>
      </c>
      <c r="N1946" s="5" t="str">
        <f ca="1">IFERROR(__xludf.DUMMYFUNCTION("""COMPUTED_VALUE"""),"MA")</f>
        <v>MA</v>
      </c>
      <c r="O1946" s="5" t="str">
        <f ca="1">IFERROR(__xludf.DUMMYFUNCTION("""COMPUTED_VALUE"""),"High")</f>
        <v>High</v>
      </c>
      <c r="P1946" s="5" t="str">
        <f ca="1">IFERROR(__xludf.DUMMYFUNCTION("""COMPUTED_VALUE"""),"Football Field/Track")</f>
        <v>Football Field/Track</v>
      </c>
      <c r="Q1946" s="5" t="str">
        <f ca="1">IFERROR(__xludf.DUMMYFUNCTION("""COMPUTED_VALUE"""),"Outside on School Property")</f>
        <v>Outside on School Property</v>
      </c>
      <c r="R1946" s="5" t="str">
        <f ca="1">IFERROR(__xludf.DUMMYFUNCTION("""COMPUTED_VALUE"""),"No")</f>
        <v>No</v>
      </c>
      <c r="S1946" s="5" t="str">
        <f ca="1">IFERROR(__xludf.DUMMYFUNCTION("""COMPUTED_VALUE"""),"Sport Event")</f>
        <v>Sport Event</v>
      </c>
      <c r="T1946" s="5"/>
      <c r="U1946" s="5">
        <f ca="1">IFERROR(__xludf.DUMMYFUNCTION("""COMPUTED_VALUE"""),1)</f>
        <v>1</v>
      </c>
      <c r="V1946" s="5" t="str">
        <f ca="1">IFERROR(__xludf.DUMMYFUNCTION("""COMPUTED_VALUE"""),"Racial Tension in Neighborhood")</f>
        <v>Racial Tension in Neighborhood</v>
      </c>
      <c r="W1946"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X1946" s="5" t="str">
        <f ca="1">IFERROR(__xludf.DUMMYFUNCTION("""COMPUTED_VALUE"""),"Racial")</f>
        <v>Racial</v>
      </c>
      <c r="Y1946" s="5" t="str">
        <f ca="1">IFERROR(__xludf.DUMMYFUNCTION("""COMPUTED_VALUE"""),"Victims Targeted")</f>
        <v>Victims Targeted</v>
      </c>
      <c r="Z1946" s="5" t="str">
        <f ca="1">IFERROR(__xludf.DUMMYFUNCTION("""COMPUTED_VALUE"""),"Yes")</f>
        <v>Yes</v>
      </c>
      <c r="AA1946" s="5" t="str">
        <f ca="1">IFERROR(__xludf.DUMMYFUNCTION("""COMPUTED_VALUE"""),"2 teens involved")</f>
        <v>2 teens involved</v>
      </c>
      <c r="AB1946" s="5" t="str">
        <f ca="1">IFERROR(__xludf.DUMMYFUNCTION("""COMPUTED_VALUE"""),"No")</f>
        <v>No</v>
      </c>
      <c r="AC1946" s="5" t="str">
        <f ca="1">IFERROR(__xludf.DUMMYFUNCTION("""COMPUTED_VALUE"""),"No")</f>
        <v>No</v>
      </c>
      <c r="AD1946" s="5" t="str">
        <f ca="1">IFERROR(__xludf.DUMMYFUNCTION("""COMPUTED_VALUE"""),"No")</f>
        <v>No</v>
      </c>
      <c r="AE1946" s="5" t="str">
        <f ca="1">IFERROR(__xludf.DUMMYFUNCTION("""COMPUTED_VALUE"""),"No")</f>
        <v>No</v>
      </c>
      <c r="AF1946" s="5" t="str">
        <f ca="1">IFERROR(__xludf.DUMMYFUNCTION("""COMPUTED_VALUE"""),"No")</f>
        <v>No</v>
      </c>
      <c r="AG1946" s="5" t="str">
        <f ca="1">IFERROR(__xludf.DUMMYFUNCTION("""COMPUTED_VALUE"""),"No")</f>
        <v>No</v>
      </c>
      <c r="AH1946" s="5"/>
    </row>
    <row r="1947" spans="1:34" ht="12.75">
      <c r="A1947" s="5" t="str">
        <f ca="1">IFERROR(__xludf.DUMMYFUNCTION("""COMPUTED_VALUE"""),"19790926LACAN")</f>
        <v>19790926LACAN</v>
      </c>
      <c r="B1947" s="8">
        <f ca="1">IFERROR(__xludf.DUMMYFUNCTION("""COMPUTED_VALUE"""),29124)</f>
        <v>29124</v>
      </c>
      <c r="C1947" s="5" t="str">
        <f ca="1">IFERROR(__xludf.DUMMYFUNCTION("""COMPUTED_VALUE"""),"Carter G. Woodson Middle School")</f>
        <v>Carter G. Woodson Middle School</v>
      </c>
      <c r="D1947" s="5">
        <f ca="1">IFERROR(__xludf.DUMMYFUNCTION("""COMPUTED_VALUE"""),0)</f>
        <v>0</v>
      </c>
      <c r="E1947" s="5">
        <f ca="1">IFERROR(__xludf.DUMMYFUNCTION("""COMPUTED_VALUE"""),2)</f>
        <v>2</v>
      </c>
      <c r="F1947" s="5">
        <f ca="1">IFERROR(__xludf.DUMMYFUNCTION("""COMPUTED_VALUE"""),2)</f>
        <v>2</v>
      </c>
      <c r="G1947" s="5">
        <f ca="1">IFERROR(__xludf.DUMMYFUNCTION("""COMPUTED_VALUE"""),0)</f>
        <v>0</v>
      </c>
      <c r="H1947"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I1947" s="5"/>
      <c r="J1947" s="5"/>
      <c r="K1947" s="5">
        <f ca="1">IFERROR(__xludf.DUMMYFUNCTION("""COMPUTED_VALUE"""),2)</f>
        <v>2</v>
      </c>
      <c r="L1947" s="5" t="str">
        <f ca="1">IFERROR(__xludf.DUMMYFUNCTION("""COMPUTED_VALUE"""),"Fall")</f>
        <v>Fall</v>
      </c>
      <c r="M1947" s="5" t="str">
        <f ca="1">IFERROR(__xludf.DUMMYFUNCTION("""COMPUTED_VALUE"""),"New Orleans")</f>
        <v>New Orleans</v>
      </c>
      <c r="N1947" s="5" t="str">
        <f ca="1">IFERROR(__xludf.DUMMYFUNCTION("""COMPUTED_VALUE"""),"LA")</f>
        <v>LA</v>
      </c>
      <c r="O1947" s="5" t="str">
        <f ca="1">IFERROR(__xludf.DUMMYFUNCTION("""COMPUTED_VALUE"""),"Middle")</f>
        <v>Middle</v>
      </c>
      <c r="P1947" s="5" t="str">
        <f ca="1">IFERROR(__xludf.DUMMYFUNCTION("""COMPUTED_VALUE"""),"Field (General)")</f>
        <v>Field (General)</v>
      </c>
      <c r="Q1947" s="5" t="str">
        <f ca="1">IFERROR(__xludf.DUMMYFUNCTION("""COMPUTED_VALUE"""),"Inside School Building")</f>
        <v>Inside School Building</v>
      </c>
      <c r="R1947" s="5" t="str">
        <f ca="1">IFERROR(__xludf.DUMMYFUNCTION("""COMPUTED_VALUE"""),"Yes")</f>
        <v>Yes</v>
      </c>
      <c r="S1947" s="5" t="str">
        <f ca="1">IFERROR(__xludf.DUMMYFUNCTION("""COMPUTED_VALUE"""),"Lunch")</f>
        <v>Lunch</v>
      </c>
      <c r="T1947" s="10">
        <f ca="1">IFERROR(__xludf.DUMMYFUNCTION("""COMPUTED_VALUE"""),0.493055555555555)</f>
        <v>0.49305555555555503</v>
      </c>
      <c r="U1947" s="5">
        <f ca="1">IFERROR(__xludf.DUMMYFUNCTION("""COMPUTED_VALUE"""),1)</f>
        <v>1</v>
      </c>
      <c r="V1947" s="5" t="str">
        <f ca="1">IFERROR(__xludf.DUMMYFUNCTION("""COMPUTED_VALUE"""),"Two students shot each other with same gun during fight")</f>
        <v>Two students shot each other with same gun during fight</v>
      </c>
      <c r="W1947"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X1947" s="5" t="str">
        <f ca="1">IFERROR(__xludf.DUMMYFUNCTION("""COMPUTED_VALUE"""),"Escalation of Dispute")</f>
        <v>Escalation of Dispute</v>
      </c>
      <c r="Y1947" s="5" t="str">
        <f ca="1">IFERROR(__xludf.DUMMYFUNCTION("""COMPUTED_VALUE"""),"Victims Targeted")</f>
        <v>Victims Targeted</v>
      </c>
      <c r="Z1947" s="5" t="str">
        <f ca="1">IFERROR(__xludf.DUMMYFUNCTION("""COMPUTED_VALUE"""),"Yes")</f>
        <v>Yes</v>
      </c>
      <c r="AA1947" s="5" t="str">
        <f ca="1">IFERROR(__xludf.DUMMYFUNCTION("""COMPUTED_VALUE"""),"Thrown gun by suspended student")</f>
        <v>Thrown gun by suspended student</v>
      </c>
      <c r="AB1947" s="5" t="str">
        <f ca="1">IFERROR(__xludf.DUMMYFUNCTION("""COMPUTED_VALUE"""),"No")</f>
        <v>No</v>
      </c>
      <c r="AC1947" s="5" t="str">
        <f ca="1">IFERROR(__xludf.DUMMYFUNCTION("""COMPUTED_VALUE"""),"No")</f>
        <v>No</v>
      </c>
      <c r="AD1947" s="5" t="str">
        <f ca="1">IFERROR(__xludf.DUMMYFUNCTION("""COMPUTED_VALUE"""),"No")</f>
        <v>No</v>
      </c>
      <c r="AE1947" s="5" t="str">
        <f ca="1">IFERROR(__xludf.DUMMYFUNCTION("""COMPUTED_VALUE"""),"No")</f>
        <v>No</v>
      </c>
      <c r="AF1947" s="5" t="str">
        <f ca="1">IFERROR(__xludf.DUMMYFUNCTION("""COMPUTED_VALUE"""),"No")</f>
        <v>No</v>
      </c>
      <c r="AG1947" s="5" t="str">
        <f ca="1">IFERROR(__xludf.DUMMYFUNCTION("""COMPUTED_VALUE"""),"No")</f>
        <v>No</v>
      </c>
      <c r="AH1947" s="5"/>
    </row>
    <row r="1948" spans="1:34" ht="12.75">
      <c r="A1948" s="5" t="str">
        <f ca="1">IFERROR(__xludf.DUMMYFUNCTION("""COMPUTED_VALUE"""),"19790614OHNEN")</f>
        <v>19790614OHNEN</v>
      </c>
      <c r="B1948" s="8">
        <f ca="1">IFERROR(__xludf.DUMMYFUNCTION("""COMPUTED_VALUE"""),29020)</f>
        <v>29020</v>
      </c>
      <c r="C1948" s="5" t="str">
        <f ca="1">IFERROR(__xludf.DUMMYFUNCTION("""COMPUTED_VALUE"""),"New Carlisle Elementary School")</f>
        <v>New Carlisle Elementary School</v>
      </c>
      <c r="D1948" s="5">
        <f ca="1">IFERROR(__xludf.DUMMYFUNCTION("""COMPUTED_VALUE"""),1)</f>
        <v>1</v>
      </c>
      <c r="E1948" s="5">
        <f ca="1">IFERROR(__xludf.DUMMYFUNCTION("""COMPUTED_VALUE"""),0)</f>
        <v>0</v>
      </c>
      <c r="F1948" s="5">
        <f ca="1">IFERROR(__xludf.DUMMYFUNCTION("""COMPUTED_VALUE"""),1)</f>
        <v>1</v>
      </c>
      <c r="G1948" s="5">
        <f ca="1">IFERROR(__xludf.DUMMYFUNCTION("""COMPUTED_VALUE"""),0)</f>
        <v>0</v>
      </c>
      <c r="H1948"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I1948" s="5"/>
      <c r="J1948" s="5"/>
      <c r="K1948" s="5">
        <f ca="1">IFERROR(__xludf.DUMMYFUNCTION("""COMPUTED_VALUE"""),2)</f>
        <v>2</v>
      </c>
      <c r="L1948" s="5" t="str">
        <f ca="1">IFERROR(__xludf.DUMMYFUNCTION("""COMPUTED_VALUE"""),"Summer")</f>
        <v>Summer</v>
      </c>
      <c r="M1948" s="5" t="str">
        <f ca="1">IFERROR(__xludf.DUMMYFUNCTION("""COMPUTED_VALUE"""),"New Carlisle")</f>
        <v>New Carlisle</v>
      </c>
      <c r="N1948" s="5" t="str">
        <f ca="1">IFERROR(__xludf.DUMMYFUNCTION("""COMPUTED_VALUE"""),"OH")</f>
        <v>OH</v>
      </c>
      <c r="O1948" s="5" t="str">
        <f ca="1">IFERROR(__xludf.DUMMYFUNCTION("""COMPUTED_VALUE"""),"Elementary")</f>
        <v>Elementary</v>
      </c>
      <c r="P1948" s="5" t="str">
        <f ca="1">IFERROR(__xludf.DUMMYFUNCTION("""COMPUTED_VALUE"""),"Outside on School Property")</f>
        <v>Outside on School Property</v>
      </c>
      <c r="Q1948" s="5" t="str">
        <f ca="1">IFERROR(__xludf.DUMMYFUNCTION("""COMPUTED_VALUE"""),"Outside on School Property")</f>
        <v>Outside on School Property</v>
      </c>
      <c r="R1948" s="5" t="str">
        <f ca="1">IFERROR(__xludf.DUMMYFUNCTION("""COMPUTED_VALUE"""),"No")</f>
        <v>No</v>
      </c>
      <c r="S1948" s="5" t="str">
        <f ca="1">IFERROR(__xludf.DUMMYFUNCTION("""COMPUTED_VALUE"""),"After School")</f>
        <v>After School</v>
      </c>
      <c r="T1948" s="5"/>
      <c r="U1948" s="5">
        <f ca="1">IFERROR(__xludf.DUMMYFUNCTION("""COMPUTED_VALUE"""),1)</f>
        <v>1</v>
      </c>
      <c r="V1948" s="5" t="str">
        <f ca="1">IFERROR(__xludf.DUMMYFUNCTION("""COMPUTED_VALUE"""),"Youths playing with gun when accidentally went off killing student")</f>
        <v>Youths playing with gun when accidentally went off killing student</v>
      </c>
      <c r="W1948"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X1948" s="5" t="str">
        <f ca="1">IFERROR(__xludf.DUMMYFUNCTION("""COMPUTED_VALUE"""),"Accidental")</f>
        <v>Accidental</v>
      </c>
      <c r="Y1948" s="5" t="str">
        <f ca="1">IFERROR(__xludf.DUMMYFUNCTION("""COMPUTED_VALUE"""),"Neither")</f>
        <v>Neither</v>
      </c>
      <c r="Z1948" s="5" t="str">
        <f ca="1">IFERROR(__xludf.DUMMYFUNCTION("""COMPUTED_VALUE"""),"No")</f>
        <v>No</v>
      </c>
      <c r="AA1948" s="5"/>
      <c r="AB1948" s="5" t="str">
        <f ca="1">IFERROR(__xludf.DUMMYFUNCTION("""COMPUTED_VALUE"""),"No")</f>
        <v>No</v>
      </c>
      <c r="AC1948" s="5" t="str">
        <f ca="1">IFERROR(__xludf.DUMMYFUNCTION("""COMPUTED_VALUE"""),"No")</f>
        <v>No</v>
      </c>
      <c r="AD1948" s="5" t="str">
        <f ca="1">IFERROR(__xludf.DUMMYFUNCTION("""COMPUTED_VALUE"""),"No")</f>
        <v>No</v>
      </c>
      <c r="AE1948" s="5" t="str">
        <f ca="1">IFERROR(__xludf.DUMMYFUNCTION("""COMPUTED_VALUE"""),"No")</f>
        <v>No</v>
      </c>
      <c r="AF1948" s="5" t="str">
        <f ca="1">IFERROR(__xludf.DUMMYFUNCTION("""COMPUTED_VALUE"""),"No")</f>
        <v>No</v>
      </c>
      <c r="AG1948" s="5" t="str">
        <f ca="1">IFERROR(__xludf.DUMMYFUNCTION("""COMPUTED_VALUE"""),"No")</f>
        <v>No</v>
      </c>
      <c r="AH1948" s="5"/>
    </row>
    <row r="1949" spans="1:34" ht="12.75">
      <c r="A1949" s="5" t="str">
        <f ca="1">IFERROR(__xludf.DUMMYFUNCTION("""COMPUTED_VALUE"""),"19790426TXAZA")</f>
        <v>19790426TXAZA</v>
      </c>
      <c r="B1949" s="8">
        <f ca="1">IFERROR(__xludf.DUMMYFUNCTION("""COMPUTED_VALUE"""),28971)</f>
        <v>28971</v>
      </c>
      <c r="C1949" s="5" t="str">
        <f ca="1">IFERROR(__xludf.DUMMYFUNCTION("""COMPUTED_VALUE"""),"Azle Junior High School")</f>
        <v>Azle Junior High School</v>
      </c>
      <c r="D1949" s="5">
        <f ca="1">IFERROR(__xludf.DUMMYFUNCTION("""COMPUTED_VALUE"""),1)</f>
        <v>1</v>
      </c>
      <c r="E1949" s="5">
        <f ca="1">IFERROR(__xludf.DUMMYFUNCTION("""COMPUTED_VALUE"""),0)</f>
        <v>0</v>
      </c>
      <c r="F1949" s="5">
        <f ca="1">IFERROR(__xludf.DUMMYFUNCTION("""COMPUTED_VALUE"""),1)</f>
        <v>1</v>
      </c>
      <c r="G1949" s="5">
        <f ca="1">IFERROR(__xludf.DUMMYFUNCTION("""COMPUTED_VALUE"""),0)</f>
        <v>0</v>
      </c>
      <c r="H1949" s="9" t="str">
        <f ca="1">IFERROR(__xludf.DUMMYFUNCTION("""COMPUTED_VALUE"""),"https://www.newspapers.com/image/362214425/?terms=school%2Bshooting")</f>
        <v>https://www.newspapers.com/image/362214425/?terms=school%2Bshooting</v>
      </c>
      <c r="I1949" s="5"/>
      <c r="J1949" s="5"/>
      <c r="K1949" s="5">
        <f ca="1">IFERROR(__xludf.DUMMYFUNCTION("""COMPUTED_VALUE"""),2)</f>
        <v>2</v>
      </c>
      <c r="L1949" s="5" t="str">
        <f ca="1">IFERROR(__xludf.DUMMYFUNCTION("""COMPUTED_VALUE"""),"Spring")</f>
        <v>Spring</v>
      </c>
      <c r="M1949" s="5" t="str">
        <f ca="1">IFERROR(__xludf.DUMMYFUNCTION("""COMPUTED_VALUE"""),"Azle")</f>
        <v>Azle</v>
      </c>
      <c r="N1949" s="5" t="str">
        <f ca="1">IFERROR(__xludf.DUMMYFUNCTION("""COMPUTED_VALUE"""),"TX")</f>
        <v>TX</v>
      </c>
      <c r="O1949" s="5" t="str">
        <f ca="1">IFERROR(__xludf.DUMMYFUNCTION("""COMPUTED_VALUE"""),"High")</f>
        <v>High</v>
      </c>
      <c r="P1949" s="5" t="str">
        <f ca="1">IFERROR(__xludf.DUMMYFUNCTION("""COMPUTED_VALUE"""),"Beside Building")</f>
        <v>Beside Building</v>
      </c>
      <c r="Q1949" s="5" t="str">
        <f ca="1">IFERROR(__xludf.DUMMYFUNCTION("""COMPUTED_VALUE"""),"Outside on School Property")</f>
        <v>Outside on School Property</v>
      </c>
      <c r="R1949" s="5" t="str">
        <f ca="1">IFERROR(__xludf.DUMMYFUNCTION("""COMPUTED_VALUE"""),"Yes")</f>
        <v>Yes</v>
      </c>
      <c r="S1949" s="5" t="str">
        <f ca="1">IFERROR(__xludf.DUMMYFUNCTION("""COMPUTED_VALUE"""),"After School")</f>
        <v>After School</v>
      </c>
      <c r="T1949" s="10">
        <f ca="1">IFERROR(__xludf.DUMMYFUNCTION("""COMPUTED_VALUE"""),0.645833333333333)</f>
        <v>0.64583333333333304</v>
      </c>
      <c r="U1949" s="5">
        <f ca="1">IFERROR(__xludf.DUMMYFUNCTION("""COMPUTED_VALUE"""),1)</f>
        <v>1</v>
      </c>
      <c r="V1949" s="5" t="str">
        <f ca="1">IFERROR(__xludf.DUMMYFUNCTION("""COMPUTED_VALUE"""),"Ongoing dispute for months escalated into shooting")</f>
        <v>Ongoing dispute for months escalated into shooting</v>
      </c>
      <c r="W1949"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X1949" s="5" t="str">
        <f ca="1">IFERROR(__xludf.DUMMYFUNCTION("""COMPUTED_VALUE"""),"Escalation of Dispute")</f>
        <v>Escalation of Dispute</v>
      </c>
      <c r="Y1949" s="5" t="str">
        <f ca="1">IFERROR(__xludf.DUMMYFUNCTION("""COMPUTED_VALUE"""),"Victims Targeted")</f>
        <v>Victims Targeted</v>
      </c>
      <c r="Z1949" s="5" t="str">
        <f ca="1">IFERROR(__xludf.DUMMYFUNCTION("""COMPUTED_VALUE"""),"No")</f>
        <v>No</v>
      </c>
      <c r="AA1949" s="5"/>
      <c r="AB1949" s="5" t="str">
        <f ca="1">IFERROR(__xludf.DUMMYFUNCTION("""COMPUTED_VALUE"""),"No")</f>
        <v>No</v>
      </c>
      <c r="AC1949" s="5" t="str">
        <f ca="1">IFERROR(__xludf.DUMMYFUNCTION("""COMPUTED_VALUE"""),"No")</f>
        <v>No</v>
      </c>
      <c r="AD1949" s="5" t="str">
        <f ca="1">IFERROR(__xludf.DUMMYFUNCTION("""COMPUTED_VALUE"""),"No")</f>
        <v>No</v>
      </c>
      <c r="AE1949" s="5" t="str">
        <f ca="1">IFERROR(__xludf.DUMMYFUNCTION("""COMPUTED_VALUE"""),"No")</f>
        <v>No</v>
      </c>
      <c r="AF1949" s="5" t="str">
        <f ca="1">IFERROR(__xludf.DUMMYFUNCTION("""COMPUTED_VALUE"""),"No")</f>
        <v>No</v>
      </c>
      <c r="AG1949" s="5" t="str">
        <f ca="1">IFERROR(__xludf.DUMMYFUNCTION("""COMPUTED_VALUE"""),"No")</f>
        <v>No</v>
      </c>
      <c r="AH1949" s="5"/>
    </row>
    <row r="1950" spans="1:34" ht="12.75">
      <c r="A1950" s="5" t="str">
        <f ca="1">IFERROR(__xludf.DUMMYFUNCTION("""COMPUTED_VALUE"""),"19790425PAMAH")</f>
        <v>19790425PAMAH</v>
      </c>
      <c r="B1950" s="8">
        <f ca="1">IFERROR(__xludf.DUMMYFUNCTION("""COMPUTED_VALUE"""),28970)</f>
        <v>28970</v>
      </c>
      <c r="C1950" s="5" t="str">
        <f ca="1">IFERROR(__xludf.DUMMYFUNCTION("""COMPUTED_VALUE"""),"Martin L. Mattei Junior High School")</f>
        <v>Martin L. Mattei Junior High School</v>
      </c>
      <c r="D1950" s="5">
        <f ca="1">IFERROR(__xludf.DUMMYFUNCTION("""COMPUTED_VALUE"""),0)</f>
        <v>0</v>
      </c>
      <c r="E1950" s="5">
        <f ca="1">IFERROR(__xludf.DUMMYFUNCTION("""COMPUTED_VALUE"""),1)</f>
        <v>1</v>
      </c>
      <c r="F1950" s="5">
        <f ca="1">IFERROR(__xludf.DUMMYFUNCTION("""COMPUTED_VALUE"""),1)</f>
        <v>1</v>
      </c>
      <c r="G1950" s="5">
        <f ca="1">IFERROR(__xludf.DUMMYFUNCTION("""COMPUTED_VALUE"""),0)</f>
        <v>0</v>
      </c>
      <c r="H1950" s="9" t="str">
        <f ca="1">IFERROR(__xludf.DUMMYFUNCTION("""COMPUTED_VALUE"""),"https://www.newspapers.com/image/407944749/?terms=school%2Bshooting")</f>
        <v>https://www.newspapers.com/image/407944749/?terms=school%2Bshooting</v>
      </c>
      <c r="I1950" s="5"/>
      <c r="J1950" s="5"/>
      <c r="K1950" s="5">
        <f ca="1">IFERROR(__xludf.DUMMYFUNCTION("""COMPUTED_VALUE"""),2)</f>
        <v>2</v>
      </c>
      <c r="L1950" s="5" t="str">
        <f ca="1">IFERROR(__xludf.DUMMYFUNCTION("""COMPUTED_VALUE"""),"Spring")</f>
        <v>Spring</v>
      </c>
      <c r="M1950" s="5" t="str">
        <f ca="1">IFERROR(__xludf.DUMMYFUNCTION("""COMPUTED_VALUE"""),"Hughestown")</f>
        <v>Hughestown</v>
      </c>
      <c r="N1950" s="5" t="str">
        <f ca="1">IFERROR(__xludf.DUMMYFUNCTION("""COMPUTED_VALUE"""),"PA")</f>
        <v>PA</v>
      </c>
      <c r="O1950" s="5" t="str">
        <f ca="1">IFERROR(__xludf.DUMMYFUNCTION("""COMPUTED_VALUE"""),"Junior High")</f>
        <v>Junior High</v>
      </c>
      <c r="P1950" s="5" t="str">
        <f ca="1">IFERROR(__xludf.DUMMYFUNCTION("""COMPUTED_VALUE"""),"Field (General)")</f>
        <v>Field (General)</v>
      </c>
      <c r="Q1950" s="5" t="str">
        <f ca="1">IFERROR(__xludf.DUMMYFUNCTION("""COMPUTED_VALUE"""),"Outside on School Property")</f>
        <v>Outside on School Property</v>
      </c>
      <c r="R1950" s="5" t="str">
        <f ca="1">IFERROR(__xludf.DUMMYFUNCTION("""COMPUTED_VALUE"""),"Yes")</f>
        <v>Yes</v>
      </c>
      <c r="S1950" s="5" t="str">
        <f ca="1">IFERROR(__xludf.DUMMYFUNCTION("""COMPUTED_VALUE"""),"Afternoon Classes")</f>
        <v>Afternoon Classes</v>
      </c>
      <c r="T1950" s="5"/>
      <c r="U1950" s="5">
        <f ca="1">IFERROR(__xludf.DUMMYFUNCTION("""COMPUTED_VALUE"""),1)</f>
        <v>1</v>
      </c>
      <c r="V1950" s="5" t="str">
        <f ca="1">IFERROR(__xludf.DUMMYFUNCTION("""COMPUTED_VALUE"""),"Teacher shot in head by stray bullet fired from 3/4 mile away")</f>
        <v>Teacher shot in head by stray bullet fired from 3/4 mile away</v>
      </c>
      <c r="W1950"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X1950" s="5" t="str">
        <f ca="1">IFERROR(__xludf.DUMMYFUNCTION("""COMPUTED_VALUE"""),"Accidental")</f>
        <v>Accidental</v>
      </c>
      <c r="Y1950" s="5" t="str">
        <f ca="1">IFERROR(__xludf.DUMMYFUNCTION("""COMPUTED_VALUE"""),"Random Shooting")</f>
        <v>Random Shooting</v>
      </c>
      <c r="Z1950" s="5" t="str">
        <f ca="1">IFERROR(__xludf.DUMMYFUNCTION("""COMPUTED_VALUE"""),"No")</f>
        <v>No</v>
      </c>
      <c r="AA1950" s="5"/>
      <c r="AB1950" s="5" t="str">
        <f ca="1">IFERROR(__xludf.DUMMYFUNCTION("""COMPUTED_VALUE"""),"No")</f>
        <v>No</v>
      </c>
      <c r="AC1950" s="5" t="str">
        <f ca="1">IFERROR(__xludf.DUMMYFUNCTION("""COMPUTED_VALUE"""),"No")</f>
        <v>No</v>
      </c>
      <c r="AD1950" s="5" t="str">
        <f ca="1">IFERROR(__xludf.DUMMYFUNCTION("""COMPUTED_VALUE"""),"No")</f>
        <v>No</v>
      </c>
      <c r="AE1950" s="5" t="str">
        <f ca="1">IFERROR(__xludf.DUMMYFUNCTION("""COMPUTED_VALUE"""),"No")</f>
        <v>No</v>
      </c>
      <c r="AF1950" s="5" t="str">
        <f ca="1">IFERROR(__xludf.DUMMYFUNCTION("""COMPUTED_VALUE"""),"No")</f>
        <v>No</v>
      </c>
      <c r="AG1950" s="5" t="str">
        <f ca="1">IFERROR(__xludf.DUMMYFUNCTION("""COMPUTED_VALUE"""),"No")</f>
        <v>No</v>
      </c>
      <c r="AH1950" s="5"/>
    </row>
    <row r="1951" spans="1:34" ht="12.75">
      <c r="A1951" s="5" t="str">
        <f ca="1">IFERROR(__xludf.DUMMYFUNCTION("""COMPUTED_VALUE"""),"19790416WIWIM")</f>
        <v>19790416WIWIM</v>
      </c>
      <c r="B1951" s="8">
        <f ca="1">IFERROR(__xludf.DUMMYFUNCTION("""COMPUTED_VALUE"""),28961)</f>
        <v>28961</v>
      </c>
      <c r="C1951" s="5" t="str">
        <f ca="1">IFERROR(__xludf.DUMMYFUNCTION("""COMPUTED_VALUE"""),"Wisconsin Lutheran High School")</f>
        <v>Wisconsin Lutheran High School</v>
      </c>
      <c r="D1951" s="5">
        <f ca="1">IFERROR(__xludf.DUMMYFUNCTION("""COMPUTED_VALUE"""),0)</f>
        <v>0</v>
      </c>
      <c r="E1951" s="5">
        <f ca="1">IFERROR(__xludf.DUMMYFUNCTION("""COMPUTED_VALUE"""),1)</f>
        <v>1</v>
      </c>
      <c r="F1951" s="5">
        <f ca="1">IFERROR(__xludf.DUMMYFUNCTION("""COMPUTED_VALUE"""),1)</f>
        <v>1</v>
      </c>
      <c r="G1951" s="5">
        <f ca="1">IFERROR(__xludf.DUMMYFUNCTION("""COMPUTED_VALUE"""),0)</f>
        <v>0</v>
      </c>
      <c r="H1951" s="9" t="str">
        <f ca="1">IFERROR(__xludf.DUMMYFUNCTION("""COMPUTED_VALUE"""),"https://www.newspapers.com/image/273435847/?terms=Wisconsin%2BLutheran%2BHigh%2BSchool%2Bjanitor%2Bshot%2Brocks")</f>
        <v>https://www.newspapers.com/image/273435847/?terms=Wisconsin%2BLutheran%2BHigh%2BSchool%2Bjanitor%2Bshot%2Brocks</v>
      </c>
      <c r="I1951" s="5"/>
      <c r="J1951" s="5"/>
      <c r="K1951" s="5">
        <f ca="1">IFERROR(__xludf.DUMMYFUNCTION("""COMPUTED_VALUE"""),2)</f>
        <v>2</v>
      </c>
      <c r="L1951" s="5" t="str">
        <f ca="1">IFERROR(__xludf.DUMMYFUNCTION("""COMPUTED_VALUE"""),"Spring")</f>
        <v>Spring</v>
      </c>
      <c r="M1951" s="5" t="str">
        <f ca="1">IFERROR(__xludf.DUMMYFUNCTION("""COMPUTED_VALUE"""),"Milwaukee")</f>
        <v>Milwaukee</v>
      </c>
      <c r="N1951" s="5" t="str">
        <f ca="1">IFERROR(__xludf.DUMMYFUNCTION("""COMPUTED_VALUE"""),"WI")</f>
        <v>WI</v>
      </c>
      <c r="O1951" s="5" t="str">
        <f ca="1">IFERROR(__xludf.DUMMYFUNCTION("""COMPUTED_VALUE"""),"High")</f>
        <v>High</v>
      </c>
      <c r="P1951" s="5" t="str">
        <f ca="1">IFERROR(__xludf.DUMMYFUNCTION("""COMPUTED_VALUE"""),"Beside Building")</f>
        <v>Beside Building</v>
      </c>
      <c r="Q1951" s="5" t="str">
        <f ca="1">IFERROR(__xludf.DUMMYFUNCTION("""COMPUTED_VALUE"""),"Outside on School Property")</f>
        <v>Outside on School Property</v>
      </c>
      <c r="R1951" s="5" t="str">
        <f ca="1">IFERROR(__xludf.DUMMYFUNCTION("""COMPUTED_VALUE"""),"No")</f>
        <v>No</v>
      </c>
      <c r="S1951" s="5" t="str">
        <f ca="1">IFERROR(__xludf.DUMMYFUNCTION("""COMPUTED_VALUE"""),"Night")</f>
        <v>Night</v>
      </c>
      <c r="T1951" s="5"/>
      <c r="U1951" s="5">
        <f ca="1">IFERROR(__xludf.DUMMYFUNCTION("""COMPUTED_VALUE"""),1)</f>
        <v>1</v>
      </c>
      <c r="V1951" s="5" t="str">
        <f ca="1">IFERROR(__xludf.DUMMYFUNCTION("""COMPUTED_VALUE"""),"Janitor shot student for throwing rocks at the school")</f>
        <v>Janitor shot student for throwing rocks at the school</v>
      </c>
      <c r="W1951"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X1951" s="5" t="str">
        <f ca="1">IFERROR(__xludf.DUMMYFUNCTION("""COMPUTED_VALUE"""),"Self-defense")</f>
        <v>Self-defense</v>
      </c>
      <c r="Y1951" s="5" t="str">
        <f ca="1">IFERROR(__xludf.DUMMYFUNCTION("""COMPUTED_VALUE"""),"Victims Targeted")</f>
        <v>Victims Targeted</v>
      </c>
      <c r="Z1951" s="5"/>
      <c r="AA1951" s="5"/>
      <c r="AB1951" s="5" t="str">
        <f ca="1">IFERROR(__xludf.DUMMYFUNCTION("""COMPUTED_VALUE"""),"No")</f>
        <v>No</v>
      </c>
      <c r="AC1951" s="5" t="str">
        <f ca="1">IFERROR(__xludf.DUMMYFUNCTION("""COMPUTED_VALUE"""),"No")</f>
        <v>No</v>
      </c>
      <c r="AD1951" s="5" t="str">
        <f ca="1">IFERROR(__xludf.DUMMYFUNCTION("""COMPUTED_VALUE"""),"No")</f>
        <v>No</v>
      </c>
      <c r="AE1951" s="5" t="str">
        <f ca="1">IFERROR(__xludf.DUMMYFUNCTION("""COMPUTED_VALUE"""),"No")</f>
        <v>No</v>
      </c>
      <c r="AF1951" s="5" t="str">
        <f ca="1">IFERROR(__xludf.DUMMYFUNCTION("""COMPUTED_VALUE"""),"No")</f>
        <v>No</v>
      </c>
      <c r="AG1951" s="5" t="str">
        <f ca="1">IFERROR(__xludf.DUMMYFUNCTION("""COMPUTED_VALUE"""),"No")</f>
        <v>No</v>
      </c>
      <c r="AH1951" s="5"/>
    </row>
    <row r="1952" spans="1:34" ht="12.75">
      <c r="A1952" s="5" t="str">
        <f ca="1">IFERROR(__xludf.DUMMYFUNCTION("""COMPUTED_VALUE"""),"19790328CALOL")</f>
        <v>19790328CALOL</v>
      </c>
      <c r="B1952" s="8">
        <f ca="1">IFERROR(__xludf.DUMMYFUNCTION("""COMPUTED_VALUE"""),28942)</f>
        <v>28942</v>
      </c>
      <c r="C1952" s="5" t="str">
        <f ca="1">IFERROR(__xludf.DUMMYFUNCTION("""COMPUTED_VALUE"""),"Los Angeles High School")</f>
        <v>Los Angeles High School</v>
      </c>
      <c r="D1952" s="5">
        <f ca="1">IFERROR(__xludf.DUMMYFUNCTION("""COMPUTED_VALUE"""),0)</f>
        <v>0</v>
      </c>
      <c r="E1952" s="5">
        <f ca="1">IFERROR(__xludf.DUMMYFUNCTION("""COMPUTED_VALUE"""),1)</f>
        <v>1</v>
      </c>
      <c r="F1952" s="5">
        <f ca="1">IFERROR(__xludf.DUMMYFUNCTION("""COMPUTED_VALUE"""),1)</f>
        <v>1</v>
      </c>
      <c r="G1952" s="5">
        <f ca="1">IFERROR(__xludf.DUMMYFUNCTION("""COMPUTED_VALUE"""),0)</f>
        <v>0</v>
      </c>
      <c r="H1952"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I1952" s="5"/>
      <c r="J1952" s="5"/>
      <c r="K1952" s="5">
        <f ca="1">IFERROR(__xludf.DUMMYFUNCTION("""COMPUTED_VALUE"""),2)</f>
        <v>2</v>
      </c>
      <c r="L1952" s="5" t="str">
        <f ca="1">IFERROR(__xludf.DUMMYFUNCTION("""COMPUTED_VALUE"""),"Spring")</f>
        <v>Spring</v>
      </c>
      <c r="M1952" s="5" t="str">
        <f ca="1">IFERROR(__xludf.DUMMYFUNCTION("""COMPUTED_VALUE"""),"Los Angeles")</f>
        <v>Los Angeles</v>
      </c>
      <c r="N1952" s="5" t="str">
        <f ca="1">IFERROR(__xludf.DUMMYFUNCTION("""COMPUTED_VALUE"""),"CA")</f>
        <v>CA</v>
      </c>
      <c r="O1952" s="5" t="str">
        <f ca="1">IFERROR(__xludf.DUMMYFUNCTION("""COMPUTED_VALUE"""),"High")</f>
        <v>High</v>
      </c>
      <c r="P1952" s="5" t="str">
        <f ca="1">IFERROR(__xludf.DUMMYFUNCTION("""COMPUTED_VALUE"""),"Classroom")</f>
        <v>Classroom</v>
      </c>
      <c r="Q1952" s="5" t="str">
        <f ca="1">IFERROR(__xludf.DUMMYFUNCTION("""COMPUTED_VALUE"""),"Inside School Building")</f>
        <v>Inside School Building</v>
      </c>
      <c r="R1952" s="5" t="str">
        <f ca="1">IFERROR(__xludf.DUMMYFUNCTION("""COMPUTED_VALUE"""),"Yes")</f>
        <v>Yes</v>
      </c>
      <c r="S1952" s="5" t="str">
        <f ca="1">IFERROR(__xludf.DUMMYFUNCTION("""COMPUTED_VALUE"""),"Dismissal")</f>
        <v>Dismissal</v>
      </c>
      <c r="T1952" s="10">
        <f ca="1">IFERROR(__xludf.DUMMYFUNCTION("""COMPUTED_VALUE"""),0.597222222222222)</f>
        <v>0.59722222222222199</v>
      </c>
      <c r="U1952" s="5">
        <f ca="1">IFERROR(__xludf.DUMMYFUNCTION("""COMPUTED_VALUE"""),1)</f>
        <v>1</v>
      </c>
      <c r="V1952" s="5" t="str">
        <f ca="1">IFERROR(__xludf.DUMMYFUNCTION("""COMPUTED_VALUE"""),"Attempted robbery and rape of teacher in classroom")</f>
        <v>Attempted robbery and rape of teacher in classroom</v>
      </c>
      <c r="W1952"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X1952" s="5" t="str">
        <f ca="1">IFERROR(__xludf.DUMMYFUNCTION("""COMPUTED_VALUE"""),"Illegal Activity")</f>
        <v>Illegal Activity</v>
      </c>
      <c r="Y1952" s="5" t="str">
        <f ca="1">IFERROR(__xludf.DUMMYFUNCTION("""COMPUTED_VALUE"""),"Victims Targeted")</f>
        <v>Victims Targeted</v>
      </c>
      <c r="Z1952" s="5" t="str">
        <f ca="1">IFERROR(__xludf.DUMMYFUNCTION("""COMPUTED_VALUE"""),"No")</f>
        <v>No</v>
      </c>
      <c r="AA1952" s="5"/>
      <c r="AB1952" s="5" t="str">
        <f ca="1">IFERROR(__xludf.DUMMYFUNCTION("""COMPUTED_VALUE"""),"No")</f>
        <v>No</v>
      </c>
      <c r="AC1952" s="5" t="str">
        <f ca="1">IFERROR(__xludf.DUMMYFUNCTION("""COMPUTED_VALUE"""),"No")</f>
        <v>No</v>
      </c>
      <c r="AD1952" s="5" t="str">
        <f ca="1">IFERROR(__xludf.DUMMYFUNCTION("""COMPUTED_VALUE"""),"No")</f>
        <v>No</v>
      </c>
      <c r="AE1952" s="5" t="str">
        <f ca="1">IFERROR(__xludf.DUMMYFUNCTION("""COMPUTED_VALUE"""),"No")</f>
        <v>No</v>
      </c>
      <c r="AF1952" s="5" t="str">
        <f ca="1">IFERROR(__xludf.DUMMYFUNCTION("""COMPUTED_VALUE"""),"No")</f>
        <v>No</v>
      </c>
      <c r="AG1952" s="5" t="str">
        <f ca="1">IFERROR(__xludf.DUMMYFUNCTION("""COMPUTED_VALUE"""),"No")</f>
        <v>No</v>
      </c>
      <c r="AH1952" s="5"/>
    </row>
    <row r="1953" spans="1:34" ht="12.75">
      <c r="A1953" s="5" t="str">
        <f ca="1">IFERROR(__xludf.DUMMYFUNCTION("""COMPUTED_VALUE"""),"19790314FLMCM")</f>
        <v>19790314FLMCM</v>
      </c>
      <c r="B1953" s="8">
        <f ca="1">IFERROR(__xludf.DUMMYFUNCTION("""COMPUTED_VALUE"""),28928)</f>
        <v>28928</v>
      </c>
      <c r="C1953" s="5" t="str">
        <f ca="1">IFERROR(__xludf.DUMMYFUNCTION("""COMPUTED_VALUE"""),"McArthur High School North")</f>
        <v>McArthur High School North</v>
      </c>
      <c r="D1953" s="5">
        <f ca="1">IFERROR(__xludf.DUMMYFUNCTION("""COMPUTED_VALUE"""),0)</f>
        <v>0</v>
      </c>
      <c r="E1953" s="5">
        <f ca="1">IFERROR(__xludf.DUMMYFUNCTION("""COMPUTED_VALUE"""),1)</f>
        <v>1</v>
      </c>
      <c r="F1953" s="5">
        <f ca="1">IFERROR(__xludf.DUMMYFUNCTION("""COMPUTED_VALUE"""),1)</f>
        <v>1</v>
      </c>
      <c r="G1953" s="5">
        <f ca="1">IFERROR(__xludf.DUMMYFUNCTION("""COMPUTED_VALUE"""),0)</f>
        <v>0</v>
      </c>
      <c r="H1953" s="5" t="str">
        <f ca="1">IFERROR(__xludf.DUMMYFUNCTION("""COMPUTED_VALUE"""),"https://www.newspapers.com/image/300966907/?terms=teacher%2Bshot  https://www.newspapers.com/image/234343881")</f>
        <v>https://www.newspapers.com/image/300966907/?terms=teacher%2Bshot  https://www.newspapers.com/image/234343881</v>
      </c>
      <c r="I1953" s="5"/>
      <c r="J1953" s="5"/>
      <c r="K1953" s="5">
        <f ca="1">IFERROR(__xludf.DUMMYFUNCTION("""COMPUTED_VALUE"""),2)</f>
        <v>2</v>
      </c>
      <c r="L1953" s="5" t="str">
        <f ca="1">IFERROR(__xludf.DUMMYFUNCTION("""COMPUTED_VALUE"""),"Spring")</f>
        <v>Spring</v>
      </c>
      <c r="M1953" s="5" t="str">
        <f ca="1">IFERROR(__xludf.DUMMYFUNCTION("""COMPUTED_VALUE"""),"Miami")</f>
        <v>Miami</v>
      </c>
      <c r="N1953" s="5" t="str">
        <f ca="1">IFERROR(__xludf.DUMMYFUNCTION("""COMPUTED_VALUE"""),"FL")</f>
        <v>FL</v>
      </c>
      <c r="O1953" s="5" t="str">
        <f ca="1">IFERROR(__xludf.DUMMYFUNCTION("""COMPUTED_VALUE"""),"High")</f>
        <v>High</v>
      </c>
      <c r="P1953" s="5" t="str">
        <f ca="1">IFERROR(__xludf.DUMMYFUNCTION("""COMPUTED_VALUE"""),"Parking Lot")</f>
        <v>Parking Lot</v>
      </c>
      <c r="Q1953" s="5" t="str">
        <f ca="1">IFERROR(__xludf.DUMMYFUNCTION("""COMPUTED_VALUE"""),"Outside on School Property")</f>
        <v>Outside on School Property</v>
      </c>
      <c r="R1953" s="5" t="str">
        <f ca="1">IFERROR(__xludf.DUMMYFUNCTION("""COMPUTED_VALUE"""),"Yes")</f>
        <v>Yes</v>
      </c>
      <c r="S1953" s="5" t="str">
        <f ca="1">IFERROR(__xludf.DUMMYFUNCTION("""COMPUTED_VALUE"""),"Dismissal")</f>
        <v>Dismissal</v>
      </c>
      <c r="T1953" s="10">
        <f ca="1">IFERROR(__xludf.DUMMYFUNCTION("""COMPUTED_VALUE"""),0.597222222222222)</f>
        <v>0.59722222222222199</v>
      </c>
      <c r="U1953" s="5">
        <f ca="1">IFERROR(__xludf.DUMMYFUNCTION("""COMPUTED_VALUE"""),1)</f>
        <v>1</v>
      </c>
      <c r="V1953" s="5" t="str">
        <f ca="1">IFERROR(__xludf.DUMMYFUNCTION("""COMPUTED_VALUE"""),"Teacher came to aid of another teacher who was being robbed. Teacher was shot")</f>
        <v>Teacher came to aid of another teacher who was being robbed. Teacher was shot</v>
      </c>
      <c r="W1953"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X1953" s="5" t="str">
        <f ca="1">IFERROR(__xludf.DUMMYFUNCTION("""COMPUTED_VALUE"""),"Illegal Activity")</f>
        <v>Illegal Activity</v>
      </c>
      <c r="Y1953" s="5" t="str">
        <f ca="1">IFERROR(__xludf.DUMMYFUNCTION("""COMPUTED_VALUE"""),"Victims Targeted")</f>
        <v>Victims Targeted</v>
      </c>
      <c r="Z1953" s="5" t="str">
        <f ca="1">IFERROR(__xludf.DUMMYFUNCTION("""COMPUTED_VALUE"""),"No")</f>
        <v>No</v>
      </c>
      <c r="AA1953" s="5"/>
      <c r="AB1953" s="5" t="str">
        <f ca="1">IFERROR(__xludf.DUMMYFUNCTION("""COMPUTED_VALUE"""),"No")</f>
        <v>No</v>
      </c>
      <c r="AC1953" s="5" t="str">
        <f ca="1">IFERROR(__xludf.DUMMYFUNCTION("""COMPUTED_VALUE"""),"No")</f>
        <v>No</v>
      </c>
      <c r="AD1953" s="5" t="str">
        <f ca="1">IFERROR(__xludf.DUMMYFUNCTION("""COMPUTED_VALUE"""),"No")</f>
        <v>No</v>
      </c>
      <c r="AE1953" s="5" t="str">
        <f ca="1">IFERROR(__xludf.DUMMYFUNCTION("""COMPUTED_VALUE"""),"No")</f>
        <v>No</v>
      </c>
      <c r="AF1953" s="5" t="str">
        <f ca="1">IFERROR(__xludf.DUMMYFUNCTION("""COMPUTED_VALUE"""),"No")</f>
        <v>No</v>
      </c>
      <c r="AG1953" s="5" t="str">
        <f ca="1">IFERROR(__xludf.DUMMYFUNCTION("""COMPUTED_VALUE"""),"No")</f>
        <v>No</v>
      </c>
      <c r="AH1953" s="5"/>
    </row>
    <row r="1954" spans="1:34" ht="12.75">
      <c r="A1954" s="5" t="str">
        <f ca="1">IFERROR(__xludf.DUMMYFUNCTION("""COMPUTED_VALUE"""),"19790226CABAB")</f>
        <v>19790226CABAB</v>
      </c>
      <c r="B1954" s="8">
        <f ca="1">IFERROR(__xludf.DUMMYFUNCTION("""COMPUTED_VALUE"""),28912)</f>
        <v>28912</v>
      </c>
      <c r="C1954" s="5" t="str">
        <f ca="1">IFERROR(__xludf.DUMMYFUNCTION("""COMPUTED_VALUE"""),"Barstow High School")</f>
        <v>Barstow High School</v>
      </c>
      <c r="D1954" s="5">
        <f ca="1">IFERROR(__xludf.DUMMYFUNCTION("""COMPUTED_VALUE"""),0)</f>
        <v>0</v>
      </c>
      <c r="E1954" s="5">
        <f ca="1">IFERROR(__xludf.DUMMYFUNCTION("""COMPUTED_VALUE"""),3)</f>
        <v>3</v>
      </c>
      <c r="F1954" s="5">
        <f ca="1">IFERROR(__xludf.DUMMYFUNCTION("""COMPUTED_VALUE"""),3)</f>
        <v>3</v>
      </c>
      <c r="G1954" s="5">
        <f ca="1">IFERROR(__xludf.DUMMYFUNCTION("""COMPUTED_VALUE"""),0)</f>
        <v>0</v>
      </c>
      <c r="H1954" s="5" t="str">
        <f ca="1">IFERROR(__xludf.DUMMYFUNCTION("""COMPUTED_VALUE"""),"https://cdnc.ucr.edu/?a=d&amp;d=SBS19790328.1.15&amp;e=-------en--20--1--txt-txIN--------1 https://www.vvdailypress.com/story/news/crime/2021/04/03/man-killed-police-perpetrated-1979-barstow-high-school-shooting-wounded-3-students/7078487002/")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v>
      </c>
      <c r="I1954" s="5">
        <f ca="1">IFERROR(__xludf.DUMMYFUNCTION("""COMPUTED_VALUE"""),2)</f>
        <v>2</v>
      </c>
      <c r="J1954" s="5" t="str">
        <f ca="1">IFERROR(__xludf.DUMMYFUNCTION("""COMPUTED_VALUE"""),"Local")</f>
        <v>Local</v>
      </c>
      <c r="K1954" s="5">
        <f ca="1">IFERROR(__xludf.DUMMYFUNCTION("""COMPUTED_VALUE"""),4)</f>
        <v>4</v>
      </c>
      <c r="L1954" s="5" t="str">
        <f ca="1">IFERROR(__xludf.DUMMYFUNCTION("""COMPUTED_VALUE"""),"Winter")</f>
        <v>Winter</v>
      </c>
      <c r="M1954" s="5" t="str">
        <f ca="1">IFERROR(__xludf.DUMMYFUNCTION("""COMPUTED_VALUE"""),"Barstow")</f>
        <v>Barstow</v>
      </c>
      <c r="N1954" s="5" t="str">
        <f ca="1">IFERROR(__xludf.DUMMYFUNCTION("""COMPUTED_VALUE"""),"CA")</f>
        <v>CA</v>
      </c>
      <c r="O1954" s="5" t="str">
        <f ca="1">IFERROR(__xludf.DUMMYFUNCTION("""COMPUTED_VALUE"""),"High")</f>
        <v>High</v>
      </c>
      <c r="P1954" s="5" t="str">
        <f ca="1">IFERROR(__xludf.DUMMYFUNCTION("""COMPUTED_VALUE"""),"Courtyard")</f>
        <v>Courtyard</v>
      </c>
      <c r="Q1954" s="5" t="str">
        <f ca="1">IFERROR(__xludf.DUMMYFUNCTION("""COMPUTED_VALUE"""),"Outside on School Property")</f>
        <v>Outside on School Property</v>
      </c>
      <c r="R1954" s="5" t="str">
        <f ca="1">IFERROR(__xludf.DUMMYFUNCTION("""COMPUTED_VALUE"""),"Yes")</f>
        <v>Yes</v>
      </c>
      <c r="S1954" s="5" t="str">
        <f ca="1">IFERROR(__xludf.DUMMYFUNCTION("""COMPUTED_VALUE"""),"Morning Classes")</f>
        <v>Morning Classes</v>
      </c>
      <c r="T1954" s="5"/>
      <c r="U1954" s="5">
        <f ca="1">IFERROR(__xludf.DUMMYFUNCTION("""COMPUTED_VALUE"""),1)</f>
        <v>1</v>
      </c>
      <c r="V1954" s="5" t="str">
        <f ca="1">IFERROR(__xludf.DUMMYFUNCTION("""COMPUTED_VALUE"""),"Student shot three other students when classes changed")</f>
        <v>Student shot three other students when classes changed</v>
      </c>
      <c r="W1954"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X1954" s="5" t="str">
        <f ca="1">IFERROR(__xludf.DUMMYFUNCTION("""COMPUTED_VALUE"""),"Escalation of Dispute")</f>
        <v>Escalation of Dispute</v>
      </c>
      <c r="Y1954" s="5" t="str">
        <f ca="1">IFERROR(__xludf.DUMMYFUNCTION("""COMPUTED_VALUE"""),"Both")</f>
        <v>Both</v>
      </c>
      <c r="Z1954" s="5" t="str">
        <f ca="1">IFERROR(__xludf.DUMMYFUNCTION("""COMPUTED_VALUE"""),"No")</f>
        <v>No</v>
      </c>
      <c r="AA1954" s="5"/>
      <c r="AB1954" s="5" t="str">
        <f ca="1">IFERROR(__xludf.DUMMYFUNCTION("""COMPUTED_VALUE"""),"No")</f>
        <v>No</v>
      </c>
      <c r="AC1954" s="5" t="str">
        <f ca="1">IFERROR(__xludf.DUMMYFUNCTION("""COMPUTED_VALUE"""),"No")</f>
        <v>No</v>
      </c>
      <c r="AD1954" s="5" t="str">
        <f ca="1">IFERROR(__xludf.DUMMYFUNCTION("""COMPUTED_VALUE"""),"No")</f>
        <v>No</v>
      </c>
      <c r="AE1954" s="5" t="str">
        <f ca="1">IFERROR(__xludf.DUMMYFUNCTION("""COMPUTED_VALUE"""),"Yes")</f>
        <v>Yes</v>
      </c>
      <c r="AF1954" s="5" t="str">
        <f ca="1">IFERROR(__xludf.DUMMYFUNCTION("""COMPUTED_VALUE"""),"No")</f>
        <v>No</v>
      </c>
      <c r="AG1954" s="5" t="str">
        <f ca="1">IFERROR(__xludf.DUMMYFUNCTION("""COMPUTED_VALUE"""),"No")</f>
        <v>No</v>
      </c>
      <c r="AH1954" s="5" t="str">
        <f ca="1">IFERROR(__xludf.DUMMYFUNCTION("""COMPUTED_VALUE"""),"No")</f>
        <v>No</v>
      </c>
    </row>
    <row r="1955" spans="1:34" ht="12.75">
      <c r="A1955" s="5" t="str">
        <f ca="1">IFERROR(__xludf.DUMMYFUNCTION("""COMPUTED_VALUE"""),"19790226CABAB")</f>
        <v>19790226CABAB</v>
      </c>
      <c r="B1955" s="8">
        <f ca="1">IFERROR(__xludf.DUMMYFUNCTION("""COMPUTED_VALUE"""),28912)</f>
        <v>28912</v>
      </c>
      <c r="C1955" s="5" t="str">
        <f ca="1">IFERROR(__xludf.DUMMYFUNCTION("""COMPUTED_VALUE"""),"Barstow High School")</f>
        <v>Barstow High School</v>
      </c>
      <c r="D1955" s="5">
        <f ca="1">IFERROR(__xludf.DUMMYFUNCTION("""COMPUTED_VALUE"""),0)</f>
        <v>0</v>
      </c>
      <c r="E1955" s="5">
        <f ca="1">IFERROR(__xludf.DUMMYFUNCTION("""COMPUTED_VALUE"""),3)</f>
        <v>3</v>
      </c>
      <c r="F1955" s="5">
        <f ca="1">IFERROR(__xludf.DUMMYFUNCTION("""COMPUTED_VALUE"""),3)</f>
        <v>3</v>
      </c>
      <c r="G1955" s="5">
        <f ca="1">IFERROR(__xludf.DUMMYFUNCTION("""COMPUTED_VALUE"""),0)</f>
        <v>0</v>
      </c>
      <c r="H1955" s="9" t="str">
        <f ca="1">IFERROR(__xludf.DUMMYFUNCTION("""COMPUTED_VALUE"""),"https://www.vvdailypress.com/story/news/crime/2021/04/03/man-killed-police-perpetrated-1979-barstow-high-school-shooting-wounded-3-students/7078487002/")</f>
        <v>https://www.vvdailypress.com/story/news/crime/2021/04/03/man-killed-police-perpetrated-1979-barstow-high-school-shooting-wounded-3-students/7078487002/</v>
      </c>
      <c r="I1955" s="5">
        <f ca="1">IFERROR(__xludf.DUMMYFUNCTION("""COMPUTED_VALUE"""),2)</f>
        <v>2</v>
      </c>
      <c r="J1955" s="5" t="str">
        <f ca="1">IFERROR(__xludf.DUMMYFUNCTION("""COMPUTED_VALUE"""),"Local")</f>
        <v>Local</v>
      </c>
      <c r="K1955" s="5">
        <f ca="1">IFERROR(__xludf.DUMMYFUNCTION("""COMPUTED_VALUE"""),4)</f>
        <v>4</v>
      </c>
      <c r="L1955" s="5" t="str">
        <f ca="1">IFERROR(__xludf.DUMMYFUNCTION("""COMPUTED_VALUE"""),"Winter")</f>
        <v>Winter</v>
      </c>
      <c r="M1955" s="5" t="str">
        <f ca="1">IFERROR(__xludf.DUMMYFUNCTION("""COMPUTED_VALUE"""),"Barstow")</f>
        <v>Barstow</v>
      </c>
      <c r="N1955" s="5" t="str">
        <f ca="1">IFERROR(__xludf.DUMMYFUNCTION("""COMPUTED_VALUE"""),"CA")</f>
        <v>CA</v>
      </c>
      <c r="O1955" s="5" t="str">
        <f ca="1">IFERROR(__xludf.DUMMYFUNCTION("""COMPUTED_VALUE"""),"High")</f>
        <v>High</v>
      </c>
      <c r="P1955" s="5" t="str">
        <f ca="1">IFERROR(__xludf.DUMMYFUNCTION("""COMPUTED_VALUE"""),"Courtyard")</f>
        <v>Courtyard</v>
      </c>
      <c r="Q1955" s="5" t="str">
        <f ca="1">IFERROR(__xludf.DUMMYFUNCTION("""COMPUTED_VALUE"""),"Inside School Building")</f>
        <v>Inside School Building</v>
      </c>
      <c r="R1955" s="5" t="str">
        <f ca="1">IFERROR(__xludf.DUMMYFUNCTION("""COMPUTED_VALUE"""),"Yes")</f>
        <v>Yes</v>
      </c>
      <c r="S1955" s="5" t="str">
        <f ca="1">IFERROR(__xludf.DUMMYFUNCTION("""COMPUTED_VALUE"""),"Morning Classes")</f>
        <v>Morning Classes</v>
      </c>
      <c r="T1955" s="5"/>
      <c r="U1955" s="5">
        <f ca="1">IFERROR(__xludf.DUMMYFUNCTION("""COMPUTED_VALUE"""),1)</f>
        <v>1</v>
      </c>
      <c r="V1955" s="5" t="str">
        <f ca="1">IFERROR(__xludf.DUMMYFUNCTION("""COMPUTED_VALUE"""),"Student fired multiple shots when classes changed hitting 3 students")</f>
        <v>Student fired multiple shots when classes changed hitting 3 students</v>
      </c>
      <c r="W1955" s="5" t="str">
        <f ca="1">IFERROR(__xludf.DUMMYFUNCTION("""COMPUTED_VALUE"""),"An 18-year-old told students three days prior to shooting that he planned to shoot another student to get even. He showed a pistol to them. On the day of the shooting, when morning classes changed, the targeted victim saw the shooter standing next to a ve"&amp;"hicle near the cafeteria (open air campus). The shooter raised the pistol and fired multiple time striking the targeted victim twice and two other students in the area. The shooter then fled the scene and was arrested by police 8 blocks away.")</f>
        <v>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v>
      </c>
      <c r="X1955" s="5" t="str">
        <f ca="1">IFERROR(__xludf.DUMMYFUNCTION("""COMPUTED_VALUE"""),"Escalation of Dispute")</f>
        <v>Escalation of Dispute</v>
      </c>
      <c r="Y1955" s="5" t="str">
        <f ca="1">IFERROR(__xludf.DUMMYFUNCTION("""COMPUTED_VALUE"""),"Both")</f>
        <v>Both</v>
      </c>
      <c r="Z1955" s="5" t="str">
        <f ca="1">IFERROR(__xludf.DUMMYFUNCTION("""COMPUTED_VALUE"""),"No")</f>
        <v>No</v>
      </c>
      <c r="AA1955" s="5"/>
      <c r="AB1955" s="5" t="str">
        <f ca="1">IFERROR(__xludf.DUMMYFUNCTION("""COMPUTED_VALUE"""),"No")</f>
        <v>No</v>
      </c>
      <c r="AC1955" s="5" t="str">
        <f ca="1">IFERROR(__xludf.DUMMYFUNCTION("""COMPUTED_VALUE"""),"No")</f>
        <v>No</v>
      </c>
      <c r="AD1955" s="5" t="str">
        <f ca="1">IFERROR(__xludf.DUMMYFUNCTION("""COMPUTED_VALUE"""),"No")</f>
        <v>No</v>
      </c>
      <c r="AE1955" s="5" t="str">
        <f ca="1">IFERROR(__xludf.DUMMYFUNCTION("""COMPUTED_VALUE"""),"Yes")</f>
        <v>Yes</v>
      </c>
      <c r="AF1955" s="5" t="str">
        <f ca="1">IFERROR(__xludf.DUMMYFUNCTION("""COMPUTED_VALUE"""),"No")</f>
        <v>No</v>
      </c>
      <c r="AG1955" s="5" t="str">
        <f ca="1">IFERROR(__xludf.DUMMYFUNCTION("""COMPUTED_VALUE"""),"No")</f>
        <v>No</v>
      </c>
      <c r="AH1955" s="5" t="str">
        <f ca="1">IFERROR(__xludf.DUMMYFUNCTION("""COMPUTED_VALUE"""),"No")</f>
        <v>No</v>
      </c>
    </row>
    <row r="1956" spans="1:34" ht="12.75">
      <c r="A1956" s="5" t="str">
        <f ca="1">IFERROR(__xludf.DUMMYFUNCTION("""COMPUTED_VALUE"""),"19790129CAGRS")</f>
        <v>19790129CAGRS</v>
      </c>
      <c r="B1956" s="8">
        <f ca="1">IFERROR(__xludf.DUMMYFUNCTION("""COMPUTED_VALUE"""),28884)</f>
        <v>28884</v>
      </c>
      <c r="C1956" s="5" t="str">
        <f ca="1">IFERROR(__xludf.DUMMYFUNCTION("""COMPUTED_VALUE"""),"Grover Cleveland Elementary School")</f>
        <v>Grover Cleveland Elementary School</v>
      </c>
      <c r="D1956" s="5">
        <f ca="1">IFERROR(__xludf.DUMMYFUNCTION("""COMPUTED_VALUE"""),2)</f>
        <v>2</v>
      </c>
      <c r="E1956" s="5">
        <f ca="1">IFERROR(__xludf.DUMMYFUNCTION("""COMPUTED_VALUE"""),9)</f>
        <v>9</v>
      </c>
      <c r="F1956" s="5">
        <f ca="1">IFERROR(__xludf.DUMMYFUNCTION("""COMPUTED_VALUE"""),11)</f>
        <v>11</v>
      </c>
      <c r="G1956" s="5">
        <f ca="1">IFERROR(__xludf.DUMMYFUNCTION("""COMPUTED_VALUE"""),0)</f>
        <v>0</v>
      </c>
      <c r="H1956"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I1956" s="5"/>
      <c r="J1956" s="5"/>
      <c r="K1956" s="5">
        <f ca="1">IFERROR(__xludf.DUMMYFUNCTION("""COMPUTED_VALUE"""),2)</f>
        <v>2</v>
      </c>
      <c r="L1956" s="5" t="str">
        <f ca="1">IFERROR(__xludf.DUMMYFUNCTION("""COMPUTED_VALUE"""),"Winter")</f>
        <v>Winter</v>
      </c>
      <c r="M1956" s="5" t="str">
        <f ca="1">IFERROR(__xludf.DUMMYFUNCTION("""COMPUTED_VALUE"""),"San Diego")</f>
        <v>San Diego</v>
      </c>
      <c r="N1956" s="5" t="str">
        <f ca="1">IFERROR(__xludf.DUMMYFUNCTION("""COMPUTED_VALUE"""),"CA")</f>
        <v>CA</v>
      </c>
      <c r="O1956" s="5" t="str">
        <f ca="1">IFERROR(__xludf.DUMMYFUNCTION("""COMPUTED_VALUE"""),"Elementary")</f>
        <v>Elementary</v>
      </c>
      <c r="P1956" s="5" t="str">
        <f ca="1">IFERROR(__xludf.DUMMYFUNCTION("""COMPUTED_VALUE"""),"Off School Property")</f>
        <v>Off School Property</v>
      </c>
      <c r="Q1956" s="5" t="str">
        <f ca="1">IFERROR(__xludf.DUMMYFUNCTION("""COMPUTED_VALUE"""),"Off School Property")</f>
        <v>Off School Property</v>
      </c>
      <c r="R1956" s="5" t="str">
        <f ca="1">IFERROR(__xludf.DUMMYFUNCTION("""COMPUTED_VALUE"""),"Yes")</f>
        <v>Yes</v>
      </c>
      <c r="S1956" s="5" t="str">
        <f ca="1">IFERROR(__xludf.DUMMYFUNCTION("""COMPUTED_VALUE"""),"School Start")</f>
        <v>School Start</v>
      </c>
      <c r="T1956" s="10">
        <f ca="1">IFERROR(__xludf.DUMMYFUNCTION("""COMPUTED_VALUE"""),0.354166666666666)</f>
        <v>0.35416666666666602</v>
      </c>
      <c r="U1956" s="5">
        <f ca="1">IFERROR(__xludf.DUMMYFUNCTION("""COMPUTED_VALUE"""),15)</f>
        <v>15</v>
      </c>
      <c r="V1956" s="5" t="str">
        <f ca="1">IFERROR(__xludf.DUMMYFUNCTION("""COMPUTED_VALUE"""),"Shooter barricaded herself in house across the street and shot at random students")</f>
        <v>Shooter barricaded herself in house across the street and shot at random students</v>
      </c>
      <c r="W1956"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X1956" s="5" t="str">
        <f ca="1">IFERROR(__xludf.DUMMYFUNCTION("""COMPUTED_VALUE"""),"Psychosis")</f>
        <v>Psychosis</v>
      </c>
      <c r="Y1956" s="5" t="str">
        <f ca="1">IFERROR(__xludf.DUMMYFUNCTION("""COMPUTED_VALUE"""),"Random Shooting")</f>
        <v>Random Shooting</v>
      </c>
      <c r="Z1956" s="5" t="str">
        <f ca="1">IFERROR(__xludf.DUMMYFUNCTION("""COMPUTED_VALUE"""),"No")</f>
        <v>No</v>
      </c>
      <c r="AA1956" s="5"/>
      <c r="AB1956" s="5" t="str">
        <f ca="1">IFERROR(__xludf.DUMMYFUNCTION("""COMPUTED_VALUE"""),"No")</f>
        <v>No</v>
      </c>
      <c r="AC1956" s="5" t="str">
        <f ca="1">IFERROR(__xludf.DUMMYFUNCTION("""COMPUTED_VALUE"""),"Yes")</f>
        <v>Yes</v>
      </c>
      <c r="AD1956" s="5" t="str">
        <f ca="1">IFERROR(__xludf.DUMMYFUNCTION("""COMPUTED_VALUE"""),"No")</f>
        <v>No</v>
      </c>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IFERROR(__xludf.DUMMYFUNCTION("""COMPUTED_VALUE"""),"Yes")</f>
        <v>Yes</v>
      </c>
    </row>
    <row r="1957" spans="1:34" ht="12.75">
      <c r="A1957" s="5" t="str">
        <f ca="1">IFERROR(__xludf.DUMMYFUNCTION("""COMPUTED_VALUE"""),"19781214CTWIN")</f>
        <v>19781214CTWIN</v>
      </c>
      <c r="B1957" s="8">
        <f ca="1">IFERROR(__xludf.DUMMYFUNCTION("""COMPUTED_VALUE"""),28838)</f>
        <v>28838</v>
      </c>
      <c r="C1957" s="5" t="str">
        <f ca="1">IFERROR(__xludf.DUMMYFUNCTION("""COMPUTED_VALUE"""),"Wilbur Cross High School")</f>
        <v>Wilbur Cross High School</v>
      </c>
      <c r="D1957" s="5">
        <f ca="1">IFERROR(__xludf.DUMMYFUNCTION("""COMPUTED_VALUE"""),1)</f>
        <v>1</v>
      </c>
      <c r="E1957" s="5">
        <f ca="1">IFERROR(__xludf.DUMMYFUNCTION("""COMPUTED_VALUE"""),0)</f>
        <v>0</v>
      </c>
      <c r="F1957" s="5">
        <f ca="1">IFERROR(__xludf.DUMMYFUNCTION("""COMPUTED_VALUE"""),1)</f>
        <v>1</v>
      </c>
      <c r="G1957" s="5">
        <f ca="1">IFERROR(__xludf.DUMMYFUNCTION("""COMPUTED_VALUE"""),0)</f>
        <v>0</v>
      </c>
      <c r="H1957"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I1957" s="5"/>
      <c r="J1957" s="5"/>
      <c r="K1957" s="5">
        <f ca="1">IFERROR(__xludf.DUMMYFUNCTION("""COMPUTED_VALUE"""),2)</f>
        <v>2</v>
      </c>
      <c r="L1957" s="5" t="str">
        <f ca="1">IFERROR(__xludf.DUMMYFUNCTION("""COMPUTED_VALUE"""),"Winter")</f>
        <v>Winter</v>
      </c>
      <c r="M1957" s="5" t="str">
        <f ca="1">IFERROR(__xludf.DUMMYFUNCTION("""COMPUTED_VALUE"""),"New Haven")</f>
        <v>New Haven</v>
      </c>
      <c r="N1957" s="5" t="str">
        <f ca="1">IFERROR(__xludf.DUMMYFUNCTION("""COMPUTED_VALUE"""),"CT")</f>
        <v>CT</v>
      </c>
      <c r="O1957" s="5" t="str">
        <f ca="1">IFERROR(__xludf.DUMMYFUNCTION("""COMPUTED_VALUE"""),"High")</f>
        <v>High</v>
      </c>
      <c r="P1957" s="5" t="str">
        <f ca="1">IFERROR(__xludf.DUMMYFUNCTION("""COMPUTED_VALUE"""),"Office")</f>
        <v>Office</v>
      </c>
      <c r="Q1957" s="5" t="str">
        <f ca="1">IFERROR(__xludf.DUMMYFUNCTION("""COMPUTED_VALUE"""),"Inside School Building")</f>
        <v>Inside School Building</v>
      </c>
      <c r="R1957" s="5" t="str">
        <f ca="1">IFERROR(__xludf.DUMMYFUNCTION("""COMPUTED_VALUE"""),"Yes")</f>
        <v>Yes</v>
      </c>
      <c r="S1957" s="5"/>
      <c r="T1957" s="5"/>
      <c r="U1957" s="5">
        <f ca="1">IFERROR(__xludf.DUMMYFUNCTION("""COMPUTED_VALUE"""),1)</f>
        <v>1</v>
      </c>
      <c r="V1957" s="5" t="str">
        <f ca="1">IFERROR(__xludf.DUMMYFUNCTION("""COMPUTED_VALUE"""),"Armed robbery of school store")</f>
        <v>Armed robbery of school store</v>
      </c>
      <c r="W1957" s="5" t="str">
        <f ca="1">IFERROR(__xludf.DUMMYFUNCTION("""COMPUTED_VALUE"""),"Teacher shot and killed during attempted robbery at school store.")</f>
        <v>Teacher shot and killed during attempted robbery at school store.</v>
      </c>
      <c r="X1957" s="5" t="str">
        <f ca="1">IFERROR(__xludf.DUMMYFUNCTION("""COMPUTED_VALUE"""),"Illegal Activity")</f>
        <v>Illegal Activity</v>
      </c>
      <c r="Y1957" s="5" t="str">
        <f ca="1">IFERROR(__xludf.DUMMYFUNCTION("""COMPUTED_VALUE"""),"Victims Targeted")</f>
        <v>Victims Targeted</v>
      </c>
      <c r="Z1957" s="5" t="str">
        <f ca="1">IFERROR(__xludf.DUMMYFUNCTION("""COMPUTED_VALUE"""),"No")</f>
        <v>No</v>
      </c>
      <c r="AA1957" s="5"/>
      <c r="AB1957" s="5" t="str">
        <f ca="1">IFERROR(__xludf.DUMMYFUNCTION("""COMPUTED_VALUE"""),"No")</f>
        <v>No</v>
      </c>
      <c r="AC1957" s="5" t="str">
        <f ca="1">IFERROR(__xludf.DUMMYFUNCTION("""COMPUTED_VALUE"""),"No")</f>
        <v>No</v>
      </c>
      <c r="AD1957" s="5" t="str">
        <f ca="1">IFERROR(__xludf.DUMMYFUNCTION("""COMPUTED_VALUE"""),"No")</f>
        <v>No</v>
      </c>
      <c r="AE1957" s="5" t="str">
        <f ca="1">IFERROR(__xludf.DUMMYFUNCTION("""COMPUTED_VALUE"""),"No")</f>
        <v>No</v>
      </c>
      <c r="AF1957" s="5" t="str">
        <f ca="1">IFERROR(__xludf.DUMMYFUNCTION("""COMPUTED_VALUE"""),"No")</f>
        <v>No</v>
      </c>
      <c r="AG1957" s="5" t="str">
        <f ca="1">IFERROR(__xludf.DUMMYFUNCTION("""COMPUTED_VALUE"""),"No")</f>
        <v>No</v>
      </c>
      <c r="AH1957" s="5"/>
    </row>
    <row r="1958" spans="1:34" ht="12.75">
      <c r="A1958" s="5" t="str">
        <f ca="1">IFERROR(__xludf.DUMMYFUNCTION("""COMPUTED_VALUE"""),"19781129NYPAN")</f>
        <v>19781129NYPAN</v>
      </c>
      <c r="B1958" s="8">
        <f ca="1">IFERROR(__xludf.DUMMYFUNCTION("""COMPUTED_VALUE"""),28823)</f>
        <v>28823</v>
      </c>
      <c r="C1958" s="5" t="str">
        <f ca="1">IFERROR(__xludf.DUMMYFUNCTION("""COMPUTED_VALUE"""),"Park West High School")</f>
        <v>Park West High School</v>
      </c>
      <c r="D1958" s="5">
        <f ca="1">IFERROR(__xludf.DUMMYFUNCTION("""COMPUTED_VALUE"""),0)</f>
        <v>0</v>
      </c>
      <c r="E1958" s="5">
        <f ca="1">IFERROR(__xludf.DUMMYFUNCTION("""COMPUTED_VALUE"""),1)</f>
        <v>1</v>
      </c>
      <c r="F1958" s="5">
        <f ca="1">IFERROR(__xludf.DUMMYFUNCTION("""COMPUTED_VALUE"""),1)</f>
        <v>1</v>
      </c>
      <c r="G1958" s="5">
        <f ca="1">IFERROR(__xludf.DUMMYFUNCTION("""COMPUTED_VALUE"""),0)</f>
        <v>0</v>
      </c>
      <c r="H1958" s="9" t="str">
        <f ca="1">IFERROR(__xludf.DUMMYFUNCTION("""COMPUTED_VALUE"""),"https://www.newspapers.com/image/396100647/?terms=school%2Bshooting")</f>
        <v>https://www.newspapers.com/image/396100647/?terms=school%2Bshooting</v>
      </c>
      <c r="I1958" s="5"/>
      <c r="J1958" s="5"/>
      <c r="K1958" s="5">
        <f ca="1">IFERROR(__xludf.DUMMYFUNCTION("""COMPUTED_VALUE"""),2)</f>
        <v>2</v>
      </c>
      <c r="L1958" s="5" t="str">
        <f ca="1">IFERROR(__xludf.DUMMYFUNCTION("""COMPUTED_VALUE"""),"Fall")</f>
        <v>Fall</v>
      </c>
      <c r="M1958" s="5" t="str">
        <f ca="1">IFERROR(__xludf.DUMMYFUNCTION("""COMPUTED_VALUE"""),"New York")</f>
        <v>New York</v>
      </c>
      <c r="N1958" s="5" t="str">
        <f ca="1">IFERROR(__xludf.DUMMYFUNCTION("""COMPUTED_VALUE"""),"NY")</f>
        <v>NY</v>
      </c>
      <c r="O1958" s="5" t="str">
        <f ca="1">IFERROR(__xludf.DUMMYFUNCTION("""COMPUTED_VALUE"""),"High")</f>
        <v>High</v>
      </c>
      <c r="P1958" s="5" t="str">
        <f ca="1">IFERROR(__xludf.DUMMYFUNCTION("""COMPUTED_VALUE"""),"Classroom")</f>
        <v>Classroom</v>
      </c>
      <c r="Q1958" s="5" t="str">
        <f ca="1">IFERROR(__xludf.DUMMYFUNCTION("""COMPUTED_VALUE"""),"Inside School Building")</f>
        <v>Inside School Building</v>
      </c>
      <c r="R1958" s="5" t="str">
        <f ca="1">IFERROR(__xludf.DUMMYFUNCTION("""COMPUTED_VALUE"""),"Yes")</f>
        <v>Yes</v>
      </c>
      <c r="S1958" s="5" t="str">
        <f ca="1">IFERROR(__xludf.DUMMYFUNCTION("""COMPUTED_VALUE"""),"Afternoon Classes")</f>
        <v>Afternoon Classes</v>
      </c>
      <c r="T1958" s="10">
        <f ca="1">IFERROR(__xludf.DUMMYFUNCTION("""COMPUTED_VALUE"""),0.520833333333333)</f>
        <v>0.52083333333333304</v>
      </c>
      <c r="U1958" s="5">
        <f ca="1">IFERROR(__xludf.DUMMYFUNCTION("""COMPUTED_VALUE"""),1)</f>
        <v>1</v>
      </c>
      <c r="V1958" s="5" t="str">
        <f ca="1">IFERROR(__xludf.DUMMYFUNCTION("""COMPUTED_VALUE"""),"Showing off gun in class when gun accidentally went off striking student")</f>
        <v>Showing off gun in class when gun accidentally went off striking student</v>
      </c>
      <c r="W1958"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X1958" s="5" t="str">
        <f ca="1">IFERROR(__xludf.DUMMYFUNCTION("""COMPUTED_VALUE"""),"Accidental")</f>
        <v>Accidental</v>
      </c>
      <c r="Y1958" s="5" t="str">
        <f ca="1">IFERROR(__xludf.DUMMYFUNCTION("""COMPUTED_VALUE"""),"Random Shooting")</f>
        <v>Random Shooting</v>
      </c>
      <c r="Z1958" s="5" t="str">
        <f ca="1">IFERROR(__xludf.DUMMYFUNCTION("""COMPUTED_VALUE"""),"No")</f>
        <v>No</v>
      </c>
      <c r="AA1958" s="5"/>
      <c r="AB1958" s="5" t="str">
        <f ca="1">IFERROR(__xludf.DUMMYFUNCTION("""COMPUTED_VALUE"""),"No")</f>
        <v>No</v>
      </c>
      <c r="AC1958" s="5" t="str">
        <f ca="1">IFERROR(__xludf.DUMMYFUNCTION("""COMPUTED_VALUE"""),"No")</f>
        <v>No</v>
      </c>
      <c r="AD1958" s="5" t="str">
        <f ca="1">IFERROR(__xludf.DUMMYFUNCTION("""COMPUTED_VALUE"""),"No")</f>
        <v>No</v>
      </c>
      <c r="AE1958" s="5" t="str">
        <f ca="1">IFERROR(__xludf.DUMMYFUNCTION("""COMPUTED_VALUE"""),"No")</f>
        <v>No</v>
      </c>
      <c r="AF1958" s="5" t="str">
        <f ca="1">IFERROR(__xludf.DUMMYFUNCTION("""COMPUTED_VALUE"""),"No")</f>
        <v>No</v>
      </c>
      <c r="AG1958" s="5" t="str">
        <f ca="1">IFERROR(__xludf.DUMMYFUNCTION("""COMPUTED_VALUE"""),"No")</f>
        <v>No</v>
      </c>
      <c r="AH1958" s="5"/>
    </row>
    <row r="1959" spans="1:34" ht="12.75">
      <c r="A1959" s="5" t="str">
        <f ca="1">IFERROR(__xludf.DUMMYFUNCTION("""COMPUTED_VALUE"""),"19781017MOUNU")</f>
        <v>19781017MOUNU</v>
      </c>
      <c r="B1959" s="8">
        <f ca="1">IFERROR(__xludf.DUMMYFUNCTION("""COMPUTED_VALUE"""),28780)</f>
        <v>28780</v>
      </c>
      <c r="C1959" s="5" t="str">
        <f ca="1">IFERROR(__xludf.DUMMYFUNCTION("""COMPUTED_VALUE"""),"University City High School")</f>
        <v>University City High School</v>
      </c>
      <c r="D1959" s="5">
        <f ca="1">IFERROR(__xludf.DUMMYFUNCTION("""COMPUTED_VALUE"""),0)</f>
        <v>0</v>
      </c>
      <c r="E1959" s="5">
        <f ca="1">IFERROR(__xludf.DUMMYFUNCTION("""COMPUTED_VALUE"""),3)</f>
        <v>3</v>
      </c>
      <c r="F1959" s="5">
        <f ca="1">IFERROR(__xludf.DUMMYFUNCTION("""COMPUTED_VALUE"""),3)</f>
        <v>3</v>
      </c>
      <c r="G1959" s="5">
        <f ca="1">IFERROR(__xludf.DUMMYFUNCTION("""COMPUTED_VALUE"""),0)</f>
        <v>0</v>
      </c>
      <c r="H1959" s="9" t="str">
        <f ca="1">IFERROR(__xludf.DUMMYFUNCTION("""COMPUTED_VALUE"""),"https://stltoday.newspapers.com/clip/7051030/3_wounded_in_university_city_high/")</f>
        <v>https://stltoday.newspapers.com/clip/7051030/3_wounded_in_university_city_high/</v>
      </c>
      <c r="I1959" s="5"/>
      <c r="J1959" s="5"/>
      <c r="K1959" s="5">
        <f ca="1">IFERROR(__xludf.DUMMYFUNCTION("""COMPUTED_VALUE"""),2)</f>
        <v>2</v>
      </c>
      <c r="L1959" s="5" t="str">
        <f ca="1">IFERROR(__xludf.DUMMYFUNCTION("""COMPUTED_VALUE"""),"Fall")</f>
        <v>Fall</v>
      </c>
      <c r="M1959" s="5" t="str">
        <f ca="1">IFERROR(__xludf.DUMMYFUNCTION("""COMPUTED_VALUE"""),"University City")</f>
        <v>University City</v>
      </c>
      <c r="N1959" s="5" t="str">
        <f ca="1">IFERROR(__xludf.DUMMYFUNCTION("""COMPUTED_VALUE"""),"MO")</f>
        <v>MO</v>
      </c>
      <c r="O1959" s="5" t="str">
        <f ca="1">IFERROR(__xludf.DUMMYFUNCTION("""COMPUTED_VALUE"""),"High")</f>
        <v>High</v>
      </c>
      <c r="P1959" s="5" t="str">
        <f ca="1">IFERROR(__xludf.DUMMYFUNCTION("""COMPUTED_VALUE"""),"Beside Building")</f>
        <v>Beside Building</v>
      </c>
      <c r="Q1959" s="5" t="str">
        <f ca="1">IFERROR(__xludf.DUMMYFUNCTION("""COMPUTED_VALUE"""),"Outside on School Property")</f>
        <v>Outside on School Property</v>
      </c>
      <c r="R1959" s="5" t="str">
        <f ca="1">IFERROR(__xludf.DUMMYFUNCTION("""COMPUTED_VALUE"""),"Yes")</f>
        <v>Yes</v>
      </c>
      <c r="S1959" s="5" t="str">
        <f ca="1">IFERROR(__xludf.DUMMYFUNCTION("""COMPUTED_VALUE"""),"Morning Classes")</f>
        <v>Morning Classes</v>
      </c>
      <c r="T1959" s="10">
        <f ca="1">IFERROR(__xludf.DUMMYFUNCTION("""COMPUTED_VALUE"""),0.427083333333333)</f>
        <v>0.42708333333333298</v>
      </c>
      <c r="U1959" s="5">
        <f ca="1">IFERROR(__xludf.DUMMYFUNCTION("""COMPUTED_VALUE"""),1)</f>
        <v>1</v>
      </c>
      <c r="V1959" s="5" t="str">
        <f ca="1">IFERROR(__xludf.DUMMYFUNCTION("""COMPUTED_VALUE"""),"Shooter argued with victims in parking lot before getting gun from car and shooting them")</f>
        <v>Shooter argued with victims in parking lot before getting gun from car and shooting them</v>
      </c>
      <c r="W1959"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X1959" s="5" t="str">
        <f ca="1">IFERROR(__xludf.DUMMYFUNCTION("""COMPUTED_VALUE"""),"Escalation of Dispute")</f>
        <v>Escalation of Dispute</v>
      </c>
      <c r="Y1959" s="5" t="str">
        <f ca="1">IFERROR(__xludf.DUMMYFUNCTION("""COMPUTED_VALUE"""),"Victims Targeted")</f>
        <v>Victims Targeted</v>
      </c>
      <c r="Z1959" s="5" t="str">
        <f ca="1">IFERROR(__xludf.DUMMYFUNCTION("""COMPUTED_VALUE"""),"No")</f>
        <v>No</v>
      </c>
      <c r="AA1959" s="5"/>
      <c r="AB1959" s="5" t="str">
        <f ca="1">IFERROR(__xludf.DUMMYFUNCTION("""COMPUTED_VALUE"""),"No")</f>
        <v>No</v>
      </c>
      <c r="AC1959" s="5" t="str">
        <f ca="1">IFERROR(__xludf.DUMMYFUNCTION("""COMPUTED_VALUE"""),"No")</f>
        <v>No</v>
      </c>
      <c r="AD1959" s="5" t="str">
        <f ca="1">IFERROR(__xludf.DUMMYFUNCTION("""COMPUTED_VALUE"""),"No")</f>
        <v>No</v>
      </c>
      <c r="AE1959" s="5" t="str">
        <f ca="1">IFERROR(__xludf.DUMMYFUNCTION("""COMPUTED_VALUE"""),"No")</f>
        <v>No</v>
      </c>
      <c r="AF1959" s="5" t="str">
        <f ca="1">IFERROR(__xludf.DUMMYFUNCTION("""COMPUTED_VALUE"""),"No")</f>
        <v>No</v>
      </c>
      <c r="AG1959" s="5" t="str">
        <f ca="1">IFERROR(__xludf.DUMMYFUNCTION("""COMPUTED_VALUE"""),"No")</f>
        <v>No</v>
      </c>
      <c r="AH1959" s="5"/>
    </row>
    <row r="1960" spans="1:34" ht="12.75">
      <c r="A1960" s="5" t="str">
        <f ca="1">IFERROR(__xludf.DUMMYFUNCTION("""COMPUTED_VALUE"""),"19781017ALLAL")</f>
        <v>19781017ALLAL</v>
      </c>
      <c r="B1960" s="8">
        <f ca="1">IFERROR(__xludf.DUMMYFUNCTION("""COMPUTED_VALUE"""),28780)</f>
        <v>28780</v>
      </c>
      <c r="C1960" s="5" t="str">
        <f ca="1">IFERROR(__xludf.DUMMYFUNCTION("""COMPUTED_VALUE"""),"Lanett Junior High School")</f>
        <v>Lanett Junior High School</v>
      </c>
      <c r="D1960" s="5">
        <f ca="1">IFERROR(__xludf.DUMMYFUNCTION("""COMPUTED_VALUE"""),0)</f>
        <v>0</v>
      </c>
      <c r="E1960" s="5">
        <f ca="1">IFERROR(__xludf.DUMMYFUNCTION("""COMPUTED_VALUE"""),1)</f>
        <v>1</v>
      </c>
      <c r="F1960" s="5">
        <f ca="1">IFERROR(__xludf.DUMMYFUNCTION("""COMPUTED_VALUE"""),1)</f>
        <v>1</v>
      </c>
      <c r="G1960" s="5">
        <f ca="1">IFERROR(__xludf.DUMMYFUNCTION("""COMPUTED_VALUE"""),0)</f>
        <v>0</v>
      </c>
      <c r="H1960" s="9" t="str">
        <f ca="1">IFERROR(__xludf.DUMMYFUNCTION("""COMPUTED_VALUE"""),"https://www.newspapers.com/newspage/107532734/")</f>
        <v>https://www.newspapers.com/newspage/107532734/</v>
      </c>
      <c r="I1960" s="5"/>
      <c r="J1960" s="5"/>
      <c r="K1960" s="5">
        <f ca="1">IFERROR(__xludf.DUMMYFUNCTION("""COMPUTED_VALUE"""),2)</f>
        <v>2</v>
      </c>
      <c r="L1960" s="5" t="str">
        <f ca="1">IFERROR(__xludf.DUMMYFUNCTION("""COMPUTED_VALUE"""),"Fall")</f>
        <v>Fall</v>
      </c>
      <c r="M1960" s="5" t="str">
        <f ca="1">IFERROR(__xludf.DUMMYFUNCTION("""COMPUTED_VALUE"""),"Lanett")</f>
        <v>Lanett</v>
      </c>
      <c r="N1960" s="5" t="str">
        <f ca="1">IFERROR(__xludf.DUMMYFUNCTION("""COMPUTED_VALUE"""),"AL")</f>
        <v>AL</v>
      </c>
      <c r="O1960" s="5" t="str">
        <f ca="1">IFERROR(__xludf.DUMMYFUNCTION("""COMPUTED_VALUE"""),"Junior High")</f>
        <v>Junior High</v>
      </c>
      <c r="P1960" s="5" t="str">
        <f ca="1">IFERROR(__xludf.DUMMYFUNCTION("""COMPUTED_VALUE"""),"Office")</f>
        <v>Office</v>
      </c>
      <c r="Q1960" s="5" t="str">
        <f ca="1">IFERROR(__xludf.DUMMYFUNCTION("""COMPUTED_VALUE"""),"Inside School Building")</f>
        <v>Inside School Building</v>
      </c>
      <c r="R1960" s="5" t="str">
        <f ca="1">IFERROR(__xludf.DUMMYFUNCTION("""COMPUTED_VALUE"""),"Yes")</f>
        <v>Yes</v>
      </c>
      <c r="S1960" s="5" t="str">
        <f ca="1">IFERROR(__xludf.DUMMYFUNCTION("""COMPUTED_VALUE"""),"Afternoon Classes")</f>
        <v>Afternoon Classes</v>
      </c>
      <c r="T1960" s="5"/>
      <c r="U1960" s="5">
        <f ca="1">IFERROR(__xludf.DUMMYFUNCTION("""COMPUTED_VALUE"""),1)</f>
        <v>1</v>
      </c>
      <c r="V1960" s="5" t="str">
        <f ca="1">IFERROR(__xludf.DUMMYFUNCTION("""COMPUTED_VALUE"""),"Shot principal after being paddled for truancy")</f>
        <v>Shot principal after being paddled for truancy</v>
      </c>
      <c r="W1960"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X1960" s="5" t="str">
        <f ca="1">IFERROR(__xludf.DUMMYFUNCTION("""COMPUTED_VALUE"""),"Anger Over Grade/Suspension/Discipline")</f>
        <v>Anger Over Grade/Suspension/Discipline</v>
      </c>
      <c r="Y1960" s="5" t="str">
        <f ca="1">IFERROR(__xludf.DUMMYFUNCTION("""COMPUTED_VALUE"""),"Victims Targeted")</f>
        <v>Victims Targeted</v>
      </c>
      <c r="Z1960" s="5" t="str">
        <f ca="1">IFERROR(__xludf.DUMMYFUNCTION("""COMPUTED_VALUE"""),"No")</f>
        <v>No</v>
      </c>
      <c r="AA1960" s="5"/>
      <c r="AB1960" s="5" t="str">
        <f ca="1">IFERROR(__xludf.DUMMYFUNCTION("""COMPUTED_VALUE"""),"No")</f>
        <v>No</v>
      </c>
      <c r="AC1960" s="5" t="str">
        <f ca="1">IFERROR(__xludf.DUMMYFUNCTION("""COMPUTED_VALUE"""),"No")</f>
        <v>No</v>
      </c>
      <c r="AD1960" s="5" t="str">
        <f ca="1">IFERROR(__xludf.DUMMYFUNCTION("""COMPUTED_VALUE"""),"No")</f>
        <v>No</v>
      </c>
      <c r="AE1960" s="5" t="str">
        <f ca="1">IFERROR(__xludf.DUMMYFUNCTION("""COMPUTED_VALUE"""),"No")</f>
        <v>No</v>
      </c>
      <c r="AF1960" s="5" t="str">
        <f ca="1">IFERROR(__xludf.DUMMYFUNCTION("""COMPUTED_VALUE"""),"No")</f>
        <v>No</v>
      </c>
      <c r="AG1960" s="5" t="str">
        <f ca="1">IFERROR(__xludf.DUMMYFUNCTION("""COMPUTED_VALUE"""),"No")</f>
        <v>No</v>
      </c>
      <c r="AH1960" s="5"/>
    </row>
    <row r="1961" spans="1:34" ht="12.75">
      <c r="A1961" s="5" t="str">
        <f ca="1">IFERROR(__xludf.DUMMYFUNCTION("""COMPUTED_VALUE"""),"19780610MAWEW")</f>
        <v>19780610MAWEW</v>
      </c>
      <c r="B1961" s="8">
        <f ca="1">IFERROR(__xludf.DUMMYFUNCTION("""COMPUTED_VALUE"""),28651)</f>
        <v>28651</v>
      </c>
      <c r="C1961" s="5" t="str">
        <f ca="1">IFERROR(__xludf.DUMMYFUNCTION("""COMPUTED_VALUE"""),"Weymouth South High School")</f>
        <v>Weymouth South High School</v>
      </c>
      <c r="D1961" s="5">
        <f ca="1">IFERROR(__xludf.DUMMYFUNCTION("""COMPUTED_VALUE"""),0)</f>
        <v>0</v>
      </c>
      <c r="E1961" s="5">
        <f ca="1">IFERROR(__xludf.DUMMYFUNCTION("""COMPUTED_VALUE"""),0)</f>
        <v>0</v>
      </c>
      <c r="F1961" s="5">
        <f ca="1">IFERROR(__xludf.DUMMYFUNCTION("""COMPUTED_VALUE"""),0)</f>
        <v>0</v>
      </c>
      <c r="G1961" s="5">
        <f ca="1">IFERROR(__xludf.DUMMYFUNCTION("""COMPUTED_VALUE"""),0)</f>
        <v>0</v>
      </c>
      <c r="H1961" s="9" t="str">
        <f ca="1">IFERROR(__xludf.DUMMYFUNCTION("""COMPUTED_VALUE"""),"https://www.newspapers.com/image/72988843/?terms=Weymouth%2BSouth%2BHigh%2BSchool%2Bshooting")</f>
        <v>https://www.newspapers.com/image/72988843/?terms=Weymouth%2BSouth%2BHigh%2BSchool%2Bshooting</v>
      </c>
      <c r="I1961" s="5"/>
      <c r="J1961" s="5"/>
      <c r="K1961" s="5">
        <f ca="1">IFERROR(__xludf.DUMMYFUNCTION("""COMPUTED_VALUE"""),2)</f>
        <v>2</v>
      </c>
      <c r="L1961" s="5" t="str">
        <f ca="1">IFERROR(__xludf.DUMMYFUNCTION("""COMPUTED_VALUE"""),"Summer")</f>
        <v>Summer</v>
      </c>
      <c r="M1961" s="5" t="str">
        <f ca="1">IFERROR(__xludf.DUMMYFUNCTION("""COMPUTED_VALUE"""),"Weymouth")</f>
        <v>Weymouth</v>
      </c>
      <c r="N1961" s="5" t="str">
        <f ca="1">IFERROR(__xludf.DUMMYFUNCTION("""COMPUTED_VALUE"""),"MA")</f>
        <v>MA</v>
      </c>
      <c r="O1961" s="5" t="str">
        <f ca="1">IFERROR(__xludf.DUMMYFUNCTION("""COMPUTED_VALUE"""),"High")</f>
        <v>High</v>
      </c>
      <c r="P1961" s="5" t="str">
        <f ca="1">IFERROR(__xludf.DUMMYFUNCTION("""COMPUTED_VALUE"""),"Auditorium")</f>
        <v>Auditorium</v>
      </c>
      <c r="Q1961" s="5" t="str">
        <f ca="1">IFERROR(__xludf.DUMMYFUNCTION("""COMPUTED_VALUE"""),"Inside School Building")</f>
        <v>Inside School Building</v>
      </c>
      <c r="R1961" s="5" t="str">
        <f ca="1">IFERROR(__xludf.DUMMYFUNCTION("""COMPUTED_VALUE"""),"No")</f>
        <v>No</v>
      </c>
      <c r="S1961" s="5" t="str">
        <f ca="1">IFERROR(__xludf.DUMMYFUNCTION("""COMPUTED_VALUE"""),"School Event")</f>
        <v>School Event</v>
      </c>
      <c r="T1961" s="5"/>
      <c r="U1961" s="5">
        <f ca="1">IFERROR(__xludf.DUMMYFUNCTION("""COMPUTED_VALUE"""),1)</f>
        <v>1</v>
      </c>
      <c r="V1961" s="5" t="str">
        <f ca="1">IFERROR(__xludf.DUMMYFUNCTION("""COMPUTED_VALUE"""),"Student shot self on stage at commencement")</f>
        <v>Student shot self on stage at commencement</v>
      </c>
      <c r="W1961"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X1961" s="5" t="str">
        <f ca="1">IFERROR(__xludf.DUMMYFUNCTION("""COMPUTED_VALUE"""),"Suicide/Attempted")</f>
        <v>Suicide/Attempted</v>
      </c>
      <c r="Y1961" s="5" t="str">
        <f ca="1">IFERROR(__xludf.DUMMYFUNCTION("""COMPUTED_VALUE"""),"Victims Targeted")</f>
        <v>Victims Targeted</v>
      </c>
      <c r="Z1961" s="5" t="str">
        <f ca="1">IFERROR(__xludf.DUMMYFUNCTION("""COMPUTED_VALUE"""),"No")</f>
        <v>No</v>
      </c>
      <c r="AA1961" s="5"/>
      <c r="AB1961" s="5" t="str">
        <f ca="1">IFERROR(__xludf.DUMMYFUNCTION("""COMPUTED_VALUE"""),"No")</f>
        <v>No</v>
      </c>
      <c r="AC1961" s="5" t="str">
        <f ca="1">IFERROR(__xludf.DUMMYFUNCTION("""COMPUTED_VALUE"""),"No")</f>
        <v>No</v>
      </c>
      <c r="AD1961" s="5" t="str">
        <f ca="1">IFERROR(__xludf.DUMMYFUNCTION("""COMPUTED_VALUE"""),"No")</f>
        <v>No</v>
      </c>
      <c r="AE1961" s="5" t="str">
        <f ca="1">IFERROR(__xludf.DUMMYFUNCTION("""COMPUTED_VALUE"""),"No")</f>
        <v>No</v>
      </c>
      <c r="AF1961" s="5" t="str">
        <f ca="1">IFERROR(__xludf.DUMMYFUNCTION("""COMPUTED_VALUE"""),"No")</f>
        <v>No</v>
      </c>
      <c r="AG1961" s="5" t="str">
        <f ca="1">IFERROR(__xludf.DUMMYFUNCTION("""COMPUTED_VALUE"""),"No")</f>
        <v>No</v>
      </c>
      <c r="AH1961" s="5"/>
    </row>
    <row r="1962" spans="1:34" ht="12.75">
      <c r="A1962" s="5" t="str">
        <f ca="1">IFERROR(__xludf.DUMMYFUNCTION("""COMPUTED_VALUE"""),"19780607DEDOD")</f>
        <v>19780607DEDOD</v>
      </c>
      <c r="B1962" s="8">
        <f ca="1">IFERROR(__xludf.DUMMYFUNCTION("""COMPUTED_VALUE"""),28648)</f>
        <v>28648</v>
      </c>
      <c r="C1962" s="5" t="str">
        <f ca="1">IFERROR(__xludf.DUMMYFUNCTION("""COMPUTED_VALUE"""),"Dover Air High")</f>
        <v>Dover Air High</v>
      </c>
      <c r="D1962" s="5">
        <f ca="1">IFERROR(__xludf.DUMMYFUNCTION("""COMPUTED_VALUE"""),1)</f>
        <v>1</v>
      </c>
      <c r="E1962" s="5">
        <f ca="1">IFERROR(__xludf.DUMMYFUNCTION("""COMPUTED_VALUE"""),0)</f>
        <v>0</v>
      </c>
      <c r="F1962" s="5">
        <f ca="1">IFERROR(__xludf.DUMMYFUNCTION("""COMPUTED_VALUE"""),1)</f>
        <v>1</v>
      </c>
      <c r="G1962" s="5">
        <f ca="1">IFERROR(__xludf.DUMMYFUNCTION("""COMPUTED_VALUE"""),0)</f>
        <v>0</v>
      </c>
      <c r="H1962" s="9" t="str">
        <f ca="1">IFERROR(__xludf.DUMMYFUNCTION("""COMPUTED_VALUE"""),"https://www.newspapers.com/image/160873897/?terms=Adams%2BElementary%2BSchool%2Bshooting")</f>
        <v>https://www.newspapers.com/image/160873897/?terms=Adams%2BElementary%2BSchool%2Bshooting</v>
      </c>
      <c r="I1962" s="5"/>
      <c r="J1962" s="5"/>
      <c r="K1962" s="5">
        <f ca="1">IFERROR(__xludf.DUMMYFUNCTION("""COMPUTED_VALUE"""),2)</f>
        <v>2</v>
      </c>
      <c r="L1962" s="5" t="str">
        <f ca="1">IFERROR(__xludf.DUMMYFUNCTION("""COMPUTED_VALUE"""),"Summer")</f>
        <v>Summer</v>
      </c>
      <c r="M1962" s="5" t="str">
        <f ca="1">IFERROR(__xludf.DUMMYFUNCTION("""COMPUTED_VALUE"""),"Dover")</f>
        <v>Dover</v>
      </c>
      <c r="N1962" s="5" t="str">
        <f ca="1">IFERROR(__xludf.DUMMYFUNCTION("""COMPUTED_VALUE"""),"DE")</f>
        <v>DE</v>
      </c>
      <c r="O1962" s="5" t="str">
        <f ca="1">IFERROR(__xludf.DUMMYFUNCTION("""COMPUTED_VALUE"""),"High")</f>
        <v>High</v>
      </c>
      <c r="P1962" s="5" t="str">
        <f ca="1">IFERROR(__xludf.DUMMYFUNCTION("""COMPUTED_VALUE"""),"Off School Property")</f>
        <v>Off School Property</v>
      </c>
      <c r="Q1962" s="5" t="str">
        <f ca="1">IFERROR(__xludf.DUMMYFUNCTION("""COMPUTED_VALUE"""),"Off School Property")</f>
        <v>Off School Property</v>
      </c>
      <c r="R1962" s="5" t="str">
        <f ca="1">IFERROR(__xludf.DUMMYFUNCTION("""COMPUTED_VALUE"""),"No")</f>
        <v>No</v>
      </c>
      <c r="S1962" s="5" t="str">
        <f ca="1">IFERROR(__xludf.DUMMYFUNCTION("""COMPUTED_VALUE"""),"School Event")</f>
        <v>School Event</v>
      </c>
      <c r="T1962" s="5"/>
      <c r="U1962" s="5">
        <f ca="1">IFERROR(__xludf.DUMMYFUNCTION("""COMPUTED_VALUE"""),1)</f>
        <v>1</v>
      </c>
      <c r="V1962" s="5" t="str">
        <f ca="1">IFERROR(__xludf.DUMMYFUNCTION("""COMPUTED_VALUE"""),"Accidental shooting at school picnic")</f>
        <v>Accidental shooting at school picnic</v>
      </c>
      <c r="W1962" s="5" t="str">
        <f ca="1">IFERROR(__xludf.DUMMYFUNCTION("""COMPUTED_VALUE"""),"17 year-old male student fatally shot a 18 year-old male friend at school picnic. Determined to be an accident.")</f>
        <v>17 year-old male student fatally shot a 18 year-old male friend at school picnic. Determined to be an accident.</v>
      </c>
      <c r="X1962" s="5" t="str">
        <f ca="1">IFERROR(__xludf.DUMMYFUNCTION("""COMPUTED_VALUE"""),"Accidental")</f>
        <v>Accidental</v>
      </c>
      <c r="Y1962" s="5" t="str">
        <f ca="1">IFERROR(__xludf.DUMMYFUNCTION("""COMPUTED_VALUE"""),"Neither")</f>
        <v>Neither</v>
      </c>
      <c r="Z1962" s="5" t="str">
        <f ca="1">IFERROR(__xludf.DUMMYFUNCTION("""COMPUTED_VALUE"""),"No")</f>
        <v>No</v>
      </c>
      <c r="AA1962" s="5"/>
      <c r="AB1962" s="5" t="str">
        <f ca="1">IFERROR(__xludf.DUMMYFUNCTION("""COMPUTED_VALUE"""),"No")</f>
        <v>No</v>
      </c>
      <c r="AC1962" s="5" t="str">
        <f ca="1">IFERROR(__xludf.DUMMYFUNCTION("""COMPUTED_VALUE"""),"No")</f>
        <v>No</v>
      </c>
      <c r="AD1962" s="5" t="str">
        <f ca="1">IFERROR(__xludf.DUMMYFUNCTION("""COMPUTED_VALUE"""),"No")</f>
        <v>No</v>
      </c>
      <c r="AE1962" s="5" t="str">
        <f ca="1">IFERROR(__xludf.DUMMYFUNCTION("""COMPUTED_VALUE"""),"No")</f>
        <v>No</v>
      </c>
      <c r="AF1962" s="5" t="str">
        <f ca="1">IFERROR(__xludf.DUMMYFUNCTION("""COMPUTED_VALUE"""),"No")</f>
        <v>No</v>
      </c>
      <c r="AG1962" s="5" t="str">
        <f ca="1">IFERROR(__xludf.DUMMYFUNCTION("""COMPUTED_VALUE"""),"No")</f>
        <v>No</v>
      </c>
      <c r="AH1962" s="5"/>
    </row>
    <row r="1963" spans="1:34" ht="12.75">
      <c r="A1963" s="5" t="str">
        <f ca="1">IFERROR(__xludf.DUMMYFUNCTION("""COMPUTED_VALUE"""),"19780519PADOP")</f>
        <v>19780519PADOP</v>
      </c>
      <c r="B1963" s="8">
        <f ca="1">IFERROR(__xludf.DUMMYFUNCTION("""COMPUTED_VALUE"""),28629)</f>
        <v>28629</v>
      </c>
      <c r="C1963" s="5" t="str">
        <f ca="1">IFERROR(__xludf.DUMMYFUNCTION("""COMPUTED_VALUE"""),"Downtown Junior High School")</f>
        <v>Downtown Junior High School</v>
      </c>
      <c r="D1963" s="5">
        <f ca="1">IFERROR(__xludf.DUMMYFUNCTION("""COMPUTED_VALUE"""),0)</f>
        <v>0</v>
      </c>
      <c r="E1963" s="5">
        <f ca="1">IFERROR(__xludf.DUMMYFUNCTION("""COMPUTED_VALUE"""),8)</f>
        <v>8</v>
      </c>
      <c r="F1963" s="5">
        <f ca="1">IFERROR(__xludf.DUMMYFUNCTION("""COMPUTED_VALUE"""),8)</f>
        <v>8</v>
      </c>
      <c r="G1963" s="5">
        <f ca="1">IFERROR(__xludf.DUMMYFUNCTION("""COMPUTED_VALUE"""),0)</f>
        <v>0</v>
      </c>
      <c r="H1963" s="9" t="str">
        <f ca="1">IFERROR(__xludf.DUMMYFUNCTION("""COMPUTED_VALUE"""),"https://www.newspapers.com/image/178054448/?terms=school%2Bshooting")</f>
        <v>https://www.newspapers.com/image/178054448/?terms=school%2Bshooting</v>
      </c>
      <c r="I1963" s="5"/>
      <c r="J1963" s="5"/>
      <c r="K1963" s="5">
        <f ca="1">IFERROR(__xludf.DUMMYFUNCTION("""COMPUTED_VALUE"""),2)</f>
        <v>2</v>
      </c>
      <c r="L1963" s="5" t="str">
        <f ca="1">IFERROR(__xludf.DUMMYFUNCTION("""COMPUTED_VALUE"""),"Spring")</f>
        <v>Spring</v>
      </c>
      <c r="M1963" s="5" t="str">
        <f ca="1">IFERROR(__xludf.DUMMYFUNCTION("""COMPUTED_VALUE"""),"Philadelphia")</f>
        <v>Philadelphia</v>
      </c>
      <c r="N1963" s="5" t="str">
        <f ca="1">IFERROR(__xludf.DUMMYFUNCTION("""COMPUTED_VALUE"""),"PA")</f>
        <v>PA</v>
      </c>
      <c r="O1963" s="5" t="str">
        <f ca="1">IFERROR(__xludf.DUMMYFUNCTION("""COMPUTED_VALUE"""),"Junior High")</f>
        <v>Junior High</v>
      </c>
      <c r="P1963" s="5" t="str">
        <f ca="1">IFERROR(__xludf.DUMMYFUNCTION("""COMPUTED_VALUE"""),"School Bus")</f>
        <v>School Bus</v>
      </c>
      <c r="Q1963" s="5" t="str">
        <f ca="1">IFERROR(__xludf.DUMMYFUNCTION("""COMPUTED_VALUE"""),"School Bus")</f>
        <v>School Bus</v>
      </c>
      <c r="R1963" s="5" t="str">
        <f ca="1">IFERROR(__xludf.DUMMYFUNCTION("""COMPUTED_VALUE"""),"Yes")</f>
        <v>Yes</v>
      </c>
      <c r="S1963" s="5" t="str">
        <f ca="1">IFERROR(__xludf.DUMMYFUNCTION("""COMPUTED_VALUE"""),"Afternoon Classes")</f>
        <v>Afternoon Classes</v>
      </c>
      <c r="T1963" s="5"/>
      <c r="U1963" s="5">
        <f ca="1">IFERROR(__xludf.DUMMYFUNCTION("""COMPUTED_VALUE"""),1)</f>
        <v>1</v>
      </c>
      <c r="V1963" s="5" t="str">
        <f ca="1">IFERROR(__xludf.DUMMYFUNCTION("""COMPUTED_VALUE"""),"Shots deliberately fired a school bus")</f>
        <v>Shots deliberately fired a school bus</v>
      </c>
      <c r="W1963"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X1963" s="5" t="str">
        <f ca="1">IFERROR(__xludf.DUMMYFUNCTION("""COMPUTED_VALUE"""),"Indiscriminate Shooting")</f>
        <v>Indiscriminate Shooting</v>
      </c>
      <c r="Y1963" s="5"/>
      <c r="Z1963" s="5" t="str">
        <f ca="1">IFERROR(__xludf.DUMMYFUNCTION("""COMPUTED_VALUE"""),"No")</f>
        <v>No</v>
      </c>
      <c r="AA1963" s="5"/>
      <c r="AB1963" s="5" t="str">
        <f ca="1">IFERROR(__xludf.DUMMYFUNCTION("""COMPUTED_VALUE"""),"No")</f>
        <v>No</v>
      </c>
      <c r="AC1963" s="5" t="str">
        <f ca="1">IFERROR(__xludf.DUMMYFUNCTION("""COMPUTED_VALUE"""),"No")</f>
        <v>No</v>
      </c>
      <c r="AD1963" s="5" t="str">
        <f ca="1">IFERROR(__xludf.DUMMYFUNCTION("""COMPUTED_VALUE"""),"No")</f>
        <v>No</v>
      </c>
      <c r="AE1963" s="5"/>
      <c r="AF1963" s="5"/>
      <c r="AG1963" s="5"/>
      <c r="AH1963" s="5" t="str">
        <f ca="1">IFERROR(__xludf.DUMMYFUNCTION("""COMPUTED_VALUE"""),"Yes")</f>
        <v>Yes</v>
      </c>
    </row>
    <row r="1964" spans="1:34" ht="12.75">
      <c r="A1964" s="5" t="str">
        <f ca="1">IFERROR(__xludf.DUMMYFUNCTION("""COMPUTED_VALUE"""),"19780518TXMUA")</f>
        <v>19780518TXMUA</v>
      </c>
      <c r="B1964" s="8">
        <f ca="1">IFERROR(__xludf.DUMMYFUNCTION("""COMPUTED_VALUE"""),28628)</f>
        <v>28628</v>
      </c>
      <c r="C1964" s="5" t="str">
        <f ca="1">IFERROR(__xludf.DUMMYFUNCTION("""COMPUTED_VALUE"""),"Murchison Junior High School")</f>
        <v>Murchison Junior High School</v>
      </c>
      <c r="D1964" s="5">
        <f ca="1">IFERROR(__xludf.DUMMYFUNCTION("""COMPUTED_VALUE"""),1)</f>
        <v>1</v>
      </c>
      <c r="E1964" s="5">
        <f ca="1">IFERROR(__xludf.DUMMYFUNCTION("""COMPUTED_VALUE"""),0)</f>
        <v>0</v>
      </c>
      <c r="F1964" s="5">
        <f ca="1">IFERROR(__xludf.DUMMYFUNCTION("""COMPUTED_VALUE"""),1)</f>
        <v>1</v>
      </c>
      <c r="G1964" s="5">
        <f ca="1">IFERROR(__xludf.DUMMYFUNCTION("""COMPUTED_VALUE"""),0)</f>
        <v>0</v>
      </c>
      <c r="H1964" s="5" t="str">
        <f ca="1">IFERROR(__xludf.DUMMYFUNCTION("""COMPUTED_VALUE"""),"https://www.nytimes.com/1978/05/19/archives/boy-arrested-in-teachers-killing.html https://www.newspapers.com/image/341795245/?terms=school%2Bshooting https://www.texasmonthly.com/articles/the-school-shooting-that-austin-forgot/")</f>
        <v>https://www.nytimes.com/1978/05/19/archives/boy-arrested-in-teachers-killing.html https://www.newspapers.com/image/341795245/?terms=school%2Bshooting https://www.texasmonthly.com/articles/the-school-shooting-that-austin-forgot/</v>
      </c>
      <c r="I1964" s="5"/>
      <c r="J1964" s="5" t="str">
        <f ca="1">IFERROR(__xludf.DUMMYFUNCTION("""COMPUTED_VALUE"""),"National")</f>
        <v>National</v>
      </c>
      <c r="K1964" s="5">
        <f ca="1">IFERROR(__xludf.DUMMYFUNCTION("""COMPUTED_VALUE"""),4)</f>
        <v>4</v>
      </c>
      <c r="L1964" s="5" t="str">
        <f ca="1">IFERROR(__xludf.DUMMYFUNCTION("""COMPUTED_VALUE"""),"Spring")</f>
        <v>Spring</v>
      </c>
      <c r="M1964" s="5" t="str">
        <f ca="1">IFERROR(__xludf.DUMMYFUNCTION("""COMPUTED_VALUE"""),"Austin")</f>
        <v>Austin</v>
      </c>
      <c r="N1964" s="5" t="str">
        <f ca="1">IFERROR(__xludf.DUMMYFUNCTION("""COMPUTED_VALUE"""),"TX")</f>
        <v>TX</v>
      </c>
      <c r="O1964" s="5" t="str">
        <f ca="1">IFERROR(__xludf.DUMMYFUNCTION("""COMPUTED_VALUE"""),"Junior High")</f>
        <v>Junior High</v>
      </c>
      <c r="P1964" s="5" t="str">
        <f ca="1">IFERROR(__xludf.DUMMYFUNCTION("""COMPUTED_VALUE"""),"Classroom")</f>
        <v>Classroom</v>
      </c>
      <c r="Q1964" s="5" t="str">
        <f ca="1">IFERROR(__xludf.DUMMYFUNCTION("""COMPUTED_VALUE"""),"Inside School Building")</f>
        <v>Inside School Building</v>
      </c>
      <c r="R1964" s="5" t="str">
        <f ca="1">IFERROR(__xludf.DUMMYFUNCTION("""COMPUTED_VALUE"""),"Yes")</f>
        <v>Yes</v>
      </c>
      <c r="S1964" s="5" t="str">
        <f ca="1">IFERROR(__xludf.DUMMYFUNCTION("""COMPUTED_VALUE"""),"Morning Classes")</f>
        <v>Morning Classes</v>
      </c>
      <c r="T1964" s="10">
        <f ca="1">IFERROR(__xludf.DUMMYFUNCTION("""COMPUTED_VALUE"""),0.375)</f>
        <v>0.375</v>
      </c>
      <c r="U1964" s="5">
        <f ca="1">IFERROR(__xludf.DUMMYFUNCTION("""COMPUTED_VALUE"""),1)</f>
        <v>1</v>
      </c>
      <c r="V1964" s="5" t="str">
        <f ca="1">IFERROR(__xludf.DUMMYFUNCTION("""COMPUTED_VALUE"""),"Shot teacher multiple times in classroom")</f>
        <v>Shot teacher multiple times in classroom</v>
      </c>
      <c r="W1964"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X1964" s="5" t="str">
        <f ca="1">IFERROR(__xludf.DUMMYFUNCTION("""COMPUTED_VALUE"""),"Psychosis")</f>
        <v>Psychosis</v>
      </c>
      <c r="Y1964" s="5" t="str">
        <f ca="1">IFERROR(__xludf.DUMMYFUNCTION("""COMPUTED_VALUE"""),"Victims Targeted")</f>
        <v>Victims Targeted</v>
      </c>
      <c r="Z1964" s="5" t="str">
        <f ca="1">IFERROR(__xludf.DUMMYFUNCTION("""COMPUTED_VALUE"""),"No")</f>
        <v>No</v>
      </c>
      <c r="AA1964" s="5"/>
      <c r="AB1964" s="5" t="str">
        <f ca="1">IFERROR(__xludf.DUMMYFUNCTION("""COMPUTED_VALUE"""),"No")</f>
        <v>No</v>
      </c>
      <c r="AC1964" s="5" t="str">
        <f ca="1">IFERROR(__xludf.DUMMYFUNCTION("""COMPUTED_VALUE"""),"No")</f>
        <v>No</v>
      </c>
      <c r="AD1964" s="5" t="str">
        <f ca="1">IFERROR(__xludf.DUMMYFUNCTION("""COMPUTED_VALUE"""),"No")</f>
        <v>No</v>
      </c>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row>
    <row r="1965" spans="1:34" ht="12.75">
      <c r="A1965" s="5" t="str">
        <f ca="1">IFERROR(__xludf.DUMMYFUNCTION("""COMPUTED_VALUE"""),"19780428ILRIN")</f>
        <v>19780428ILRIN</v>
      </c>
      <c r="B1965" s="8">
        <f ca="1">IFERROR(__xludf.DUMMYFUNCTION("""COMPUTED_VALUE"""),28608)</f>
        <v>28608</v>
      </c>
      <c r="C1965" s="5" t="str">
        <f ca="1">IFERROR(__xludf.DUMMYFUNCTION("""COMPUTED_VALUE"""),"Ridgewood High School")</f>
        <v>Ridgewood High School</v>
      </c>
      <c r="D1965" s="5">
        <f ca="1">IFERROR(__xludf.DUMMYFUNCTION("""COMPUTED_VALUE"""),2)</f>
        <v>2</v>
      </c>
      <c r="E1965" s="5">
        <f ca="1">IFERROR(__xludf.DUMMYFUNCTION("""COMPUTED_VALUE"""),2)</f>
        <v>2</v>
      </c>
      <c r="F1965" s="5">
        <f ca="1">IFERROR(__xludf.DUMMYFUNCTION("""COMPUTED_VALUE"""),4)</f>
        <v>4</v>
      </c>
      <c r="G1965" s="5">
        <f ca="1">IFERROR(__xludf.DUMMYFUNCTION("""COMPUTED_VALUE"""),0)</f>
        <v>0</v>
      </c>
      <c r="H1965" s="9" t="str">
        <f ca="1">IFERROR(__xludf.DUMMYFUNCTION("""COMPUTED_VALUE"""),"https://www.newspapers.com/image/385395737/?terms=Ridgewood%2BHigh%2BSchool%2Bdance")</f>
        <v>https://www.newspapers.com/image/385395737/?terms=Ridgewood%2BHigh%2BSchool%2Bdance</v>
      </c>
      <c r="I1965" s="5"/>
      <c r="J1965" s="5"/>
      <c r="K1965" s="5">
        <f ca="1">IFERROR(__xludf.DUMMYFUNCTION("""COMPUTED_VALUE"""),2)</f>
        <v>2</v>
      </c>
      <c r="L1965" s="5" t="str">
        <f ca="1">IFERROR(__xludf.DUMMYFUNCTION("""COMPUTED_VALUE"""),"Spring")</f>
        <v>Spring</v>
      </c>
      <c r="M1965" s="5" t="str">
        <f ca="1">IFERROR(__xludf.DUMMYFUNCTION("""COMPUTED_VALUE"""),"Norridge")</f>
        <v>Norridge</v>
      </c>
      <c r="N1965" s="5" t="str">
        <f ca="1">IFERROR(__xludf.DUMMYFUNCTION("""COMPUTED_VALUE"""),"IL")</f>
        <v>IL</v>
      </c>
      <c r="O1965" s="5" t="str">
        <f ca="1">IFERROR(__xludf.DUMMYFUNCTION("""COMPUTED_VALUE"""),"High")</f>
        <v>High</v>
      </c>
      <c r="P1965" s="5" t="str">
        <f ca="1">IFERROR(__xludf.DUMMYFUNCTION("""COMPUTED_VALUE"""),"Beside Building")</f>
        <v>Beside Building</v>
      </c>
      <c r="Q1965" s="5" t="str">
        <f ca="1">IFERROR(__xludf.DUMMYFUNCTION("""COMPUTED_VALUE"""),"Outside on School Property")</f>
        <v>Outside on School Property</v>
      </c>
      <c r="R1965" s="5" t="str">
        <f ca="1">IFERROR(__xludf.DUMMYFUNCTION("""COMPUTED_VALUE"""),"No")</f>
        <v>No</v>
      </c>
      <c r="S1965" s="5" t="str">
        <f ca="1">IFERROR(__xludf.DUMMYFUNCTION("""COMPUTED_VALUE"""),"School Event")</f>
        <v>School Event</v>
      </c>
      <c r="T1965" s="10">
        <f ca="1">IFERROR(__xludf.DUMMYFUNCTION("""COMPUTED_VALUE"""),0.9375)</f>
        <v>0.9375</v>
      </c>
      <c r="U1965" s="5">
        <f ca="1">IFERROR(__xludf.DUMMYFUNCTION("""COMPUTED_VALUE"""),1)</f>
        <v>1</v>
      </c>
      <c r="V1965" s="5" t="str">
        <f ca="1">IFERROR(__xludf.DUMMYFUNCTION("""COMPUTED_VALUE"""),"Shooting outside school dance")</f>
        <v>Shooting outside school dance</v>
      </c>
      <c r="W1965"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X1965" s="5" t="str">
        <f ca="1">IFERROR(__xludf.DUMMYFUNCTION("""COMPUTED_VALUE"""),"Escalation of Dispute")</f>
        <v>Escalation of Dispute</v>
      </c>
      <c r="Y1965" s="5"/>
      <c r="Z1965" s="5" t="str">
        <f ca="1">IFERROR(__xludf.DUMMYFUNCTION("""COMPUTED_VALUE"""),"No")</f>
        <v>No</v>
      </c>
      <c r="AA1965" s="5"/>
      <c r="AB1965" s="5" t="str">
        <f ca="1">IFERROR(__xludf.DUMMYFUNCTION("""COMPUTED_VALUE"""),"No")</f>
        <v>No</v>
      </c>
      <c r="AC1965" s="5" t="str">
        <f ca="1">IFERROR(__xludf.DUMMYFUNCTION("""COMPUTED_VALUE"""),"No")</f>
        <v>No</v>
      </c>
      <c r="AD1965" s="5" t="str">
        <f ca="1">IFERROR(__xludf.DUMMYFUNCTION("""COMPUTED_VALUE"""),"No")</f>
        <v>No</v>
      </c>
      <c r="AE1965" s="5"/>
      <c r="AF1965" s="5" t="str">
        <f ca="1">IFERROR(__xludf.DUMMYFUNCTION("""COMPUTED_VALUE"""),"No")</f>
        <v>No</v>
      </c>
      <c r="AG1965" s="5" t="str">
        <f ca="1">IFERROR(__xludf.DUMMYFUNCTION("""COMPUTED_VALUE"""),"No")</f>
        <v>No</v>
      </c>
      <c r="AH1965" s="5" t="str">
        <f ca="1">IFERROR(__xludf.DUMMYFUNCTION("""COMPUTED_VALUE"""),"Yes")</f>
        <v>Yes</v>
      </c>
    </row>
    <row r="1966" spans="1:34" ht="12.75">
      <c r="A1966" s="5" t="str">
        <f ca="1">IFERROR(__xludf.DUMMYFUNCTION("""COMPUTED_VALUE"""),"19780426TXPAD")</f>
        <v>19780426TXPAD</v>
      </c>
      <c r="B1966" s="8">
        <f ca="1">IFERROR(__xludf.DUMMYFUNCTION("""COMPUTED_VALUE"""),28606)</f>
        <v>28606</v>
      </c>
      <c r="C1966" s="5" t="str">
        <f ca="1">IFERROR(__xludf.DUMMYFUNCTION("""COMPUTED_VALUE"""),"Paul Dunbar Elementary School")</f>
        <v>Paul Dunbar Elementary School</v>
      </c>
      <c r="D1966" s="5">
        <f ca="1">IFERROR(__xludf.DUMMYFUNCTION("""COMPUTED_VALUE"""),1)</f>
        <v>1</v>
      </c>
      <c r="E1966" s="5">
        <f ca="1">IFERROR(__xludf.DUMMYFUNCTION("""COMPUTED_VALUE"""),0)</f>
        <v>0</v>
      </c>
      <c r="F1966" s="5">
        <f ca="1">IFERROR(__xludf.DUMMYFUNCTION("""COMPUTED_VALUE"""),1)</f>
        <v>1</v>
      </c>
      <c r="G1966" s="5">
        <f ca="1">IFERROR(__xludf.DUMMYFUNCTION("""COMPUTED_VALUE"""),0)</f>
        <v>0</v>
      </c>
      <c r="H1966"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I1966" s="5"/>
      <c r="J1966" s="5"/>
      <c r="K1966" s="5">
        <f ca="1">IFERROR(__xludf.DUMMYFUNCTION("""COMPUTED_VALUE"""),3)</f>
        <v>3</v>
      </c>
      <c r="L1966" s="5" t="str">
        <f ca="1">IFERROR(__xludf.DUMMYFUNCTION("""COMPUTED_VALUE"""),"Spring")</f>
        <v>Spring</v>
      </c>
      <c r="M1966" s="5" t="str">
        <f ca="1">IFERROR(__xludf.DUMMYFUNCTION("""COMPUTED_VALUE"""),"Dallas")</f>
        <v>Dallas</v>
      </c>
      <c r="N1966" s="5" t="str">
        <f ca="1">IFERROR(__xludf.DUMMYFUNCTION("""COMPUTED_VALUE"""),"TX")</f>
        <v>TX</v>
      </c>
      <c r="O1966" s="5" t="str">
        <f ca="1">IFERROR(__xludf.DUMMYFUNCTION("""COMPUTED_VALUE"""),"Elementary")</f>
        <v>Elementary</v>
      </c>
      <c r="P1966" s="5" t="str">
        <f ca="1">IFERROR(__xludf.DUMMYFUNCTION("""COMPUTED_VALUE"""),"Office")</f>
        <v>Office</v>
      </c>
      <c r="Q1966" s="5" t="str">
        <f ca="1">IFERROR(__xludf.DUMMYFUNCTION("""COMPUTED_VALUE"""),"Inside School Building")</f>
        <v>Inside School Building</v>
      </c>
      <c r="R1966" s="5" t="str">
        <f ca="1">IFERROR(__xludf.DUMMYFUNCTION("""COMPUTED_VALUE"""),"Yes")</f>
        <v>Yes</v>
      </c>
      <c r="S1966" s="5" t="str">
        <f ca="1">IFERROR(__xludf.DUMMYFUNCTION("""COMPUTED_VALUE"""),"Afternoon Classes")</f>
        <v>Afternoon Classes</v>
      </c>
      <c r="T1966" s="5"/>
      <c r="U1966" s="5">
        <f ca="1">IFERROR(__xludf.DUMMYFUNCTION("""COMPUTED_VALUE"""),1)</f>
        <v>1</v>
      </c>
      <c r="V1966" s="5" t="str">
        <f ca="1">IFERROR(__xludf.DUMMYFUNCTION("""COMPUTED_VALUE"""),"Victim had spanked shooter's granddaughter")</f>
        <v>Victim had spanked shooter's granddaughter</v>
      </c>
      <c r="W1966" s="5" t="str">
        <f ca="1">IFERROR(__xludf.DUMMYFUNCTION("""COMPUTED_VALUE"""),"Janitor at the school (victim) had spanked the shooter's 8 year old granddaughter so she shot and killed him.")</f>
        <v>Janitor at the school (victim) had spanked the shooter's 8 year old granddaughter so she shot and killed him.</v>
      </c>
      <c r="X1966" s="5" t="str">
        <f ca="1">IFERROR(__xludf.DUMMYFUNCTION("""COMPUTED_VALUE"""),"Anger Over Grade/Suspension/Discipline")</f>
        <v>Anger Over Grade/Suspension/Discipline</v>
      </c>
      <c r="Y1966" s="5" t="str">
        <f ca="1">IFERROR(__xludf.DUMMYFUNCTION("""COMPUTED_VALUE"""),"Victims Targeted")</f>
        <v>Victims Targeted</v>
      </c>
      <c r="Z1966" s="5" t="str">
        <f ca="1">IFERROR(__xludf.DUMMYFUNCTION("""COMPUTED_VALUE"""),"No")</f>
        <v>No</v>
      </c>
      <c r="AA1966" s="5"/>
      <c r="AB1966" s="5" t="str">
        <f ca="1">IFERROR(__xludf.DUMMYFUNCTION("""COMPUTED_VALUE"""),"No")</f>
        <v>No</v>
      </c>
      <c r="AC1966" s="5" t="str">
        <f ca="1">IFERROR(__xludf.DUMMYFUNCTION("""COMPUTED_VALUE"""),"No")</f>
        <v>No</v>
      </c>
      <c r="AD1966" s="5" t="str">
        <f ca="1">IFERROR(__xludf.DUMMYFUNCTION("""COMPUTED_VALUE"""),"No")</f>
        <v>No</v>
      </c>
      <c r="AE1966" s="5" t="str">
        <f ca="1">IFERROR(__xludf.DUMMYFUNCTION("""COMPUTED_VALUE"""),"No")</f>
        <v>No</v>
      </c>
      <c r="AF1966" s="5" t="str">
        <f ca="1">IFERROR(__xludf.DUMMYFUNCTION("""COMPUTED_VALUE"""),"No")</f>
        <v>No</v>
      </c>
      <c r="AG1966" s="5" t="str">
        <f ca="1">IFERROR(__xludf.DUMMYFUNCTION("""COMPUTED_VALUE"""),"No")</f>
        <v>No</v>
      </c>
      <c r="AH1966" s="5"/>
    </row>
    <row r="1967" spans="1:34" ht="12.75">
      <c r="A1967" s="5" t="str">
        <f ca="1">IFERROR(__xludf.DUMMYFUNCTION("""COMPUTED_VALUE"""),"19780414MIFOD")</f>
        <v>19780414MIFOD</v>
      </c>
      <c r="B1967" s="8">
        <f ca="1">IFERROR(__xludf.DUMMYFUNCTION("""COMPUTED_VALUE"""),28594)</f>
        <v>28594</v>
      </c>
      <c r="C1967" s="5" t="str">
        <f ca="1">IFERROR(__xludf.DUMMYFUNCTION("""COMPUTED_VALUE"""),"Fordson High School")</f>
        <v>Fordson High School</v>
      </c>
      <c r="D1967" s="5">
        <f ca="1">IFERROR(__xludf.DUMMYFUNCTION("""COMPUTED_VALUE"""),0)</f>
        <v>0</v>
      </c>
      <c r="E1967" s="5">
        <f ca="1">IFERROR(__xludf.DUMMYFUNCTION("""COMPUTED_VALUE"""),1)</f>
        <v>1</v>
      </c>
      <c r="F1967" s="5">
        <f ca="1">IFERROR(__xludf.DUMMYFUNCTION("""COMPUTED_VALUE"""),1)</f>
        <v>1</v>
      </c>
      <c r="G1967" s="5">
        <f ca="1">IFERROR(__xludf.DUMMYFUNCTION("""COMPUTED_VALUE"""),0)</f>
        <v>0</v>
      </c>
      <c r="H1967" s="9" t="str">
        <f ca="1">IFERROR(__xludf.DUMMYFUNCTION("""COMPUTED_VALUE"""),"https://www.newspapers.com/image/98660556/?terms=school%2Bshooting")</f>
        <v>https://www.newspapers.com/image/98660556/?terms=school%2Bshooting</v>
      </c>
      <c r="I1967" s="5"/>
      <c r="J1967" s="5"/>
      <c r="K1967" s="5">
        <f ca="1">IFERROR(__xludf.DUMMYFUNCTION("""COMPUTED_VALUE"""),2)</f>
        <v>2</v>
      </c>
      <c r="L1967" s="5" t="str">
        <f ca="1">IFERROR(__xludf.DUMMYFUNCTION("""COMPUTED_VALUE"""),"Spring")</f>
        <v>Spring</v>
      </c>
      <c r="M1967" s="5" t="str">
        <f ca="1">IFERROR(__xludf.DUMMYFUNCTION("""COMPUTED_VALUE"""),"Detroit")</f>
        <v>Detroit</v>
      </c>
      <c r="N1967" s="5" t="str">
        <f ca="1">IFERROR(__xludf.DUMMYFUNCTION("""COMPUTED_VALUE"""),"MI")</f>
        <v>MI</v>
      </c>
      <c r="O1967" s="5" t="str">
        <f ca="1">IFERROR(__xludf.DUMMYFUNCTION("""COMPUTED_VALUE"""),"High")</f>
        <v>High</v>
      </c>
      <c r="P1967" s="5" t="str">
        <f ca="1">IFERROR(__xludf.DUMMYFUNCTION("""COMPUTED_VALUE"""),"Gym")</f>
        <v>Gym</v>
      </c>
      <c r="Q1967" s="5" t="str">
        <f ca="1">IFERROR(__xludf.DUMMYFUNCTION("""COMPUTED_VALUE"""),"Inside School Building")</f>
        <v>Inside School Building</v>
      </c>
      <c r="R1967" s="5" t="str">
        <f ca="1">IFERROR(__xludf.DUMMYFUNCTION("""COMPUTED_VALUE"""),"Yes")</f>
        <v>Yes</v>
      </c>
      <c r="S1967" s="5" t="str">
        <f ca="1">IFERROR(__xludf.DUMMYFUNCTION("""COMPUTED_VALUE"""),"Afternoon Classes")</f>
        <v>Afternoon Classes</v>
      </c>
      <c r="T1967" s="10">
        <f ca="1">IFERROR(__xludf.DUMMYFUNCTION("""COMPUTED_VALUE"""),0.5625)</f>
        <v>0.5625</v>
      </c>
      <c r="U1967" s="5">
        <f ca="1">IFERROR(__xludf.DUMMYFUNCTION("""COMPUTED_VALUE"""),1)</f>
        <v>1</v>
      </c>
      <c r="V1967" s="5" t="str">
        <f ca="1">IFERROR(__xludf.DUMMYFUNCTION("""COMPUTED_VALUE"""),"Shot in head in locker room")</f>
        <v>Shot in head in locker room</v>
      </c>
      <c r="W1967" s="5" t="str">
        <f ca="1">IFERROR(__xludf.DUMMYFUNCTION("""COMPUTED_VALUE"""),"16 year-old male student shot a 18 year-old male student in the head in the locker room. Motive unknown.")</f>
        <v>16 year-old male student shot a 18 year-old male student in the head in the locker room. Motive unknown.</v>
      </c>
      <c r="X1967" s="5" t="str">
        <f ca="1">IFERROR(__xludf.DUMMYFUNCTION("""COMPUTED_VALUE"""),"Escalation of Dispute")</f>
        <v>Escalation of Dispute</v>
      </c>
      <c r="Y1967" s="5" t="str">
        <f ca="1">IFERROR(__xludf.DUMMYFUNCTION("""COMPUTED_VALUE"""),"Victims Targeted")</f>
        <v>Victims Targeted</v>
      </c>
      <c r="Z1967" s="5" t="str">
        <f ca="1">IFERROR(__xludf.DUMMYFUNCTION("""COMPUTED_VALUE"""),"No")</f>
        <v>No</v>
      </c>
      <c r="AA1967" s="5"/>
      <c r="AB1967" s="5" t="str">
        <f ca="1">IFERROR(__xludf.DUMMYFUNCTION("""COMPUTED_VALUE"""),"No")</f>
        <v>No</v>
      </c>
      <c r="AC1967" s="5" t="str">
        <f ca="1">IFERROR(__xludf.DUMMYFUNCTION("""COMPUTED_VALUE"""),"No")</f>
        <v>No</v>
      </c>
      <c r="AD1967" s="5" t="str">
        <f ca="1">IFERROR(__xludf.DUMMYFUNCTION("""COMPUTED_VALUE"""),"No")</f>
        <v>No</v>
      </c>
      <c r="AE1967" s="5"/>
      <c r="AF1967" s="5"/>
      <c r="AG1967" s="5"/>
      <c r="AH1967" s="5"/>
    </row>
    <row r="1968" spans="1:34" ht="12.75">
      <c r="A1968" s="5" t="str">
        <f ca="1">IFERROR(__xludf.DUMMYFUNCTION("""COMPUTED_VALUE"""),"19780329TNGAN")</f>
        <v>19780329TNGAN</v>
      </c>
      <c r="B1968" s="8">
        <f ca="1">IFERROR(__xludf.DUMMYFUNCTION("""COMPUTED_VALUE"""),28578)</f>
        <v>28578</v>
      </c>
      <c r="C1968" s="5" t="str">
        <f ca="1">IFERROR(__xludf.DUMMYFUNCTION("""COMPUTED_VALUE"""),"Gallatin Junior High School")</f>
        <v>Gallatin Junior High School</v>
      </c>
      <c r="D1968" s="5">
        <f ca="1">IFERROR(__xludf.DUMMYFUNCTION("""COMPUTED_VALUE"""),0)</f>
        <v>0</v>
      </c>
      <c r="E1968" s="5">
        <f ca="1">IFERROR(__xludf.DUMMYFUNCTION("""COMPUTED_VALUE"""),1)</f>
        <v>1</v>
      </c>
      <c r="F1968" s="5">
        <f ca="1">IFERROR(__xludf.DUMMYFUNCTION("""COMPUTED_VALUE"""),1)</f>
        <v>1</v>
      </c>
      <c r="G1968" s="5">
        <f ca="1">IFERROR(__xludf.DUMMYFUNCTION("""COMPUTED_VALUE"""),0)</f>
        <v>0</v>
      </c>
      <c r="H1968" s="9" t="str">
        <f ca="1">IFERROR(__xludf.DUMMYFUNCTION("""COMPUTED_VALUE"""),"https://www.newspapers.com/image/111103679/?terms=school%2Bshooting")</f>
        <v>https://www.newspapers.com/image/111103679/?terms=school%2Bshooting</v>
      </c>
      <c r="I1968" s="5"/>
      <c r="J1968" s="5"/>
      <c r="K1968" s="5">
        <f ca="1">IFERROR(__xludf.DUMMYFUNCTION("""COMPUTED_VALUE"""),2)</f>
        <v>2</v>
      </c>
      <c r="L1968" s="5" t="str">
        <f ca="1">IFERROR(__xludf.DUMMYFUNCTION("""COMPUTED_VALUE"""),"Spring")</f>
        <v>Spring</v>
      </c>
      <c r="M1968" s="5" t="str">
        <f ca="1">IFERROR(__xludf.DUMMYFUNCTION("""COMPUTED_VALUE"""),"Nashville")</f>
        <v>Nashville</v>
      </c>
      <c r="N1968" s="5" t="str">
        <f ca="1">IFERROR(__xludf.DUMMYFUNCTION("""COMPUTED_VALUE"""),"TN")</f>
        <v>TN</v>
      </c>
      <c r="O1968" s="5" t="str">
        <f ca="1">IFERROR(__xludf.DUMMYFUNCTION("""COMPUTED_VALUE"""),"Junior High")</f>
        <v>Junior High</v>
      </c>
      <c r="P1968" s="5" t="str">
        <f ca="1">IFERROR(__xludf.DUMMYFUNCTION("""COMPUTED_VALUE"""),"Office")</f>
        <v>Office</v>
      </c>
      <c r="Q1968" s="5" t="str">
        <f ca="1">IFERROR(__xludf.DUMMYFUNCTION("""COMPUTED_VALUE"""),"Inside School Building")</f>
        <v>Inside School Building</v>
      </c>
      <c r="R1968" s="5" t="str">
        <f ca="1">IFERROR(__xludf.DUMMYFUNCTION("""COMPUTED_VALUE"""),"No")</f>
        <v>No</v>
      </c>
      <c r="S1968" s="5" t="str">
        <f ca="1">IFERROR(__xludf.DUMMYFUNCTION("""COMPUTED_VALUE"""),"After School")</f>
        <v>After School</v>
      </c>
      <c r="T1968" s="5"/>
      <c r="U1968" s="5">
        <f ca="1">IFERROR(__xludf.DUMMYFUNCTION("""COMPUTED_VALUE"""),1)</f>
        <v>1</v>
      </c>
      <c r="V1968" s="5" t="str">
        <f ca="1">IFERROR(__xludf.DUMMYFUNCTION("""COMPUTED_VALUE"""),"Principal shot at parent after he was called racial slur and fear they would attack him")</f>
        <v>Principal shot at parent after he was called racial slur and fear they would attack him</v>
      </c>
      <c r="W1968"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X1968" s="5" t="str">
        <f ca="1">IFERROR(__xludf.DUMMYFUNCTION("""COMPUTED_VALUE"""),"Racial")</f>
        <v>Racial</v>
      </c>
      <c r="Y1968" s="5" t="str">
        <f ca="1">IFERROR(__xludf.DUMMYFUNCTION("""COMPUTED_VALUE"""),"Victims Targeted")</f>
        <v>Victims Targeted</v>
      </c>
      <c r="Z1968" s="5"/>
      <c r="AA1968" s="5"/>
      <c r="AB1968" s="5" t="str">
        <f ca="1">IFERROR(__xludf.DUMMYFUNCTION("""COMPUTED_VALUE"""),"No")</f>
        <v>No</v>
      </c>
      <c r="AC1968" s="5" t="str">
        <f ca="1">IFERROR(__xludf.DUMMYFUNCTION("""COMPUTED_VALUE"""),"No")</f>
        <v>No</v>
      </c>
      <c r="AD1968" s="5" t="str">
        <f ca="1">IFERROR(__xludf.DUMMYFUNCTION("""COMPUTED_VALUE"""),"No")</f>
        <v>No</v>
      </c>
      <c r="AE1968" s="5" t="str">
        <f ca="1">IFERROR(__xludf.DUMMYFUNCTION("""COMPUTED_VALUE"""),"No")</f>
        <v>No</v>
      </c>
      <c r="AF1968" s="5" t="str">
        <f ca="1">IFERROR(__xludf.DUMMYFUNCTION("""COMPUTED_VALUE"""),"No")</f>
        <v>No</v>
      </c>
      <c r="AG1968" s="5" t="str">
        <f ca="1">IFERROR(__xludf.DUMMYFUNCTION("""COMPUTED_VALUE"""),"No")</f>
        <v>No</v>
      </c>
      <c r="AH1968" s="5"/>
    </row>
    <row r="1969" spans="1:34" ht="12.75">
      <c r="A1969" s="5" t="str">
        <f ca="1">IFERROR(__xludf.DUMMYFUNCTION("""COMPUTED_VALUE"""),"19780309CAMOS")</f>
        <v>19780309CAMOS</v>
      </c>
      <c r="B1969" s="8">
        <f ca="1">IFERROR(__xludf.DUMMYFUNCTION("""COMPUTED_VALUE"""),28558)</f>
        <v>28558</v>
      </c>
      <c r="C1969" s="5" t="str">
        <f ca="1">IFERROR(__xludf.DUMMYFUNCTION("""COMPUTED_VALUE"""),"Monroe Elementary School")</f>
        <v>Monroe Elementary School</v>
      </c>
      <c r="D1969" s="5">
        <f ca="1">IFERROR(__xludf.DUMMYFUNCTION("""COMPUTED_VALUE"""),0)</f>
        <v>0</v>
      </c>
      <c r="E1969" s="5">
        <f ca="1">IFERROR(__xludf.DUMMYFUNCTION("""COMPUTED_VALUE"""),1)</f>
        <v>1</v>
      </c>
      <c r="F1969" s="5">
        <f ca="1">IFERROR(__xludf.DUMMYFUNCTION("""COMPUTED_VALUE"""),1)</f>
        <v>1</v>
      </c>
      <c r="G1969" s="5">
        <f ca="1">IFERROR(__xludf.DUMMYFUNCTION("""COMPUTED_VALUE"""),0)</f>
        <v>0</v>
      </c>
      <c r="H1969" s="9" t="str">
        <f ca="1">IFERROR(__xludf.DUMMYFUNCTION("""COMPUTED_VALUE"""),"https://www.newspapers.com/image/295196725/")</f>
        <v>https://www.newspapers.com/image/295196725/</v>
      </c>
      <c r="I1969" s="5"/>
      <c r="J1969" s="5"/>
      <c r="K1969" s="5">
        <f ca="1">IFERROR(__xludf.DUMMYFUNCTION("""COMPUTED_VALUE"""),2)</f>
        <v>2</v>
      </c>
      <c r="L1969" s="5" t="str">
        <f ca="1">IFERROR(__xludf.DUMMYFUNCTION("""COMPUTED_VALUE"""),"Spring")</f>
        <v>Spring</v>
      </c>
      <c r="M1969" s="5" t="str">
        <f ca="1">IFERROR(__xludf.DUMMYFUNCTION("""COMPUTED_VALUE"""),"Santa Rosa")</f>
        <v>Santa Rosa</v>
      </c>
      <c r="N1969" s="5" t="str">
        <f ca="1">IFERROR(__xludf.DUMMYFUNCTION("""COMPUTED_VALUE"""),"CA")</f>
        <v>CA</v>
      </c>
      <c r="O1969" s="5" t="str">
        <f ca="1">IFERROR(__xludf.DUMMYFUNCTION("""COMPUTED_VALUE"""),"Elementary")</f>
        <v>Elementary</v>
      </c>
      <c r="P1969" s="5" t="str">
        <f ca="1">IFERROR(__xludf.DUMMYFUNCTION("""COMPUTED_VALUE"""),"Classroom")</f>
        <v>Classroom</v>
      </c>
      <c r="Q1969" s="5" t="str">
        <f ca="1">IFERROR(__xludf.DUMMYFUNCTION("""COMPUTED_VALUE"""),"Inside School Building")</f>
        <v>Inside School Building</v>
      </c>
      <c r="R1969" s="5" t="str">
        <f ca="1">IFERROR(__xludf.DUMMYFUNCTION("""COMPUTED_VALUE"""),"Yes")</f>
        <v>Yes</v>
      </c>
      <c r="S1969" s="5" t="str">
        <f ca="1">IFERROR(__xludf.DUMMYFUNCTION("""COMPUTED_VALUE"""),"Morning Classes")</f>
        <v>Morning Classes</v>
      </c>
      <c r="T1969" s="5"/>
      <c r="U1969" s="5">
        <f ca="1">IFERROR(__xludf.DUMMYFUNCTION("""COMPUTED_VALUE"""),1)</f>
        <v>1</v>
      </c>
      <c r="V1969" s="5" t="str">
        <f ca="1">IFERROR(__xludf.DUMMYFUNCTION("""COMPUTED_VALUE"""),"Student struck in classroom, teen was shooting at cans hundreds of yards away")</f>
        <v>Student struck in classroom, teen was shooting at cans hundreds of yards away</v>
      </c>
      <c r="W1969"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X1969" s="5" t="str">
        <f ca="1">IFERROR(__xludf.DUMMYFUNCTION("""COMPUTED_VALUE"""),"Accidental")</f>
        <v>Accidental</v>
      </c>
      <c r="Y1969" s="5" t="str">
        <f ca="1">IFERROR(__xludf.DUMMYFUNCTION("""COMPUTED_VALUE"""),"Random Shooting")</f>
        <v>Random Shooting</v>
      </c>
      <c r="Z1969" s="5"/>
      <c r="AA1969" s="5"/>
      <c r="AB1969" s="5" t="str">
        <f ca="1">IFERROR(__xludf.DUMMYFUNCTION("""COMPUTED_VALUE"""),"No")</f>
        <v>No</v>
      </c>
      <c r="AC1969" s="5" t="str">
        <f ca="1">IFERROR(__xludf.DUMMYFUNCTION("""COMPUTED_VALUE"""),"No")</f>
        <v>No</v>
      </c>
      <c r="AD1969" s="5" t="str">
        <f ca="1">IFERROR(__xludf.DUMMYFUNCTION("""COMPUTED_VALUE"""),"No")</f>
        <v>No</v>
      </c>
      <c r="AE1969" s="5" t="str">
        <f ca="1">IFERROR(__xludf.DUMMYFUNCTION("""COMPUTED_VALUE"""),"No")</f>
        <v>No</v>
      </c>
      <c r="AF1969" s="5" t="str">
        <f ca="1">IFERROR(__xludf.DUMMYFUNCTION("""COMPUTED_VALUE"""),"No")</f>
        <v>No</v>
      </c>
      <c r="AG1969" s="5" t="str">
        <f ca="1">IFERROR(__xludf.DUMMYFUNCTION("""COMPUTED_VALUE"""),"No")</f>
        <v>No</v>
      </c>
      <c r="AH1969" s="5"/>
    </row>
    <row r="1970" spans="1:34" ht="12.75">
      <c r="A1970" s="5" t="str">
        <f ca="1">IFERROR(__xludf.DUMMYFUNCTION("""COMPUTED_VALUE"""),"19780222MIEVL")</f>
        <v>19780222MIEVL</v>
      </c>
      <c r="B1970" s="8">
        <f ca="1">IFERROR(__xludf.DUMMYFUNCTION("""COMPUTED_VALUE"""),28543)</f>
        <v>28543</v>
      </c>
      <c r="C1970" s="5" t="str">
        <f ca="1">IFERROR(__xludf.DUMMYFUNCTION("""COMPUTED_VALUE"""),"Everett High School")</f>
        <v>Everett High School</v>
      </c>
      <c r="D1970" s="5">
        <f ca="1">IFERROR(__xludf.DUMMYFUNCTION("""COMPUTED_VALUE"""),1)</f>
        <v>1</v>
      </c>
      <c r="E1970" s="5">
        <f ca="1">IFERROR(__xludf.DUMMYFUNCTION("""COMPUTED_VALUE"""),1)</f>
        <v>1</v>
      </c>
      <c r="F1970" s="5">
        <f ca="1">IFERROR(__xludf.DUMMYFUNCTION("""COMPUTED_VALUE"""),2)</f>
        <v>2</v>
      </c>
      <c r="G1970" s="5">
        <f ca="1">IFERROR(__xludf.DUMMYFUNCTION("""COMPUTED_VALUE"""),0)</f>
        <v>0</v>
      </c>
      <c r="H1970" s="9" t="str">
        <f ca="1">IFERROR(__xludf.DUMMYFUNCTION("""COMPUTED_VALUE"""),"https://www.newspapers.com/newspage/207607604/")</f>
        <v>https://www.newspapers.com/newspage/207607604/</v>
      </c>
      <c r="I1970" s="5"/>
      <c r="J1970" s="5"/>
      <c r="K1970" s="5">
        <f ca="1">IFERROR(__xludf.DUMMYFUNCTION("""COMPUTED_VALUE"""),2)</f>
        <v>2</v>
      </c>
      <c r="L1970" s="5" t="str">
        <f ca="1">IFERROR(__xludf.DUMMYFUNCTION("""COMPUTED_VALUE"""),"Winter")</f>
        <v>Winter</v>
      </c>
      <c r="M1970" s="5" t="str">
        <f ca="1">IFERROR(__xludf.DUMMYFUNCTION("""COMPUTED_VALUE"""),"Lansing")</f>
        <v>Lansing</v>
      </c>
      <c r="N1970" s="5" t="str">
        <f ca="1">IFERROR(__xludf.DUMMYFUNCTION("""COMPUTED_VALUE"""),"MI")</f>
        <v>MI</v>
      </c>
      <c r="O1970" s="5" t="str">
        <f ca="1">IFERROR(__xludf.DUMMYFUNCTION("""COMPUTED_VALUE"""),"High")</f>
        <v>High</v>
      </c>
      <c r="P1970" s="5" t="str">
        <f ca="1">IFERROR(__xludf.DUMMYFUNCTION("""COMPUTED_VALUE"""),"Hallway")</f>
        <v>Hallway</v>
      </c>
      <c r="Q1970" s="5" t="str">
        <f ca="1">IFERROR(__xludf.DUMMYFUNCTION("""COMPUTED_VALUE"""),"Inside School Building")</f>
        <v>Inside School Building</v>
      </c>
      <c r="R1970" s="5" t="str">
        <f ca="1">IFERROR(__xludf.DUMMYFUNCTION("""COMPUTED_VALUE"""),"Yes")</f>
        <v>Yes</v>
      </c>
      <c r="S1970" s="5" t="str">
        <f ca="1">IFERROR(__xludf.DUMMYFUNCTION("""COMPUTED_VALUE"""),"Afternoon Classes")</f>
        <v>Afternoon Classes</v>
      </c>
      <c r="T1970" s="10">
        <f ca="1">IFERROR(__xludf.DUMMYFUNCTION("""COMPUTED_VALUE"""),0.625)</f>
        <v>0.625</v>
      </c>
      <c r="U1970" s="5">
        <f ca="1">IFERROR(__xludf.DUMMYFUNCTION("""COMPUTED_VALUE"""),1)</f>
        <v>1</v>
      </c>
      <c r="V1970" s="5" t="str">
        <f ca="1">IFERROR(__xludf.DUMMYFUNCTION("""COMPUTED_VALUE"""),"Bullying, shooter was self-proclaimed Nazi, taunted for beliefs")</f>
        <v>Bullying, shooter was self-proclaimed Nazi, taunted for beliefs</v>
      </c>
      <c r="W1970"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X1970" s="5" t="str">
        <f ca="1">IFERROR(__xludf.DUMMYFUNCTION("""COMPUTED_VALUE"""),"Bullying")</f>
        <v>Bullying</v>
      </c>
      <c r="Y1970" s="5" t="str">
        <f ca="1">IFERROR(__xludf.DUMMYFUNCTION("""COMPUTED_VALUE"""),"Victims Targeted")</f>
        <v>Victims Targeted</v>
      </c>
      <c r="Z1970" s="5" t="str">
        <f ca="1">IFERROR(__xludf.DUMMYFUNCTION("""COMPUTED_VALUE"""),"No")</f>
        <v>No</v>
      </c>
      <c r="AA1970" s="5"/>
      <c r="AB1970" s="5" t="str">
        <f ca="1">IFERROR(__xludf.DUMMYFUNCTION("""COMPUTED_VALUE"""),"No")</f>
        <v>No</v>
      </c>
      <c r="AC1970" s="5" t="str">
        <f ca="1">IFERROR(__xludf.DUMMYFUNCTION("""COMPUTED_VALUE"""),"No")</f>
        <v>No</v>
      </c>
      <c r="AD1970" s="5" t="str">
        <f ca="1">IFERROR(__xludf.DUMMYFUNCTION("""COMPUTED_VALUE"""),"No")</f>
        <v>No</v>
      </c>
      <c r="AE1970" s="5" t="str">
        <f ca="1">IFERROR(__xludf.DUMMYFUNCTION("""COMPUTED_VALUE"""),"Yes")</f>
        <v>Yes</v>
      </c>
      <c r="AF1970" s="5" t="str">
        <f ca="1">IFERROR(__xludf.DUMMYFUNCTION("""COMPUTED_VALUE"""),"No")</f>
        <v>No</v>
      </c>
      <c r="AG1970" s="5" t="str">
        <f ca="1">IFERROR(__xludf.DUMMYFUNCTION("""COMPUTED_VALUE"""),"No")</f>
        <v>No</v>
      </c>
      <c r="AH1970" s="5" t="str">
        <f ca="1">IFERROR(__xludf.DUMMYFUNCTION("""COMPUTED_VALUE"""),"Yes")</f>
        <v>Yes</v>
      </c>
    </row>
    <row r="1971" spans="1:34" ht="12.75">
      <c r="A1971" s="5" t="str">
        <f ca="1">IFERROR(__xludf.DUMMYFUNCTION("""COMPUTED_VALUE"""),"19780209WVHAS")</f>
        <v>19780209WVHAS</v>
      </c>
      <c r="B1971" s="8">
        <f ca="1">IFERROR(__xludf.DUMMYFUNCTION("""COMPUTED_VALUE"""),28530)</f>
        <v>28530</v>
      </c>
      <c r="C1971" s="5" t="str">
        <f ca="1">IFERROR(__xludf.DUMMYFUNCTION("""COMPUTED_VALUE"""),"Hayes Junior High School")</f>
        <v>Hayes Junior High School</v>
      </c>
      <c r="D1971" s="5">
        <f ca="1">IFERROR(__xludf.DUMMYFUNCTION("""COMPUTED_VALUE"""),1)</f>
        <v>1</v>
      </c>
      <c r="E1971" s="5">
        <f ca="1">IFERROR(__xludf.DUMMYFUNCTION("""COMPUTED_VALUE"""),0)</f>
        <v>0</v>
      </c>
      <c r="F1971" s="5">
        <f ca="1">IFERROR(__xludf.DUMMYFUNCTION("""COMPUTED_VALUE"""),1)</f>
        <v>1</v>
      </c>
      <c r="G1971" s="5">
        <f ca="1">IFERROR(__xludf.DUMMYFUNCTION("""COMPUTED_VALUE"""),0)</f>
        <v>0</v>
      </c>
      <c r="H1971"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I1971" s="5"/>
      <c r="J1971" s="5"/>
      <c r="K1971" s="5">
        <f ca="1">IFERROR(__xludf.DUMMYFUNCTION("""COMPUTED_VALUE"""),2)</f>
        <v>2</v>
      </c>
      <c r="L1971" s="5" t="str">
        <f ca="1">IFERROR(__xludf.DUMMYFUNCTION("""COMPUTED_VALUE"""),"Winter")</f>
        <v>Winter</v>
      </c>
      <c r="M1971" s="5" t="str">
        <f ca="1">IFERROR(__xludf.DUMMYFUNCTION("""COMPUTED_VALUE"""),"St. Albans")</f>
        <v>St. Albans</v>
      </c>
      <c r="N1971" s="5" t="str">
        <f ca="1">IFERROR(__xludf.DUMMYFUNCTION("""COMPUTED_VALUE"""),"WV")</f>
        <v>WV</v>
      </c>
      <c r="O1971" s="5" t="str">
        <f ca="1">IFERROR(__xludf.DUMMYFUNCTION("""COMPUTED_VALUE"""),"Junior High")</f>
        <v>Junior High</v>
      </c>
      <c r="P1971" s="5" t="str">
        <f ca="1">IFERROR(__xludf.DUMMYFUNCTION("""COMPUTED_VALUE"""),"Hallway")</f>
        <v>Hallway</v>
      </c>
      <c r="Q1971" s="5" t="str">
        <f ca="1">IFERROR(__xludf.DUMMYFUNCTION("""COMPUTED_VALUE"""),"Inside School Building")</f>
        <v>Inside School Building</v>
      </c>
      <c r="R1971" s="5" t="str">
        <f ca="1">IFERROR(__xludf.DUMMYFUNCTION("""COMPUTED_VALUE"""),"Yes")</f>
        <v>Yes</v>
      </c>
      <c r="S1971" s="5" t="str">
        <f ca="1">IFERROR(__xludf.DUMMYFUNCTION("""COMPUTED_VALUE"""),"Morning Classes")</f>
        <v>Morning Classes</v>
      </c>
      <c r="T1971" s="10">
        <f ca="1">IFERROR(__xludf.DUMMYFUNCTION("""COMPUTED_VALUE"""),0.333333333333333)</f>
        <v>0.33333333333333298</v>
      </c>
      <c r="U1971" s="5">
        <f ca="1">IFERROR(__xludf.DUMMYFUNCTION("""COMPUTED_VALUE"""),1)</f>
        <v>1</v>
      </c>
      <c r="V1971" s="5" t="str">
        <f ca="1">IFERROR(__xludf.DUMMYFUNCTION("""COMPUTED_VALUE"""),"Ongoing fights and bullying between shooter and victim")</f>
        <v>Ongoing fights and bullying between shooter and victim</v>
      </c>
      <c r="W1971"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X1971" s="5" t="str">
        <f ca="1">IFERROR(__xludf.DUMMYFUNCTION("""COMPUTED_VALUE"""),"Bullying")</f>
        <v>Bullying</v>
      </c>
      <c r="Y1971" s="5" t="str">
        <f ca="1">IFERROR(__xludf.DUMMYFUNCTION("""COMPUTED_VALUE"""),"Victims Targeted")</f>
        <v>Victims Targeted</v>
      </c>
      <c r="Z1971" s="5" t="str">
        <f ca="1">IFERROR(__xludf.DUMMYFUNCTION("""COMPUTED_VALUE"""),"No")</f>
        <v>No</v>
      </c>
      <c r="AA1971" s="5"/>
      <c r="AB1971" s="5" t="str">
        <f ca="1">IFERROR(__xludf.DUMMYFUNCTION("""COMPUTED_VALUE"""),"No")</f>
        <v>No</v>
      </c>
      <c r="AC1971" s="5" t="str">
        <f ca="1">IFERROR(__xludf.DUMMYFUNCTION("""COMPUTED_VALUE"""),"No")</f>
        <v>No</v>
      </c>
      <c r="AD1971" s="5" t="str">
        <f ca="1">IFERROR(__xludf.DUMMYFUNCTION("""COMPUTED_VALUE"""),"No")</f>
        <v>No</v>
      </c>
      <c r="AE1971" s="5" t="str">
        <f ca="1">IFERROR(__xludf.DUMMYFUNCTION("""COMPUTED_VALUE"""),"Yes")</f>
        <v>Yes</v>
      </c>
      <c r="AF1971" s="5" t="str">
        <f ca="1">IFERROR(__xludf.DUMMYFUNCTION("""COMPUTED_VALUE"""),"No")</f>
        <v>No</v>
      </c>
      <c r="AG1971" s="5" t="str">
        <f ca="1">IFERROR(__xludf.DUMMYFUNCTION("""COMPUTED_VALUE"""),"No")</f>
        <v>No</v>
      </c>
      <c r="AH1971" s="5"/>
    </row>
    <row r="1972" spans="1:34" ht="12.75">
      <c r="A1972" s="5" t="str">
        <f ca="1">IFERROR(__xludf.DUMMYFUNCTION("""COMPUTED_VALUE"""),"19780111KYCHH")</f>
        <v>19780111KYCHH</v>
      </c>
      <c r="B1972" s="8">
        <f ca="1">IFERROR(__xludf.DUMMYFUNCTION("""COMPUTED_VALUE"""),28501)</f>
        <v>28501</v>
      </c>
      <c r="C1972" s="5" t="str">
        <f ca="1">IFERROR(__xludf.DUMMYFUNCTION("""COMPUTED_VALUE"""),"Christian County Middle School")</f>
        <v>Christian County Middle School</v>
      </c>
      <c r="D1972" s="5">
        <f ca="1">IFERROR(__xludf.DUMMYFUNCTION("""COMPUTED_VALUE"""),0)</f>
        <v>0</v>
      </c>
      <c r="E1972" s="5">
        <f ca="1">IFERROR(__xludf.DUMMYFUNCTION("""COMPUTED_VALUE"""),1)</f>
        <v>1</v>
      </c>
      <c r="F1972" s="5">
        <f ca="1">IFERROR(__xludf.DUMMYFUNCTION("""COMPUTED_VALUE"""),1)</f>
        <v>1</v>
      </c>
      <c r="G1972" s="5">
        <f ca="1">IFERROR(__xludf.DUMMYFUNCTION("""COMPUTED_VALUE"""),0)</f>
        <v>0</v>
      </c>
      <c r="H1972" s="9" t="str">
        <f ca="1">IFERROR(__xludf.DUMMYFUNCTION("""COMPUTED_VALUE"""),"https://news.google.com/newspapers?id=xeUrAAAAIBAJ&amp;pg=1382,878132")</f>
        <v>https://news.google.com/newspapers?id=xeUrAAAAIBAJ&amp;pg=1382,878132</v>
      </c>
      <c r="I1972" s="5"/>
      <c r="J1972" s="5"/>
      <c r="K1972" s="5">
        <f ca="1">IFERROR(__xludf.DUMMYFUNCTION("""COMPUTED_VALUE"""),2)</f>
        <v>2</v>
      </c>
      <c r="L1972" s="5" t="str">
        <f ca="1">IFERROR(__xludf.DUMMYFUNCTION("""COMPUTED_VALUE"""),"Winter")</f>
        <v>Winter</v>
      </c>
      <c r="M1972" s="5" t="str">
        <f ca="1">IFERROR(__xludf.DUMMYFUNCTION("""COMPUTED_VALUE"""),"Hopkinsville")</f>
        <v>Hopkinsville</v>
      </c>
      <c r="N1972" s="5" t="str">
        <f ca="1">IFERROR(__xludf.DUMMYFUNCTION("""COMPUTED_VALUE"""),"KY")</f>
        <v>KY</v>
      </c>
      <c r="O1972" s="5" t="str">
        <f ca="1">IFERROR(__xludf.DUMMYFUNCTION("""COMPUTED_VALUE"""),"Middle")</f>
        <v>Middle</v>
      </c>
      <c r="P1972" s="5" t="str">
        <f ca="1">IFERROR(__xludf.DUMMYFUNCTION("""COMPUTED_VALUE"""),"Hallway")</f>
        <v>Hallway</v>
      </c>
      <c r="Q1972" s="5" t="str">
        <f ca="1">IFERROR(__xludf.DUMMYFUNCTION("""COMPUTED_VALUE"""),"Inside School Building")</f>
        <v>Inside School Building</v>
      </c>
      <c r="R1972" s="5" t="str">
        <f ca="1">IFERROR(__xludf.DUMMYFUNCTION("""COMPUTED_VALUE"""),"Yes")</f>
        <v>Yes</v>
      </c>
      <c r="S1972" s="5" t="str">
        <f ca="1">IFERROR(__xludf.DUMMYFUNCTION("""COMPUTED_VALUE"""),"Morning Classes")</f>
        <v>Morning Classes</v>
      </c>
      <c r="T1972" s="10">
        <f ca="1">IFERROR(__xludf.DUMMYFUNCTION("""COMPUTED_VALUE"""),0.340277777777777)</f>
        <v>0.34027777777777701</v>
      </c>
      <c r="U1972" s="5">
        <f ca="1">IFERROR(__xludf.DUMMYFUNCTION("""COMPUTED_VALUE"""),1)</f>
        <v>1</v>
      </c>
      <c r="V1972" s="5" t="str">
        <f ca="1">IFERROR(__xludf.DUMMYFUNCTION("""COMPUTED_VALUE"""),"Shooting following an argument between students the night before")</f>
        <v>Shooting following an argument between students the night before</v>
      </c>
      <c r="W1972"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X1972" s="5" t="str">
        <f ca="1">IFERROR(__xludf.DUMMYFUNCTION("""COMPUTED_VALUE"""),"Escalation of Dispute")</f>
        <v>Escalation of Dispute</v>
      </c>
      <c r="Y1972" s="5" t="str">
        <f ca="1">IFERROR(__xludf.DUMMYFUNCTION("""COMPUTED_VALUE"""),"Victims Targeted")</f>
        <v>Victims Targeted</v>
      </c>
      <c r="Z1972" s="5" t="str">
        <f ca="1">IFERROR(__xludf.DUMMYFUNCTION("""COMPUTED_VALUE"""),"No")</f>
        <v>No</v>
      </c>
      <c r="AA1972" s="5"/>
      <c r="AB1972" s="5" t="str">
        <f ca="1">IFERROR(__xludf.DUMMYFUNCTION("""COMPUTED_VALUE"""),"No")</f>
        <v>No</v>
      </c>
      <c r="AC1972" s="5" t="str">
        <f ca="1">IFERROR(__xludf.DUMMYFUNCTION("""COMPUTED_VALUE"""),"No")</f>
        <v>No</v>
      </c>
      <c r="AD1972" s="5" t="str">
        <f ca="1">IFERROR(__xludf.DUMMYFUNCTION("""COMPUTED_VALUE"""),"No")</f>
        <v>No</v>
      </c>
      <c r="AE1972" s="5"/>
      <c r="AF1972" s="5" t="str">
        <f ca="1">IFERROR(__xludf.DUMMYFUNCTION("""COMPUTED_VALUE"""),"No")</f>
        <v>No</v>
      </c>
      <c r="AG1972" s="5" t="str">
        <f ca="1">IFERROR(__xludf.DUMMYFUNCTION("""COMPUTED_VALUE"""),"No")</f>
        <v>No</v>
      </c>
      <c r="AH1972" s="5"/>
    </row>
    <row r="1973" spans="1:34" ht="12.75">
      <c r="A1973" s="5" t="str">
        <f ca="1">IFERROR(__xludf.DUMMYFUNCTION("""COMPUTED_VALUE"""),"19771215MABLC")</f>
        <v>19771215MABLC</v>
      </c>
      <c r="B1973" s="8">
        <f ca="1">IFERROR(__xludf.DUMMYFUNCTION("""COMPUTED_VALUE"""),28474)</f>
        <v>28474</v>
      </c>
      <c r="C1973" s="5" t="str">
        <f ca="1">IFERROR(__xludf.DUMMYFUNCTION("""COMPUTED_VALUE"""),"Blue Hills Vocational High School")</f>
        <v>Blue Hills Vocational High School</v>
      </c>
      <c r="D1973" s="5">
        <f ca="1">IFERROR(__xludf.DUMMYFUNCTION("""COMPUTED_VALUE"""),0)</f>
        <v>0</v>
      </c>
      <c r="E1973" s="5">
        <f ca="1">IFERROR(__xludf.DUMMYFUNCTION("""COMPUTED_VALUE"""),2)</f>
        <v>2</v>
      </c>
      <c r="F1973" s="5">
        <f ca="1">IFERROR(__xludf.DUMMYFUNCTION("""COMPUTED_VALUE"""),2)</f>
        <v>2</v>
      </c>
      <c r="G1973" s="5">
        <f ca="1">IFERROR(__xludf.DUMMYFUNCTION("""COMPUTED_VALUE"""),0)</f>
        <v>0</v>
      </c>
      <c r="H1973" s="9" t="str">
        <f ca="1">IFERROR(__xludf.DUMMYFUNCTION("""COMPUTED_VALUE"""),"https://www.newspapers.com/image/342698296/?terms=school%2Bshooting")</f>
        <v>https://www.newspapers.com/image/342698296/?terms=school%2Bshooting</v>
      </c>
      <c r="I1973" s="5"/>
      <c r="J1973" s="5"/>
      <c r="K1973" s="5">
        <f ca="1">IFERROR(__xludf.DUMMYFUNCTION("""COMPUTED_VALUE"""),2)</f>
        <v>2</v>
      </c>
      <c r="L1973" s="5" t="str">
        <f ca="1">IFERROR(__xludf.DUMMYFUNCTION("""COMPUTED_VALUE"""),"Winter")</f>
        <v>Winter</v>
      </c>
      <c r="M1973" s="5" t="str">
        <f ca="1">IFERROR(__xludf.DUMMYFUNCTION("""COMPUTED_VALUE"""),"Canton")</f>
        <v>Canton</v>
      </c>
      <c r="N1973" s="5" t="str">
        <f ca="1">IFERROR(__xludf.DUMMYFUNCTION("""COMPUTED_VALUE"""),"MA")</f>
        <v>MA</v>
      </c>
      <c r="O1973" s="5" t="str">
        <f ca="1">IFERROR(__xludf.DUMMYFUNCTION("""COMPUTED_VALUE"""),"High")</f>
        <v>High</v>
      </c>
      <c r="P1973" s="5" t="str">
        <f ca="1">IFERROR(__xludf.DUMMYFUNCTION("""COMPUTED_VALUE"""),"Classroom")</f>
        <v>Classroom</v>
      </c>
      <c r="Q1973" s="5" t="str">
        <f ca="1">IFERROR(__xludf.DUMMYFUNCTION("""COMPUTED_VALUE"""),"Inside School Building")</f>
        <v>Inside School Building</v>
      </c>
      <c r="R1973" s="5" t="str">
        <f ca="1">IFERROR(__xludf.DUMMYFUNCTION("""COMPUTED_VALUE"""),"Yes")</f>
        <v>Yes</v>
      </c>
      <c r="S1973" s="5"/>
      <c r="T1973" s="5"/>
      <c r="U1973" s="5">
        <f ca="1">IFERROR(__xludf.DUMMYFUNCTION("""COMPUTED_VALUE"""),1)</f>
        <v>1</v>
      </c>
      <c r="V1973" s="5" t="str">
        <f ca="1">IFERROR(__xludf.DUMMYFUNCTION("""COMPUTED_VALUE"""),"Shooter wore bag over head and went into classroom shooting, pulled fire alarm to hide escape")</f>
        <v>Shooter wore bag over head and went into classroom shooting, pulled fire alarm to hide escape</v>
      </c>
      <c r="W1973"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X1973" s="5" t="str">
        <f ca="1">IFERROR(__xludf.DUMMYFUNCTION("""COMPUTED_VALUE"""),"Escalation of Dispute")</f>
        <v>Escalation of Dispute</v>
      </c>
      <c r="Y1973" s="5"/>
      <c r="Z1973" s="5" t="str">
        <f ca="1">IFERROR(__xludf.DUMMYFUNCTION("""COMPUTED_VALUE"""),"No")</f>
        <v>No</v>
      </c>
      <c r="AA1973" s="5"/>
      <c r="AB1973" s="5" t="str">
        <f ca="1">IFERROR(__xludf.DUMMYFUNCTION("""COMPUTED_VALUE"""),"No")</f>
        <v>No</v>
      </c>
      <c r="AC1973" s="5" t="str">
        <f ca="1">IFERROR(__xludf.DUMMYFUNCTION("""COMPUTED_VALUE"""),"No")</f>
        <v>No</v>
      </c>
      <c r="AD1973" s="5" t="str">
        <f ca="1">IFERROR(__xludf.DUMMYFUNCTION("""COMPUTED_VALUE"""),"No")</f>
        <v>No</v>
      </c>
      <c r="AE1973" s="5"/>
      <c r="AF1973" s="5" t="str">
        <f ca="1">IFERROR(__xludf.DUMMYFUNCTION("""COMPUTED_VALUE"""),"No")</f>
        <v>No</v>
      </c>
      <c r="AG1973" s="5" t="str">
        <f ca="1">IFERROR(__xludf.DUMMYFUNCTION("""COMPUTED_VALUE"""),"No")</f>
        <v>No</v>
      </c>
      <c r="AH1973" s="5" t="str">
        <f ca="1">IFERROR(__xludf.DUMMYFUNCTION("""COMPUTED_VALUE"""),"Yes")</f>
        <v>Yes</v>
      </c>
    </row>
    <row r="1974" spans="1:34" ht="12.75">
      <c r="A1974" s="5" t="str">
        <f ca="1">IFERROR(__xludf.DUMMYFUNCTION("""COMPUTED_VALUE"""),"19771212FLWEW")</f>
        <v>19771212FLWEW</v>
      </c>
      <c r="B1974" s="8">
        <f ca="1">IFERROR(__xludf.DUMMYFUNCTION("""COMPUTED_VALUE"""),28471)</f>
        <v>28471</v>
      </c>
      <c r="C1974" s="5" t="str">
        <f ca="1">IFERROR(__xludf.DUMMYFUNCTION("""COMPUTED_VALUE"""),"West Orange High School")</f>
        <v>West Orange High School</v>
      </c>
      <c r="D1974" s="5">
        <f ca="1">IFERROR(__xludf.DUMMYFUNCTION("""COMPUTED_VALUE"""),1)</f>
        <v>1</v>
      </c>
      <c r="E1974" s="5">
        <f ca="1">IFERROR(__xludf.DUMMYFUNCTION("""COMPUTED_VALUE"""),0)</f>
        <v>0</v>
      </c>
      <c r="F1974" s="5">
        <f ca="1">IFERROR(__xludf.DUMMYFUNCTION("""COMPUTED_VALUE"""),1)</f>
        <v>1</v>
      </c>
      <c r="G1974" s="5">
        <f ca="1">IFERROR(__xludf.DUMMYFUNCTION("""COMPUTED_VALUE"""),0)</f>
        <v>0</v>
      </c>
      <c r="H1974" s="9" t="str">
        <f ca="1">IFERROR(__xludf.DUMMYFUNCTION("""COMPUTED_VALUE"""),"https://www.newspapers.com/image/303108537/?terms=school%2Bshooting")</f>
        <v>https://www.newspapers.com/image/303108537/?terms=school%2Bshooting</v>
      </c>
      <c r="I1974" s="5"/>
      <c r="J1974" s="5"/>
      <c r="K1974" s="5">
        <f ca="1">IFERROR(__xludf.DUMMYFUNCTION("""COMPUTED_VALUE"""),2)</f>
        <v>2</v>
      </c>
      <c r="L1974" s="5" t="str">
        <f ca="1">IFERROR(__xludf.DUMMYFUNCTION("""COMPUTED_VALUE"""),"Winter")</f>
        <v>Winter</v>
      </c>
      <c r="M1974" s="5" t="str">
        <f ca="1">IFERROR(__xludf.DUMMYFUNCTION("""COMPUTED_VALUE"""),"Winter Garden")</f>
        <v>Winter Garden</v>
      </c>
      <c r="N1974" s="5" t="str">
        <f ca="1">IFERROR(__xludf.DUMMYFUNCTION("""COMPUTED_VALUE"""),"FL")</f>
        <v>FL</v>
      </c>
      <c r="O1974" s="5" t="str">
        <f ca="1">IFERROR(__xludf.DUMMYFUNCTION("""COMPUTED_VALUE"""),"High")</f>
        <v>High</v>
      </c>
      <c r="P1974" s="5" t="str">
        <f ca="1">IFERROR(__xludf.DUMMYFUNCTION("""COMPUTED_VALUE"""),"Office")</f>
        <v>Office</v>
      </c>
      <c r="Q1974" s="5" t="str">
        <f ca="1">IFERROR(__xludf.DUMMYFUNCTION("""COMPUTED_VALUE"""),"Inside School Building")</f>
        <v>Inside School Building</v>
      </c>
      <c r="R1974" s="5" t="str">
        <f ca="1">IFERROR(__xludf.DUMMYFUNCTION("""COMPUTED_VALUE"""),"No")</f>
        <v>No</v>
      </c>
      <c r="S1974" s="5" t="str">
        <f ca="1">IFERROR(__xludf.DUMMYFUNCTION("""COMPUTED_VALUE"""),"After School")</f>
        <v>After School</v>
      </c>
      <c r="T1974" s="10">
        <f ca="1">IFERROR(__xludf.DUMMYFUNCTION("""COMPUTED_VALUE"""),0.666666666666666)</f>
        <v>0.66666666666666596</v>
      </c>
      <c r="U1974" s="5">
        <f ca="1">IFERROR(__xludf.DUMMYFUNCTION("""COMPUTED_VALUE"""),1)</f>
        <v>1</v>
      </c>
      <c r="V1974"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W1974"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X1974" s="5" t="str">
        <f ca="1">IFERROR(__xludf.DUMMYFUNCTION("""COMPUTED_VALUE"""),"Anger Over Grade/Suspension/Discipline")</f>
        <v>Anger Over Grade/Suspension/Discipline</v>
      </c>
      <c r="Y1974" s="5" t="str">
        <f ca="1">IFERROR(__xludf.DUMMYFUNCTION("""COMPUTED_VALUE"""),"Victims Targeted")</f>
        <v>Victims Targeted</v>
      </c>
      <c r="Z1974" s="5" t="str">
        <f ca="1">IFERROR(__xludf.DUMMYFUNCTION("""COMPUTED_VALUE"""),"No")</f>
        <v>No</v>
      </c>
      <c r="AA1974" s="5"/>
      <c r="AB1974" s="5" t="str">
        <f ca="1">IFERROR(__xludf.DUMMYFUNCTION("""COMPUTED_VALUE"""),"No")</f>
        <v>No</v>
      </c>
      <c r="AC1974" s="5" t="str">
        <f ca="1">IFERROR(__xludf.DUMMYFUNCTION("""COMPUTED_VALUE"""),"No")</f>
        <v>No</v>
      </c>
      <c r="AD1974" s="5" t="str">
        <f ca="1">IFERROR(__xludf.DUMMYFUNCTION("""COMPUTED_VALUE"""),"No")</f>
        <v>No</v>
      </c>
      <c r="AE1974" s="5" t="str">
        <f ca="1">IFERROR(__xludf.DUMMYFUNCTION("""COMPUTED_VALUE"""),"No")</f>
        <v>No</v>
      </c>
      <c r="AF1974" s="5" t="str">
        <f ca="1">IFERROR(__xludf.DUMMYFUNCTION("""COMPUTED_VALUE"""),"No")</f>
        <v>No</v>
      </c>
      <c r="AG1974" s="5" t="str">
        <f ca="1">IFERROR(__xludf.DUMMYFUNCTION("""COMPUTED_VALUE"""),"No")</f>
        <v>No</v>
      </c>
      <c r="AH1974" s="5"/>
    </row>
    <row r="1975" spans="1:34" ht="12.75">
      <c r="A1975" s="5" t="str">
        <f ca="1">IFERROR(__xludf.DUMMYFUNCTION("""COMPUTED_VALUE"""),"19771209CAPES")</f>
        <v>19771209CAPES</v>
      </c>
      <c r="B1975" s="8">
        <f ca="1">IFERROR(__xludf.DUMMYFUNCTION("""COMPUTED_VALUE"""),28468)</f>
        <v>28468</v>
      </c>
      <c r="C1975" s="5" t="str">
        <f ca="1">IFERROR(__xludf.DUMMYFUNCTION("""COMPUTED_VALUE"""),"Petaluma McNear Elementary")</f>
        <v>Petaluma McNear Elementary</v>
      </c>
      <c r="D1975" s="5">
        <f ca="1">IFERROR(__xludf.DUMMYFUNCTION("""COMPUTED_VALUE"""),0)</f>
        <v>0</v>
      </c>
      <c r="E1975" s="5">
        <f ca="1">IFERROR(__xludf.DUMMYFUNCTION("""COMPUTED_VALUE"""),0)</f>
        <v>0</v>
      </c>
      <c r="F1975" s="5">
        <f ca="1">IFERROR(__xludf.DUMMYFUNCTION("""COMPUTED_VALUE"""),0)</f>
        <v>0</v>
      </c>
      <c r="G1975" s="5">
        <f ca="1">IFERROR(__xludf.DUMMYFUNCTION("""COMPUTED_VALUE"""),0)</f>
        <v>0</v>
      </c>
      <c r="H1975" s="9" t="str">
        <f ca="1">IFERROR(__xludf.DUMMYFUNCTION("""COMPUTED_VALUE"""),"https://www.newspapers.com/image/295122036/?terms=school%2Bshooting")</f>
        <v>https://www.newspapers.com/image/295122036/?terms=school%2Bshooting</v>
      </c>
      <c r="I1975" s="5"/>
      <c r="J1975" s="5"/>
      <c r="K1975" s="5">
        <f ca="1">IFERROR(__xludf.DUMMYFUNCTION("""COMPUTED_VALUE"""),2)</f>
        <v>2</v>
      </c>
      <c r="L1975" s="5" t="str">
        <f ca="1">IFERROR(__xludf.DUMMYFUNCTION("""COMPUTED_VALUE"""),"Winter")</f>
        <v>Winter</v>
      </c>
      <c r="M1975" s="5" t="str">
        <f ca="1">IFERROR(__xludf.DUMMYFUNCTION("""COMPUTED_VALUE"""),"Santa Rosa")</f>
        <v>Santa Rosa</v>
      </c>
      <c r="N1975" s="5" t="str">
        <f ca="1">IFERROR(__xludf.DUMMYFUNCTION("""COMPUTED_VALUE"""),"CA")</f>
        <v>CA</v>
      </c>
      <c r="O1975" s="5" t="str">
        <f ca="1">IFERROR(__xludf.DUMMYFUNCTION("""COMPUTED_VALUE"""),"Elementary")</f>
        <v>Elementary</v>
      </c>
      <c r="P1975" s="5" t="str">
        <f ca="1">IFERROR(__xludf.DUMMYFUNCTION("""COMPUTED_VALUE"""),"Office")</f>
        <v>Office</v>
      </c>
      <c r="Q1975" s="5" t="str">
        <f ca="1">IFERROR(__xludf.DUMMYFUNCTION("""COMPUTED_VALUE"""),"Inside School Building")</f>
        <v>Inside School Building</v>
      </c>
      <c r="R1975" s="5" t="str">
        <f ca="1">IFERROR(__xludf.DUMMYFUNCTION("""COMPUTED_VALUE"""),"Yes")</f>
        <v>Yes</v>
      </c>
      <c r="S1975" s="5"/>
      <c r="T1975" s="5"/>
      <c r="U1975" s="5">
        <f ca="1">IFERROR(__xludf.DUMMYFUNCTION("""COMPUTED_VALUE"""),1)</f>
        <v>1</v>
      </c>
      <c r="V1975" s="5" t="str">
        <f ca="1">IFERROR(__xludf.DUMMYFUNCTION("""COMPUTED_VALUE"""),"Shot 3 shots at estranged wife, tackled by principal and 3 other staff")</f>
        <v>Shot 3 shots at estranged wife, tackled by principal and 3 other staff</v>
      </c>
      <c r="W1975"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X1975" s="5" t="str">
        <f ca="1">IFERROR(__xludf.DUMMYFUNCTION("""COMPUTED_VALUE"""),"Domestic w/ Targeted Victim")</f>
        <v>Domestic w/ Targeted Victim</v>
      </c>
      <c r="Y1975" s="5" t="str">
        <f ca="1">IFERROR(__xludf.DUMMYFUNCTION("""COMPUTED_VALUE"""),"Victims Targeted")</f>
        <v>Victims Targeted</v>
      </c>
      <c r="Z1975" s="5" t="str">
        <f ca="1">IFERROR(__xludf.DUMMYFUNCTION("""COMPUTED_VALUE"""),"No")</f>
        <v>No</v>
      </c>
      <c r="AA1975" s="5"/>
      <c r="AB1975" s="5" t="str">
        <f ca="1">IFERROR(__xludf.DUMMYFUNCTION("""COMPUTED_VALUE"""),"No")</f>
        <v>No</v>
      </c>
      <c r="AC1975" s="5" t="str">
        <f ca="1">IFERROR(__xludf.DUMMYFUNCTION("""COMPUTED_VALUE"""),"No")</f>
        <v>No</v>
      </c>
      <c r="AD1975" s="5" t="str">
        <f ca="1">IFERROR(__xludf.DUMMYFUNCTION("""COMPUTED_VALUE"""),"No")</f>
        <v>No</v>
      </c>
      <c r="AE1975" s="5" t="str">
        <f ca="1">IFERROR(__xludf.DUMMYFUNCTION("""COMPUTED_VALUE"""),"No")</f>
        <v>No</v>
      </c>
      <c r="AF1975" s="5" t="str">
        <f ca="1">IFERROR(__xludf.DUMMYFUNCTION("""COMPUTED_VALUE"""),"Yes")</f>
        <v>Yes</v>
      </c>
      <c r="AG1975" s="5" t="str">
        <f ca="1">IFERROR(__xludf.DUMMYFUNCTION("""COMPUTED_VALUE"""),"No")</f>
        <v>No</v>
      </c>
      <c r="AH1975" s="5"/>
    </row>
    <row r="1976" spans="1:34" ht="12.75">
      <c r="A1976" s="5" t="str">
        <f ca="1">IFERROR(__xludf.DUMMYFUNCTION("""COMPUTED_VALUE"""),"19771129MOVAS")</f>
        <v>19771129MOVAS</v>
      </c>
      <c r="B1976" s="8">
        <f ca="1">IFERROR(__xludf.DUMMYFUNCTION("""COMPUTED_VALUE"""),28458)</f>
        <v>28458</v>
      </c>
      <c r="C1976" s="5" t="str">
        <f ca="1">IFERROR(__xludf.DUMMYFUNCTION("""COMPUTED_VALUE"""),"Vashon High School")</f>
        <v>Vashon High School</v>
      </c>
      <c r="D1976" s="5">
        <f ca="1">IFERROR(__xludf.DUMMYFUNCTION("""COMPUTED_VALUE"""),0)</f>
        <v>0</v>
      </c>
      <c r="E1976" s="5">
        <f ca="1">IFERROR(__xludf.DUMMYFUNCTION("""COMPUTED_VALUE"""),1)</f>
        <v>1</v>
      </c>
      <c r="F1976" s="5">
        <f ca="1">IFERROR(__xludf.DUMMYFUNCTION("""COMPUTED_VALUE"""),1)</f>
        <v>1</v>
      </c>
      <c r="G1976" s="5">
        <f ca="1">IFERROR(__xludf.DUMMYFUNCTION("""COMPUTED_VALUE"""),0)</f>
        <v>0</v>
      </c>
      <c r="H1976" s="9" t="str">
        <f ca="1">IFERROR(__xludf.DUMMYFUNCTION("""COMPUTED_VALUE"""),"https://www.newspapers.com/image/139488488/?terms=school%2Bshooting")</f>
        <v>https://www.newspapers.com/image/139488488/?terms=school%2Bshooting</v>
      </c>
      <c r="I1976" s="5"/>
      <c r="J1976" s="5"/>
      <c r="K1976" s="5">
        <f ca="1">IFERROR(__xludf.DUMMYFUNCTION("""COMPUTED_VALUE"""),2)</f>
        <v>2</v>
      </c>
      <c r="L1976" s="5" t="str">
        <f ca="1">IFERROR(__xludf.DUMMYFUNCTION("""COMPUTED_VALUE"""),"Fall")</f>
        <v>Fall</v>
      </c>
      <c r="M1976" s="5" t="str">
        <f ca="1">IFERROR(__xludf.DUMMYFUNCTION("""COMPUTED_VALUE"""),"St. Louis")</f>
        <v>St. Louis</v>
      </c>
      <c r="N1976" s="5" t="str">
        <f ca="1">IFERROR(__xludf.DUMMYFUNCTION("""COMPUTED_VALUE"""),"MO")</f>
        <v>MO</v>
      </c>
      <c r="O1976" s="5" t="str">
        <f ca="1">IFERROR(__xludf.DUMMYFUNCTION("""COMPUTED_VALUE"""),"High")</f>
        <v>High</v>
      </c>
      <c r="P1976" s="5" t="str">
        <f ca="1">IFERROR(__xludf.DUMMYFUNCTION("""COMPUTED_VALUE"""),"Hallway")</f>
        <v>Hallway</v>
      </c>
      <c r="Q1976" s="5" t="str">
        <f ca="1">IFERROR(__xludf.DUMMYFUNCTION("""COMPUTED_VALUE"""),"Inside School Building")</f>
        <v>Inside School Building</v>
      </c>
      <c r="R1976" s="5" t="str">
        <f ca="1">IFERROR(__xludf.DUMMYFUNCTION("""COMPUTED_VALUE"""),"Yes")</f>
        <v>Yes</v>
      </c>
      <c r="S1976" s="5"/>
      <c r="T1976" s="5"/>
      <c r="U1976" s="5"/>
      <c r="V1976" s="5" t="str">
        <f ca="1">IFERROR(__xludf.DUMMYFUNCTION("""COMPUTED_VALUE"""),"Shot another student in 2nd floor hallway")</f>
        <v>Shot another student in 2nd floor hallway</v>
      </c>
      <c r="W1976" s="5" t="str">
        <f ca="1">IFERROR(__xludf.DUMMYFUNCTION("""COMPUTED_VALUE"""),"A 16 year-old male student shot a 15 year-old male student in 2nd floor hallway.")</f>
        <v>A 16 year-old male student shot a 15 year-old male student in 2nd floor hallway.</v>
      </c>
      <c r="X1976" s="5" t="str">
        <f ca="1">IFERROR(__xludf.DUMMYFUNCTION("""COMPUTED_VALUE"""),"Escalation of Dispute")</f>
        <v>Escalation of Dispute</v>
      </c>
      <c r="Y1976" s="5" t="str">
        <f ca="1">IFERROR(__xludf.DUMMYFUNCTION("""COMPUTED_VALUE"""),"Victims Targeted")</f>
        <v>Victims Targeted</v>
      </c>
      <c r="Z1976" s="5" t="str">
        <f ca="1">IFERROR(__xludf.DUMMYFUNCTION("""COMPUTED_VALUE"""),"No")</f>
        <v>No</v>
      </c>
      <c r="AA1976" s="5"/>
      <c r="AB1976" s="5" t="str">
        <f ca="1">IFERROR(__xludf.DUMMYFUNCTION("""COMPUTED_VALUE"""),"No")</f>
        <v>No</v>
      </c>
      <c r="AC1976" s="5" t="str">
        <f ca="1">IFERROR(__xludf.DUMMYFUNCTION("""COMPUTED_VALUE"""),"No")</f>
        <v>No</v>
      </c>
      <c r="AD1976" s="5" t="str">
        <f ca="1">IFERROR(__xludf.DUMMYFUNCTION("""COMPUTED_VALUE"""),"No")</f>
        <v>No</v>
      </c>
      <c r="AE1976" s="5"/>
      <c r="AF1976" s="5"/>
      <c r="AG1976" s="5" t="str">
        <f ca="1">IFERROR(__xludf.DUMMYFUNCTION("""COMPUTED_VALUE"""),"No")</f>
        <v>No</v>
      </c>
      <c r="AH1976" s="5"/>
    </row>
    <row r="1977" spans="1:34" ht="12.75">
      <c r="A1977" s="5" t="str">
        <f ca="1">IFERROR(__xludf.DUMMYFUNCTION("""COMPUTED_VALUE"""),"19771129MOHAS")</f>
        <v>19771129MOHAS</v>
      </c>
      <c r="B1977" s="8">
        <f ca="1">IFERROR(__xludf.DUMMYFUNCTION("""COMPUTED_VALUE"""),28458)</f>
        <v>28458</v>
      </c>
      <c r="C1977" s="5" t="str">
        <f ca="1">IFERROR(__xludf.DUMMYFUNCTION("""COMPUTED_VALUE"""),"Hazelwood Central Senior High School")</f>
        <v>Hazelwood Central Senior High School</v>
      </c>
      <c r="D1977" s="5">
        <f ca="1">IFERROR(__xludf.DUMMYFUNCTION("""COMPUTED_VALUE"""),0)</f>
        <v>0</v>
      </c>
      <c r="E1977" s="5">
        <f ca="1">IFERROR(__xludf.DUMMYFUNCTION("""COMPUTED_VALUE"""),0)</f>
        <v>0</v>
      </c>
      <c r="F1977" s="5">
        <f ca="1">IFERROR(__xludf.DUMMYFUNCTION("""COMPUTED_VALUE"""),0)</f>
        <v>0</v>
      </c>
      <c r="G1977" s="5">
        <f ca="1">IFERROR(__xludf.DUMMYFUNCTION("""COMPUTED_VALUE"""),0)</f>
        <v>0</v>
      </c>
      <c r="H1977" s="9" t="str">
        <f ca="1">IFERROR(__xludf.DUMMYFUNCTION("""COMPUTED_VALUE"""),"https://www.newspapers.com/image/139128319/?terms=school%2Bshooting")</f>
        <v>https://www.newspapers.com/image/139128319/?terms=school%2Bshooting</v>
      </c>
      <c r="I1977" s="5"/>
      <c r="J1977" s="5"/>
      <c r="K1977" s="5">
        <f ca="1">IFERROR(__xludf.DUMMYFUNCTION("""COMPUTED_VALUE"""),2)</f>
        <v>2</v>
      </c>
      <c r="L1977" s="5" t="str">
        <f ca="1">IFERROR(__xludf.DUMMYFUNCTION("""COMPUTED_VALUE"""),"Fall")</f>
        <v>Fall</v>
      </c>
      <c r="M1977" s="5" t="str">
        <f ca="1">IFERROR(__xludf.DUMMYFUNCTION("""COMPUTED_VALUE"""),"St. Louis")</f>
        <v>St. Louis</v>
      </c>
      <c r="N1977" s="5" t="str">
        <f ca="1">IFERROR(__xludf.DUMMYFUNCTION("""COMPUTED_VALUE"""),"MO")</f>
        <v>MO</v>
      </c>
      <c r="O1977" s="5" t="str">
        <f ca="1">IFERROR(__xludf.DUMMYFUNCTION("""COMPUTED_VALUE"""),"High")</f>
        <v>High</v>
      </c>
      <c r="P1977" s="5" t="str">
        <f ca="1">IFERROR(__xludf.DUMMYFUNCTION("""COMPUTED_VALUE"""),"Outside on School Property")</f>
        <v>Outside on School Property</v>
      </c>
      <c r="Q1977" s="5" t="str">
        <f ca="1">IFERROR(__xludf.DUMMYFUNCTION("""COMPUTED_VALUE"""),"Outside on School Property")</f>
        <v>Outside on School Property</v>
      </c>
      <c r="R1977" s="5" t="str">
        <f ca="1">IFERROR(__xludf.DUMMYFUNCTION("""COMPUTED_VALUE"""),"No")</f>
        <v>No</v>
      </c>
      <c r="S1977" s="5" t="str">
        <f ca="1">IFERROR(__xludf.DUMMYFUNCTION("""COMPUTED_VALUE"""),"School Event")</f>
        <v>School Event</v>
      </c>
      <c r="T1977" s="10">
        <f ca="1">IFERROR(__xludf.DUMMYFUNCTION("""COMPUTED_VALUE"""),0.795138888888888)</f>
        <v>0.79513888888888795</v>
      </c>
      <c r="U1977" s="5">
        <f ca="1">IFERROR(__xludf.DUMMYFUNCTION("""COMPUTED_VALUE"""),10)</f>
        <v>10</v>
      </c>
      <c r="V1977" s="5" t="str">
        <f ca="1">IFERROR(__xludf.DUMMYFUNCTION("""COMPUTED_VALUE"""),"Fired shots into school windows during awards ceremony")</f>
        <v>Fired shots into school windows during awards ceremony</v>
      </c>
      <c r="W1977"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X1977" s="5" t="str">
        <f ca="1">IFERROR(__xludf.DUMMYFUNCTION("""COMPUTED_VALUE"""),"Indiscriminate Shooting")</f>
        <v>Indiscriminate Shooting</v>
      </c>
      <c r="Y1977" s="5" t="str">
        <f ca="1">IFERROR(__xludf.DUMMYFUNCTION("""COMPUTED_VALUE"""),"Neither")</f>
        <v>Neither</v>
      </c>
      <c r="Z1977" s="5" t="str">
        <f ca="1">IFERROR(__xludf.DUMMYFUNCTION("""COMPUTED_VALUE"""),"No")</f>
        <v>No</v>
      </c>
      <c r="AA1977" s="5"/>
      <c r="AB1977" s="5" t="str">
        <f ca="1">IFERROR(__xludf.DUMMYFUNCTION("""COMPUTED_VALUE"""),"No")</f>
        <v>No</v>
      </c>
      <c r="AC1977" s="5" t="str">
        <f ca="1">IFERROR(__xludf.DUMMYFUNCTION("""COMPUTED_VALUE"""),"No")</f>
        <v>No</v>
      </c>
      <c r="AD1977" s="5" t="str">
        <f ca="1">IFERROR(__xludf.DUMMYFUNCTION("""COMPUTED_VALUE"""),"No")</f>
        <v>No</v>
      </c>
      <c r="AE1977" s="5"/>
      <c r="AF1977" s="5"/>
      <c r="AG1977" s="5" t="str">
        <f ca="1">IFERROR(__xludf.DUMMYFUNCTION("""COMPUTED_VALUE"""),"No")</f>
        <v>No</v>
      </c>
      <c r="AH1977" s="5" t="str">
        <f ca="1">IFERROR(__xludf.DUMMYFUNCTION("""COMPUTED_VALUE"""),"Yes")</f>
        <v>Yes</v>
      </c>
    </row>
    <row r="1978" spans="1:34" ht="12.75">
      <c r="A1978" s="5" t="str">
        <f ca="1">IFERROR(__xludf.DUMMYFUNCTION("""COMPUTED_VALUE"""),"19770711COSOC")</f>
        <v>19770711COSOC</v>
      </c>
      <c r="B1978" s="8">
        <f ca="1">IFERROR(__xludf.DUMMYFUNCTION("""COMPUTED_VALUE"""),28317)</f>
        <v>28317</v>
      </c>
      <c r="C1978" s="5" t="str">
        <f ca="1">IFERROR(__xludf.DUMMYFUNCTION("""COMPUTED_VALUE"""),"South Junior High School")</f>
        <v>South Junior High School</v>
      </c>
      <c r="D1978" s="5">
        <f ca="1">IFERROR(__xludf.DUMMYFUNCTION("""COMPUTED_VALUE"""),0)</f>
        <v>0</v>
      </c>
      <c r="E1978" s="5">
        <f ca="1">IFERROR(__xludf.DUMMYFUNCTION("""COMPUTED_VALUE"""),1)</f>
        <v>1</v>
      </c>
      <c r="F1978" s="5">
        <f ca="1">IFERROR(__xludf.DUMMYFUNCTION("""COMPUTED_VALUE"""),1)</f>
        <v>1</v>
      </c>
      <c r="G1978" s="5">
        <f ca="1">IFERROR(__xludf.DUMMYFUNCTION("""COMPUTED_VALUE"""),0)</f>
        <v>0</v>
      </c>
      <c r="H1978" s="9" t="str">
        <f ca="1">IFERROR(__xludf.DUMMYFUNCTION("""COMPUTED_VALUE"""),"https://www.newspapers.com/image/86275915/?terms=school%2Bshooting")</f>
        <v>https://www.newspapers.com/image/86275915/?terms=school%2Bshooting</v>
      </c>
      <c r="I1978" s="5"/>
      <c r="J1978" s="5"/>
      <c r="K1978" s="5">
        <f ca="1">IFERROR(__xludf.DUMMYFUNCTION("""COMPUTED_VALUE"""),2)</f>
        <v>2</v>
      </c>
      <c r="L1978" s="5" t="str">
        <f ca="1">IFERROR(__xludf.DUMMYFUNCTION("""COMPUTED_VALUE"""),"Summer")</f>
        <v>Summer</v>
      </c>
      <c r="M1978" s="5" t="str">
        <f ca="1">IFERROR(__xludf.DUMMYFUNCTION("""COMPUTED_VALUE"""),"Colorado Springs")</f>
        <v>Colorado Springs</v>
      </c>
      <c r="N1978" s="5" t="str">
        <f ca="1">IFERROR(__xludf.DUMMYFUNCTION("""COMPUTED_VALUE"""),"CO")</f>
        <v>CO</v>
      </c>
      <c r="O1978" s="5" t="str">
        <f ca="1">IFERROR(__xludf.DUMMYFUNCTION("""COMPUTED_VALUE"""),"Junior High")</f>
        <v>Junior High</v>
      </c>
      <c r="P1978" s="5" t="str">
        <f ca="1">IFERROR(__xludf.DUMMYFUNCTION("""COMPUTED_VALUE"""),"Beside Building")</f>
        <v>Beside Building</v>
      </c>
      <c r="Q1978" s="5" t="str">
        <f ca="1">IFERROR(__xludf.DUMMYFUNCTION("""COMPUTED_VALUE"""),"Outside on School Property")</f>
        <v>Outside on School Property</v>
      </c>
      <c r="R1978" s="5" t="str">
        <f ca="1">IFERROR(__xludf.DUMMYFUNCTION("""COMPUTED_VALUE"""),"No")</f>
        <v>No</v>
      </c>
      <c r="S1978" s="5" t="str">
        <f ca="1">IFERROR(__xludf.DUMMYFUNCTION("""COMPUTED_VALUE"""),"Not a School Day")</f>
        <v>Not a School Day</v>
      </c>
      <c r="T1978" s="5"/>
      <c r="U1978" s="5"/>
      <c r="V1978" s="5" t="str">
        <f ca="1">IFERROR(__xludf.DUMMYFUNCTION("""COMPUTED_VALUE"""),"Student shot outside gym during basketball game")</f>
        <v>Student shot outside gym during basketball game</v>
      </c>
      <c r="W1978"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X1978" s="5" t="str">
        <f ca="1">IFERROR(__xludf.DUMMYFUNCTION("""COMPUTED_VALUE"""),"Escalation of Dispute")</f>
        <v>Escalation of Dispute</v>
      </c>
      <c r="Y1978" s="5"/>
      <c r="Z1978" s="5" t="str">
        <f ca="1">IFERROR(__xludf.DUMMYFUNCTION("""COMPUTED_VALUE"""),"No")</f>
        <v>No</v>
      </c>
      <c r="AA1978" s="5"/>
      <c r="AB1978" s="5" t="str">
        <f ca="1">IFERROR(__xludf.DUMMYFUNCTION("""COMPUTED_VALUE"""),"No")</f>
        <v>No</v>
      </c>
      <c r="AC1978" s="5" t="str">
        <f ca="1">IFERROR(__xludf.DUMMYFUNCTION("""COMPUTED_VALUE"""),"No")</f>
        <v>No</v>
      </c>
      <c r="AD1978" s="5" t="str">
        <f ca="1">IFERROR(__xludf.DUMMYFUNCTION("""COMPUTED_VALUE"""),"No")</f>
        <v>No</v>
      </c>
      <c r="AE1978" s="5" t="str">
        <f ca="1">IFERROR(__xludf.DUMMYFUNCTION("""COMPUTED_VALUE"""),"No")</f>
        <v>No</v>
      </c>
      <c r="AF1978" s="5" t="str">
        <f ca="1">IFERROR(__xludf.DUMMYFUNCTION("""COMPUTED_VALUE"""),"No")</f>
        <v>No</v>
      </c>
      <c r="AG1978" s="5" t="str">
        <f ca="1">IFERROR(__xludf.DUMMYFUNCTION("""COMPUTED_VALUE"""),"No")</f>
        <v>No</v>
      </c>
      <c r="AH1978" s="5"/>
    </row>
    <row r="1979" spans="1:34" ht="12.75">
      <c r="A1979" s="5" t="str">
        <f ca="1">IFERROR(__xludf.DUMMYFUNCTION("""COMPUTED_VALUE"""),"19770622ILHOC")</f>
        <v>19770622ILHOC</v>
      </c>
      <c r="B1979" s="8">
        <f ca="1">IFERROR(__xludf.DUMMYFUNCTION("""COMPUTED_VALUE"""),28298)</f>
        <v>28298</v>
      </c>
      <c r="C1979" s="5" t="str">
        <f ca="1">IFERROR(__xludf.DUMMYFUNCTION("""COMPUTED_VALUE"""),"Holy Trinity High School")</f>
        <v>Holy Trinity High School</v>
      </c>
      <c r="D1979" s="5">
        <f ca="1">IFERROR(__xludf.DUMMYFUNCTION("""COMPUTED_VALUE"""),0)</f>
        <v>0</v>
      </c>
      <c r="E1979" s="5">
        <f ca="1">IFERROR(__xludf.DUMMYFUNCTION("""COMPUTED_VALUE"""),2)</f>
        <v>2</v>
      </c>
      <c r="F1979" s="5">
        <f ca="1">IFERROR(__xludf.DUMMYFUNCTION("""COMPUTED_VALUE"""),2)</f>
        <v>2</v>
      </c>
      <c r="G1979" s="5">
        <f ca="1">IFERROR(__xludf.DUMMYFUNCTION("""COMPUTED_VALUE"""),0)</f>
        <v>0</v>
      </c>
      <c r="H1979" s="9" t="str">
        <f ca="1">IFERROR(__xludf.DUMMYFUNCTION("""COMPUTED_VALUE"""),"https://www.newspapers.com/image/131852835/?terms=school%2Bshooting")</f>
        <v>https://www.newspapers.com/image/131852835/?terms=school%2Bshooting</v>
      </c>
      <c r="I1979" s="5"/>
      <c r="J1979" s="5"/>
      <c r="K1979" s="5">
        <f ca="1">IFERROR(__xludf.DUMMYFUNCTION("""COMPUTED_VALUE"""),2)</f>
        <v>2</v>
      </c>
      <c r="L1979" s="5" t="str">
        <f ca="1">IFERROR(__xludf.DUMMYFUNCTION("""COMPUTED_VALUE"""),"Summer")</f>
        <v>Summer</v>
      </c>
      <c r="M1979" s="5" t="str">
        <f ca="1">IFERROR(__xludf.DUMMYFUNCTION("""COMPUTED_VALUE"""),"Chicago")</f>
        <v>Chicago</v>
      </c>
      <c r="N1979" s="5" t="str">
        <f ca="1">IFERROR(__xludf.DUMMYFUNCTION("""COMPUTED_VALUE"""),"IL")</f>
        <v>IL</v>
      </c>
      <c r="O1979" s="5" t="str">
        <f ca="1">IFERROR(__xludf.DUMMYFUNCTION("""COMPUTED_VALUE"""),"High")</f>
        <v>High</v>
      </c>
      <c r="P1979" s="5" t="str">
        <f ca="1">IFERROR(__xludf.DUMMYFUNCTION("""COMPUTED_VALUE"""),"Beside Building")</f>
        <v>Beside Building</v>
      </c>
      <c r="Q1979" s="5" t="str">
        <f ca="1">IFERROR(__xludf.DUMMYFUNCTION("""COMPUTED_VALUE"""),"Outside on School Property")</f>
        <v>Outside on School Property</v>
      </c>
      <c r="R1979" s="5" t="str">
        <f ca="1">IFERROR(__xludf.DUMMYFUNCTION("""COMPUTED_VALUE"""),"Yes")</f>
        <v>Yes</v>
      </c>
      <c r="S1979" s="5"/>
      <c r="T1979" s="5"/>
      <c r="U1979" s="5"/>
      <c r="V1979" s="5" t="str">
        <f ca="1">IFERROR(__xludf.DUMMYFUNCTION("""COMPUTED_VALUE"""),"Two students shot during dispute outside of school building")</f>
        <v>Two students shot during dispute outside of school building</v>
      </c>
      <c r="W1979"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X1979" s="5" t="str">
        <f ca="1">IFERROR(__xludf.DUMMYFUNCTION("""COMPUTED_VALUE"""),"Escalation of Dispute")</f>
        <v>Escalation of Dispute</v>
      </c>
      <c r="Y1979" s="5" t="str">
        <f ca="1">IFERROR(__xludf.DUMMYFUNCTION("""COMPUTED_VALUE"""),"Victims Targeted")</f>
        <v>Victims Targeted</v>
      </c>
      <c r="Z1979" s="5" t="str">
        <f ca="1">IFERROR(__xludf.DUMMYFUNCTION("""COMPUTED_VALUE"""),"No")</f>
        <v>No</v>
      </c>
      <c r="AA1979" s="5"/>
      <c r="AB1979" s="5" t="str">
        <f ca="1">IFERROR(__xludf.DUMMYFUNCTION("""COMPUTED_VALUE"""),"No")</f>
        <v>No</v>
      </c>
      <c r="AC1979" s="5" t="str">
        <f ca="1">IFERROR(__xludf.DUMMYFUNCTION("""COMPUTED_VALUE"""),"No")</f>
        <v>No</v>
      </c>
      <c r="AD1979" s="5" t="str">
        <f ca="1">IFERROR(__xludf.DUMMYFUNCTION("""COMPUTED_VALUE"""),"No")</f>
        <v>No</v>
      </c>
      <c r="AE1979" s="5" t="str">
        <f ca="1">IFERROR(__xludf.DUMMYFUNCTION("""COMPUTED_VALUE"""),"No")</f>
        <v>No</v>
      </c>
      <c r="AF1979" s="5" t="str">
        <f ca="1">IFERROR(__xludf.DUMMYFUNCTION("""COMPUTED_VALUE"""),"No")</f>
        <v>No</v>
      </c>
      <c r="AG1979" s="5" t="str">
        <f ca="1">IFERROR(__xludf.DUMMYFUNCTION("""COMPUTED_VALUE"""),"No")</f>
        <v>No</v>
      </c>
      <c r="AH1979" s="5"/>
    </row>
    <row r="1980" spans="1:34" ht="12.75">
      <c r="A1980" s="5" t="str">
        <f ca="1">IFERROR(__xludf.DUMMYFUNCTION("""COMPUTED_VALUE"""),"19770517FLSTC")</f>
        <v>19770517FLSTC</v>
      </c>
      <c r="B1980" s="8">
        <f ca="1">IFERROR(__xludf.DUMMYFUNCTION("""COMPUTED_VALUE"""),28262)</f>
        <v>28262</v>
      </c>
      <c r="C1980" s="5" t="str">
        <f ca="1">IFERROR(__xludf.DUMMYFUNCTION("""COMPUTED_VALUE"""),"Stone Middle School")</f>
        <v>Stone Middle School</v>
      </c>
      <c r="D1980" s="5">
        <f ca="1">IFERROR(__xludf.DUMMYFUNCTION("""COMPUTED_VALUE"""),0)</f>
        <v>0</v>
      </c>
      <c r="E1980" s="5">
        <f ca="1">IFERROR(__xludf.DUMMYFUNCTION("""COMPUTED_VALUE"""),0)</f>
        <v>0</v>
      </c>
      <c r="F1980" s="5">
        <f ca="1">IFERROR(__xludf.DUMMYFUNCTION("""COMPUTED_VALUE"""),0)</f>
        <v>0</v>
      </c>
      <c r="G1980" s="5">
        <f ca="1">IFERROR(__xludf.DUMMYFUNCTION("""COMPUTED_VALUE"""),0)</f>
        <v>0</v>
      </c>
      <c r="H1980" s="9" t="str">
        <f ca="1">IFERROR(__xludf.DUMMYFUNCTION("""COMPUTED_VALUE"""),"https://www.newspapers.com/image/124954684/?terms=school%2Bshooting")</f>
        <v>https://www.newspapers.com/image/124954684/?terms=school%2Bshooting</v>
      </c>
      <c r="I1980" s="5"/>
      <c r="J1980" s="5"/>
      <c r="K1980" s="5">
        <f ca="1">IFERROR(__xludf.DUMMYFUNCTION("""COMPUTED_VALUE"""),2)</f>
        <v>2</v>
      </c>
      <c r="L1980" s="5" t="str">
        <f ca="1">IFERROR(__xludf.DUMMYFUNCTION("""COMPUTED_VALUE"""),"Spring")</f>
        <v>Spring</v>
      </c>
      <c r="M1980" s="5" t="str">
        <f ca="1">IFERROR(__xludf.DUMMYFUNCTION("""COMPUTED_VALUE"""),"Cocoa")</f>
        <v>Cocoa</v>
      </c>
      <c r="N1980" s="5" t="str">
        <f ca="1">IFERROR(__xludf.DUMMYFUNCTION("""COMPUTED_VALUE"""),"FL")</f>
        <v>FL</v>
      </c>
      <c r="O1980" s="5" t="str">
        <f ca="1">IFERROR(__xludf.DUMMYFUNCTION("""COMPUTED_VALUE"""),"Middle")</f>
        <v>Middle</v>
      </c>
      <c r="P1980" s="5" t="str">
        <f ca="1">IFERROR(__xludf.DUMMYFUNCTION("""COMPUTED_VALUE"""),"Playground")</f>
        <v>Playground</v>
      </c>
      <c r="Q1980" s="5" t="str">
        <f ca="1">IFERROR(__xludf.DUMMYFUNCTION("""COMPUTED_VALUE"""),"Outside on School Property")</f>
        <v>Outside on School Property</v>
      </c>
      <c r="R1980" s="5" t="str">
        <f ca="1">IFERROR(__xludf.DUMMYFUNCTION("""COMPUTED_VALUE"""),"No")</f>
        <v>No</v>
      </c>
      <c r="S1980" s="5" t="str">
        <f ca="1">IFERROR(__xludf.DUMMYFUNCTION("""COMPUTED_VALUE"""),"Sport Event")</f>
        <v>Sport Event</v>
      </c>
      <c r="T1980" s="10">
        <f ca="1">IFERROR(__xludf.DUMMYFUNCTION("""COMPUTED_VALUE"""),0.84375)</f>
        <v>0.84375</v>
      </c>
      <c r="U1980" s="5"/>
      <c r="V1980" s="5" t="str">
        <f ca="1">IFERROR(__xludf.DUMMYFUNCTION("""COMPUTED_VALUE"""),"Fired multiple shots into the school building during basketball game")</f>
        <v>Fired multiple shots into the school building during basketball game</v>
      </c>
      <c r="W1980"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X1980" s="5" t="str">
        <f ca="1">IFERROR(__xludf.DUMMYFUNCTION("""COMPUTED_VALUE"""),"Drive-by Shooting")</f>
        <v>Drive-by Shooting</v>
      </c>
      <c r="Y1980" s="5"/>
      <c r="Z1980" s="5" t="str">
        <f ca="1">IFERROR(__xludf.DUMMYFUNCTION("""COMPUTED_VALUE"""),"No")</f>
        <v>No</v>
      </c>
      <c r="AA1980" s="5"/>
      <c r="AB1980" s="5" t="str">
        <f ca="1">IFERROR(__xludf.DUMMYFUNCTION("""COMPUTED_VALUE"""),"No")</f>
        <v>No</v>
      </c>
      <c r="AC1980" s="5" t="str">
        <f ca="1">IFERROR(__xludf.DUMMYFUNCTION("""COMPUTED_VALUE"""),"No")</f>
        <v>No</v>
      </c>
      <c r="AD1980" s="5" t="str">
        <f ca="1">IFERROR(__xludf.DUMMYFUNCTION("""COMPUTED_VALUE"""),"No")</f>
        <v>No</v>
      </c>
      <c r="AE1980" s="5"/>
      <c r="AF1980" s="5"/>
      <c r="AG1980" s="5" t="str">
        <f ca="1">IFERROR(__xludf.DUMMYFUNCTION("""COMPUTED_VALUE"""),"No")</f>
        <v>No</v>
      </c>
      <c r="AH1980" s="5"/>
    </row>
    <row r="1981" spans="1:34" ht="12.75">
      <c r="A1981" s="5" t="str">
        <f ca="1">IFERROR(__xludf.DUMMYFUNCTION("""COMPUTED_VALUE"""),"19770418TNPIN")</f>
        <v>19770418TNPIN</v>
      </c>
      <c r="B1981" s="8">
        <f ca="1">IFERROR(__xludf.DUMMYFUNCTION("""COMPUTED_VALUE"""),28233)</f>
        <v>28233</v>
      </c>
      <c r="C1981" s="5" t="str">
        <f ca="1">IFERROR(__xludf.DUMMYFUNCTION("""COMPUTED_VALUE"""),"Pioneer Christian Academy")</f>
        <v>Pioneer Christian Academy</v>
      </c>
      <c r="D1981" s="5">
        <f ca="1">IFERROR(__xludf.DUMMYFUNCTION("""COMPUTED_VALUE"""),1)</f>
        <v>1</v>
      </c>
      <c r="E1981" s="5">
        <f ca="1">IFERROR(__xludf.DUMMYFUNCTION("""COMPUTED_VALUE"""),0)</f>
        <v>0</v>
      </c>
      <c r="F1981" s="5">
        <f ca="1">IFERROR(__xludf.DUMMYFUNCTION("""COMPUTED_VALUE"""),1)</f>
        <v>1</v>
      </c>
      <c r="G1981" s="5">
        <f ca="1">IFERROR(__xludf.DUMMYFUNCTION("""COMPUTED_VALUE"""),0)</f>
        <v>0</v>
      </c>
      <c r="H1981" s="9" t="str">
        <f ca="1">IFERROR(__xludf.DUMMYFUNCTION("""COMPUTED_VALUE"""),"https://www.newspapers.com/image/112439487/?terms=school%2Bshooting")</f>
        <v>https://www.newspapers.com/image/112439487/?terms=school%2Bshooting</v>
      </c>
      <c r="I1981" s="5"/>
      <c r="J1981" s="5"/>
      <c r="K1981" s="5">
        <f ca="1">IFERROR(__xludf.DUMMYFUNCTION("""COMPUTED_VALUE"""),2)</f>
        <v>2</v>
      </c>
      <c r="L1981" s="5" t="str">
        <f ca="1">IFERROR(__xludf.DUMMYFUNCTION("""COMPUTED_VALUE"""),"Spring")</f>
        <v>Spring</v>
      </c>
      <c r="M1981" s="5" t="str">
        <f ca="1">IFERROR(__xludf.DUMMYFUNCTION("""COMPUTED_VALUE"""),"Nashville")</f>
        <v>Nashville</v>
      </c>
      <c r="N1981" s="5" t="str">
        <f ca="1">IFERROR(__xludf.DUMMYFUNCTION("""COMPUTED_VALUE"""),"TN")</f>
        <v>TN</v>
      </c>
      <c r="O1981" s="5" t="str">
        <f ca="1">IFERROR(__xludf.DUMMYFUNCTION("""COMPUTED_VALUE"""),"Other")</f>
        <v>Other</v>
      </c>
      <c r="P1981" s="5" t="str">
        <f ca="1">IFERROR(__xludf.DUMMYFUNCTION("""COMPUTED_VALUE"""),"Parking Lot")</f>
        <v>Parking Lot</v>
      </c>
      <c r="Q1981" s="5" t="str">
        <f ca="1">IFERROR(__xludf.DUMMYFUNCTION("""COMPUTED_VALUE"""),"Outside on School Property")</f>
        <v>Outside on School Property</v>
      </c>
      <c r="R1981" s="5" t="str">
        <f ca="1">IFERROR(__xludf.DUMMYFUNCTION("""COMPUTED_VALUE"""),"Yes")</f>
        <v>Yes</v>
      </c>
      <c r="S1981" s="5" t="str">
        <f ca="1">IFERROR(__xludf.DUMMYFUNCTION("""COMPUTED_VALUE"""),"School Start")</f>
        <v>School Start</v>
      </c>
      <c r="T1981" s="10">
        <f ca="1">IFERROR(__xludf.DUMMYFUNCTION("""COMPUTED_VALUE"""),0.375)</f>
        <v>0.375</v>
      </c>
      <c r="U1981" s="5">
        <f ca="1">IFERROR(__xludf.DUMMYFUNCTION("""COMPUTED_VALUE"""),1)</f>
        <v>1</v>
      </c>
      <c r="V1981" s="5" t="str">
        <f ca="1">IFERROR(__xludf.DUMMYFUNCTION("""COMPUTED_VALUE"""),"Domestic quarrel between 2 men in school parking lot while parents were dropping kids off")</f>
        <v>Domestic quarrel between 2 men in school parking lot while parents were dropping kids off</v>
      </c>
      <c r="W1981"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X1981" s="5" t="str">
        <f ca="1">IFERROR(__xludf.DUMMYFUNCTION("""COMPUTED_VALUE"""),"Domestic w/ Targeted Victim")</f>
        <v>Domestic w/ Targeted Victim</v>
      </c>
      <c r="Y1981" s="5" t="str">
        <f ca="1">IFERROR(__xludf.DUMMYFUNCTION("""COMPUTED_VALUE"""),"Victims Targeted")</f>
        <v>Victims Targeted</v>
      </c>
      <c r="Z1981" s="5" t="str">
        <f ca="1">IFERROR(__xludf.DUMMYFUNCTION("""COMPUTED_VALUE"""),"No")</f>
        <v>No</v>
      </c>
      <c r="AA1981" s="5"/>
      <c r="AB1981" s="5" t="str">
        <f ca="1">IFERROR(__xludf.DUMMYFUNCTION("""COMPUTED_VALUE"""),"No")</f>
        <v>No</v>
      </c>
      <c r="AC1981" s="5" t="str">
        <f ca="1">IFERROR(__xludf.DUMMYFUNCTION("""COMPUTED_VALUE"""),"No")</f>
        <v>No</v>
      </c>
      <c r="AD1981" s="5" t="str">
        <f ca="1">IFERROR(__xludf.DUMMYFUNCTION("""COMPUTED_VALUE"""),"No")</f>
        <v>No</v>
      </c>
      <c r="AE1981" s="5" t="str">
        <f ca="1">IFERROR(__xludf.DUMMYFUNCTION("""COMPUTED_VALUE"""),"No")</f>
        <v>No</v>
      </c>
      <c r="AF1981" s="5" t="str">
        <f ca="1">IFERROR(__xludf.DUMMYFUNCTION("""COMPUTED_VALUE"""),"Yes")</f>
        <v>Yes</v>
      </c>
      <c r="AG1981" s="5" t="str">
        <f ca="1">IFERROR(__xludf.DUMMYFUNCTION("""COMPUTED_VALUE"""),"No")</f>
        <v>No</v>
      </c>
      <c r="AH1981" s="5"/>
    </row>
    <row r="1982" spans="1:34" ht="12.75">
      <c r="A1982" s="5" t="str">
        <f ca="1">IFERROR(__xludf.DUMMYFUNCTION("""COMPUTED_VALUE"""),"19770407TXWHW")</f>
        <v>19770407TXWHW</v>
      </c>
      <c r="B1982" s="8">
        <f ca="1">IFERROR(__xludf.DUMMYFUNCTION("""COMPUTED_VALUE"""),28222)</f>
        <v>28222</v>
      </c>
      <c r="C1982" s="5" t="str">
        <f ca="1">IFERROR(__xludf.DUMMYFUNCTION("""COMPUTED_VALUE"""),"Whitharral High School")</f>
        <v>Whitharral High School</v>
      </c>
      <c r="D1982" s="5">
        <f ca="1">IFERROR(__xludf.DUMMYFUNCTION("""COMPUTED_VALUE"""),1)</f>
        <v>1</v>
      </c>
      <c r="E1982" s="5">
        <f ca="1">IFERROR(__xludf.DUMMYFUNCTION("""COMPUTED_VALUE"""),0)</f>
        <v>0</v>
      </c>
      <c r="F1982" s="5">
        <f ca="1">IFERROR(__xludf.DUMMYFUNCTION("""COMPUTED_VALUE"""),1)</f>
        <v>1</v>
      </c>
      <c r="G1982" s="5">
        <f ca="1">IFERROR(__xludf.DUMMYFUNCTION("""COMPUTED_VALUE"""),0)</f>
        <v>0</v>
      </c>
      <c r="H1982"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I1982" s="5"/>
      <c r="J1982" s="5"/>
      <c r="K1982" s="5">
        <f ca="1">IFERROR(__xludf.DUMMYFUNCTION("""COMPUTED_VALUE"""),3)</f>
        <v>3</v>
      </c>
      <c r="L1982" s="5" t="str">
        <f ca="1">IFERROR(__xludf.DUMMYFUNCTION("""COMPUTED_VALUE"""),"Spring")</f>
        <v>Spring</v>
      </c>
      <c r="M1982" s="5" t="str">
        <f ca="1">IFERROR(__xludf.DUMMYFUNCTION("""COMPUTED_VALUE"""),"Whitharral")</f>
        <v>Whitharral</v>
      </c>
      <c r="N1982" s="5" t="str">
        <f ca="1">IFERROR(__xludf.DUMMYFUNCTION("""COMPUTED_VALUE"""),"TX")</f>
        <v>TX</v>
      </c>
      <c r="O1982" s="5" t="str">
        <f ca="1">IFERROR(__xludf.DUMMYFUNCTION("""COMPUTED_VALUE"""),"High")</f>
        <v>High</v>
      </c>
      <c r="P1982" s="5" t="str">
        <f ca="1">IFERROR(__xludf.DUMMYFUNCTION("""COMPUTED_VALUE"""),"Beside Building")</f>
        <v>Beside Building</v>
      </c>
      <c r="Q1982" s="5" t="str">
        <f ca="1">IFERROR(__xludf.DUMMYFUNCTION("""COMPUTED_VALUE"""),"Outside on School Property")</f>
        <v>Outside on School Property</v>
      </c>
      <c r="R1982" s="5" t="str">
        <f ca="1">IFERROR(__xludf.DUMMYFUNCTION("""COMPUTED_VALUE"""),"Yes")</f>
        <v>Yes</v>
      </c>
      <c r="S1982" s="5" t="str">
        <f ca="1">IFERROR(__xludf.DUMMYFUNCTION("""COMPUTED_VALUE"""),"Morning Classes")</f>
        <v>Morning Classes</v>
      </c>
      <c r="T1982" s="10">
        <f ca="1">IFERROR(__xludf.DUMMYFUNCTION("""COMPUTED_VALUE"""),0.375)</f>
        <v>0.375</v>
      </c>
      <c r="U1982" s="5">
        <f ca="1">IFERROR(__xludf.DUMMYFUNCTION("""COMPUTED_VALUE"""),1)</f>
        <v>1</v>
      </c>
      <c r="V1982" s="5" t="str">
        <f ca="1">IFERROR(__xludf.DUMMYFUNCTION("""COMPUTED_VALUE"""),"Killed his principal outside of school")</f>
        <v>Killed his principal outside of school</v>
      </c>
      <c r="W1982"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X1982" s="5" t="str">
        <f ca="1">IFERROR(__xludf.DUMMYFUNCTION("""COMPUTED_VALUE"""),"Psychosis")</f>
        <v>Psychosis</v>
      </c>
      <c r="Y1982" s="5" t="str">
        <f ca="1">IFERROR(__xludf.DUMMYFUNCTION("""COMPUTED_VALUE"""),"Victims Targeted")</f>
        <v>Victims Targeted</v>
      </c>
      <c r="Z1982" s="5" t="str">
        <f ca="1">IFERROR(__xludf.DUMMYFUNCTION("""COMPUTED_VALUE"""),"No")</f>
        <v>No</v>
      </c>
      <c r="AA1982" s="5"/>
      <c r="AB1982" s="5" t="str">
        <f ca="1">IFERROR(__xludf.DUMMYFUNCTION("""COMPUTED_VALUE"""),"No")</f>
        <v>No</v>
      </c>
      <c r="AC1982" s="5" t="str">
        <f ca="1">IFERROR(__xludf.DUMMYFUNCTION("""COMPUTED_VALUE"""),"No")</f>
        <v>No</v>
      </c>
      <c r="AD1982" s="5" t="str">
        <f ca="1">IFERROR(__xludf.DUMMYFUNCTION("""COMPUTED_VALUE"""),"No")</f>
        <v>No</v>
      </c>
      <c r="AE1982" s="5" t="str">
        <f ca="1">IFERROR(__xludf.DUMMYFUNCTION("""COMPUTED_VALUE"""),"No")</f>
        <v>No</v>
      </c>
      <c r="AF1982" s="5" t="str">
        <f ca="1">IFERROR(__xludf.DUMMYFUNCTION("""COMPUTED_VALUE"""),"No")</f>
        <v>No</v>
      </c>
      <c r="AG1982" s="5" t="str">
        <f ca="1">IFERROR(__xludf.DUMMYFUNCTION("""COMPUTED_VALUE"""),"No")</f>
        <v>No</v>
      </c>
      <c r="AH1982" s="5"/>
    </row>
    <row r="1983" spans="1:34" ht="12.75">
      <c r="A1983" s="5" t="str">
        <f ca="1">IFERROR(__xludf.DUMMYFUNCTION("""COMPUTED_VALUE"""),"19770321NYPAH")</f>
        <v>19770321NYPAH</v>
      </c>
      <c r="B1983" s="8">
        <f ca="1">IFERROR(__xludf.DUMMYFUNCTION("""COMPUTED_VALUE"""),28205)</f>
        <v>28205</v>
      </c>
      <c r="C1983" s="5" t="str">
        <f ca="1">IFERROR(__xludf.DUMMYFUNCTION("""COMPUTED_VALUE"""),"Parochial School")</f>
        <v>Parochial School</v>
      </c>
      <c r="D1983" s="5">
        <f ca="1">IFERROR(__xludf.DUMMYFUNCTION("""COMPUTED_VALUE"""),0)</f>
        <v>0</v>
      </c>
      <c r="E1983" s="5">
        <f ca="1">IFERROR(__xludf.DUMMYFUNCTION("""COMPUTED_VALUE"""),0)</f>
        <v>0</v>
      </c>
      <c r="F1983" s="5">
        <f ca="1">IFERROR(__xludf.DUMMYFUNCTION("""COMPUTED_VALUE"""),0)</f>
        <v>0</v>
      </c>
      <c r="G1983" s="5">
        <f ca="1">IFERROR(__xludf.DUMMYFUNCTION("""COMPUTED_VALUE"""),0)</f>
        <v>0</v>
      </c>
      <c r="H1983" s="9" t="str">
        <f ca="1">IFERROR(__xludf.DUMMYFUNCTION("""COMPUTED_VALUE"""),"https://www.newspapers.com/image/347216054/?terms=school%2Bshooting")</f>
        <v>https://www.newspapers.com/image/347216054/?terms=school%2Bshooting</v>
      </c>
      <c r="I1983" s="5"/>
      <c r="J1983" s="5"/>
      <c r="K1983" s="5">
        <f ca="1">IFERROR(__xludf.DUMMYFUNCTION("""COMPUTED_VALUE"""),2)</f>
        <v>2</v>
      </c>
      <c r="L1983" s="5" t="str">
        <f ca="1">IFERROR(__xludf.DUMMYFUNCTION("""COMPUTED_VALUE"""),"Spring")</f>
        <v>Spring</v>
      </c>
      <c r="M1983" s="5" t="str">
        <f ca="1">IFERROR(__xludf.DUMMYFUNCTION("""COMPUTED_VALUE"""),"Hamburg")</f>
        <v>Hamburg</v>
      </c>
      <c r="N1983" s="5" t="str">
        <f ca="1">IFERROR(__xludf.DUMMYFUNCTION("""COMPUTED_VALUE"""),"NY")</f>
        <v>NY</v>
      </c>
      <c r="O1983" s="5" t="str">
        <f ca="1">IFERROR(__xludf.DUMMYFUNCTION("""COMPUTED_VALUE"""),"Other")</f>
        <v>Other</v>
      </c>
      <c r="P1983" s="5" t="str">
        <f ca="1">IFERROR(__xludf.DUMMYFUNCTION("""COMPUTED_VALUE"""),"Field (General)")</f>
        <v>Field (General)</v>
      </c>
      <c r="Q1983" s="5" t="str">
        <f ca="1">IFERROR(__xludf.DUMMYFUNCTION("""COMPUTED_VALUE"""),"Outside on School Property")</f>
        <v>Outside on School Property</v>
      </c>
      <c r="R1983" s="5" t="str">
        <f ca="1">IFERROR(__xludf.DUMMYFUNCTION("""COMPUTED_VALUE"""),"Yes")</f>
        <v>Yes</v>
      </c>
      <c r="S1983" s="5"/>
      <c r="T1983" s="5"/>
      <c r="U1983" s="5"/>
      <c r="V1983" s="5" t="str">
        <f ca="1">IFERROR(__xludf.DUMMYFUNCTION("""COMPUTED_VALUE"""),"Shooting at cans, shots broke occupied school windows")</f>
        <v>Shooting at cans, shots broke occupied school windows</v>
      </c>
      <c r="W1983"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X1983" s="5" t="str">
        <f ca="1">IFERROR(__xludf.DUMMYFUNCTION("""COMPUTED_VALUE"""),"Accidental")</f>
        <v>Accidental</v>
      </c>
      <c r="Y1983" s="5" t="str">
        <f ca="1">IFERROR(__xludf.DUMMYFUNCTION("""COMPUTED_VALUE"""),"Neither")</f>
        <v>Neither</v>
      </c>
      <c r="Z1983" s="5" t="str">
        <f ca="1">IFERROR(__xludf.DUMMYFUNCTION("""COMPUTED_VALUE"""),"No")</f>
        <v>No</v>
      </c>
      <c r="AA1983" s="5"/>
      <c r="AB1983" s="5" t="str">
        <f ca="1">IFERROR(__xludf.DUMMYFUNCTION("""COMPUTED_VALUE"""),"No")</f>
        <v>No</v>
      </c>
      <c r="AC1983" s="5" t="str">
        <f ca="1">IFERROR(__xludf.DUMMYFUNCTION("""COMPUTED_VALUE"""),"No")</f>
        <v>No</v>
      </c>
      <c r="AD1983" s="5" t="str">
        <f ca="1">IFERROR(__xludf.DUMMYFUNCTION("""COMPUTED_VALUE"""),"No")</f>
        <v>No</v>
      </c>
      <c r="AE1983" s="5" t="str">
        <f ca="1">IFERROR(__xludf.DUMMYFUNCTION("""COMPUTED_VALUE"""),"No")</f>
        <v>No</v>
      </c>
      <c r="AF1983" s="5" t="str">
        <f ca="1">IFERROR(__xludf.DUMMYFUNCTION("""COMPUTED_VALUE"""),"No")</f>
        <v>No</v>
      </c>
      <c r="AG1983" s="5" t="str">
        <f ca="1">IFERROR(__xludf.DUMMYFUNCTION("""COMPUTED_VALUE"""),"No")</f>
        <v>No</v>
      </c>
      <c r="AH1983" s="5"/>
    </row>
    <row r="1984" spans="1:34" ht="12.75">
      <c r="A1984" s="5" t="str">
        <f ca="1">IFERROR(__xludf.DUMMYFUNCTION("""COMPUTED_VALUE"""),"19770308ILCOE")</f>
        <v>19770308ILCOE</v>
      </c>
      <c r="B1984" s="8">
        <f ca="1">IFERROR(__xludf.DUMMYFUNCTION("""COMPUTED_VALUE"""),28192)</f>
        <v>28192</v>
      </c>
      <c r="C1984" s="5" t="str">
        <f ca="1">IFERROR(__xludf.DUMMYFUNCTION("""COMPUTED_VALUE"""),"Collinsville High School")</f>
        <v>Collinsville High School</v>
      </c>
      <c r="D1984" s="5">
        <f ca="1">IFERROR(__xludf.DUMMYFUNCTION("""COMPUTED_VALUE"""),0)</f>
        <v>0</v>
      </c>
      <c r="E1984" s="5">
        <f ca="1">IFERROR(__xludf.DUMMYFUNCTION("""COMPUTED_VALUE"""),2)</f>
        <v>2</v>
      </c>
      <c r="F1984" s="5">
        <f ca="1">IFERROR(__xludf.DUMMYFUNCTION("""COMPUTED_VALUE"""),2)</f>
        <v>2</v>
      </c>
      <c r="G1984" s="5">
        <f ca="1">IFERROR(__xludf.DUMMYFUNCTION("""COMPUTED_VALUE"""),0)</f>
        <v>0</v>
      </c>
      <c r="H1984" s="9" t="str">
        <f ca="1">IFERROR(__xludf.DUMMYFUNCTION("""COMPUTED_VALUE"""),"https://www.newspapers.com/image/26422860/?terms=school%2Bshooting")</f>
        <v>https://www.newspapers.com/image/26422860/?terms=school%2Bshooting</v>
      </c>
      <c r="I1984" s="5"/>
      <c r="J1984" s="5"/>
      <c r="K1984" s="5">
        <f ca="1">IFERROR(__xludf.DUMMYFUNCTION("""COMPUTED_VALUE"""),2)</f>
        <v>2</v>
      </c>
      <c r="L1984" s="5" t="str">
        <f ca="1">IFERROR(__xludf.DUMMYFUNCTION("""COMPUTED_VALUE"""),"Spring")</f>
        <v>Spring</v>
      </c>
      <c r="M1984" s="5" t="str">
        <f ca="1">IFERROR(__xludf.DUMMYFUNCTION("""COMPUTED_VALUE"""),"Edwardsville")</f>
        <v>Edwardsville</v>
      </c>
      <c r="N1984" s="5" t="str">
        <f ca="1">IFERROR(__xludf.DUMMYFUNCTION("""COMPUTED_VALUE"""),"IL")</f>
        <v>IL</v>
      </c>
      <c r="O1984" s="5" t="str">
        <f ca="1">IFERROR(__xludf.DUMMYFUNCTION("""COMPUTED_VALUE"""),"High")</f>
        <v>High</v>
      </c>
      <c r="P1984" s="5" t="str">
        <f ca="1">IFERROR(__xludf.DUMMYFUNCTION("""COMPUTED_VALUE"""),"Hallway")</f>
        <v>Hallway</v>
      </c>
      <c r="Q1984" s="5" t="str">
        <f ca="1">IFERROR(__xludf.DUMMYFUNCTION("""COMPUTED_VALUE"""),"Inside School Building")</f>
        <v>Inside School Building</v>
      </c>
      <c r="R1984" s="5" t="str">
        <f ca="1">IFERROR(__xludf.DUMMYFUNCTION("""COMPUTED_VALUE"""),"Yes")</f>
        <v>Yes</v>
      </c>
      <c r="S1984" s="5" t="str">
        <f ca="1">IFERROR(__xludf.DUMMYFUNCTION("""COMPUTED_VALUE"""),"Lunch")</f>
        <v>Lunch</v>
      </c>
      <c r="T1984" s="10">
        <f ca="1">IFERROR(__xludf.DUMMYFUNCTION("""COMPUTED_VALUE"""),0.524305555555555)</f>
        <v>0.52430555555555503</v>
      </c>
      <c r="U1984" s="5">
        <f ca="1">IFERROR(__xludf.DUMMYFUNCTION("""COMPUTED_VALUE"""),1)</f>
        <v>1</v>
      </c>
      <c r="V1984" s="5" t="str">
        <f ca="1">IFERROR(__xludf.DUMMYFUNCTION("""COMPUTED_VALUE"""),"Shot asst. principal after being suspended that day")</f>
        <v>Shot asst. principal after being suspended that day</v>
      </c>
      <c r="W1984"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X1984" s="5" t="str">
        <f ca="1">IFERROR(__xludf.DUMMYFUNCTION("""COMPUTED_VALUE"""),"Anger Over Grade/Suspension/Discipline")</f>
        <v>Anger Over Grade/Suspension/Discipline</v>
      </c>
      <c r="Y1984" s="5" t="str">
        <f ca="1">IFERROR(__xludf.DUMMYFUNCTION("""COMPUTED_VALUE"""),"Both")</f>
        <v>Both</v>
      </c>
      <c r="Z1984" s="5" t="str">
        <f ca="1">IFERROR(__xludf.DUMMYFUNCTION("""COMPUTED_VALUE"""),"No")</f>
        <v>No</v>
      </c>
      <c r="AA1984" s="5"/>
      <c r="AB1984" s="5" t="str">
        <f ca="1">IFERROR(__xludf.DUMMYFUNCTION("""COMPUTED_VALUE"""),"No")</f>
        <v>No</v>
      </c>
      <c r="AC1984" s="5" t="str">
        <f ca="1">IFERROR(__xludf.DUMMYFUNCTION("""COMPUTED_VALUE"""),"No")</f>
        <v>No</v>
      </c>
      <c r="AD1984" s="5" t="str">
        <f ca="1">IFERROR(__xludf.DUMMYFUNCTION("""COMPUTED_VALUE"""),"No")</f>
        <v>No</v>
      </c>
      <c r="AE1984" s="5" t="str">
        <f ca="1">IFERROR(__xludf.DUMMYFUNCTION("""COMPUTED_VALUE"""),"No")</f>
        <v>No</v>
      </c>
      <c r="AF1984" s="5" t="str">
        <f ca="1">IFERROR(__xludf.DUMMYFUNCTION("""COMPUTED_VALUE"""),"No")</f>
        <v>No</v>
      </c>
      <c r="AG1984" s="5" t="str">
        <f ca="1">IFERROR(__xludf.DUMMYFUNCTION("""COMPUTED_VALUE"""),"No")</f>
        <v>No</v>
      </c>
      <c r="AH1984" s="5"/>
    </row>
    <row r="1985" spans="1:34" ht="12.75">
      <c r="A1985" s="5" t="str">
        <f ca="1">IFERROR(__xludf.DUMMYFUNCTION("""COMPUTED_VALUE"""),"19770228TXHOA")</f>
        <v>19770228TXHOA</v>
      </c>
      <c r="B1985" s="8">
        <f ca="1">IFERROR(__xludf.DUMMYFUNCTION("""COMPUTED_VALUE"""),28184)</f>
        <v>28184</v>
      </c>
      <c r="C1985" s="5" t="str">
        <f ca="1">IFERROR(__xludf.DUMMYFUNCTION("""COMPUTED_VALUE"""),"Horace Mann Junior High School")</f>
        <v>Horace Mann Junior High School</v>
      </c>
      <c r="D1985" s="5">
        <f ca="1">IFERROR(__xludf.DUMMYFUNCTION("""COMPUTED_VALUE"""),0)</f>
        <v>0</v>
      </c>
      <c r="E1985" s="5">
        <f ca="1">IFERROR(__xludf.DUMMYFUNCTION("""COMPUTED_VALUE"""),1)</f>
        <v>1</v>
      </c>
      <c r="F1985" s="5">
        <f ca="1">IFERROR(__xludf.DUMMYFUNCTION("""COMPUTED_VALUE"""),1)</f>
        <v>1</v>
      </c>
      <c r="G1985" s="5">
        <f ca="1">IFERROR(__xludf.DUMMYFUNCTION("""COMPUTED_VALUE"""),0)</f>
        <v>0</v>
      </c>
      <c r="H1985" s="9" t="str">
        <f ca="1">IFERROR(__xludf.DUMMYFUNCTION("""COMPUTED_VALUE"""),"https://www.newspapers.com/image/29839915/?terms=school%2Bshooting")</f>
        <v>https://www.newspapers.com/image/29839915/?terms=school%2Bshooting</v>
      </c>
      <c r="I1985" s="5"/>
      <c r="J1985" s="5"/>
      <c r="K1985" s="5">
        <f ca="1">IFERROR(__xludf.DUMMYFUNCTION("""COMPUTED_VALUE"""),2)</f>
        <v>2</v>
      </c>
      <c r="L1985" s="5" t="str">
        <f ca="1">IFERROR(__xludf.DUMMYFUNCTION("""COMPUTED_VALUE"""),"Winter")</f>
        <v>Winter</v>
      </c>
      <c r="M1985" s="5" t="str">
        <f ca="1">IFERROR(__xludf.DUMMYFUNCTION("""COMPUTED_VALUE"""),"Amarillo")</f>
        <v>Amarillo</v>
      </c>
      <c r="N1985" s="5" t="str">
        <f ca="1">IFERROR(__xludf.DUMMYFUNCTION("""COMPUTED_VALUE"""),"TX")</f>
        <v>TX</v>
      </c>
      <c r="O1985" s="5" t="str">
        <f ca="1">IFERROR(__xludf.DUMMYFUNCTION("""COMPUTED_VALUE"""),"Junior High")</f>
        <v>Junior High</v>
      </c>
      <c r="P1985" s="5" t="str">
        <f ca="1">IFERROR(__xludf.DUMMYFUNCTION("""COMPUTED_VALUE"""),"Inside School Building")</f>
        <v>Inside School Building</v>
      </c>
      <c r="Q1985" s="5" t="str">
        <f ca="1">IFERROR(__xludf.DUMMYFUNCTION("""COMPUTED_VALUE"""),"Inside School Building")</f>
        <v>Inside School Building</v>
      </c>
      <c r="R1985" s="5" t="str">
        <f ca="1">IFERROR(__xludf.DUMMYFUNCTION("""COMPUTED_VALUE"""),"Yes")</f>
        <v>Yes</v>
      </c>
      <c r="S1985" s="5"/>
      <c r="T1985" s="5"/>
      <c r="U1985" s="5"/>
      <c r="V1985" s="5" t="str">
        <f ca="1">IFERROR(__xludf.DUMMYFUNCTION("""COMPUTED_VALUE"""),"Student shot in leg during dispute")</f>
        <v>Student shot in leg during dispute</v>
      </c>
      <c r="W1985" s="5" t="str">
        <f ca="1">IFERROR(__xludf.DUMMYFUNCTION("""COMPUTED_VALUE"""),"15 year-old male student shot another student in the leg during a dispute.")</f>
        <v>15 year-old male student shot another student in the leg during a dispute.</v>
      </c>
      <c r="X1985" s="5" t="str">
        <f ca="1">IFERROR(__xludf.DUMMYFUNCTION("""COMPUTED_VALUE"""),"Escalation of Dispute")</f>
        <v>Escalation of Dispute</v>
      </c>
      <c r="Y1985" s="5" t="str">
        <f ca="1">IFERROR(__xludf.DUMMYFUNCTION("""COMPUTED_VALUE"""),"Victims Targeted")</f>
        <v>Victims Targeted</v>
      </c>
      <c r="Z1985" s="5" t="str">
        <f ca="1">IFERROR(__xludf.DUMMYFUNCTION("""COMPUTED_VALUE"""),"No")</f>
        <v>No</v>
      </c>
      <c r="AA1985" s="5"/>
      <c r="AB1985" s="5" t="str">
        <f ca="1">IFERROR(__xludf.DUMMYFUNCTION("""COMPUTED_VALUE"""),"No")</f>
        <v>No</v>
      </c>
      <c r="AC1985" s="5" t="str">
        <f ca="1">IFERROR(__xludf.DUMMYFUNCTION("""COMPUTED_VALUE"""),"No")</f>
        <v>No</v>
      </c>
      <c r="AD1985" s="5" t="str">
        <f ca="1">IFERROR(__xludf.DUMMYFUNCTION("""COMPUTED_VALUE"""),"No")</f>
        <v>No</v>
      </c>
      <c r="AE1985" s="5" t="str">
        <f ca="1">IFERROR(__xludf.DUMMYFUNCTION("""COMPUTED_VALUE"""),"No")</f>
        <v>No</v>
      </c>
      <c r="AF1985" s="5" t="str">
        <f ca="1">IFERROR(__xludf.DUMMYFUNCTION("""COMPUTED_VALUE"""),"No")</f>
        <v>No</v>
      </c>
      <c r="AG1985" s="5" t="str">
        <f ca="1">IFERROR(__xludf.DUMMYFUNCTION("""COMPUTED_VALUE"""),"No")</f>
        <v>No</v>
      </c>
      <c r="AH1985" s="5"/>
    </row>
    <row r="1986" spans="1:34" ht="12.75">
      <c r="A1986" s="5" t="str">
        <f ca="1">IFERROR(__xludf.DUMMYFUNCTION("""COMPUTED_VALUE"""),"19770228MOROS")</f>
        <v>19770228MOROS</v>
      </c>
      <c r="B1986" s="8">
        <f ca="1">IFERROR(__xludf.DUMMYFUNCTION("""COMPUTED_VALUE"""),28184)</f>
        <v>28184</v>
      </c>
      <c r="C1986" s="5" t="str">
        <f ca="1">IFERROR(__xludf.DUMMYFUNCTION("""COMPUTED_VALUE"""),"Roosevelt High School")</f>
        <v>Roosevelt High School</v>
      </c>
      <c r="D1986" s="5">
        <f ca="1">IFERROR(__xludf.DUMMYFUNCTION("""COMPUTED_VALUE"""),0)</f>
        <v>0</v>
      </c>
      <c r="E1986" s="5">
        <f ca="1">IFERROR(__xludf.DUMMYFUNCTION("""COMPUTED_VALUE"""),2)</f>
        <v>2</v>
      </c>
      <c r="F1986" s="5">
        <f ca="1">IFERROR(__xludf.DUMMYFUNCTION("""COMPUTED_VALUE"""),2)</f>
        <v>2</v>
      </c>
      <c r="G1986" s="5">
        <f ca="1">IFERROR(__xludf.DUMMYFUNCTION("""COMPUTED_VALUE"""),0)</f>
        <v>0</v>
      </c>
      <c r="H1986" s="9" t="str">
        <f ca="1">IFERROR(__xludf.DUMMYFUNCTION("""COMPUTED_VALUE"""),"https://www.newspapers.com/image/139488488/?terms=school%2Bshooting")</f>
        <v>https://www.newspapers.com/image/139488488/?terms=school%2Bshooting</v>
      </c>
      <c r="I1986" s="5"/>
      <c r="J1986" s="5"/>
      <c r="K1986" s="5">
        <f ca="1">IFERROR(__xludf.DUMMYFUNCTION("""COMPUTED_VALUE"""),4)</f>
        <v>4</v>
      </c>
      <c r="L1986" s="5" t="str">
        <f ca="1">IFERROR(__xludf.DUMMYFUNCTION("""COMPUTED_VALUE"""),"Winter")</f>
        <v>Winter</v>
      </c>
      <c r="M1986" s="5" t="str">
        <f ca="1">IFERROR(__xludf.DUMMYFUNCTION("""COMPUTED_VALUE"""),"St. Louis")</f>
        <v>St. Louis</v>
      </c>
      <c r="N1986" s="5" t="str">
        <f ca="1">IFERROR(__xludf.DUMMYFUNCTION("""COMPUTED_VALUE"""),"MO")</f>
        <v>MO</v>
      </c>
      <c r="O1986" s="5" t="str">
        <f ca="1">IFERROR(__xludf.DUMMYFUNCTION("""COMPUTED_VALUE"""),"High")</f>
        <v>High</v>
      </c>
      <c r="P1986" s="5" t="str">
        <f ca="1">IFERROR(__xludf.DUMMYFUNCTION("""COMPUTED_VALUE"""),"ND")</f>
        <v>ND</v>
      </c>
      <c r="Q1986" s="5" t="str">
        <f ca="1">IFERROR(__xludf.DUMMYFUNCTION("""COMPUTED_VALUE"""),"ND")</f>
        <v>ND</v>
      </c>
      <c r="R1986" s="5" t="str">
        <f ca="1">IFERROR(__xludf.DUMMYFUNCTION("""COMPUTED_VALUE"""),"Yes")</f>
        <v>Yes</v>
      </c>
      <c r="S1986" s="5" t="str">
        <f ca="1">IFERROR(__xludf.DUMMYFUNCTION("""COMPUTED_VALUE"""),"Unknown")</f>
        <v>Unknown</v>
      </c>
      <c r="T1986" s="5"/>
      <c r="U1986" s="5"/>
      <c r="V1986" s="5" t="str">
        <f ca="1">IFERROR(__xludf.DUMMYFUNCTION("""COMPUTED_VALUE"""),"Shot 2 students during dispute")</f>
        <v>Shot 2 students during dispute</v>
      </c>
      <c r="W1986" s="5" t="str">
        <f ca="1">IFERROR(__xludf.DUMMYFUNCTION("""COMPUTED_VALUE"""),"19 year-old male shot two 16 year-old males during fight at school.")</f>
        <v>19 year-old male shot two 16 year-old males during fight at school.</v>
      </c>
      <c r="X1986" s="5" t="str">
        <f ca="1">IFERROR(__xludf.DUMMYFUNCTION("""COMPUTED_VALUE"""),"Escalation of Dispute")</f>
        <v>Escalation of Dispute</v>
      </c>
      <c r="Y1986" s="5" t="str">
        <f ca="1">IFERROR(__xludf.DUMMYFUNCTION("""COMPUTED_VALUE"""),"Victims Targeted")</f>
        <v>Victims Targeted</v>
      </c>
      <c r="Z1986" s="5" t="str">
        <f ca="1">IFERROR(__xludf.DUMMYFUNCTION("""COMPUTED_VALUE"""),"No")</f>
        <v>No</v>
      </c>
      <c r="AA1986" s="5"/>
      <c r="AB1986" s="5" t="str">
        <f ca="1">IFERROR(__xludf.DUMMYFUNCTION("""COMPUTED_VALUE"""),"No")</f>
        <v>No</v>
      </c>
      <c r="AC1986" s="5" t="str">
        <f ca="1">IFERROR(__xludf.DUMMYFUNCTION("""COMPUTED_VALUE"""),"No")</f>
        <v>No</v>
      </c>
      <c r="AD1986" s="5" t="str">
        <f ca="1">IFERROR(__xludf.DUMMYFUNCTION("""COMPUTED_VALUE"""),"No")</f>
        <v>No</v>
      </c>
      <c r="AE1986" s="5" t="str">
        <f ca="1">IFERROR(__xludf.DUMMYFUNCTION("""COMPUTED_VALUE"""),"No")</f>
        <v>No</v>
      </c>
      <c r="AF1986" s="5" t="str">
        <f ca="1">IFERROR(__xludf.DUMMYFUNCTION("""COMPUTED_VALUE"""),"No")</f>
        <v>No</v>
      </c>
      <c r="AG1986" s="5" t="str">
        <f ca="1">IFERROR(__xludf.DUMMYFUNCTION("""COMPUTED_VALUE"""),"No")</f>
        <v>No</v>
      </c>
      <c r="AH1986" s="5"/>
    </row>
    <row r="1987" spans="1:34" ht="12.75">
      <c r="A1987" s="5" t="str">
        <f ca="1">IFERROR(__xludf.DUMMYFUNCTION("""COMPUTED_VALUE"""),"19770209ILFEC")</f>
        <v>19770209ILFEC</v>
      </c>
      <c r="B1987" s="8">
        <f ca="1">IFERROR(__xludf.DUMMYFUNCTION("""COMPUTED_VALUE"""),28165)</f>
        <v>28165</v>
      </c>
      <c r="C1987" s="5" t="str">
        <f ca="1">IFERROR(__xludf.DUMMYFUNCTION("""COMPUTED_VALUE"""),"Fenger High School")</f>
        <v>Fenger High School</v>
      </c>
      <c r="D1987" s="5">
        <f ca="1">IFERROR(__xludf.DUMMYFUNCTION("""COMPUTED_VALUE"""),1)</f>
        <v>1</v>
      </c>
      <c r="E1987" s="5">
        <f ca="1">IFERROR(__xludf.DUMMYFUNCTION("""COMPUTED_VALUE"""),3)</f>
        <v>3</v>
      </c>
      <c r="F1987" s="5">
        <f ca="1">IFERROR(__xludf.DUMMYFUNCTION("""COMPUTED_VALUE"""),4)</f>
        <v>4</v>
      </c>
      <c r="G1987" s="5">
        <f ca="1">IFERROR(__xludf.DUMMYFUNCTION("""COMPUTED_VALUE"""),0)</f>
        <v>0</v>
      </c>
      <c r="H1987" s="9" t="str">
        <f ca="1">IFERROR(__xludf.DUMMYFUNCTION("""COMPUTED_VALUE"""),"https://www.newspapers.com/image/127972205/?terms=school%2Bshooting")</f>
        <v>https://www.newspapers.com/image/127972205/?terms=school%2Bshooting</v>
      </c>
      <c r="I1987" s="5"/>
      <c r="J1987" s="5"/>
      <c r="K1987" s="5">
        <f ca="1">IFERROR(__xludf.DUMMYFUNCTION("""COMPUTED_VALUE"""),2)</f>
        <v>2</v>
      </c>
      <c r="L1987" s="5" t="str">
        <f ca="1">IFERROR(__xludf.DUMMYFUNCTION("""COMPUTED_VALUE"""),"Winter")</f>
        <v>Winter</v>
      </c>
      <c r="M1987" s="5" t="str">
        <f ca="1">IFERROR(__xludf.DUMMYFUNCTION("""COMPUTED_VALUE"""),"Chicago")</f>
        <v>Chicago</v>
      </c>
      <c r="N1987" s="5" t="str">
        <f ca="1">IFERROR(__xludf.DUMMYFUNCTION("""COMPUTED_VALUE"""),"IL")</f>
        <v>IL</v>
      </c>
      <c r="O1987" s="5" t="str">
        <f ca="1">IFERROR(__xludf.DUMMYFUNCTION("""COMPUTED_VALUE"""),"High")</f>
        <v>High</v>
      </c>
      <c r="P1987" s="5" t="str">
        <f ca="1">IFERROR(__xludf.DUMMYFUNCTION("""COMPUTED_VALUE"""),"Hallway")</f>
        <v>Hallway</v>
      </c>
      <c r="Q1987" s="5" t="str">
        <f ca="1">IFERROR(__xludf.DUMMYFUNCTION("""COMPUTED_VALUE"""),"Inside School Building")</f>
        <v>Inside School Building</v>
      </c>
      <c r="R1987" s="5" t="str">
        <f ca="1">IFERROR(__xludf.DUMMYFUNCTION("""COMPUTED_VALUE"""),"Yes")</f>
        <v>Yes</v>
      </c>
      <c r="S1987" s="5" t="str">
        <f ca="1">IFERROR(__xludf.DUMMYFUNCTION("""COMPUTED_VALUE"""),"Afternoon Classes")</f>
        <v>Afternoon Classes</v>
      </c>
      <c r="T1987" s="5"/>
      <c r="U1987" s="5">
        <f ca="1">IFERROR(__xludf.DUMMYFUNCTION("""COMPUTED_VALUE"""),1)</f>
        <v>1</v>
      </c>
      <c r="V1987" s="5" t="str">
        <f ca="1">IFERROR(__xludf.DUMMYFUNCTION("""COMPUTED_VALUE"""),"4 students shot during fight in stairwell between two students")</f>
        <v>4 students shot during fight in stairwell between two students</v>
      </c>
      <c r="W1987"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X1987" s="5" t="str">
        <f ca="1">IFERROR(__xludf.DUMMYFUNCTION("""COMPUTED_VALUE"""),"Escalation of Dispute")</f>
        <v>Escalation of Dispute</v>
      </c>
      <c r="Y1987" s="5" t="str">
        <f ca="1">IFERROR(__xludf.DUMMYFUNCTION("""COMPUTED_VALUE"""),"Both")</f>
        <v>Both</v>
      </c>
      <c r="Z1987" s="5" t="str">
        <f ca="1">IFERROR(__xludf.DUMMYFUNCTION("""COMPUTED_VALUE"""),"No")</f>
        <v>No</v>
      </c>
      <c r="AA1987" s="5"/>
      <c r="AB1987" s="5" t="str">
        <f ca="1">IFERROR(__xludf.DUMMYFUNCTION("""COMPUTED_VALUE"""),"No")</f>
        <v>No</v>
      </c>
      <c r="AC1987" s="5" t="str">
        <f ca="1">IFERROR(__xludf.DUMMYFUNCTION("""COMPUTED_VALUE"""),"No")</f>
        <v>No</v>
      </c>
      <c r="AD1987" s="5" t="str">
        <f ca="1">IFERROR(__xludf.DUMMYFUNCTION("""COMPUTED_VALUE"""),"No")</f>
        <v>No</v>
      </c>
      <c r="AE1987" s="5" t="str">
        <f ca="1">IFERROR(__xludf.DUMMYFUNCTION("""COMPUTED_VALUE"""),"No")</f>
        <v>No</v>
      </c>
      <c r="AF1987" s="5" t="str">
        <f ca="1">IFERROR(__xludf.DUMMYFUNCTION("""COMPUTED_VALUE"""),"No")</f>
        <v>No</v>
      </c>
      <c r="AG1987" s="5" t="str">
        <f ca="1">IFERROR(__xludf.DUMMYFUNCTION("""COMPUTED_VALUE"""),"No")</f>
        <v>No</v>
      </c>
      <c r="AH1987" s="5"/>
    </row>
    <row r="1988" spans="1:34" ht="12.75">
      <c r="A1988" s="5" t="str">
        <f ca="1">IFERROR(__xludf.DUMMYFUNCTION("""COMPUTED_VALUE"""),"19770113ILOLB")</f>
        <v>19770113ILOLB</v>
      </c>
      <c r="B1988" s="8">
        <f ca="1">IFERROR(__xludf.DUMMYFUNCTION("""COMPUTED_VALUE"""),28138)</f>
        <v>28138</v>
      </c>
      <c r="C1988" s="5" t="str">
        <f ca="1">IFERROR(__xludf.DUMMYFUNCTION("""COMPUTED_VALUE"""),"Old Main Eisenhower High School")</f>
        <v>Old Main Eisenhower High School</v>
      </c>
      <c r="D1988" s="5">
        <f ca="1">IFERROR(__xludf.DUMMYFUNCTION("""COMPUTED_VALUE"""),0)</f>
        <v>0</v>
      </c>
      <c r="E1988" s="5">
        <f ca="1">IFERROR(__xludf.DUMMYFUNCTION("""COMPUTED_VALUE"""),1)</f>
        <v>1</v>
      </c>
      <c r="F1988" s="5">
        <f ca="1">IFERROR(__xludf.DUMMYFUNCTION("""COMPUTED_VALUE"""),1)</f>
        <v>1</v>
      </c>
      <c r="G1988" s="5">
        <f ca="1">IFERROR(__xludf.DUMMYFUNCTION("""COMPUTED_VALUE"""),0)</f>
        <v>0</v>
      </c>
      <c r="H1988" s="9" t="str">
        <f ca="1">IFERROR(__xludf.DUMMYFUNCTION("""COMPUTED_VALUE"""),"https://www.newspapers.com/image/18233056/?terms=Old%2BMain%2BEisenhower%2BHigh%2BSchool%2Bshooting")</f>
        <v>https://www.newspapers.com/image/18233056/?terms=Old%2BMain%2BEisenhower%2BHigh%2BSchool%2Bshooting</v>
      </c>
      <c r="I1988" s="5"/>
      <c r="J1988" s="5"/>
      <c r="K1988" s="5">
        <f ca="1">IFERROR(__xludf.DUMMYFUNCTION("""COMPUTED_VALUE"""),2)</f>
        <v>2</v>
      </c>
      <c r="L1988" s="5" t="str">
        <f ca="1">IFERROR(__xludf.DUMMYFUNCTION("""COMPUTED_VALUE"""),"Winter")</f>
        <v>Winter</v>
      </c>
      <c r="M1988" s="5" t="str">
        <f ca="1">IFERROR(__xludf.DUMMYFUNCTION("""COMPUTED_VALUE"""),"Blue Island")</f>
        <v>Blue Island</v>
      </c>
      <c r="N1988" s="5" t="str">
        <f ca="1">IFERROR(__xludf.DUMMYFUNCTION("""COMPUTED_VALUE"""),"IL")</f>
        <v>IL</v>
      </c>
      <c r="O1988" s="5" t="str">
        <f ca="1">IFERROR(__xludf.DUMMYFUNCTION("""COMPUTED_VALUE"""),"High")</f>
        <v>High</v>
      </c>
      <c r="P1988" s="5" t="str">
        <f ca="1">IFERROR(__xludf.DUMMYFUNCTION("""COMPUTED_VALUE"""),"Gym")</f>
        <v>Gym</v>
      </c>
      <c r="Q1988" s="5" t="str">
        <f ca="1">IFERROR(__xludf.DUMMYFUNCTION("""COMPUTED_VALUE"""),"Inside School Building")</f>
        <v>Inside School Building</v>
      </c>
      <c r="R1988" s="5" t="str">
        <f ca="1">IFERROR(__xludf.DUMMYFUNCTION("""COMPUTED_VALUE"""),"Yes")</f>
        <v>Yes</v>
      </c>
      <c r="S1988" s="5" t="str">
        <f ca="1">IFERROR(__xludf.DUMMYFUNCTION("""COMPUTED_VALUE"""),"Morning Classes")</f>
        <v>Morning Classes</v>
      </c>
      <c r="T1988" s="10">
        <f ca="1">IFERROR(__xludf.DUMMYFUNCTION("""COMPUTED_VALUE"""),0.3125)</f>
        <v>0.3125</v>
      </c>
      <c r="U1988" s="5">
        <f ca="1">IFERROR(__xludf.DUMMYFUNCTION("""COMPUTED_VALUE"""),1)</f>
        <v>1</v>
      </c>
      <c r="V1988" s="5" t="str">
        <f ca="1">IFERROR(__xludf.DUMMYFUNCTION("""COMPUTED_VALUE"""),"Victim wouldn't fight and shooter shot him, gym teacher tackled shooter")</f>
        <v>Victim wouldn't fight and shooter shot him, gym teacher tackled shooter</v>
      </c>
      <c r="W1988"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X1988" s="5" t="str">
        <f ca="1">IFERROR(__xludf.DUMMYFUNCTION("""COMPUTED_VALUE"""),"Escalation of Dispute")</f>
        <v>Escalation of Dispute</v>
      </c>
      <c r="Y1988" s="5" t="str">
        <f ca="1">IFERROR(__xludf.DUMMYFUNCTION("""COMPUTED_VALUE"""),"Victims Targeted")</f>
        <v>Victims Targeted</v>
      </c>
      <c r="Z1988" s="5" t="str">
        <f ca="1">IFERROR(__xludf.DUMMYFUNCTION("""COMPUTED_VALUE"""),"No")</f>
        <v>No</v>
      </c>
      <c r="AA1988" s="5"/>
      <c r="AB1988" s="5" t="str">
        <f ca="1">IFERROR(__xludf.DUMMYFUNCTION("""COMPUTED_VALUE"""),"No")</f>
        <v>No</v>
      </c>
      <c r="AC1988" s="5" t="str">
        <f ca="1">IFERROR(__xludf.DUMMYFUNCTION("""COMPUTED_VALUE"""),"No")</f>
        <v>No</v>
      </c>
      <c r="AD1988" s="5" t="str">
        <f ca="1">IFERROR(__xludf.DUMMYFUNCTION("""COMPUTED_VALUE"""),"No")</f>
        <v>No</v>
      </c>
      <c r="AE1988" s="5" t="str">
        <f ca="1">IFERROR(__xludf.DUMMYFUNCTION("""COMPUTED_VALUE"""),"No")</f>
        <v>No</v>
      </c>
      <c r="AF1988" s="5" t="str">
        <f ca="1">IFERROR(__xludf.DUMMYFUNCTION("""COMPUTED_VALUE"""),"No")</f>
        <v>No</v>
      </c>
      <c r="AG1988" s="5" t="str">
        <f ca="1">IFERROR(__xludf.DUMMYFUNCTION("""COMPUTED_VALUE"""),"No")</f>
        <v>No</v>
      </c>
      <c r="AH1988" s="5"/>
    </row>
    <row r="1989" spans="1:34" ht="12.75">
      <c r="A1989" s="5" t="str">
        <f ca="1">IFERROR(__xludf.DUMMYFUNCTION("""COMPUTED_VALUE"""),"19761210MOFRS")</f>
        <v>19761210MOFRS</v>
      </c>
      <c r="B1989" s="8">
        <f ca="1">IFERROR(__xludf.DUMMYFUNCTION("""COMPUTED_VALUE"""),28104)</f>
        <v>28104</v>
      </c>
      <c r="C1989" s="5" t="str">
        <f ca="1">IFERROR(__xludf.DUMMYFUNCTION("""COMPUTED_VALUE"""),"Fremont School")</f>
        <v>Fremont School</v>
      </c>
      <c r="D1989" s="5">
        <f ca="1">IFERROR(__xludf.DUMMYFUNCTION("""COMPUTED_VALUE"""),0)</f>
        <v>0</v>
      </c>
      <c r="E1989" s="5">
        <f ca="1">IFERROR(__xludf.DUMMYFUNCTION("""COMPUTED_VALUE"""),2)</f>
        <v>2</v>
      </c>
      <c r="F1989" s="5">
        <f ca="1">IFERROR(__xludf.DUMMYFUNCTION("""COMPUTED_VALUE"""),2)</f>
        <v>2</v>
      </c>
      <c r="G1989" s="5">
        <f ca="1">IFERROR(__xludf.DUMMYFUNCTION("""COMPUTED_VALUE"""),0)</f>
        <v>0</v>
      </c>
      <c r="H1989" s="9" t="str">
        <f ca="1">IFERROR(__xludf.DUMMYFUNCTION("""COMPUTED_VALUE"""),"https://www.newspapers.com/image/165856618/?terms=school%2Bshooting")</f>
        <v>https://www.newspapers.com/image/165856618/?terms=school%2Bshooting</v>
      </c>
      <c r="I1989" s="5"/>
      <c r="J1989" s="5"/>
      <c r="K1989" s="5">
        <f ca="1">IFERROR(__xludf.DUMMYFUNCTION("""COMPUTED_VALUE"""),2)</f>
        <v>2</v>
      </c>
      <c r="L1989" s="5" t="str">
        <f ca="1">IFERROR(__xludf.DUMMYFUNCTION("""COMPUTED_VALUE"""),"Winter")</f>
        <v>Winter</v>
      </c>
      <c r="M1989" s="5" t="str">
        <f ca="1">IFERROR(__xludf.DUMMYFUNCTION("""COMPUTED_VALUE"""),"St. Louis")</f>
        <v>St. Louis</v>
      </c>
      <c r="N1989" s="5" t="str">
        <f ca="1">IFERROR(__xludf.DUMMYFUNCTION("""COMPUTED_VALUE"""),"MO")</f>
        <v>MO</v>
      </c>
      <c r="O1989" s="5" t="str">
        <f ca="1">IFERROR(__xludf.DUMMYFUNCTION("""COMPUTED_VALUE"""),"Elementary")</f>
        <v>Elementary</v>
      </c>
      <c r="P1989" s="5" t="str">
        <f ca="1">IFERROR(__xludf.DUMMYFUNCTION("""COMPUTED_VALUE"""),"Inside School Building")</f>
        <v>Inside School Building</v>
      </c>
      <c r="Q1989" s="5" t="str">
        <f ca="1">IFERROR(__xludf.DUMMYFUNCTION("""COMPUTED_VALUE"""),"Inside School Building")</f>
        <v>Inside School Building</v>
      </c>
      <c r="R1989" s="5" t="str">
        <f ca="1">IFERROR(__xludf.DUMMYFUNCTION("""COMPUTED_VALUE"""),"Yes")</f>
        <v>Yes</v>
      </c>
      <c r="S1989" s="5" t="str">
        <f ca="1">IFERROR(__xludf.DUMMYFUNCTION("""COMPUTED_VALUE"""),"Morning Classes")</f>
        <v>Morning Classes</v>
      </c>
      <c r="T1989" s="5"/>
      <c r="U1989" s="5">
        <f ca="1">IFERROR(__xludf.DUMMYFUNCTION("""COMPUTED_VALUE"""),1)</f>
        <v>1</v>
      </c>
      <c r="V1989" s="5" t="str">
        <f ca="1">IFERROR(__xludf.DUMMYFUNCTION("""COMPUTED_VALUE"""),"Fired shots at teacher, surrendered to police")</f>
        <v>Fired shots at teacher, surrendered to police</v>
      </c>
      <c r="W1989"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X1989" s="5" t="str">
        <f ca="1">IFERROR(__xludf.DUMMYFUNCTION("""COMPUTED_VALUE"""),"Anger Over Grade/Suspension/Discipline")</f>
        <v>Anger Over Grade/Suspension/Discipline</v>
      </c>
      <c r="Y1989" s="5" t="str">
        <f ca="1">IFERROR(__xludf.DUMMYFUNCTION("""COMPUTED_VALUE"""),"Victims Targeted")</f>
        <v>Victims Targeted</v>
      </c>
      <c r="Z1989" s="5"/>
      <c r="AA1989" s="5"/>
      <c r="AB1989" s="5" t="str">
        <f ca="1">IFERROR(__xludf.DUMMYFUNCTION("""COMPUTED_VALUE"""),"No")</f>
        <v>No</v>
      </c>
      <c r="AC1989" s="5" t="str">
        <f ca="1">IFERROR(__xludf.DUMMYFUNCTION("""COMPUTED_VALUE"""),"No")</f>
        <v>No</v>
      </c>
      <c r="AD1989" s="5" t="str">
        <f ca="1">IFERROR(__xludf.DUMMYFUNCTION("""COMPUTED_VALUE"""),"No")</f>
        <v>No</v>
      </c>
      <c r="AE1989" s="5" t="str">
        <f ca="1">IFERROR(__xludf.DUMMYFUNCTION("""COMPUTED_VALUE"""),"No")</f>
        <v>No</v>
      </c>
      <c r="AF1989" s="5" t="str">
        <f ca="1">IFERROR(__xludf.DUMMYFUNCTION("""COMPUTED_VALUE"""),"No")</f>
        <v>No</v>
      </c>
      <c r="AG1989" s="5" t="str">
        <f ca="1">IFERROR(__xludf.DUMMYFUNCTION("""COMPUTED_VALUE"""),"No")</f>
        <v>No</v>
      </c>
      <c r="AH1989" s="5" t="str">
        <f ca="1">IFERROR(__xludf.DUMMYFUNCTION("""COMPUTED_VALUE"""),"Yes")</f>
        <v>Yes</v>
      </c>
    </row>
    <row r="1990" spans="1:34" ht="12.75">
      <c r="A1990" s="5" t="str">
        <f ca="1">IFERROR(__xludf.DUMMYFUNCTION("""COMPUTED_VALUE"""),"19761110MIBUD")</f>
        <v>19761110MIBUD</v>
      </c>
      <c r="B1990" s="8">
        <f ca="1">IFERROR(__xludf.DUMMYFUNCTION("""COMPUTED_VALUE"""),28074)</f>
        <v>28074</v>
      </c>
      <c r="C1990" s="5" t="str">
        <f ca="1">IFERROR(__xludf.DUMMYFUNCTION("""COMPUTED_VALUE"""),"Burt Elementary School")</f>
        <v>Burt Elementary School</v>
      </c>
      <c r="D1990" s="5">
        <f ca="1">IFERROR(__xludf.DUMMYFUNCTION("""COMPUTED_VALUE"""),1)</f>
        <v>1</v>
      </c>
      <c r="E1990" s="5">
        <f ca="1">IFERROR(__xludf.DUMMYFUNCTION("""COMPUTED_VALUE"""),0)</f>
        <v>0</v>
      </c>
      <c r="F1990" s="5">
        <f ca="1">IFERROR(__xludf.DUMMYFUNCTION("""COMPUTED_VALUE"""),1)</f>
        <v>1</v>
      </c>
      <c r="G1990" s="5">
        <f ca="1">IFERROR(__xludf.DUMMYFUNCTION("""COMPUTED_VALUE"""),0)</f>
        <v>0</v>
      </c>
      <c r="H1990" s="9" t="str">
        <f ca="1">IFERROR(__xludf.DUMMYFUNCTION("""COMPUTED_VALUE"""),"https://news.google.com/newspapers?id=gblHAAAAIBAJ&amp;pg=3465,1557281")</f>
        <v>https://news.google.com/newspapers?id=gblHAAAAIBAJ&amp;pg=3465,1557281</v>
      </c>
      <c r="I1990" s="5"/>
      <c r="J1990" s="5"/>
      <c r="K1990" s="5">
        <f ca="1">IFERROR(__xludf.DUMMYFUNCTION("""COMPUTED_VALUE"""),2)</f>
        <v>2</v>
      </c>
      <c r="L1990" s="5" t="str">
        <f ca="1">IFERROR(__xludf.DUMMYFUNCTION("""COMPUTED_VALUE"""),"Fall")</f>
        <v>Fall</v>
      </c>
      <c r="M1990" s="5" t="str">
        <f ca="1">IFERROR(__xludf.DUMMYFUNCTION("""COMPUTED_VALUE"""),"Detroit")</f>
        <v>Detroit</v>
      </c>
      <c r="N1990" s="5" t="str">
        <f ca="1">IFERROR(__xludf.DUMMYFUNCTION("""COMPUTED_VALUE"""),"MI")</f>
        <v>MI</v>
      </c>
      <c r="O1990" s="5" t="str">
        <f ca="1">IFERROR(__xludf.DUMMYFUNCTION("""COMPUTED_VALUE"""),"Elementary")</f>
        <v>Elementary</v>
      </c>
      <c r="P1990" s="5" t="str">
        <f ca="1">IFERROR(__xludf.DUMMYFUNCTION("""COMPUTED_VALUE"""),"Classroom")</f>
        <v>Classroom</v>
      </c>
      <c r="Q1990" s="5" t="str">
        <f ca="1">IFERROR(__xludf.DUMMYFUNCTION("""COMPUTED_VALUE"""),"Inside School Building")</f>
        <v>Inside School Building</v>
      </c>
      <c r="R1990" s="5" t="str">
        <f ca="1">IFERROR(__xludf.DUMMYFUNCTION("""COMPUTED_VALUE"""),"Yes")</f>
        <v>Yes</v>
      </c>
      <c r="S1990" s="5" t="str">
        <f ca="1">IFERROR(__xludf.DUMMYFUNCTION("""COMPUTED_VALUE"""),"Morning Classes")</f>
        <v>Morning Classes</v>
      </c>
      <c r="T1990" s="5"/>
      <c r="U1990" s="5">
        <f ca="1">IFERROR(__xludf.DUMMYFUNCTION("""COMPUTED_VALUE"""),1)</f>
        <v>1</v>
      </c>
      <c r="V1990" s="5" t="str">
        <f ca="1">IFERROR(__xludf.DUMMYFUNCTION("""COMPUTED_VALUE"""),"Estranged husband emotionally distraught")</f>
        <v>Estranged husband emotionally distraught</v>
      </c>
      <c r="W1990"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X1990" s="5" t="str">
        <f ca="1">IFERROR(__xludf.DUMMYFUNCTION("""COMPUTED_VALUE"""),"Domestic w/ Targeted Victim")</f>
        <v>Domestic w/ Targeted Victim</v>
      </c>
      <c r="Y1990" s="5" t="str">
        <f ca="1">IFERROR(__xludf.DUMMYFUNCTION("""COMPUTED_VALUE"""),"Victims Targeted")</f>
        <v>Victims Targeted</v>
      </c>
      <c r="Z1990" s="5" t="str">
        <f ca="1">IFERROR(__xludf.DUMMYFUNCTION("""COMPUTED_VALUE"""),"No")</f>
        <v>No</v>
      </c>
      <c r="AA1990" s="5"/>
      <c r="AB1990" s="5" t="str">
        <f ca="1">IFERROR(__xludf.DUMMYFUNCTION("""COMPUTED_VALUE"""),"No")</f>
        <v>No</v>
      </c>
      <c r="AC1990" s="5" t="str">
        <f ca="1">IFERROR(__xludf.DUMMYFUNCTION("""COMPUTED_VALUE"""),"No")</f>
        <v>No</v>
      </c>
      <c r="AD1990" s="5" t="str">
        <f ca="1">IFERROR(__xludf.DUMMYFUNCTION("""COMPUTED_VALUE"""),"No")</f>
        <v>No</v>
      </c>
      <c r="AE1990" s="5" t="str">
        <f ca="1">IFERROR(__xludf.DUMMYFUNCTION("""COMPUTED_VALUE"""),"No")</f>
        <v>No</v>
      </c>
      <c r="AF1990" s="5" t="str">
        <f ca="1">IFERROR(__xludf.DUMMYFUNCTION("""COMPUTED_VALUE"""),"Yes")</f>
        <v>Yes</v>
      </c>
      <c r="AG1990" s="5" t="str">
        <f ca="1">IFERROR(__xludf.DUMMYFUNCTION("""COMPUTED_VALUE"""),"No")</f>
        <v>No</v>
      </c>
      <c r="AH1990" s="5"/>
    </row>
    <row r="1991" spans="1:34" ht="12.75">
      <c r="A1991" s="5" t="str">
        <f ca="1">IFERROR(__xludf.DUMMYFUNCTION("""COMPUTED_VALUE"""),"19760920NCGUG")</f>
        <v>19760920NCGUG</v>
      </c>
      <c r="B1991" s="8">
        <f ca="1">IFERROR(__xludf.DUMMYFUNCTION("""COMPUTED_VALUE"""),28023)</f>
        <v>28023</v>
      </c>
      <c r="C1991" s="5" t="str">
        <f ca="1">IFERROR(__xludf.DUMMYFUNCTION("""COMPUTED_VALUE"""),"Guildord County School Bus")</f>
        <v>Guildord County School Bus</v>
      </c>
      <c r="D1991" s="5">
        <f ca="1">IFERROR(__xludf.DUMMYFUNCTION("""COMPUTED_VALUE"""),0)</f>
        <v>0</v>
      </c>
      <c r="E1991" s="5">
        <f ca="1">IFERROR(__xludf.DUMMYFUNCTION("""COMPUTED_VALUE"""),1)</f>
        <v>1</v>
      </c>
      <c r="F1991" s="5">
        <f ca="1">IFERROR(__xludf.DUMMYFUNCTION("""COMPUTED_VALUE"""),1)</f>
        <v>1</v>
      </c>
      <c r="G1991" s="5">
        <f ca="1">IFERROR(__xludf.DUMMYFUNCTION("""COMPUTED_VALUE"""),1)</f>
        <v>1</v>
      </c>
      <c r="H1991" s="9" t="str">
        <f ca="1">IFERROR(__xludf.DUMMYFUNCTION("""COMPUTED_VALUE"""),"https://www.newspapers.com/image/43183929/?terms=school%2Bshooting")</f>
        <v>https://www.newspapers.com/image/43183929/?terms=school%2Bshooting</v>
      </c>
      <c r="I1991" s="5"/>
      <c r="J1991" s="5"/>
      <c r="K1991" s="5">
        <f ca="1">IFERROR(__xludf.DUMMYFUNCTION("""COMPUTED_VALUE"""),2)</f>
        <v>2</v>
      </c>
      <c r="L1991" s="5" t="str">
        <f ca="1">IFERROR(__xludf.DUMMYFUNCTION("""COMPUTED_VALUE"""),"Fall")</f>
        <v>Fall</v>
      </c>
      <c r="M1991" s="5" t="str">
        <f ca="1">IFERROR(__xludf.DUMMYFUNCTION("""COMPUTED_VALUE"""),"Greensboro")</f>
        <v>Greensboro</v>
      </c>
      <c r="N1991" s="5" t="str">
        <f ca="1">IFERROR(__xludf.DUMMYFUNCTION("""COMPUTED_VALUE"""),"NC")</f>
        <v>NC</v>
      </c>
      <c r="O1991" s="5"/>
      <c r="P1991" s="5" t="str">
        <f ca="1">IFERROR(__xludf.DUMMYFUNCTION("""COMPUTED_VALUE"""),"School Bus")</f>
        <v>School Bus</v>
      </c>
      <c r="Q1991" s="5" t="str">
        <f ca="1">IFERROR(__xludf.DUMMYFUNCTION("""COMPUTED_VALUE"""),"School Bus")</f>
        <v>School Bus</v>
      </c>
      <c r="R1991" s="5" t="str">
        <f ca="1">IFERROR(__xludf.DUMMYFUNCTION("""COMPUTED_VALUE"""),"Yes")</f>
        <v>Yes</v>
      </c>
      <c r="S1991" s="5"/>
      <c r="T1991" s="5"/>
      <c r="U1991" s="5"/>
      <c r="V1991" s="5" t="str">
        <f ca="1">IFERROR(__xludf.DUMMYFUNCTION("""COMPUTED_VALUE"""),"Fired at school bus and then shot himself")</f>
        <v>Fired at school bus and then shot himself</v>
      </c>
      <c r="W1991"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X1991" s="5" t="str">
        <f ca="1">IFERROR(__xludf.DUMMYFUNCTION("""COMPUTED_VALUE"""),"Indiscriminate Shooting")</f>
        <v>Indiscriminate Shooting</v>
      </c>
      <c r="Y1991" s="5" t="str">
        <f ca="1">IFERROR(__xludf.DUMMYFUNCTION("""COMPUTED_VALUE"""),"Random Shooting")</f>
        <v>Random Shooting</v>
      </c>
      <c r="Z1991" s="5" t="str">
        <f ca="1">IFERROR(__xludf.DUMMYFUNCTION("""COMPUTED_VALUE"""),"No")</f>
        <v>No</v>
      </c>
      <c r="AA1991" s="5"/>
      <c r="AB1991" s="5" t="str">
        <f ca="1">IFERROR(__xludf.DUMMYFUNCTION("""COMPUTED_VALUE"""),"No")</f>
        <v>No</v>
      </c>
      <c r="AC1991" s="5" t="str">
        <f ca="1">IFERROR(__xludf.DUMMYFUNCTION("""COMPUTED_VALUE"""),"No")</f>
        <v>No</v>
      </c>
      <c r="AD1991" s="5" t="str">
        <f ca="1">IFERROR(__xludf.DUMMYFUNCTION("""COMPUTED_VALUE"""),"No")</f>
        <v>No</v>
      </c>
      <c r="AE1991" s="5" t="str">
        <f ca="1">IFERROR(__xludf.DUMMYFUNCTION("""COMPUTED_VALUE"""),"No")</f>
        <v>No</v>
      </c>
      <c r="AF1991" s="5" t="str">
        <f ca="1">IFERROR(__xludf.DUMMYFUNCTION("""COMPUTED_VALUE"""),"No")</f>
        <v>No</v>
      </c>
      <c r="AG1991" s="5" t="str">
        <f ca="1">IFERROR(__xludf.DUMMYFUNCTION("""COMPUTED_VALUE"""),"No")</f>
        <v>No</v>
      </c>
      <c r="AH1991" s="5"/>
    </row>
    <row r="1992" spans="1:34" ht="12.75">
      <c r="A1992" s="5" t="str">
        <f ca="1">IFERROR(__xludf.DUMMYFUNCTION("""COMPUTED_VALUE"""),"19760602MDMTC")</f>
        <v>19760602MDMTC</v>
      </c>
      <c r="B1992" s="8">
        <f ca="1">IFERROR(__xludf.DUMMYFUNCTION("""COMPUTED_VALUE"""),27913)</f>
        <v>27913</v>
      </c>
      <c r="C1992" s="5" t="str">
        <f ca="1">IFERROR(__xludf.DUMMYFUNCTION("""COMPUTED_VALUE"""),"Mt. Savage High School")</f>
        <v>Mt. Savage High School</v>
      </c>
      <c r="D1992" s="5">
        <f ca="1">IFERROR(__xludf.DUMMYFUNCTION("""COMPUTED_VALUE"""),0)</f>
        <v>0</v>
      </c>
      <c r="E1992" s="5">
        <f ca="1">IFERROR(__xludf.DUMMYFUNCTION("""COMPUTED_VALUE"""),0)</f>
        <v>0</v>
      </c>
      <c r="F1992" s="5">
        <f ca="1">IFERROR(__xludf.DUMMYFUNCTION("""COMPUTED_VALUE"""),0)</f>
        <v>0</v>
      </c>
      <c r="G1992" s="5">
        <f ca="1">IFERROR(__xludf.DUMMYFUNCTION("""COMPUTED_VALUE"""),0)</f>
        <v>0</v>
      </c>
      <c r="H1992" s="9" t="str">
        <f ca="1">IFERROR(__xludf.DUMMYFUNCTION("""COMPUTED_VALUE"""),"https://www.newspapers.com/image/12568764/?terms=school%2Bshooting")</f>
        <v>https://www.newspapers.com/image/12568764/?terms=school%2Bshooting</v>
      </c>
      <c r="I1992" s="5"/>
      <c r="J1992" s="5"/>
      <c r="K1992" s="5">
        <f ca="1">IFERROR(__xludf.DUMMYFUNCTION("""COMPUTED_VALUE"""),2)</f>
        <v>2</v>
      </c>
      <c r="L1992" s="5" t="str">
        <f ca="1">IFERROR(__xludf.DUMMYFUNCTION("""COMPUTED_VALUE"""),"Summer")</f>
        <v>Summer</v>
      </c>
      <c r="M1992" s="5" t="str">
        <f ca="1">IFERROR(__xludf.DUMMYFUNCTION("""COMPUTED_VALUE"""),"Cumberland")</f>
        <v>Cumberland</v>
      </c>
      <c r="N1992" s="5" t="str">
        <f ca="1">IFERROR(__xludf.DUMMYFUNCTION("""COMPUTED_VALUE"""),"MD")</f>
        <v>MD</v>
      </c>
      <c r="O1992" s="5" t="str">
        <f ca="1">IFERROR(__xludf.DUMMYFUNCTION("""COMPUTED_VALUE"""),"High")</f>
        <v>High</v>
      </c>
      <c r="P1992" s="5" t="str">
        <f ca="1">IFERROR(__xludf.DUMMYFUNCTION("""COMPUTED_VALUE"""),"Classroom")</f>
        <v>Classroom</v>
      </c>
      <c r="Q1992" s="5" t="str">
        <f ca="1">IFERROR(__xludf.DUMMYFUNCTION("""COMPUTED_VALUE"""),"Off School Property")</f>
        <v>Off School Property</v>
      </c>
      <c r="R1992" s="5" t="str">
        <f ca="1">IFERROR(__xludf.DUMMYFUNCTION("""COMPUTED_VALUE"""),"Yes")</f>
        <v>Yes</v>
      </c>
      <c r="S1992" s="5" t="str">
        <f ca="1">IFERROR(__xludf.DUMMYFUNCTION("""COMPUTED_VALUE"""),"Morning Classes")</f>
        <v>Morning Classes</v>
      </c>
      <c r="T1992" s="10">
        <f ca="1">IFERROR(__xludf.DUMMYFUNCTION("""COMPUTED_VALUE"""),0.489583333333333)</f>
        <v>0.48958333333333298</v>
      </c>
      <c r="U1992" s="5"/>
      <c r="V1992" s="5" t="str">
        <f ca="1">IFERROR(__xludf.DUMMYFUNCTION("""COMPUTED_VALUE"""),"Shot windows of four classroom from outside while school was in session")</f>
        <v>Shot windows of four classroom from outside while school was in session</v>
      </c>
      <c r="W1992"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X1992" s="5" t="str">
        <f ca="1">IFERROR(__xludf.DUMMYFUNCTION("""COMPUTED_VALUE"""),"Intentional Property Damage")</f>
        <v>Intentional Property Damage</v>
      </c>
      <c r="Y1992" s="5"/>
      <c r="Z1992" s="5" t="str">
        <f ca="1">IFERROR(__xludf.DUMMYFUNCTION("""COMPUTED_VALUE"""),"No")</f>
        <v>No</v>
      </c>
      <c r="AA1992" s="5"/>
      <c r="AB1992" s="5" t="str">
        <f ca="1">IFERROR(__xludf.DUMMYFUNCTION("""COMPUTED_VALUE"""),"No")</f>
        <v>No</v>
      </c>
      <c r="AC1992" s="5" t="str">
        <f ca="1">IFERROR(__xludf.DUMMYFUNCTION("""COMPUTED_VALUE"""),"No")</f>
        <v>No</v>
      </c>
      <c r="AD1992" s="5" t="str">
        <f ca="1">IFERROR(__xludf.DUMMYFUNCTION("""COMPUTED_VALUE"""),"No")</f>
        <v>No</v>
      </c>
      <c r="AE1992" s="5"/>
      <c r="AF1992" s="5" t="str">
        <f ca="1">IFERROR(__xludf.DUMMYFUNCTION("""COMPUTED_VALUE"""),"No")</f>
        <v>No</v>
      </c>
      <c r="AG1992" s="5" t="str">
        <f ca="1">IFERROR(__xludf.DUMMYFUNCTION("""COMPUTED_VALUE"""),"No")</f>
        <v>No</v>
      </c>
      <c r="AH1992" s="5"/>
    </row>
    <row r="1993" spans="1:34" ht="12.75">
      <c r="A1993" s="5" t="str">
        <f ca="1">IFERROR(__xludf.DUMMYFUNCTION("""COMPUTED_VALUE"""),"19760514FLPAW")</f>
        <v>19760514FLPAW</v>
      </c>
      <c r="B1993" s="8">
        <f ca="1">IFERROR(__xludf.DUMMYFUNCTION("""COMPUTED_VALUE"""),27894)</f>
        <v>27894</v>
      </c>
      <c r="C1993" s="5" t="str">
        <f ca="1">IFERROR(__xludf.DUMMYFUNCTION("""COMPUTED_VALUE"""),"Palm Beach Gardens High School")</f>
        <v>Palm Beach Gardens High School</v>
      </c>
      <c r="D1993" s="5">
        <f ca="1">IFERROR(__xludf.DUMMYFUNCTION("""COMPUTED_VALUE"""),0)</f>
        <v>0</v>
      </c>
      <c r="E1993" s="5">
        <f ca="1">IFERROR(__xludf.DUMMYFUNCTION("""COMPUTED_VALUE"""),1)</f>
        <v>1</v>
      </c>
      <c r="F1993" s="5">
        <f ca="1">IFERROR(__xludf.DUMMYFUNCTION("""COMPUTED_VALUE"""),1)</f>
        <v>1</v>
      </c>
      <c r="G1993" s="5">
        <f ca="1">IFERROR(__xludf.DUMMYFUNCTION("""COMPUTED_VALUE"""),0)</f>
        <v>0</v>
      </c>
      <c r="H1993" s="9" t="str">
        <f ca="1">IFERROR(__xludf.DUMMYFUNCTION("""COMPUTED_VALUE"""),"https://www.newspapers.com/image/133980815/?terms=palm%2Bbeach%2Bgarden%2Bschool%2Bshooting")</f>
        <v>https://www.newspapers.com/image/133980815/?terms=palm%2Bbeach%2Bgarden%2Bschool%2Bshooting</v>
      </c>
      <c r="I1993" s="5"/>
      <c r="J1993" s="5"/>
      <c r="K1993" s="5">
        <f ca="1">IFERROR(__xludf.DUMMYFUNCTION("""COMPUTED_VALUE"""),2)</f>
        <v>2</v>
      </c>
      <c r="L1993" s="5" t="str">
        <f ca="1">IFERROR(__xludf.DUMMYFUNCTION("""COMPUTED_VALUE"""),"Spring")</f>
        <v>Spring</v>
      </c>
      <c r="M1993" s="5" t="str">
        <f ca="1">IFERROR(__xludf.DUMMYFUNCTION("""COMPUTED_VALUE"""),"West Palm Beach")</f>
        <v>West Palm Beach</v>
      </c>
      <c r="N1993" s="5" t="str">
        <f ca="1">IFERROR(__xludf.DUMMYFUNCTION("""COMPUTED_VALUE"""),"FL")</f>
        <v>FL</v>
      </c>
      <c r="O1993" s="5" t="str">
        <f ca="1">IFERROR(__xludf.DUMMYFUNCTION("""COMPUTED_VALUE"""),"High")</f>
        <v>High</v>
      </c>
      <c r="P1993" s="5" t="str">
        <f ca="1">IFERROR(__xludf.DUMMYFUNCTION("""COMPUTED_VALUE"""),"Outside on School Property")</f>
        <v>Outside on School Property</v>
      </c>
      <c r="Q1993" s="5" t="str">
        <f ca="1">IFERROR(__xludf.DUMMYFUNCTION("""COMPUTED_VALUE"""),"Outside on School Property")</f>
        <v>Outside on School Property</v>
      </c>
      <c r="R1993" s="5" t="str">
        <f ca="1">IFERROR(__xludf.DUMMYFUNCTION("""COMPUTED_VALUE"""),"Yes")</f>
        <v>Yes</v>
      </c>
      <c r="S1993" s="5" t="str">
        <f ca="1">IFERROR(__xludf.DUMMYFUNCTION("""COMPUTED_VALUE"""),"Lunch")</f>
        <v>Lunch</v>
      </c>
      <c r="T1993" s="10">
        <f ca="1">IFERROR(__xludf.DUMMYFUNCTION("""COMPUTED_VALUE"""),0.5)</f>
        <v>0.5</v>
      </c>
      <c r="U1993" s="5">
        <f ca="1">IFERROR(__xludf.DUMMYFUNCTION("""COMPUTED_VALUE"""),1)</f>
        <v>1</v>
      </c>
      <c r="V1993" s="5" t="str">
        <f ca="1">IFERROR(__xludf.DUMMYFUNCTION("""COMPUTED_VALUE"""),"Fight over spitting in parking lot")</f>
        <v>Fight over spitting in parking lot</v>
      </c>
      <c r="W1993"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X1993" s="5" t="str">
        <f ca="1">IFERROR(__xludf.DUMMYFUNCTION("""COMPUTED_VALUE"""),"Escalation of Dispute")</f>
        <v>Escalation of Dispute</v>
      </c>
      <c r="Y1993" s="5" t="str">
        <f ca="1">IFERROR(__xludf.DUMMYFUNCTION("""COMPUTED_VALUE"""),"Victims Targeted")</f>
        <v>Victims Targeted</v>
      </c>
      <c r="Z1993" s="5" t="str">
        <f ca="1">IFERROR(__xludf.DUMMYFUNCTION("""COMPUTED_VALUE"""),"No")</f>
        <v>No</v>
      </c>
      <c r="AA1993" s="5"/>
      <c r="AB1993" s="5" t="str">
        <f ca="1">IFERROR(__xludf.DUMMYFUNCTION("""COMPUTED_VALUE"""),"No")</f>
        <v>No</v>
      </c>
      <c r="AC1993" s="5" t="str">
        <f ca="1">IFERROR(__xludf.DUMMYFUNCTION("""COMPUTED_VALUE"""),"No")</f>
        <v>No</v>
      </c>
      <c r="AD1993" s="5" t="str">
        <f ca="1">IFERROR(__xludf.DUMMYFUNCTION("""COMPUTED_VALUE"""),"No")</f>
        <v>No</v>
      </c>
      <c r="AE1993" s="5" t="str">
        <f ca="1">IFERROR(__xludf.DUMMYFUNCTION("""COMPUTED_VALUE"""),"No")</f>
        <v>No</v>
      </c>
      <c r="AF1993" s="5" t="str">
        <f ca="1">IFERROR(__xludf.DUMMYFUNCTION("""COMPUTED_VALUE"""),"No")</f>
        <v>No</v>
      </c>
      <c r="AG1993" s="5" t="str">
        <f ca="1">IFERROR(__xludf.DUMMYFUNCTION("""COMPUTED_VALUE"""),"No")</f>
        <v>No</v>
      </c>
      <c r="AH1993" s="5"/>
    </row>
    <row r="1994" spans="1:34" ht="12.75">
      <c r="A1994" s="5" t="str">
        <f ca="1">IFERROR(__xludf.DUMMYFUNCTION("""COMPUTED_VALUE"""),"19760513MOMAS")</f>
        <v>19760513MOMAS</v>
      </c>
      <c r="B1994" s="8">
        <f ca="1">IFERROR(__xludf.DUMMYFUNCTION("""COMPUTED_VALUE"""),27893)</f>
        <v>27893</v>
      </c>
      <c r="C1994" s="5" t="str">
        <f ca="1">IFERROR(__xludf.DUMMYFUNCTION("""COMPUTED_VALUE"""),"Mark Twain School")</f>
        <v>Mark Twain School</v>
      </c>
      <c r="D1994" s="5">
        <f ca="1">IFERROR(__xludf.DUMMYFUNCTION("""COMPUTED_VALUE"""),0)</f>
        <v>0</v>
      </c>
      <c r="E1994" s="5">
        <f ca="1">IFERROR(__xludf.DUMMYFUNCTION("""COMPUTED_VALUE"""),1)</f>
        <v>1</v>
      </c>
      <c r="F1994" s="5">
        <f ca="1">IFERROR(__xludf.DUMMYFUNCTION("""COMPUTED_VALUE"""),1)</f>
        <v>1</v>
      </c>
      <c r="G1994" s="5">
        <f ca="1">IFERROR(__xludf.DUMMYFUNCTION("""COMPUTED_VALUE"""),0)</f>
        <v>0</v>
      </c>
      <c r="H1994" s="5" t="str">
        <f ca="1">IFERROR(__xludf.DUMMYFUNCTION("""COMPUTED_VALUE"""),"https://www.newspapers.com/image/18588223/?terms=STUDENT%2BSHOT; https://www.newspapers.com/image/139466550/?terms=MELVIN%2BGRAY")</f>
        <v>https://www.newspapers.com/image/18588223/?terms=STUDENT%2BSHOT; https://www.newspapers.com/image/139466550/?terms=MELVIN%2BGRAY</v>
      </c>
      <c r="I1994" s="5"/>
      <c r="J1994" s="5"/>
      <c r="K1994" s="5">
        <f ca="1">IFERROR(__xludf.DUMMYFUNCTION("""COMPUTED_VALUE"""),2)</f>
        <v>2</v>
      </c>
      <c r="L1994" s="5" t="str">
        <f ca="1">IFERROR(__xludf.DUMMYFUNCTION("""COMPUTED_VALUE"""),"Spring")</f>
        <v>Spring</v>
      </c>
      <c r="M1994" s="5" t="str">
        <f ca="1">IFERROR(__xludf.DUMMYFUNCTION("""COMPUTED_VALUE"""),"St. Louis")</f>
        <v>St. Louis</v>
      </c>
      <c r="N1994" s="5" t="str">
        <f ca="1">IFERROR(__xludf.DUMMYFUNCTION("""COMPUTED_VALUE"""),"MO")</f>
        <v>MO</v>
      </c>
      <c r="O1994" s="5" t="str">
        <f ca="1">IFERROR(__xludf.DUMMYFUNCTION("""COMPUTED_VALUE"""),"Elementary")</f>
        <v>Elementary</v>
      </c>
      <c r="P1994" s="5" t="str">
        <f ca="1">IFERROR(__xludf.DUMMYFUNCTION("""COMPUTED_VALUE"""),"Cafeteria")</f>
        <v>Cafeteria</v>
      </c>
      <c r="Q1994" s="5" t="str">
        <f ca="1">IFERROR(__xludf.DUMMYFUNCTION("""COMPUTED_VALUE"""),"Inside School Building")</f>
        <v>Inside School Building</v>
      </c>
      <c r="R1994" s="5" t="str">
        <f ca="1">IFERROR(__xludf.DUMMYFUNCTION("""COMPUTED_VALUE"""),"Yes")</f>
        <v>Yes</v>
      </c>
      <c r="S1994" s="5" t="str">
        <f ca="1">IFERROR(__xludf.DUMMYFUNCTION("""COMPUTED_VALUE"""),"Lunch")</f>
        <v>Lunch</v>
      </c>
      <c r="T1994" s="5"/>
      <c r="U1994" s="5">
        <f ca="1">IFERROR(__xludf.DUMMYFUNCTION("""COMPUTED_VALUE"""),1)</f>
        <v>1</v>
      </c>
      <c r="V1994" s="5" t="str">
        <f ca="1">IFERROR(__xludf.DUMMYFUNCTION("""COMPUTED_VALUE"""),"Victim accidentally shot by shooter aiming at two other boys")</f>
        <v>Victim accidentally shot by shooter aiming at two other boys</v>
      </c>
      <c r="W1994" s="5" t="str">
        <f ca="1">IFERROR(__xludf.DUMMYFUNCTION("""COMPUTED_VALUE"""),"Victim (not target) was shot by shooter who was attempting to fire at two boys who cut in lunch line.")</f>
        <v>Victim (not target) was shot by shooter who was attempting to fire at two boys who cut in lunch line.</v>
      </c>
      <c r="X1994" s="5" t="str">
        <f ca="1">IFERROR(__xludf.DUMMYFUNCTION("""COMPUTED_VALUE"""),"Escalation of Dispute")</f>
        <v>Escalation of Dispute</v>
      </c>
      <c r="Y1994" s="5" t="str">
        <f ca="1">IFERROR(__xludf.DUMMYFUNCTION("""COMPUTED_VALUE"""),"Random Shooting")</f>
        <v>Random Shooting</v>
      </c>
      <c r="Z1994" s="5" t="str">
        <f ca="1">IFERROR(__xludf.DUMMYFUNCTION("""COMPUTED_VALUE"""),"No")</f>
        <v>No</v>
      </c>
      <c r="AA1994" s="5"/>
      <c r="AB1994" s="5" t="str">
        <f ca="1">IFERROR(__xludf.DUMMYFUNCTION("""COMPUTED_VALUE"""),"No")</f>
        <v>No</v>
      </c>
      <c r="AC1994" s="5" t="str">
        <f ca="1">IFERROR(__xludf.DUMMYFUNCTION("""COMPUTED_VALUE"""),"No")</f>
        <v>No</v>
      </c>
      <c r="AD1994" s="5" t="str">
        <f ca="1">IFERROR(__xludf.DUMMYFUNCTION("""COMPUTED_VALUE"""),"No")</f>
        <v>No</v>
      </c>
      <c r="AE1994" s="5" t="str">
        <f ca="1">IFERROR(__xludf.DUMMYFUNCTION("""COMPUTED_VALUE"""),"No")</f>
        <v>No</v>
      </c>
      <c r="AF1994" s="5" t="str">
        <f ca="1">IFERROR(__xludf.DUMMYFUNCTION("""COMPUTED_VALUE"""),"No")</f>
        <v>No</v>
      </c>
      <c r="AG1994" s="5" t="str">
        <f ca="1">IFERROR(__xludf.DUMMYFUNCTION("""COMPUTED_VALUE"""),"No")</f>
        <v>No</v>
      </c>
      <c r="AH1994" s="5"/>
    </row>
    <row r="1995" spans="1:34" ht="12.75">
      <c r="A1995" s="5" t="str">
        <f ca="1">IFERROR(__xludf.DUMMYFUNCTION("""COMPUTED_VALUE"""),"19760412TXODF")</f>
        <v>19760412TXODF</v>
      </c>
      <c r="B1995" s="8">
        <f ca="1">IFERROR(__xludf.DUMMYFUNCTION("""COMPUTED_VALUE"""),27862)</f>
        <v>27862</v>
      </c>
      <c r="C1995" s="5" t="str">
        <f ca="1">IFERROR(__xludf.DUMMYFUNCTION("""COMPUTED_VALUE"""),"O D Wyatt High School")</f>
        <v>O D Wyatt High School</v>
      </c>
      <c r="D1995" s="5">
        <f ca="1">IFERROR(__xludf.DUMMYFUNCTION("""COMPUTED_VALUE"""),1)</f>
        <v>1</v>
      </c>
      <c r="E1995" s="5">
        <f ca="1">IFERROR(__xludf.DUMMYFUNCTION("""COMPUTED_VALUE"""),1)</f>
        <v>1</v>
      </c>
      <c r="F1995" s="5">
        <f ca="1">IFERROR(__xludf.DUMMYFUNCTION("""COMPUTED_VALUE"""),2)</f>
        <v>2</v>
      </c>
      <c r="G1995" s="5">
        <f ca="1">IFERROR(__xludf.DUMMYFUNCTION("""COMPUTED_VALUE"""),0)</f>
        <v>0</v>
      </c>
      <c r="H1995" s="9" t="str">
        <f ca="1">IFERROR(__xludf.DUMMYFUNCTION("""COMPUTED_VALUE"""),"https://www.newspapers.com/image/29580657/?terms=school%2Bshooting")</f>
        <v>https://www.newspapers.com/image/29580657/?terms=school%2Bshooting</v>
      </c>
      <c r="I1995" s="5"/>
      <c r="J1995" s="5"/>
      <c r="K1995" s="5">
        <f ca="1">IFERROR(__xludf.DUMMYFUNCTION("""COMPUTED_VALUE"""),2)</f>
        <v>2</v>
      </c>
      <c r="L1995" s="5" t="str">
        <f ca="1">IFERROR(__xludf.DUMMYFUNCTION("""COMPUTED_VALUE"""),"Spring")</f>
        <v>Spring</v>
      </c>
      <c r="M1995" s="5" t="str">
        <f ca="1">IFERROR(__xludf.DUMMYFUNCTION("""COMPUTED_VALUE"""),"Fort Worth")</f>
        <v>Fort Worth</v>
      </c>
      <c r="N1995" s="5" t="str">
        <f ca="1">IFERROR(__xludf.DUMMYFUNCTION("""COMPUTED_VALUE"""),"TX")</f>
        <v>TX</v>
      </c>
      <c r="O1995" s="5" t="str">
        <f ca="1">IFERROR(__xludf.DUMMYFUNCTION("""COMPUTED_VALUE"""),"High")</f>
        <v>High</v>
      </c>
      <c r="P1995" s="5" t="str">
        <f ca="1">IFERROR(__xludf.DUMMYFUNCTION("""COMPUTED_VALUE"""),"Hallway")</f>
        <v>Hallway</v>
      </c>
      <c r="Q1995" s="5" t="str">
        <f ca="1">IFERROR(__xludf.DUMMYFUNCTION("""COMPUTED_VALUE"""),"Inside School Building")</f>
        <v>Inside School Building</v>
      </c>
      <c r="R1995" s="5" t="str">
        <f ca="1">IFERROR(__xludf.DUMMYFUNCTION("""COMPUTED_VALUE"""),"Yes")</f>
        <v>Yes</v>
      </c>
      <c r="S1995" s="5" t="str">
        <f ca="1">IFERROR(__xludf.DUMMYFUNCTION("""COMPUTED_VALUE"""),"Afternoon Classes")</f>
        <v>Afternoon Classes</v>
      </c>
      <c r="T1995" s="5"/>
      <c r="U1995" s="5">
        <f ca="1">IFERROR(__xludf.DUMMYFUNCTION("""COMPUTED_VALUE"""),1)</f>
        <v>1</v>
      </c>
      <c r="V1995" s="5" t="str">
        <f ca="1">IFERROR(__xludf.DUMMYFUNCTION("""COMPUTED_VALUE"""),"Dispute turned into shooting, another student hit in crossfire")</f>
        <v>Dispute turned into shooting, another student hit in crossfire</v>
      </c>
      <c r="W1995"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X1995" s="5" t="str">
        <f ca="1">IFERROR(__xludf.DUMMYFUNCTION("""COMPUTED_VALUE"""),"Escalation of Dispute")</f>
        <v>Escalation of Dispute</v>
      </c>
      <c r="Y1995" s="5" t="str">
        <f ca="1">IFERROR(__xludf.DUMMYFUNCTION("""COMPUTED_VALUE"""),"Both")</f>
        <v>Both</v>
      </c>
      <c r="Z1995" s="5" t="str">
        <f ca="1">IFERROR(__xludf.DUMMYFUNCTION("""COMPUTED_VALUE"""),"No")</f>
        <v>No</v>
      </c>
      <c r="AA1995" s="5"/>
      <c r="AB1995" s="5" t="str">
        <f ca="1">IFERROR(__xludf.DUMMYFUNCTION("""COMPUTED_VALUE"""),"No")</f>
        <v>No</v>
      </c>
      <c r="AC1995" s="5" t="str">
        <f ca="1">IFERROR(__xludf.DUMMYFUNCTION("""COMPUTED_VALUE"""),"No")</f>
        <v>No</v>
      </c>
      <c r="AD1995" s="5" t="str">
        <f ca="1">IFERROR(__xludf.DUMMYFUNCTION("""COMPUTED_VALUE"""),"No")</f>
        <v>No</v>
      </c>
      <c r="AE1995" s="5"/>
      <c r="AF1995" s="5" t="str">
        <f ca="1">IFERROR(__xludf.DUMMYFUNCTION("""COMPUTED_VALUE"""),"No")</f>
        <v>No</v>
      </c>
      <c r="AG1995" s="5" t="str">
        <f ca="1">IFERROR(__xludf.DUMMYFUNCTION("""COMPUTED_VALUE"""),"No")</f>
        <v>No</v>
      </c>
      <c r="AH1995" s="5"/>
    </row>
    <row r="1996" spans="1:34" ht="12.75">
      <c r="A1996" s="5" t="str">
        <f ca="1">IFERROR(__xludf.DUMMYFUNCTION("""COMPUTED_VALUE"""),"19760212MIMUD")</f>
        <v>19760212MIMUD</v>
      </c>
      <c r="B1996" s="8">
        <f ca="1">IFERROR(__xludf.DUMMYFUNCTION("""COMPUTED_VALUE"""),27802)</f>
        <v>27802</v>
      </c>
      <c r="C1996" s="5" t="str">
        <f ca="1">IFERROR(__xludf.DUMMYFUNCTION("""COMPUTED_VALUE"""),"Murray-Wright High School")</f>
        <v>Murray-Wright High School</v>
      </c>
      <c r="D1996" s="5">
        <f ca="1">IFERROR(__xludf.DUMMYFUNCTION("""COMPUTED_VALUE"""),0)</f>
        <v>0</v>
      </c>
      <c r="E1996" s="5">
        <f ca="1">IFERROR(__xludf.DUMMYFUNCTION("""COMPUTED_VALUE"""),5)</f>
        <v>5</v>
      </c>
      <c r="F1996" s="5">
        <f ca="1">IFERROR(__xludf.DUMMYFUNCTION("""COMPUTED_VALUE"""),5)</f>
        <v>5</v>
      </c>
      <c r="G1996" s="5">
        <f ca="1">IFERROR(__xludf.DUMMYFUNCTION("""COMPUTED_VALUE"""),0)</f>
        <v>0</v>
      </c>
      <c r="H1996" s="9" t="str">
        <f ca="1">IFERROR(__xludf.DUMMYFUNCTION("""COMPUTED_VALUE"""),"https://news.google.com/newspapers?id=LQ9PAAAAIBAJ&amp;pg=3947,2156747")</f>
        <v>https://news.google.com/newspapers?id=LQ9PAAAAIBAJ&amp;pg=3947,2156747</v>
      </c>
      <c r="I1996" s="5"/>
      <c r="J1996" s="5"/>
      <c r="K1996" s="5">
        <f ca="1">IFERROR(__xludf.DUMMYFUNCTION("""COMPUTED_VALUE"""),2)</f>
        <v>2</v>
      </c>
      <c r="L1996" s="5" t="str">
        <f ca="1">IFERROR(__xludf.DUMMYFUNCTION("""COMPUTED_VALUE"""),"Winter")</f>
        <v>Winter</v>
      </c>
      <c r="M1996" s="5" t="str">
        <f ca="1">IFERROR(__xludf.DUMMYFUNCTION("""COMPUTED_VALUE"""),"Detroit")</f>
        <v>Detroit</v>
      </c>
      <c r="N1996" s="5" t="str">
        <f ca="1">IFERROR(__xludf.DUMMYFUNCTION("""COMPUTED_VALUE"""),"MI")</f>
        <v>MI</v>
      </c>
      <c r="O1996" s="5" t="str">
        <f ca="1">IFERROR(__xludf.DUMMYFUNCTION("""COMPUTED_VALUE"""),"High")</f>
        <v>High</v>
      </c>
      <c r="P1996" s="5" t="str">
        <f ca="1">IFERROR(__xludf.DUMMYFUNCTION("""COMPUTED_VALUE"""),"Hallway")</f>
        <v>Hallway</v>
      </c>
      <c r="Q1996" s="5" t="str">
        <f ca="1">IFERROR(__xludf.DUMMYFUNCTION("""COMPUTED_VALUE"""),"Inside School Building")</f>
        <v>Inside School Building</v>
      </c>
      <c r="R1996" s="5" t="str">
        <f ca="1">IFERROR(__xludf.DUMMYFUNCTION("""COMPUTED_VALUE"""),"Yes")</f>
        <v>Yes</v>
      </c>
      <c r="S1996" s="5"/>
      <c r="T1996" s="5"/>
      <c r="U1996" s="5">
        <f ca="1">IFERROR(__xludf.DUMMYFUNCTION("""COMPUTED_VALUE"""),1)</f>
        <v>1</v>
      </c>
      <c r="V1996" s="5" t="str">
        <f ca="1">IFERROR(__xludf.DUMMYFUNCTION("""COMPUTED_VALUE"""),"Dispute over a girlfriend")</f>
        <v>Dispute over a girlfriend</v>
      </c>
      <c r="W1996"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X1996" s="5" t="str">
        <f ca="1">IFERROR(__xludf.DUMMYFUNCTION("""COMPUTED_VALUE"""),"Escalation of Dispute")</f>
        <v>Escalation of Dispute</v>
      </c>
      <c r="Y1996" s="5" t="str">
        <f ca="1">IFERROR(__xludf.DUMMYFUNCTION("""COMPUTED_VALUE"""),"Random Shooting")</f>
        <v>Random Shooting</v>
      </c>
      <c r="Z1996" s="5" t="str">
        <f ca="1">IFERROR(__xludf.DUMMYFUNCTION("""COMPUTED_VALUE"""),"Yes")</f>
        <v>Yes</v>
      </c>
      <c r="AA1996" s="5" t="str">
        <f ca="1">IFERROR(__xludf.DUMMYFUNCTION("""COMPUTED_VALUE"""),"6 teens involved")</f>
        <v>6 teens involved</v>
      </c>
      <c r="AB1996" s="5" t="str">
        <f ca="1">IFERROR(__xludf.DUMMYFUNCTION("""COMPUTED_VALUE"""),"No")</f>
        <v>No</v>
      </c>
      <c r="AC1996" s="5" t="str">
        <f ca="1">IFERROR(__xludf.DUMMYFUNCTION("""COMPUTED_VALUE"""),"No")</f>
        <v>No</v>
      </c>
      <c r="AD1996" s="5" t="str">
        <f ca="1">IFERROR(__xludf.DUMMYFUNCTION("""COMPUTED_VALUE"""),"No")</f>
        <v>No</v>
      </c>
      <c r="AE1996" s="5" t="str">
        <f ca="1">IFERROR(__xludf.DUMMYFUNCTION("""COMPUTED_VALUE"""),"No")</f>
        <v>No</v>
      </c>
      <c r="AF1996" s="5" t="str">
        <f ca="1">IFERROR(__xludf.DUMMYFUNCTION("""COMPUTED_VALUE"""),"Yes")</f>
        <v>Yes</v>
      </c>
      <c r="AG1996" s="5" t="str">
        <f ca="1">IFERROR(__xludf.DUMMYFUNCTION("""COMPUTED_VALUE"""),"No")</f>
        <v>No</v>
      </c>
      <c r="AH1996" s="5"/>
    </row>
    <row r="1997" spans="1:34" ht="12.75">
      <c r="A1997" s="5" t="str">
        <f ca="1">IFERROR(__xludf.DUMMYFUNCTION("""COMPUTED_VALUE"""),"19760206FLESP")</f>
        <v>19760206FLESP</v>
      </c>
      <c r="B1997" s="8">
        <f ca="1">IFERROR(__xludf.DUMMYFUNCTION("""COMPUTED_VALUE"""),27796)</f>
        <v>27796</v>
      </c>
      <c r="C1997" s="5" t="str">
        <f ca="1">IFERROR(__xludf.DUMMYFUNCTION("""COMPUTED_VALUE"""),"Escambia High School")</f>
        <v>Escambia High School</v>
      </c>
      <c r="D1997" s="5">
        <f ca="1">IFERROR(__xludf.DUMMYFUNCTION("""COMPUTED_VALUE"""),0)</f>
        <v>0</v>
      </c>
      <c r="E1997" s="5">
        <f ca="1">IFERROR(__xludf.DUMMYFUNCTION("""COMPUTED_VALUE"""),4)</f>
        <v>4</v>
      </c>
      <c r="F1997" s="5">
        <f ca="1">IFERROR(__xludf.DUMMYFUNCTION("""COMPUTED_VALUE"""),4)</f>
        <v>4</v>
      </c>
      <c r="G1997" s="5">
        <f ca="1">IFERROR(__xludf.DUMMYFUNCTION("""COMPUTED_VALUE"""),0)</f>
        <v>0</v>
      </c>
      <c r="H1997"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I1997" s="5"/>
      <c r="J1997" s="5"/>
      <c r="K1997" s="5">
        <f ca="1">IFERROR(__xludf.DUMMYFUNCTION("""COMPUTED_VALUE"""),3)</f>
        <v>3</v>
      </c>
      <c r="L1997" s="5" t="str">
        <f ca="1">IFERROR(__xludf.DUMMYFUNCTION("""COMPUTED_VALUE"""),"Winter")</f>
        <v>Winter</v>
      </c>
      <c r="M1997" s="5" t="str">
        <f ca="1">IFERROR(__xludf.DUMMYFUNCTION("""COMPUTED_VALUE"""),"Pensacola")</f>
        <v>Pensacola</v>
      </c>
      <c r="N1997" s="5" t="str">
        <f ca="1">IFERROR(__xludf.DUMMYFUNCTION("""COMPUTED_VALUE"""),"FL")</f>
        <v>FL</v>
      </c>
      <c r="O1997" s="5" t="str">
        <f ca="1">IFERROR(__xludf.DUMMYFUNCTION("""COMPUTED_VALUE"""),"High")</f>
        <v>High</v>
      </c>
      <c r="P1997" s="5" t="str">
        <f ca="1">IFERROR(__xludf.DUMMYFUNCTION("""COMPUTED_VALUE"""),"Outside on School Property")</f>
        <v>Outside on School Property</v>
      </c>
      <c r="Q1997" s="5" t="str">
        <f ca="1">IFERROR(__xludf.DUMMYFUNCTION("""COMPUTED_VALUE"""),"Outside on School Property")</f>
        <v>Outside on School Property</v>
      </c>
      <c r="R1997" s="5" t="str">
        <f ca="1">IFERROR(__xludf.DUMMYFUNCTION("""COMPUTED_VALUE"""),"Yes")</f>
        <v>Yes</v>
      </c>
      <c r="S1997" s="5" t="str">
        <f ca="1">IFERROR(__xludf.DUMMYFUNCTION("""COMPUTED_VALUE"""),"Afternoon Classes")</f>
        <v>Afternoon Classes</v>
      </c>
      <c r="T1997" s="5"/>
      <c r="U1997" s="5">
        <f ca="1">IFERROR(__xludf.DUMMYFUNCTION("""COMPUTED_VALUE"""),180)</f>
        <v>180</v>
      </c>
      <c r="V1997" s="5" t="str">
        <f ca="1">IFERROR(__xludf.DUMMYFUNCTION("""COMPUTED_VALUE"""),"3 hour riot due to racial tension")</f>
        <v>3 hour riot due to racial tension</v>
      </c>
      <c r="W1997"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X1997" s="5" t="str">
        <f ca="1">IFERROR(__xludf.DUMMYFUNCTION("""COMPUTED_VALUE"""),"Racial")</f>
        <v>Racial</v>
      </c>
      <c r="Y1997" s="5" t="str">
        <f ca="1">IFERROR(__xludf.DUMMYFUNCTION("""COMPUTED_VALUE"""),"Neither")</f>
        <v>Neither</v>
      </c>
      <c r="Z1997" s="5" t="str">
        <f ca="1">IFERROR(__xludf.DUMMYFUNCTION("""COMPUTED_VALUE"""),"No")</f>
        <v>No</v>
      </c>
      <c r="AA1997" s="5"/>
      <c r="AB1997" s="5" t="str">
        <f ca="1">IFERROR(__xludf.DUMMYFUNCTION("""COMPUTED_VALUE"""),"No")</f>
        <v>No</v>
      </c>
      <c r="AC1997" s="5" t="str">
        <f ca="1">IFERROR(__xludf.DUMMYFUNCTION("""COMPUTED_VALUE"""),"No")</f>
        <v>No</v>
      </c>
      <c r="AD1997" s="5" t="str">
        <f ca="1">IFERROR(__xludf.DUMMYFUNCTION("""COMPUTED_VALUE"""),"No")</f>
        <v>No</v>
      </c>
      <c r="AE1997" s="5" t="str">
        <f ca="1">IFERROR(__xludf.DUMMYFUNCTION("""COMPUTED_VALUE"""),"No")</f>
        <v>No</v>
      </c>
      <c r="AF1997" s="5" t="str">
        <f ca="1">IFERROR(__xludf.DUMMYFUNCTION("""COMPUTED_VALUE"""),"No")</f>
        <v>No</v>
      </c>
      <c r="AG1997" s="5" t="str">
        <f ca="1">IFERROR(__xludf.DUMMYFUNCTION("""COMPUTED_VALUE"""),"No")</f>
        <v>No</v>
      </c>
      <c r="AH1997" s="5"/>
    </row>
    <row r="1998" spans="1:34" ht="12.75">
      <c r="A1998" s="5" t="str">
        <f ca="1">IFERROR(__xludf.DUMMYFUNCTION("""COMPUTED_VALUE"""),"19760123OHCOC")</f>
        <v>19760123OHCOC</v>
      </c>
      <c r="B1998" s="8">
        <f ca="1">IFERROR(__xludf.DUMMYFUNCTION("""COMPUTED_VALUE"""),27782)</f>
        <v>27782</v>
      </c>
      <c r="C1998" s="5" t="str">
        <f ca="1">IFERROR(__xludf.DUMMYFUNCTION("""COMPUTED_VALUE"""),"Columbus Central High School")</f>
        <v>Columbus Central High School</v>
      </c>
      <c r="D1998" s="5">
        <f ca="1">IFERROR(__xludf.DUMMYFUNCTION("""COMPUTED_VALUE"""),1)</f>
        <v>1</v>
      </c>
      <c r="E1998" s="5">
        <f ca="1">IFERROR(__xludf.DUMMYFUNCTION("""COMPUTED_VALUE"""),1)</f>
        <v>1</v>
      </c>
      <c r="F1998" s="5">
        <f ca="1">IFERROR(__xludf.DUMMYFUNCTION("""COMPUTED_VALUE"""),2)</f>
        <v>2</v>
      </c>
      <c r="G1998" s="5">
        <f ca="1">IFERROR(__xludf.DUMMYFUNCTION("""COMPUTED_VALUE"""),0)</f>
        <v>0</v>
      </c>
      <c r="H1998" s="9" t="str">
        <f ca="1">IFERROR(__xludf.DUMMYFUNCTION("""COMPUTED_VALUE"""),"https://www.newspapers.com/image/293916124/?terms=school%2Bshooting")</f>
        <v>https://www.newspapers.com/image/293916124/?terms=school%2Bshooting</v>
      </c>
      <c r="I1998" s="5"/>
      <c r="J1998" s="5"/>
      <c r="K1998" s="5">
        <f ca="1">IFERROR(__xludf.DUMMYFUNCTION("""COMPUTED_VALUE"""),2)</f>
        <v>2</v>
      </c>
      <c r="L1998" s="5" t="str">
        <f ca="1">IFERROR(__xludf.DUMMYFUNCTION("""COMPUTED_VALUE"""),"Winter")</f>
        <v>Winter</v>
      </c>
      <c r="M1998" s="5" t="str">
        <f ca="1">IFERROR(__xludf.DUMMYFUNCTION("""COMPUTED_VALUE"""),"Columbus")</f>
        <v>Columbus</v>
      </c>
      <c r="N1998" s="5" t="str">
        <f ca="1">IFERROR(__xludf.DUMMYFUNCTION("""COMPUTED_VALUE"""),"OH")</f>
        <v>OH</v>
      </c>
      <c r="O1998" s="5" t="str">
        <f ca="1">IFERROR(__xludf.DUMMYFUNCTION("""COMPUTED_VALUE"""),"High")</f>
        <v>High</v>
      </c>
      <c r="P1998" s="5" t="str">
        <f ca="1">IFERROR(__xludf.DUMMYFUNCTION("""COMPUTED_VALUE"""),"Office")</f>
        <v>Office</v>
      </c>
      <c r="Q1998" s="5" t="str">
        <f ca="1">IFERROR(__xludf.DUMMYFUNCTION("""COMPUTED_VALUE"""),"Inside School Building")</f>
        <v>Inside School Building</v>
      </c>
      <c r="R1998" s="5" t="str">
        <f ca="1">IFERROR(__xludf.DUMMYFUNCTION("""COMPUTED_VALUE"""),"Yes")</f>
        <v>Yes</v>
      </c>
      <c r="S1998" s="5" t="str">
        <f ca="1">IFERROR(__xludf.DUMMYFUNCTION("""COMPUTED_VALUE"""),"Afternoon Classes")</f>
        <v>Afternoon Classes</v>
      </c>
      <c r="T1998" s="10">
        <f ca="1">IFERROR(__xludf.DUMMYFUNCTION("""COMPUTED_VALUE"""),0.597222222222222)</f>
        <v>0.59722222222222199</v>
      </c>
      <c r="U1998" s="5"/>
      <c r="V1998" s="5" t="str">
        <f ca="1">IFERROR(__xludf.DUMMYFUNCTION("""COMPUTED_VALUE"""),"Student shot teacher and cafeteria manager")</f>
        <v>Student shot teacher and cafeteria manager</v>
      </c>
      <c r="W1998" s="5" t="str">
        <f ca="1">IFERROR(__xludf.DUMMYFUNCTION("""COMPUTED_VALUE"""),"17 year-old male student shot cafeteria manager and killed auto shop teacher with .25 pistol.")</f>
        <v>17 year-old male student shot cafeteria manager and killed auto shop teacher with .25 pistol.</v>
      </c>
      <c r="X1998" s="5" t="str">
        <f ca="1">IFERROR(__xludf.DUMMYFUNCTION("""COMPUTED_VALUE"""),"Unknown")</f>
        <v>Unknown</v>
      </c>
      <c r="Y1998" s="5" t="str">
        <f ca="1">IFERROR(__xludf.DUMMYFUNCTION("""COMPUTED_VALUE"""),"Victims Targeted")</f>
        <v>Victims Targeted</v>
      </c>
      <c r="Z1998" s="5" t="str">
        <f ca="1">IFERROR(__xludf.DUMMYFUNCTION("""COMPUTED_VALUE"""),"No")</f>
        <v>No</v>
      </c>
      <c r="AA1998" s="5"/>
      <c r="AB1998" s="5" t="str">
        <f ca="1">IFERROR(__xludf.DUMMYFUNCTION("""COMPUTED_VALUE"""),"No")</f>
        <v>No</v>
      </c>
      <c r="AC1998" s="5" t="str">
        <f ca="1">IFERROR(__xludf.DUMMYFUNCTION("""COMPUTED_VALUE"""),"No")</f>
        <v>No</v>
      </c>
      <c r="AD1998" s="5" t="str">
        <f ca="1">IFERROR(__xludf.DUMMYFUNCTION("""COMPUTED_VALUE"""),"No")</f>
        <v>No</v>
      </c>
      <c r="AE1998" s="5"/>
      <c r="AF1998" s="5"/>
      <c r="AG1998" s="5" t="str">
        <f ca="1">IFERROR(__xludf.DUMMYFUNCTION("""COMPUTED_VALUE"""),"No")</f>
        <v>No</v>
      </c>
      <c r="AH1998" s="5"/>
    </row>
    <row r="1999" spans="1:34" ht="12.75">
      <c r="A1999" s="5" t="str">
        <f ca="1">IFERROR(__xludf.DUMMYFUNCTION("""COMPUTED_VALUE"""),"19760101AZCAP")</f>
        <v>19760101AZCAP</v>
      </c>
      <c r="B1999" s="8">
        <f ca="1">IFERROR(__xludf.DUMMYFUNCTION("""COMPUTED_VALUE"""),27760)</f>
        <v>27760</v>
      </c>
      <c r="C1999" s="5" t="str">
        <f ca="1">IFERROR(__xludf.DUMMYFUNCTION("""COMPUTED_VALUE"""),"Camelback High School")</f>
        <v>Camelback High School</v>
      </c>
      <c r="D1999" s="5">
        <f ca="1">IFERROR(__xludf.DUMMYFUNCTION("""COMPUTED_VALUE"""),0)</f>
        <v>0</v>
      </c>
      <c r="E1999" s="5">
        <f ca="1">IFERROR(__xludf.DUMMYFUNCTION("""COMPUTED_VALUE"""),1)</f>
        <v>1</v>
      </c>
      <c r="F1999" s="5">
        <f ca="1">IFERROR(__xludf.DUMMYFUNCTION("""COMPUTED_VALUE"""),1)</f>
        <v>1</v>
      </c>
      <c r="G1999" s="5">
        <f ca="1">IFERROR(__xludf.DUMMYFUNCTION("""COMPUTED_VALUE"""),0)</f>
        <v>0</v>
      </c>
      <c r="H1999" s="9" t="str">
        <f ca="1">IFERROR(__xludf.DUMMYFUNCTION("""COMPUTED_VALUE"""),"https://www.newspapers.com/image/117994783/?terms=school%2Bshooting")</f>
        <v>https://www.newspapers.com/image/117994783/?terms=school%2Bshooting</v>
      </c>
      <c r="I1999" s="5"/>
      <c r="J1999" s="5"/>
      <c r="K1999" s="5">
        <f ca="1">IFERROR(__xludf.DUMMYFUNCTION("""COMPUTED_VALUE"""),2)</f>
        <v>2</v>
      </c>
      <c r="L1999" s="5" t="str">
        <f ca="1">IFERROR(__xludf.DUMMYFUNCTION("""COMPUTED_VALUE"""),"Winter")</f>
        <v>Winter</v>
      </c>
      <c r="M1999" s="5" t="str">
        <f ca="1">IFERROR(__xludf.DUMMYFUNCTION("""COMPUTED_VALUE"""),"Phoenix")</f>
        <v>Phoenix</v>
      </c>
      <c r="N1999" s="5" t="str">
        <f ca="1">IFERROR(__xludf.DUMMYFUNCTION("""COMPUTED_VALUE"""),"AZ")</f>
        <v>AZ</v>
      </c>
      <c r="O1999" s="5" t="str">
        <f ca="1">IFERROR(__xludf.DUMMYFUNCTION("""COMPUTED_VALUE"""),"High")</f>
        <v>High</v>
      </c>
      <c r="P1999" s="5" t="str">
        <f ca="1">IFERROR(__xludf.DUMMYFUNCTION("""COMPUTED_VALUE"""),"Outside on School Property")</f>
        <v>Outside on School Property</v>
      </c>
      <c r="Q1999" s="5" t="str">
        <f ca="1">IFERROR(__xludf.DUMMYFUNCTION("""COMPUTED_VALUE"""),"Outside on School Property")</f>
        <v>Outside on School Property</v>
      </c>
      <c r="R1999" s="5" t="str">
        <f ca="1">IFERROR(__xludf.DUMMYFUNCTION("""COMPUTED_VALUE"""),"No")</f>
        <v>No</v>
      </c>
      <c r="S1999" s="5" t="str">
        <f ca="1">IFERROR(__xludf.DUMMYFUNCTION("""COMPUTED_VALUE"""),"Before School")</f>
        <v>Before School</v>
      </c>
      <c r="T1999" s="5"/>
      <c r="U1999" s="5">
        <f ca="1">IFERROR(__xludf.DUMMYFUNCTION("""COMPUTED_VALUE"""),1)</f>
        <v>1</v>
      </c>
      <c r="V1999" s="5" t="str">
        <f ca="1">IFERROR(__xludf.DUMMYFUNCTION("""COMPUTED_VALUE"""),"Multiple shots fired striking school, vehicle, and security guard")</f>
        <v>Multiple shots fired striking school, vehicle, and security guard</v>
      </c>
      <c r="W1999"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X1999" s="5" t="str">
        <f ca="1">IFERROR(__xludf.DUMMYFUNCTION("""COMPUTED_VALUE"""),"Indiscriminate Shooting")</f>
        <v>Indiscriminate Shooting</v>
      </c>
      <c r="Y1999" s="5"/>
      <c r="Z1999" s="5" t="str">
        <f ca="1">IFERROR(__xludf.DUMMYFUNCTION("""COMPUTED_VALUE"""),"No")</f>
        <v>No</v>
      </c>
      <c r="AA1999" s="5"/>
      <c r="AB1999" s="5" t="str">
        <f ca="1">IFERROR(__xludf.DUMMYFUNCTION("""COMPUTED_VALUE"""),"No")</f>
        <v>No</v>
      </c>
      <c r="AC1999" s="5" t="str">
        <f ca="1">IFERROR(__xludf.DUMMYFUNCTION("""COMPUTED_VALUE"""),"No")</f>
        <v>No</v>
      </c>
      <c r="AD1999" s="5" t="str">
        <f ca="1">IFERROR(__xludf.DUMMYFUNCTION("""COMPUTED_VALUE"""),"No")</f>
        <v>No</v>
      </c>
      <c r="AE1999" s="5" t="str">
        <f ca="1">IFERROR(__xludf.DUMMYFUNCTION("""COMPUTED_VALUE"""),"No")</f>
        <v>No</v>
      </c>
      <c r="AF1999" s="5" t="str">
        <f ca="1">IFERROR(__xludf.DUMMYFUNCTION("""COMPUTED_VALUE"""),"No")</f>
        <v>No</v>
      </c>
      <c r="AG1999" s="5" t="str">
        <f ca="1">IFERROR(__xludf.DUMMYFUNCTION("""COMPUTED_VALUE"""),"No")</f>
        <v>No</v>
      </c>
      <c r="AH1999" s="5"/>
    </row>
    <row r="2000" spans="1:34" ht="12.75">
      <c r="A2000" s="5" t="str">
        <f ca="1">IFERROR(__xludf.DUMMYFUNCTION("""COMPUTED_VALUE"""),"19751218CAORS")</f>
        <v>19751218CAORS</v>
      </c>
      <c r="B2000" s="8">
        <f ca="1">IFERROR(__xludf.DUMMYFUNCTION("""COMPUTED_VALUE"""),27746)</f>
        <v>27746</v>
      </c>
      <c r="C2000" s="5" t="str">
        <f ca="1">IFERROR(__xludf.DUMMYFUNCTION("""COMPUTED_VALUE"""),"Orange High School")</f>
        <v>Orange High School</v>
      </c>
      <c r="D2000" s="5">
        <f ca="1">IFERROR(__xludf.DUMMYFUNCTION("""COMPUTED_VALUE"""),0)</f>
        <v>0</v>
      </c>
      <c r="E2000" s="5">
        <f ca="1">IFERROR(__xludf.DUMMYFUNCTION("""COMPUTED_VALUE"""),1)</f>
        <v>1</v>
      </c>
      <c r="F2000" s="5">
        <f ca="1">IFERROR(__xludf.DUMMYFUNCTION("""COMPUTED_VALUE"""),1)</f>
        <v>1</v>
      </c>
      <c r="G2000" s="5">
        <f ca="1">IFERROR(__xludf.DUMMYFUNCTION("""COMPUTED_VALUE"""),0)</f>
        <v>0</v>
      </c>
      <c r="H2000" s="9" t="str">
        <f ca="1">IFERROR(__xludf.DUMMYFUNCTION("""COMPUTED_VALUE"""),"https://www.newspapers.com/image/86248524/?terms=school%2Bshooting")</f>
        <v>https://www.newspapers.com/image/86248524/?terms=school%2Bshooting</v>
      </c>
      <c r="I2000" s="5"/>
      <c r="J2000" s="5"/>
      <c r="K2000" s="5">
        <f ca="1">IFERROR(__xludf.DUMMYFUNCTION("""COMPUTED_VALUE"""),2)</f>
        <v>2</v>
      </c>
      <c r="L2000" s="5" t="str">
        <f ca="1">IFERROR(__xludf.DUMMYFUNCTION("""COMPUTED_VALUE"""),"Winter")</f>
        <v>Winter</v>
      </c>
      <c r="M2000" s="5" t="str">
        <f ca="1">IFERROR(__xludf.DUMMYFUNCTION("""COMPUTED_VALUE"""),"Santa Ana")</f>
        <v>Santa Ana</v>
      </c>
      <c r="N2000" s="5" t="str">
        <f ca="1">IFERROR(__xludf.DUMMYFUNCTION("""COMPUTED_VALUE"""),"CA")</f>
        <v>CA</v>
      </c>
      <c r="O2000" s="5" t="str">
        <f ca="1">IFERROR(__xludf.DUMMYFUNCTION("""COMPUTED_VALUE"""),"High")</f>
        <v>High</v>
      </c>
      <c r="P2000" s="5" t="str">
        <f ca="1">IFERROR(__xludf.DUMMYFUNCTION("""COMPUTED_VALUE"""),"Beside Building")</f>
        <v>Beside Building</v>
      </c>
      <c r="Q2000" s="5" t="str">
        <f ca="1">IFERROR(__xludf.DUMMYFUNCTION("""COMPUTED_VALUE"""),"Outside on School Property")</f>
        <v>Outside on School Property</v>
      </c>
      <c r="R2000" s="5" t="str">
        <f ca="1">IFERROR(__xludf.DUMMYFUNCTION("""COMPUTED_VALUE"""),"Yes")</f>
        <v>Yes</v>
      </c>
      <c r="S2000" s="5" t="str">
        <f ca="1">IFERROR(__xludf.DUMMYFUNCTION("""COMPUTED_VALUE"""),"Lunch")</f>
        <v>Lunch</v>
      </c>
      <c r="T2000" s="10">
        <f ca="1">IFERROR(__xludf.DUMMYFUNCTION("""COMPUTED_VALUE"""),0.5)</f>
        <v>0.5</v>
      </c>
      <c r="U2000" s="5">
        <f ca="1">IFERROR(__xludf.DUMMYFUNCTION("""COMPUTED_VALUE"""),1)</f>
        <v>1</v>
      </c>
      <c r="V2000" s="5" t="str">
        <f ca="1">IFERROR(__xludf.DUMMYFUNCTION("""COMPUTED_VALUE"""),"Argument over the gun used in the shooting")</f>
        <v>Argument over the gun used in the shooting</v>
      </c>
      <c r="W2000"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X2000" s="5" t="str">
        <f ca="1">IFERROR(__xludf.DUMMYFUNCTION("""COMPUTED_VALUE"""),"Escalation of Dispute")</f>
        <v>Escalation of Dispute</v>
      </c>
      <c r="Y2000" s="5" t="str">
        <f ca="1">IFERROR(__xludf.DUMMYFUNCTION("""COMPUTED_VALUE"""),"Victims Targeted")</f>
        <v>Victims Targeted</v>
      </c>
      <c r="Z2000" s="5" t="str">
        <f ca="1">IFERROR(__xludf.DUMMYFUNCTION("""COMPUTED_VALUE"""),"No")</f>
        <v>No</v>
      </c>
      <c r="AA2000" s="5"/>
      <c r="AB2000" s="5" t="str">
        <f ca="1">IFERROR(__xludf.DUMMYFUNCTION("""COMPUTED_VALUE"""),"No")</f>
        <v>No</v>
      </c>
      <c r="AC2000" s="5" t="str">
        <f ca="1">IFERROR(__xludf.DUMMYFUNCTION("""COMPUTED_VALUE"""),"No")</f>
        <v>No</v>
      </c>
      <c r="AD2000" s="5" t="str">
        <f ca="1">IFERROR(__xludf.DUMMYFUNCTION("""COMPUTED_VALUE"""),"No")</f>
        <v>No</v>
      </c>
      <c r="AE2000" s="5" t="str">
        <f ca="1">IFERROR(__xludf.DUMMYFUNCTION("""COMPUTED_VALUE"""),"No")</f>
        <v>No</v>
      </c>
      <c r="AF2000" s="5" t="str">
        <f ca="1">IFERROR(__xludf.DUMMYFUNCTION("""COMPUTED_VALUE"""),"No")</f>
        <v>No</v>
      </c>
      <c r="AG2000" s="5" t="str">
        <f ca="1">IFERROR(__xludf.DUMMYFUNCTION("""COMPUTED_VALUE"""),"No")</f>
        <v>No</v>
      </c>
      <c r="AH2000" s="5"/>
    </row>
    <row r="2001" spans="1:34" ht="12.75">
      <c r="A2001" s="5" t="str">
        <f ca="1">IFERROR(__xludf.DUMMYFUNCTION("""COMPUTED_VALUE"""),"19751024GAMUA")</f>
        <v>19751024GAMUA</v>
      </c>
      <c r="B2001" s="8">
        <f ca="1">IFERROR(__xludf.DUMMYFUNCTION("""COMPUTED_VALUE"""),27691)</f>
        <v>27691</v>
      </c>
      <c r="C2001" s="5" t="str">
        <f ca="1">IFERROR(__xludf.DUMMYFUNCTION("""COMPUTED_VALUE"""),"Murphy High School")</f>
        <v>Murphy High School</v>
      </c>
      <c r="D2001" s="5">
        <f ca="1">IFERROR(__xludf.DUMMYFUNCTION("""COMPUTED_VALUE"""),0)</f>
        <v>0</v>
      </c>
      <c r="E2001" s="5">
        <f ca="1">IFERROR(__xludf.DUMMYFUNCTION("""COMPUTED_VALUE"""),1)</f>
        <v>1</v>
      </c>
      <c r="F2001" s="5">
        <f ca="1">IFERROR(__xludf.DUMMYFUNCTION("""COMPUTED_VALUE"""),1)</f>
        <v>1</v>
      </c>
      <c r="G2001" s="5">
        <f ca="1">IFERROR(__xludf.DUMMYFUNCTION("""COMPUTED_VALUE"""),0)</f>
        <v>0</v>
      </c>
      <c r="H2001" s="9" t="str">
        <f ca="1">IFERROR(__xludf.DUMMYFUNCTION("""COMPUTED_VALUE"""),"https://www.newspapers.com/image/398982633/")</f>
        <v>https://www.newspapers.com/image/398982633/</v>
      </c>
      <c r="I2001" s="5"/>
      <c r="J2001" s="5"/>
      <c r="K2001" s="5">
        <f ca="1">IFERROR(__xludf.DUMMYFUNCTION("""COMPUTED_VALUE"""),2)</f>
        <v>2</v>
      </c>
      <c r="L2001" s="5" t="str">
        <f ca="1">IFERROR(__xludf.DUMMYFUNCTION("""COMPUTED_VALUE"""),"Fall")</f>
        <v>Fall</v>
      </c>
      <c r="M2001" s="5" t="str">
        <f ca="1">IFERROR(__xludf.DUMMYFUNCTION("""COMPUTED_VALUE"""),"Atlanta")</f>
        <v>Atlanta</v>
      </c>
      <c r="N2001" s="5" t="str">
        <f ca="1">IFERROR(__xludf.DUMMYFUNCTION("""COMPUTED_VALUE"""),"GA")</f>
        <v>GA</v>
      </c>
      <c r="O2001" s="5" t="str">
        <f ca="1">IFERROR(__xludf.DUMMYFUNCTION("""COMPUTED_VALUE"""),"High")</f>
        <v>High</v>
      </c>
      <c r="P2001" s="5" t="str">
        <f ca="1">IFERROR(__xludf.DUMMYFUNCTION("""COMPUTED_VALUE"""),"Office")</f>
        <v>Office</v>
      </c>
      <c r="Q2001" s="5" t="str">
        <f ca="1">IFERROR(__xludf.DUMMYFUNCTION("""COMPUTED_VALUE"""),"Inside School Building")</f>
        <v>Inside School Building</v>
      </c>
      <c r="R2001" s="5" t="str">
        <f ca="1">IFERROR(__xludf.DUMMYFUNCTION("""COMPUTED_VALUE"""),"Yes")</f>
        <v>Yes</v>
      </c>
      <c r="S2001" s="5" t="str">
        <f ca="1">IFERROR(__xludf.DUMMYFUNCTION("""COMPUTED_VALUE"""),"Morning Classes")</f>
        <v>Morning Classes</v>
      </c>
      <c r="T2001" s="5"/>
      <c r="U2001" s="5">
        <f ca="1">IFERROR(__xludf.DUMMYFUNCTION("""COMPUTED_VALUE"""),1)</f>
        <v>1</v>
      </c>
      <c r="V2001" s="5" t="str">
        <f ca="1">IFERROR(__xludf.DUMMYFUNCTION("""COMPUTED_VALUE"""),"Suspect shot assistant principal after being paddled")</f>
        <v>Suspect shot assistant principal after being paddled</v>
      </c>
      <c r="W2001"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X2001" s="5" t="str">
        <f ca="1">IFERROR(__xludf.DUMMYFUNCTION("""COMPUTED_VALUE"""),"Anger Over Grade/Suspension/Discipline")</f>
        <v>Anger Over Grade/Suspension/Discipline</v>
      </c>
      <c r="Y2001" s="5" t="str">
        <f ca="1">IFERROR(__xludf.DUMMYFUNCTION("""COMPUTED_VALUE"""),"Victims Targeted")</f>
        <v>Victims Targeted</v>
      </c>
      <c r="Z2001" s="5" t="str">
        <f ca="1">IFERROR(__xludf.DUMMYFUNCTION("""COMPUTED_VALUE"""),"No")</f>
        <v>No</v>
      </c>
      <c r="AA2001" s="5"/>
      <c r="AB2001" s="5" t="str">
        <f ca="1">IFERROR(__xludf.DUMMYFUNCTION("""COMPUTED_VALUE"""),"No")</f>
        <v>No</v>
      </c>
      <c r="AC2001" s="5" t="str">
        <f ca="1">IFERROR(__xludf.DUMMYFUNCTION("""COMPUTED_VALUE"""),"No")</f>
        <v>No</v>
      </c>
      <c r="AD2001" s="5" t="str">
        <f ca="1">IFERROR(__xludf.DUMMYFUNCTION("""COMPUTED_VALUE"""),"No")</f>
        <v>No</v>
      </c>
      <c r="AE2001" s="5" t="str">
        <f ca="1">IFERROR(__xludf.DUMMYFUNCTION("""COMPUTED_VALUE"""),"No")</f>
        <v>No</v>
      </c>
      <c r="AF2001" s="5" t="str">
        <f ca="1">IFERROR(__xludf.DUMMYFUNCTION("""COMPUTED_VALUE"""),"No")</f>
        <v>No</v>
      </c>
      <c r="AG2001" s="5" t="str">
        <f ca="1">IFERROR(__xludf.DUMMYFUNCTION("""COMPUTED_VALUE"""),"No")</f>
        <v>No</v>
      </c>
      <c r="AH2001" s="5"/>
    </row>
    <row r="2002" spans="1:34" ht="12.75">
      <c r="A2002" s="5" t="str">
        <f ca="1">IFERROR(__xludf.DUMMYFUNCTION("""COMPUTED_VALUE"""),"19751001NMHEA")</f>
        <v>19751001NMHEA</v>
      </c>
      <c r="B2002" s="8">
        <f ca="1">IFERROR(__xludf.DUMMYFUNCTION("""COMPUTED_VALUE"""),27668)</f>
        <v>27668</v>
      </c>
      <c r="C2002" s="5" t="str">
        <f ca="1">IFERROR(__xludf.DUMMYFUNCTION("""COMPUTED_VALUE"""),"Hermosa Elementary School")</f>
        <v>Hermosa Elementary School</v>
      </c>
      <c r="D2002" s="5">
        <f ca="1">IFERROR(__xludf.DUMMYFUNCTION("""COMPUTED_VALUE"""),1)</f>
        <v>1</v>
      </c>
      <c r="E2002" s="5">
        <f ca="1">IFERROR(__xludf.DUMMYFUNCTION("""COMPUTED_VALUE"""),0)</f>
        <v>0</v>
      </c>
      <c r="F2002" s="5">
        <f ca="1">IFERROR(__xludf.DUMMYFUNCTION("""COMPUTED_VALUE"""),1)</f>
        <v>1</v>
      </c>
      <c r="G2002" s="5">
        <f ca="1">IFERROR(__xludf.DUMMYFUNCTION("""COMPUTED_VALUE"""),0)</f>
        <v>0</v>
      </c>
      <c r="H2002"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I2002" s="5"/>
      <c r="J2002" s="5"/>
      <c r="K2002" s="5">
        <f ca="1">IFERROR(__xludf.DUMMYFUNCTION("""COMPUTED_VALUE"""),3)</f>
        <v>3</v>
      </c>
      <c r="L2002" s="5" t="str">
        <f ca="1">IFERROR(__xludf.DUMMYFUNCTION("""COMPUTED_VALUE"""),"Fall")</f>
        <v>Fall</v>
      </c>
      <c r="M2002" s="5" t="str">
        <f ca="1">IFERROR(__xludf.DUMMYFUNCTION("""COMPUTED_VALUE"""),"Artesia")</f>
        <v>Artesia</v>
      </c>
      <c r="N2002" s="5" t="str">
        <f ca="1">IFERROR(__xludf.DUMMYFUNCTION("""COMPUTED_VALUE"""),"NM")</f>
        <v>NM</v>
      </c>
      <c r="O2002" s="5" t="str">
        <f ca="1">IFERROR(__xludf.DUMMYFUNCTION("""COMPUTED_VALUE"""),"Elementary")</f>
        <v>Elementary</v>
      </c>
      <c r="P2002" s="5" t="str">
        <f ca="1">IFERROR(__xludf.DUMMYFUNCTION("""COMPUTED_VALUE"""),"Classroom")</f>
        <v>Classroom</v>
      </c>
      <c r="Q2002" s="5" t="str">
        <f ca="1">IFERROR(__xludf.DUMMYFUNCTION("""COMPUTED_VALUE"""),"Inside School Building")</f>
        <v>Inside School Building</v>
      </c>
      <c r="R2002" s="5" t="str">
        <f ca="1">IFERROR(__xludf.DUMMYFUNCTION("""COMPUTED_VALUE"""),"Yes")</f>
        <v>Yes</v>
      </c>
      <c r="S2002" s="5" t="str">
        <f ca="1">IFERROR(__xludf.DUMMYFUNCTION("""COMPUTED_VALUE"""),"Before School")</f>
        <v>Before School</v>
      </c>
      <c r="T2002" s="10">
        <f ca="1">IFERROR(__xludf.DUMMYFUNCTION("""COMPUTED_VALUE"""),0.333333333333333)</f>
        <v>0.33333333333333298</v>
      </c>
      <c r="U2002" s="5"/>
      <c r="V2002" s="5" t="str">
        <f ca="1">IFERROR(__xludf.DUMMYFUNCTION("""COMPUTED_VALUE"""),"Adult shooter arrived at school and shot teacher to death")</f>
        <v>Adult shooter arrived at school and shot teacher to death</v>
      </c>
      <c r="W2002"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X2002" s="5" t="str">
        <f ca="1">IFERROR(__xludf.DUMMYFUNCTION("""COMPUTED_VALUE"""),"Anger Over Grade/Suspension/Discipline")</f>
        <v>Anger Over Grade/Suspension/Discipline</v>
      </c>
      <c r="Y2002" s="5" t="str">
        <f ca="1">IFERROR(__xludf.DUMMYFUNCTION("""COMPUTED_VALUE"""),"Victims Targeted")</f>
        <v>Victims Targeted</v>
      </c>
      <c r="Z2002" s="5"/>
      <c r="AA2002" s="5"/>
      <c r="AB2002" s="5" t="str">
        <f ca="1">IFERROR(__xludf.DUMMYFUNCTION("""COMPUTED_VALUE"""),"No")</f>
        <v>No</v>
      </c>
      <c r="AC2002" s="5" t="str">
        <f ca="1">IFERROR(__xludf.DUMMYFUNCTION("""COMPUTED_VALUE"""),"No")</f>
        <v>No</v>
      </c>
      <c r="AD2002" s="5" t="str">
        <f ca="1">IFERROR(__xludf.DUMMYFUNCTION("""COMPUTED_VALUE"""),"No")</f>
        <v>No</v>
      </c>
      <c r="AE2002" s="5" t="str">
        <f ca="1">IFERROR(__xludf.DUMMYFUNCTION("""COMPUTED_VALUE"""),"No")</f>
        <v>No</v>
      </c>
      <c r="AF2002" s="5" t="str">
        <f ca="1">IFERROR(__xludf.DUMMYFUNCTION("""COMPUTED_VALUE"""),"No")</f>
        <v>No</v>
      </c>
      <c r="AG2002" s="5" t="str">
        <f ca="1">IFERROR(__xludf.DUMMYFUNCTION("""COMPUTED_VALUE"""),"No")</f>
        <v>No</v>
      </c>
      <c r="AH2002" s="5"/>
    </row>
    <row r="2003" spans="1:34" ht="12.75">
      <c r="A2003" s="5" t="str">
        <f ca="1">IFERROR(__xludf.DUMMYFUNCTION("""COMPUTED_VALUE"""),"19750911OKGRO")</f>
        <v>19750911OKGRO</v>
      </c>
      <c r="B2003" s="8">
        <f ca="1">IFERROR(__xludf.DUMMYFUNCTION("""COMPUTED_VALUE"""),27648)</f>
        <v>27648</v>
      </c>
      <c r="C2003" s="5" t="str">
        <f ca="1">IFERROR(__xludf.DUMMYFUNCTION("""COMPUTED_VALUE"""),"Grant High School")</f>
        <v>Grant High School</v>
      </c>
      <c r="D2003" s="5">
        <f ca="1">IFERROR(__xludf.DUMMYFUNCTION("""COMPUTED_VALUE"""),1)</f>
        <v>1</v>
      </c>
      <c r="E2003" s="5">
        <f ca="1">IFERROR(__xludf.DUMMYFUNCTION("""COMPUTED_VALUE"""),2)</f>
        <v>2</v>
      </c>
      <c r="F2003" s="5">
        <f ca="1">IFERROR(__xludf.DUMMYFUNCTION("""COMPUTED_VALUE"""),3)</f>
        <v>3</v>
      </c>
      <c r="G2003" s="5">
        <f ca="1">IFERROR(__xludf.DUMMYFUNCTION("""COMPUTED_VALUE"""),0)</f>
        <v>0</v>
      </c>
      <c r="H2003"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I2003" s="5"/>
      <c r="J2003" s="5"/>
      <c r="K2003" s="5">
        <f ca="1">IFERROR(__xludf.DUMMYFUNCTION("""COMPUTED_VALUE"""),5)</f>
        <v>5</v>
      </c>
      <c r="L2003" s="5" t="str">
        <f ca="1">IFERROR(__xludf.DUMMYFUNCTION("""COMPUTED_VALUE"""),"Fall")</f>
        <v>Fall</v>
      </c>
      <c r="M2003" s="5" t="str">
        <f ca="1">IFERROR(__xludf.DUMMYFUNCTION("""COMPUTED_VALUE"""),"Oklahoma City")</f>
        <v>Oklahoma City</v>
      </c>
      <c r="N2003" s="5" t="str">
        <f ca="1">IFERROR(__xludf.DUMMYFUNCTION("""COMPUTED_VALUE"""),"OK")</f>
        <v>OK</v>
      </c>
      <c r="O2003" s="5" t="str">
        <f ca="1">IFERROR(__xludf.DUMMYFUNCTION("""COMPUTED_VALUE"""),"High")</f>
        <v>High</v>
      </c>
      <c r="P2003" s="5" t="str">
        <f ca="1">IFERROR(__xludf.DUMMYFUNCTION("""COMPUTED_VALUE"""),"Inside School Building")</f>
        <v>Inside School Building</v>
      </c>
      <c r="Q2003" s="5" t="str">
        <f ca="1">IFERROR(__xludf.DUMMYFUNCTION("""COMPUTED_VALUE"""),"Inside School Building")</f>
        <v>Inside School Building</v>
      </c>
      <c r="R2003" s="5" t="str">
        <f ca="1">IFERROR(__xludf.DUMMYFUNCTION("""COMPUTED_VALUE"""),"Yes")</f>
        <v>Yes</v>
      </c>
      <c r="S2003" s="5"/>
      <c r="T2003" s="5"/>
      <c r="U2003" s="5"/>
      <c r="V2003" s="5" t="str">
        <f ca="1">IFERROR(__xludf.DUMMYFUNCTION("""COMPUTED_VALUE"""),"Alleged result of growing tension between a group of black students and a group of white students.")</f>
        <v>Alleged result of growing tension between a group of black students and a group of white students.</v>
      </c>
      <c r="W2003"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X2003" s="5" t="str">
        <f ca="1">IFERROR(__xludf.DUMMYFUNCTION("""COMPUTED_VALUE"""),"Racial")</f>
        <v>Racial</v>
      </c>
      <c r="Y2003" s="5" t="str">
        <f ca="1">IFERROR(__xludf.DUMMYFUNCTION("""COMPUTED_VALUE"""),"Both")</f>
        <v>Both</v>
      </c>
      <c r="Z2003" s="5" t="str">
        <f ca="1">IFERROR(__xludf.DUMMYFUNCTION("""COMPUTED_VALUE"""),"No")</f>
        <v>No</v>
      </c>
      <c r="AA2003" s="5"/>
      <c r="AB2003" s="5" t="str">
        <f ca="1">IFERROR(__xludf.DUMMYFUNCTION("""COMPUTED_VALUE"""),"No")</f>
        <v>No</v>
      </c>
      <c r="AC2003" s="5" t="str">
        <f ca="1">IFERROR(__xludf.DUMMYFUNCTION("""COMPUTED_VALUE"""),"No")</f>
        <v>No</v>
      </c>
      <c r="AD2003" s="5" t="str">
        <f ca="1">IFERROR(__xludf.DUMMYFUNCTION("""COMPUTED_VALUE"""),"No")</f>
        <v>No</v>
      </c>
      <c r="AE2003" s="5" t="str">
        <f ca="1">IFERROR(__xludf.DUMMYFUNCTION("""COMPUTED_VALUE"""),"No")</f>
        <v>No</v>
      </c>
      <c r="AF2003" s="5" t="str">
        <f ca="1">IFERROR(__xludf.DUMMYFUNCTION("""COMPUTED_VALUE"""),"No")</f>
        <v>No</v>
      </c>
      <c r="AG2003" s="5" t="str">
        <f ca="1">IFERROR(__xludf.DUMMYFUNCTION("""COMPUTED_VALUE"""),"No")</f>
        <v>No</v>
      </c>
      <c r="AH2003" s="5"/>
    </row>
    <row r="2004" spans="1:34" ht="12.75">
      <c r="A2004" s="5" t="str">
        <f ca="1">IFERROR(__xludf.DUMMYFUNCTION("""COMPUTED_VALUE"""),"19750711MOCES")</f>
        <v>19750711MOCES</v>
      </c>
      <c r="B2004" s="8">
        <f ca="1">IFERROR(__xludf.DUMMYFUNCTION("""COMPUTED_VALUE"""),27586)</f>
        <v>27586</v>
      </c>
      <c r="C2004" s="5" t="str">
        <f ca="1">IFERROR(__xludf.DUMMYFUNCTION("""COMPUTED_VALUE"""),"Central High School")</f>
        <v>Central High School</v>
      </c>
      <c r="D2004" s="5">
        <f ca="1">IFERROR(__xludf.DUMMYFUNCTION("""COMPUTED_VALUE"""),0)</f>
        <v>0</v>
      </c>
      <c r="E2004" s="5">
        <f ca="1">IFERROR(__xludf.DUMMYFUNCTION("""COMPUTED_VALUE"""),2)</f>
        <v>2</v>
      </c>
      <c r="F2004" s="5">
        <f ca="1">IFERROR(__xludf.DUMMYFUNCTION("""COMPUTED_VALUE"""),2)</f>
        <v>2</v>
      </c>
      <c r="G2004" s="5">
        <f ca="1">IFERROR(__xludf.DUMMYFUNCTION("""COMPUTED_VALUE"""),0)</f>
        <v>0</v>
      </c>
      <c r="H2004" s="9" t="str">
        <f ca="1">IFERROR(__xludf.DUMMYFUNCTION("""COMPUTED_VALUE"""),"https://www.newspapers.com/image/140719112/?terms=school%2Bshooting")</f>
        <v>https://www.newspapers.com/image/140719112/?terms=school%2Bshooting</v>
      </c>
      <c r="I2004" s="5"/>
      <c r="J2004" s="5"/>
      <c r="K2004" s="5">
        <f ca="1">IFERROR(__xludf.DUMMYFUNCTION("""COMPUTED_VALUE"""),2)</f>
        <v>2</v>
      </c>
      <c r="L2004" s="5" t="str">
        <f ca="1">IFERROR(__xludf.DUMMYFUNCTION("""COMPUTED_VALUE"""),"Summer")</f>
        <v>Summer</v>
      </c>
      <c r="M2004" s="5" t="str">
        <f ca="1">IFERROR(__xludf.DUMMYFUNCTION("""COMPUTED_VALUE"""),"St. Louis")</f>
        <v>St. Louis</v>
      </c>
      <c r="N2004" s="5" t="str">
        <f ca="1">IFERROR(__xludf.DUMMYFUNCTION("""COMPUTED_VALUE"""),"MO")</f>
        <v>MO</v>
      </c>
      <c r="O2004" s="5" t="str">
        <f ca="1">IFERROR(__xludf.DUMMYFUNCTION("""COMPUTED_VALUE"""),"High")</f>
        <v>High</v>
      </c>
      <c r="P2004" s="5" t="str">
        <f ca="1">IFERROR(__xludf.DUMMYFUNCTION("""COMPUTED_VALUE"""),"School Bus")</f>
        <v>School Bus</v>
      </c>
      <c r="Q2004" s="5" t="str">
        <f ca="1">IFERROR(__xludf.DUMMYFUNCTION("""COMPUTED_VALUE"""),"School Bus")</f>
        <v>School Bus</v>
      </c>
      <c r="R2004" s="5" t="str">
        <f ca="1">IFERROR(__xludf.DUMMYFUNCTION("""COMPUTED_VALUE"""),"Yes")</f>
        <v>Yes</v>
      </c>
      <c r="S2004" s="5" t="str">
        <f ca="1">IFERROR(__xludf.DUMMYFUNCTION("""COMPUTED_VALUE"""),"School Start")</f>
        <v>School Start</v>
      </c>
      <c r="T2004" s="10">
        <f ca="1">IFERROR(__xludf.DUMMYFUNCTION("""COMPUTED_VALUE"""),0.315972222222222)</f>
        <v>0.31597222222222199</v>
      </c>
      <c r="U2004" s="5">
        <f ca="1">IFERROR(__xludf.DUMMYFUNCTION("""COMPUTED_VALUE"""),1)</f>
        <v>1</v>
      </c>
      <c r="V2004" s="5" t="str">
        <f ca="1">IFERROR(__xludf.DUMMYFUNCTION("""COMPUTED_VALUE"""),"Ongoing dispute over bus seats")</f>
        <v>Ongoing dispute over bus seats</v>
      </c>
      <c r="W2004"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X2004" s="5" t="str">
        <f ca="1">IFERROR(__xludf.DUMMYFUNCTION("""COMPUTED_VALUE"""),"Escalation of Dispute")</f>
        <v>Escalation of Dispute</v>
      </c>
      <c r="Y2004" s="5" t="str">
        <f ca="1">IFERROR(__xludf.DUMMYFUNCTION("""COMPUTED_VALUE"""),"Victims Targeted")</f>
        <v>Victims Targeted</v>
      </c>
      <c r="Z2004" s="5" t="str">
        <f ca="1">IFERROR(__xludf.DUMMYFUNCTION("""COMPUTED_VALUE"""),"Yes")</f>
        <v>Yes</v>
      </c>
      <c r="AA2004" s="5" t="str">
        <f ca="1">IFERROR(__xludf.DUMMYFUNCTION("""COMPUTED_VALUE"""),"Brother also arrested")</f>
        <v>Brother also arrested</v>
      </c>
      <c r="AB2004" s="5" t="str">
        <f ca="1">IFERROR(__xludf.DUMMYFUNCTION("""COMPUTED_VALUE"""),"No")</f>
        <v>No</v>
      </c>
      <c r="AC2004" s="5" t="str">
        <f ca="1">IFERROR(__xludf.DUMMYFUNCTION("""COMPUTED_VALUE"""),"No")</f>
        <v>No</v>
      </c>
      <c r="AD2004" s="5" t="str">
        <f ca="1">IFERROR(__xludf.DUMMYFUNCTION("""COMPUTED_VALUE"""),"No")</f>
        <v>No</v>
      </c>
      <c r="AE2004" s="5" t="str">
        <f ca="1">IFERROR(__xludf.DUMMYFUNCTION("""COMPUTED_VALUE"""),"No")</f>
        <v>No</v>
      </c>
      <c r="AF2004" s="5" t="str">
        <f ca="1">IFERROR(__xludf.DUMMYFUNCTION("""COMPUTED_VALUE"""),"No")</f>
        <v>No</v>
      </c>
      <c r="AG2004" s="5" t="str">
        <f ca="1">IFERROR(__xludf.DUMMYFUNCTION("""COMPUTED_VALUE"""),"No")</f>
        <v>No</v>
      </c>
      <c r="AH2004" s="5"/>
    </row>
    <row r="2005" spans="1:34" ht="12.75">
      <c r="A2005" s="5" t="str">
        <f ca="1">IFERROR(__xludf.DUMMYFUNCTION("""COMPUTED_VALUE"""),"19750709ILDEC")</f>
        <v>19750709ILDEC</v>
      </c>
      <c r="B2005" s="8">
        <f ca="1">IFERROR(__xludf.DUMMYFUNCTION("""COMPUTED_VALUE"""),27584)</f>
        <v>27584</v>
      </c>
      <c r="C2005" s="5" t="str">
        <f ca="1">IFERROR(__xludf.DUMMYFUNCTION("""COMPUTED_VALUE"""),"Dett Elementary School")</f>
        <v>Dett Elementary School</v>
      </c>
      <c r="D2005" s="5">
        <f ca="1">IFERROR(__xludf.DUMMYFUNCTION("""COMPUTED_VALUE"""),0)</f>
        <v>0</v>
      </c>
      <c r="E2005" s="5">
        <f ca="1">IFERROR(__xludf.DUMMYFUNCTION("""COMPUTED_VALUE"""),1)</f>
        <v>1</v>
      </c>
      <c r="F2005" s="5">
        <f ca="1">IFERROR(__xludf.DUMMYFUNCTION("""COMPUTED_VALUE"""),1)</f>
        <v>1</v>
      </c>
      <c r="G2005" s="5">
        <f ca="1">IFERROR(__xludf.DUMMYFUNCTION("""COMPUTED_VALUE"""),0)</f>
        <v>0</v>
      </c>
      <c r="H2005" s="9" t="str">
        <f ca="1">IFERROR(__xludf.DUMMYFUNCTION("""COMPUTED_VALUE"""),"https://www.newspapers.com/image/382147136/?terms=teacher%2Bshot")</f>
        <v>https://www.newspapers.com/image/382147136/?terms=teacher%2Bshot</v>
      </c>
      <c r="I2005" s="5"/>
      <c r="J2005" s="5"/>
      <c r="K2005" s="5">
        <f ca="1">IFERROR(__xludf.DUMMYFUNCTION("""COMPUTED_VALUE"""),2)</f>
        <v>2</v>
      </c>
      <c r="L2005" s="5" t="str">
        <f ca="1">IFERROR(__xludf.DUMMYFUNCTION("""COMPUTED_VALUE"""),"Summer")</f>
        <v>Summer</v>
      </c>
      <c r="M2005" s="5" t="str">
        <f ca="1">IFERROR(__xludf.DUMMYFUNCTION("""COMPUTED_VALUE"""),"Chicago")</f>
        <v>Chicago</v>
      </c>
      <c r="N2005" s="5" t="str">
        <f ca="1">IFERROR(__xludf.DUMMYFUNCTION("""COMPUTED_VALUE"""),"IL")</f>
        <v>IL</v>
      </c>
      <c r="O2005" s="5" t="str">
        <f ca="1">IFERROR(__xludf.DUMMYFUNCTION("""COMPUTED_VALUE"""),"Elementary")</f>
        <v>Elementary</v>
      </c>
      <c r="P2005" s="5" t="str">
        <f ca="1">IFERROR(__xludf.DUMMYFUNCTION("""COMPUTED_VALUE"""),"Beside Building")</f>
        <v>Beside Building</v>
      </c>
      <c r="Q2005" s="5" t="str">
        <f ca="1">IFERROR(__xludf.DUMMYFUNCTION("""COMPUTED_VALUE"""),"Outside on School Property")</f>
        <v>Outside on School Property</v>
      </c>
      <c r="R2005" s="5" t="str">
        <f ca="1">IFERROR(__xludf.DUMMYFUNCTION("""COMPUTED_VALUE"""),"Yes")</f>
        <v>Yes</v>
      </c>
      <c r="S2005" s="5" t="str">
        <f ca="1">IFERROR(__xludf.DUMMYFUNCTION("""COMPUTED_VALUE"""),"Before School")</f>
        <v>Before School</v>
      </c>
      <c r="T2005" s="10">
        <f ca="1">IFERROR(__xludf.DUMMYFUNCTION("""COMPUTED_VALUE"""),0.34375)</f>
        <v>0.34375</v>
      </c>
      <c r="U2005" s="5">
        <f ca="1">IFERROR(__xludf.DUMMYFUNCTION("""COMPUTED_VALUE"""),1)</f>
        <v>1</v>
      </c>
      <c r="V2005" s="5" t="str">
        <f ca="1">IFERROR(__xludf.DUMMYFUNCTION("""COMPUTED_VALUE"""),"Teacher shot by estranged husband")</f>
        <v>Teacher shot by estranged husband</v>
      </c>
      <c r="W2005" s="5" t="str">
        <f ca="1">IFERROR(__xludf.DUMMYFUNCTION("""COMPUTED_VALUE"""),"Teacher shot outside of school. She had pressed charges against her husband for threatening her.")</f>
        <v>Teacher shot outside of school. She had pressed charges against her husband for threatening her.</v>
      </c>
      <c r="X2005" s="5" t="str">
        <f ca="1">IFERROR(__xludf.DUMMYFUNCTION("""COMPUTED_VALUE"""),"Domestic w/ Targeted Victim")</f>
        <v>Domestic w/ Targeted Victim</v>
      </c>
      <c r="Y2005" s="5" t="str">
        <f ca="1">IFERROR(__xludf.DUMMYFUNCTION("""COMPUTED_VALUE"""),"Victims Targeted")</f>
        <v>Victims Targeted</v>
      </c>
      <c r="Z2005" s="5" t="str">
        <f ca="1">IFERROR(__xludf.DUMMYFUNCTION("""COMPUTED_VALUE"""),"No")</f>
        <v>No</v>
      </c>
      <c r="AA2005" s="5"/>
      <c r="AB2005" s="5" t="str">
        <f ca="1">IFERROR(__xludf.DUMMYFUNCTION("""COMPUTED_VALUE"""),"No")</f>
        <v>No</v>
      </c>
      <c r="AC2005" s="5" t="str">
        <f ca="1">IFERROR(__xludf.DUMMYFUNCTION("""COMPUTED_VALUE"""),"No")</f>
        <v>No</v>
      </c>
      <c r="AD2005" s="5" t="str">
        <f ca="1">IFERROR(__xludf.DUMMYFUNCTION("""COMPUTED_VALUE"""),"No")</f>
        <v>No</v>
      </c>
      <c r="AE2005" s="5" t="str">
        <f ca="1">IFERROR(__xludf.DUMMYFUNCTION("""COMPUTED_VALUE"""),"No")</f>
        <v>No</v>
      </c>
      <c r="AF2005" s="5" t="str">
        <f ca="1">IFERROR(__xludf.DUMMYFUNCTION("""COMPUTED_VALUE"""),"Yes")</f>
        <v>Yes</v>
      </c>
      <c r="AG2005" s="5" t="str">
        <f ca="1">IFERROR(__xludf.DUMMYFUNCTION("""COMPUTED_VALUE"""),"No")</f>
        <v>No</v>
      </c>
      <c r="AH2005" s="5"/>
    </row>
    <row r="2006" spans="1:34" ht="12.75">
      <c r="A2006" s="5" t="str">
        <f ca="1">IFERROR(__xludf.DUMMYFUNCTION("""COMPUTED_VALUE"""),"19750527MIPID")</f>
        <v>19750527MIPID</v>
      </c>
      <c r="B2006" s="8">
        <f ca="1">IFERROR(__xludf.DUMMYFUNCTION("""COMPUTED_VALUE"""),27541)</f>
        <v>27541</v>
      </c>
      <c r="C2006" s="5" t="str">
        <f ca="1">IFERROR(__xludf.DUMMYFUNCTION("""COMPUTED_VALUE"""),"Pitcher School")</f>
        <v>Pitcher School</v>
      </c>
      <c r="D2006" s="5">
        <f ca="1">IFERROR(__xludf.DUMMYFUNCTION("""COMPUTED_VALUE"""),1)</f>
        <v>1</v>
      </c>
      <c r="E2006" s="5">
        <f ca="1">IFERROR(__xludf.DUMMYFUNCTION("""COMPUTED_VALUE"""),0)</f>
        <v>0</v>
      </c>
      <c r="F2006" s="5">
        <f ca="1">IFERROR(__xludf.DUMMYFUNCTION("""COMPUTED_VALUE"""),1)</f>
        <v>1</v>
      </c>
      <c r="G2006" s="5">
        <f ca="1">IFERROR(__xludf.DUMMYFUNCTION("""COMPUTED_VALUE"""),0)</f>
        <v>0</v>
      </c>
      <c r="H2006" s="9" t="str">
        <f ca="1">IFERROR(__xludf.DUMMYFUNCTION("""COMPUTED_VALUE"""),"https://www.newspapers.com/image/98347062/?terms=school%2Bshooting")</f>
        <v>https://www.newspapers.com/image/98347062/?terms=school%2Bshooting</v>
      </c>
      <c r="I2006" s="5"/>
      <c r="J2006" s="5"/>
      <c r="K2006" s="5">
        <f ca="1">IFERROR(__xludf.DUMMYFUNCTION("""COMPUTED_VALUE"""),2)</f>
        <v>2</v>
      </c>
      <c r="L2006" s="5" t="str">
        <f ca="1">IFERROR(__xludf.DUMMYFUNCTION("""COMPUTED_VALUE"""),"Spring")</f>
        <v>Spring</v>
      </c>
      <c r="M2006" s="5" t="str">
        <f ca="1">IFERROR(__xludf.DUMMYFUNCTION("""COMPUTED_VALUE"""),"Detroit")</f>
        <v>Detroit</v>
      </c>
      <c r="N2006" s="5" t="str">
        <f ca="1">IFERROR(__xludf.DUMMYFUNCTION("""COMPUTED_VALUE"""),"MI")</f>
        <v>MI</v>
      </c>
      <c r="O2006" s="5" t="str">
        <f ca="1">IFERROR(__xludf.DUMMYFUNCTION("""COMPUTED_VALUE"""),"Elementary")</f>
        <v>Elementary</v>
      </c>
      <c r="P2006" s="5" t="str">
        <f ca="1">IFERROR(__xludf.DUMMYFUNCTION("""COMPUTED_VALUE"""),"Outside on School Property")</f>
        <v>Outside on School Property</v>
      </c>
      <c r="Q2006" s="5" t="str">
        <f ca="1">IFERROR(__xludf.DUMMYFUNCTION("""COMPUTED_VALUE"""),"Outside on School Property")</f>
        <v>Outside on School Property</v>
      </c>
      <c r="R2006" s="5" t="str">
        <f ca="1">IFERROR(__xludf.DUMMYFUNCTION("""COMPUTED_VALUE"""),"No")</f>
        <v>No</v>
      </c>
      <c r="S2006" s="5" t="str">
        <f ca="1">IFERROR(__xludf.DUMMYFUNCTION("""COMPUTED_VALUE"""),"After School")</f>
        <v>After School</v>
      </c>
      <c r="T2006" s="5"/>
      <c r="U2006" s="5">
        <f ca="1">IFERROR(__xludf.DUMMYFUNCTION("""COMPUTED_VALUE"""),1)</f>
        <v>1</v>
      </c>
      <c r="V2006" s="5" t="str">
        <f ca="1">IFERROR(__xludf.DUMMYFUNCTION("""COMPUTED_VALUE"""),"Shooter and victim in multiple previous fights at school")</f>
        <v>Shooter and victim in multiple previous fights at school</v>
      </c>
      <c r="W2006"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X2006" s="5" t="str">
        <f ca="1">IFERROR(__xludf.DUMMYFUNCTION("""COMPUTED_VALUE"""),"Escalation of Dispute")</f>
        <v>Escalation of Dispute</v>
      </c>
      <c r="Y2006" s="5" t="str">
        <f ca="1">IFERROR(__xludf.DUMMYFUNCTION("""COMPUTED_VALUE"""),"Victims Targeted")</f>
        <v>Victims Targeted</v>
      </c>
      <c r="Z2006" s="5" t="str">
        <f ca="1">IFERROR(__xludf.DUMMYFUNCTION("""COMPUTED_VALUE"""),"No")</f>
        <v>No</v>
      </c>
      <c r="AA2006" s="5"/>
      <c r="AB2006" s="5" t="str">
        <f ca="1">IFERROR(__xludf.DUMMYFUNCTION("""COMPUTED_VALUE"""),"No")</f>
        <v>No</v>
      </c>
      <c r="AC2006" s="5" t="str">
        <f ca="1">IFERROR(__xludf.DUMMYFUNCTION("""COMPUTED_VALUE"""),"No")</f>
        <v>No</v>
      </c>
      <c r="AD2006" s="5" t="str">
        <f ca="1">IFERROR(__xludf.DUMMYFUNCTION("""COMPUTED_VALUE"""),"No")</f>
        <v>No</v>
      </c>
      <c r="AE2006" s="5" t="str">
        <f ca="1">IFERROR(__xludf.DUMMYFUNCTION("""COMPUTED_VALUE"""),"No")</f>
        <v>No</v>
      </c>
      <c r="AF2006" s="5" t="str">
        <f ca="1">IFERROR(__xludf.DUMMYFUNCTION("""COMPUTED_VALUE"""),"No")</f>
        <v>No</v>
      </c>
      <c r="AG2006" s="5" t="str">
        <f ca="1">IFERROR(__xludf.DUMMYFUNCTION("""COMPUTED_VALUE"""),"No")</f>
        <v>No</v>
      </c>
      <c r="AH2006" s="5"/>
    </row>
    <row r="2007" spans="1:34" ht="12.75">
      <c r="A2007" s="5" t="str">
        <f ca="1">IFERROR(__xludf.DUMMYFUNCTION("""COMPUTED_VALUE"""),"19750515MOROS")</f>
        <v>19750515MOROS</v>
      </c>
      <c r="B2007" s="8">
        <f ca="1">IFERROR(__xludf.DUMMYFUNCTION("""COMPUTED_VALUE"""),27529)</f>
        <v>27529</v>
      </c>
      <c r="C2007" s="5" t="str">
        <f ca="1">IFERROR(__xludf.DUMMYFUNCTION("""COMPUTED_VALUE"""),"Rock Junior High School")</f>
        <v>Rock Junior High School</v>
      </c>
      <c r="D2007" s="5">
        <f ca="1">IFERROR(__xludf.DUMMYFUNCTION("""COMPUTED_VALUE"""),0)</f>
        <v>0</v>
      </c>
      <c r="E2007" s="5">
        <f ca="1">IFERROR(__xludf.DUMMYFUNCTION("""COMPUTED_VALUE"""),1)</f>
        <v>1</v>
      </c>
      <c r="F2007" s="5">
        <f ca="1">IFERROR(__xludf.DUMMYFUNCTION("""COMPUTED_VALUE"""),1)</f>
        <v>1</v>
      </c>
      <c r="G2007" s="5">
        <f ca="1">IFERROR(__xludf.DUMMYFUNCTION("""COMPUTED_VALUE"""),0)</f>
        <v>0</v>
      </c>
      <c r="H2007" s="9" t="str">
        <f ca="1">IFERROR(__xludf.DUMMYFUNCTION("""COMPUTED_VALUE"""),"https://www.newspapers.com/image/140698558/?terms=school%2Bshooting")</f>
        <v>https://www.newspapers.com/image/140698558/?terms=school%2Bshooting</v>
      </c>
      <c r="I2007" s="5"/>
      <c r="J2007" s="5"/>
      <c r="K2007" s="5">
        <f ca="1">IFERROR(__xludf.DUMMYFUNCTION("""COMPUTED_VALUE"""),2)</f>
        <v>2</v>
      </c>
      <c r="L2007" s="5" t="str">
        <f ca="1">IFERROR(__xludf.DUMMYFUNCTION("""COMPUTED_VALUE"""),"Spring")</f>
        <v>Spring</v>
      </c>
      <c r="M2007" s="5" t="str">
        <f ca="1">IFERROR(__xludf.DUMMYFUNCTION("""COMPUTED_VALUE"""),"St. Louis")</f>
        <v>St. Louis</v>
      </c>
      <c r="N2007" s="5" t="str">
        <f ca="1">IFERROR(__xludf.DUMMYFUNCTION("""COMPUTED_VALUE"""),"MO")</f>
        <v>MO</v>
      </c>
      <c r="O2007" s="5" t="str">
        <f ca="1">IFERROR(__xludf.DUMMYFUNCTION("""COMPUTED_VALUE"""),"Junior High")</f>
        <v>Junior High</v>
      </c>
      <c r="P2007" s="5" t="str">
        <f ca="1">IFERROR(__xludf.DUMMYFUNCTION("""COMPUTED_VALUE"""),"Office")</f>
        <v>Office</v>
      </c>
      <c r="Q2007" s="5" t="str">
        <f ca="1">IFERROR(__xludf.DUMMYFUNCTION("""COMPUTED_VALUE"""),"Inside School Building")</f>
        <v>Inside School Building</v>
      </c>
      <c r="R2007" s="5" t="str">
        <f ca="1">IFERROR(__xludf.DUMMYFUNCTION("""COMPUTED_VALUE"""),"Yes")</f>
        <v>Yes</v>
      </c>
      <c r="S2007" s="5" t="str">
        <f ca="1">IFERROR(__xludf.DUMMYFUNCTION("""COMPUTED_VALUE"""),"Afternoon Classes")</f>
        <v>Afternoon Classes</v>
      </c>
      <c r="T2007" s="10">
        <f ca="1">IFERROR(__xludf.DUMMYFUNCTION("""COMPUTED_VALUE"""),0.520833333333333)</f>
        <v>0.52083333333333304</v>
      </c>
      <c r="U2007" s="5">
        <f ca="1">IFERROR(__xludf.DUMMYFUNCTION("""COMPUTED_VALUE"""),1)</f>
        <v>1</v>
      </c>
      <c r="V2007" s="5" t="str">
        <f ca="1">IFERROR(__xludf.DUMMYFUNCTION("""COMPUTED_VALUE"""),"Administrator spanked student, student got gun and shot him")</f>
        <v>Administrator spanked student, student got gun and shot him</v>
      </c>
      <c r="W2007"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X2007" s="5" t="str">
        <f ca="1">IFERROR(__xludf.DUMMYFUNCTION("""COMPUTED_VALUE"""),"Anger Over Grade/Suspension/Discipline")</f>
        <v>Anger Over Grade/Suspension/Discipline</v>
      </c>
      <c r="Y2007" s="5" t="str">
        <f ca="1">IFERROR(__xludf.DUMMYFUNCTION("""COMPUTED_VALUE"""),"Victims Targeted")</f>
        <v>Victims Targeted</v>
      </c>
      <c r="Z2007" s="5" t="str">
        <f ca="1">IFERROR(__xludf.DUMMYFUNCTION("""COMPUTED_VALUE"""),"No")</f>
        <v>No</v>
      </c>
      <c r="AA2007" s="5"/>
      <c r="AB2007" s="5" t="str">
        <f ca="1">IFERROR(__xludf.DUMMYFUNCTION("""COMPUTED_VALUE"""),"No")</f>
        <v>No</v>
      </c>
      <c r="AC2007" s="5" t="str">
        <f ca="1">IFERROR(__xludf.DUMMYFUNCTION("""COMPUTED_VALUE"""),"No")</f>
        <v>No</v>
      </c>
      <c r="AD2007" s="5" t="str">
        <f ca="1">IFERROR(__xludf.DUMMYFUNCTION("""COMPUTED_VALUE"""),"No")</f>
        <v>No</v>
      </c>
      <c r="AE2007" s="5" t="str">
        <f ca="1">IFERROR(__xludf.DUMMYFUNCTION("""COMPUTED_VALUE"""),"No")</f>
        <v>No</v>
      </c>
      <c r="AF2007" s="5" t="str">
        <f ca="1">IFERROR(__xludf.DUMMYFUNCTION("""COMPUTED_VALUE"""),"No")</f>
        <v>No</v>
      </c>
      <c r="AG2007" s="5" t="str">
        <f ca="1">IFERROR(__xludf.DUMMYFUNCTION("""COMPUTED_VALUE"""),"No")</f>
        <v>No</v>
      </c>
      <c r="AH2007" s="5"/>
    </row>
    <row r="2008" spans="1:34" ht="12.75">
      <c r="A2008" s="5" t="str">
        <f ca="1">IFERROR(__xludf.DUMMYFUNCTION("""COMPUTED_VALUE"""),"19750321VAFAR")</f>
        <v>19750321VAFAR</v>
      </c>
      <c r="B2008" s="8">
        <f ca="1">IFERROR(__xludf.DUMMYFUNCTION("""COMPUTED_VALUE"""),27474)</f>
        <v>27474</v>
      </c>
      <c r="C2008" s="5" t="str">
        <f ca="1">IFERROR(__xludf.DUMMYFUNCTION("""COMPUTED_VALUE"""),"Fairmount Elementary School")</f>
        <v>Fairmount Elementary School</v>
      </c>
      <c r="D2008" s="5">
        <f ca="1">IFERROR(__xludf.DUMMYFUNCTION("""COMPUTED_VALUE"""),0)</f>
        <v>0</v>
      </c>
      <c r="E2008" s="5">
        <f ca="1">IFERROR(__xludf.DUMMYFUNCTION("""COMPUTED_VALUE"""),1)</f>
        <v>1</v>
      </c>
      <c r="F2008" s="5">
        <f ca="1">IFERROR(__xludf.DUMMYFUNCTION("""COMPUTED_VALUE"""),1)</f>
        <v>1</v>
      </c>
      <c r="G2008" s="5">
        <f ca="1">IFERROR(__xludf.DUMMYFUNCTION("""COMPUTED_VALUE"""),0)</f>
        <v>0</v>
      </c>
      <c r="H2008" s="9" t="str">
        <f ca="1">IFERROR(__xludf.DUMMYFUNCTION("""COMPUTED_VALUE"""),"https://www.newspapers.com/image/29775822/?terms=pupil%2Bshot")</f>
        <v>https://www.newspapers.com/image/29775822/?terms=pupil%2Bshot</v>
      </c>
      <c r="I2008" s="5"/>
      <c r="J2008" s="5"/>
      <c r="K2008" s="5">
        <f ca="1">IFERROR(__xludf.DUMMYFUNCTION("""COMPUTED_VALUE"""),2)</f>
        <v>2</v>
      </c>
      <c r="L2008" s="5" t="str">
        <f ca="1">IFERROR(__xludf.DUMMYFUNCTION("""COMPUTED_VALUE"""),"Spring")</f>
        <v>Spring</v>
      </c>
      <c r="M2008" s="5" t="str">
        <f ca="1">IFERROR(__xludf.DUMMYFUNCTION("""COMPUTED_VALUE"""),"Richmond")</f>
        <v>Richmond</v>
      </c>
      <c r="N2008" s="5" t="str">
        <f ca="1">IFERROR(__xludf.DUMMYFUNCTION("""COMPUTED_VALUE"""),"VA")</f>
        <v>VA</v>
      </c>
      <c r="O2008" s="5" t="str">
        <f ca="1">IFERROR(__xludf.DUMMYFUNCTION("""COMPUTED_VALUE"""),"Elementary")</f>
        <v>Elementary</v>
      </c>
      <c r="P2008" s="5" t="str">
        <f ca="1">IFERROR(__xludf.DUMMYFUNCTION("""COMPUTED_VALUE"""),"Playground")</f>
        <v>Playground</v>
      </c>
      <c r="Q2008" s="5" t="str">
        <f ca="1">IFERROR(__xludf.DUMMYFUNCTION("""COMPUTED_VALUE"""),"Outside on School Property")</f>
        <v>Outside on School Property</v>
      </c>
      <c r="R2008" s="5" t="str">
        <f ca="1">IFERROR(__xludf.DUMMYFUNCTION("""COMPUTED_VALUE"""),"Yes")</f>
        <v>Yes</v>
      </c>
      <c r="S2008" s="5" t="str">
        <f ca="1">IFERROR(__xludf.DUMMYFUNCTION("""COMPUTED_VALUE"""),"Lunch")</f>
        <v>Lunch</v>
      </c>
      <c r="T2008" s="10">
        <f ca="1">IFERROR(__xludf.DUMMYFUNCTION("""COMPUTED_VALUE"""),0.5)</f>
        <v>0.5</v>
      </c>
      <c r="U2008" s="5">
        <f ca="1">IFERROR(__xludf.DUMMYFUNCTION("""COMPUTED_VALUE"""),1)</f>
        <v>1</v>
      </c>
      <c r="V2008" s="5" t="str">
        <f ca="1">IFERROR(__xludf.DUMMYFUNCTION("""COMPUTED_VALUE"""),"Shooter was shooting at pigeons off school property when stray bullet hit victim")</f>
        <v>Shooter was shooting at pigeons off school property when stray bullet hit victim</v>
      </c>
      <c r="W2008"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X2008" s="5" t="str">
        <f ca="1">IFERROR(__xludf.DUMMYFUNCTION("""COMPUTED_VALUE"""),"Accidental")</f>
        <v>Accidental</v>
      </c>
      <c r="Y2008" s="5" t="str">
        <f ca="1">IFERROR(__xludf.DUMMYFUNCTION("""COMPUTED_VALUE"""),"Random Shooting")</f>
        <v>Random Shooting</v>
      </c>
      <c r="Z2008" s="5" t="str">
        <f ca="1">IFERROR(__xludf.DUMMYFUNCTION("""COMPUTED_VALUE"""),"No")</f>
        <v>No</v>
      </c>
      <c r="AA2008" s="5"/>
      <c r="AB2008" s="5" t="str">
        <f ca="1">IFERROR(__xludf.DUMMYFUNCTION("""COMPUTED_VALUE"""),"No")</f>
        <v>No</v>
      </c>
      <c r="AC2008" s="5" t="str">
        <f ca="1">IFERROR(__xludf.DUMMYFUNCTION("""COMPUTED_VALUE"""),"No")</f>
        <v>No</v>
      </c>
      <c r="AD2008" s="5" t="str">
        <f ca="1">IFERROR(__xludf.DUMMYFUNCTION("""COMPUTED_VALUE"""),"No")</f>
        <v>No</v>
      </c>
      <c r="AE2008" s="5" t="str">
        <f ca="1">IFERROR(__xludf.DUMMYFUNCTION("""COMPUTED_VALUE"""),"No")</f>
        <v>No</v>
      </c>
      <c r="AF2008" s="5" t="str">
        <f ca="1">IFERROR(__xludf.DUMMYFUNCTION("""COMPUTED_VALUE"""),"No")</f>
        <v>No</v>
      </c>
      <c r="AG2008" s="5" t="str">
        <f ca="1">IFERROR(__xludf.DUMMYFUNCTION("""COMPUTED_VALUE"""),"No")</f>
        <v>No</v>
      </c>
      <c r="AH2008" s="5"/>
    </row>
    <row r="2009" spans="1:34" ht="12.75">
      <c r="A2009" s="5" t="str">
        <f ca="1">IFERROR(__xludf.DUMMYFUNCTION("""COMPUTED_VALUE"""),"19750321OHPAD")</f>
        <v>19750321OHPAD</v>
      </c>
      <c r="B2009" s="8">
        <f ca="1">IFERROR(__xludf.DUMMYFUNCTION("""COMPUTED_VALUE"""),27474)</f>
        <v>27474</v>
      </c>
      <c r="C2009" s="5" t="str">
        <f ca="1">IFERROR(__xludf.DUMMYFUNCTION("""COMPUTED_VALUE"""),"Patterson Cooperative High School")</f>
        <v>Patterson Cooperative High School</v>
      </c>
      <c r="D2009" s="5">
        <f ca="1">IFERROR(__xludf.DUMMYFUNCTION("""COMPUTED_VALUE"""),0)</f>
        <v>0</v>
      </c>
      <c r="E2009" s="5">
        <f ca="1">IFERROR(__xludf.DUMMYFUNCTION("""COMPUTED_VALUE"""),1)</f>
        <v>1</v>
      </c>
      <c r="F2009" s="5">
        <f ca="1">IFERROR(__xludf.DUMMYFUNCTION("""COMPUTED_VALUE"""),1)</f>
        <v>1</v>
      </c>
      <c r="G2009" s="5">
        <f ca="1">IFERROR(__xludf.DUMMYFUNCTION("""COMPUTED_VALUE"""),0)</f>
        <v>0</v>
      </c>
      <c r="H2009" s="9" t="str">
        <f ca="1">IFERROR(__xludf.DUMMYFUNCTION("""COMPUTED_VALUE"""),"https://www.newspapers.com/image/405249949/?terms=NICHOLAS%2BSUTTLES%2BTEACHER")</f>
        <v>https://www.newspapers.com/image/405249949/?terms=NICHOLAS%2BSUTTLES%2BTEACHER</v>
      </c>
      <c r="I2009" s="5"/>
      <c r="J2009" s="5"/>
      <c r="K2009" s="5">
        <f ca="1">IFERROR(__xludf.DUMMYFUNCTION("""COMPUTED_VALUE"""),2)</f>
        <v>2</v>
      </c>
      <c r="L2009" s="5" t="str">
        <f ca="1">IFERROR(__xludf.DUMMYFUNCTION("""COMPUTED_VALUE"""),"Spring")</f>
        <v>Spring</v>
      </c>
      <c r="M2009" s="5" t="str">
        <f ca="1">IFERROR(__xludf.DUMMYFUNCTION("""COMPUTED_VALUE"""),"Dayton")</f>
        <v>Dayton</v>
      </c>
      <c r="N2009" s="5" t="str">
        <f ca="1">IFERROR(__xludf.DUMMYFUNCTION("""COMPUTED_VALUE"""),"OH")</f>
        <v>OH</v>
      </c>
      <c r="O2009" s="5" t="str">
        <f ca="1">IFERROR(__xludf.DUMMYFUNCTION("""COMPUTED_VALUE"""),"High")</f>
        <v>High</v>
      </c>
      <c r="P2009" s="5" t="str">
        <f ca="1">IFERROR(__xludf.DUMMYFUNCTION("""COMPUTED_VALUE"""),"Classroom")</f>
        <v>Classroom</v>
      </c>
      <c r="Q2009" s="5" t="str">
        <f ca="1">IFERROR(__xludf.DUMMYFUNCTION("""COMPUTED_VALUE"""),"Inside School Building")</f>
        <v>Inside School Building</v>
      </c>
      <c r="R2009" s="5" t="str">
        <f ca="1">IFERROR(__xludf.DUMMYFUNCTION("""COMPUTED_VALUE"""),"Yes")</f>
        <v>Yes</v>
      </c>
      <c r="S2009" s="5" t="str">
        <f ca="1">IFERROR(__xludf.DUMMYFUNCTION("""COMPUTED_VALUE"""),"Before School")</f>
        <v>Before School</v>
      </c>
      <c r="T2009" s="5"/>
      <c r="U2009" s="5">
        <f ca="1">IFERROR(__xludf.DUMMYFUNCTION("""COMPUTED_VALUE"""),1)</f>
        <v>1</v>
      </c>
      <c r="V2009" s="5" t="str">
        <f ca="1">IFERROR(__xludf.DUMMYFUNCTION("""COMPUTED_VALUE"""),"Unknown shooter shot teacher during class")</f>
        <v>Unknown shooter shot teacher during class</v>
      </c>
      <c r="W2009"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X2009" s="5" t="str">
        <f ca="1">IFERROR(__xludf.DUMMYFUNCTION("""COMPUTED_VALUE"""),"Illegal Activity")</f>
        <v>Illegal Activity</v>
      </c>
      <c r="Y2009" s="5" t="str">
        <f ca="1">IFERROR(__xludf.DUMMYFUNCTION("""COMPUTED_VALUE"""),"Victims Targeted")</f>
        <v>Victims Targeted</v>
      </c>
      <c r="Z2009" s="5" t="str">
        <f ca="1">IFERROR(__xludf.DUMMYFUNCTION("""COMPUTED_VALUE"""),"No")</f>
        <v>No</v>
      </c>
      <c r="AA2009" s="5"/>
      <c r="AB2009" s="5" t="str">
        <f ca="1">IFERROR(__xludf.DUMMYFUNCTION("""COMPUTED_VALUE"""),"No")</f>
        <v>No</v>
      </c>
      <c r="AC2009" s="5" t="str">
        <f ca="1">IFERROR(__xludf.DUMMYFUNCTION("""COMPUTED_VALUE"""),"Yes")</f>
        <v>Yes</v>
      </c>
      <c r="AD2009" s="5" t="str">
        <f ca="1">IFERROR(__xludf.DUMMYFUNCTION("""COMPUTED_VALUE"""),"No")</f>
        <v>No</v>
      </c>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IFERROR(__xludf.DUMMYFUNCTION("""COMPUTED_VALUE"""),"Yes")</f>
        <v>Yes</v>
      </c>
    </row>
    <row r="2010" spans="1:34" ht="12.75">
      <c r="A2010" s="5" t="str">
        <f ca="1">IFERROR(__xludf.DUMMYFUNCTION("""COMPUTED_VALUE"""),"19750318MOSUS")</f>
        <v>19750318MOSUS</v>
      </c>
      <c r="B2010" s="8">
        <f ca="1">IFERROR(__xludf.DUMMYFUNCTION("""COMPUTED_VALUE"""),27471)</f>
        <v>27471</v>
      </c>
      <c r="C2010" s="5" t="str">
        <f ca="1">IFERROR(__xludf.DUMMYFUNCTION("""COMPUTED_VALUE"""),"Sumner High School")</f>
        <v>Sumner High School</v>
      </c>
      <c r="D2010" s="5">
        <f ca="1">IFERROR(__xludf.DUMMYFUNCTION("""COMPUTED_VALUE"""),1)</f>
        <v>1</v>
      </c>
      <c r="E2010" s="5">
        <f ca="1">IFERROR(__xludf.DUMMYFUNCTION("""COMPUTED_VALUE"""),0)</f>
        <v>0</v>
      </c>
      <c r="F2010" s="5">
        <f ca="1">IFERROR(__xludf.DUMMYFUNCTION("""COMPUTED_VALUE"""),1)</f>
        <v>1</v>
      </c>
      <c r="G2010" s="5">
        <f ca="1">IFERROR(__xludf.DUMMYFUNCTION("""COMPUTED_VALUE"""),0)</f>
        <v>0</v>
      </c>
      <c r="H2010" s="9" t="str">
        <f ca="1">IFERROR(__xludf.DUMMYFUNCTION("""COMPUTED_VALUE"""),"https://www.newspapers.com/newspage/139614437/")</f>
        <v>https://www.newspapers.com/newspage/139614437/</v>
      </c>
      <c r="I2010" s="5"/>
      <c r="J2010" s="5"/>
      <c r="K2010" s="5">
        <f ca="1">IFERROR(__xludf.DUMMYFUNCTION("""COMPUTED_VALUE"""),2)</f>
        <v>2</v>
      </c>
      <c r="L2010" s="5" t="str">
        <f ca="1">IFERROR(__xludf.DUMMYFUNCTION("""COMPUTED_VALUE"""),"Spring")</f>
        <v>Spring</v>
      </c>
      <c r="M2010" s="5" t="str">
        <f ca="1">IFERROR(__xludf.DUMMYFUNCTION("""COMPUTED_VALUE"""),"St. Louis")</f>
        <v>St. Louis</v>
      </c>
      <c r="N2010" s="5" t="str">
        <f ca="1">IFERROR(__xludf.DUMMYFUNCTION("""COMPUTED_VALUE"""),"MO")</f>
        <v>MO</v>
      </c>
      <c r="O2010" s="5" t="str">
        <f ca="1">IFERROR(__xludf.DUMMYFUNCTION("""COMPUTED_VALUE"""),"High")</f>
        <v>High</v>
      </c>
      <c r="P2010" s="5" t="str">
        <f ca="1">IFERROR(__xludf.DUMMYFUNCTION("""COMPUTED_VALUE"""),"Inside School Building")</f>
        <v>Inside School Building</v>
      </c>
      <c r="Q2010" s="5" t="str">
        <f ca="1">IFERROR(__xludf.DUMMYFUNCTION("""COMPUTED_VALUE"""),"Inside School Building")</f>
        <v>Inside School Building</v>
      </c>
      <c r="R2010" s="5" t="str">
        <f ca="1">IFERROR(__xludf.DUMMYFUNCTION("""COMPUTED_VALUE"""),"Yes")</f>
        <v>Yes</v>
      </c>
      <c r="S2010" s="5" t="str">
        <f ca="1">IFERROR(__xludf.DUMMYFUNCTION("""COMPUTED_VALUE"""),"Lunch")</f>
        <v>Lunch</v>
      </c>
      <c r="T2010" s="5"/>
      <c r="U2010" s="5">
        <f ca="1">IFERROR(__xludf.DUMMYFUNCTION("""COMPUTED_VALUE"""),1)</f>
        <v>1</v>
      </c>
      <c r="V2010"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W2010"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X2010" s="5" t="str">
        <f ca="1">IFERROR(__xludf.DUMMYFUNCTION("""COMPUTED_VALUE"""),"Escalation of Dispute")</f>
        <v>Escalation of Dispute</v>
      </c>
      <c r="Y2010" s="5" t="str">
        <f ca="1">IFERROR(__xludf.DUMMYFUNCTION("""COMPUTED_VALUE"""),"Victims Targeted")</f>
        <v>Victims Targeted</v>
      </c>
      <c r="Z2010" s="5" t="str">
        <f ca="1">IFERROR(__xludf.DUMMYFUNCTION("""COMPUTED_VALUE"""),"Yes")</f>
        <v>Yes</v>
      </c>
      <c r="AA2010" s="5" t="str">
        <f ca="1">IFERROR(__xludf.DUMMYFUNCTION("""COMPUTED_VALUE"""),"Three other youths involved")</f>
        <v>Three other youths involved</v>
      </c>
      <c r="AB2010" s="5" t="str">
        <f ca="1">IFERROR(__xludf.DUMMYFUNCTION("""COMPUTED_VALUE"""),"No")</f>
        <v>No</v>
      </c>
      <c r="AC2010" s="5" t="str">
        <f ca="1">IFERROR(__xludf.DUMMYFUNCTION("""COMPUTED_VALUE"""),"No")</f>
        <v>No</v>
      </c>
      <c r="AD2010" s="5" t="str">
        <f ca="1">IFERROR(__xludf.DUMMYFUNCTION("""COMPUTED_VALUE"""),"No")</f>
        <v>No</v>
      </c>
      <c r="AE2010" s="5" t="str">
        <f ca="1">IFERROR(__xludf.DUMMYFUNCTION("""COMPUTED_VALUE"""),"No")</f>
        <v>No</v>
      </c>
      <c r="AF2010" s="5" t="str">
        <f ca="1">IFERROR(__xludf.DUMMYFUNCTION("""COMPUTED_VALUE"""),"No")</f>
        <v>No</v>
      </c>
      <c r="AG2010" s="5" t="str">
        <f ca="1">IFERROR(__xludf.DUMMYFUNCTION("""COMPUTED_VALUE"""),"No")</f>
        <v>No</v>
      </c>
      <c r="AH2010" s="5"/>
    </row>
    <row r="2011" spans="1:34" ht="12.75">
      <c r="A2011" s="5" t="str">
        <f ca="1">IFERROR(__xludf.DUMMYFUNCTION("""COMPUTED_VALUE"""),"19750312TXJOH")</f>
        <v>19750312TXJOH</v>
      </c>
      <c r="B2011" s="8">
        <f ca="1">IFERROR(__xludf.DUMMYFUNCTION("""COMPUTED_VALUE"""),27465)</f>
        <v>27465</v>
      </c>
      <c r="C2011" s="5" t="str">
        <f ca="1">IFERROR(__xludf.DUMMYFUNCTION("""COMPUTED_VALUE"""),"Jones High School")</f>
        <v>Jones High School</v>
      </c>
      <c r="D2011" s="5">
        <f ca="1">IFERROR(__xludf.DUMMYFUNCTION("""COMPUTED_VALUE"""),0)</f>
        <v>0</v>
      </c>
      <c r="E2011" s="5">
        <f ca="1">IFERROR(__xludf.DUMMYFUNCTION("""COMPUTED_VALUE"""),2)</f>
        <v>2</v>
      </c>
      <c r="F2011" s="5">
        <f ca="1">IFERROR(__xludf.DUMMYFUNCTION("""COMPUTED_VALUE"""),2)</f>
        <v>2</v>
      </c>
      <c r="G2011" s="5">
        <f ca="1">IFERROR(__xludf.DUMMYFUNCTION("""COMPUTED_VALUE"""),0)</f>
        <v>0</v>
      </c>
      <c r="H2011"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I2011" s="5"/>
      <c r="J2011" s="5"/>
      <c r="K2011" s="5">
        <f ca="1">IFERROR(__xludf.DUMMYFUNCTION("""COMPUTED_VALUE"""),3)</f>
        <v>3</v>
      </c>
      <c r="L2011" s="5" t="str">
        <f ca="1">IFERROR(__xludf.DUMMYFUNCTION("""COMPUTED_VALUE"""),"Spring")</f>
        <v>Spring</v>
      </c>
      <c r="M2011" s="5" t="str">
        <f ca="1">IFERROR(__xludf.DUMMYFUNCTION("""COMPUTED_VALUE"""),"Houston")</f>
        <v>Houston</v>
      </c>
      <c r="N2011" s="5" t="str">
        <f ca="1">IFERROR(__xludf.DUMMYFUNCTION("""COMPUTED_VALUE"""),"TX")</f>
        <v>TX</v>
      </c>
      <c r="O2011" s="5" t="str">
        <f ca="1">IFERROR(__xludf.DUMMYFUNCTION("""COMPUTED_VALUE"""),"High")</f>
        <v>High</v>
      </c>
      <c r="P2011" s="5" t="str">
        <f ca="1">IFERROR(__xludf.DUMMYFUNCTION("""COMPUTED_VALUE"""),"Courtyard")</f>
        <v>Courtyard</v>
      </c>
      <c r="Q2011" s="5" t="str">
        <f ca="1">IFERROR(__xludf.DUMMYFUNCTION("""COMPUTED_VALUE"""),"Outside on School Property")</f>
        <v>Outside on School Property</v>
      </c>
      <c r="R2011" s="5" t="str">
        <f ca="1">IFERROR(__xludf.DUMMYFUNCTION("""COMPUTED_VALUE"""),"Yes")</f>
        <v>Yes</v>
      </c>
      <c r="S2011" s="5" t="str">
        <f ca="1">IFERROR(__xludf.DUMMYFUNCTION("""COMPUTED_VALUE"""),"Afternoon Classes")</f>
        <v>Afternoon Classes</v>
      </c>
      <c r="T2011" s="5"/>
      <c r="U2011" s="5">
        <f ca="1">IFERROR(__xludf.DUMMYFUNCTION("""COMPUTED_VALUE"""),1)</f>
        <v>1</v>
      </c>
      <c r="V2011" s="5" t="str">
        <f ca="1">IFERROR(__xludf.DUMMYFUNCTION("""COMPUTED_VALUE"""),"Argument escalated into shooting")</f>
        <v>Argument escalated into shooting</v>
      </c>
      <c r="W2011"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X2011" s="5" t="str">
        <f ca="1">IFERROR(__xludf.DUMMYFUNCTION("""COMPUTED_VALUE"""),"Escalation of Dispute")</f>
        <v>Escalation of Dispute</v>
      </c>
      <c r="Y2011" s="5"/>
      <c r="Z2011" s="5" t="str">
        <f ca="1">IFERROR(__xludf.DUMMYFUNCTION("""COMPUTED_VALUE"""),"No")</f>
        <v>No</v>
      </c>
      <c r="AA2011" s="5"/>
      <c r="AB2011" s="5" t="str">
        <f ca="1">IFERROR(__xludf.DUMMYFUNCTION("""COMPUTED_VALUE"""),"No")</f>
        <v>No</v>
      </c>
      <c r="AC2011" s="5" t="str">
        <f ca="1">IFERROR(__xludf.DUMMYFUNCTION("""COMPUTED_VALUE"""),"No")</f>
        <v>No</v>
      </c>
      <c r="AD2011" s="5" t="str">
        <f ca="1">IFERROR(__xludf.DUMMYFUNCTION("""COMPUTED_VALUE"""),"No")</f>
        <v>No</v>
      </c>
      <c r="AE2011" s="5" t="str">
        <f ca="1">IFERROR(__xludf.DUMMYFUNCTION("""COMPUTED_VALUE"""),"No")</f>
        <v>No</v>
      </c>
      <c r="AF2011" s="5" t="str">
        <f ca="1">IFERROR(__xludf.DUMMYFUNCTION("""COMPUTED_VALUE"""),"No")</f>
        <v>No</v>
      </c>
      <c r="AG2011" s="5" t="str">
        <f ca="1">IFERROR(__xludf.DUMMYFUNCTION("""COMPUTED_VALUE"""),"No")</f>
        <v>No</v>
      </c>
      <c r="AH2011" s="5"/>
    </row>
    <row r="2012" spans="1:34" ht="12.75">
      <c r="A2012" s="5" t="str">
        <f ca="1">IFERROR(__xludf.DUMMYFUNCTION("""COMPUTED_VALUE"""),"19750224NJSTP")</f>
        <v>19750224NJSTP</v>
      </c>
      <c r="B2012" s="8">
        <f ca="1">IFERROR(__xludf.DUMMYFUNCTION("""COMPUTED_VALUE"""),27449)</f>
        <v>27449</v>
      </c>
      <c r="C2012" s="5" t="str">
        <f ca="1">IFERROR(__xludf.DUMMYFUNCTION("""COMPUTED_VALUE"""),"St. James School")</f>
        <v>St. James School</v>
      </c>
      <c r="D2012" s="5">
        <f ca="1">IFERROR(__xludf.DUMMYFUNCTION("""COMPUTED_VALUE"""),1)</f>
        <v>1</v>
      </c>
      <c r="E2012" s="5">
        <f ca="1">IFERROR(__xludf.DUMMYFUNCTION("""COMPUTED_VALUE"""),1)</f>
        <v>1</v>
      </c>
      <c r="F2012" s="5">
        <f ca="1">IFERROR(__xludf.DUMMYFUNCTION("""COMPUTED_VALUE"""),2)</f>
        <v>2</v>
      </c>
      <c r="G2012" s="5">
        <f ca="1">IFERROR(__xludf.DUMMYFUNCTION("""COMPUTED_VALUE"""),0)</f>
        <v>0</v>
      </c>
      <c r="H2012"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I2012" s="5"/>
      <c r="J2012" s="5"/>
      <c r="K2012" s="5">
        <f ca="1">IFERROR(__xludf.DUMMYFUNCTION("""COMPUTED_VALUE"""),3)</f>
        <v>3</v>
      </c>
      <c r="L2012" s="5" t="str">
        <f ca="1">IFERROR(__xludf.DUMMYFUNCTION("""COMPUTED_VALUE"""),"Winter")</f>
        <v>Winter</v>
      </c>
      <c r="M2012" s="5" t="str">
        <f ca="1">IFERROR(__xludf.DUMMYFUNCTION("""COMPUTED_VALUE"""),"Penns Grove")</f>
        <v>Penns Grove</v>
      </c>
      <c r="N2012" s="5" t="str">
        <f ca="1">IFERROR(__xludf.DUMMYFUNCTION("""COMPUTED_VALUE"""),"NJ")</f>
        <v>NJ</v>
      </c>
      <c r="O2012" s="5" t="str">
        <f ca="1">IFERROR(__xludf.DUMMYFUNCTION("""COMPUTED_VALUE"""),"K-8")</f>
        <v>K-8</v>
      </c>
      <c r="P2012" s="5" t="str">
        <f ca="1">IFERROR(__xludf.DUMMYFUNCTION("""COMPUTED_VALUE"""),"Classroom")</f>
        <v>Classroom</v>
      </c>
      <c r="Q2012" s="5" t="str">
        <f ca="1">IFERROR(__xludf.DUMMYFUNCTION("""COMPUTED_VALUE"""),"Inside School Building")</f>
        <v>Inside School Building</v>
      </c>
      <c r="R2012" s="5" t="str">
        <f ca="1">IFERROR(__xludf.DUMMYFUNCTION("""COMPUTED_VALUE"""),"Yes")</f>
        <v>Yes</v>
      </c>
      <c r="S2012" s="5" t="str">
        <f ca="1">IFERROR(__xludf.DUMMYFUNCTION("""COMPUTED_VALUE"""),"Morning Classes")</f>
        <v>Morning Classes</v>
      </c>
      <c r="T2012" s="5"/>
      <c r="U2012" s="5">
        <f ca="1">IFERROR(__xludf.DUMMYFUNCTION("""COMPUTED_VALUE"""),1)</f>
        <v>1</v>
      </c>
      <c r="V2012" s="5" t="str">
        <f ca="1">IFERROR(__xludf.DUMMYFUNCTION("""COMPUTED_VALUE"""),"Voices told him to kill her, thought priest was controlling him")</f>
        <v>Voices told him to kill her, thought priest was controlling him</v>
      </c>
      <c r="W2012"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X2012" s="5" t="str">
        <f ca="1">IFERROR(__xludf.DUMMYFUNCTION("""COMPUTED_VALUE"""),"Psychosis")</f>
        <v>Psychosis</v>
      </c>
      <c r="Y2012" s="5" t="str">
        <f ca="1">IFERROR(__xludf.DUMMYFUNCTION("""COMPUTED_VALUE"""),"Both")</f>
        <v>Both</v>
      </c>
      <c r="Z2012" s="5" t="str">
        <f ca="1">IFERROR(__xludf.DUMMYFUNCTION("""COMPUTED_VALUE"""),"No")</f>
        <v>No</v>
      </c>
      <c r="AA2012" s="5"/>
      <c r="AB2012" s="5" t="str">
        <f ca="1">IFERROR(__xludf.DUMMYFUNCTION("""COMPUTED_VALUE"""),"No")</f>
        <v>No</v>
      </c>
      <c r="AC2012" s="5" t="str">
        <f ca="1">IFERROR(__xludf.DUMMYFUNCTION("""COMPUTED_VALUE"""),"No")</f>
        <v>No</v>
      </c>
      <c r="AD2012" s="5" t="str">
        <f ca="1">IFERROR(__xludf.DUMMYFUNCTION("""COMPUTED_VALUE"""),"No")</f>
        <v>No</v>
      </c>
      <c r="AE2012" s="5"/>
      <c r="AF2012" s="5" t="str">
        <f ca="1">IFERROR(__xludf.DUMMYFUNCTION("""COMPUTED_VALUE"""),"No")</f>
        <v>No</v>
      </c>
      <c r="AG2012" s="5" t="str">
        <f ca="1">IFERROR(__xludf.DUMMYFUNCTION("""COMPUTED_VALUE"""),"No")</f>
        <v>No</v>
      </c>
      <c r="AH2012" s="5" t="str">
        <f ca="1">IFERROR(__xludf.DUMMYFUNCTION("""COMPUTED_VALUE"""),"Yes")</f>
        <v>Yes</v>
      </c>
    </row>
    <row r="2013" spans="1:34" ht="12.75">
      <c r="A2013" s="5" t="str">
        <f ca="1">IFERROR(__xludf.DUMMYFUNCTION("""COMPUTED_VALUE"""),"19750207NYBOM")</f>
        <v>19750207NYBOM</v>
      </c>
      <c r="B2013" s="8">
        <f ca="1">IFERROR(__xludf.DUMMYFUNCTION("""COMPUTED_VALUE"""),27432)</f>
        <v>27432</v>
      </c>
      <c r="C2013" s="5" t="str">
        <f ca="1">IFERROR(__xludf.DUMMYFUNCTION("""COMPUTED_VALUE"""),"Board of Cooperative Educational Services")</f>
        <v>Board of Cooperative Educational Services</v>
      </c>
      <c r="D2013" s="5">
        <f ca="1">IFERROR(__xludf.DUMMYFUNCTION("""COMPUTED_VALUE"""),0)</f>
        <v>0</v>
      </c>
      <c r="E2013" s="5">
        <f ca="1">IFERROR(__xludf.DUMMYFUNCTION("""COMPUTED_VALUE"""),0)</f>
        <v>0</v>
      </c>
      <c r="F2013" s="5">
        <f ca="1">IFERROR(__xludf.DUMMYFUNCTION("""COMPUTED_VALUE"""),0)</f>
        <v>0</v>
      </c>
      <c r="G2013" s="5">
        <f ca="1">IFERROR(__xludf.DUMMYFUNCTION("""COMPUTED_VALUE"""),0)</f>
        <v>0</v>
      </c>
      <c r="H2013" s="9" t="str">
        <f ca="1">IFERROR(__xludf.DUMMYFUNCTION("""COMPUTED_VALUE"""),"https://www.newspapers.com/image/431914265/?terms=william%2Bgund")</f>
        <v>https://www.newspapers.com/image/431914265/?terms=william%2Bgund</v>
      </c>
      <c r="I2013" s="5"/>
      <c r="J2013" s="5"/>
      <c r="K2013" s="5">
        <f ca="1">IFERROR(__xludf.DUMMYFUNCTION("""COMPUTED_VALUE"""),2)</f>
        <v>2</v>
      </c>
      <c r="L2013" s="5" t="str">
        <f ca="1">IFERROR(__xludf.DUMMYFUNCTION("""COMPUTED_VALUE"""),"Winter")</f>
        <v>Winter</v>
      </c>
      <c r="M2013" s="5" t="str">
        <f ca="1">IFERROR(__xludf.DUMMYFUNCTION("""COMPUTED_VALUE"""),"Mineola")</f>
        <v>Mineola</v>
      </c>
      <c r="N2013" s="5" t="str">
        <f ca="1">IFERROR(__xludf.DUMMYFUNCTION("""COMPUTED_VALUE"""),"NY")</f>
        <v>NY</v>
      </c>
      <c r="O2013" s="5" t="str">
        <f ca="1">IFERROR(__xludf.DUMMYFUNCTION("""COMPUTED_VALUE"""),"Other")</f>
        <v>Other</v>
      </c>
      <c r="P2013" s="5" t="str">
        <f ca="1">IFERROR(__xludf.DUMMYFUNCTION("""COMPUTED_VALUE"""),"Inside School Building")</f>
        <v>Inside School Building</v>
      </c>
      <c r="Q2013" s="5" t="str">
        <f ca="1">IFERROR(__xludf.DUMMYFUNCTION("""COMPUTED_VALUE"""),"Inside School Building")</f>
        <v>Inside School Building</v>
      </c>
      <c r="R2013" s="5" t="str">
        <f ca="1">IFERROR(__xludf.DUMMYFUNCTION("""COMPUTED_VALUE"""),"Yes")</f>
        <v>Yes</v>
      </c>
      <c r="S2013" s="5" t="str">
        <f ca="1">IFERROR(__xludf.DUMMYFUNCTION("""COMPUTED_VALUE"""),"Afternoon Classes")</f>
        <v>Afternoon Classes</v>
      </c>
      <c r="T2013" s="5"/>
      <c r="U2013" s="5">
        <f ca="1">IFERROR(__xludf.DUMMYFUNCTION("""COMPUTED_VALUE"""),1)</f>
        <v>1</v>
      </c>
      <c r="V2013" s="5" t="str">
        <f ca="1">IFERROR(__xludf.DUMMYFUNCTION("""COMPUTED_VALUE"""),"Shooter shot himself after being confronted by counselor regarding his latenesses/ absentees")</f>
        <v>Shooter shot himself after being confronted by counselor regarding his latenesses/ absentees</v>
      </c>
      <c r="W2013" s="5" t="str">
        <f ca="1">IFERROR(__xludf.DUMMYFUNCTION("""COMPUTED_VALUE"""),"Shooter shoots self in head at school after being told by counselor about his absentees and latenesses.")</f>
        <v>Shooter shoots self in head at school after being told by counselor about his absentees and latenesses.</v>
      </c>
      <c r="X2013" s="5" t="str">
        <f ca="1">IFERROR(__xludf.DUMMYFUNCTION("""COMPUTED_VALUE"""),"Suicide/Attempted")</f>
        <v>Suicide/Attempted</v>
      </c>
      <c r="Y2013" s="5" t="str">
        <f ca="1">IFERROR(__xludf.DUMMYFUNCTION("""COMPUTED_VALUE"""),"Victims Targeted")</f>
        <v>Victims Targeted</v>
      </c>
      <c r="Z2013" s="5" t="str">
        <f ca="1">IFERROR(__xludf.DUMMYFUNCTION("""COMPUTED_VALUE"""),"No")</f>
        <v>No</v>
      </c>
      <c r="AA2013" s="5"/>
      <c r="AB2013" s="5" t="str">
        <f ca="1">IFERROR(__xludf.DUMMYFUNCTION("""COMPUTED_VALUE"""),"No")</f>
        <v>No</v>
      </c>
      <c r="AC2013" s="5" t="str">
        <f ca="1">IFERROR(__xludf.DUMMYFUNCTION("""COMPUTED_VALUE"""),"No")</f>
        <v>No</v>
      </c>
      <c r="AD2013" s="5" t="str">
        <f ca="1">IFERROR(__xludf.DUMMYFUNCTION("""COMPUTED_VALUE"""),"No")</f>
        <v>No</v>
      </c>
      <c r="AE2013" s="5" t="str">
        <f ca="1">IFERROR(__xludf.DUMMYFUNCTION("""COMPUTED_VALUE"""),"No")</f>
        <v>No</v>
      </c>
      <c r="AF2013" s="5" t="str">
        <f ca="1">IFERROR(__xludf.DUMMYFUNCTION("""COMPUTED_VALUE"""),"No")</f>
        <v>No</v>
      </c>
      <c r="AG2013" s="5" t="str">
        <f ca="1">IFERROR(__xludf.DUMMYFUNCTION("""COMPUTED_VALUE"""),"No")</f>
        <v>No</v>
      </c>
      <c r="AH2013" s="5"/>
    </row>
    <row r="2014" spans="1:34" ht="12.75">
      <c r="A2014" s="5" t="str">
        <f ca="1">IFERROR(__xludf.DUMMYFUNCTION("""COMPUTED_VALUE"""),"19741230NYOLO")</f>
        <v>19741230NYOLO</v>
      </c>
      <c r="B2014" s="8">
        <f ca="1">IFERROR(__xludf.DUMMYFUNCTION("""COMPUTED_VALUE"""),27393)</f>
        <v>27393</v>
      </c>
      <c r="C2014" s="5" t="str">
        <f ca="1">IFERROR(__xludf.DUMMYFUNCTION("""COMPUTED_VALUE"""),"Olean High School")</f>
        <v>Olean High School</v>
      </c>
      <c r="D2014" s="5">
        <f ca="1">IFERROR(__xludf.DUMMYFUNCTION("""COMPUTED_VALUE"""),3)</f>
        <v>3</v>
      </c>
      <c r="E2014" s="5">
        <f ca="1">IFERROR(__xludf.DUMMYFUNCTION("""COMPUTED_VALUE"""),7)</f>
        <v>7</v>
      </c>
      <c r="F2014" s="5">
        <f ca="1">IFERROR(__xludf.DUMMYFUNCTION("""COMPUTED_VALUE"""),10)</f>
        <v>10</v>
      </c>
      <c r="G2014" s="5">
        <f ca="1">IFERROR(__xludf.DUMMYFUNCTION("""COMPUTED_VALUE"""),0)</f>
        <v>0</v>
      </c>
      <c r="H2014"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I2014" s="5"/>
      <c r="J2014" s="5"/>
      <c r="K2014" s="5">
        <f ca="1">IFERROR(__xludf.DUMMYFUNCTION("""COMPUTED_VALUE"""),3)</f>
        <v>3</v>
      </c>
      <c r="L2014" s="5" t="str">
        <f ca="1">IFERROR(__xludf.DUMMYFUNCTION("""COMPUTED_VALUE"""),"Winter")</f>
        <v>Winter</v>
      </c>
      <c r="M2014" s="5" t="str">
        <f ca="1">IFERROR(__xludf.DUMMYFUNCTION("""COMPUTED_VALUE"""),"Olean")</f>
        <v>Olean</v>
      </c>
      <c r="N2014" s="5" t="str">
        <f ca="1">IFERROR(__xludf.DUMMYFUNCTION("""COMPUTED_VALUE"""),"NY")</f>
        <v>NY</v>
      </c>
      <c r="O2014" s="5" t="str">
        <f ca="1">IFERROR(__xludf.DUMMYFUNCTION("""COMPUTED_VALUE"""),"High")</f>
        <v>High</v>
      </c>
      <c r="P2014" s="5" t="str">
        <f ca="1">IFERROR(__xludf.DUMMYFUNCTION("""COMPUTED_VALUE"""),"Classroom")</f>
        <v>Classroom</v>
      </c>
      <c r="Q2014" s="5" t="str">
        <f ca="1">IFERROR(__xludf.DUMMYFUNCTION("""COMPUTED_VALUE"""),"Inside School Building")</f>
        <v>Inside School Building</v>
      </c>
      <c r="R2014" s="5" t="str">
        <f ca="1">IFERROR(__xludf.DUMMYFUNCTION("""COMPUTED_VALUE"""),"No")</f>
        <v>No</v>
      </c>
      <c r="S2014" s="5" t="str">
        <f ca="1">IFERROR(__xludf.DUMMYFUNCTION("""COMPUTED_VALUE"""),"After School")</f>
        <v>After School</v>
      </c>
      <c r="T2014" s="10">
        <f ca="1">IFERROR(__xludf.DUMMYFUNCTION("""COMPUTED_VALUE"""),0.625)</f>
        <v>0.625</v>
      </c>
      <c r="U2014" s="5">
        <f ca="1">IFERROR(__xludf.DUMMYFUNCTION("""COMPUTED_VALUE"""),150)</f>
        <v>150</v>
      </c>
      <c r="V2014" s="5" t="str">
        <f ca="1">IFERROR(__xludf.DUMMYFUNCTION("""COMPUTED_VALUE"""),"Sniper attack from school building by trophy rifle team member/Regent's scholar")</f>
        <v>Sniper attack from school building by trophy rifle team member/Regent's scholar</v>
      </c>
      <c r="W2014"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X2014" s="5" t="str">
        <f ca="1">IFERROR(__xludf.DUMMYFUNCTION("""COMPUTED_VALUE"""),"Indiscriminate Shooting")</f>
        <v>Indiscriminate Shooting</v>
      </c>
      <c r="Y2014" s="5" t="str">
        <f ca="1">IFERROR(__xludf.DUMMYFUNCTION("""COMPUTED_VALUE"""),"Random Shooting")</f>
        <v>Random Shooting</v>
      </c>
      <c r="Z2014" s="5" t="str">
        <f ca="1">IFERROR(__xludf.DUMMYFUNCTION("""COMPUTED_VALUE"""),"No")</f>
        <v>No</v>
      </c>
      <c r="AA2014" s="5"/>
      <c r="AB2014" s="5" t="str">
        <f ca="1">IFERROR(__xludf.DUMMYFUNCTION("""COMPUTED_VALUE"""),"No")</f>
        <v>No</v>
      </c>
      <c r="AC2014" s="5" t="str">
        <f ca="1">IFERROR(__xludf.DUMMYFUNCTION("""COMPUTED_VALUE"""),"Yes")</f>
        <v>Yes</v>
      </c>
      <c r="AD2014" s="5" t="str">
        <f ca="1">IFERROR(__xludf.DUMMYFUNCTION("""COMPUTED_VALUE"""),"No")</f>
        <v>No</v>
      </c>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IFERROR(__xludf.DUMMYFUNCTION("""COMPUTED_VALUE"""),"Yes")</f>
        <v>Yes</v>
      </c>
    </row>
    <row r="2015" spans="1:34" ht="12.75">
      <c r="A2015" s="5" t="str">
        <f ca="1">IFERROR(__xludf.DUMMYFUNCTION("""COMPUTED_VALUE"""),"19741218CAMAL")</f>
        <v>19741218CAMAL</v>
      </c>
      <c r="B2015" s="8">
        <f ca="1">IFERROR(__xludf.DUMMYFUNCTION("""COMPUTED_VALUE"""),27381)</f>
        <v>27381</v>
      </c>
      <c r="C2015" s="5" t="str">
        <f ca="1">IFERROR(__xludf.DUMMYFUNCTION("""COMPUTED_VALUE"""),"Manual Arts High School")</f>
        <v>Manual Arts High School</v>
      </c>
      <c r="D2015" s="5">
        <f ca="1">IFERROR(__xludf.DUMMYFUNCTION("""COMPUTED_VALUE"""),1)</f>
        <v>1</v>
      </c>
      <c r="E2015" s="5">
        <f ca="1">IFERROR(__xludf.DUMMYFUNCTION("""COMPUTED_VALUE"""),1)</f>
        <v>1</v>
      </c>
      <c r="F2015" s="5">
        <f ca="1">IFERROR(__xludf.DUMMYFUNCTION("""COMPUTED_VALUE"""),2)</f>
        <v>2</v>
      </c>
      <c r="G2015" s="5">
        <f ca="1">IFERROR(__xludf.DUMMYFUNCTION("""COMPUTED_VALUE"""),0)</f>
        <v>0</v>
      </c>
      <c r="H2015" s="9" t="str">
        <f ca="1">IFERROR(__xludf.DUMMYFUNCTION("""COMPUTED_VALUE"""),"https://www.newspapers.com/image/246204936/?terms=school%2Bshooting")</f>
        <v>https://www.newspapers.com/image/246204936/?terms=school%2Bshooting</v>
      </c>
      <c r="I2015" s="5"/>
      <c r="J2015" s="5"/>
      <c r="K2015" s="5">
        <f ca="1">IFERROR(__xludf.DUMMYFUNCTION("""COMPUTED_VALUE"""),2)</f>
        <v>2</v>
      </c>
      <c r="L2015" s="5" t="str">
        <f ca="1">IFERROR(__xludf.DUMMYFUNCTION("""COMPUTED_VALUE"""),"Winter")</f>
        <v>Winter</v>
      </c>
      <c r="M2015" s="5" t="str">
        <f ca="1">IFERROR(__xludf.DUMMYFUNCTION("""COMPUTED_VALUE"""),"Los Angeles")</f>
        <v>Los Angeles</v>
      </c>
      <c r="N2015" s="5" t="str">
        <f ca="1">IFERROR(__xludf.DUMMYFUNCTION("""COMPUTED_VALUE"""),"CA")</f>
        <v>CA</v>
      </c>
      <c r="O2015" s="5" t="str">
        <f ca="1">IFERROR(__xludf.DUMMYFUNCTION("""COMPUTED_VALUE"""),"High")</f>
        <v>High</v>
      </c>
      <c r="P2015" s="5" t="str">
        <f ca="1">IFERROR(__xludf.DUMMYFUNCTION("""COMPUTED_VALUE"""),"ND")</f>
        <v>ND</v>
      </c>
      <c r="Q2015" s="5" t="str">
        <f ca="1">IFERROR(__xludf.DUMMYFUNCTION("""COMPUTED_VALUE"""),"ND")</f>
        <v>ND</v>
      </c>
      <c r="R2015" s="5" t="str">
        <f ca="1">IFERROR(__xludf.DUMMYFUNCTION("""COMPUTED_VALUE"""),"Yes")</f>
        <v>Yes</v>
      </c>
      <c r="S2015" s="5" t="str">
        <f ca="1">IFERROR(__xludf.DUMMYFUNCTION("""COMPUTED_VALUE"""),"Lunch")</f>
        <v>Lunch</v>
      </c>
      <c r="T2015" s="10">
        <f ca="1">IFERROR(__xludf.DUMMYFUNCTION("""COMPUTED_VALUE"""),0.5)</f>
        <v>0.5</v>
      </c>
      <c r="U2015" s="5">
        <f ca="1">IFERROR(__xludf.DUMMYFUNCTION("""COMPUTED_VALUE"""),1)</f>
        <v>1</v>
      </c>
      <c r="V2015" s="5" t="str">
        <f ca="1">IFERROR(__xludf.DUMMYFUNCTION("""COMPUTED_VALUE"""),"Retaliation for prior gang shootings")</f>
        <v>Retaliation for prior gang shootings</v>
      </c>
      <c r="W2015" s="5" t="str">
        <f ca="1">IFERROR(__xludf.DUMMYFUNCTION("""COMPUTED_VALUE"""),"Two gang affiliated teenage students were shot by a rival gang member who had just escaped juvenile hall.")</f>
        <v>Two gang affiliated teenage students were shot by a rival gang member who had just escaped juvenile hall.</v>
      </c>
      <c r="X2015" s="5" t="str">
        <f ca="1">IFERROR(__xludf.DUMMYFUNCTION("""COMPUTED_VALUE"""),"Escalation of Dispute")</f>
        <v>Escalation of Dispute</v>
      </c>
      <c r="Y2015" s="5" t="str">
        <f ca="1">IFERROR(__xludf.DUMMYFUNCTION("""COMPUTED_VALUE"""),"Victims Targeted")</f>
        <v>Victims Targeted</v>
      </c>
      <c r="Z2015" s="5" t="str">
        <f ca="1">IFERROR(__xludf.DUMMYFUNCTION("""COMPUTED_VALUE"""),"No")</f>
        <v>No</v>
      </c>
      <c r="AA2015" s="5"/>
      <c r="AB2015" s="5" t="str">
        <f ca="1">IFERROR(__xludf.DUMMYFUNCTION("""COMPUTED_VALUE"""),"No")</f>
        <v>No</v>
      </c>
      <c r="AC2015" s="5" t="str">
        <f ca="1">IFERROR(__xludf.DUMMYFUNCTION("""COMPUTED_VALUE"""),"No")</f>
        <v>No</v>
      </c>
      <c r="AD2015" s="5" t="str">
        <f ca="1">IFERROR(__xludf.DUMMYFUNCTION("""COMPUTED_VALUE"""),"No")</f>
        <v>No</v>
      </c>
      <c r="AE2015" s="5" t="str">
        <f ca="1">IFERROR(__xludf.DUMMYFUNCTION("""COMPUTED_VALUE"""),"No")</f>
        <v>No</v>
      </c>
      <c r="AF2015" s="5" t="str">
        <f ca="1">IFERROR(__xludf.DUMMYFUNCTION("""COMPUTED_VALUE"""),"No")</f>
        <v>No</v>
      </c>
      <c r="AG2015" s="5" t="str">
        <f ca="1">IFERROR(__xludf.DUMMYFUNCTION("""COMPUTED_VALUE"""),"Yes")</f>
        <v>Yes</v>
      </c>
      <c r="AH2015" s="5"/>
    </row>
    <row r="2016" spans="1:34" ht="12.75">
      <c r="A2016" s="5" t="str">
        <f ca="1">IFERROR(__xludf.DUMMYFUNCTION("""COMPUTED_VALUE"""),"19741125SCCAC")</f>
        <v>19741125SCCAC</v>
      </c>
      <c r="B2016" s="8">
        <f ca="1">IFERROR(__xludf.DUMMYFUNCTION("""COMPUTED_VALUE"""),27358)</f>
        <v>27358</v>
      </c>
      <c r="C2016" s="5" t="str">
        <f ca="1">IFERROR(__xludf.DUMMYFUNCTION("""COMPUTED_VALUE"""),"C A Brown High School")</f>
        <v>C A Brown High School</v>
      </c>
      <c r="D2016" s="5">
        <f ca="1">IFERROR(__xludf.DUMMYFUNCTION("""COMPUTED_VALUE"""),0)</f>
        <v>0</v>
      </c>
      <c r="E2016" s="5">
        <f ca="1">IFERROR(__xludf.DUMMYFUNCTION("""COMPUTED_VALUE"""),0)</f>
        <v>0</v>
      </c>
      <c r="F2016" s="5">
        <f ca="1">IFERROR(__xludf.DUMMYFUNCTION("""COMPUTED_VALUE"""),0)</f>
        <v>0</v>
      </c>
      <c r="G2016" s="5">
        <f ca="1">IFERROR(__xludf.DUMMYFUNCTION("""COMPUTED_VALUE"""),0)</f>
        <v>0</v>
      </c>
      <c r="H2016" s="9" t="str">
        <f ca="1">IFERROR(__xludf.DUMMYFUNCTION("""COMPUTED_VALUE"""),"https://www.newspapers.com/image/68536508/?terms=school%2Bshooting")</f>
        <v>https://www.newspapers.com/image/68536508/?terms=school%2Bshooting</v>
      </c>
      <c r="I2016" s="5"/>
      <c r="J2016" s="5"/>
      <c r="K2016" s="5">
        <f ca="1">IFERROR(__xludf.DUMMYFUNCTION("""COMPUTED_VALUE"""),2)</f>
        <v>2</v>
      </c>
      <c r="L2016" s="5" t="str">
        <f ca="1">IFERROR(__xludf.DUMMYFUNCTION("""COMPUTED_VALUE"""),"Fall")</f>
        <v>Fall</v>
      </c>
      <c r="M2016" s="5" t="str">
        <f ca="1">IFERROR(__xludf.DUMMYFUNCTION("""COMPUTED_VALUE"""),"Charleston")</f>
        <v>Charleston</v>
      </c>
      <c r="N2016" s="5" t="str">
        <f ca="1">IFERROR(__xludf.DUMMYFUNCTION("""COMPUTED_VALUE"""),"SC")</f>
        <v>SC</v>
      </c>
      <c r="O2016" s="5" t="str">
        <f ca="1">IFERROR(__xludf.DUMMYFUNCTION("""COMPUTED_VALUE"""),"High")</f>
        <v>High</v>
      </c>
      <c r="P2016" s="5" t="str">
        <f ca="1">IFERROR(__xludf.DUMMYFUNCTION("""COMPUTED_VALUE"""),"Outside on School Property")</f>
        <v>Outside on School Property</v>
      </c>
      <c r="Q2016" s="5" t="str">
        <f ca="1">IFERROR(__xludf.DUMMYFUNCTION("""COMPUTED_VALUE"""),"Outside on School Property")</f>
        <v>Outside on School Property</v>
      </c>
      <c r="R2016" s="5" t="str">
        <f ca="1">IFERROR(__xludf.DUMMYFUNCTION("""COMPUTED_VALUE"""),"No")</f>
        <v>No</v>
      </c>
      <c r="S2016" s="5" t="str">
        <f ca="1">IFERROR(__xludf.DUMMYFUNCTION("""COMPUTED_VALUE"""),"After School")</f>
        <v>After School</v>
      </c>
      <c r="T2016" s="10">
        <f ca="1">IFERROR(__xludf.DUMMYFUNCTION("""COMPUTED_VALUE"""),0.625)</f>
        <v>0.625</v>
      </c>
      <c r="U2016" s="5">
        <f ca="1">IFERROR(__xludf.DUMMYFUNCTION("""COMPUTED_VALUE"""),1)</f>
        <v>1</v>
      </c>
      <c r="V2016" s="5" t="str">
        <f ca="1">IFERROR(__xludf.DUMMYFUNCTION("""COMPUTED_VALUE"""),"Shots fired at group of student/gang members in retaliation for previous week shooting")</f>
        <v>Shots fired at group of student/gang members in retaliation for previous week shooting</v>
      </c>
      <c r="W2016"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X2016" s="5" t="str">
        <f ca="1">IFERROR(__xludf.DUMMYFUNCTION("""COMPUTED_VALUE"""),"Escalation of Dispute")</f>
        <v>Escalation of Dispute</v>
      </c>
      <c r="Y2016" s="5" t="str">
        <f ca="1">IFERROR(__xludf.DUMMYFUNCTION("""COMPUTED_VALUE"""),"Victims Targeted")</f>
        <v>Victims Targeted</v>
      </c>
      <c r="Z2016" s="5" t="str">
        <f ca="1">IFERROR(__xludf.DUMMYFUNCTION("""COMPUTED_VALUE"""),"Yes")</f>
        <v>Yes</v>
      </c>
      <c r="AA2016" s="5" t="str">
        <f ca="1">IFERROR(__xludf.DUMMYFUNCTION("""COMPUTED_VALUE"""),"Two shooters")</f>
        <v>Two shooters</v>
      </c>
      <c r="AB2016" s="5" t="str">
        <f ca="1">IFERROR(__xludf.DUMMYFUNCTION("""COMPUTED_VALUE"""),"No")</f>
        <v>No</v>
      </c>
      <c r="AC2016" s="5" t="str">
        <f ca="1">IFERROR(__xludf.DUMMYFUNCTION("""COMPUTED_VALUE"""),"No")</f>
        <v>No</v>
      </c>
      <c r="AD2016" s="5" t="str">
        <f ca="1">IFERROR(__xludf.DUMMYFUNCTION("""COMPUTED_VALUE"""),"No")</f>
        <v>No</v>
      </c>
      <c r="AE2016" s="5" t="str">
        <f ca="1">IFERROR(__xludf.DUMMYFUNCTION("""COMPUTED_VALUE"""),"No")</f>
        <v>No</v>
      </c>
      <c r="AF2016" s="5" t="str">
        <f ca="1">IFERROR(__xludf.DUMMYFUNCTION("""COMPUTED_VALUE"""),"No")</f>
        <v>No</v>
      </c>
      <c r="AG2016" s="5" t="str">
        <f ca="1">IFERROR(__xludf.DUMMYFUNCTION("""COMPUTED_VALUE"""),"Yes")</f>
        <v>Yes</v>
      </c>
      <c r="AH2016" s="5"/>
    </row>
    <row r="2017" spans="1:34" ht="12.75">
      <c r="A2017" s="5" t="str">
        <f ca="1">IFERROR(__xludf.DUMMYFUNCTION("""COMPUTED_VALUE"""),"19741121ARBOL")</f>
        <v>19741121ARBOL</v>
      </c>
      <c r="B2017" s="8">
        <f ca="1">IFERROR(__xludf.DUMMYFUNCTION("""COMPUTED_VALUE"""),27354)</f>
        <v>27354</v>
      </c>
      <c r="C2017" s="5" t="str">
        <f ca="1">IFERROR(__xludf.DUMMYFUNCTION("""COMPUTED_VALUE"""),"Booker Junior High School")</f>
        <v>Booker Junior High School</v>
      </c>
      <c r="D2017" s="5">
        <f ca="1">IFERROR(__xludf.DUMMYFUNCTION("""COMPUTED_VALUE"""),1)</f>
        <v>1</v>
      </c>
      <c r="E2017" s="5">
        <f ca="1">IFERROR(__xludf.DUMMYFUNCTION("""COMPUTED_VALUE"""),1)</f>
        <v>1</v>
      </c>
      <c r="F2017" s="5">
        <f ca="1">IFERROR(__xludf.DUMMYFUNCTION("""COMPUTED_VALUE"""),2)</f>
        <v>2</v>
      </c>
      <c r="G2017" s="5">
        <f ca="1">IFERROR(__xludf.DUMMYFUNCTION("""COMPUTED_VALUE"""),0)</f>
        <v>0</v>
      </c>
      <c r="H2017" s="9" t="str">
        <f ca="1">IFERROR(__xludf.DUMMYFUNCTION("""COMPUTED_VALUE"""),"https://www.newspapers.com/image/31485570/?terms=school%2Bshooting")</f>
        <v>https://www.newspapers.com/image/31485570/?terms=school%2Bshooting</v>
      </c>
      <c r="I2017" s="5"/>
      <c r="J2017" s="5"/>
      <c r="K2017" s="5">
        <f ca="1">IFERROR(__xludf.DUMMYFUNCTION("""COMPUTED_VALUE"""),2)</f>
        <v>2</v>
      </c>
      <c r="L2017" s="5" t="str">
        <f ca="1">IFERROR(__xludf.DUMMYFUNCTION("""COMPUTED_VALUE"""),"Fall")</f>
        <v>Fall</v>
      </c>
      <c r="M2017" s="5" t="str">
        <f ca="1">IFERROR(__xludf.DUMMYFUNCTION("""COMPUTED_VALUE"""),"Little Rock")</f>
        <v>Little Rock</v>
      </c>
      <c r="N2017" s="5" t="str">
        <f ca="1">IFERROR(__xludf.DUMMYFUNCTION("""COMPUTED_VALUE"""),"AR")</f>
        <v>AR</v>
      </c>
      <c r="O2017" s="5" t="str">
        <f ca="1">IFERROR(__xludf.DUMMYFUNCTION("""COMPUTED_VALUE"""),"Junior High")</f>
        <v>Junior High</v>
      </c>
      <c r="P2017" s="5" t="str">
        <f ca="1">IFERROR(__xludf.DUMMYFUNCTION("""COMPUTED_VALUE"""),"Cafeteria")</f>
        <v>Cafeteria</v>
      </c>
      <c r="Q2017" s="5" t="str">
        <f ca="1">IFERROR(__xludf.DUMMYFUNCTION("""COMPUTED_VALUE"""),"Inside School Building")</f>
        <v>Inside School Building</v>
      </c>
      <c r="R2017" s="5" t="str">
        <f ca="1">IFERROR(__xludf.DUMMYFUNCTION("""COMPUTED_VALUE"""),"Yes")</f>
        <v>Yes</v>
      </c>
      <c r="S2017" s="5" t="str">
        <f ca="1">IFERROR(__xludf.DUMMYFUNCTION("""COMPUTED_VALUE"""),"Lunch")</f>
        <v>Lunch</v>
      </c>
      <c r="T2017" s="10">
        <f ca="1">IFERROR(__xludf.DUMMYFUNCTION("""COMPUTED_VALUE"""),0.5625)</f>
        <v>0.5625</v>
      </c>
      <c r="U2017" s="5">
        <f ca="1">IFERROR(__xludf.DUMMYFUNCTION("""COMPUTED_VALUE"""),1)</f>
        <v>1</v>
      </c>
      <c r="V2017" s="5" t="str">
        <f ca="1">IFERROR(__xludf.DUMMYFUNCTION("""COMPUTED_VALUE"""),"Ongoing fight between student, bystander hit")</f>
        <v>Ongoing fight between student, bystander hit</v>
      </c>
      <c r="W2017"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X2017" s="5" t="str">
        <f ca="1">IFERROR(__xludf.DUMMYFUNCTION("""COMPUTED_VALUE"""),"Escalation of Dispute")</f>
        <v>Escalation of Dispute</v>
      </c>
      <c r="Y2017" s="5" t="str">
        <f ca="1">IFERROR(__xludf.DUMMYFUNCTION("""COMPUTED_VALUE"""),"Both")</f>
        <v>Both</v>
      </c>
      <c r="Z2017" s="5" t="str">
        <f ca="1">IFERROR(__xludf.DUMMYFUNCTION("""COMPUTED_VALUE"""),"No")</f>
        <v>No</v>
      </c>
      <c r="AA2017" s="5"/>
      <c r="AB2017" s="5" t="str">
        <f ca="1">IFERROR(__xludf.DUMMYFUNCTION("""COMPUTED_VALUE"""),"No")</f>
        <v>No</v>
      </c>
      <c r="AC2017" s="5" t="str">
        <f ca="1">IFERROR(__xludf.DUMMYFUNCTION("""COMPUTED_VALUE"""),"No")</f>
        <v>No</v>
      </c>
      <c r="AD2017" s="5" t="str">
        <f ca="1">IFERROR(__xludf.DUMMYFUNCTION("""COMPUTED_VALUE"""),"No")</f>
        <v>No</v>
      </c>
      <c r="AE2017" s="5" t="str">
        <f ca="1">IFERROR(__xludf.DUMMYFUNCTION("""COMPUTED_VALUE"""),"No")</f>
        <v>No</v>
      </c>
      <c r="AF2017" s="5" t="str">
        <f ca="1">IFERROR(__xludf.DUMMYFUNCTION("""COMPUTED_VALUE"""),"No")</f>
        <v>No</v>
      </c>
      <c r="AG2017" s="5" t="str">
        <f ca="1">IFERROR(__xludf.DUMMYFUNCTION("""COMPUTED_VALUE"""),"No")</f>
        <v>No</v>
      </c>
      <c r="AH2017" s="5"/>
    </row>
    <row r="2018" spans="1:34" ht="12.75">
      <c r="A2018" s="5" t="str">
        <f ca="1">IFERROR(__xludf.DUMMYFUNCTION("""COMPUTED_VALUE"""),"19741118SCCAC")</f>
        <v>19741118SCCAC</v>
      </c>
      <c r="B2018" s="8">
        <f ca="1">IFERROR(__xludf.DUMMYFUNCTION("""COMPUTED_VALUE"""),27351)</f>
        <v>27351</v>
      </c>
      <c r="C2018" s="5" t="str">
        <f ca="1">IFERROR(__xludf.DUMMYFUNCTION("""COMPUTED_VALUE"""),"C A Brown High School")</f>
        <v>C A Brown High School</v>
      </c>
      <c r="D2018" s="5">
        <f ca="1">IFERROR(__xludf.DUMMYFUNCTION("""COMPUTED_VALUE"""),0)</f>
        <v>0</v>
      </c>
      <c r="E2018" s="5">
        <f ca="1">IFERROR(__xludf.DUMMYFUNCTION("""COMPUTED_VALUE"""),1)</f>
        <v>1</v>
      </c>
      <c r="F2018" s="5">
        <f ca="1">IFERROR(__xludf.DUMMYFUNCTION("""COMPUTED_VALUE"""),1)</f>
        <v>1</v>
      </c>
      <c r="G2018" s="5">
        <f ca="1">IFERROR(__xludf.DUMMYFUNCTION("""COMPUTED_VALUE"""),0)</f>
        <v>0</v>
      </c>
      <c r="H2018" s="9" t="str">
        <f ca="1">IFERROR(__xludf.DUMMYFUNCTION("""COMPUTED_VALUE"""),"https://www.newspapers.com/image/68536508/?terms=school%2Bshooting")</f>
        <v>https://www.newspapers.com/image/68536508/?terms=school%2Bshooting</v>
      </c>
      <c r="I2018" s="5"/>
      <c r="J2018" s="5"/>
      <c r="K2018" s="5">
        <f ca="1">IFERROR(__xludf.DUMMYFUNCTION("""COMPUTED_VALUE"""),2)</f>
        <v>2</v>
      </c>
      <c r="L2018" s="5" t="str">
        <f ca="1">IFERROR(__xludf.DUMMYFUNCTION("""COMPUTED_VALUE"""),"Fall")</f>
        <v>Fall</v>
      </c>
      <c r="M2018" s="5" t="str">
        <f ca="1">IFERROR(__xludf.DUMMYFUNCTION("""COMPUTED_VALUE"""),"Charleston")</f>
        <v>Charleston</v>
      </c>
      <c r="N2018" s="5" t="str">
        <f ca="1">IFERROR(__xludf.DUMMYFUNCTION("""COMPUTED_VALUE"""),"SC")</f>
        <v>SC</v>
      </c>
      <c r="O2018" s="5" t="str">
        <f ca="1">IFERROR(__xludf.DUMMYFUNCTION("""COMPUTED_VALUE"""),"High")</f>
        <v>High</v>
      </c>
      <c r="P2018" s="5" t="str">
        <f ca="1">IFERROR(__xludf.DUMMYFUNCTION("""COMPUTED_VALUE"""),"Outside on School Property")</f>
        <v>Outside on School Property</v>
      </c>
      <c r="Q2018" s="5" t="str">
        <f ca="1">IFERROR(__xludf.DUMMYFUNCTION("""COMPUTED_VALUE"""),"Outside on School Property")</f>
        <v>Outside on School Property</v>
      </c>
      <c r="R2018" s="5" t="str">
        <f ca="1">IFERROR(__xludf.DUMMYFUNCTION("""COMPUTED_VALUE"""),"Yes")</f>
        <v>Yes</v>
      </c>
      <c r="S2018" s="5" t="str">
        <f ca="1">IFERROR(__xludf.DUMMYFUNCTION("""COMPUTED_VALUE"""),"Dismissal")</f>
        <v>Dismissal</v>
      </c>
      <c r="T2018" s="10">
        <f ca="1">IFERROR(__xludf.DUMMYFUNCTION("""COMPUTED_VALUE"""),0.625)</f>
        <v>0.625</v>
      </c>
      <c r="U2018" s="5">
        <f ca="1">IFERROR(__xludf.DUMMYFUNCTION("""COMPUTED_VALUE"""),1)</f>
        <v>1</v>
      </c>
      <c r="V2018" s="5" t="str">
        <f ca="1">IFERROR(__xludf.DUMMYFUNCTION("""COMPUTED_VALUE"""),"Non-student shot by rival gang members")</f>
        <v>Non-student shot by rival gang members</v>
      </c>
      <c r="W2018" s="5" t="str">
        <f ca="1">IFERROR(__xludf.DUMMYFUNCTION("""COMPUTED_VALUE"""),"Non-student gang member shot at school by rival gang members.")</f>
        <v>Non-student gang member shot at school by rival gang members.</v>
      </c>
      <c r="X2018" s="5" t="str">
        <f ca="1">IFERROR(__xludf.DUMMYFUNCTION("""COMPUTED_VALUE"""),"Escalation of Dispute")</f>
        <v>Escalation of Dispute</v>
      </c>
      <c r="Y2018" s="5" t="str">
        <f ca="1">IFERROR(__xludf.DUMMYFUNCTION("""COMPUTED_VALUE"""),"Victims Targeted")</f>
        <v>Victims Targeted</v>
      </c>
      <c r="Z2018" s="5" t="str">
        <f ca="1">IFERROR(__xludf.DUMMYFUNCTION("""COMPUTED_VALUE"""),"No")</f>
        <v>No</v>
      </c>
      <c r="AA2018" s="5"/>
      <c r="AB2018" s="5" t="str">
        <f ca="1">IFERROR(__xludf.DUMMYFUNCTION("""COMPUTED_VALUE"""),"No")</f>
        <v>No</v>
      </c>
      <c r="AC2018" s="5" t="str">
        <f ca="1">IFERROR(__xludf.DUMMYFUNCTION("""COMPUTED_VALUE"""),"No")</f>
        <v>No</v>
      </c>
      <c r="AD2018" s="5" t="str">
        <f ca="1">IFERROR(__xludf.DUMMYFUNCTION("""COMPUTED_VALUE"""),"No")</f>
        <v>No</v>
      </c>
      <c r="AE2018" s="5" t="str">
        <f ca="1">IFERROR(__xludf.DUMMYFUNCTION("""COMPUTED_VALUE"""),"No")</f>
        <v>No</v>
      </c>
      <c r="AF2018" s="5" t="str">
        <f ca="1">IFERROR(__xludf.DUMMYFUNCTION("""COMPUTED_VALUE"""),"No")</f>
        <v>No</v>
      </c>
      <c r="AG2018" s="5" t="str">
        <f ca="1">IFERROR(__xludf.DUMMYFUNCTION("""COMPUTED_VALUE"""),"Yes")</f>
        <v>Yes</v>
      </c>
      <c r="AH2018" s="5"/>
    </row>
    <row r="2019" spans="1:34" ht="12.75">
      <c r="A2019" s="5" t="str">
        <f ca="1">IFERROR(__xludf.DUMMYFUNCTION("""COMPUTED_VALUE"""),"19741021MDDOB")</f>
        <v>19741021MDDOB</v>
      </c>
      <c r="B2019" s="8">
        <f ca="1">IFERROR(__xludf.DUMMYFUNCTION("""COMPUTED_VALUE"""),27323)</f>
        <v>27323</v>
      </c>
      <c r="C2019" s="5" t="str">
        <f ca="1">IFERROR(__xludf.DUMMYFUNCTION("""COMPUTED_VALUE"""),"Douglass High School")</f>
        <v>Douglass High School</v>
      </c>
      <c r="D2019" s="5">
        <f ca="1">IFERROR(__xludf.DUMMYFUNCTION("""COMPUTED_VALUE"""),0)</f>
        <v>0</v>
      </c>
      <c r="E2019" s="5">
        <f ca="1">IFERROR(__xludf.DUMMYFUNCTION("""COMPUTED_VALUE"""),1)</f>
        <v>1</v>
      </c>
      <c r="F2019" s="5">
        <f ca="1">IFERROR(__xludf.DUMMYFUNCTION("""COMPUTED_VALUE"""),1)</f>
        <v>1</v>
      </c>
      <c r="G2019" s="5">
        <f ca="1">IFERROR(__xludf.DUMMYFUNCTION("""COMPUTED_VALUE"""),0)</f>
        <v>0</v>
      </c>
      <c r="H2019" s="9" t="str">
        <f ca="1">IFERROR(__xludf.DUMMYFUNCTION("""COMPUTED_VALUE"""),"https://www.newspapers.com/image/377591998/?terms=school%2Bshooting")</f>
        <v>https://www.newspapers.com/image/377591998/?terms=school%2Bshooting</v>
      </c>
      <c r="I2019" s="5"/>
      <c r="J2019" s="5"/>
      <c r="K2019" s="5">
        <f ca="1">IFERROR(__xludf.DUMMYFUNCTION("""COMPUTED_VALUE"""),2)</f>
        <v>2</v>
      </c>
      <c r="L2019" s="5" t="str">
        <f ca="1">IFERROR(__xludf.DUMMYFUNCTION("""COMPUTED_VALUE"""),"Fall")</f>
        <v>Fall</v>
      </c>
      <c r="M2019" s="5" t="str">
        <f ca="1">IFERROR(__xludf.DUMMYFUNCTION("""COMPUTED_VALUE"""),"Baltimore")</f>
        <v>Baltimore</v>
      </c>
      <c r="N2019" s="5" t="str">
        <f ca="1">IFERROR(__xludf.DUMMYFUNCTION("""COMPUTED_VALUE"""),"MD")</f>
        <v>MD</v>
      </c>
      <c r="O2019" s="5" t="str">
        <f ca="1">IFERROR(__xludf.DUMMYFUNCTION("""COMPUTED_VALUE"""),"High")</f>
        <v>High</v>
      </c>
      <c r="P2019" s="5" t="str">
        <f ca="1">IFERROR(__xludf.DUMMYFUNCTION("""COMPUTED_VALUE"""),"Inside School Building")</f>
        <v>Inside School Building</v>
      </c>
      <c r="Q2019" s="5" t="str">
        <f ca="1">IFERROR(__xludf.DUMMYFUNCTION("""COMPUTED_VALUE"""),"Inside School Building")</f>
        <v>Inside School Building</v>
      </c>
      <c r="R2019" s="5" t="str">
        <f ca="1">IFERROR(__xludf.DUMMYFUNCTION("""COMPUTED_VALUE"""),"Yes")</f>
        <v>Yes</v>
      </c>
      <c r="S2019" s="5" t="str">
        <f ca="1">IFERROR(__xludf.DUMMYFUNCTION("""COMPUTED_VALUE"""),"Lunch")</f>
        <v>Lunch</v>
      </c>
      <c r="T2019" s="5"/>
      <c r="U2019" s="5">
        <f ca="1">IFERROR(__xludf.DUMMYFUNCTION("""COMPUTED_VALUE"""),1)</f>
        <v>1</v>
      </c>
      <c r="V2019" s="5" t="str">
        <f ca="1">IFERROR(__xludf.DUMMYFUNCTION("""COMPUTED_VALUE"""),"Shot security guard while trespassing in school")</f>
        <v>Shot security guard while trespassing in school</v>
      </c>
      <c r="W2019"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X2019" s="5" t="str">
        <f ca="1">IFERROR(__xludf.DUMMYFUNCTION("""COMPUTED_VALUE"""),"Illegal Activity")</f>
        <v>Illegal Activity</v>
      </c>
      <c r="Y2019" s="5" t="str">
        <f ca="1">IFERROR(__xludf.DUMMYFUNCTION("""COMPUTED_VALUE"""),"Neither")</f>
        <v>Neither</v>
      </c>
      <c r="Z2019" s="5" t="str">
        <f ca="1">IFERROR(__xludf.DUMMYFUNCTION("""COMPUTED_VALUE"""),"Yes")</f>
        <v>Yes</v>
      </c>
      <c r="AA2019" s="5" t="str">
        <f ca="1">IFERROR(__xludf.DUMMYFUNCTION("""COMPUTED_VALUE"""),"2 teens involved")</f>
        <v>2 teens involved</v>
      </c>
      <c r="AB2019" s="5" t="str">
        <f ca="1">IFERROR(__xludf.DUMMYFUNCTION("""COMPUTED_VALUE"""),"No")</f>
        <v>No</v>
      </c>
      <c r="AC2019" s="5" t="str">
        <f ca="1">IFERROR(__xludf.DUMMYFUNCTION("""COMPUTED_VALUE"""),"No")</f>
        <v>No</v>
      </c>
      <c r="AD2019" s="5" t="str">
        <f ca="1">IFERROR(__xludf.DUMMYFUNCTION("""COMPUTED_VALUE"""),"No")</f>
        <v>No</v>
      </c>
      <c r="AE2019" s="5" t="str">
        <f ca="1">IFERROR(__xludf.DUMMYFUNCTION("""COMPUTED_VALUE"""),"No")</f>
        <v>No</v>
      </c>
      <c r="AF2019" s="5" t="str">
        <f ca="1">IFERROR(__xludf.DUMMYFUNCTION("""COMPUTED_VALUE"""),"No")</f>
        <v>No</v>
      </c>
      <c r="AG2019" s="5" t="str">
        <f ca="1">IFERROR(__xludf.DUMMYFUNCTION("""COMPUTED_VALUE"""),"No")</f>
        <v>No</v>
      </c>
      <c r="AH2019" s="5"/>
    </row>
    <row r="2020" spans="1:34" ht="12.75">
      <c r="A2020" s="5" t="str">
        <f ca="1">IFERROR(__xludf.DUMMYFUNCTION("""COMPUTED_VALUE"""),"19741007LADEH")</f>
        <v>19741007LADEH</v>
      </c>
      <c r="B2020" s="8">
        <f ca="1">IFERROR(__xludf.DUMMYFUNCTION("""COMPUTED_VALUE"""),27309)</f>
        <v>27309</v>
      </c>
      <c r="C2020" s="5" t="str">
        <f ca="1">IFERROR(__xludf.DUMMYFUNCTION("""COMPUTED_VALUE"""),"Destrehan High School")</f>
        <v>Destrehan High School</v>
      </c>
      <c r="D2020" s="5">
        <f ca="1">IFERROR(__xludf.DUMMYFUNCTION("""COMPUTED_VALUE"""),1)</f>
        <v>1</v>
      </c>
      <c r="E2020" s="5">
        <f ca="1">IFERROR(__xludf.DUMMYFUNCTION("""COMPUTED_VALUE"""),1)</f>
        <v>1</v>
      </c>
      <c r="F2020" s="5">
        <f ca="1">IFERROR(__xludf.DUMMYFUNCTION("""COMPUTED_VALUE"""),2)</f>
        <v>2</v>
      </c>
      <c r="G2020" s="5">
        <f ca="1">IFERROR(__xludf.DUMMYFUNCTION("""COMPUTED_VALUE"""),0)</f>
        <v>0</v>
      </c>
      <c r="H2020"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I2020" s="5"/>
      <c r="J2020" s="5"/>
      <c r="K2020" s="5">
        <f ca="1">IFERROR(__xludf.DUMMYFUNCTION("""COMPUTED_VALUE"""),3)</f>
        <v>3</v>
      </c>
      <c r="L2020" s="5" t="str">
        <f ca="1">IFERROR(__xludf.DUMMYFUNCTION("""COMPUTED_VALUE"""),"Fall")</f>
        <v>Fall</v>
      </c>
      <c r="M2020" s="5" t="str">
        <f ca="1">IFERROR(__xludf.DUMMYFUNCTION("""COMPUTED_VALUE"""),"Hahnville")</f>
        <v>Hahnville</v>
      </c>
      <c r="N2020" s="5" t="str">
        <f ca="1">IFERROR(__xludf.DUMMYFUNCTION("""COMPUTED_VALUE"""),"LA")</f>
        <v>LA</v>
      </c>
      <c r="O2020" s="5" t="str">
        <f ca="1">IFERROR(__xludf.DUMMYFUNCTION("""COMPUTED_VALUE"""),"High")</f>
        <v>High</v>
      </c>
      <c r="P2020" s="5" t="str">
        <f ca="1">IFERROR(__xludf.DUMMYFUNCTION("""COMPUTED_VALUE"""),"Parking Lot (Bus)")</f>
        <v>Parking Lot (Bus)</v>
      </c>
      <c r="Q2020" s="5" t="str">
        <f ca="1">IFERROR(__xludf.DUMMYFUNCTION("""COMPUTED_VALUE"""),"Outside on School Property")</f>
        <v>Outside on School Property</v>
      </c>
      <c r="R2020" s="5" t="str">
        <f ca="1">IFERROR(__xludf.DUMMYFUNCTION("""COMPUTED_VALUE"""),"Yes")</f>
        <v>Yes</v>
      </c>
      <c r="S2020" s="5" t="str">
        <f ca="1">IFERROR(__xludf.DUMMYFUNCTION("""COMPUTED_VALUE"""),"After School")</f>
        <v>After School</v>
      </c>
      <c r="T2020" s="5"/>
      <c r="U2020" s="5">
        <f ca="1">IFERROR(__xludf.DUMMYFUNCTION("""COMPUTED_VALUE"""),1)</f>
        <v>1</v>
      </c>
      <c r="V2020" s="5" t="str">
        <f ca="1">IFERROR(__xludf.DUMMYFUNCTION("""COMPUTED_VALUE"""),"Shooter shot victim after rocks were thrown at school bus shooter was on")</f>
        <v>Shooter shot victim after rocks were thrown at school bus shooter was on</v>
      </c>
      <c r="W2020"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X2020" s="5" t="str">
        <f ca="1">IFERROR(__xludf.DUMMYFUNCTION("""COMPUTED_VALUE"""),"Racial")</f>
        <v>Racial</v>
      </c>
      <c r="Y2020" s="5" t="str">
        <f ca="1">IFERROR(__xludf.DUMMYFUNCTION("""COMPUTED_VALUE"""),"Random Shooting")</f>
        <v>Random Shooting</v>
      </c>
      <c r="Z2020" s="5" t="str">
        <f ca="1">IFERROR(__xludf.DUMMYFUNCTION("""COMPUTED_VALUE"""),"No")</f>
        <v>No</v>
      </c>
      <c r="AA2020" s="5"/>
      <c r="AB2020" s="5" t="str">
        <f ca="1">IFERROR(__xludf.DUMMYFUNCTION("""COMPUTED_VALUE"""),"No")</f>
        <v>No</v>
      </c>
      <c r="AC2020" s="5" t="str">
        <f ca="1">IFERROR(__xludf.DUMMYFUNCTION("""COMPUTED_VALUE"""),"No")</f>
        <v>No</v>
      </c>
      <c r="AD2020" s="5" t="str">
        <f ca="1">IFERROR(__xludf.DUMMYFUNCTION("""COMPUTED_VALUE"""),"No")</f>
        <v>No</v>
      </c>
      <c r="AE2020" s="5" t="str">
        <f ca="1">IFERROR(__xludf.DUMMYFUNCTION("""COMPUTED_VALUE"""),"No")</f>
        <v>No</v>
      </c>
      <c r="AF2020" s="5" t="str">
        <f ca="1">IFERROR(__xludf.DUMMYFUNCTION("""COMPUTED_VALUE"""),"No")</f>
        <v>No</v>
      </c>
      <c r="AG2020" s="5" t="str">
        <f ca="1">IFERROR(__xludf.DUMMYFUNCTION("""COMPUTED_VALUE"""),"No")</f>
        <v>No</v>
      </c>
      <c r="AH2020" s="5"/>
    </row>
    <row r="2021" spans="1:34" ht="12.75">
      <c r="A2021" s="5" t="str">
        <f ca="1">IFERROR(__xludf.DUMMYFUNCTION("""COMPUTED_VALUE"""),"19740925CASAL")</f>
        <v>19740925CASAL</v>
      </c>
      <c r="B2021" s="8">
        <f ca="1">IFERROR(__xludf.DUMMYFUNCTION("""COMPUTED_VALUE"""),27297)</f>
        <v>27297</v>
      </c>
      <c r="C2021" s="5" t="str">
        <f ca="1">IFERROR(__xludf.DUMMYFUNCTION("""COMPUTED_VALUE"""),"San Fernando High School")</f>
        <v>San Fernando High School</v>
      </c>
      <c r="D2021" s="5">
        <f ca="1">IFERROR(__xludf.DUMMYFUNCTION("""COMPUTED_VALUE"""),0)</f>
        <v>0</v>
      </c>
      <c r="E2021" s="5">
        <f ca="1">IFERROR(__xludf.DUMMYFUNCTION("""COMPUTED_VALUE"""),1)</f>
        <v>1</v>
      </c>
      <c r="F2021" s="5">
        <f ca="1">IFERROR(__xludf.DUMMYFUNCTION("""COMPUTED_VALUE"""),1)</f>
        <v>1</v>
      </c>
      <c r="G2021" s="5">
        <f ca="1">IFERROR(__xludf.DUMMYFUNCTION("""COMPUTED_VALUE"""),0)</f>
        <v>0</v>
      </c>
      <c r="H2021" s="9" t="str">
        <f ca="1">IFERROR(__xludf.DUMMYFUNCTION("""COMPUTED_VALUE"""),"https://www.newspapers.com/image/30473026/?terms=school%2Bshooting")</f>
        <v>https://www.newspapers.com/image/30473026/?terms=school%2Bshooting</v>
      </c>
      <c r="I2021" s="5"/>
      <c r="J2021" s="5"/>
      <c r="K2021" s="5">
        <f ca="1">IFERROR(__xludf.DUMMYFUNCTION("""COMPUTED_VALUE"""),2)</f>
        <v>2</v>
      </c>
      <c r="L2021" s="5" t="str">
        <f ca="1">IFERROR(__xludf.DUMMYFUNCTION("""COMPUTED_VALUE"""),"Fall")</f>
        <v>Fall</v>
      </c>
      <c r="M2021" s="5" t="str">
        <f ca="1">IFERROR(__xludf.DUMMYFUNCTION("""COMPUTED_VALUE"""),"Los Angeles")</f>
        <v>Los Angeles</v>
      </c>
      <c r="N2021" s="5" t="str">
        <f ca="1">IFERROR(__xludf.DUMMYFUNCTION("""COMPUTED_VALUE"""),"CA")</f>
        <v>CA</v>
      </c>
      <c r="O2021" s="5" t="str">
        <f ca="1">IFERROR(__xludf.DUMMYFUNCTION("""COMPUTED_VALUE"""),"High")</f>
        <v>High</v>
      </c>
      <c r="P2021" s="5" t="str">
        <f ca="1">IFERROR(__xludf.DUMMYFUNCTION("""COMPUTED_VALUE"""),"ND")</f>
        <v>ND</v>
      </c>
      <c r="Q2021" s="5" t="str">
        <f ca="1">IFERROR(__xludf.DUMMYFUNCTION("""COMPUTED_VALUE"""),"ND")</f>
        <v>ND</v>
      </c>
      <c r="R2021" s="5" t="str">
        <f ca="1">IFERROR(__xludf.DUMMYFUNCTION("""COMPUTED_VALUE"""),"Yes")</f>
        <v>Yes</v>
      </c>
      <c r="S2021" s="5"/>
      <c r="T2021" s="5"/>
      <c r="U2021" s="5">
        <f ca="1">IFERROR(__xludf.DUMMYFUNCTION("""COMPUTED_VALUE"""),1)</f>
        <v>1</v>
      </c>
      <c r="V2021" s="5" t="str">
        <f ca="1">IFERROR(__xludf.DUMMYFUNCTION("""COMPUTED_VALUE"""),"Victim confronted by 2 students, one fired shot striking him")</f>
        <v>Victim confronted by 2 students, one fired shot striking him</v>
      </c>
      <c r="W2021" s="5" t="str">
        <f ca="1">IFERROR(__xludf.DUMMYFUNCTION("""COMPUTED_VALUE"""),"17 year-old male wounded by 17 year-old male during argument. Two suspects involved.")</f>
        <v>17 year-old male wounded by 17 year-old male during argument. Two suspects involved.</v>
      </c>
      <c r="X2021" s="5" t="str">
        <f ca="1">IFERROR(__xludf.DUMMYFUNCTION("""COMPUTED_VALUE"""),"Escalation of Dispute")</f>
        <v>Escalation of Dispute</v>
      </c>
      <c r="Y2021" s="5"/>
      <c r="Z2021" s="5" t="str">
        <f ca="1">IFERROR(__xludf.DUMMYFUNCTION("""COMPUTED_VALUE"""),"No")</f>
        <v>No</v>
      </c>
      <c r="AA2021" s="5"/>
      <c r="AB2021" s="5" t="str">
        <f ca="1">IFERROR(__xludf.DUMMYFUNCTION("""COMPUTED_VALUE"""),"No")</f>
        <v>No</v>
      </c>
      <c r="AC2021" s="5" t="str">
        <f ca="1">IFERROR(__xludf.DUMMYFUNCTION("""COMPUTED_VALUE"""),"No")</f>
        <v>No</v>
      </c>
      <c r="AD2021" s="5" t="str">
        <f ca="1">IFERROR(__xludf.DUMMYFUNCTION("""COMPUTED_VALUE"""),"No")</f>
        <v>No</v>
      </c>
      <c r="AE2021" s="5"/>
      <c r="AF2021" s="5"/>
      <c r="AG2021" s="5" t="str">
        <f ca="1">IFERROR(__xludf.DUMMYFUNCTION("""COMPUTED_VALUE"""),"No")</f>
        <v>No</v>
      </c>
      <c r="AH2021" s="5"/>
    </row>
    <row r="2022" spans="1:34" ht="12.75">
      <c r="A2022" s="5" t="str">
        <f ca="1">IFERROR(__xludf.DUMMYFUNCTION("""COMPUTED_VALUE"""),"19740923CAJED")</f>
        <v>19740923CAJED</v>
      </c>
      <c r="B2022" s="8">
        <f ca="1">IFERROR(__xludf.DUMMYFUNCTION("""COMPUTED_VALUE"""),27295)</f>
        <v>27295</v>
      </c>
      <c r="C2022" s="5" t="str">
        <f ca="1">IFERROR(__xludf.DUMMYFUNCTION("""COMPUTED_VALUE"""),"Jefferson High School")</f>
        <v>Jefferson High School</v>
      </c>
      <c r="D2022" s="5">
        <f ca="1">IFERROR(__xludf.DUMMYFUNCTION("""COMPUTED_VALUE"""),0)</f>
        <v>0</v>
      </c>
      <c r="E2022" s="5">
        <f ca="1">IFERROR(__xludf.DUMMYFUNCTION("""COMPUTED_VALUE"""),1)</f>
        <v>1</v>
      </c>
      <c r="F2022" s="5">
        <f ca="1">IFERROR(__xludf.DUMMYFUNCTION("""COMPUTED_VALUE"""),1)</f>
        <v>1</v>
      </c>
      <c r="G2022" s="5">
        <f ca="1">IFERROR(__xludf.DUMMYFUNCTION("""COMPUTED_VALUE"""),0)</f>
        <v>0</v>
      </c>
      <c r="H2022" s="9" t="str">
        <f ca="1">IFERROR(__xludf.DUMMYFUNCTION("""COMPUTED_VALUE"""),"https://www.newspapers.com/image/252161775/?terms=school%2Bshooting")</f>
        <v>https://www.newspapers.com/image/252161775/?terms=school%2Bshooting</v>
      </c>
      <c r="I2022" s="5"/>
      <c r="J2022" s="5"/>
      <c r="K2022" s="5">
        <f ca="1">IFERROR(__xludf.DUMMYFUNCTION("""COMPUTED_VALUE"""),2)</f>
        <v>2</v>
      </c>
      <c r="L2022" s="5" t="str">
        <f ca="1">IFERROR(__xludf.DUMMYFUNCTION("""COMPUTED_VALUE"""),"Fall")</f>
        <v>Fall</v>
      </c>
      <c r="M2022" s="5" t="str">
        <f ca="1">IFERROR(__xludf.DUMMYFUNCTION("""COMPUTED_VALUE"""),"Daly City")</f>
        <v>Daly City</v>
      </c>
      <c r="N2022" s="5" t="str">
        <f ca="1">IFERROR(__xludf.DUMMYFUNCTION("""COMPUTED_VALUE"""),"CA")</f>
        <v>CA</v>
      </c>
      <c r="O2022" s="5" t="str">
        <f ca="1">IFERROR(__xludf.DUMMYFUNCTION("""COMPUTED_VALUE"""),"High")</f>
        <v>High</v>
      </c>
      <c r="P2022" s="5" t="str">
        <f ca="1">IFERROR(__xludf.DUMMYFUNCTION("""COMPUTED_VALUE"""),"Bathroom")</f>
        <v>Bathroom</v>
      </c>
      <c r="Q2022" s="5" t="str">
        <f ca="1">IFERROR(__xludf.DUMMYFUNCTION("""COMPUTED_VALUE"""),"Inside School Building")</f>
        <v>Inside School Building</v>
      </c>
      <c r="R2022" s="5" t="str">
        <f ca="1">IFERROR(__xludf.DUMMYFUNCTION("""COMPUTED_VALUE"""),"Yes")</f>
        <v>Yes</v>
      </c>
      <c r="S2022" s="5"/>
      <c r="T2022" s="5"/>
      <c r="U2022" s="5"/>
      <c r="V2022" s="5" t="str">
        <f ca="1">IFERROR(__xludf.DUMMYFUNCTION("""COMPUTED_VALUE"""),"Victim shot 5 times in bathroom following argument")</f>
        <v>Victim shot 5 times in bathroom following argument</v>
      </c>
      <c r="W2022"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X2022" s="5" t="str">
        <f ca="1">IFERROR(__xludf.DUMMYFUNCTION("""COMPUTED_VALUE"""),"Escalation of Dispute")</f>
        <v>Escalation of Dispute</v>
      </c>
      <c r="Y2022" s="5" t="str">
        <f ca="1">IFERROR(__xludf.DUMMYFUNCTION("""COMPUTED_VALUE"""),"Victims Targeted")</f>
        <v>Victims Targeted</v>
      </c>
      <c r="Z2022" s="5" t="str">
        <f ca="1">IFERROR(__xludf.DUMMYFUNCTION("""COMPUTED_VALUE"""),"No")</f>
        <v>No</v>
      </c>
      <c r="AA2022" s="5"/>
      <c r="AB2022" s="5" t="str">
        <f ca="1">IFERROR(__xludf.DUMMYFUNCTION("""COMPUTED_VALUE"""),"No")</f>
        <v>No</v>
      </c>
      <c r="AC2022" s="5" t="str">
        <f ca="1">IFERROR(__xludf.DUMMYFUNCTION("""COMPUTED_VALUE"""),"No")</f>
        <v>No</v>
      </c>
      <c r="AD2022" s="5" t="str">
        <f ca="1">IFERROR(__xludf.DUMMYFUNCTION("""COMPUTED_VALUE"""),"No")</f>
        <v>No</v>
      </c>
      <c r="AE2022" s="5"/>
      <c r="AF2022" s="5" t="str">
        <f ca="1">IFERROR(__xludf.DUMMYFUNCTION("""COMPUTED_VALUE"""),"No")</f>
        <v>No</v>
      </c>
      <c r="AG2022" s="5" t="str">
        <f ca="1">IFERROR(__xludf.DUMMYFUNCTION("""COMPUTED_VALUE"""),"No")</f>
        <v>No</v>
      </c>
      <c r="AH2022" s="5"/>
    </row>
    <row r="2023" spans="1:34" ht="12.75">
      <c r="A2023" s="5" t="str">
        <f ca="1">IFERROR(__xludf.DUMMYFUNCTION("""COMPUTED_VALUE"""),"19740519FLHIO")</f>
        <v>19740519FLHIO</v>
      </c>
      <c r="B2023" s="8">
        <f ca="1">IFERROR(__xludf.DUMMYFUNCTION("""COMPUTED_VALUE"""),27168)</f>
        <v>27168</v>
      </c>
      <c r="C2023" s="5" t="str">
        <f ca="1">IFERROR(__xludf.DUMMYFUNCTION("""COMPUTED_VALUE"""),"Highlands Elementary School")</f>
        <v>Highlands Elementary School</v>
      </c>
      <c r="D2023" s="5">
        <f ca="1">IFERROR(__xludf.DUMMYFUNCTION("""COMPUTED_VALUE"""),0)</f>
        <v>0</v>
      </c>
      <c r="E2023" s="5">
        <f ca="1">IFERROR(__xludf.DUMMYFUNCTION("""COMPUTED_VALUE"""),0)</f>
        <v>0</v>
      </c>
      <c r="F2023" s="5">
        <f ca="1">IFERROR(__xludf.DUMMYFUNCTION("""COMPUTED_VALUE"""),0)</f>
        <v>0</v>
      </c>
      <c r="G2023" s="5">
        <f ca="1">IFERROR(__xludf.DUMMYFUNCTION("""COMPUTED_VALUE"""),0)</f>
        <v>0</v>
      </c>
      <c r="H2023" s="9" t="str">
        <f ca="1">IFERROR(__xludf.DUMMYFUNCTION("""COMPUTED_VALUE"""),"https://www.newspapers.com/image/236492101/?terms=school%2Bshooting")</f>
        <v>https://www.newspapers.com/image/236492101/?terms=school%2Bshooting</v>
      </c>
      <c r="I2023" s="5"/>
      <c r="J2023" s="5"/>
      <c r="K2023" s="5">
        <f ca="1">IFERROR(__xludf.DUMMYFUNCTION("""COMPUTED_VALUE"""),2)</f>
        <v>2</v>
      </c>
      <c r="L2023" s="5" t="str">
        <f ca="1">IFERROR(__xludf.DUMMYFUNCTION("""COMPUTED_VALUE"""),"Spring")</f>
        <v>Spring</v>
      </c>
      <c r="M2023" s="5" t="str">
        <f ca="1">IFERROR(__xludf.DUMMYFUNCTION("""COMPUTED_VALUE"""),"Orlando")</f>
        <v>Orlando</v>
      </c>
      <c r="N2023" s="5" t="str">
        <f ca="1">IFERROR(__xludf.DUMMYFUNCTION("""COMPUTED_VALUE"""),"FL")</f>
        <v>FL</v>
      </c>
      <c r="O2023" s="5" t="str">
        <f ca="1">IFERROR(__xludf.DUMMYFUNCTION("""COMPUTED_VALUE"""),"Elementary")</f>
        <v>Elementary</v>
      </c>
      <c r="P2023" s="5" t="str">
        <f ca="1">IFERROR(__xludf.DUMMYFUNCTION("""COMPUTED_VALUE"""),"Outside on School Property")</f>
        <v>Outside on School Property</v>
      </c>
      <c r="Q2023" s="5" t="str">
        <f ca="1">IFERROR(__xludf.DUMMYFUNCTION("""COMPUTED_VALUE"""),"Outside on School Property")</f>
        <v>Outside on School Property</v>
      </c>
      <c r="R2023" s="5" t="str">
        <f ca="1">IFERROR(__xludf.DUMMYFUNCTION("""COMPUTED_VALUE"""),"No")</f>
        <v>No</v>
      </c>
      <c r="S2023" s="5" t="str">
        <f ca="1">IFERROR(__xludf.DUMMYFUNCTION("""COMPUTED_VALUE"""),"Not a School Day")</f>
        <v>Not a School Day</v>
      </c>
      <c r="T2023" s="5"/>
      <c r="U2023" s="5">
        <f ca="1">IFERROR(__xludf.DUMMYFUNCTION("""COMPUTED_VALUE"""),1)</f>
        <v>1</v>
      </c>
      <c r="V2023" s="5" t="str">
        <f ca="1">IFERROR(__xludf.DUMMYFUNCTION("""COMPUTED_VALUE"""),"Fired shots at school where wife works as teacher")</f>
        <v>Fired shots at school where wife works as teacher</v>
      </c>
      <c r="W2023" s="5" t="str">
        <f ca="1">IFERROR(__xludf.DUMMYFUNCTION("""COMPUTED_VALUE"""),"Husband fired shots at the school building where his wife works as a teacher.")</f>
        <v>Husband fired shots at the school building where his wife works as a teacher.</v>
      </c>
      <c r="X2023" s="5" t="str">
        <f ca="1">IFERROR(__xludf.DUMMYFUNCTION("""COMPUTED_VALUE"""),"Domestic w/ Targeted Victim")</f>
        <v>Domestic w/ Targeted Victim</v>
      </c>
      <c r="Y2023" s="5" t="str">
        <f ca="1">IFERROR(__xludf.DUMMYFUNCTION("""COMPUTED_VALUE"""),"Victims Targeted")</f>
        <v>Victims Targeted</v>
      </c>
      <c r="Z2023" s="5" t="str">
        <f ca="1">IFERROR(__xludf.DUMMYFUNCTION("""COMPUTED_VALUE"""),"No")</f>
        <v>No</v>
      </c>
      <c r="AA2023" s="5"/>
      <c r="AB2023" s="5" t="str">
        <f ca="1">IFERROR(__xludf.DUMMYFUNCTION("""COMPUTED_VALUE"""),"No")</f>
        <v>No</v>
      </c>
      <c r="AC2023" s="5" t="str">
        <f ca="1">IFERROR(__xludf.DUMMYFUNCTION("""COMPUTED_VALUE"""),"No")</f>
        <v>No</v>
      </c>
      <c r="AD2023" s="5" t="str">
        <f ca="1">IFERROR(__xludf.DUMMYFUNCTION("""COMPUTED_VALUE"""),"No")</f>
        <v>No</v>
      </c>
      <c r="AE2023" s="5" t="str">
        <f ca="1">IFERROR(__xludf.DUMMYFUNCTION("""COMPUTED_VALUE"""),"No")</f>
        <v>No</v>
      </c>
      <c r="AF2023" s="5" t="str">
        <f ca="1">IFERROR(__xludf.DUMMYFUNCTION("""COMPUTED_VALUE"""),"Yes")</f>
        <v>Yes</v>
      </c>
      <c r="AG2023" s="5" t="str">
        <f ca="1">IFERROR(__xludf.DUMMYFUNCTION("""COMPUTED_VALUE"""),"No")</f>
        <v>No</v>
      </c>
      <c r="AH2023" s="5"/>
    </row>
    <row r="2024" spans="1:34" ht="12.75">
      <c r="A2024" s="5" t="str">
        <f ca="1">IFERROR(__xludf.DUMMYFUNCTION("""COMPUTED_VALUE"""),"19740510TNCHR")</f>
        <v>19740510TNCHR</v>
      </c>
      <c r="B2024" s="8">
        <f ca="1">IFERROR(__xludf.DUMMYFUNCTION("""COMPUTED_VALUE"""),27159)</f>
        <v>27159</v>
      </c>
      <c r="C2024" s="5" t="str">
        <f ca="1">IFERROR(__xludf.DUMMYFUNCTION("""COMPUTED_VALUE"""),"Church Hill High School")</f>
        <v>Church Hill High School</v>
      </c>
      <c r="D2024" s="5">
        <f ca="1">IFERROR(__xludf.DUMMYFUNCTION("""COMPUTED_VALUE"""),1)</f>
        <v>1</v>
      </c>
      <c r="E2024" s="5">
        <f ca="1">IFERROR(__xludf.DUMMYFUNCTION("""COMPUTED_VALUE"""),0)</f>
        <v>0</v>
      </c>
      <c r="F2024" s="5">
        <f ca="1">IFERROR(__xludf.DUMMYFUNCTION("""COMPUTED_VALUE"""),1)</f>
        <v>1</v>
      </c>
      <c r="G2024" s="5">
        <f ca="1">IFERROR(__xludf.DUMMYFUNCTION("""COMPUTED_VALUE"""),0)</f>
        <v>0</v>
      </c>
      <c r="H2024"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I2024" s="5"/>
      <c r="J2024" s="5"/>
      <c r="K2024" s="5">
        <f ca="1">IFERROR(__xludf.DUMMYFUNCTION("""COMPUTED_VALUE"""),3)</f>
        <v>3</v>
      </c>
      <c r="L2024" s="5" t="str">
        <f ca="1">IFERROR(__xludf.DUMMYFUNCTION("""COMPUTED_VALUE"""),"Spring")</f>
        <v>Spring</v>
      </c>
      <c r="M2024" s="5" t="str">
        <f ca="1">IFERROR(__xludf.DUMMYFUNCTION("""COMPUTED_VALUE"""),"Rogersville")</f>
        <v>Rogersville</v>
      </c>
      <c r="N2024" s="5" t="str">
        <f ca="1">IFERROR(__xludf.DUMMYFUNCTION("""COMPUTED_VALUE"""),"TN")</f>
        <v>TN</v>
      </c>
      <c r="O2024" s="5" t="str">
        <f ca="1">IFERROR(__xludf.DUMMYFUNCTION("""COMPUTED_VALUE"""),"High")</f>
        <v>High</v>
      </c>
      <c r="P2024" s="5" t="str">
        <f ca="1">IFERROR(__xludf.DUMMYFUNCTION("""COMPUTED_VALUE"""),"Parking Lot")</f>
        <v>Parking Lot</v>
      </c>
      <c r="Q2024" s="5" t="str">
        <f ca="1">IFERROR(__xludf.DUMMYFUNCTION("""COMPUTED_VALUE"""),"Outside on School Property")</f>
        <v>Outside on School Property</v>
      </c>
      <c r="R2024" s="5" t="str">
        <f ca="1">IFERROR(__xludf.DUMMYFUNCTION("""COMPUTED_VALUE"""),"No")</f>
        <v>No</v>
      </c>
      <c r="S2024" s="5" t="str">
        <f ca="1">IFERROR(__xludf.DUMMYFUNCTION("""COMPUTED_VALUE"""),"Evening")</f>
        <v>Evening</v>
      </c>
      <c r="T2024" s="5"/>
      <c r="U2024" s="5">
        <f ca="1">IFERROR(__xludf.DUMMYFUNCTION("""COMPUTED_VALUE"""),1)</f>
        <v>1</v>
      </c>
      <c r="V2024" s="5" t="str">
        <f ca="1">IFERROR(__xludf.DUMMYFUNCTION("""COMPUTED_VALUE"""),"Fight between two males in school parking lot escalated to shooting")</f>
        <v>Fight between two males in school parking lot escalated to shooting</v>
      </c>
      <c r="W2024" s="5" t="str">
        <f ca="1">IFERROR(__xludf.DUMMYFUNCTION("""COMPUTED_VALUE"""),"Escalation of Ongoing feud between two students occurred in school parking lot.")</f>
        <v>Escalation of Ongoing feud between two students occurred in school parking lot.</v>
      </c>
      <c r="X2024" s="5" t="str">
        <f ca="1">IFERROR(__xludf.DUMMYFUNCTION("""COMPUTED_VALUE"""),"Escalation of Dispute")</f>
        <v>Escalation of Dispute</v>
      </c>
      <c r="Y2024" s="5" t="str">
        <f ca="1">IFERROR(__xludf.DUMMYFUNCTION("""COMPUTED_VALUE"""),"Victims Targeted")</f>
        <v>Victims Targeted</v>
      </c>
      <c r="Z2024" s="5"/>
      <c r="AA2024" s="5"/>
      <c r="AB2024" s="5" t="str">
        <f ca="1">IFERROR(__xludf.DUMMYFUNCTION("""COMPUTED_VALUE"""),"No")</f>
        <v>No</v>
      </c>
      <c r="AC2024" s="5" t="str">
        <f ca="1">IFERROR(__xludf.DUMMYFUNCTION("""COMPUTED_VALUE"""),"No")</f>
        <v>No</v>
      </c>
      <c r="AD2024" s="5" t="str">
        <f ca="1">IFERROR(__xludf.DUMMYFUNCTION("""COMPUTED_VALUE"""),"No")</f>
        <v>No</v>
      </c>
      <c r="AE2024" s="5" t="str">
        <f ca="1">IFERROR(__xludf.DUMMYFUNCTION("""COMPUTED_VALUE"""),"No")</f>
        <v>No</v>
      </c>
      <c r="AF2024" s="5" t="str">
        <f ca="1">IFERROR(__xludf.DUMMYFUNCTION("""COMPUTED_VALUE"""),"No")</f>
        <v>No</v>
      </c>
      <c r="AG2024" s="5" t="str">
        <f ca="1">IFERROR(__xludf.DUMMYFUNCTION("""COMPUTED_VALUE"""),"No")</f>
        <v>No</v>
      </c>
      <c r="AH2024" s="5"/>
    </row>
    <row r="2025" spans="1:34" ht="12.75">
      <c r="A2025" s="5" t="str">
        <f ca="1">IFERROR(__xludf.DUMMYFUNCTION("""COMPUTED_VALUE"""),"19740402CTSTB")</f>
        <v>19740402CTSTB</v>
      </c>
      <c r="B2025" s="8">
        <f ca="1">IFERROR(__xludf.DUMMYFUNCTION("""COMPUTED_VALUE"""),27121)</f>
        <v>27121</v>
      </c>
      <c r="C2025" s="5" t="str">
        <f ca="1">IFERROR(__xludf.DUMMYFUNCTION("""COMPUTED_VALUE"""),"St. Stephen's Parochial School")</f>
        <v>St. Stephen's Parochial School</v>
      </c>
      <c r="D2025" s="5">
        <f ca="1">IFERROR(__xludf.DUMMYFUNCTION("""COMPUTED_VALUE"""),0)</f>
        <v>0</v>
      </c>
      <c r="E2025" s="5">
        <f ca="1">IFERROR(__xludf.DUMMYFUNCTION("""COMPUTED_VALUE"""),2)</f>
        <v>2</v>
      </c>
      <c r="F2025" s="5">
        <f ca="1">IFERROR(__xludf.DUMMYFUNCTION("""COMPUTED_VALUE"""),2)</f>
        <v>2</v>
      </c>
      <c r="G2025" s="5">
        <f ca="1">IFERROR(__xludf.DUMMYFUNCTION("""COMPUTED_VALUE"""),0)</f>
        <v>0</v>
      </c>
      <c r="H2025" s="9" t="str">
        <f ca="1">IFERROR(__xludf.DUMMYFUNCTION("""COMPUTED_VALUE"""),"https://www.newspapers.com/image/60655345/?terms=school%2Bshooting")</f>
        <v>https://www.newspapers.com/image/60655345/?terms=school%2Bshooting</v>
      </c>
      <c r="I2025" s="5"/>
      <c r="J2025" s="5"/>
      <c r="K2025" s="5">
        <f ca="1">IFERROR(__xludf.DUMMYFUNCTION("""COMPUTED_VALUE"""),2)</f>
        <v>2</v>
      </c>
      <c r="L2025" s="5" t="str">
        <f ca="1">IFERROR(__xludf.DUMMYFUNCTION("""COMPUTED_VALUE"""),"Spring")</f>
        <v>Spring</v>
      </c>
      <c r="M2025" s="5" t="str">
        <f ca="1">IFERROR(__xludf.DUMMYFUNCTION("""COMPUTED_VALUE"""),"Bridgeport")</f>
        <v>Bridgeport</v>
      </c>
      <c r="N2025" s="5" t="str">
        <f ca="1">IFERROR(__xludf.DUMMYFUNCTION("""COMPUTED_VALUE"""),"CT")</f>
        <v>CT</v>
      </c>
      <c r="O2025" s="5" t="str">
        <f ca="1">IFERROR(__xludf.DUMMYFUNCTION("""COMPUTED_VALUE"""),"Other")</f>
        <v>Other</v>
      </c>
      <c r="P2025" s="5" t="str">
        <f ca="1">IFERROR(__xludf.DUMMYFUNCTION("""COMPUTED_VALUE"""),"Classroom")</f>
        <v>Classroom</v>
      </c>
      <c r="Q2025" s="5" t="str">
        <f ca="1">IFERROR(__xludf.DUMMYFUNCTION("""COMPUTED_VALUE"""),"Inside School Building")</f>
        <v>Inside School Building</v>
      </c>
      <c r="R2025" s="5" t="str">
        <f ca="1">IFERROR(__xludf.DUMMYFUNCTION("""COMPUTED_VALUE"""),"Yes")</f>
        <v>Yes</v>
      </c>
      <c r="S2025" s="5" t="str">
        <f ca="1">IFERROR(__xludf.DUMMYFUNCTION("""COMPUTED_VALUE"""),"Afternoon Classes")</f>
        <v>Afternoon Classes</v>
      </c>
      <c r="T2025" s="10">
        <f ca="1">IFERROR(__xludf.DUMMYFUNCTION("""COMPUTED_VALUE"""),0.552083333333333)</f>
        <v>0.55208333333333304</v>
      </c>
      <c r="U2025" s="5">
        <f ca="1">IFERROR(__xludf.DUMMYFUNCTION("""COMPUTED_VALUE"""),1)</f>
        <v>1</v>
      </c>
      <c r="V2025" s="5" t="str">
        <f ca="1">IFERROR(__xludf.DUMMYFUNCTION("""COMPUTED_VALUE"""),"Shots fired through classroom window")</f>
        <v>Shots fired through classroom window</v>
      </c>
      <c r="W2025"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X2025" s="5" t="str">
        <f ca="1">IFERROR(__xludf.DUMMYFUNCTION("""COMPUTED_VALUE"""),"Intentional Property Damage")</f>
        <v>Intentional Property Damage</v>
      </c>
      <c r="Y2025" s="5"/>
      <c r="Z2025" s="5" t="str">
        <f ca="1">IFERROR(__xludf.DUMMYFUNCTION("""COMPUTED_VALUE"""),"No")</f>
        <v>No</v>
      </c>
      <c r="AA2025" s="5"/>
      <c r="AB2025" s="5" t="str">
        <f ca="1">IFERROR(__xludf.DUMMYFUNCTION("""COMPUTED_VALUE"""),"No")</f>
        <v>No</v>
      </c>
      <c r="AC2025" s="5" t="str">
        <f ca="1">IFERROR(__xludf.DUMMYFUNCTION("""COMPUTED_VALUE"""),"No")</f>
        <v>No</v>
      </c>
      <c r="AD2025" s="5" t="str">
        <f ca="1">IFERROR(__xludf.DUMMYFUNCTION("""COMPUTED_VALUE"""),"No")</f>
        <v>No</v>
      </c>
      <c r="AE2025" s="5" t="str">
        <f ca="1">IFERROR(__xludf.DUMMYFUNCTION("""COMPUTED_VALUE"""),"No")</f>
        <v>No</v>
      </c>
      <c r="AF2025" s="5"/>
      <c r="AG2025" s="5" t="str">
        <f ca="1">IFERROR(__xludf.DUMMYFUNCTION("""COMPUTED_VALUE"""),"No")</f>
        <v>No</v>
      </c>
      <c r="AH2025" s="5"/>
    </row>
    <row r="2026" spans="1:34" ht="12.75">
      <c r="A2026" s="5" t="str">
        <f ca="1">IFERROR(__xludf.DUMMYFUNCTION("""COMPUTED_VALUE"""),"19740322INBRB")</f>
        <v>19740322INBRB</v>
      </c>
      <c r="B2026" s="8">
        <f ca="1">IFERROR(__xludf.DUMMYFUNCTION("""COMPUTED_VALUE"""),27110)</f>
        <v>27110</v>
      </c>
      <c r="C2026" s="5" t="str">
        <f ca="1">IFERROR(__xludf.DUMMYFUNCTION("""COMPUTED_VALUE"""),"Brownstown Central High School")</f>
        <v>Brownstown Central High School</v>
      </c>
      <c r="D2026" s="5">
        <f ca="1">IFERROR(__xludf.DUMMYFUNCTION("""COMPUTED_VALUE"""),1)</f>
        <v>1</v>
      </c>
      <c r="E2026" s="5">
        <f ca="1">IFERROR(__xludf.DUMMYFUNCTION("""COMPUTED_VALUE"""),0)</f>
        <v>0</v>
      </c>
      <c r="F2026" s="5">
        <f ca="1">IFERROR(__xludf.DUMMYFUNCTION("""COMPUTED_VALUE"""),1)</f>
        <v>1</v>
      </c>
      <c r="G2026" s="5">
        <f ca="1">IFERROR(__xludf.DUMMYFUNCTION("""COMPUTED_VALUE"""),0)</f>
        <v>0</v>
      </c>
      <c r="H2026"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I2026" s="5"/>
      <c r="J2026" s="5"/>
      <c r="K2026" s="5">
        <f ca="1">IFERROR(__xludf.DUMMYFUNCTION("""COMPUTED_VALUE"""),2)</f>
        <v>2</v>
      </c>
      <c r="L2026" s="5" t="str">
        <f ca="1">IFERROR(__xludf.DUMMYFUNCTION("""COMPUTED_VALUE"""),"Spring")</f>
        <v>Spring</v>
      </c>
      <c r="M2026" s="5" t="str">
        <f ca="1">IFERROR(__xludf.DUMMYFUNCTION("""COMPUTED_VALUE"""),"Brownstown")</f>
        <v>Brownstown</v>
      </c>
      <c r="N2026" s="5" t="str">
        <f ca="1">IFERROR(__xludf.DUMMYFUNCTION("""COMPUTED_VALUE"""),"IN")</f>
        <v>IN</v>
      </c>
      <c r="O2026" s="5" t="str">
        <f ca="1">IFERROR(__xludf.DUMMYFUNCTION("""COMPUTED_VALUE"""),"High")</f>
        <v>High</v>
      </c>
      <c r="P2026" s="5" t="str">
        <f ca="1">IFERROR(__xludf.DUMMYFUNCTION("""COMPUTED_VALUE"""),"Parking Lot")</f>
        <v>Parking Lot</v>
      </c>
      <c r="Q2026" s="5" t="str">
        <f ca="1">IFERROR(__xludf.DUMMYFUNCTION("""COMPUTED_VALUE"""),"Outside on School Property")</f>
        <v>Outside on School Property</v>
      </c>
      <c r="R2026" s="5" t="str">
        <f ca="1">IFERROR(__xludf.DUMMYFUNCTION("""COMPUTED_VALUE"""),"Yes")</f>
        <v>Yes</v>
      </c>
      <c r="S2026" s="5" t="str">
        <f ca="1">IFERROR(__xludf.DUMMYFUNCTION("""COMPUTED_VALUE"""),"School Start")</f>
        <v>School Start</v>
      </c>
      <c r="T2026" s="10">
        <f ca="1">IFERROR(__xludf.DUMMYFUNCTION("""COMPUTED_VALUE"""),0.333333333333333)</f>
        <v>0.33333333333333298</v>
      </c>
      <c r="U2026" s="5">
        <f ca="1">IFERROR(__xludf.DUMMYFUNCTION("""COMPUTED_VALUE"""),1)</f>
        <v>1</v>
      </c>
      <c r="V2026" s="5" t="str">
        <f ca="1">IFERROR(__xludf.DUMMYFUNCTION("""COMPUTED_VALUE"""),"Student shot assistant principal in school parking lot")</f>
        <v>Student shot assistant principal in school parking lot</v>
      </c>
      <c r="W2026"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X2026" s="5" t="str">
        <f ca="1">IFERROR(__xludf.DUMMYFUNCTION("""COMPUTED_VALUE"""),"Anger Over Grade/Suspension/Discipline")</f>
        <v>Anger Over Grade/Suspension/Discipline</v>
      </c>
      <c r="Y2026" s="5" t="str">
        <f ca="1">IFERROR(__xludf.DUMMYFUNCTION("""COMPUTED_VALUE"""),"Victims Targeted")</f>
        <v>Victims Targeted</v>
      </c>
      <c r="Z2026" s="5" t="str">
        <f ca="1">IFERROR(__xludf.DUMMYFUNCTION("""COMPUTED_VALUE"""),"No")</f>
        <v>No</v>
      </c>
      <c r="AA2026" s="5"/>
      <c r="AB2026" s="5" t="str">
        <f ca="1">IFERROR(__xludf.DUMMYFUNCTION("""COMPUTED_VALUE"""),"No")</f>
        <v>No</v>
      </c>
      <c r="AC2026" s="5" t="str">
        <f ca="1">IFERROR(__xludf.DUMMYFUNCTION("""COMPUTED_VALUE"""),"No")</f>
        <v>No</v>
      </c>
      <c r="AD2026" s="5" t="str">
        <f ca="1">IFERROR(__xludf.DUMMYFUNCTION("""COMPUTED_VALUE"""),"No")</f>
        <v>No</v>
      </c>
      <c r="AE2026" s="5" t="str">
        <f ca="1">IFERROR(__xludf.DUMMYFUNCTION("""COMPUTED_VALUE"""),"No")</f>
        <v>No</v>
      </c>
      <c r="AF2026" s="5" t="str">
        <f ca="1">IFERROR(__xludf.DUMMYFUNCTION("""COMPUTED_VALUE"""),"No")</f>
        <v>No</v>
      </c>
      <c r="AG2026" s="5" t="str">
        <f ca="1">IFERROR(__xludf.DUMMYFUNCTION("""COMPUTED_VALUE"""),"No")</f>
        <v>No</v>
      </c>
      <c r="AH2026" s="5"/>
    </row>
    <row r="2027" spans="1:34" ht="12.75">
      <c r="A2027" s="5" t="str">
        <f ca="1">IFERROR(__xludf.DUMMYFUNCTION("""COMPUTED_VALUE"""),"19740207CAJAO")</f>
        <v>19740207CAJAO</v>
      </c>
      <c r="B2027" s="8">
        <f ca="1">IFERROR(__xludf.DUMMYFUNCTION("""COMPUTED_VALUE"""),27067)</f>
        <v>27067</v>
      </c>
      <c r="C2027" s="5" t="str">
        <f ca="1">IFERROR(__xludf.DUMMYFUNCTION("""COMPUTED_VALUE"""),"James Madison Junior High School")</f>
        <v>James Madison Junior High School</v>
      </c>
      <c r="D2027" s="5">
        <f ca="1">IFERROR(__xludf.DUMMYFUNCTION("""COMPUTED_VALUE"""),2)</f>
        <v>2</v>
      </c>
      <c r="E2027" s="5">
        <f ca="1">IFERROR(__xludf.DUMMYFUNCTION("""COMPUTED_VALUE"""),0)</f>
        <v>0</v>
      </c>
      <c r="F2027" s="5">
        <f ca="1">IFERROR(__xludf.DUMMYFUNCTION("""COMPUTED_VALUE"""),2)</f>
        <v>2</v>
      </c>
      <c r="G2027" s="5">
        <f ca="1">IFERROR(__xludf.DUMMYFUNCTION("""COMPUTED_VALUE"""),0)</f>
        <v>0</v>
      </c>
      <c r="H2027" s="9" t="str">
        <f ca="1">IFERROR(__xludf.DUMMYFUNCTION("""COMPUTED_VALUE"""),"https://www.newspapers.com/image/63455706/?terms=school%2Bshooting")</f>
        <v>https://www.newspapers.com/image/63455706/?terms=school%2Bshooting</v>
      </c>
      <c r="I2027" s="5"/>
      <c r="J2027" s="5"/>
      <c r="K2027" s="5">
        <f ca="1">IFERROR(__xludf.DUMMYFUNCTION("""COMPUTED_VALUE"""),2)</f>
        <v>2</v>
      </c>
      <c r="L2027" s="5" t="str">
        <f ca="1">IFERROR(__xludf.DUMMYFUNCTION("""COMPUTED_VALUE"""),"Winter")</f>
        <v>Winter</v>
      </c>
      <c r="M2027" s="5" t="str">
        <f ca="1">IFERROR(__xludf.DUMMYFUNCTION("""COMPUTED_VALUE"""),"Oakland")</f>
        <v>Oakland</v>
      </c>
      <c r="N2027" s="5" t="str">
        <f ca="1">IFERROR(__xludf.DUMMYFUNCTION("""COMPUTED_VALUE"""),"CA")</f>
        <v>CA</v>
      </c>
      <c r="O2027" s="5" t="str">
        <f ca="1">IFERROR(__xludf.DUMMYFUNCTION("""COMPUTED_VALUE"""),"Junior High")</f>
        <v>Junior High</v>
      </c>
      <c r="P2027" s="5" t="str">
        <f ca="1">IFERROR(__xludf.DUMMYFUNCTION("""COMPUTED_VALUE"""),"Hallway")</f>
        <v>Hallway</v>
      </c>
      <c r="Q2027" s="5" t="str">
        <f ca="1">IFERROR(__xludf.DUMMYFUNCTION("""COMPUTED_VALUE"""),"Inside School Building")</f>
        <v>Inside School Building</v>
      </c>
      <c r="R2027" s="5" t="str">
        <f ca="1">IFERROR(__xludf.DUMMYFUNCTION("""COMPUTED_VALUE"""),"Yes")</f>
        <v>Yes</v>
      </c>
      <c r="S2027" s="5" t="str">
        <f ca="1">IFERROR(__xludf.DUMMYFUNCTION("""COMPUTED_VALUE"""),"Lunch")</f>
        <v>Lunch</v>
      </c>
      <c r="T2027" s="5"/>
      <c r="U2027" s="5"/>
      <c r="V2027" s="5" t="str">
        <f ca="1">IFERROR(__xludf.DUMMYFUNCTION("""COMPUTED_VALUE"""),"Created disturbance at school, shot 2 officers who responded")</f>
        <v>Created disturbance at school, shot 2 officers who responded</v>
      </c>
      <c r="W2027"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X2027" s="5" t="str">
        <f ca="1">IFERROR(__xludf.DUMMYFUNCTION("""COMPUTED_VALUE"""),"Hostage/Standoff")</f>
        <v>Hostage/Standoff</v>
      </c>
      <c r="Y2027" s="5" t="str">
        <f ca="1">IFERROR(__xludf.DUMMYFUNCTION("""COMPUTED_VALUE"""),"Neither")</f>
        <v>Neither</v>
      </c>
      <c r="Z2027" s="5" t="str">
        <f ca="1">IFERROR(__xludf.DUMMYFUNCTION("""COMPUTED_VALUE"""),"No")</f>
        <v>No</v>
      </c>
      <c r="AA2027" s="5"/>
      <c r="AB2027" s="5" t="str">
        <f ca="1">IFERROR(__xludf.DUMMYFUNCTION("""COMPUTED_VALUE"""),"No")</f>
        <v>No</v>
      </c>
      <c r="AC2027" s="5" t="str">
        <f ca="1">IFERROR(__xludf.DUMMYFUNCTION("""COMPUTED_VALUE"""),"No")</f>
        <v>No</v>
      </c>
      <c r="AD2027" s="5" t="str">
        <f ca="1">IFERROR(__xludf.DUMMYFUNCTION("""COMPUTED_VALUE"""),"No")</f>
        <v>No</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IFERROR(__xludf.DUMMYFUNCTION("""COMPUTED_VALUE"""),"Yes")</f>
        <v>Yes</v>
      </c>
    </row>
    <row r="2028" spans="1:34" ht="12.75">
      <c r="A2028" s="5" t="str">
        <f ca="1">IFERROR(__xludf.DUMMYFUNCTION("""COMPUTED_VALUE"""),"19740122CALOL")</f>
        <v>19740122CALOL</v>
      </c>
      <c r="B2028" s="8">
        <f ca="1">IFERROR(__xludf.DUMMYFUNCTION("""COMPUTED_VALUE"""),27051)</f>
        <v>27051</v>
      </c>
      <c r="C2028" s="5" t="str">
        <f ca="1">IFERROR(__xludf.DUMMYFUNCTION("""COMPUTED_VALUE"""),"Locke High School")</f>
        <v>Locke High School</v>
      </c>
      <c r="D2028" s="5">
        <f ca="1">IFERROR(__xludf.DUMMYFUNCTION("""COMPUTED_VALUE"""),1)</f>
        <v>1</v>
      </c>
      <c r="E2028" s="5">
        <f ca="1">IFERROR(__xludf.DUMMYFUNCTION("""COMPUTED_VALUE"""),0)</f>
        <v>0</v>
      </c>
      <c r="F2028" s="5">
        <f ca="1">IFERROR(__xludf.DUMMYFUNCTION("""COMPUTED_VALUE"""),1)</f>
        <v>1</v>
      </c>
      <c r="G2028" s="5">
        <f ca="1">IFERROR(__xludf.DUMMYFUNCTION("""COMPUTED_VALUE"""),0)</f>
        <v>0</v>
      </c>
      <c r="H2028" s="9" t="str">
        <f ca="1">IFERROR(__xludf.DUMMYFUNCTION("""COMPUTED_VALUE"""),"https://www.newspapers.com/image/382020739/?terms=school%2Bshooting")</f>
        <v>https://www.newspapers.com/image/382020739/?terms=school%2Bshooting</v>
      </c>
      <c r="I2028" s="5"/>
      <c r="J2028" s="5"/>
      <c r="K2028" s="5">
        <f ca="1">IFERROR(__xludf.DUMMYFUNCTION("""COMPUTED_VALUE"""),2)</f>
        <v>2</v>
      </c>
      <c r="L2028" s="5" t="str">
        <f ca="1">IFERROR(__xludf.DUMMYFUNCTION("""COMPUTED_VALUE"""),"Winter")</f>
        <v>Winter</v>
      </c>
      <c r="M2028" s="5" t="str">
        <f ca="1">IFERROR(__xludf.DUMMYFUNCTION("""COMPUTED_VALUE"""),"Los Angeles")</f>
        <v>Los Angeles</v>
      </c>
      <c r="N2028" s="5" t="str">
        <f ca="1">IFERROR(__xludf.DUMMYFUNCTION("""COMPUTED_VALUE"""),"CA")</f>
        <v>CA</v>
      </c>
      <c r="O2028" s="5" t="str">
        <f ca="1">IFERROR(__xludf.DUMMYFUNCTION("""COMPUTED_VALUE"""),"High")</f>
        <v>High</v>
      </c>
      <c r="P2028" s="5" t="str">
        <f ca="1">IFERROR(__xludf.DUMMYFUNCTION("""COMPUTED_VALUE"""),"Football Field/Track")</f>
        <v>Football Field/Track</v>
      </c>
      <c r="Q2028" s="5" t="str">
        <f ca="1">IFERROR(__xludf.DUMMYFUNCTION("""COMPUTED_VALUE"""),"Outside on School Property")</f>
        <v>Outside on School Property</v>
      </c>
      <c r="R2028" s="5" t="str">
        <f ca="1">IFERROR(__xludf.DUMMYFUNCTION("""COMPUTED_VALUE"""),"Yes")</f>
        <v>Yes</v>
      </c>
      <c r="S2028" s="5"/>
      <c r="T2028" s="5"/>
      <c r="U2028" s="5">
        <f ca="1">IFERROR(__xludf.DUMMYFUNCTION("""COMPUTED_VALUE"""),1)</f>
        <v>1</v>
      </c>
      <c r="V2028" s="5" t="str">
        <f ca="1">IFERROR(__xludf.DUMMYFUNCTION("""COMPUTED_VALUE"""),"Bystander hit by shots in gang shootings")</f>
        <v>Bystander hit by shots in gang shootings</v>
      </c>
      <c r="W2028"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X2028" s="5" t="str">
        <f ca="1">IFERROR(__xludf.DUMMYFUNCTION("""COMPUTED_VALUE"""),"Unknown")</f>
        <v>Unknown</v>
      </c>
      <c r="Y2028" s="5" t="str">
        <f ca="1">IFERROR(__xludf.DUMMYFUNCTION("""COMPUTED_VALUE"""),"Random Shooting")</f>
        <v>Random Shooting</v>
      </c>
      <c r="Z2028" s="5" t="str">
        <f ca="1">IFERROR(__xludf.DUMMYFUNCTION("""COMPUTED_VALUE"""),"No")</f>
        <v>No</v>
      </c>
      <c r="AA2028" s="5"/>
      <c r="AB2028" s="5" t="str">
        <f ca="1">IFERROR(__xludf.DUMMYFUNCTION("""COMPUTED_VALUE"""),"No")</f>
        <v>No</v>
      </c>
      <c r="AC2028" s="5" t="str">
        <f ca="1">IFERROR(__xludf.DUMMYFUNCTION("""COMPUTED_VALUE"""),"No")</f>
        <v>No</v>
      </c>
      <c r="AD2028" s="5" t="str">
        <f ca="1">IFERROR(__xludf.DUMMYFUNCTION("""COMPUTED_VALUE"""),"No")</f>
        <v>No</v>
      </c>
      <c r="AE2028" s="5" t="str">
        <f ca="1">IFERROR(__xludf.DUMMYFUNCTION("""COMPUTED_VALUE"""),"No")</f>
        <v>No</v>
      </c>
      <c r="AF2028" s="5" t="str">
        <f ca="1">IFERROR(__xludf.DUMMYFUNCTION("""COMPUTED_VALUE"""),"No")</f>
        <v>No</v>
      </c>
      <c r="AG2028" s="5" t="str">
        <f ca="1">IFERROR(__xludf.DUMMYFUNCTION("""COMPUTED_VALUE"""),"Yes")</f>
        <v>Yes</v>
      </c>
      <c r="AH2028" s="5"/>
    </row>
    <row r="2029" spans="1:34" ht="12.75">
      <c r="A2029" s="5" t="str">
        <f ca="1">IFERROR(__xludf.DUMMYFUNCTION("""COMPUTED_VALUE"""),"19740117ILBAC")</f>
        <v>19740117ILBAC</v>
      </c>
      <c r="B2029" s="8">
        <f ca="1">IFERROR(__xludf.DUMMYFUNCTION("""COMPUTED_VALUE"""),27046)</f>
        <v>27046</v>
      </c>
      <c r="C2029" s="5" t="str">
        <f ca="1">IFERROR(__xludf.DUMMYFUNCTION("""COMPUTED_VALUE"""),"Barton Elementary School")</f>
        <v>Barton Elementary School</v>
      </c>
      <c r="D2029" s="5">
        <f ca="1">IFERROR(__xludf.DUMMYFUNCTION("""COMPUTED_VALUE"""),1)</f>
        <v>1</v>
      </c>
      <c r="E2029" s="5">
        <f ca="1">IFERROR(__xludf.DUMMYFUNCTION("""COMPUTED_VALUE"""),2)</f>
        <v>2</v>
      </c>
      <c r="F2029" s="5">
        <f ca="1">IFERROR(__xludf.DUMMYFUNCTION("""COMPUTED_VALUE"""),3)</f>
        <v>3</v>
      </c>
      <c r="G2029" s="5">
        <f ca="1">IFERROR(__xludf.DUMMYFUNCTION("""COMPUTED_VALUE"""),0)</f>
        <v>0</v>
      </c>
      <c r="H2029" s="9" t="str">
        <f ca="1">IFERROR(__xludf.DUMMYFUNCTION("""COMPUTED_VALUE"""),"https://www.newspapers.com/image/287719212/?terms=school%2Bshooting")</f>
        <v>https://www.newspapers.com/image/287719212/?terms=school%2Bshooting</v>
      </c>
      <c r="I2029" s="5"/>
      <c r="J2029" s="5"/>
      <c r="K2029" s="5">
        <f ca="1">IFERROR(__xludf.DUMMYFUNCTION("""COMPUTED_VALUE"""),2)</f>
        <v>2</v>
      </c>
      <c r="L2029" s="5" t="str">
        <f ca="1">IFERROR(__xludf.DUMMYFUNCTION("""COMPUTED_VALUE"""),"Winter")</f>
        <v>Winter</v>
      </c>
      <c r="M2029" s="5" t="str">
        <f ca="1">IFERROR(__xludf.DUMMYFUNCTION("""COMPUTED_VALUE"""),"Chicago")</f>
        <v>Chicago</v>
      </c>
      <c r="N2029" s="5" t="str">
        <f ca="1">IFERROR(__xludf.DUMMYFUNCTION("""COMPUTED_VALUE"""),"IL")</f>
        <v>IL</v>
      </c>
      <c r="O2029" s="5" t="str">
        <f ca="1">IFERROR(__xludf.DUMMYFUNCTION("""COMPUTED_VALUE"""),"Elementary")</f>
        <v>Elementary</v>
      </c>
      <c r="P2029" s="5" t="str">
        <f ca="1">IFERROR(__xludf.DUMMYFUNCTION("""COMPUTED_VALUE"""),"Office")</f>
        <v>Office</v>
      </c>
      <c r="Q2029" s="5" t="str">
        <f ca="1">IFERROR(__xludf.DUMMYFUNCTION("""COMPUTED_VALUE"""),"Inside School Building")</f>
        <v>Inside School Building</v>
      </c>
      <c r="R2029" s="5" t="str">
        <f ca="1">IFERROR(__xludf.DUMMYFUNCTION("""COMPUTED_VALUE"""),"Yes")</f>
        <v>Yes</v>
      </c>
      <c r="S2029" s="5"/>
      <c r="T2029" s="5"/>
      <c r="U2029" s="5"/>
      <c r="V2029" s="5" t="str">
        <f ca="1">IFERROR(__xludf.DUMMYFUNCTION("""COMPUTED_VALUE"""),"Expelled student angry at principal for expelling him")</f>
        <v>Expelled student angry at principal for expelling him</v>
      </c>
      <c r="W2029"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X2029" s="5" t="str">
        <f ca="1">IFERROR(__xludf.DUMMYFUNCTION("""COMPUTED_VALUE"""),"Anger Over Grade/Suspension/Discipline")</f>
        <v>Anger Over Grade/Suspension/Discipline</v>
      </c>
      <c r="Y2029" s="5" t="str">
        <f ca="1">IFERROR(__xludf.DUMMYFUNCTION("""COMPUTED_VALUE"""),"Victims Targeted")</f>
        <v>Victims Targeted</v>
      </c>
      <c r="Z2029" s="5" t="str">
        <f ca="1">IFERROR(__xludf.DUMMYFUNCTION("""COMPUTED_VALUE"""),"No")</f>
        <v>No</v>
      </c>
      <c r="AA2029" s="5"/>
      <c r="AB2029" s="5" t="str">
        <f ca="1">IFERROR(__xludf.DUMMYFUNCTION("""COMPUTED_VALUE"""),"No")</f>
        <v>No</v>
      </c>
      <c r="AC2029" s="5" t="str">
        <f ca="1">IFERROR(__xludf.DUMMYFUNCTION("""COMPUTED_VALUE"""),"No")</f>
        <v>No</v>
      </c>
      <c r="AD2029" s="5" t="str">
        <f ca="1">IFERROR(__xludf.DUMMYFUNCTION("""COMPUTED_VALUE"""),"No")</f>
        <v>No</v>
      </c>
      <c r="AE2029" s="5"/>
      <c r="AF2029" s="5" t="str">
        <f ca="1">IFERROR(__xludf.DUMMYFUNCTION("""COMPUTED_VALUE"""),"No")</f>
        <v>No</v>
      </c>
      <c r="AG2029" s="5" t="str">
        <f ca="1">IFERROR(__xludf.DUMMYFUNCTION("""COMPUTED_VALUE"""),"No")</f>
        <v>No</v>
      </c>
      <c r="AH2029" s="5" t="str">
        <f ca="1">IFERROR(__xludf.DUMMYFUNCTION("""COMPUTED_VALUE"""),"Yes")</f>
        <v>Yes</v>
      </c>
    </row>
    <row r="2030" spans="1:34" ht="12.75">
      <c r="A2030" s="5" t="str">
        <f ca="1">IFERROR(__xludf.DUMMYFUNCTION("""COMPUTED_VALUE"""),"19731213OHHUC")</f>
        <v>19731213OHHUC</v>
      </c>
      <c r="B2030" s="8">
        <f ca="1">IFERROR(__xludf.DUMMYFUNCTION("""COMPUTED_VALUE"""),27011)</f>
        <v>27011</v>
      </c>
      <c r="C2030" s="5" t="str">
        <f ca="1">IFERROR(__xludf.DUMMYFUNCTION("""COMPUTED_VALUE"""),"Hughes High School")</f>
        <v>Hughes High School</v>
      </c>
      <c r="D2030" s="5">
        <f ca="1">IFERROR(__xludf.DUMMYFUNCTION("""COMPUTED_VALUE"""),0)</f>
        <v>0</v>
      </c>
      <c r="E2030" s="5">
        <f ca="1">IFERROR(__xludf.DUMMYFUNCTION("""COMPUTED_VALUE"""),1)</f>
        <v>1</v>
      </c>
      <c r="F2030" s="5">
        <f ca="1">IFERROR(__xludf.DUMMYFUNCTION("""COMPUTED_VALUE"""),1)</f>
        <v>1</v>
      </c>
      <c r="G2030" s="5">
        <f ca="1">IFERROR(__xludf.DUMMYFUNCTION("""COMPUTED_VALUE"""),0)</f>
        <v>0</v>
      </c>
      <c r="H2030" s="9" t="str">
        <f ca="1">IFERROR(__xludf.DUMMYFUNCTION("""COMPUTED_VALUE"""),"https://www.newspapers.com/image/104353084/?terms=school%2Bshooting")</f>
        <v>https://www.newspapers.com/image/104353084/?terms=school%2Bshooting</v>
      </c>
      <c r="I2030" s="5"/>
      <c r="J2030" s="5"/>
      <c r="K2030" s="5">
        <f ca="1">IFERROR(__xludf.DUMMYFUNCTION("""COMPUTED_VALUE"""),2)</f>
        <v>2</v>
      </c>
      <c r="L2030" s="5" t="str">
        <f ca="1">IFERROR(__xludf.DUMMYFUNCTION("""COMPUTED_VALUE"""),"Winter")</f>
        <v>Winter</v>
      </c>
      <c r="M2030" s="5" t="str">
        <f ca="1">IFERROR(__xludf.DUMMYFUNCTION("""COMPUTED_VALUE"""),"Cincinnati")</f>
        <v>Cincinnati</v>
      </c>
      <c r="N2030" s="5" t="str">
        <f ca="1">IFERROR(__xludf.DUMMYFUNCTION("""COMPUTED_VALUE"""),"OH")</f>
        <v>OH</v>
      </c>
      <c r="O2030" s="5" t="str">
        <f ca="1">IFERROR(__xludf.DUMMYFUNCTION("""COMPUTED_VALUE"""),"High")</f>
        <v>High</v>
      </c>
      <c r="P2030" s="5" t="str">
        <f ca="1">IFERROR(__xludf.DUMMYFUNCTION("""COMPUTED_VALUE"""),"Hallway")</f>
        <v>Hallway</v>
      </c>
      <c r="Q2030" s="5" t="str">
        <f ca="1">IFERROR(__xludf.DUMMYFUNCTION("""COMPUTED_VALUE"""),"Inside School Building")</f>
        <v>Inside School Building</v>
      </c>
      <c r="R2030" s="5" t="str">
        <f ca="1">IFERROR(__xludf.DUMMYFUNCTION("""COMPUTED_VALUE"""),"Yes")</f>
        <v>Yes</v>
      </c>
      <c r="S2030" s="5" t="str">
        <f ca="1">IFERROR(__xludf.DUMMYFUNCTION("""COMPUTED_VALUE"""),"Afternoon Classes")</f>
        <v>Afternoon Classes</v>
      </c>
      <c r="T2030" s="10">
        <f ca="1">IFERROR(__xludf.DUMMYFUNCTION("""COMPUTED_VALUE"""),0.548611111111111)</f>
        <v>0.54861111111111105</v>
      </c>
      <c r="U2030" s="5">
        <f ca="1">IFERROR(__xludf.DUMMYFUNCTION("""COMPUTED_VALUE"""),1)</f>
        <v>1</v>
      </c>
      <c r="V2030" s="5" t="str">
        <f ca="1">IFERROR(__xludf.DUMMYFUNCTION("""COMPUTED_VALUE"""),"Witness intimidation after robbery")</f>
        <v>Witness intimidation after robbery</v>
      </c>
      <c r="W2030"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X2030" s="5" t="str">
        <f ca="1">IFERROR(__xludf.DUMMYFUNCTION("""COMPUTED_VALUE"""),"Illegal Activity")</f>
        <v>Illegal Activity</v>
      </c>
      <c r="Y2030" s="5" t="str">
        <f ca="1">IFERROR(__xludf.DUMMYFUNCTION("""COMPUTED_VALUE"""),"Both")</f>
        <v>Both</v>
      </c>
      <c r="Z2030" s="5" t="str">
        <f ca="1">IFERROR(__xludf.DUMMYFUNCTION("""COMPUTED_VALUE"""),"Yes")</f>
        <v>Yes</v>
      </c>
      <c r="AA2030" s="5" t="str">
        <f ca="1">IFERROR(__xludf.DUMMYFUNCTION("""COMPUTED_VALUE"""),"Principal did not report and charged for covering up incident")</f>
        <v>Principal did not report and charged for covering up incident</v>
      </c>
      <c r="AB2030" s="5" t="str">
        <f ca="1">IFERROR(__xludf.DUMMYFUNCTION("""COMPUTED_VALUE"""),"No")</f>
        <v>No</v>
      </c>
      <c r="AC2030" s="5" t="str">
        <f ca="1">IFERROR(__xludf.DUMMYFUNCTION("""COMPUTED_VALUE"""),"No")</f>
        <v>No</v>
      </c>
      <c r="AD2030" s="5" t="str">
        <f ca="1">IFERROR(__xludf.DUMMYFUNCTION("""COMPUTED_VALUE"""),"No")</f>
        <v>No</v>
      </c>
      <c r="AE2030" s="5" t="str">
        <f ca="1">IFERROR(__xludf.DUMMYFUNCTION("""COMPUTED_VALUE"""),"No")</f>
        <v>No</v>
      </c>
      <c r="AF2030" s="5" t="str">
        <f ca="1">IFERROR(__xludf.DUMMYFUNCTION("""COMPUTED_VALUE"""),"No")</f>
        <v>No</v>
      </c>
      <c r="AG2030" s="5" t="str">
        <f ca="1">IFERROR(__xludf.DUMMYFUNCTION("""COMPUTED_VALUE"""),"No")</f>
        <v>No</v>
      </c>
      <c r="AH2030" s="5"/>
    </row>
    <row r="2031" spans="1:34" ht="12.75">
      <c r="A2031" s="5" t="str">
        <f ca="1">IFERROR(__xludf.DUMMYFUNCTION("""COMPUTED_VALUE"""),"19731206CAFRL")</f>
        <v>19731206CAFRL</v>
      </c>
      <c r="B2031" s="8">
        <f ca="1">IFERROR(__xludf.DUMMYFUNCTION("""COMPUTED_VALUE"""),27004)</f>
        <v>27004</v>
      </c>
      <c r="C2031" s="5" t="str">
        <f ca="1">IFERROR(__xludf.DUMMYFUNCTION("""COMPUTED_VALUE"""),"Fremont High School")</f>
        <v>Fremont High School</v>
      </c>
      <c r="D2031" s="5">
        <f ca="1">IFERROR(__xludf.DUMMYFUNCTION("""COMPUTED_VALUE"""),0)</f>
        <v>0</v>
      </c>
      <c r="E2031" s="5">
        <f ca="1">IFERROR(__xludf.DUMMYFUNCTION("""COMPUTED_VALUE"""),1)</f>
        <v>1</v>
      </c>
      <c r="F2031" s="5">
        <f ca="1">IFERROR(__xludf.DUMMYFUNCTION("""COMPUTED_VALUE"""),1)</f>
        <v>1</v>
      </c>
      <c r="G2031" s="5">
        <f ca="1">IFERROR(__xludf.DUMMYFUNCTION("""COMPUTED_VALUE"""),0)</f>
        <v>0</v>
      </c>
      <c r="H2031" s="9" t="str">
        <f ca="1">IFERROR(__xludf.DUMMYFUNCTION("""COMPUTED_VALUE"""),"https://www.newspapers.com/image/81731406/?terms=Student%2Bshot")</f>
        <v>https://www.newspapers.com/image/81731406/?terms=Student%2Bshot</v>
      </c>
      <c r="I2031" s="5"/>
      <c r="J2031" s="5"/>
      <c r="K2031" s="5">
        <f ca="1">IFERROR(__xludf.DUMMYFUNCTION("""COMPUTED_VALUE"""),2)</f>
        <v>2</v>
      </c>
      <c r="L2031" s="5" t="str">
        <f ca="1">IFERROR(__xludf.DUMMYFUNCTION("""COMPUTED_VALUE"""),"Winter")</f>
        <v>Winter</v>
      </c>
      <c r="M2031" s="5" t="str">
        <f ca="1">IFERROR(__xludf.DUMMYFUNCTION("""COMPUTED_VALUE"""),"Los Angeles")</f>
        <v>Los Angeles</v>
      </c>
      <c r="N2031" s="5" t="str">
        <f ca="1">IFERROR(__xludf.DUMMYFUNCTION("""COMPUTED_VALUE"""),"CA")</f>
        <v>CA</v>
      </c>
      <c r="O2031" s="5" t="str">
        <f ca="1">IFERROR(__xludf.DUMMYFUNCTION("""COMPUTED_VALUE"""),"High")</f>
        <v>High</v>
      </c>
      <c r="P2031" s="5" t="str">
        <f ca="1">IFERROR(__xludf.DUMMYFUNCTION("""COMPUTED_VALUE"""),"Hallway")</f>
        <v>Hallway</v>
      </c>
      <c r="Q2031" s="5" t="str">
        <f ca="1">IFERROR(__xludf.DUMMYFUNCTION("""COMPUTED_VALUE"""),"Inside School Building")</f>
        <v>Inside School Building</v>
      </c>
      <c r="R2031" s="5" t="str">
        <f ca="1">IFERROR(__xludf.DUMMYFUNCTION("""COMPUTED_VALUE"""),"Yes")</f>
        <v>Yes</v>
      </c>
      <c r="S2031" s="5"/>
      <c r="T2031" s="5"/>
      <c r="U2031" s="5">
        <f ca="1">IFERROR(__xludf.DUMMYFUNCTION("""COMPUTED_VALUE"""),1)</f>
        <v>1</v>
      </c>
      <c r="V2031" s="5" t="str">
        <f ca="1">IFERROR(__xludf.DUMMYFUNCTION("""COMPUTED_VALUE"""),"Shooter shot victim after being cornered")</f>
        <v>Shooter shot victim after being cornered</v>
      </c>
      <c r="W2031"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X2031" s="5" t="str">
        <f ca="1">IFERROR(__xludf.DUMMYFUNCTION("""COMPUTED_VALUE"""),"Escalation of Dispute")</f>
        <v>Escalation of Dispute</v>
      </c>
      <c r="Y2031" s="5" t="str">
        <f ca="1">IFERROR(__xludf.DUMMYFUNCTION("""COMPUTED_VALUE"""),"Victims Targeted")</f>
        <v>Victims Targeted</v>
      </c>
      <c r="Z2031" s="5" t="str">
        <f ca="1">IFERROR(__xludf.DUMMYFUNCTION("""COMPUTED_VALUE"""),"Yes")</f>
        <v>Yes</v>
      </c>
      <c r="AA2031" s="5" t="str">
        <f ca="1">IFERROR(__xludf.DUMMYFUNCTION("""COMPUTED_VALUE"""),"Multiple gang members involved")</f>
        <v>Multiple gang members involved</v>
      </c>
      <c r="AB2031" s="5" t="str">
        <f ca="1">IFERROR(__xludf.DUMMYFUNCTION("""COMPUTED_VALUE"""),"No")</f>
        <v>No</v>
      </c>
      <c r="AC2031" s="5" t="str">
        <f ca="1">IFERROR(__xludf.DUMMYFUNCTION("""COMPUTED_VALUE"""),"No")</f>
        <v>No</v>
      </c>
      <c r="AD2031" s="5" t="str">
        <f ca="1">IFERROR(__xludf.DUMMYFUNCTION("""COMPUTED_VALUE"""),"No")</f>
        <v>No</v>
      </c>
      <c r="AE2031" s="5" t="str">
        <f ca="1">IFERROR(__xludf.DUMMYFUNCTION("""COMPUTED_VALUE"""),"No")</f>
        <v>No</v>
      </c>
      <c r="AF2031" s="5" t="str">
        <f ca="1">IFERROR(__xludf.DUMMYFUNCTION("""COMPUTED_VALUE"""),"No")</f>
        <v>No</v>
      </c>
      <c r="AG2031" s="5" t="str">
        <f ca="1">IFERROR(__xludf.DUMMYFUNCTION("""COMPUTED_VALUE"""),"Yes")</f>
        <v>Yes</v>
      </c>
      <c r="AH2031" s="5"/>
    </row>
    <row r="2032" spans="1:34" ht="12.75">
      <c r="A2032" s="5" t="str">
        <f ca="1">IFERROR(__xludf.DUMMYFUNCTION("""COMPUTED_VALUE"""),"19731109CALOL")</f>
        <v>19731109CALOL</v>
      </c>
      <c r="B2032" s="8">
        <f ca="1">IFERROR(__xludf.DUMMYFUNCTION("""COMPUTED_VALUE"""),26977)</f>
        <v>26977</v>
      </c>
      <c r="C2032" s="5" t="str">
        <f ca="1">IFERROR(__xludf.DUMMYFUNCTION("""COMPUTED_VALUE"""),"Long Beach Polytechnic High School")</f>
        <v>Long Beach Polytechnic High School</v>
      </c>
      <c r="D2032" s="5">
        <f ca="1">IFERROR(__xludf.DUMMYFUNCTION("""COMPUTED_VALUE"""),1)</f>
        <v>1</v>
      </c>
      <c r="E2032" s="5">
        <f ca="1">IFERROR(__xludf.DUMMYFUNCTION("""COMPUTED_VALUE"""),1)</f>
        <v>1</v>
      </c>
      <c r="F2032" s="5">
        <f ca="1">IFERROR(__xludf.DUMMYFUNCTION("""COMPUTED_VALUE"""),2)</f>
        <v>2</v>
      </c>
      <c r="G2032" s="5">
        <f ca="1">IFERROR(__xludf.DUMMYFUNCTION("""COMPUTED_VALUE"""),0)</f>
        <v>0</v>
      </c>
      <c r="H2032" s="9" t="str">
        <f ca="1">IFERROR(__xludf.DUMMYFUNCTION("""COMPUTED_VALUE"""),"https://www.newspapers.com/image/25814105/?terms=school%2Bshooting")</f>
        <v>https://www.newspapers.com/image/25814105/?terms=school%2Bshooting</v>
      </c>
      <c r="I2032" s="5"/>
      <c r="J2032" s="5"/>
      <c r="K2032" s="5">
        <f ca="1">IFERROR(__xludf.DUMMYFUNCTION("""COMPUTED_VALUE"""),2)</f>
        <v>2</v>
      </c>
      <c r="L2032" s="5" t="str">
        <f ca="1">IFERROR(__xludf.DUMMYFUNCTION("""COMPUTED_VALUE"""),"Fall")</f>
        <v>Fall</v>
      </c>
      <c r="M2032" s="5" t="str">
        <f ca="1">IFERROR(__xludf.DUMMYFUNCTION("""COMPUTED_VALUE"""),"Los Angeles")</f>
        <v>Los Angeles</v>
      </c>
      <c r="N2032" s="5" t="str">
        <f ca="1">IFERROR(__xludf.DUMMYFUNCTION("""COMPUTED_VALUE"""),"CA")</f>
        <v>CA</v>
      </c>
      <c r="O2032" s="5" t="str">
        <f ca="1">IFERROR(__xludf.DUMMYFUNCTION("""COMPUTED_VALUE"""),"High")</f>
        <v>High</v>
      </c>
      <c r="P2032" s="5" t="str">
        <f ca="1">IFERROR(__xludf.DUMMYFUNCTION("""COMPUTED_VALUE"""),"Front of School")</f>
        <v>Front of School</v>
      </c>
      <c r="Q2032" s="5" t="str">
        <f ca="1">IFERROR(__xludf.DUMMYFUNCTION("""COMPUTED_VALUE"""),"Outside on School Property")</f>
        <v>Outside on School Property</v>
      </c>
      <c r="R2032" s="5"/>
      <c r="S2032" s="5"/>
      <c r="T2032" s="5"/>
      <c r="U2032" s="5">
        <f ca="1">IFERROR(__xludf.DUMMYFUNCTION("""COMPUTED_VALUE"""),1)</f>
        <v>1</v>
      </c>
      <c r="V2032" s="5" t="str">
        <f ca="1">IFERROR(__xludf.DUMMYFUNCTION("""COMPUTED_VALUE"""),"Victims shot outside of school during drive by")</f>
        <v>Victims shot outside of school during drive by</v>
      </c>
      <c r="W2032"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X2032" s="5" t="str">
        <f ca="1">IFERROR(__xludf.DUMMYFUNCTION("""COMPUTED_VALUE"""),"Drive-by Shooting")</f>
        <v>Drive-by Shooting</v>
      </c>
      <c r="Y2032" s="5"/>
      <c r="Z2032" s="5" t="str">
        <f ca="1">IFERROR(__xludf.DUMMYFUNCTION("""COMPUTED_VALUE"""),"Yes")</f>
        <v>Yes</v>
      </c>
      <c r="AA2032" s="5" t="str">
        <f ca="1">IFERROR(__xludf.DUMMYFUNCTION("""COMPUTED_VALUE"""),"Two teens arrested")</f>
        <v>Two teens arrested</v>
      </c>
      <c r="AB2032" s="5" t="str">
        <f ca="1">IFERROR(__xludf.DUMMYFUNCTION("""COMPUTED_VALUE"""),"No")</f>
        <v>No</v>
      </c>
      <c r="AC2032" s="5" t="str">
        <f ca="1">IFERROR(__xludf.DUMMYFUNCTION("""COMPUTED_VALUE"""),"No")</f>
        <v>No</v>
      </c>
      <c r="AD2032" s="5" t="str">
        <f ca="1">IFERROR(__xludf.DUMMYFUNCTION("""COMPUTED_VALUE"""),"No")</f>
        <v>No</v>
      </c>
      <c r="AE2032" s="5" t="str">
        <f ca="1">IFERROR(__xludf.DUMMYFUNCTION("""COMPUTED_VALUE"""),"No")</f>
        <v>No</v>
      </c>
      <c r="AF2032" s="5"/>
      <c r="AG2032" s="5" t="str">
        <f ca="1">IFERROR(__xludf.DUMMYFUNCTION("""COMPUTED_VALUE"""),"Yes")</f>
        <v>Yes</v>
      </c>
      <c r="AH2032" s="5"/>
    </row>
    <row r="2033" spans="1:34" ht="12.75">
      <c r="A2033" s="5" t="str">
        <f ca="1">IFERROR(__xludf.DUMMYFUNCTION("""COMPUTED_VALUE"""),"19731108ILWOC")</f>
        <v>19731108ILWOC</v>
      </c>
      <c r="B2033" s="8">
        <f ca="1">IFERROR(__xludf.DUMMYFUNCTION("""COMPUTED_VALUE"""),26976)</f>
        <v>26976</v>
      </c>
      <c r="C2033" s="5" t="str">
        <f ca="1">IFERROR(__xludf.DUMMYFUNCTION("""COMPUTED_VALUE"""),"Woodell Phillips High School")</f>
        <v>Woodell Phillips High School</v>
      </c>
      <c r="D2033" s="5">
        <f ca="1">IFERROR(__xludf.DUMMYFUNCTION("""COMPUTED_VALUE"""),1)</f>
        <v>1</v>
      </c>
      <c r="E2033" s="5">
        <f ca="1">IFERROR(__xludf.DUMMYFUNCTION("""COMPUTED_VALUE"""),0)</f>
        <v>0</v>
      </c>
      <c r="F2033" s="5">
        <f ca="1">IFERROR(__xludf.DUMMYFUNCTION("""COMPUTED_VALUE"""),1)</f>
        <v>1</v>
      </c>
      <c r="G2033" s="5">
        <f ca="1">IFERROR(__xludf.DUMMYFUNCTION("""COMPUTED_VALUE"""),0)</f>
        <v>0</v>
      </c>
      <c r="H2033" s="5" t="str">
        <f ca="1">IFERROR(__xludf.DUMMYFUNCTION("""COMPUTED_VALUE"""),"https://www.newspapers.com/image/45862633/?terms=STUDENT%2BSHOT  https://www.newspapers.com/image/383907902/?terms=mack%2Bjones")</f>
        <v>https://www.newspapers.com/image/45862633/?terms=STUDENT%2BSHOT  https://www.newspapers.com/image/383907902/?terms=mack%2Bjones</v>
      </c>
      <c r="I2033" s="5"/>
      <c r="J2033" s="5"/>
      <c r="K2033" s="5">
        <f ca="1">IFERROR(__xludf.DUMMYFUNCTION("""COMPUTED_VALUE"""),2)</f>
        <v>2</v>
      </c>
      <c r="L2033" s="5" t="str">
        <f ca="1">IFERROR(__xludf.DUMMYFUNCTION("""COMPUTED_VALUE"""),"Fall")</f>
        <v>Fall</v>
      </c>
      <c r="M2033" s="5" t="str">
        <f ca="1">IFERROR(__xludf.DUMMYFUNCTION("""COMPUTED_VALUE"""),"Chicago")</f>
        <v>Chicago</v>
      </c>
      <c r="N2033" s="5" t="str">
        <f ca="1">IFERROR(__xludf.DUMMYFUNCTION("""COMPUTED_VALUE"""),"IL")</f>
        <v>IL</v>
      </c>
      <c r="O2033" s="5" t="str">
        <f ca="1">IFERROR(__xludf.DUMMYFUNCTION("""COMPUTED_VALUE"""),"High")</f>
        <v>High</v>
      </c>
      <c r="P2033" s="5" t="str">
        <f ca="1">IFERROR(__xludf.DUMMYFUNCTION("""COMPUTED_VALUE"""),"Entryway")</f>
        <v>Entryway</v>
      </c>
      <c r="Q2033" s="5" t="str">
        <f ca="1">IFERROR(__xludf.DUMMYFUNCTION("""COMPUTED_VALUE"""),"Inside School Building")</f>
        <v>Inside School Building</v>
      </c>
      <c r="R2033" s="5" t="str">
        <f ca="1">IFERROR(__xludf.DUMMYFUNCTION("""COMPUTED_VALUE"""),"Yes")</f>
        <v>Yes</v>
      </c>
      <c r="S2033" s="5" t="str">
        <f ca="1">IFERROR(__xludf.DUMMYFUNCTION("""COMPUTED_VALUE"""),"Morning Classes")</f>
        <v>Morning Classes</v>
      </c>
      <c r="T2033" s="10">
        <f ca="1">IFERROR(__xludf.DUMMYFUNCTION("""COMPUTED_VALUE"""),0.416666666666666)</f>
        <v>0.41666666666666602</v>
      </c>
      <c r="U2033" s="5">
        <f ca="1">IFERROR(__xludf.DUMMYFUNCTION("""COMPUTED_VALUE"""),1)</f>
        <v>1</v>
      </c>
      <c r="V2033" s="5" t="str">
        <f ca="1">IFERROR(__xludf.DUMMYFUNCTION("""COMPUTED_VALUE"""),"Shooter and victim fought a few days prior. Shooter brought gun to school and shot victim")</f>
        <v>Shooter and victim fought a few days prior. Shooter brought gun to school and shot victim</v>
      </c>
      <c r="W2033"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X2033" s="5" t="str">
        <f ca="1">IFERROR(__xludf.DUMMYFUNCTION("""COMPUTED_VALUE"""),"Escalation of Dispute")</f>
        <v>Escalation of Dispute</v>
      </c>
      <c r="Y2033" s="5" t="str">
        <f ca="1">IFERROR(__xludf.DUMMYFUNCTION("""COMPUTED_VALUE"""),"Victims Targeted")</f>
        <v>Victims Targeted</v>
      </c>
      <c r="Z2033" s="5" t="str">
        <f ca="1">IFERROR(__xludf.DUMMYFUNCTION("""COMPUTED_VALUE"""),"No")</f>
        <v>No</v>
      </c>
      <c r="AA2033" s="5"/>
      <c r="AB2033" s="5" t="str">
        <f ca="1">IFERROR(__xludf.DUMMYFUNCTION("""COMPUTED_VALUE"""),"No")</f>
        <v>No</v>
      </c>
      <c r="AC2033" s="5" t="str">
        <f ca="1">IFERROR(__xludf.DUMMYFUNCTION("""COMPUTED_VALUE"""),"No")</f>
        <v>No</v>
      </c>
      <c r="AD2033" s="5" t="str">
        <f ca="1">IFERROR(__xludf.DUMMYFUNCTION("""COMPUTED_VALUE"""),"No")</f>
        <v>No</v>
      </c>
      <c r="AE2033" s="5" t="str">
        <f ca="1">IFERROR(__xludf.DUMMYFUNCTION("""COMPUTED_VALUE"""),"No")</f>
        <v>No</v>
      </c>
      <c r="AF2033" s="5" t="str">
        <f ca="1">IFERROR(__xludf.DUMMYFUNCTION("""COMPUTED_VALUE"""),"No")</f>
        <v>No</v>
      </c>
      <c r="AG2033" s="5" t="str">
        <f ca="1">IFERROR(__xludf.DUMMYFUNCTION("""COMPUTED_VALUE"""),"No")</f>
        <v>No</v>
      </c>
      <c r="AH2033" s="5"/>
    </row>
    <row r="2034" spans="1:34" ht="12.75">
      <c r="A2034" s="5" t="str">
        <f ca="1">IFERROR(__xludf.DUMMYFUNCTION("""COMPUTED_VALUE"""),"19731031MONOS")</f>
        <v>19731031MONOS</v>
      </c>
      <c r="B2034" s="8">
        <f ca="1">IFERROR(__xludf.DUMMYFUNCTION("""COMPUTED_VALUE"""),26968)</f>
        <v>26968</v>
      </c>
      <c r="C2034" s="5" t="str">
        <f ca="1">IFERROR(__xludf.DUMMYFUNCTION("""COMPUTED_VALUE"""),"Northwestern High School")</f>
        <v>Northwestern High School</v>
      </c>
      <c r="D2034" s="5">
        <f ca="1">IFERROR(__xludf.DUMMYFUNCTION("""COMPUTED_VALUE"""),0)</f>
        <v>0</v>
      </c>
      <c r="E2034" s="5">
        <f ca="1">IFERROR(__xludf.DUMMYFUNCTION("""COMPUTED_VALUE"""),1)</f>
        <v>1</v>
      </c>
      <c r="F2034" s="5">
        <f ca="1">IFERROR(__xludf.DUMMYFUNCTION("""COMPUTED_VALUE"""),1)</f>
        <v>1</v>
      </c>
      <c r="G2034" s="5">
        <f ca="1">IFERROR(__xludf.DUMMYFUNCTION("""COMPUTED_VALUE"""),0)</f>
        <v>0</v>
      </c>
      <c r="H2034" s="9" t="str">
        <f ca="1">IFERROR(__xludf.DUMMYFUNCTION("""COMPUTED_VALUE"""),"https://www.newspapers.com/image/305635210/?terms=school%2Bshooting")</f>
        <v>https://www.newspapers.com/image/305635210/?terms=school%2Bshooting</v>
      </c>
      <c r="I2034" s="5"/>
      <c r="J2034" s="5"/>
      <c r="K2034" s="5">
        <f ca="1">IFERROR(__xludf.DUMMYFUNCTION("""COMPUTED_VALUE"""),2)</f>
        <v>2</v>
      </c>
      <c r="L2034" s="5" t="str">
        <f ca="1">IFERROR(__xludf.DUMMYFUNCTION("""COMPUTED_VALUE"""),"Fall")</f>
        <v>Fall</v>
      </c>
      <c r="M2034" s="5" t="str">
        <f ca="1">IFERROR(__xludf.DUMMYFUNCTION("""COMPUTED_VALUE"""),"St. Louis")</f>
        <v>St. Louis</v>
      </c>
      <c r="N2034" s="5" t="str">
        <f ca="1">IFERROR(__xludf.DUMMYFUNCTION("""COMPUTED_VALUE"""),"MO")</f>
        <v>MO</v>
      </c>
      <c r="O2034" s="5" t="str">
        <f ca="1">IFERROR(__xludf.DUMMYFUNCTION("""COMPUTED_VALUE"""),"High")</f>
        <v>High</v>
      </c>
      <c r="P2034" s="5" t="str">
        <f ca="1">IFERROR(__xludf.DUMMYFUNCTION("""COMPUTED_VALUE"""),"Beside Building")</f>
        <v>Beside Building</v>
      </c>
      <c r="Q2034" s="5" t="str">
        <f ca="1">IFERROR(__xludf.DUMMYFUNCTION("""COMPUTED_VALUE"""),"Outside on School Property")</f>
        <v>Outside on School Property</v>
      </c>
      <c r="R2034" s="5" t="str">
        <f ca="1">IFERROR(__xludf.DUMMYFUNCTION("""COMPUTED_VALUE"""),"Yes")</f>
        <v>Yes</v>
      </c>
      <c r="S2034" s="5"/>
      <c r="T2034" s="5"/>
      <c r="U2034" s="5">
        <f ca="1">IFERROR(__xludf.DUMMYFUNCTION("""COMPUTED_VALUE"""),1)</f>
        <v>1</v>
      </c>
      <c r="V2034" s="5" t="str">
        <f ca="1">IFERROR(__xludf.DUMMYFUNCTION("""COMPUTED_VALUE"""),"Non-student shot by another non-student in the smoking area outside of the school")</f>
        <v>Non-student shot by another non-student in the smoking area outside of the school</v>
      </c>
      <c r="W2034"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X2034" s="5" t="str">
        <f ca="1">IFERROR(__xludf.DUMMYFUNCTION("""COMPUTED_VALUE"""),"Illegal Activity")</f>
        <v>Illegal Activity</v>
      </c>
      <c r="Y2034" s="5" t="str">
        <f ca="1">IFERROR(__xludf.DUMMYFUNCTION("""COMPUTED_VALUE"""),"Victims Targeted")</f>
        <v>Victims Targeted</v>
      </c>
      <c r="Z2034" s="5" t="str">
        <f ca="1">IFERROR(__xludf.DUMMYFUNCTION("""COMPUTED_VALUE"""),"No")</f>
        <v>No</v>
      </c>
      <c r="AA2034" s="5"/>
      <c r="AB2034" s="5" t="str">
        <f ca="1">IFERROR(__xludf.DUMMYFUNCTION("""COMPUTED_VALUE"""),"No")</f>
        <v>No</v>
      </c>
      <c r="AC2034" s="5" t="str">
        <f ca="1">IFERROR(__xludf.DUMMYFUNCTION("""COMPUTED_VALUE"""),"No")</f>
        <v>No</v>
      </c>
      <c r="AD2034" s="5" t="str">
        <f ca="1">IFERROR(__xludf.DUMMYFUNCTION("""COMPUTED_VALUE"""),"No")</f>
        <v>No</v>
      </c>
      <c r="AE2034" s="5" t="str">
        <f ca="1">IFERROR(__xludf.DUMMYFUNCTION("""COMPUTED_VALUE"""),"No")</f>
        <v>No</v>
      </c>
      <c r="AF2034" s="5" t="str">
        <f ca="1">IFERROR(__xludf.DUMMYFUNCTION("""COMPUTED_VALUE"""),"No")</f>
        <v>No</v>
      </c>
      <c r="AG2034" s="5"/>
      <c r="AH2034" s="5"/>
    </row>
    <row r="2035" spans="1:34" ht="12.75">
      <c r="A2035" s="5" t="str">
        <f ca="1">IFERROR(__xludf.DUMMYFUNCTION("""COMPUTED_VALUE"""),"19731024MNCEM")</f>
        <v>19731024MNCEM</v>
      </c>
      <c r="B2035" s="8">
        <f ca="1">IFERROR(__xludf.DUMMYFUNCTION("""COMPUTED_VALUE"""),26961)</f>
        <v>26961</v>
      </c>
      <c r="C2035" s="5" t="str">
        <f ca="1">IFERROR(__xludf.DUMMYFUNCTION("""COMPUTED_VALUE"""),"Central High School")</f>
        <v>Central High School</v>
      </c>
      <c r="D2035" s="5">
        <f ca="1">IFERROR(__xludf.DUMMYFUNCTION("""COMPUTED_VALUE"""),0)</f>
        <v>0</v>
      </c>
      <c r="E2035" s="5">
        <f ca="1">IFERROR(__xludf.DUMMYFUNCTION("""COMPUTED_VALUE"""),1)</f>
        <v>1</v>
      </c>
      <c r="F2035" s="5">
        <f ca="1">IFERROR(__xludf.DUMMYFUNCTION("""COMPUTED_VALUE"""),1)</f>
        <v>1</v>
      </c>
      <c r="G2035" s="5">
        <f ca="1">IFERROR(__xludf.DUMMYFUNCTION("""COMPUTED_VALUE"""),0)</f>
        <v>0</v>
      </c>
      <c r="H2035" s="9" t="str">
        <f ca="1">IFERROR(__xludf.DUMMYFUNCTION("""COMPUTED_VALUE"""),"https://www.newspapers.com/image/186814707/?terms=school%2Bshooting")</f>
        <v>https://www.newspapers.com/image/186814707/?terms=school%2Bshooting</v>
      </c>
      <c r="I2035" s="5"/>
      <c r="J2035" s="5"/>
      <c r="K2035" s="5">
        <f ca="1">IFERROR(__xludf.DUMMYFUNCTION("""COMPUTED_VALUE"""),2)</f>
        <v>2</v>
      </c>
      <c r="L2035" s="5" t="str">
        <f ca="1">IFERROR(__xludf.DUMMYFUNCTION("""COMPUTED_VALUE"""),"Fall")</f>
        <v>Fall</v>
      </c>
      <c r="M2035" s="5" t="str">
        <f ca="1">IFERROR(__xludf.DUMMYFUNCTION("""COMPUTED_VALUE"""),"Minneapolis")</f>
        <v>Minneapolis</v>
      </c>
      <c r="N2035" s="5" t="str">
        <f ca="1">IFERROR(__xludf.DUMMYFUNCTION("""COMPUTED_VALUE"""),"MN")</f>
        <v>MN</v>
      </c>
      <c r="O2035" s="5" t="str">
        <f ca="1">IFERROR(__xludf.DUMMYFUNCTION("""COMPUTED_VALUE"""),"High")</f>
        <v>High</v>
      </c>
      <c r="P2035" s="5" t="str">
        <f ca="1">IFERROR(__xludf.DUMMYFUNCTION("""COMPUTED_VALUE"""),"Outside on School Property")</f>
        <v>Outside on School Property</v>
      </c>
      <c r="Q2035" s="5" t="str">
        <f ca="1">IFERROR(__xludf.DUMMYFUNCTION("""COMPUTED_VALUE"""),"Outside on School Property")</f>
        <v>Outside on School Property</v>
      </c>
      <c r="R2035" s="5" t="str">
        <f ca="1">IFERROR(__xludf.DUMMYFUNCTION("""COMPUTED_VALUE"""),"Yes")</f>
        <v>Yes</v>
      </c>
      <c r="S2035" s="5"/>
      <c r="T2035" s="5"/>
      <c r="U2035" s="5">
        <f ca="1">IFERROR(__xludf.DUMMYFUNCTION("""COMPUTED_VALUE"""),1)</f>
        <v>1</v>
      </c>
      <c r="V2035" s="5" t="str">
        <f ca="1">IFERROR(__xludf.DUMMYFUNCTION("""COMPUTED_VALUE"""),"Shotgun fired during fight over debt, hit bystander/student")</f>
        <v>Shotgun fired during fight over debt, hit bystander/student</v>
      </c>
      <c r="W2035"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X2035" s="5" t="str">
        <f ca="1">IFERROR(__xludf.DUMMYFUNCTION("""COMPUTED_VALUE"""),"Escalation of Dispute")</f>
        <v>Escalation of Dispute</v>
      </c>
      <c r="Y2035" s="5" t="str">
        <f ca="1">IFERROR(__xludf.DUMMYFUNCTION("""COMPUTED_VALUE"""),"Both")</f>
        <v>Both</v>
      </c>
      <c r="Z2035" s="5" t="str">
        <f ca="1">IFERROR(__xludf.DUMMYFUNCTION("""COMPUTED_VALUE"""),"Yes")</f>
        <v>Yes</v>
      </c>
      <c r="AA2035" s="5" t="str">
        <f ca="1">IFERROR(__xludf.DUMMYFUNCTION("""COMPUTED_VALUE"""),"Group went to collect debt")</f>
        <v>Group went to collect debt</v>
      </c>
      <c r="AB2035" s="5" t="str">
        <f ca="1">IFERROR(__xludf.DUMMYFUNCTION("""COMPUTED_VALUE"""),"No")</f>
        <v>No</v>
      </c>
      <c r="AC2035" s="5" t="str">
        <f ca="1">IFERROR(__xludf.DUMMYFUNCTION("""COMPUTED_VALUE"""),"No")</f>
        <v>No</v>
      </c>
      <c r="AD2035" s="5" t="str">
        <f ca="1">IFERROR(__xludf.DUMMYFUNCTION("""COMPUTED_VALUE"""),"No")</f>
        <v>No</v>
      </c>
      <c r="AE2035" s="5" t="str">
        <f ca="1">IFERROR(__xludf.DUMMYFUNCTION("""COMPUTED_VALUE"""),"No")</f>
        <v>No</v>
      </c>
      <c r="AF2035" s="5" t="str">
        <f ca="1">IFERROR(__xludf.DUMMYFUNCTION("""COMPUTED_VALUE"""),"No")</f>
        <v>No</v>
      </c>
      <c r="AG2035" s="5" t="str">
        <f ca="1">IFERROR(__xludf.DUMMYFUNCTION("""COMPUTED_VALUE"""),"No")</f>
        <v>No</v>
      </c>
      <c r="AH2035" s="5"/>
    </row>
    <row r="2036" spans="1:34" ht="12.75">
      <c r="A2036" s="5" t="str">
        <f ca="1">IFERROR(__xludf.DUMMYFUNCTION("""COMPUTED_VALUE"""),"19731023OHBAB")</f>
        <v>19731023OHBAB</v>
      </c>
      <c r="B2036" s="8">
        <f ca="1">IFERROR(__xludf.DUMMYFUNCTION("""COMPUTED_VALUE"""),26960)</f>
        <v>26960</v>
      </c>
      <c r="C2036" s="5" t="str">
        <f ca="1">IFERROR(__xludf.DUMMYFUNCTION("""COMPUTED_VALUE"""),"Barberton High School")</f>
        <v>Barberton High School</v>
      </c>
      <c r="D2036" s="5">
        <f ca="1">IFERROR(__xludf.DUMMYFUNCTION("""COMPUTED_VALUE"""),0)</f>
        <v>0</v>
      </c>
      <c r="E2036" s="5">
        <f ca="1">IFERROR(__xludf.DUMMYFUNCTION("""COMPUTED_VALUE"""),1)</f>
        <v>1</v>
      </c>
      <c r="F2036" s="5">
        <f ca="1">IFERROR(__xludf.DUMMYFUNCTION("""COMPUTED_VALUE"""),1)</f>
        <v>1</v>
      </c>
      <c r="G2036" s="5">
        <f ca="1">IFERROR(__xludf.DUMMYFUNCTION("""COMPUTED_VALUE"""),0)</f>
        <v>0</v>
      </c>
      <c r="H2036" s="9" t="str">
        <f ca="1">IFERROR(__xludf.DUMMYFUNCTION("""COMPUTED_VALUE"""),"https://www.newspapers.com/image/152290612/?terms=a%2Bsingle%2Btragic%2Bincident")</f>
        <v>https://www.newspapers.com/image/152290612/?terms=a%2Bsingle%2Btragic%2Bincident</v>
      </c>
      <c r="I2036" s="5"/>
      <c r="J2036" s="5"/>
      <c r="K2036" s="5">
        <f ca="1">IFERROR(__xludf.DUMMYFUNCTION("""COMPUTED_VALUE"""),2)</f>
        <v>2</v>
      </c>
      <c r="L2036" s="5" t="str">
        <f ca="1">IFERROR(__xludf.DUMMYFUNCTION("""COMPUTED_VALUE"""),"Fall")</f>
        <v>Fall</v>
      </c>
      <c r="M2036" s="5" t="str">
        <f ca="1">IFERROR(__xludf.DUMMYFUNCTION("""COMPUTED_VALUE"""),"Barberton")</f>
        <v>Barberton</v>
      </c>
      <c r="N2036" s="5" t="str">
        <f ca="1">IFERROR(__xludf.DUMMYFUNCTION("""COMPUTED_VALUE"""),"OH")</f>
        <v>OH</v>
      </c>
      <c r="O2036" s="5" t="str">
        <f ca="1">IFERROR(__xludf.DUMMYFUNCTION("""COMPUTED_VALUE"""),"High")</f>
        <v>High</v>
      </c>
      <c r="P2036" s="5" t="str">
        <f ca="1">IFERROR(__xludf.DUMMYFUNCTION("""COMPUTED_VALUE"""),"Office")</f>
        <v>Office</v>
      </c>
      <c r="Q2036" s="5" t="str">
        <f ca="1">IFERROR(__xludf.DUMMYFUNCTION("""COMPUTED_VALUE"""),"Inside School Building")</f>
        <v>Inside School Building</v>
      </c>
      <c r="R2036" s="5" t="str">
        <f ca="1">IFERROR(__xludf.DUMMYFUNCTION("""COMPUTED_VALUE"""),"Yes")</f>
        <v>Yes</v>
      </c>
      <c r="S2036" s="5" t="str">
        <f ca="1">IFERROR(__xludf.DUMMYFUNCTION("""COMPUTED_VALUE"""),"Lunch")</f>
        <v>Lunch</v>
      </c>
      <c r="T2036" s="10">
        <f ca="1">IFERROR(__xludf.DUMMYFUNCTION("""COMPUTED_VALUE"""),0.5)</f>
        <v>0.5</v>
      </c>
      <c r="U2036" s="5">
        <f ca="1">IFERROR(__xludf.DUMMYFUNCTION("""COMPUTED_VALUE"""),1)</f>
        <v>1</v>
      </c>
      <c r="V2036" s="5" t="str">
        <f ca="1">IFERROR(__xludf.DUMMYFUNCTION("""COMPUTED_VALUE"""),"Argument over absentee marks at school")</f>
        <v>Argument over absentee marks at school</v>
      </c>
      <c r="W2036"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X2036" s="5" t="str">
        <f ca="1">IFERROR(__xludf.DUMMYFUNCTION("""COMPUTED_VALUE"""),"Anger Over Grade/Suspension/Discipline")</f>
        <v>Anger Over Grade/Suspension/Discipline</v>
      </c>
      <c r="Y2036" s="5" t="str">
        <f ca="1">IFERROR(__xludf.DUMMYFUNCTION("""COMPUTED_VALUE"""),"Victims Targeted")</f>
        <v>Victims Targeted</v>
      </c>
      <c r="Z2036" s="5" t="str">
        <f ca="1">IFERROR(__xludf.DUMMYFUNCTION("""COMPUTED_VALUE"""),"No")</f>
        <v>No</v>
      </c>
      <c r="AA2036" s="5"/>
      <c r="AB2036" s="5" t="str">
        <f ca="1">IFERROR(__xludf.DUMMYFUNCTION("""COMPUTED_VALUE"""),"No")</f>
        <v>No</v>
      </c>
      <c r="AC2036" s="5" t="str">
        <f ca="1">IFERROR(__xludf.DUMMYFUNCTION("""COMPUTED_VALUE"""),"No")</f>
        <v>No</v>
      </c>
      <c r="AD2036" s="5" t="str">
        <f ca="1">IFERROR(__xludf.DUMMYFUNCTION("""COMPUTED_VALUE"""),"No")</f>
        <v>No</v>
      </c>
      <c r="AE2036" s="5" t="str">
        <f ca="1">IFERROR(__xludf.DUMMYFUNCTION("""COMPUTED_VALUE"""),"No")</f>
        <v>No</v>
      </c>
      <c r="AF2036" s="5" t="str">
        <f ca="1">IFERROR(__xludf.DUMMYFUNCTION("""COMPUTED_VALUE"""),"No")</f>
        <v>No</v>
      </c>
      <c r="AG2036" s="5" t="str">
        <f ca="1">IFERROR(__xludf.DUMMYFUNCTION("""COMPUTED_VALUE"""),"No")</f>
        <v>No</v>
      </c>
      <c r="AH2036" s="5" t="str">
        <f ca="1">IFERROR(__xludf.DUMMYFUNCTION("""COMPUTED_VALUE"""),"Yes")</f>
        <v>Yes</v>
      </c>
    </row>
    <row r="2037" spans="1:34" ht="12.75">
      <c r="A2037" s="5" t="str">
        <f ca="1">IFERROR(__xludf.DUMMYFUNCTION("""COMPUTED_VALUE"""),"19731023MOSUS")</f>
        <v>19731023MOSUS</v>
      </c>
      <c r="B2037" s="8">
        <f ca="1">IFERROR(__xludf.DUMMYFUNCTION("""COMPUTED_VALUE"""),26960)</f>
        <v>26960</v>
      </c>
      <c r="C2037" s="5" t="str">
        <f ca="1">IFERROR(__xludf.DUMMYFUNCTION("""COMPUTED_VALUE"""),"Sumner High School")</f>
        <v>Sumner High School</v>
      </c>
      <c r="D2037" s="5">
        <f ca="1">IFERROR(__xludf.DUMMYFUNCTION("""COMPUTED_VALUE"""),0)</f>
        <v>0</v>
      </c>
      <c r="E2037" s="5">
        <f ca="1">IFERROR(__xludf.DUMMYFUNCTION("""COMPUTED_VALUE"""),1)</f>
        <v>1</v>
      </c>
      <c r="F2037" s="5">
        <f ca="1">IFERROR(__xludf.DUMMYFUNCTION("""COMPUTED_VALUE"""),1)</f>
        <v>1</v>
      </c>
      <c r="G2037" s="5">
        <f ca="1">IFERROR(__xludf.DUMMYFUNCTION("""COMPUTED_VALUE"""),0)</f>
        <v>0</v>
      </c>
      <c r="H2037"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I2037" s="5"/>
      <c r="J2037" s="5"/>
      <c r="K2037" s="5">
        <f ca="1">IFERROR(__xludf.DUMMYFUNCTION("""COMPUTED_VALUE"""),2)</f>
        <v>2</v>
      </c>
      <c r="L2037" s="5" t="str">
        <f ca="1">IFERROR(__xludf.DUMMYFUNCTION("""COMPUTED_VALUE"""),"Fall")</f>
        <v>Fall</v>
      </c>
      <c r="M2037" s="5" t="str">
        <f ca="1">IFERROR(__xludf.DUMMYFUNCTION("""COMPUTED_VALUE"""),"St. Louis")</f>
        <v>St. Louis</v>
      </c>
      <c r="N2037" s="5" t="str">
        <f ca="1">IFERROR(__xludf.DUMMYFUNCTION("""COMPUTED_VALUE"""),"MO")</f>
        <v>MO</v>
      </c>
      <c r="O2037" s="5" t="str">
        <f ca="1">IFERROR(__xludf.DUMMYFUNCTION("""COMPUTED_VALUE"""),"High")</f>
        <v>High</v>
      </c>
      <c r="P2037" s="5" t="str">
        <f ca="1">IFERROR(__xludf.DUMMYFUNCTION("""COMPUTED_VALUE"""),"Parking Lot")</f>
        <v>Parking Lot</v>
      </c>
      <c r="Q2037" s="5" t="str">
        <f ca="1">IFERROR(__xludf.DUMMYFUNCTION("""COMPUTED_VALUE"""),"Outside on School Property")</f>
        <v>Outside on School Property</v>
      </c>
      <c r="R2037" s="5" t="str">
        <f ca="1">IFERROR(__xludf.DUMMYFUNCTION("""COMPUTED_VALUE"""),"Yes")</f>
        <v>Yes</v>
      </c>
      <c r="S2037" s="5" t="str">
        <f ca="1">IFERROR(__xludf.DUMMYFUNCTION("""COMPUTED_VALUE"""),"Afternoon Classes")</f>
        <v>Afternoon Classes</v>
      </c>
      <c r="T2037" s="10">
        <f ca="1">IFERROR(__xludf.DUMMYFUNCTION("""COMPUTED_VALUE"""),0.541666666666666)</f>
        <v>0.54166666666666596</v>
      </c>
      <c r="U2037" s="5">
        <f ca="1">IFERROR(__xludf.DUMMYFUNCTION("""COMPUTED_VALUE"""),1)</f>
        <v>1</v>
      </c>
      <c r="V2037" s="5" t="str">
        <f ca="1">IFERROR(__xludf.DUMMYFUNCTION("""COMPUTED_VALUE"""),"Escalation of gang violence between two groups")</f>
        <v>Escalation of gang violence between two groups</v>
      </c>
      <c r="W2037"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X2037" s="5" t="str">
        <f ca="1">IFERROR(__xludf.DUMMYFUNCTION("""COMPUTED_VALUE"""),"Escalation of Dispute")</f>
        <v>Escalation of Dispute</v>
      </c>
      <c r="Y2037" s="5" t="str">
        <f ca="1">IFERROR(__xludf.DUMMYFUNCTION("""COMPUTED_VALUE"""),"Random Shooting")</f>
        <v>Random Shooting</v>
      </c>
      <c r="Z2037" s="5" t="str">
        <f ca="1">IFERROR(__xludf.DUMMYFUNCTION("""COMPUTED_VALUE"""),"Yes")</f>
        <v>Yes</v>
      </c>
      <c r="AA2037" s="5" t="str">
        <f ca="1">IFERROR(__xludf.DUMMYFUNCTION("""COMPUTED_VALUE"""),"Darrell Rice (17) driver of vehicle shotgun was shot from.")</f>
        <v>Darrell Rice (17) driver of vehicle shotgun was shot from.</v>
      </c>
      <c r="AB2037" s="5" t="str">
        <f ca="1">IFERROR(__xludf.DUMMYFUNCTION("""COMPUTED_VALUE"""),"No")</f>
        <v>No</v>
      </c>
      <c r="AC2037" s="5" t="str">
        <f ca="1">IFERROR(__xludf.DUMMYFUNCTION("""COMPUTED_VALUE"""),"No")</f>
        <v>No</v>
      </c>
      <c r="AD2037" s="5" t="str">
        <f ca="1">IFERROR(__xludf.DUMMYFUNCTION("""COMPUTED_VALUE"""),"No")</f>
        <v>No</v>
      </c>
      <c r="AE2037" s="5" t="str">
        <f ca="1">IFERROR(__xludf.DUMMYFUNCTION("""COMPUTED_VALUE"""),"No")</f>
        <v>No</v>
      </c>
      <c r="AF2037" s="5" t="str">
        <f ca="1">IFERROR(__xludf.DUMMYFUNCTION("""COMPUTED_VALUE"""),"No")</f>
        <v>No</v>
      </c>
      <c r="AG2037" s="5" t="str">
        <f ca="1">IFERROR(__xludf.DUMMYFUNCTION("""COMPUTED_VALUE"""),"Yes")</f>
        <v>Yes</v>
      </c>
      <c r="AH2037" s="5"/>
    </row>
    <row r="2038" spans="1:34" ht="12.75">
      <c r="A2038" s="5" t="str">
        <f ca="1">IFERROR(__xludf.DUMMYFUNCTION("""COMPUTED_VALUE"""),"19731019MOBES")</f>
        <v>19731019MOBES</v>
      </c>
      <c r="B2038" s="8">
        <f ca="1">IFERROR(__xludf.DUMMYFUNCTION("""COMPUTED_VALUE"""),26956)</f>
        <v>26956</v>
      </c>
      <c r="C2038" s="5" t="str">
        <f ca="1">IFERROR(__xludf.DUMMYFUNCTION("""COMPUTED_VALUE"""),"Beaumont High School")</f>
        <v>Beaumont High School</v>
      </c>
      <c r="D2038" s="5">
        <f ca="1">IFERROR(__xludf.DUMMYFUNCTION("""COMPUTED_VALUE"""),1)</f>
        <v>1</v>
      </c>
      <c r="E2038" s="5">
        <f ca="1">IFERROR(__xludf.DUMMYFUNCTION("""COMPUTED_VALUE"""),0)</f>
        <v>0</v>
      </c>
      <c r="F2038" s="5">
        <f ca="1">IFERROR(__xludf.DUMMYFUNCTION("""COMPUTED_VALUE"""),1)</f>
        <v>1</v>
      </c>
      <c r="G2038" s="5">
        <f ca="1">IFERROR(__xludf.DUMMYFUNCTION("""COMPUTED_VALUE"""),0)</f>
        <v>0</v>
      </c>
      <c r="H2038"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I2038" s="5"/>
      <c r="J2038" s="5"/>
      <c r="K2038" s="5">
        <f ca="1">IFERROR(__xludf.DUMMYFUNCTION("""COMPUTED_VALUE"""),2)</f>
        <v>2</v>
      </c>
      <c r="L2038" s="5" t="str">
        <f ca="1">IFERROR(__xludf.DUMMYFUNCTION("""COMPUTED_VALUE"""),"Fall")</f>
        <v>Fall</v>
      </c>
      <c r="M2038" s="5" t="str">
        <f ca="1">IFERROR(__xludf.DUMMYFUNCTION("""COMPUTED_VALUE"""),"St. Louis")</f>
        <v>St. Louis</v>
      </c>
      <c r="N2038" s="5" t="str">
        <f ca="1">IFERROR(__xludf.DUMMYFUNCTION("""COMPUTED_VALUE"""),"MO")</f>
        <v>MO</v>
      </c>
      <c r="O2038" s="5" t="str">
        <f ca="1">IFERROR(__xludf.DUMMYFUNCTION("""COMPUTED_VALUE"""),"High")</f>
        <v>High</v>
      </c>
      <c r="P2038" s="5" t="str">
        <f ca="1">IFERROR(__xludf.DUMMYFUNCTION("""COMPUTED_VALUE"""),"Inside School Building")</f>
        <v>Inside School Building</v>
      </c>
      <c r="Q2038" s="5" t="str">
        <f ca="1">IFERROR(__xludf.DUMMYFUNCTION("""COMPUTED_VALUE"""),"Inside School Building")</f>
        <v>Inside School Building</v>
      </c>
      <c r="R2038" s="5" t="str">
        <f ca="1">IFERROR(__xludf.DUMMYFUNCTION("""COMPUTED_VALUE"""),"Yes")</f>
        <v>Yes</v>
      </c>
      <c r="S2038" s="5" t="str">
        <f ca="1">IFERROR(__xludf.DUMMYFUNCTION("""COMPUTED_VALUE"""),"Dismissal")</f>
        <v>Dismissal</v>
      </c>
      <c r="T2038" s="5"/>
      <c r="U2038" s="5"/>
      <c r="V2038" s="5" t="str">
        <f ca="1">IFERROR(__xludf.DUMMYFUNCTION("""COMPUTED_VALUE"""),"Shooting occurred after an earlier fight between two groups of students")</f>
        <v>Shooting occurred after an earlier fight between two groups of students</v>
      </c>
      <c r="W2038" s="5" t="str">
        <f ca="1">IFERROR(__xludf.DUMMYFUNCTION("""COMPUTED_VALUE"""),"Gang violence. Unclear if victim was intended target")</f>
        <v>Gang violence. Unclear if victim was intended target</v>
      </c>
      <c r="X2038" s="5" t="str">
        <f ca="1">IFERROR(__xludf.DUMMYFUNCTION("""COMPUTED_VALUE"""),"Escalation of Dispute")</f>
        <v>Escalation of Dispute</v>
      </c>
      <c r="Y2038" s="5"/>
      <c r="Z2038" s="5" t="str">
        <f ca="1">IFERROR(__xludf.DUMMYFUNCTION("""COMPUTED_VALUE"""),"No")</f>
        <v>No</v>
      </c>
      <c r="AA2038" s="5"/>
      <c r="AB2038" s="5" t="str">
        <f ca="1">IFERROR(__xludf.DUMMYFUNCTION("""COMPUTED_VALUE"""),"No")</f>
        <v>No</v>
      </c>
      <c r="AC2038" s="5" t="str">
        <f ca="1">IFERROR(__xludf.DUMMYFUNCTION("""COMPUTED_VALUE"""),"No")</f>
        <v>No</v>
      </c>
      <c r="AD2038" s="5" t="str">
        <f ca="1">IFERROR(__xludf.DUMMYFUNCTION("""COMPUTED_VALUE"""),"No")</f>
        <v>No</v>
      </c>
      <c r="AE2038" s="5" t="str">
        <f ca="1">IFERROR(__xludf.DUMMYFUNCTION("""COMPUTED_VALUE"""),"No")</f>
        <v>No</v>
      </c>
      <c r="AF2038" s="5" t="str">
        <f ca="1">IFERROR(__xludf.DUMMYFUNCTION("""COMPUTED_VALUE"""),"No")</f>
        <v>No</v>
      </c>
      <c r="AG2038" s="5" t="str">
        <f ca="1">IFERROR(__xludf.DUMMYFUNCTION("""COMPUTED_VALUE"""),"Yes")</f>
        <v>Yes</v>
      </c>
      <c r="AH2038" s="5"/>
    </row>
    <row r="2039" spans="1:34" ht="12.75">
      <c r="A2039" s="5" t="str">
        <f ca="1">IFERROR(__xludf.DUMMYFUNCTION("""COMPUTED_VALUE"""),"19731002ILELA")</f>
        <v>19731002ILELA</v>
      </c>
      <c r="B2039" s="8">
        <f ca="1">IFERROR(__xludf.DUMMYFUNCTION("""COMPUTED_VALUE"""),26939)</f>
        <v>26939</v>
      </c>
      <c r="C2039" s="5" t="str">
        <f ca="1">IFERROR(__xludf.DUMMYFUNCTION("""COMPUTED_VALUE"""),"Elmhurst Wood Park Community High School")</f>
        <v>Elmhurst Wood Park Community High School</v>
      </c>
      <c r="D2039" s="5">
        <f ca="1">IFERROR(__xludf.DUMMYFUNCTION("""COMPUTED_VALUE"""),1)</f>
        <v>1</v>
      </c>
      <c r="E2039" s="5">
        <f ca="1">IFERROR(__xludf.DUMMYFUNCTION("""COMPUTED_VALUE"""),0)</f>
        <v>0</v>
      </c>
      <c r="F2039" s="5">
        <f ca="1">IFERROR(__xludf.DUMMYFUNCTION("""COMPUTED_VALUE"""),1)</f>
        <v>1</v>
      </c>
      <c r="G2039" s="5">
        <f ca="1">IFERROR(__xludf.DUMMYFUNCTION("""COMPUTED_VALUE"""),1)</f>
        <v>1</v>
      </c>
      <c r="H2039" s="9" t="str">
        <f ca="1">IFERROR(__xludf.DUMMYFUNCTION("""COMPUTED_VALUE"""),"https://www.newspapers.com/image/94426366/?terms=school%2Bshooting")</f>
        <v>https://www.newspapers.com/image/94426366/?terms=school%2Bshooting</v>
      </c>
      <c r="I2039" s="5"/>
      <c r="J2039" s="5"/>
      <c r="K2039" s="5">
        <f ca="1">IFERROR(__xludf.DUMMYFUNCTION("""COMPUTED_VALUE"""),2)</f>
        <v>2</v>
      </c>
      <c r="L2039" s="5" t="str">
        <f ca="1">IFERROR(__xludf.DUMMYFUNCTION("""COMPUTED_VALUE"""),"Fall")</f>
        <v>Fall</v>
      </c>
      <c r="M2039" s="5" t="str">
        <f ca="1">IFERROR(__xludf.DUMMYFUNCTION("""COMPUTED_VALUE"""),"Almwood Park")</f>
        <v>Almwood Park</v>
      </c>
      <c r="N2039" s="5" t="str">
        <f ca="1">IFERROR(__xludf.DUMMYFUNCTION("""COMPUTED_VALUE"""),"IL")</f>
        <v>IL</v>
      </c>
      <c r="O2039" s="5" t="str">
        <f ca="1">IFERROR(__xludf.DUMMYFUNCTION("""COMPUTED_VALUE"""),"High")</f>
        <v>High</v>
      </c>
      <c r="P2039" s="5" t="str">
        <f ca="1">IFERROR(__xludf.DUMMYFUNCTION("""COMPUTED_VALUE"""),"Hallway; Beside Building")</f>
        <v>Hallway; Beside Building</v>
      </c>
      <c r="Q2039" s="5" t="str">
        <f ca="1">IFERROR(__xludf.DUMMYFUNCTION("""COMPUTED_VALUE"""),"Both Inside/Outside")</f>
        <v>Both Inside/Outside</v>
      </c>
      <c r="R2039" s="5" t="str">
        <f ca="1">IFERROR(__xludf.DUMMYFUNCTION("""COMPUTED_VALUE"""),"Yes")</f>
        <v>Yes</v>
      </c>
      <c r="S2039" s="5" t="str">
        <f ca="1">IFERROR(__xludf.DUMMYFUNCTION("""COMPUTED_VALUE"""),"Afternoon Classes")</f>
        <v>Afternoon Classes</v>
      </c>
      <c r="T2039" s="5"/>
      <c r="U2039" s="5">
        <f ca="1">IFERROR(__xludf.DUMMYFUNCTION("""COMPUTED_VALUE"""),1)</f>
        <v>1</v>
      </c>
      <c r="V2039" s="5" t="str">
        <f ca="1">IFERROR(__xludf.DUMMYFUNCTION("""COMPUTED_VALUE"""),"Shot victim 4 times in hallway, fled the area, and shot himself outside school")</f>
        <v>Shot victim 4 times in hallway, fled the area, and shot himself outside school</v>
      </c>
      <c r="W2039"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X2039" s="5" t="str">
        <f ca="1">IFERROR(__xludf.DUMMYFUNCTION("""COMPUTED_VALUE"""),"Murder/Suicide")</f>
        <v>Murder/Suicide</v>
      </c>
      <c r="Y2039" s="5" t="str">
        <f ca="1">IFERROR(__xludf.DUMMYFUNCTION("""COMPUTED_VALUE"""),"Victims Targeted")</f>
        <v>Victims Targeted</v>
      </c>
      <c r="Z2039" s="5" t="str">
        <f ca="1">IFERROR(__xludf.DUMMYFUNCTION("""COMPUTED_VALUE"""),"No")</f>
        <v>No</v>
      </c>
      <c r="AA2039" s="5"/>
      <c r="AB2039" s="5" t="str">
        <f ca="1">IFERROR(__xludf.DUMMYFUNCTION("""COMPUTED_VALUE"""),"No")</f>
        <v>No</v>
      </c>
      <c r="AC2039" s="5" t="str">
        <f ca="1">IFERROR(__xludf.DUMMYFUNCTION("""COMPUTED_VALUE"""),"No")</f>
        <v>No</v>
      </c>
      <c r="AD2039" s="5" t="str">
        <f ca="1">IFERROR(__xludf.DUMMYFUNCTION("""COMPUTED_VALUE"""),"No")</f>
        <v>No</v>
      </c>
      <c r="AE2039" s="5" t="str">
        <f ca="1">IFERROR(__xludf.DUMMYFUNCTION("""COMPUTED_VALUE"""),"No")</f>
        <v>No</v>
      </c>
      <c r="AF2039" s="5" t="str">
        <f ca="1">IFERROR(__xludf.DUMMYFUNCTION("""COMPUTED_VALUE"""),"Yes")</f>
        <v>Yes</v>
      </c>
      <c r="AG2039" s="5" t="str">
        <f ca="1">IFERROR(__xludf.DUMMYFUNCTION("""COMPUTED_VALUE"""),"No")</f>
        <v>No</v>
      </c>
      <c r="AH2039" s="5" t="str">
        <f ca="1">IFERROR(__xludf.DUMMYFUNCTION("""COMPUTED_VALUE"""),"Yes")</f>
        <v>Yes</v>
      </c>
    </row>
    <row r="2040" spans="1:34" ht="12.75">
      <c r="A2040" s="5" t="str">
        <f ca="1">IFERROR(__xludf.DUMMYFUNCTION("""COMPUTED_VALUE"""),"19730928CAWIL")</f>
        <v>19730928CAWIL</v>
      </c>
      <c r="B2040" s="8">
        <f ca="1">IFERROR(__xludf.DUMMYFUNCTION("""COMPUTED_VALUE"""),26935)</f>
        <v>26935</v>
      </c>
      <c r="C2040" s="5" t="str">
        <f ca="1">IFERROR(__xludf.DUMMYFUNCTION("""COMPUTED_VALUE"""),"Wilson High School")</f>
        <v>Wilson High School</v>
      </c>
      <c r="D2040" s="5">
        <f ca="1">IFERROR(__xludf.DUMMYFUNCTION("""COMPUTED_VALUE"""),0)</f>
        <v>0</v>
      </c>
      <c r="E2040" s="5">
        <f ca="1">IFERROR(__xludf.DUMMYFUNCTION("""COMPUTED_VALUE"""),3)</f>
        <v>3</v>
      </c>
      <c r="F2040" s="5">
        <f ca="1">IFERROR(__xludf.DUMMYFUNCTION("""COMPUTED_VALUE"""),3)</f>
        <v>3</v>
      </c>
      <c r="G2040" s="5">
        <f ca="1">IFERROR(__xludf.DUMMYFUNCTION("""COMPUTED_VALUE"""),0)</f>
        <v>0</v>
      </c>
      <c r="H2040" s="9" t="str">
        <f ca="1">IFERROR(__xludf.DUMMYFUNCTION("""COMPUTED_VALUE"""),"https://www.newspapers.com/image/381696060/?terms=school%2Bshooting")</f>
        <v>https://www.newspapers.com/image/381696060/?terms=school%2Bshooting</v>
      </c>
      <c r="I2040" s="5"/>
      <c r="J2040" s="5"/>
      <c r="K2040" s="5">
        <f ca="1">IFERROR(__xludf.DUMMYFUNCTION("""COMPUTED_VALUE"""),2)</f>
        <v>2</v>
      </c>
      <c r="L2040" s="5" t="str">
        <f ca="1">IFERROR(__xludf.DUMMYFUNCTION("""COMPUTED_VALUE"""),"Fall")</f>
        <v>Fall</v>
      </c>
      <c r="M2040" s="5" t="str">
        <f ca="1">IFERROR(__xludf.DUMMYFUNCTION("""COMPUTED_VALUE"""),"Los Angeles")</f>
        <v>Los Angeles</v>
      </c>
      <c r="N2040" s="5" t="str">
        <f ca="1">IFERROR(__xludf.DUMMYFUNCTION("""COMPUTED_VALUE"""),"CA")</f>
        <v>CA</v>
      </c>
      <c r="O2040" s="5" t="str">
        <f ca="1">IFERROR(__xludf.DUMMYFUNCTION("""COMPUTED_VALUE"""),"High")</f>
        <v>High</v>
      </c>
      <c r="P2040" s="5" t="str">
        <f ca="1">IFERROR(__xludf.DUMMYFUNCTION("""COMPUTED_VALUE"""),"Beside Building")</f>
        <v>Beside Building</v>
      </c>
      <c r="Q2040" s="5" t="str">
        <f ca="1">IFERROR(__xludf.DUMMYFUNCTION("""COMPUTED_VALUE"""),"Outside on School Property")</f>
        <v>Outside on School Property</v>
      </c>
      <c r="R2040" s="5" t="str">
        <f ca="1">IFERROR(__xludf.DUMMYFUNCTION("""COMPUTED_VALUE"""),"Yes")</f>
        <v>Yes</v>
      </c>
      <c r="S2040" s="5" t="str">
        <f ca="1">IFERROR(__xludf.DUMMYFUNCTION("""COMPUTED_VALUE"""),"Morning Classes")</f>
        <v>Morning Classes</v>
      </c>
      <c r="T2040" s="10">
        <f ca="1">IFERROR(__xludf.DUMMYFUNCTION("""COMPUTED_VALUE"""),0.4375)</f>
        <v>0.4375</v>
      </c>
      <c r="U2040" s="5">
        <f ca="1">IFERROR(__xludf.DUMMYFUNCTION("""COMPUTED_VALUE"""),1)</f>
        <v>1</v>
      </c>
      <c r="V2040" s="5" t="str">
        <f ca="1">IFERROR(__xludf.DUMMYFUNCTION("""COMPUTED_VALUE"""),"Shooter beaten by victims the previous day, pulled gun during fight")</f>
        <v>Shooter beaten by victims the previous day, pulled gun during fight</v>
      </c>
      <c r="W2040"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X2040" s="5" t="str">
        <f ca="1">IFERROR(__xludf.DUMMYFUNCTION("""COMPUTED_VALUE"""),"Escalation of Dispute")</f>
        <v>Escalation of Dispute</v>
      </c>
      <c r="Y2040" s="5" t="str">
        <f ca="1">IFERROR(__xludf.DUMMYFUNCTION("""COMPUTED_VALUE"""),"Victims Targeted")</f>
        <v>Victims Targeted</v>
      </c>
      <c r="Z2040" s="5" t="str">
        <f ca="1">IFERROR(__xludf.DUMMYFUNCTION("""COMPUTED_VALUE"""),"No")</f>
        <v>No</v>
      </c>
      <c r="AA2040" s="5"/>
      <c r="AB2040" s="5" t="str">
        <f ca="1">IFERROR(__xludf.DUMMYFUNCTION("""COMPUTED_VALUE"""),"No")</f>
        <v>No</v>
      </c>
      <c r="AC2040" s="5" t="str">
        <f ca="1">IFERROR(__xludf.DUMMYFUNCTION("""COMPUTED_VALUE"""),"No")</f>
        <v>No</v>
      </c>
      <c r="AD2040" s="5" t="str">
        <f ca="1">IFERROR(__xludf.DUMMYFUNCTION("""COMPUTED_VALUE"""),"No")</f>
        <v>No</v>
      </c>
      <c r="AE2040" s="5" t="str">
        <f ca="1">IFERROR(__xludf.DUMMYFUNCTION("""COMPUTED_VALUE"""),"No")</f>
        <v>No</v>
      </c>
      <c r="AF2040" s="5" t="str">
        <f ca="1">IFERROR(__xludf.DUMMYFUNCTION("""COMPUTED_VALUE"""),"No")</f>
        <v>No</v>
      </c>
      <c r="AG2040" s="5" t="str">
        <f ca="1">IFERROR(__xludf.DUMMYFUNCTION("""COMPUTED_VALUE"""),"No")</f>
        <v>No</v>
      </c>
      <c r="AH2040" s="5"/>
    </row>
    <row r="2041" spans="1:34" ht="12.75">
      <c r="A2041" s="5" t="str">
        <f ca="1">IFERROR(__xludf.DUMMYFUNCTION("""COMPUTED_VALUE"""),"19730501OHRAY")</f>
        <v>19730501OHRAY</v>
      </c>
      <c r="B2041" s="8">
        <f ca="1">IFERROR(__xludf.DUMMYFUNCTION("""COMPUTED_VALUE"""),26785)</f>
        <v>26785</v>
      </c>
      <c r="C2041" s="5" t="str">
        <f ca="1">IFERROR(__xludf.DUMMYFUNCTION("""COMPUTED_VALUE"""),"Rayen High School")</f>
        <v>Rayen High School</v>
      </c>
      <c r="D2041" s="5">
        <f ca="1">IFERROR(__xludf.DUMMYFUNCTION("""COMPUTED_VALUE"""),0)</f>
        <v>0</v>
      </c>
      <c r="E2041" s="5">
        <f ca="1">IFERROR(__xludf.DUMMYFUNCTION("""COMPUTED_VALUE"""),3)</f>
        <v>3</v>
      </c>
      <c r="F2041" s="5">
        <f ca="1">IFERROR(__xludf.DUMMYFUNCTION("""COMPUTED_VALUE"""),3)</f>
        <v>3</v>
      </c>
      <c r="G2041" s="5">
        <f ca="1">IFERROR(__xludf.DUMMYFUNCTION("""COMPUTED_VALUE"""),0)</f>
        <v>0</v>
      </c>
      <c r="H2041" s="9" t="str">
        <f ca="1">IFERROR(__xludf.DUMMYFUNCTION("""COMPUTED_VALUE"""),"https://www.newspapers.com/image/43038797/?terms=student%2Bshot")</f>
        <v>https://www.newspapers.com/image/43038797/?terms=student%2Bshot</v>
      </c>
      <c r="I2041" s="5"/>
      <c r="J2041" s="5"/>
      <c r="K2041" s="5">
        <f ca="1">IFERROR(__xludf.DUMMYFUNCTION("""COMPUTED_VALUE"""),2)</f>
        <v>2</v>
      </c>
      <c r="L2041" s="5" t="str">
        <f ca="1">IFERROR(__xludf.DUMMYFUNCTION("""COMPUTED_VALUE"""),"Spring")</f>
        <v>Spring</v>
      </c>
      <c r="M2041" s="5" t="str">
        <f ca="1">IFERROR(__xludf.DUMMYFUNCTION("""COMPUTED_VALUE"""),"Youngtown")</f>
        <v>Youngtown</v>
      </c>
      <c r="N2041" s="5" t="str">
        <f ca="1">IFERROR(__xludf.DUMMYFUNCTION("""COMPUTED_VALUE"""),"OH")</f>
        <v>OH</v>
      </c>
      <c r="O2041" s="5" t="str">
        <f ca="1">IFERROR(__xludf.DUMMYFUNCTION("""COMPUTED_VALUE"""),"High")</f>
        <v>High</v>
      </c>
      <c r="P2041" s="5" t="str">
        <f ca="1">IFERROR(__xludf.DUMMYFUNCTION("""COMPUTED_VALUE"""),"Parking Lot")</f>
        <v>Parking Lot</v>
      </c>
      <c r="Q2041" s="5" t="str">
        <f ca="1">IFERROR(__xludf.DUMMYFUNCTION("""COMPUTED_VALUE"""),"Outside on School Property")</f>
        <v>Outside on School Property</v>
      </c>
      <c r="R2041" s="5" t="str">
        <f ca="1">IFERROR(__xludf.DUMMYFUNCTION("""COMPUTED_VALUE"""),"Yes")</f>
        <v>Yes</v>
      </c>
      <c r="S2041" s="5"/>
      <c r="T2041" s="5"/>
      <c r="U2041" s="5">
        <f ca="1">IFERROR(__xludf.DUMMYFUNCTION("""COMPUTED_VALUE"""),1)</f>
        <v>1</v>
      </c>
      <c r="V2041" s="5" t="str">
        <f ca="1">IFERROR(__xludf.DUMMYFUNCTION("""COMPUTED_VALUE"""),"Argument over a girl")</f>
        <v>Argument over a girl</v>
      </c>
      <c r="W2041" s="5" t="str">
        <f ca="1">IFERROR(__xludf.DUMMYFUNCTION("""COMPUTED_VALUE"""),"Shooter shot two boys and a girl stemming from argument about a girl. Took place in school parking lot")</f>
        <v>Shooter shot two boys and a girl stemming from argument about a girl. Took place in school parking lot</v>
      </c>
      <c r="X2041" s="5" t="str">
        <f ca="1">IFERROR(__xludf.DUMMYFUNCTION("""COMPUTED_VALUE"""),"Escalation of Dispute")</f>
        <v>Escalation of Dispute</v>
      </c>
      <c r="Y2041" s="5" t="str">
        <f ca="1">IFERROR(__xludf.DUMMYFUNCTION("""COMPUTED_VALUE"""),"Victims Targeted")</f>
        <v>Victims Targeted</v>
      </c>
      <c r="Z2041" s="5" t="str">
        <f ca="1">IFERROR(__xludf.DUMMYFUNCTION("""COMPUTED_VALUE"""),"No")</f>
        <v>No</v>
      </c>
      <c r="AA2041" s="5"/>
      <c r="AB2041" s="5" t="str">
        <f ca="1">IFERROR(__xludf.DUMMYFUNCTION("""COMPUTED_VALUE"""),"No")</f>
        <v>No</v>
      </c>
      <c r="AC2041" s="5" t="str">
        <f ca="1">IFERROR(__xludf.DUMMYFUNCTION("""COMPUTED_VALUE"""),"No")</f>
        <v>No</v>
      </c>
      <c r="AD2041" s="5" t="str">
        <f ca="1">IFERROR(__xludf.DUMMYFUNCTION("""COMPUTED_VALUE"""),"No")</f>
        <v>No</v>
      </c>
      <c r="AE2041" s="5" t="str">
        <f ca="1">IFERROR(__xludf.DUMMYFUNCTION("""COMPUTED_VALUE"""),"No")</f>
        <v>No</v>
      </c>
      <c r="AF2041" s="5" t="str">
        <f ca="1">IFERROR(__xludf.DUMMYFUNCTION("""COMPUTED_VALUE"""),"No")</f>
        <v>No</v>
      </c>
      <c r="AG2041" s="5" t="str">
        <f ca="1">IFERROR(__xludf.DUMMYFUNCTION("""COMPUTED_VALUE"""),"No")</f>
        <v>No</v>
      </c>
      <c r="AH2041" s="5"/>
    </row>
    <row r="2042" spans="1:34" ht="12.75">
      <c r="A2042" s="5" t="str">
        <f ca="1">IFERROR(__xludf.DUMMYFUNCTION("""COMPUTED_VALUE"""),"19730405CALOL")</f>
        <v>19730405CALOL</v>
      </c>
      <c r="B2042" s="8">
        <f ca="1">IFERROR(__xludf.DUMMYFUNCTION("""COMPUTED_VALUE"""),26759)</f>
        <v>26759</v>
      </c>
      <c r="C2042" s="5" t="str">
        <f ca="1">IFERROR(__xludf.DUMMYFUNCTION("""COMPUTED_VALUE"""),"Locke High School")</f>
        <v>Locke High School</v>
      </c>
      <c r="D2042" s="5">
        <f ca="1">IFERROR(__xludf.DUMMYFUNCTION("""COMPUTED_VALUE"""),0)</f>
        <v>0</v>
      </c>
      <c r="E2042" s="5">
        <f ca="1">IFERROR(__xludf.DUMMYFUNCTION("""COMPUTED_VALUE"""),2)</f>
        <v>2</v>
      </c>
      <c r="F2042" s="5">
        <f ca="1">IFERROR(__xludf.DUMMYFUNCTION("""COMPUTED_VALUE"""),2)</f>
        <v>2</v>
      </c>
      <c r="G2042" s="5">
        <f ca="1">IFERROR(__xludf.DUMMYFUNCTION("""COMPUTED_VALUE"""),0)</f>
        <v>0</v>
      </c>
      <c r="H2042" s="9" t="str">
        <f ca="1">IFERROR(__xludf.DUMMYFUNCTION("""COMPUTED_VALUE"""),"https://www.newspapers.com/image/37911464/?terms=school%2Bshooting")</f>
        <v>https://www.newspapers.com/image/37911464/?terms=school%2Bshooting</v>
      </c>
      <c r="I2042" s="5"/>
      <c r="J2042" s="5"/>
      <c r="K2042" s="5">
        <f ca="1">IFERROR(__xludf.DUMMYFUNCTION("""COMPUTED_VALUE"""),2)</f>
        <v>2</v>
      </c>
      <c r="L2042" s="5" t="str">
        <f ca="1">IFERROR(__xludf.DUMMYFUNCTION("""COMPUTED_VALUE"""),"Spring")</f>
        <v>Spring</v>
      </c>
      <c r="M2042" s="5" t="str">
        <f ca="1">IFERROR(__xludf.DUMMYFUNCTION("""COMPUTED_VALUE"""),"Los Angeles")</f>
        <v>Los Angeles</v>
      </c>
      <c r="N2042" s="5" t="str">
        <f ca="1">IFERROR(__xludf.DUMMYFUNCTION("""COMPUTED_VALUE"""),"CA")</f>
        <v>CA</v>
      </c>
      <c r="O2042" s="5" t="str">
        <f ca="1">IFERROR(__xludf.DUMMYFUNCTION("""COMPUTED_VALUE"""),"High")</f>
        <v>High</v>
      </c>
      <c r="P2042" s="5" t="str">
        <f ca="1">IFERROR(__xludf.DUMMYFUNCTION("""COMPUTED_VALUE"""),"ND")</f>
        <v>ND</v>
      </c>
      <c r="Q2042" s="5" t="str">
        <f ca="1">IFERROR(__xludf.DUMMYFUNCTION("""COMPUTED_VALUE"""),"ND")</f>
        <v>ND</v>
      </c>
      <c r="R2042" s="5" t="str">
        <f ca="1">IFERROR(__xludf.DUMMYFUNCTION("""COMPUTED_VALUE"""),"Yes")</f>
        <v>Yes</v>
      </c>
      <c r="S2042" s="5"/>
      <c r="T2042" s="5"/>
      <c r="U2042" s="5"/>
      <c r="V2042" s="5" t="str">
        <f ca="1">IFERROR(__xludf.DUMMYFUNCTION("""COMPUTED_VALUE"""),"Gang shooting with targeted victims")</f>
        <v>Gang shooting with targeted victims</v>
      </c>
      <c r="W2042" s="5" t="str">
        <f ca="1">IFERROR(__xludf.DUMMYFUNCTION("""COMPUTED_VALUE"""),"Three gang members fired 5 shots at victims.")</f>
        <v>Three gang members fired 5 shots at victims.</v>
      </c>
      <c r="X2042" s="5" t="str">
        <f ca="1">IFERROR(__xludf.DUMMYFUNCTION("""COMPUTED_VALUE"""),"Escalation of Dispute")</f>
        <v>Escalation of Dispute</v>
      </c>
      <c r="Y2042" s="5" t="str">
        <f ca="1">IFERROR(__xludf.DUMMYFUNCTION("""COMPUTED_VALUE"""),"Victims Targeted")</f>
        <v>Victims Targeted</v>
      </c>
      <c r="Z2042" s="5" t="str">
        <f ca="1">IFERROR(__xludf.DUMMYFUNCTION("""COMPUTED_VALUE"""),"Yes")</f>
        <v>Yes</v>
      </c>
      <c r="AA2042" s="5" t="str">
        <f ca="1">IFERROR(__xludf.DUMMYFUNCTION("""COMPUTED_VALUE"""),"Three gang members involved (students)")</f>
        <v>Three gang members involved (students)</v>
      </c>
      <c r="AB2042" s="5" t="str">
        <f ca="1">IFERROR(__xludf.DUMMYFUNCTION("""COMPUTED_VALUE"""),"No")</f>
        <v>No</v>
      </c>
      <c r="AC2042" s="5" t="str">
        <f ca="1">IFERROR(__xludf.DUMMYFUNCTION("""COMPUTED_VALUE"""),"No")</f>
        <v>No</v>
      </c>
      <c r="AD2042" s="5" t="str">
        <f ca="1">IFERROR(__xludf.DUMMYFUNCTION("""COMPUTED_VALUE"""),"No")</f>
        <v>No</v>
      </c>
      <c r="AE2042" s="5" t="str">
        <f ca="1">IFERROR(__xludf.DUMMYFUNCTION("""COMPUTED_VALUE"""),"No")</f>
        <v>No</v>
      </c>
      <c r="AF2042" s="5" t="str">
        <f ca="1">IFERROR(__xludf.DUMMYFUNCTION("""COMPUTED_VALUE"""),"No")</f>
        <v>No</v>
      </c>
      <c r="AG2042" s="5" t="str">
        <f ca="1">IFERROR(__xludf.DUMMYFUNCTION("""COMPUTED_VALUE"""),"Yes")</f>
        <v>Yes</v>
      </c>
      <c r="AH2042" s="5"/>
    </row>
    <row r="2043" spans="1:34" ht="12.75">
      <c r="A2043" s="5" t="str">
        <f ca="1">IFERROR(__xludf.DUMMYFUNCTION("""COMPUTED_VALUE"""),"19730226VAARR")</f>
        <v>19730226VAARR</v>
      </c>
      <c r="B2043" s="8">
        <f ca="1">IFERROR(__xludf.DUMMYFUNCTION("""COMPUTED_VALUE"""),26721)</f>
        <v>26721</v>
      </c>
      <c r="C2043" s="5" t="str">
        <f ca="1">IFERROR(__xludf.DUMMYFUNCTION("""COMPUTED_VALUE"""),"Armstrong High School")</f>
        <v>Armstrong High School</v>
      </c>
      <c r="D2043" s="5">
        <f ca="1">IFERROR(__xludf.DUMMYFUNCTION("""COMPUTED_VALUE"""),1)</f>
        <v>1</v>
      </c>
      <c r="E2043" s="5">
        <f ca="1">IFERROR(__xludf.DUMMYFUNCTION("""COMPUTED_VALUE"""),1)</f>
        <v>1</v>
      </c>
      <c r="F2043" s="5">
        <f ca="1">IFERROR(__xludf.DUMMYFUNCTION("""COMPUTED_VALUE"""),2)</f>
        <v>2</v>
      </c>
      <c r="G2043" s="5">
        <f ca="1">IFERROR(__xludf.DUMMYFUNCTION("""COMPUTED_VALUE"""),0)</f>
        <v>0</v>
      </c>
      <c r="H2043"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I2043" s="5"/>
      <c r="J2043" s="5"/>
      <c r="K2043" s="5">
        <f ca="1">IFERROR(__xludf.DUMMYFUNCTION("""COMPUTED_VALUE"""),2)</f>
        <v>2</v>
      </c>
      <c r="L2043" s="5" t="str">
        <f ca="1">IFERROR(__xludf.DUMMYFUNCTION("""COMPUTED_VALUE"""),"Winter")</f>
        <v>Winter</v>
      </c>
      <c r="M2043" s="5" t="str">
        <f ca="1">IFERROR(__xludf.DUMMYFUNCTION("""COMPUTED_VALUE"""),"Richmond")</f>
        <v>Richmond</v>
      </c>
      <c r="N2043" s="5" t="str">
        <f ca="1">IFERROR(__xludf.DUMMYFUNCTION("""COMPUTED_VALUE"""),"VA")</f>
        <v>VA</v>
      </c>
      <c r="O2043" s="5" t="str">
        <f ca="1">IFERROR(__xludf.DUMMYFUNCTION("""COMPUTED_VALUE"""),"High")</f>
        <v>High</v>
      </c>
      <c r="P2043" s="5" t="str">
        <f ca="1">IFERROR(__xludf.DUMMYFUNCTION("""COMPUTED_VALUE"""),"Inside School Building")</f>
        <v>Inside School Building</v>
      </c>
      <c r="Q2043" s="5" t="str">
        <f ca="1">IFERROR(__xludf.DUMMYFUNCTION("""COMPUTED_VALUE"""),"Inside School Building")</f>
        <v>Inside School Building</v>
      </c>
      <c r="R2043" s="5" t="str">
        <f ca="1">IFERROR(__xludf.DUMMYFUNCTION("""COMPUTED_VALUE"""),"Yes")</f>
        <v>Yes</v>
      </c>
      <c r="S2043" s="5" t="str">
        <f ca="1">IFERROR(__xludf.DUMMYFUNCTION("""COMPUTED_VALUE"""),"School Start")</f>
        <v>School Start</v>
      </c>
      <c r="T2043" s="10">
        <f ca="1">IFERROR(__xludf.DUMMYFUNCTION("""COMPUTED_VALUE"""),0.333333333333333)</f>
        <v>0.33333333333333298</v>
      </c>
      <c r="U2043" s="5">
        <f ca="1">IFERROR(__xludf.DUMMYFUNCTION("""COMPUTED_VALUE"""),1)</f>
        <v>1</v>
      </c>
      <c r="V2043" s="5" t="str">
        <f ca="1">IFERROR(__xludf.DUMMYFUNCTION("""COMPUTED_VALUE"""),"2 students caught between two youths in gun battle over a girl")</f>
        <v>2 students caught between two youths in gun battle over a girl</v>
      </c>
      <c r="W2043"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X2043" s="5" t="str">
        <f ca="1">IFERROR(__xludf.DUMMYFUNCTION("""COMPUTED_VALUE"""),"Escalation of Dispute")</f>
        <v>Escalation of Dispute</v>
      </c>
      <c r="Y2043" s="5" t="str">
        <f ca="1">IFERROR(__xludf.DUMMYFUNCTION("""COMPUTED_VALUE"""),"Random Shooting")</f>
        <v>Random Shooting</v>
      </c>
      <c r="Z2043" s="5" t="str">
        <f ca="1">IFERROR(__xludf.DUMMYFUNCTION("""COMPUTED_VALUE"""),"Yes")</f>
        <v>Yes</v>
      </c>
      <c r="AA2043" s="5" t="str">
        <f ca="1">IFERROR(__xludf.DUMMYFUNCTION("""COMPUTED_VALUE"""),"Two students involved")</f>
        <v>Two students involved</v>
      </c>
      <c r="AB2043" s="5" t="str">
        <f ca="1">IFERROR(__xludf.DUMMYFUNCTION("""COMPUTED_VALUE"""),"No")</f>
        <v>No</v>
      </c>
      <c r="AC2043" s="5" t="str">
        <f ca="1">IFERROR(__xludf.DUMMYFUNCTION("""COMPUTED_VALUE"""),"No")</f>
        <v>No</v>
      </c>
      <c r="AD2043" s="5" t="str">
        <f ca="1">IFERROR(__xludf.DUMMYFUNCTION("""COMPUTED_VALUE"""),"No")</f>
        <v>No</v>
      </c>
      <c r="AE2043" s="5" t="str">
        <f ca="1">IFERROR(__xludf.DUMMYFUNCTION("""COMPUTED_VALUE"""),"No")</f>
        <v>No</v>
      </c>
      <c r="AF2043" s="5" t="str">
        <f ca="1">IFERROR(__xludf.DUMMYFUNCTION("""COMPUTED_VALUE"""),"No")</f>
        <v>No</v>
      </c>
      <c r="AG2043" s="5" t="str">
        <f ca="1">IFERROR(__xludf.DUMMYFUNCTION("""COMPUTED_VALUE"""),"No")</f>
        <v>No</v>
      </c>
      <c r="AH2043" s="5"/>
    </row>
    <row r="2044" spans="1:34" ht="12.75">
      <c r="A2044" s="5" t="str">
        <f ca="1">IFERROR(__xludf.DUMMYFUNCTION("""COMPUTED_VALUE"""),"19730212ALBOM")</f>
        <v>19730212ALBOM</v>
      </c>
      <c r="B2044" s="8">
        <f ca="1">IFERROR(__xludf.DUMMYFUNCTION("""COMPUTED_VALUE"""),26707)</f>
        <v>26707</v>
      </c>
      <c r="C2044" s="5" t="str">
        <f ca="1">IFERROR(__xludf.DUMMYFUNCTION("""COMPUTED_VALUE"""),"Booker T. Washington High School")</f>
        <v>Booker T. Washington High School</v>
      </c>
      <c r="D2044" s="5">
        <f ca="1">IFERROR(__xludf.DUMMYFUNCTION("""COMPUTED_VALUE"""),0)</f>
        <v>0</v>
      </c>
      <c r="E2044" s="5">
        <f ca="1">IFERROR(__xludf.DUMMYFUNCTION("""COMPUTED_VALUE"""),1)</f>
        <v>1</v>
      </c>
      <c r="F2044" s="5">
        <f ca="1">IFERROR(__xludf.DUMMYFUNCTION("""COMPUTED_VALUE"""),1)</f>
        <v>1</v>
      </c>
      <c r="G2044" s="5">
        <f ca="1">IFERROR(__xludf.DUMMYFUNCTION("""COMPUTED_VALUE"""),0)</f>
        <v>0</v>
      </c>
      <c r="H2044" s="9" t="str">
        <f ca="1">IFERROR(__xludf.DUMMYFUNCTION("""COMPUTED_VALUE"""),"https://www.newspapers.com/image/256798541/?terms=school%2Bshooting")</f>
        <v>https://www.newspapers.com/image/256798541/?terms=school%2Bshooting</v>
      </c>
      <c r="I2044" s="5"/>
      <c r="J2044" s="5"/>
      <c r="K2044" s="5">
        <f ca="1">IFERROR(__xludf.DUMMYFUNCTION("""COMPUTED_VALUE"""),2)</f>
        <v>2</v>
      </c>
      <c r="L2044" s="5" t="str">
        <f ca="1">IFERROR(__xludf.DUMMYFUNCTION("""COMPUTED_VALUE"""),"Winter")</f>
        <v>Winter</v>
      </c>
      <c r="M2044" s="5" t="str">
        <f ca="1">IFERROR(__xludf.DUMMYFUNCTION("""COMPUTED_VALUE"""),"Montgomery")</f>
        <v>Montgomery</v>
      </c>
      <c r="N2044" s="5" t="str">
        <f ca="1">IFERROR(__xludf.DUMMYFUNCTION("""COMPUTED_VALUE"""),"AL")</f>
        <v>AL</v>
      </c>
      <c r="O2044" s="5" t="str">
        <f ca="1">IFERROR(__xludf.DUMMYFUNCTION("""COMPUTED_VALUE"""),"High")</f>
        <v>High</v>
      </c>
      <c r="P2044" s="5" t="str">
        <f ca="1">IFERROR(__xludf.DUMMYFUNCTION("""COMPUTED_VALUE"""),"Gym")</f>
        <v>Gym</v>
      </c>
      <c r="Q2044" s="5" t="str">
        <f ca="1">IFERROR(__xludf.DUMMYFUNCTION("""COMPUTED_VALUE"""),"Inside School Building")</f>
        <v>Inside School Building</v>
      </c>
      <c r="R2044" s="5" t="str">
        <f ca="1">IFERROR(__xludf.DUMMYFUNCTION("""COMPUTED_VALUE"""),"No")</f>
        <v>No</v>
      </c>
      <c r="S2044" s="5" t="str">
        <f ca="1">IFERROR(__xludf.DUMMYFUNCTION("""COMPUTED_VALUE"""),"Evening")</f>
        <v>Evening</v>
      </c>
      <c r="T2044" s="10">
        <f ca="1">IFERROR(__xludf.DUMMYFUNCTION("""COMPUTED_VALUE"""),0.71875)</f>
        <v>0.71875</v>
      </c>
      <c r="U2044" s="5">
        <f ca="1">IFERROR(__xludf.DUMMYFUNCTION("""COMPUTED_VALUE"""),1)</f>
        <v>1</v>
      </c>
      <c r="V2044" s="5" t="str">
        <f ca="1">IFERROR(__xludf.DUMMYFUNCTION("""COMPUTED_VALUE"""),"Shooting in gym after school")</f>
        <v>Shooting in gym after school</v>
      </c>
      <c r="W2044" s="5" t="str">
        <f ca="1">IFERROR(__xludf.DUMMYFUNCTION("""COMPUTED_VALUE"""),"19 year-old male ex-felon shot 15 year-old male student in the gym. No other details available.")</f>
        <v>19 year-old male ex-felon shot 15 year-old male student in the gym. No other details available.</v>
      </c>
      <c r="X2044" s="5" t="str">
        <f ca="1">IFERROR(__xludf.DUMMYFUNCTION("""COMPUTED_VALUE"""),"Escalation of Dispute")</f>
        <v>Escalation of Dispute</v>
      </c>
      <c r="Y2044" s="5"/>
      <c r="Z2044" s="5" t="str">
        <f ca="1">IFERROR(__xludf.DUMMYFUNCTION("""COMPUTED_VALUE"""),"No")</f>
        <v>No</v>
      </c>
      <c r="AA2044" s="5"/>
      <c r="AB2044" s="5" t="str">
        <f ca="1">IFERROR(__xludf.DUMMYFUNCTION("""COMPUTED_VALUE"""),"No")</f>
        <v>No</v>
      </c>
      <c r="AC2044" s="5" t="str">
        <f ca="1">IFERROR(__xludf.DUMMYFUNCTION("""COMPUTED_VALUE"""),"No")</f>
        <v>No</v>
      </c>
      <c r="AD2044" s="5" t="str">
        <f ca="1">IFERROR(__xludf.DUMMYFUNCTION("""COMPUTED_VALUE"""),"No")</f>
        <v>No</v>
      </c>
      <c r="AE2044" s="5" t="str">
        <f ca="1">IFERROR(__xludf.DUMMYFUNCTION("""COMPUTED_VALUE"""),"No")</f>
        <v>No</v>
      </c>
      <c r="AF2044" s="5" t="str">
        <f ca="1">IFERROR(__xludf.DUMMYFUNCTION("""COMPUTED_VALUE"""),"No")</f>
        <v>No</v>
      </c>
      <c r="AG2044" s="5"/>
      <c r="AH2044" s="5"/>
    </row>
    <row r="2045" spans="1:34" ht="12.75">
      <c r="A2045" s="5" t="str">
        <f ca="1">IFERROR(__xludf.DUMMYFUNCTION("""COMPUTED_VALUE"""),"19730131NCCUB")</f>
        <v>19730131NCCUB</v>
      </c>
      <c r="B2045" s="8">
        <f ca="1">IFERROR(__xludf.DUMMYFUNCTION("""COMPUTED_VALUE"""),26695)</f>
        <v>26695</v>
      </c>
      <c r="C2045" s="5" t="str">
        <f ca="1">IFERROR(__xludf.DUMMYFUNCTION("""COMPUTED_VALUE"""),"Cumming High School")</f>
        <v>Cumming High School</v>
      </c>
      <c r="D2045" s="5">
        <f ca="1">IFERROR(__xludf.DUMMYFUNCTION("""COMPUTED_VALUE"""),0)</f>
        <v>0</v>
      </c>
      <c r="E2045" s="5">
        <f ca="1">IFERROR(__xludf.DUMMYFUNCTION("""COMPUTED_VALUE"""),1)</f>
        <v>1</v>
      </c>
      <c r="F2045" s="5">
        <f ca="1">IFERROR(__xludf.DUMMYFUNCTION("""COMPUTED_VALUE"""),1)</f>
        <v>1</v>
      </c>
      <c r="G2045" s="5">
        <f ca="1">IFERROR(__xludf.DUMMYFUNCTION("""COMPUTED_VALUE"""),0)</f>
        <v>0</v>
      </c>
      <c r="H2045" s="9" t="str">
        <f ca="1">IFERROR(__xludf.DUMMYFUNCTION("""COMPUTED_VALUE"""),"https://www.newspapers.com/image/53558183/?terms=school%2Bshooting")</f>
        <v>https://www.newspapers.com/image/53558183/?terms=school%2Bshooting</v>
      </c>
      <c r="I2045" s="5"/>
      <c r="J2045" s="5"/>
      <c r="K2045" s="5">
        <f ca="1">IFERROR(__xludf.DUMMYFUNCTION("""COMPUTED_VALUE"""),2)</f>
        <v>2</v>
      </c>
      <c r="L2045" s="5" t="str">
        <f ca="1">IFERROR(__xludf.DUMMYFUNCTION("""COMPUTED_VALUE"""),"Winter")</f>
        <v>Winter</v>
      </c>
      <c r="M2045" s="5" t="str">
        <f ca="1">IFERROR(__xludf.DUMMYFUNCTION("""COMPUTED_VALUE"""),"Burlington")</f>
        <v>Burlington</v>
      </c>
      <c r="N2045" s="5" t="str">
        <f ca="1">IFERROR(__xludf.DUMMYFUNCTION("""COMPUTED_VALUE"""),"NC")</f>
        <v>NC</v>
      </c>
      <c r="O2045" s="5" t="str">
        <f ca="1">IFERROR(__xludf.DUMMYFUNCTION("""COMPUTED_VALUE"""),"High")</f>
        <v>High</v>
      </c>
      <c r="P2045" s="5" t="str">
        <f ca="1">IFERROR(__xludf.DUMMYFUNCTION("""COMPUTED_VALUE"""),"Inside School Building")</f>
        <v>Inside School Building</v>
      </c>
      <c r="Q2045" s="5" t="str">
        <f ca="1">IFERROR(__xludf.DUMMYFUNCTION("""COMPUTED_VALUE"""),"Inside School Building")</f>
        <v>Inside School Building</v>
      </c>
      <c r="R2045" s="5" t="str">
        <f ca="1">IFERROR(__xludf.DUMMYFUNCTION("""COMPUTED_VALUE"""),"Yes")</f>
        <v>Yes</v>
      </c>
      <c r="S2045" s="5" t="str">
        <f ca="1">IFERROR(__xludf.DUMMYFUNCTION("""COMPUTED_VALUE"""),"Lunch")</f>
        <v>Lunch</v>
      </c>
      <c r="T2045" s="10">
        <f ca="1">IFERROR(__xludf.DUMMYFUNCTION("""COMPUTED_VALUE"""),0.5)</f>
        <v>0.5</v>
      </c>
      <c r="U2045" s="5">
        <f ca="1">IFERROR(__xludf.DUMMYFUNCTION("""COMPUTED_VALUE"""),1)</f>
        <v>1</v>
      </c>
      <c r="V2045" s="5" t="str">
        <f ca="1">IFERROR(__xludf.DUMMYFUNCTION("""COMPUTED_VALUE"""),"Shot student who was police informant on drug deal involving brother")</f>
        <v>Shot student who was police informant on drug deal involving brother</v>
      </c>
      <c r="W2045"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X2045" s="5" t="str">
        <f ca="1">IFERROR(__xludf.DUMMYFUNCTION("""COMPUTED_VALUE"""),"Illegal Activity")</f>
        <v>Illegal Activity</v>
      </c>
      <c r="Y2045" s="5" t="str">
        <f ca="1">IFERROR(__xludf.DUMMYFUNCTION("""COMPUTED_VALUE"""),"Victims Targeted")</f>
        <v>Victims Targeted</v>
      </c>
      <c r="Z2045" s="5" t="str">
        <f ca="1">IFERROR(__xludf.DUMMYFUNCTION("""COMPUTED_VALUE"""),"No")</f>
        <v>No</v>
      </c>
      <c r="AA2045" s="5"/>
      <c r="AB2045" s="5" t="str">
        <f ca="1">IFERROR(__xludf.DUMMYFUNCTION("""COMPUTED_VALUE"""),"No")</f>
        <v>No</v>
      </c>
      <c r="AC2045" s="5" t="str">
        <f ca="1">IFERROR(__xludf.DUMMYFUNCTION("""COMPUTED_VALUE"""),"No")</f>
        <v>No</v>
      </c>
      <c r="AD2045" s="5" t="str">
        <f ca="1">IFERROR(__xludf.DUMMYFUNCTION("""COMPUTED_VALUE"""),"No")</f>
        <v>No</v>
      </c>
      <c r="AE2045" s="5" t="str">
        <f ca="1">IFERROR(__xludf.DUMMYFUNCTION("""COMPUTED_VALUE"""),"No")</f>
        <v>No</v>
      </c>
      <c r="AF2045" s="5" t="str">
        <f ca="1">IFERROR(__xludf.DUMMYFUNCTION("""COMPUTED_VALUE"""),"No")</f>
        <v>No</v>
      </c>
      <c r="AG2045" s="5" t="str">
        <f ca="1">IFERROR(__xludf.DUMMYFUNCTION("""COMPUTED_VALUE"""),"No")</f>
        <v>No</v>
      </c>
      <c r="AH2045" s="5"/>
    </row>
    <row r="2046" spans="1:34" ht="12.75">
      <c r="A2046" s="5" t="str">
        <f ca="1">IFERROR(__xludf.DUMMYFUNCTION("""COMPUTED_VALUE"""),"19730118CAJOL")</f>
        <v>19730118CAJOL</v>
      </c>
      <c r="B2046" s="8">
        <f ca="1">IFERROR(__xludf.DUMMYFUNCTION("""COMPUTED_VALUE"""),26682)</f>
        <v>26682</v>
      </c>
      <c r="C2046" s="5" t="str">
        <f ca="1">IFERROR(__xludf.DUMMYFUNCTION("""COMPUTED_VALUE"""),"John Marshall High School")</f>
        <v>John Marshall High School</v>
      </c>
      <c r="D2046" s="5">
        <f ca="1">IFERROR(__xludf.DUMMYFUNCTION("""COMPUTED_VALUE"""),0)</f>
        <v>0</v>
      </c>
      <c r="E2046" s="5">
        <f ca="1">IFERROR(__xludf.DUMMYFUNCTION("""COMPUTED_VALUE"""),2)</f>
        <v>2</v>
      </c>
      <c r="F2046" s="5">
        <f ca="1">IFERROR(__xludf.DUMMYFUNCTION("""COMPUTED_VALUE"""),2)</f>
        <v>2</v>
      </c>
      <c r="G2046" s="5">
        <f ca="1">IFERROR(__xludf.DUMMYFUNCTION("""COMPUTED_VALUE"""),0)</f>
        <v>0</v>
      </c>
      <c r="H2046" s="9" t="str">
        <f ca="1">IFERROR(__xludf.DUMMYFUNCTION("""COMPUTED_VALUE"""),"https://www.newspapers.com/image/18141346/?terms=school%2Bshooting")</f>
        <v>https://www.newspapers.com/image/18141346/?terms=school%2Bshooting</v>
      </c>
      <c r="I2046" s="5"/>
      <c r="J2046" s="5"/>
      <c r="K2046" s="5">
        <f ca="1">IFERROR(__xludf.DUMMYFUNCTION("""COMPUTED_VALUE"""),2)</f>
        <v>2</v>
      </c>
      <c r="L2046" s="5" t="str">
        <f ca="1">IFERROR(__xludf.DUMMYFUNCTION("""COMPUTED_VALUE"""),"Winter")</f>
        <v>Winter</v>
      </c>
      <c r="M2046" s="5" t="str">
        <f ca="1">IFERROR(__xludf.DUMMYFUNCTION("""COMPUTED_VALUE"""),"Los Angeles")</f>
        <v>Los Angeles</v>
      </c>
      <c r="N2046" s="5" t="str">
        <f ca="1">IFERROR(__xludf.DUMMYFUNCTION("""COMPUTED_VALUE"""),"CA")</f>
        <v>CA</v>
      </c>
      <c r="O2046" s="5" t="str">
        <f ca="1">IFERROR(__xludf.DUMMYFUNCTION("""COMPUTED_VALUE"""),"High")</f>
        <v>High</v>
      </c>
      <c r="P2046" s="5" t="str">
        <f ca="1">IFERROR(__xludf.DUMMYFUNCTION("""COMPUTED_VALUE"""),"Parking Lot")</f>
        <v>Parking Lot</v>
      </c>
      <c r="Q2046" s="5" t="str">
        <f ca="1">IFERROR(__xludf.DUMMYFUNCTION("""COMPUTED_VALUE"""),"Outside on School Property")</f>
        <v>Outside on School Property</v>
      </c>
      <c r="R2046" s="5" t="str">
        <f ca="1">IFERROR(__xludf.DUMMYFUNCTION("""COMPUTED_VALUE"""),"No")</f>
        <v>No</v>
      </c>
      <c r="S2046" s="5" t="str">
        <f ca="1">IFERROR(__xludf.DUMMYFUNCTION("""COMPUTED_VALUE"""),"Sport Event")</f>
        <v>Sport Event</v>
      </c>
      <c r="T2046" s="5"/>
      <c r="U2046" s="5">
        <f ca="1">IFERROR(__xludf.DUMMYFUNCTION("""COMPUTED_VALUE"""),1)</f>
        <v>1</v>
      </c>
      <c r="V2046" s="5" t="str">
        <f ca="1">IFERROR(__xludf.DUMMYFUNCTION("""COMPUTED_VALUE"""),"2 school guards shot investigating possible thefts from cars")</f>
        <v>2 school guards shot investigating possible thefts from cars</v>
      </c>
      <c r="W2046"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X2046" s="5" t="str">
        <f ca="1">IFERROR(__xludf.DUMMYFUNCTION("""COMPUTED_VALUE"""),"Illegal Activity")</f>
        <v>Illegal Activity</v>
      </c>
      <c r="Y2046" s="5" t="str">
        <f ca="1">IFERROR(__xludf.DUMMYFUNCTION("""COMPUTED_VALUE"""),"Victims Targeted")</f>
        <v>Victims Targeted</v>
      </c>
      <c r="Z2046" s="5" t="str">
        <f ca="1">IFERROR(__xludf.DUMMYFUNCTION("""COMPUTED_VALUE"""),"Yes")</f>
        <v>Yes</v>
      </c>
      <c r="AA2046" s="5" t="str">
        <f ca="1">IFERROR(__xludf.DUMMYFUNCTION("""COMPUTED_VALUE"""),"Two teens involved")</f>
        <v>Two teens involved</v>
      </c>
      <c r="AB2046" s="5" t="str">
        <f ca="1">IFERROR(__xludf.DUMMYFUNCTION("""COMPUTED_VALUE"""),"No")</f>
        <v>No</v>
      </c>
      <c r="AC2046" s="5" t="str">
        <f ca="1">IFERROR(__xludf.DUMMYFUNCTION("""COMPUTED_VALUE"""),"No")</f>
        <v>No</v>
      </c>
      <c r="AD2046" s="5" t="str">
        <f ca="1">IFERROR(__xludf.DUMMYFUNCTION("""COMPUTED_VALUE"""),"No")</f>
        <v>No</v>
      </c>
      <c r="AE2046" s="5" t="str">
        <f ca="1">IFERROR(__xludf.DUMMYFUNCTION("""COMPUTED_VALUE"""),"No")</f>
        <v>No</v>
      </c>
      <c r="AF2046" s="5" t="str">
        <f ca="1">IFERROR(__xludf.DUMMYFUNCTION("""COMPUTED_VALUE"""),"No")</f>
        <v>No</v>
      </c>
      <c r="AG2046" s="5" t="str">
        <f ca="1">IFERROR(__xludf.DUMMYFUNCTION("""COMPUTED_VALUE"""),"No")</f>
        <v>No</v>
      </c>
      <c r="AH2046" s="5"/>
    </row>
    <row r="2047" spans="1:34" ht="12.75">
      <c r="A2047" s="5" t="str">
        <f ca="1">IFERROR(__xludf.DUMMYFUNCTION("""COMPUTED_VALUE"""),"19730105NCSOS")</f>
        <v>19730105NCSOS</v>
      </c>
      <c r="B2047" s="8">
        <f ca="1">IFERROR(__xludf.DUMMYFUNCTION("""COMPUTED_VALUE"""),26669)</f>
        <v>26669</v>
      </c>
      <c r="C2047" s="5" t="str">
        <f ca="1">IFERROR(__xludf.DUMMYFUNCTION("""COMPUTED_VALUE"""),"South Iredell High School")</f>
        <v>South Iredell High School</v>
      </c>
      <c r="D2047" s="5">
        <f ca="1">IFERROR(__xludf.DUMMYFUNCTION("""COMPUTED_VALUE"""),0)</f>
        <v>0</v>
      </c>
      <c r="E2047" s="5">
        <f ca="1">IFERROR(__xludf.DUMMYFUNCTION("""COMPUTED_VALUE"""),4)</f>
        <v>4</v>
      </c>
      <c r="F2047" s="5">
        <f ca="1">IFERROR(__xludf.DUMMYFUNCTION("""COMPUTED_VALUE"""),4)</f>
        <v>4</v>
      </c>
      <c r="G2047" s="5">
        <f ca="1">IFERROR(__xludf.DUMMYFUNCTION("""COMPUTED_VALUE"""),0)</f>
        <v>0</v>
      </c>
      <c r="H2047" s="9" t="str">
        <f ca="1">IFERROR(__xludf.DUMMYFUNCTION("""COMPUTED_VALUE"""),"https://www.newspapers.com/image/133686805/?terms=STUDENT%2BSHOT")</f>
        <v>https://www.newspapers.com/image/133686805/?terms=STUDENT%2BSHOT</v>
      </c>
      <c r="I2047" s="5"/>
      <c r="J2047" s="5"/>
      <c r="K2047" s="5">
        <f ca="1">IFERROR(__xludf.DUMMYFUNCTION("""COMPUTED_VALUE"""),2)</f>
        <v>2</v>
      </c>
      <c r="L2047" s="5" t="str">
        <f ca="1">IFERROR(__xludf.DUMMYFUNCTION("""COMPUTED_VALUE"""),"Winter")</f>
        <v>Winter</v>
      </c>
      <c r="M2047" s="5" t="str">
        <f ca="1">IFERROR(__xludf.DUMMYFUNCTION("""COMPUTED_VALUE"""),"Statesville")</f>
        <v>Statesville</v>
      </c>
      <c r="N2047" s="5" t="str">
        <f ca="1">IFERROR(__xludf.DUMMYFUNCTION("""COMPUTED_VALUE"""),"NC")</f>
        <v>NC</v>
      </c>
      <c r="O2047" s="5" t="str">
        <f ca="1">IFERROR(__xludf.DUMMYFUNCTION("""COMPUTED_VALUE"""),"High")</f>
        <v>High</v>
      </c>
      <c r="P2047" s="5" t="str">
        <f ca="1">IFERROR(__xludf.DUMMYFUNCTION("""COMPUTED_VALUE"""),"Basketball Court")</f>
        <v>Basketball Court</v>
      </c>
      <c r="Q2047" s="5" t="str">
        <f ca="1">IFERROR(__xludf.DUMMYFUNCTION("""COMPUTED_VALUE"""),"Outside on School Property")</f>
        <v>Outside on School Property</v>
      </c>
      <c r="R2047" s="5" t="str">
        <f ca="1">IFERROR(__xludf.DUMMYFUNCTION("""COMPUTED_VALUE"""),"No")</f>
        <v>No</v>
      </c>
      <c r="S2047" s="5" t="str">
        <f ca="1">IFERROR(__xludf.DUMMYFUNCTION("""COMPUTED_VALUE"""),"Sport Event")</f>
        <v>Sport Event</v>
      </c>
      <c r="T2047" s="5"/>
      <c r="U2047" s="5"/>
      <c r="V2047" s="5" t="str">
        <f ca="1">IFERROR(__xludf.DUMMYFUNCTION("""COMPUTED_VALUE"""),"Racial tension between black and white students escalated into shooting.")</f>
        <v>Racial tension between black and white students escalated into shooting.</v>
      </c>
      <c r="W2047"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X2047" s="5" t="str">
        <f ca="1">IFERROR(__xludf.DUMMYFUNCTION("""COMPUTED_VALUE"""),"Racial")</f>
        <v>Racial</v>
      </c>
      <c r="Y2047" s="5" t="str">
        <f ca="1">IFERROR(__xludf.DUMMYFUNCTION("""COMPUTED_VALUE"""),"Victims Targeted")</f>
        <v>Victims Targeted</v>
      </c>
      <c r="Z2047" s="5" t="str">
        <f ca="1">IFERROR(__xludf.DUMMYFUNCTION("""COMPUTED_VALUE"""),"No")</f>
        <v>No</v>
      </c>
      <c r="AA2047" s="5"/>
      <c r="AB2047" s="5" t="str">
        <f ca="1">IFERROR(__xludf.DUMMYFUNCTION("""COMPUTED_VALUE"""),"No")</f>
        <v>No</v>
      </c>
      <c r="AC2047" s="5" t="str">
        <f ca="1">IFERROR(__xludf.DUMMYFUNCTION("""COMPUTED_VALUE"""),"No")</f>
        <v>No</v>
      </c>
      <c r="AD2047" s="5" t="str">
        <f ca="1">IFERROR(__xludf.DUMMYFUNCTION("""COMPUTED_VALUE"""),"No")</f>
        <v>No</v>
      </c>
      <c r="AE2047" s="5" t="str">
        <f ca="1">IFERROR(__xludf.DUMMYFUNCTION("""COMPUTED_VALUE"""),"No")</f>
        <v>No</v>
      </c>
      <c r="AF2047" s="5" t="str">
        <f ca="1">IFERROR(__xludf.DUMMYFUNCTION("""COMPUTED_VALUE"""),"No")</f>
        <v>No</v>
      </c>
      <c r="AG2047" s="5" t="str">
        <f ca="1">IFERROR(__xludf.DUMMYFUNCTION("""COMPUTED_VALUE"""),"No")</f>
        <v>No</v>
      </c>
      <c r="AH2047" s="5"/>
    </row>
    <row r="2048" spans="1:34" ht="12.75">
      <c r="A2048" s="5" t="str">
        <f ca="1">IFERROR(__xludf.DUMMYFUNCTION("""COMPUTED_VALUE"""),"19721129FLMIM")</f>
        <v>19721129FLMIM</v>
      </c>
      <c r="B2048" s="8">
        <f ca="1">IFERROR(__xludf.DUMMYFUNCTION("""COMPUTED_VALUE"""),26632)</f>
        <v>26632</v>
      </c>
      <c r="C2048" s="5" t="str">
        <f ca="1">IFERROR(__xludf.DUMMYFUNCTION("""COMPUTED_VALUE"""),"Miami Northwest High School")</f>
        <v>Miami Northwest High School</v>
      </c>
      <c r="D2048" s="5">
        <f ca="1">IFERROR(__xludf.DUMMYFUNCTION("""COMPUTED_VALUE"""),0)</f>
        <v>0</v>
      </c>
      <c r="E2048" s="5">
        <f ca="1">IFERROR(__xludf.DUMMYFUNCTION("""COMPUTED_VALUE"""),1)</f>
        <v>1</v>
      </c>
      <c r="F2048" s="5">
        <f ca="1">IFERROR(__xludf.DUMMYFUNCTION("""COMPUTED_VALUE"""),1)</f>
        <v>1</v>
      </c>
      <c r="G2048" s="5">
        <f ca="1">IFERROR(__xludf.DUMMYFUNCTION("""COMPUTED_VALUE"""),0)</f>
        <v>0</v>
      </c>
      <c r="H2048" s="9" t="str">
        <f ca="1">IFERROR(__xludf.DUMMYFUNCTION("""COMPUTED_VALUE"""),"https://www.newspapers.com/image/125303713/?terms=school%2Bshooting")</f>
        <v>https://www.newspapers.com/image/125303713/?terms=school%2Bshooting</v>
      </c>
      <c r="I2048" s="5"/>
      <c r="J2048" s="5"/>
      <c r="K2048" s="5">
        <f ca="1">IFERROR(__xludf.DUMMYFUNCTION("""COMPUTED_VALUE"""),2)</f>
        <v>2</v>
      </c>
      <c r="L2048" s="5" t="str">
        <f ca="1">IFERROR(__xludf.DUMMYFUNCTION("""COMPUTED_VALUE"""),"Fall")</f>
        <v>Fall</v>
      </c>
      <c r="M2048" s="5" t="str">
        <f ca="1">IFERROR(__xludf.DUMMYFUNCTION("""COMPUTED_VALUE"""),"Miami")</f>
        <v>Miami</v>
      </c>
      <c r="N2048" s="5" t="str">
        <f ca="1">IFERROR(__xludf.DUMMYFUNCTION("""COMPUTED_VALUE"""),"FL")</f>
        <v>FL</v>
      </c>
      <c r="O2048" s="5" t="str">
        <f ca="1">IFERROR(__xludf.DUMMYFUNCTION("""COMPUTED_VALUE"""),"High")</f>
        <v>High</v>
      </c>
      <c r="P2048" s="5" t="str">
        <f ca="1">IFERROR(__xludf.DUMMYFUNCTION("""COMPUTED_VALUE"""),"Off School Property")</f>
        <v>Off School Property</v>
      </c>
      <c r="Q2048" s="5" t="str">
        <f ca="1">IFERROR(__xludf.DUMMYFUNCTION("""COMPUTED_VALUE"""),"Off School Property")</f>
        <v>Off School Property</v>
      </c>
      <c r="R2048" s="5" t="str">
        <f ca="1">IFERROR(__xludf.DUMMYFUNCTION("""COMPUTED_VALUE"""),"Yes")</f>
        <v>Yes</v>
      </c>
      <c r="S2048" s="5"/>
      <c r="T2048" s="5"/>
      <c r="U2048" s="5">
        <f ca="1">IFERROR(__xludf.DUMMYFUNCTION("""COMPUTED_VALUE"""),1)</f>
        <v>1</v>
      </c>
      <c r="V2048" s="5" t="str">
        <f ca="1">IFERROR(__xludf.DUMMYFUNCTION("""COMPUTED_VALUE"""),"Dispute over hair comb escalated into shooting")</f>
        <v>Dispute over hair comb escalated into shooting</v>
      </c>
      <c r="W2048" s="5" t="str">
        <f ca="1">IFERROR(__xludf.DUMMYFUNCTION("""COMPUTED_VALUE"""),"Dispute over hair comb escalated into shooting of 17 year-old male student outside of school.")</f>
        <v>Dispute over hair comb escalated into shooting of 17 year-old male student outside of school.</v>
      </c>
      <c r="X2048" s="5" t="str">
        <f ca="1">IFERROR(__xludf.DUMMYFUNCTION("""COMPUTED_VALUE"""),"Escalation of Dispute")</f>
        <v>Escalation of Dispute</v>
      </c>
      <c r="Y2048" s="5"/>
      <c r="Z2048" s="5" t="str">
        <f ca="1">IFERROR(__xludf.DUMMYFUNCTION("""COMPUTED_VALUE"""),"No")</f>
        <v>No</v>
      </c>
      <c r="AA2048" s="5"/>
      <c r="AB2048" s="5" t="str">
        <f ca="1">IFERROR(__xludf.DUMMYFUNCTION("""COMPUTED_VALUE"""),"No")</f>
        <v>No</v>
      </c>
      <c r="AC2048" s="5" t="str">
        <f ca="1">IFERROR(__xludf.DUMMYFUNCTION("""COMPUTED_VALUE"""),"No")</f>
        <v>No</v>
      </c>
      <c r="AD2048" s="5" t="str">
        <f ca="1">IFERROR(__xludf.DUMMYFUNCTION("""COMPUTED_VALUE"""),"No")</f>
        <v>No</v>
      </c>
      <c r="AE2048" s="5" t="str">
        <f ca="1">IFERROR(__xludf.DUMMYFUNCTION("""COMPUTED_VALUE"""),"No")</f>
        <v>No</v>
      </c>
      <c r="AF2048" s="5" t="str">
        <f ca="1">IFERROR(__xludf.DUMMYFUNCTION("""COMPUTED_VALUE"""),"No")</f>
        <v>No</v>
      </c>
      <c r="AG2048" s="5" t="str">
        <f ca="1">IFERROR(__xludf.DUMMYFUNCTION("""COMPUTED_VALUE"""),"No")</f>
        <v>No</v>
      </c>
      <c r="AH2048" s="5"/>
    </row>
    <row r="2049" spans="1:34" ht="12.75">
      <c r="A2049" s="5" t="str">
        <f ca="1">IFERROR(__xludf.DUMMYFUNCTION("""COMPUTED_VALUE"""),"19721127MIPOP")</f>
        <v>19721127MIPOP</v>
      </c>
      <c r="B2049" s="8">
        <f ca="1">IFERROR(__xludf.DUMMYFUNCTION("""COMPUTED_VALUE"""),26630)</f>
        <v>26630</v>
      </c>
      <c r="C2049" s="5" t="str">
        <f ca="1">IFERROR(__xludf.DUMMYFUNCTION("""COMPUTED_VALUE"""),"Pontiac Central High School")</f>
        <v>Pontiac Central High School</v>
      </c>
      <c r="D2049" s="5">
        <f ca="1">IFERROR(__xludf.DUMMYFUNCTION("""COMPUTED_VALUE"""),0)</f>
        <v>0</v>
      </c>
      <c r="E2049" s="5">
        <f ca="1">IFERROR(__xludf.DUMMYFUNCTION("""COMPUTED_VALUE"""),5)</f>
        <v>5</v>
      </c>
      <c r="F2049" s="5">
        <f ca="1">IFERROR(__xludf.DUMMYFUNCTION("""COMPUTED_VALUE"""),5)</f>
        <v>5</v>
      </c>
      <c r="G2049" s="5">
        <f ca="1">IFERROR(__xludf.DUMMYFUNCTION("""COMPUTED_VALUE"""),0)</f>
        <v>0</v>
      </c>
      <c r="H2049" s="9" t="str">
        <f ca="1">IFERROR(__xludf.DUMMYFUNCTION("""COMPUTED_VALUE"""),"https://www.newspapers.com/image/208385082/?terms=boy+who+shot+students+may+have+stopped+riots")</f>
        <v>https://www.newspapers.com/image/208385082/?terms=boy+who+shot+students+may+have+stopped+riots</v>
      </c>
      <c r="I2049" s="5"/>
      <c r="J2049" s="5"/>
      <c r="K2049" s="5">
        <f ca="1">IFERROR(__xludf.DUMMYFUNCTION("""COMPUTED_VALUE"""),2)</f>
        <v>2</v>
      </c>
      <c r="L2049" s="5" t="str">
        <f ca="1">IFERROR(__xludf.DUMMYFUNCTION("""COMPUTED_VALUE"""),"Fall")</f>
        <v>Fall</v>
      </c>
      <c r="M2049" s="5" t="str">
        <f ca="1">IFERROR(__xludf.DUMMYFUNCTION("""COMPUTED_VALUE"""),"Pontiac")</f>
        <v>Pontiac</v>
      </c>
      <c r="N2049" s="5" t="str">
        <f ca="1">IFERROR(__xludf.DUMMYFUNCTION("""COMPUTED_VALUE"""),"MI")</f>
        <v>MI</v>
      </c>
      <c r="O2049" s="5" t="str">
        <f ca="1">IFERROR(__xludf.DUMMYFUNCTION("""COMPUTED_VALUE"""),"High")</f>
        <v>High</v>
      </c>
      <c r="P2049" s="5" t="str">
        <f ca="1">IFERROR(__xludf.DUMMYFUNCTION("""COMPUTED_VALUE"""),"Outside on School Property")</f>
        <v>Outside on School Property</v>
      </c>
      <c r="Q2049" s="5" t="str">
        <f ca="1">IFERROR(__xludf.DUMMYFUNCTION("""COMPUTED_VALUE"""),"Outside on School Property")</f>
        <v>Outside on School Property</v>
      </c>
      <c r="R2049" s="5" t="str">
        <f ca="1">IFERROR(__xludf.DUMMYFUNCTION("""COMPUTED_VALUE"""),"Yes")</f>
        <v>Yes</v>
      </c>
      <c r="S2049" s="5"/>
      <c r="T2049" s="5"/>
      <c r="U2049" s="5"/>
      <c r="V2049" s="5" t="str">
        <f ca="1">IFERROR(__xludf.DUMMYFUNCTION("""COMPUTED_VALUE"""),"Shooting was a possible lead up to starting a race riot.")</f>
        <v>Shooting was a possible lead up to starting a race riot.</v>
      </c>
      <c r="W2049"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X2049" s="5" t="str">
        <f ca="1">IFERROR(__xludf.DUMMYFUNCTION("""COMPUTED_VALUE"""),"Racial")</f>
        <v>Racial</v>
      </c>
      <c r="Y2049" s="5" t="str">
        <f ca="1">IFERROR(__xludf.DUMMYFUNCTION("""COMPUTED_VALUE"""),"Victims Targeted")</f>
        <v>Victims Targeted</v>
      </c>
      <c r="Z2049" s="5" t="str">
        <f ca="1">IFERROR(__xludf.DUMMYFUNCTION("""COMPUTED_VALUE"""),"No")</f>
        <v>No</v>
      </c>
      <c r="AA2049" s="5"/>
      <c r="AB2049" s="5" t="str">
        <f ca="1">IFERROR(__xludf.DUMMYFUNCTION("""COMPUTED_VALUE"""),"No")</f>
        <v>No</v>
      </c>
      <c r="AC2049" s="5" t="str">
        <f ca="1">IFERROR(__xludf.DUMMYFUNCTION("""COMPUTED_VALUE"""),"No")</f>
        <v>No</v>
      </c>
      <c r="AD2049" s="5" t="str">
        <f ca="1">IFERROR(__xludf.DUMMYFUNCTION("""COMPUTED_VALUE"""),"No")</f>
        <v>No</v>
      </c>
      <c r="AE2049" s="5" t="str">
        <f ca="1">IFERROR(__xludf.DUMMYFUNCTION("""COMPUTED_VALUE"""),"No")</f>
        <v>No</v>
      </c>
      <c r="AF2049" s="5" t="str">
        <f ca="1">IFERROR(__xludf.DUMMYFUNCTION("""COMPUTED_VALUE"""),"No")</f>
        <v>No</v>
      </c>
      <c r="AG2049" s="5" t="str">
        <f ca="1">IFERROR(__xludf.DUMMYFUNCTION("""COMPUTED_VALUE"""),"No")</f>
        <v>No</v>
      </c>
      <c r="AH2049" s="5"/>
    </row>
    <row r="2050" spans="1:34" ht="12.75">
      <c r="A2050" s="5" t="str">
        <f ca="1">IFERROR(__xludf.DUMMYFUNCTION("""COMPUTED_VALUE"""),"19721111CAJEL")</f>
        <v>19721111CAJEL</v>
      </c>
      <c r="B2050" s="8">
        <f ca="1">IFERROR(__xludf.DUMMYFUNCTION("""COMPUTED_VALUE"""),26614)</f>
        <v>26614</v>
      </c>
      <c r="C2050" s="5" t="str">
        <f ca="1">IFERROR(__xludf.DUMMYFUNCTION("""COMPUTED_VALUE"""),"Jefferson High School")</f>
        <v>Jefferson High School</v>
      </c>
      <c r="D2050" s="5">
        <f ca="1">IFERROR(__xludf.DUMMYFUNCTION("""COMPUTED_VALUE"""),0)</f>
        <v>0</v>
      </c>
      <c r="E2050" s="5">
        <f ca="1">IFERROR(__xludf.DUMMYFUNCTION("""COMPUTED_VALUE"""),5)</f>
        <v>5</v>
      </c>
      <c r="F2050" s="5">
        <f ca="1">IFERROR(__xludf.DUMMYFUNCTION("""COMPUTED_VALUE"""),5)</f>
        <v>5</v>
      </c>
      <c r="G2050" s="5">
        <f ca="1">IFERROR(__xludf.DUMMYFUNCTION("""COMPUTED_VALUE"""),0)</f>
        <v>0</v>
      </c>
      <c r="H2050" s="9" t="str">
        <f ca="1">IFERROR(__xludf.DUMMYFUNCTION("""COMPUTED_VALUE"""),"https://www.newspapers.com/image/271348834/?terms=school%2Bshooting")</f>
        <v>https://www.newspapers.com/image/271348834/?terms=school%2Bshooting</v>
      </c>
      <c r="I2050" s="5"/>
      <c r="J2050" s="5"/>
      <c r="K2050" s="5">
        <f ca="1">IFERROR(__xludf.DUMMYFUNCTION("""COMPUTED_VALUE"""),2)</f>
        <v>2</v>
      </c>
      <c r="L2050" s="5" t="str">
        <f ca="1">IFERROR(__xludf.DUMMYFUNCTION("""COMPUTED_VALUE"""),"Fall")</f>
        <v>Fall</v>
      </c>
      <c r="M2050" s="5" t="str">
        <f ca="1">IFERROR(__xludf.DUMMYFUNCTION("""COMPUTED_VALUE"""),"Los Angeles")</f>
        <v>Los Angeles</v>
      </c>
      <c r="N2050" s="5" t="str">
        <f ca="1">IFERROR(__xludf.DUMMYFUNCTION("""COMPUTED_VALUE"""),"CA")</f>
        <v>CA</v>
      </c>
      <c r="O2050" s="5" t="str">
        <f ca="1">IFERROR(__xludf.DUMMYFUNCTION("""COMPUTED_VALUE"""),"High")</f>
        <v>High</v>
      </c>
      <c r="P2050" s="5" t="str">
        <f ca="1">IFERROR(__xludf.DUMMYFUNCTION("""COMPUTED_VALUE"""),"Football Field/Track")</f>
        <v>Football Field/Track</v>
      </c>
      <c r="Q2050" s="5" t="str">
        <f ca="1">IFERROR(__xludf.DUMMYFUNCTION("""COMPUTED_VALUE"""),"Outside on School Property")</f>
        <v>Outside on School Property</v>
      </c>
      <c r="R2050" s="5" t="str">
        <f ca="1">IFERROR(__xludf.DUMMYFUNCTION("""COMPUTED_VALUE"""),"No")</f>
        <v>No</v>
      </c>
      <c r="S2050" s="5" t="str">
        <f ca="1">IFERROR(__xludf.DUMMYFUNCTION("""COMPUTED_VALUE"""),"School Event")</f>
        <v>School Event</v>
      </c>
      <c r="T2050" s="5"/>
      <c r="U2050" s="5"/>
      <c r="V2050" s="5" t="str">
        <f ca="1">IFERROR(__xludf.DUMMYFUNCTION("""COMPUTED_VALUE"""),"Gang related shooting at homecoming parade")</f>
        <v>Gang related shooting at homecoming parade</v>
      </c>
      <c r="W2050"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X2050" s="5" t="str">
        <f ca="1">IFERROR(__xludf.DUMMYFUNCTION("""COMPUTED_VALUE"""),"Escalation of Dispute")</f>
        <v>Escalation of Dispute</v>
      </c>
      <c r="Y2050" s="5" t="str">
        <f ca="1">IFERROR(__xludf.DUMMYFUNCTION("""COMPUTED_VALUE"""),"Both")</f>
        <v>Both</v>
      </c>
      <c r="Z2050" s="5" t="str">
        <f ca="1">IFERROR(__xludf.DUMMYFUNCTION("""COMPUTED_VALUE"""),"Yes")</f>
        <v>Yes</v>
      </c>
      <c r="AA2050" s="5" t="str">
        <f ca="1">IFERROR(__xludf.DUMMYFUNCTION("""COMPUTED_VALUE"""),"Multiple gang members involved")</f>
        <v>Multiple gang members involved</v>
      </c>
      <c r="AB2050" s="5" t="str">
        <f ca="1">IFERROR(__xludf.DUMMYFUNCTION("""COMPUTED_VALUE"""),"No")</f>
        <v>No</v>
      </c>
      <c r="AC2050" s="5" t="str">
        <f ca="1">IFERROR(__xludf.DUMMYFUNCTION("""COMPUTED_VALUE"""),"No")</f>
        <v>No</v>
      </c>
      <c r="AD2050" s="5" t="str">
        <f ca="1">IFERROR(__xludf.DUMMYFUNCTION("""COMPUTED_VALUE"""),"No")</f>
        <v>No</v>
      </c>
      <c r="AE2050" s="5" t="str">
        <f ca="1">IFERROR(__xludf.DUMMYFUNCTION("""COMPUTED_VALUE"""),"No")</f>
        <v>No</v>
      </c>
      <c r="AF2050" s="5" t="str">
        <f ca="1">IFERROR(__xludf.DUMMYFUNCTION("""COMPUTED_VALUE"""),"No")</f>
        <v>No</v>
      </c>
      <c r="AG2050" s="5" t="str">
        <f ca="1">IFERROR(__xludf.DUMMYFUNCTION("""COMPUTED_VALUE"""),"Yes")</f>
        <v>Yes</v>
      </c>
      <c r="AH2050" s="5"/>
    </row>
    <row r="2051" spans="1:34" ht="12.75">
      <c r="A2051" s="5" t="str">
        <f ca="1">IFERROR(__xludf.DUMMYFUNCTION("""COMPUTED_VALUE"""),"19720921OHTHA")</f>
        <v>19720921OHTHA</v>
      </c>
      <c r="B2051" s="8">
        <f ca="1">IFERROR(__xludf.DUMMYFUNCTION("""COMPUTED_VALUE"""),26563)</f>
        <v>26563</v>
      </c>
      <c r="C2051" s="5" t="str">
        <f ca="1">IFERROR(__xludf.DUMMYFUNCTION("""COMPUTED_VALUE"""),"Thorton Junior High")</f>
        <v>Thorton Junior High</v>
      </c>
      <c r="D2051" s="5">
        <f ca="1">IFERROR(__xludf.DUMMYFUNCTION("""COMPUTED_VALUE"""),0)</f>
        <v>0</v>
      </c>
      <c r="E2051" s="5">
        <f ca="1">IFERROR(__xludf.DUMMYFUNCTION("""COMPUTED_VALUE"""),1)</f>
        <v>1</v>
      </c>
      <c r="F2051" s="5">
        <f ca="1">IFERROR(__xludf.DUMMYFUNCTION("""COMPUTED_VALUE"""),1)</f>
        <v>1</v>
      </c>
      <c r="G2051" s="5">
        <f ca="1">IFERROR(__xludf.DUMMYFUNCTION("""COMPUTED_VALUE"""),0)</f>
        <v>0</v>
      </c>
      <c r="H2051" s="9" t="str">
        <f ca="1">IFERROR(__xludf.DUMMYFUNCTION("""COMPUTED_VALUE"""),"https://www.newspapers.com/image/294173364/?terms=teacher%2Bshot%2Band%2Bbeaten")</f>
        <v>https://www.newspapers.com/image/294173364/?terms=teacher%2Bshot%2Band%2Bbeaten</v>
      </c>
      <c r="I2051" s="5"/>
      <c r="J2051" s="5"/>
      <c r="K2051" s="5">
        <f ca="1">IFERROR(__xludf.DUMMYFUNCTION("""COMPUTED_VALUE"""),2)</f>
        <v>2</v>
      </c>
      <c r="L2051" s="5" t="str">
        <f ca="1">IFERROR(__xludf.DUMMYFUNCTION("""COMPUTED_VALUE"""),"Fall")</f>
        <v>Fall</v>
      </c>
      <c r="M2051" s="5" t="str">
        <f ca="1">IFERROR(__xludf.DUMMYFUNCTION("""COMPUTED_VALUE"""),"Akron")</f>
        <v>Akron</v>
      </c>
      <c r="N2051" s="5" t="str">
        <f ca="1">IFERROR(__xludf.DUMMYFUNCTION("""COMPUTED_VALUE"""),"OH")</f>
        <v>OH</v>
      </c>
      <c r="O2051" s="5" t="str">
        <f ca="1">IFERROR(__xludf.DUMMYFUNCTION("""COMPUTED_VALUE"""),"Junior High")</f>
        <v>Junior High</v>
      </c>
      <c r="P2051" s="5" t="str">
        <f ca="1">IFERROR(__xludf.DUMMYFUNCTION("""COMPUTED_VALUE"""),"Classroom")</f>
        <v>Classroom</v>
      </c>
      <c r="Q2051" s="5" t="str">
        <f ca="1">IFERROR(__xludf.DUMMYFUNCTION("""COMPUTED_VALUE"""),"Inside School Building")</f>
        <v>Inside School Building</v>
      </c>
      <c r="R2051" s="5" t="str">
        <f ca="1">IFERROR(__xludf.DUMMYFUNCTION("""COMPUTED_VALUE"""),"Yes")</f>
        <v>Yes</v>
      </c>
      <c r="S2051" s="5" t="str">
        <f ca="1">IFERROR(__xludf.DUMMYFUNCTION("""COMPUTED_VALUE"""),"Dismissal")</f>
        <v>Dismissal</v>
      </c>
      <c r="T2051" s="5"/>
      <c r="U2051" s="5">
        <f ca="1">IFERROR(__xludf.DUMMYFUNCTION("""COMPUTED_VALUE"""),1)</f>
        <v>1</v>
      </c>
      <c r="V2051" s="5" t="str">
        <f ca="1">IFERROR(__xludf.DUMMYFUNCTION("""COMPUTED_VALUE"""),"Shooter attempted to rob teacher in classroom. Teacher fought back and was shot.")</f>
        <v>Shooter attempted to rob teacher in classroom. Teacher fought back and was shot.</v>
      </c>
      <c r="W2051"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X2051" s="5" t="str">
        <f ca="1">IFERROR(__xludf.DUMMYFUNCTION("""COMPUTED_VALUE"""),"Illegal Activity")</f>
        <v>Illegal Activity</v>
      </c>
      <c r="Y2051" s="5" t="str">
        <f ca="1">IFERROR(__xludf.DUMMYFUNCTION("""COMPUTED_VALUE"""),"Victims Targeted")</f>
        <v>Victims Targeted</v>
      </c>
      <c r="Z2051" s="5" t="str">
        <f ca="1">IFERROR(__xludf.DUMMYFUNCTION("""COMPUTED_VALUE"""),"No")</f>
        <v>No</v>
      </c>
      <c r="AA2051" s="5"/>
      <c r="AB2051" s="5" t="str">
        <f ca="1">IFERROR(__xludf.DUMMYFUNCTION("""COMPUTED_VALUE"""),"No")</f>
        <v>No</v>
      </c>
      <c r="AC2051" s="5" t="str">
        <f ca="1">IFERROR(__xludf.DUMMYFUNCTION("""COMPUTED_VALUE"""),"No")</f>
        <v>No</v>
      </c>
      <c r="AD2051" s="5" t="str">
        <f ca="1">IFERROR(__xludf.DUMMYFUNCTION("""COMPUTED_VALUE"""),"No")</f>
        <v>No</v>
      </c>
      <c r="AE2051" s="5" t="str">
        <f ca="1">IFERROR(__xludf.DUMMYFUNCTION("""COMPUTED_VALUE"""),"No")</f>
        <v>No</v>
      </c>
      <c r="AF2051" s="5" t="str">
        <f ca="1">IFERROR(__xludf.DUMMYFUNCTION("""COMPUTED_VALUE"""),"No")</f>
        <v>No</v>
      </c>
      <c r="AG2051" s="5" t="str">
        <f ca="1">IFERROR(__xludf.DUMMYFUNCTION("""COMPUTED_VALUE"""),"No")</f>
        <v>No</v>
      </c>
      <c r="AH2051" s="5"/>
    </row>
    <row r="2052" spans="1:34" ht="12.75">
      <c r="A2052" s="5" t="str">
        <f ca="1">IFERROR(__xludf.DUMMYFUNCTION("""COMPUTED_VALUE"""),"19720919TXCUH")</f>
        <v>19720919TXCUH</v>
      </c>
      <c r="B2052" s="8">
        <f ca="1">IFERROR(__xludf.DUMMYFUNCTION("""COMPUTED_VALUE"""),26561)</f>
        <v>26561</v>
      </c>
      <c r="C2052" s="5" t="str">
        <f ca="1">IFERROR(__xludf.DUMMYFUNCTION("""COMPUTED_VALUE"""),"Cullen Junior High")</f>
        <v>Cullen Junior High</v>
      </c>
      <c r="D2052" s="5">
        <f ca="1">IFERROR(__xludf.DUMMYFUNCTION("""COMPUTED_VALUE"""),0)</f>
        <v>0</v>
      </c>
      <c r="E2052" s="5">
        <f ca="1">IFERROR(__xludf.DUMMYFUNCTION("""COMPUTED_VALUE"""),1)</f>
        <v>1</v>
      </c>
      <c r="F2052" s="5">
        <f ca="1">IFERROR(__xludf.DUMMYFUNCTION("""COMPUTED_VALUE"""),1)</f>
        <v>1</v>
      </c>
      <c r="G2052" s="5">
        <f ca="1">IFERROR(__xludf.DUMMYFUNCTION("""COMPUTED_VALUE"""),0)</f>
        <v>0</v>
      </c>
      <c r="H2052"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I2052" s="5"/>
      <c r="J2052" s="5"/>
      <c r="K2052" s="5">
        <f ca="1">IFERROR(__xludf.DUMMYFUNCTION("""COMPUTED_VALUE"""),3)</f>
        <v>3</v>
      </c>
      <c r="L2052" s="5" t="str">
        <f ca="1">IFERROR(__xludf.DUMMYFUNCTION("""COMPUTED_VALUE"""),"Fall")</f>
        <v>Fall</v>
      </c>
      <c r="M2052" s="5" t="str">
        <f ca="1">IFERROR(__xludf.DUMMYFUNCTION("""COMPUTED_VALUE"""),"Houston")</f>
        <v>Houston</v>
      </c>
      <c r="N2052" s="5" t="str">
        <f ca="1">IFERROR(__xludf.DUMMYFUNCTION("""COMPUTED_VALUE"""),"TX")</f>
        <v>TX</v>
      </c>
      <c r="O2052" s="5" t="str">
        <f ca="1">IFERROR(__xludf.DUMMYFUNCTION("""COMPUTED_VALUE"""),"Junior High")</f>
        <v>Junior High</v>
      </c>
      <c r="P2052" s="5" t="str">
        <f ca="1">IFERROR(__xludf.DUMMYFUNCTION("""COMPUTED_VALUE"""),"Inside School Building")</f>
        <v>Inside School Building</v>
      </c>
      <c r="Q2052" s="5" t="str">
        <f ca="1">IFERROR(__xludf.DUMMYFUNCTION("""COMPUTED_VALUE"""),"Inside School Building")</f>
        <v>Inside School Building</v>
      </c>
      <c r="R2052" s="5" t="str">
        <f ca="1">IFERROR(__xludf.DUMMYFUNCTION("""COMPUTED_VALUE"""),"No")</f>
        <v>No</v>
      </c>
      <c r="S2052" s="5" t="str">
        <f ca="1">IFERROR(__xludf.DUMMYFUNCTION("""COMPUTED_VALUE"""),"School Start")</f>
        <v>School Start</v>
      </c>
      <c r="T2052" s="5"/>
      <c r="U2052" s="5">
        <f ca="1">IFERROR(__xludf.DUMMYFUNCTION("""COMPUTED_VALUE"""),1)</f>
        <v>1</v>
      </c>
      <c r="V2052" s="5" t="str">
        <f ca="1">IFERROR(__xludf.DUMMYFUNCTION("""COMPUTED_VALUE"""),"Husband shot wife after his attempts to reconcile marriage failed.")</f>
        <v>Husband shot wife after his attempts to reconcile marriage failed.</v>
      </c>
      <c r="W2052"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X2052" s="5" t="str">
        <f ca="1">IFERROR(__xludf.DUMMYFUNCTION("""COMPUTED_VALUE"""),"Domestic w/ Targeted Victim")</f>
        <v>Domestic w/ Targeted Victim</v>
      </c>
      <c r="Y2052" s="5" t="str">
        <f ca="1">IFERROR(__xludf.DUMMYFUNCTION("""COMPUTED_VALUE"""),"Victims Targeted")</f>
        <v>Victims Targeted</v>
      </c>
      <c r="Z2052" s="5" t="str">
        <f ca="1">IFERROR(__xludf.DUMMYFUNCTION("""COMPUTED_VALUE"""),"No")</f>
        <v>No</v>
      </c>
      <c r="AA2052" s="5"/>
      <c r="AB2052" s="5" t="str">
        <f ca="1">IFERROR(__xludf.DUMMYFUNCTION("""COMPUTED_VALUE"""),"No")</f>
        <v>No</v>
      </c>
      <c r="AC2052" s="5" t="str">
        <f ca="1">IFERROR(__xludf.DUMMYFUNCTION("""COMPUTED_VALUE"""),"No")</f>
        <v>No</v>
      </c>
      <c r="AD2052" s="5" t="str">
        <f ca="1">IFERROR(__xludf.DUMMYFUNCTION("""COMPUTED_VALUE"""),"No")</f>
        <v>No</v>
      </c>
      <c r="AE2052" s="5" t="str">
        <f ca="1">IFERROR(__xludf.DUMMYFUNCTION("""COMPUTED_VALUE"""),"No")</f>
        <v>No</v>
      </c>
      <c r="AF2052" s="5" t="str">
        <f ca="1">IFERROR(__xludf.DUMMYFUNCTION("""COMPUTED_VALUE"""),"Yes")</f>
        <v>Yes</v>
      </c>
      <c r="AG2052" s="5" t="str">
        <f ca="1">IFERROR(__xludf.DUMMYFUNCTION("""COMPUTED_VALUE"""),"No")</f>
        <v>No</v>
      </c>
      <c r="AH2052" s="5"/>
    </row>
    <row r="2053" spans="1:34" ht="12.75">
      <c r="A2053" s="5" t="str">
        <f ca="1">IFERROR(__xludf.DUMMYFUNCTION("""COMPUTED_VALUE"""),"19720915MISAS")</f>
        <v>19720915MISAS</v>
      </c>
      <c r="B2053" s="8">
        <f ca="1">IFERROR(__xludf.DUMMYFUNCTION("""COMPUTED_VALUE"""),26557)</f>
        <v>26557</v>
      </c>
      <c r="C2053" s="5" t="str">
        <f ca="1">IFERROR(__xludf.DUMMYFUNCTION("""COMPUTED_VALUE"""),"Saginaw High School")</f>
        <v>Saginaw High School</v>
      </c>
      <c r="D2053" s="5">
        <f ca="1">IFERROR(__xludf.DUMMYFUNCTION("""COMPUTED_VALUE"""),0)</f>
        <v>0</v>
      </c>
      <c r="E2053" s="5">
        <f ca="1">IFERROR(__xludf.DUMMYFUNCTION("""COMPUTED_VALUE"""),2)</f>
        <v>2</v>
      </c>
      <c r="F2053" s="5">
        <f ca="1">IFERROR(__xludf.DUMMYFUNCTION("""COMPUTED_VALUE"""),2)</f>
        <v>2</v>
      </c>
      <c r="G2053" s="5">
        <f ca="1">IFERROR(__xludf.DUMMYFUNCTION("""COMPUTED_VALUE"""),0)</f>
        <v>0</v>
      </c>
      <c r="H2053" s="9" t="str">
        <f ca="1">IFERROR(__xludf.DUMMYFUNCTION("""COMPUTED_VALUE"""),"https://www.newspapers.com/image/205331514/?terms=school%2Bshooting")</f>
        <v>https://www.newspapers.com/image/205331514/?terms=school%2Bshooting</v>
      </c>
      <c r="I2053" s="5"/>
      <c r="J2053" s="5"/>
      <c r="K2053" s="5">
        <f ca="1">IFERROR(__xludf.DUMMYFUNCTION("""COMPUTED_VALUE"""),2)</f>
        <v>2</v>
      </c>
      <c r="L2053" s="5" t="str">
        <f ca="1">IFERROR(__xludf.DUMMYFUNCTION("""COMPUTED_VALUE"""),"Fall")</f>
        <v>Fall</v>
      </c>
      <c r="M2053" s="5" t="str">
        <f ca="1">IFERROR(__xludf.DUMMYFUNCTION("""COMPUTED_VALUE"""),"Saginaw")</f>
        <v>Saginaw</v>
      </c>
      <c r="N2053" s="5" t="str">
        <f ca="1">IFERROR(__xludf.DUMMYFUNCTION("""COMPUTED_VALUE"""),"MI")</f>
        <v>MI</v>
      </c>
      <c r="O2053" s="5" t="str">
        <f ca="1">IFERROR(__xludf.DUMMYFUNCTION("""COMPUTED_VALUE"""),"High")</f>
        <v>High</v>
      </c>
      <c r="P2053" s="5" t="str">
        <f ca="1">IFERROR(__xludf.DUMMYFUNCTION("""COMPUTED_VALUE"""),"Hallway")</f>
        <v>Hallway</v>
      </c>
      <c r="Q2053" s="5" t="str">
        <f ca="1">IFERROR(__xludf.DUMMYFUNCTION("""COMPUTED_VALUE"""),"Inside School Building")</f>
        <v>Inside School Building</v>
      </c>
      <c r="R2053" s="5" t="str">
        <f ca="1">IFERROR(__xludf.DUMMYFUNCTION("""COMPUTED_VALUE"""),"Yes")</f>
        <v>Yes</v>
      </c>
      <c r="S2053" s="5" t="str">
        <f ca="1">IFERROR(__xludf.DUMMYFUNCTION("""COMPUTED_VALUE"""),"Afternoon Classes")</f>
        <v>Afternoon Classes</v>
      </c>
      <c r="T2053" s="5"/>
      <c r="U2053" s="5">
        <f ca="1">IFERROR(__xludf.DUMMYFUNCTION("""COMPUTED_VALUE"""),1)</f>
        <v>1</v>
      </c>
      <c r="V2053" s="5" t="str">
        <f ca="1">IFERROR(__xludf.DUMMYFUNCTION("""COMPUTED_VALUE"""),"Shot two students in hallway between classes")</f>
        <v>Shot two students in hallway between classes</v>
      </c>
      <c r="W2053"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X2053" s="5" t="str">
        <f ca="1">IFERROR(__xludf.DUMMYFUNCTION("""COMPUTED_VALUE"""),"Escalation of Dispute")</f>
        <v>Escalation of Dispute</v>
      </c>
      <c r="Y2053" s="5"/>
      <c r="Z2053" s="5" t="str">
        <f ca="1">IFERROR(__xludf.DUMMYFUNCTION("""COMPUTED_VALUE"""),"No")</f>
        <v>No</v>
      </c>
      <c r="AA2053" s="5"/>
      <c r="AB2053" s="5" t="str">
        <f ca="1">IFERROR(__xludf.DUMMYFUNCTION("""COMPUTED_VALUE"""),"No")</f>
        <v>No</v>
      </c>
      <c r="AC2053" s="5" t="str">
        <f ca="1">IFERROR(__xludf.DUMMYFUNCTION("""COMPUTED_VALUE"""),"No")</f>
        <v>No</v>
      </c>
      <c r="AD2053" s="5" t="str">
        <f ca="1">IFERROR(__xludf.DUMMYFUNCTION("""COMPUTED_VALUE"""),"No")</f>
        <v>No</v>
      </c>
      <c r="AE2053" s="5"/>
      <c r="AF2053" s="5"/>
      <c r="AG2053" s="5"/>
      <c r="AH2053" s="5"/>
    </row>
    <row r="2054" spans="1:34" ht="12.75">
      <c r="A2054" s="5" t="str">
        <f ca="1">IFERROR(__xludf.DUMMYFUNCTION("""COMPUTED_VALUE"""),"19720914TXFRH")</f>
        <v>19720914TXFRH</v>
      </c>
      <c r="B2054" s="8">
        <f ca="1">IFERROR(__xludf.DUMMYFUNCTION("""COMPUTED_VALUE"""),26556)</f>
        <v>26556</v>
      </c>
      <c r="C2054" s="5" t="str">
        <f ca="1">IFERROR(__xludf.DUMMYFUNCTION("""COMPUTED_VALUE"""),"Francis Scott Key Junior High")</f>
        <v>Francis Scott Key Junior High</v>
      </c>
      <c r="D2054" s="5">
        <f ca="1">IFERROR(__xludf.DUMMYFUNCTION("""COMPUTED_VALUE"""),0)</f>
        <v>0</v>
      </c>
      <c r="E2054" s="5">
        <f ca="1">IFERROR(__xludf.DUMMYFUNCTION("""COMPUTED_VALUE"""),1)</f>
        <v>1</v>
      </c>
      <c r="F2054" s="5">
        <f ca="1">IFERROR(__xludf.DUMMYFUNCTION("""COMPUTED_VALUE"""),1)</f>
        <v>1</v>
      </c>
      <c r="G2054" s="5">
        <f ca="1">IFERROR(__xludf.DUMMYFUNCTION("""COMPUTED_VALUE"""),0)</f>
        <v>0</v>
      </c>
      <c r="H2054"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I2054" s="5"/>
      <c r="J2054" s="5"/>
      <c r="K2054" s="5">
        <f ca="1">IFERROR(__xludf.DUMMYFUNCTION("""COMPUTED_VALUE"""),3)</f>
        <v>3</v>
      </c>
      <c r="L2054" s="5" t="str">
        <f ca="1">IFERROR(__xludf.DUMMYFUNCTION("""COMPUTED_VALUE"""),"Fall")</f>
        <v>Fall</v>
      </c>
      <c r="M2054" s="5" t="str">
        <f ca="1">IFERROR(__xludf.DUMMYFUNCTION("""COMPUTED_VALUE"""),"Houston")</f>
        <v>Houston</v>
      </c>
      <c r="N2054" s="5" t="str">
        <f ca="1">IFERROR(__xludf.DUMMYFUNCTION("""COMPUTED_VALUE"""),"TX")</f>
        <v>TX</v>
      </c>
      <c r="O2054" s="5" t="str">
        <f ca="1">IFERROR(__xludf.DUMMYFUNCTION("""COMPUTED_VALUE"""),"Junior High")</f>
        <v>Junior High</v>
      </c>
      <c r="P2054" s="5" t="str">
        <f ca="1">IFERROR(__xludf.DUMMYFUNCTION("""COMPUTED_VALUE"""),"Hallway")</f>
        <v>Hallway</v>
      </c>
      <c r="Q2054" s="5" t="str">
        <f ca="1">IFERROR(__xludf.DUMMYFUNCTION("""COMPUTED_VALUE"""),"Inside School Building")</f>
        <v>Inside School Building</v>
      </c>
      <c r="R2054" s="5" t="str">
        <f ca="1">IFERROR(__xludf.DUMMYFUNCTION("""COMPUTED_VALUE"""),"Yes")</f>
        <v>Yes</v>
      </c>
      <c r="S2054" s="5" t="str">
        <f ca="1">IFERROR(__xludf.DUMMYFUNCTION("""COMPUTED_VALUE"""),"Morning Classes")</f>
        <v>Morning Classes</v>
      </c>
      <c r="T2054" s="10">
        <f ca="1">IFERROR(__xludf.DUMMYFUNCTION("""COMPUTED_VALUE"""),0.5)</f>
        <v>0.5</v>
      </c>
      <c r="U2054" s="5">
        <f ca="1">IFERROR(__xludf.DUMMYFUNCTION("""COMPUTED_VALUE"""),1)</f>
        <v>1</v>
      </c>
      <c r="V2054" s="5" t="str">
        <f ca="1">IFERROR(__xludf.DUMMYFUNCTION("""COMPUTED_VALUE"""),"Student shot teacher after being disciplined for slamming door.")</f>
        <v>Student shot teacher after being disciplined for slamming door.</v>
      </c>
      <c r="W2054"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X2054" s="5" t="str">
        <f ca="1">IFERROR(__xludf.DUMMYFUNCTION("""COMPUTED_VALUE"""),"Anger Over Grade/Suspension/Discipline")</f>
        <v>Anger Over Grade/Suspension/Discipline</v>
      </c>
      <c r="Y2054" s="5" t="str">
        <f ca="1">IFERROR(__xludf.DUMMYFUNCTION("""COMPUTED_VALUE"""),"Victims Targeted")</f>
        <v>Victims Targeted</v>
      </c>
      <c r="Z2054" s="5" t="str">
        <f ca="1">IFERROR(__xludf.DUMMYFUNCTION("""COMPUTED_VALUE"""),"No")</f>
        <v>No</v>
      </c>
      <c r="AA2054" s="5"/>
      <c r="AB2054" s="5" t="str">
        <f ca="1">IFERROR(__xludf.DUMMYFUNCTION("""COMPUTED_VALUE"""),"No")</f>
        <v>No</v>
      </c>
      <c r="AC2054" s="5" t="str">
        <f ca="1">IFERROR(__xludf.DUMMYFUNCTION("""COMPUTED_VALUE"""),"No")</f>
        <v>No</v>
      </c>
      <c r="AD2054" s="5" t="str">
        <f ca="1">IFERROR(__xludf.DUMMYFUNCTION("""COMPUTED_VALUE"""),"No")</f>
        <v>No</v>
      </c>
      <c r="AE2054" s="5" t="str">
        <f ca="1">IFERROR(__xludf.DUMMYFUNCTION("""COMPUTED_VALUE"""),"No")</f>
        <v>No</v>
      </c>
      <c r="AF2054" s="5" t="str">
        <f ca="1">IFERROR(__xludf.DUMMYFUNCTION("""COMPUTED_VALUE"""),"No")</f>
        <v>No</v>
      </c>
      <c r="AG2054" s="5" t="str">
        <f ca="1">IFERROR(__xludf.DUMMYFUNCTION("""COMPUTED_VALUE"""),"No")</f>
        <v>No</v>
      </c>
      <c r="AH2054" s="5"/>
    </row>
    <row r="2055" spans="1:34" ht="12.75">
      <c r="A2055" s="5" t="str">
        <f ca="1">IFERROR(__xludf.DUMMYFUNCTION("""COMPUTED_VALUE"""),"19720505INDEI")</f>
        <v>19720505INDEI</v>
      </c>
      <c r="B2055" s="8">
        <f ca="1">IFERROR(__xludf.DUMMYFUNCTION("""COMPUTED_VALUE"""),26424)</f>
        <v>26424</v>
      </c>
      <c r="C2055" s="5" t="str">
        <f ca="1">IFERROR(__xludf.DUMMYFUNCTION("""COMPUTED_VALUE"""),"Decatur Central High School")</f>
        <v>Decatur Central High School</v>
      </c>
      <c r="D2055" s="5">
        <f ca="1">IFERROR(__xludf.DUMMYFUNCTION("""COMPUTED_VALUE"""),1)</f>
        <v>1</v>
      </c>
      <c r="E2055" s="5">
        <f ca="1">IFERROR(__xludf.DUMMYFUNCTION("""COMPUTED_VALUE"""),0)</f>
        <v>0</v>
      </c>
      <c r="F2055" s="5">
        <f ca="1">IFERROR(__xludf.DUMMYFUNCTION("""COMPUTED_VALUE"""),1)</f>
        <v>1</v>
      </c>
      <c r="G2055" s="5">
        <f ca="1">IFERROR(__xludf.DUMMYFUNCTION("""COMPUTED_VALUE"""),0)</f>
        <v>0</v>
      </c>
      <c r="H2055" s="9" t="str">
        <f ca="1">IFERROR(__xludf.DUMMYFUNCTION("""COMPUTED_VALUE"""),"https://www.newspapers.com/image/105768941/")</f>
        <v>https://www.newspapers.com/image/105768941/</v>
      </c>
      <c r="I2055" s="5"/>
      <c r="J2055" s="5"/>
      <c r="K2055" s="5">
        <f ca="1">IFERROR(__xludf.DUMMYFUNCTION("""COMPUTED_VALUE"""),2)</f>
        <v>2</v>
      </c>
      <c r="L2055" s="5" t="str">
        <f ca="1">IFERROR(__xludf.DUMMYFUNCTION("""COMPUTED_VALUE"""),"Spring")</f>
        <v>Spring</v>
      </c>
      <c r="M2055" s="5" t="str">
        <f ca="1">IFERROR(__xludf.DUMMYFUNCTION("""COMPUTED_VALUE"""),"Indianapolis")</f>
        <v>Indianapolis</v>
      </c>
      <c r="N2055" s="5" t="str">
        <f ca="1">IFERROR(__xludf.DUMMYFUNCTION("""COMPUTED_VALUE"""),"IN")</f>
        <v>IN</v>
      </c>
      <c r="O2055" s="5" t="str">
        <f ca="1">IFERROR(__xludf.DUMMYFUNCTION("""COMPUTED_VALUE"""),"High")</f>
        <v>High</v>
      </c>
      <c r="P2055" s="5" t="str">
        <f ca="1">IFERROR(__xludf.DUMMYFUNCTION("""COMPUTED_VALUE"""),"Field (General)")</f>
        <v>Field (General)</v>
      </c>
      <c r="Q2055" s="5" t="str">
        <f ca="1">IFERROR(__xludf.DUMMYFUNCTION("""COMPUTED_VALUE"""),"Outside on School Property")</f>
        <v>Outside on School Property</v>
      </c>
      <c r="R2055" s="5" t="str">
        <f ca="1">IFERROR(__xludf.DUMMYFUNCTION("""COMPUTED_VALUE"""),"Yes")</f>
        <v>Yes</v>
      </c>
      <c r="S2055" s="5" t="str">
        <f ca="1">IFERROR(__xludf.DUMMYFUNCTION("""COMPUTED_VALUE"""),"Afternoon Classes")</f>
        <v>Afternoon Classes</v>
      </c>
      <c r="T2055" s="10">
        <f ca="1">IFERROR(__xludf.DUMMYFUNCTION("""COMPUTED_VALUE"""),0.5625)</f>
        <v>0.5625</v>
      </c>
      <c r="U2055" s="5">
        <f ca="1">IFERROR(__xludf.DUMMYFUNCTION("""COMPUTED_VALUE"""),1)</f>
        <v>1</v>
      </c>
      <c r="V2055" s="5" t="str">
        <f ca="1">IFERROR(__xludf.DUMMYFUNCTION("""COMPUTED_VALUE"""),"Sister shot brother, declared to be insane")</f>
        <v>Sister shot brother, declared to be insane</v>
      </c>
      <c r="W2055"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X2055" s="5" t="str">
        <f ca="1">IFERROR(__xludf.DUMMYFUNCTION("""COMPUTED_VALUE"""),"Psychosis")</f>
        <v>Psychosis</v>
      </c>
      <c r="Y2055" s="5" t="str">
        <f ca="1">IFERROR(__xludf.DUMMYFUNCTION("""COMPUTED_VALUE"""),"Victims Targeted")</f>
        <v>Victims Targeted</v>
      </c>
      <c r="Z2055" s="5"/>
      <c r="AA2055" s="5"/>
      <c r="AB2055" s="5" t="str">
        <f ca="1">IFERROR(__xludf.DUMMYFUNCTION("""COMPUTED_VALUE"""),"No")</f>
        <v>No</v>
      </c>
      <c r="AC2055" s="5" t="str">
        <f ca="1">IFERROR(__xludf.DUMMYFUNCTION("""COMPUTED_VALUE"""),"No")</f>
        <v>No</v>
      </c>
      <c r="AD2055" s="5" t="str">
        <f ca="1">IFERROR(__xludf.DUMMYFUNCTION("""COMPUTED_VALUE"""),"No")</f>
        <v>No</v>
      </c>
      <c r="AE2055" s="5" t="str">
        <f ca="1">IFERROR(__xludf.DUMMYFUNCTION("""COMPUTED_VALUE"""),"No")</f>
        <v>No</v>
      </c>
      <c r="AF2055" s="5" t="str">
        <f ca="1">IFERROR(__xludf.DUMMYFUNCTION("""COMPUTED_VALUE"""),"No")</f>
        <v>No</v>
      </c>
      <c r="AG2055" s="5" t="str">
        <f ca="1">IFERROR(__xludf.DUMMYFUNCTION("""COMPUTED_VALUE"""),"No")</f>
        <v>No</v>
      </c>
      <c r="AH2055" s="5"/>
    </row>
    <row r="2056" spans="1:34" ht="12.75">
      <c r="A2056" s="5" t="str">
        <f ca="1">IFERROR(__xludf.DUMMYFUNCTION("""COMPUTED_VALUE"""),"19720504NVLIR")</f>
        <v>19720504NVLIR</v>
      </c>
      <c r="B2056" s="8">
        <f ca="1">IFERROR(__xludf.DUMMYFUNCTION("""COMPUTED_VALUE"""),26423)</f>
        <v>26423</v>
      </c>
      <c r="C2056" s="5" t="str">
        <f ca="1">IFERROR(__xludf.DUMMYFUNCTION("""COMPUTED_VALUE"""),"Libby Booth Elementary School")</f>
        <v>Libby Booth Elementary School</v>
      </c>
      <c r="D2056" s="5">
        <f ca="1">IFERROR(__xludf.DUMMYFUNCTION("""COMPUTED_VALUE"""),1)</f>
        <v>1</v>
      </c>
      <c r="E2056" s="5">
        <f ca="1">IFERROR(__xludf.DUMMYFUNCTION("""COMPUTED_VALUE"""),0)</f>
        <v>0</v>
      </c>
      <c r="F2056" s="5">
        <f ca="1">IFERROR(__xludf.DUMMYFUNCTION("""COMPUTED_VALUE"""),1)</f>
        <v>1</v>
      </c>
      <c r="G2056" s="5">
        <f ca="1">IFERROR(__xludf.DUMMYFUNCTION("""COMPUTED_VALUE"""),0)</f>
        <v>0</v>
      </c>
      <c r="H2056"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I2056" s="5"/>
      <c r="J2056" s="5"/>
      <c r="K2056" s="5">
        <f ca="1">IFERROR(__xludf.DUMMYFUNCTION("""COMPUTED_VALUE"""),2)</f>
        <v>2</v>
      </c>
      <c r="L2056" s="5" t="str">
        <f ca="1">IFERROR(__xludf.DUMMYFUNCTION("""COMPUTED_VALUE"""),"Spring")</f>
        <v>Spring</v>
      </c>
      <c r="M2056" s="5" t="str">
        <f ca="1">IFERROR(__xludf.DUMMYFUNCTION("""COMPUTED_VALUE"""),"Reno")</f>
        <v>Reno</v>
      </c>
      <c r="N2056" s="5" t="str">
        <f ca="1">IFERROR(__xludf.DUMMYFUNCTION("""COMPUTED_VALUE"""),"NV")</f>
        <v>NV</v>
      </c>
      <c r="O2056" s="5" t="str">
        <f ca="1">IFERROR(__xludf.DUMMYFUNCTION("""COMPUTED_VALUE"""),"Elementary")</f>
        <v>Elementary</v>
      </c>
      <c r="P2056" s="5" t="str">
        <f ca="1">IFERROR(__xludf.DUMMYFUNCTION("""COMPUTED_VALUE"""),"Office")</f>
        <v>Office</v>
      </c>
      <c r="Q2056" s="5" t="str">
        <f ca="1">IFERROR(__xludf.DUMMYFUNCTION("""COMPUTED_VALUE"""),"Inside School Building")</f>
        <v>Inside School Building</v>
      </c>
      <c r="R2056" s="5" t="str">
        <f ca="1">IFERROR(__xludf.DUMMYFUNCTION("""COMPUTED_VALUE"""),"Yes")</f>
        <v>Yes</v>
      </c>
      <c r="S2056" s="5" t="str">
        <f ca="1">IFERROR(__xludf.DUMMYFUNCTION("""COMPUTED_VALUE"""),"Lunch")</f>
        <v>Lunch</v>
      </c>
      <c r="T2056" s="10">
        <f ca="1">IFERROR(__xludf.DUMMYFUNCTION("""COMPUTED_VALUE"""),0.5)</f>
        <v>0.5</v>
      </c>
      <c r="U2056" s="5">
        <f ca="1">IFERROR(__xludf.DUMMYFUNCTION("""COMPUTED_VALUE"""),1)</f>
        <v>1</v>
      </c>
      <c r="V2056" s="5" t="str">
        <f ca="1">IFERROR(__xludf.DUMMYFUNCTION("""COMPUTED_VALUE"""),"Principal killed by teacher")</f>
        <v>Principal killed by teacher</v>
      </c>
      <c r="W2056" s="5" t="str">
        <f ca="1">IFERROR(__xludf.DUMMYFUNCTION("""COMPUTED_VALUE"""),"Principal killed by teacher in his office during discussion of personnel issues.")</f>
        <v>Principal killed by teacher in his office during discussion of personnel issues.</v>
      </c>
      <c r="X2056" s="5" t="str">
        <f ca="1">IFERROR(__xludf.DUMMYFUNCTION("""COMPUTED_VALUE"""),"Anger Over Grade/Suspension/Discipline")</f>
        <v>Anger Over Grade/Suspension/Discipline</v>
      </c>
      <c r="Y2056" s="5" t="str">
        <f ca="1">IFERROR(__xludf.DUMMYFUNCTION("""COMPUTED_VALUE"""),"Victims Targeted")</f>
        <v>Victims Targeted</v>
      </c>
      <c r="Z2056" s="5" t="str">
        <f ca="1">IFERROR(__xludf.DUMMYFUNCTION("""COMPUTED_VALUE"""),"No")</f>
        <v>No</v>
      </c>
      <c r="AA2056" s="5"/>
      <c r="AB2056" s="5" t="str">
        <f ca="1">IFERROR(__xludf.DUMMYFUNCTION("""COMPUTED_VALUE"""),"No")</f>
        <v>No</v>
      </c>
      <c r="AC2056" s="5" t="str">
        <f ca="1">IFERROR(__xludf.DUMMYFUNCTION("""COMPUTED_VALUE"""),"No")</f>
        <v>No</v>
      </c>
      <c r="AD2056" s="5" t="str">
        <f ca="1">IFERROR(__xludf.DUMMYFUNCTION("""COMPUTED_VALUE"""),"No")</f>
        <v>No</v>
      </c>
      <c r="AE2056" s="5" t="str">
        <f ca="1">IFERROR(__xludf.DUMMYFUNCTION("""COMPUTED_VALUE"""),"No")</f>
        <v>No</v>
      </c>
      <c r="AF2056" s="5" t="str">
        <f ca="1">IFERROR(__xludf.DUMMYFUNCTION("""COMPUTED_VALUE"""),"No")</f>
        <v>No</v>
      </c>
      <c r="AG2056" s="5" t="str">
        <f ca="1">IFERROR(__xludf.DUMMYFUNCTION("""COMPUTED_VALUE"""),"No")</f>
        <v>No</v>
      </c>
      <c r="AH2056" s="5"/>
    </row>
    <row r="2057" spans="1:34" ht="12.75">
      <c r="A2057" s="5" t="str">
        <f ca="1">IFERROR(__xludf.DUMMYFUNCTION("""COMPUTED_VALUE"""),"19720412LAEAG")</f>
        <v>19720412LAEAG</v>
      </c>
      <c r="B2057" s="8">
        <f ca="1">IFERROR(__xludf.DUMMYFUNCTION("""COMPUTED_VALUE"""),26401)</f>
        <v>26401</v>
      </c>
      <c r="C2057" s="5" t="str">
        <f ca="1">IFERROR(__xludf.DUMMYFUNCTION("""COMPUTED_VALUE"""),"East Ascension Junior High")</f>
        <v>East Ascension Junior High</v>
      </c>
      <c r="D2057" s="5">
        <f ca="1">IFERROR(__xludf.DUMMYFUNCTION("""COMPUTED_VALUE"""),0)</f>
        <v>0</v>
      </c>
      <c r="E2057" s="5">
        <f ca="1">IFERROR(__xludf.DUMMYFUNCTION("""COMPUTED_VALUE"""),1)</f>
        <v>1</v>
      </c>
      <c r="F2057" s="5">
        <f ca="1">IFERROR(__xludf.DUMMYFUNCTION("""COMPUTED_VALUE"""),1)</f>
        <v>1</v>
      </c>
      <c r="G2057" s="5">
        <f ca="1">IFERROR(__xludf.DUMMYFUNCTION("""COMPUTED_VALUE"""),1)</f>
        <v>1</v>
      </c>
      <c r="H2057" s="9" t="str">
        <f ca="1">IFERROR(__xludf.DUMMYFUNCTION("""COMPUTED_VALUE"""),"https://www.newspapers.com/image/227849615/?terms=husband%2Bkills%2Bteacher")</f>
        <v>https://www.newspapers.com/image/227849615/?terms=husband%2Bkills%2Bteacher</v>
      </c>
      <c r="I2057" s="5"/>
      <c r="J2057" s="5"/>
      <c r="K2057" s="5">
        <f ca="1">IFERROR(__xludf.DUMMYFUNCTION("""COMPUTED_VALUE"""),2)</f>
        <v>2</v>
      </c>
      <c r="L2057" s="5" t="str">
        <f ca="1">IFERROR(__xludf.DUMMYFUNCTION("""COMPUTED_VALUE"""),"Spring")</f>
        <v>Spring</v>
      </c>
      <c r="M2057" s="5" t="str">
        <f ca="1">IFERROR(__xludf.DUMMYFUNCTION("""COMPUTED_VALUE"""),"Gonzales")</f>
        <v>Gonzales</v>
      </c>
      <c r="N2057" s="5" t="str">
        <f ca="1">IFERROR(__xludf.DUMMYFUNCTION("""COMPUTED_VALUE"""),"LA")</f>
        <v>LA</v>
      </c>
      <c r="O2057" s="5" t="str">
        <f ca="1">IFERROR(__xludf.DUMMYFUNCTION("""COMPUTED_VALUE"""),"Junior High")</f>
        <v>Junior High</v>
      </c>
      <c r="P2057" s="5" t="str">
        <f ca="1">IFERROR(__xludf.DUMMYFUNCTION("""COMPUTED_VALUE"""),"Inside School Building")</f>
        <v>Inside School Building</v>
      </c>
      <c r="Q2057" s="5" t="str">
        <f ca="1">IFERROR(__xludf.DUMMYFUNCTION("""COMPUTED_VALUE"""),"Inside School Building")</f>
        <v>Inside School Building</v>
      </c>
      <c r="R2057" s="5" t="str">
        <f ca="1">IFERROR(__xludf.DUMMYFUNCTION("""COMPUTED_VALUE"""),"Yes")</f>
        <v>Yes</v>
      </c>
      <c r="S2057" s="5" t="str">
        <f ca="1">IFERROR(__xludf.DUMMYFUNCTION("""COMPUTED_VALUE"""),"After School")</f>
        <v>After School</v>
      </c>
      <c r="T2057" s="5"/>
      <c r="U2057" s="5">
        <f ca="1">IFERROR(__xludf.DUMMYFUNCTION("""COMPUTED_VALUE"""),1)</f>
        <v>1</v>
      </c>
      <c r="V2057" s="5" t="str">
        <f ca="1">IFERROR(__xludf.DUMMYFUNCTION("""COMPUTED_VALUE"""),"Domestic, shot wife who was teacher then shoots, kills himself")</f>
        <v>Domestic, shot wife who was teacher then shoots, kills himself</v>
      </c>
      <c r="W2057"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X2057" s="5" t="str">
        <f ca="1">IFERROR(__xludf.DUMMYFUNCTION("""COMPUTED_VALUE"""),"Domestic w/ Targeted Victim")</f>
        <v>Domestic w/ Targeted Victim</v>
      </c>
      <c r="Y2057" s="5" t="str">
        <f ca="1">IFERROR(__xludf.DUMMYFUNCTION("""COMPUTED_VALUE"""),"Victims Targeted")</f>
        <v>Victims Targeted</v>
      </c>
      <c r="Z2057" s="5" t="str">
        <f ca="1">IFERROR(__xludf.DUMMYFUNCTION("""COMPUTED_VALUE"""),"No")</f>
        <v>No</v>
      </c>
      <c r="AA2057" s="5"/>
      <c r="AB2057" s="5" t="str">
        <f ca="1">IFERROR(__xludf.DUMMYFUNCTION("""COMPUTED_VALUE"""),"No")</f>
        <v>No</v>
      </c>
      <c r="AC2057" s="5" t="str">
        <f ca="1">IFERROR(__xludf.DUMMYFUNCTION("""COMPUTED_VALUE"""),"No")</f>
        <v>No</v>
      </c>
      <c r="AD2057" s="5" t="str">
        <f ca="1">IFERROR(__xludf.DUMMYFUNCTION("""COMPUTED_VALUE"""),"No")</f>
        <v>No</v>
      </c>
      <c r="AE2057" s="5" t="str">
        <f ca="1">IFERROR(__xludf.DUMMYFUNCTION("""COMPUTED_VALUE"""),"No")</f>
        <v>No</v>
      </c>
      <c r="AF2057" s="5" t="str">
        <f ca="1">IFERROR(__xludf.DUMMYFUNCTION("""COMPUTED_VALUE"""),"Yes")</f>
        <v>Yes</v>
      </c>
      <c r="AG2057" s="5" t="str">
        <f ca="1">IFERROR(__xludf.DUMMYFUNCTION("""COMPUTED_VALUE"""),"No")</f>
        <v>No</v>
      </c>
      <c r="AH2057" s="5"/>
    </row>
    <row r="2058" spans="1:34" ht="12.75">
      <c r="A2058" s="5" t="str">
        <f ca="1">IFERROR(__xludf.DUMMYFUNCTION("""COMPUTED_VALUE"""),"19720313TXUNH")</f>
        <v>19720313TXUNH</v>
      </c>
      <c r="B2058" s="8">
        <f ca="1">IFERROR(__xludf.DUMMYFUNCTION("""COMPUTED_VALUE"""),26371)</f>
        <v>26371</v>
      </c>
      <c r="C2058" s="5" t="str">
        <f ca="1">IFERROR(__xludf.DUMMYFUNCTION("""COMPUTED_VALUE"""),"Unnamed Junior High School")</f>
        <v>Unnamed Junior High School</v>
      </c>
      <c r="D2058" s="5">
        <f ca="1">IFERROR(__xludf.DUMMYFUNCTION("""COMPUTED_VALUE"""),0)</f>
        <v>0</v>
      </c>
      <c r="E2058" s="5">
        <f ca="1">IFERROR(__xludf.DUMMYFUNCTION("""COMPUTED_VALUE"""),1)</f>
        <v>1</v>
      </c>
      <c r="F2058" s="5">
        <f ca="1">IFERROR(__xludf.DUMMYFUNCTION("""COMPUTED_VALUE"""),1)</f>
        <v>1</v>
      </c>
      <c r="G2058" s="5">
        <f ca="1">IFERROR(__xludf.DUMMYFUNCTION("""COMPUTED_VALUE"""),0)</f>
        <v>0</v>
      </c>
      <c r="H2058" s="9" t="str">
        <f ca="1">IFERROR(__xludf.DUMMYFUNCTION("""COMPUTED_VALUE"""),"https://www.newspapers.com/image/6263611/?terms=school%2Bshooting")</f>
        <v>https://www.newspapers.com/image/6263611/?terms=school%2Bshooting</v>
      </c>
      <c r="I2058" s="5"/>
      <c r="J2058" s="5"/>
      <c r="K2058" s="5">
        <f ca="1">IFERROR(__xludf.DUMMYFUNCTION("""COMPUTED_VALUE"""),2)</f>
        <v>2</v>
      </c>
      <c r="L2058" s="5" t="str">
        <f ca="1">IFERROR(__xludf.DUMMYFUNCTION("""COMPUTED_VALUE"""),"Spring")</f>
        <v>Spring</v>
      </c>
      <c r="M2058" s="5" t="str">
        <f ca="1">IFERROR(__xludf.DUMMYFUNCTION("""COMPUTED_VALUE"""),"Houston")</f>
        <v>Houston</v>
      </c>
      <c r="N2058" s="5" t="str">
        <f ca="1">IFERROR(__xludf.DUMMYFUNCTION("""COMPUTED_VALUE"""),"TX")</f>
        <v>TX</v>
      </c>
      <c r="O2058" s="5" t="str">
        <f ca="1">IFERROR(__xludf.DUMMYFUNCTION("""COMPUTED_VALUE"""),"Junior High")</f>
        <v>Junior High</v>
      </c>
      <c r="P2058" s="5" t="str">
        <f ca="1">IFERROR(__xludf.DUMMYFUNCTION("""COMPUTED_VALUE"""),"Classroom")</f>
        <v>Classroom</v>
      </c>
      <c r="Q2058" s="5" t="str">
        <f ca="1">IFERROR(__xludf.DUMMYFUNCTION("""COMPUTED_VALUE"""),"Inside School Building")</f>
        <v>Inside School Building</v>
      </c>
      <c r="R2058" s="5" t="str">
        <f ca="1">IFERROR(__xludf.DUMMYFUNCTION("""COMPUTED_VALUE"""),"Yes")</f>
        <v>Yes</v>
      </c>
      <c r="S2058" s="5"/>
      <c r="T2058" s="5"/>
      <c r="U2058" s="5">
        <f ca="1">IFERROR(__xludf.DUMMYFUNCTION("""COMPUTED_VALUE"""),1)</f>
        <v>1</v>
      </c>
      <c r="V2058" s="5" t="str">
        <f ca="1">IFERROR(__xludf.DUMMYFUNCTION("""COMPUTED_VALUE"""),"Pistol discharged while showing it off in classroom")</f>
        <v>Pistol discharged while showing it off in classroom</v>
      </c>
      <c r="W2058"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X2058" s="5" t="str">
        <f ca="1">IFERROR(__xludf.DUMMYFUNCTION("""COMPUTED_VALUE"""),"Accidental")</f>
        <v>Accidental</v>
      </c>
      <c r="Y2058" s="5" t="str">
        <f ca="1">IFERROR(__xludf.DUMMYFUNCTION("""COMPUTED_VALUE"""),"Neither")</f>
        <v>Neither</v>
      </c>
      <c r="Z2058" s="5" t="str">
        <f ca="1">IFERROR(__xludf.DUMMYFUNCTION("""COMPUTED_VALUE"""),"No")</f>
        <v>No</v>
      </c>
      <c r="AA2058" s="5"/>
      <c r="AB2058" s="5" t="str">
        <f ca="1">IFERROR(__xludf.DUMMYFUNCTION("""COMPUTED_VALUE"""),"No")</f>
        <v>No</v>
      </c>
      <c r="AC2058" s="5" t="str">
        <f ca="1">IFERROR(__xludf.DUMMYFUNCTION("""COMPUTED_VALUE"""),"No")</f>
        <v>No</v>
      </c>
      <c r="AD2058" s="5" t="str">
        <f ca="1">IFERROR(__xludf.DUMMYFUNCTION("""COMPUTED_VALUE"""),"No")</f>
        <v>No</v>
      </c>
      <c r="AE2058" s="5" t="str">
        <f ca="1">IFERROR(__xludf.DUMMYFUNCTION("""COMPUTED_VALUE"""),"No")</f>
        <v>No</v>
      </c>
      <c r="AF2058" s="5" t="str">
        <f ca="1">IFERROR(__xludf.DUMMYFUNCTION("""COMPUTED_VALUE"""),"No")</f>
        <v>No</v>
      </c>
      <c r="AG2058" s="5" t="str">
        <f ca="1">IFERROR(__xludf.DUMMYFUNCTION("""COMPUTED_VALUE"""),"No")</f>
        <v>No</v>
      </c>
      <c r="AH2058" s="5"/>
    </row>
    <row r="2059" spans="1:34" ht="12.75">
      <c r="A2059" s="5" t="str">
        <f ca="1">IFERROR(__xludf.DUMMYFUNCTION("""COMPUTED_VALUE"""),"19720228CAMAL")</f>
        <v>19720228CAMAL</v>
      </c>
      <c r="B2059" s="8">
        <f ca="1">IFERROR(__xludf.DUMMYFUNCTION("""COMPUTED_VALUE"""),26357)</f>
        <v>26357</v>
      </c>
      <c r="C2059" s="5" t="str">
        <f ca="1">IFERROR(__xludf.DUMMYFUNCTION("""COMPUTED_VALUE"""),"Markham Junior High School")</f>
        <v>Markham Junior High School</v>
      </c>
      <c r="D2059" s="5">
        <f ca="1">IFERROR(__xludf.DUMMYFUNCTION("""COMPUTED_VALUE"""),0)</f>
        <v>0</v>
      </c>
      <c r="E2059" s="5">
        <f ca="1">IFERROR(__xludf.DUMMYFUNCTION("""COMPUTED_VALUE"""),1)</f>
        <v>1</v>
      </c>
      <c r="F2059" s="5">
        <f ca="1">IFERROR(__xludf.DUMMYFUNCTION("""COMPUTED_VALUE"""),1)</f>
        <v>1</v>
      </c>
      <c r="G2059" s="5">
        <f ca="1">IFERROR(__xludf.DUMMYFUNCTION("""COMPUTED_VALUE"""),0)</f>
        <v>0</v>
      </c>
      <c r="H2059" s="9" t="str">
        <f ca="1">IFERROR(__xludf.DUMMYFUNCTION("""COMPUTED_VALUE"""),"https://www.newspapers.com/image/238598927/?terms=school%2Bshooting")</f>
        <v>https://www.newspapers.com/image/238598927/?terms=school%2Bshooting</v>
      </c>
      <c r="I2059" s="5"/>
      <c r="J2059" s="5"/>
      <c r="K2059" s="5">
        <f ca="1">IFERROR(__xludf.DUMMYFUNCTION("""COMPUTED_VALUE"""),2)</f>
        <v>2</v>
      </c>
      <c r="L2059" s="5" t="str">
        <f ca="1">IFERROR(__xludf.DUMMYFUNCTION("""COMPUTED_VALUE"""),"Winter")</f>
        <v>Winter</v>
      </c>
      <c r="M2059" s="5" t="str">
        <f ca="1">IFERROR(__xludf.DUMMYFUNCTION("""COMPUTED_VALUE"""),"Los Angeles")</f>
        <v>Los Angeles</v>
      </c>
      <c r="N2059" s="5" t="str">
        <f ca="1">IFERROR(__xludf.DUMMYFUNCTION("""COMPUTED_VALUE"""),"CA")</f>
        <v>CA</v>
      </c>
      <c r="O2059" s="5" t="str">
        <f ca="1">IFERROR(__xludf.DUMMYFUNCTION("""COMPUTED_VALUE"""),"Junior High")</f>
        <v>Junior High</v>
      </c>
      <c r="P2059" s="5" t="str">
        <f ca="1">IFERROR(__xludf.DUMMYFUNCTION("""COMPUTED_VALUE"""),"Inside School Building")</f>
        <v>Inside School Building</v>
      </c>
      <c r="Q2059" s="5" t="str">
        <f ca="1">IFERROR(__xludf.DUMMYFUNCTION("""COMPUTED_VALUE"""),"Inside School Building")</f>
        <v>Inside School Building</v>
      </c>
      <c r="R2059" s="5" t="str">
        <f ca="1">IFERROR(__xludf.DUMMYFUNCTION("""COMPUTED_VALUE"""),"Yes")</f>
        <v>Yes</v>
      </c>
      <c r="S2059" s="5"/>
      <c r="T2059" s="5"/>
      <c r="U2059" s="5">
        <f ca="1">IFERROR(__xludf.DUMMYFUNCTION("""COMPUTED_VALUE"""),1)</f>
        <v>1</v>
      </c>
      <c r="V2059" s="5" t="str">
        <f ca="1">IFERROR(__xludf.DUMMYFUNCTION("""COMPUTED_VALUE"""),"Showing off gun and it accidental discharged striking other student")</f>
        <v>Showing off gun and it accidental discharged striking other student</v>
      </c>
      <c r="W2059" s="5" t="str">
        <f ca="1">IFERROR(__xludf.DUMMYFUNCTION("""COMPUTED_VALUE"""),"14 year-old male was showing off pistol when it accidentally discharged striking another student.")</f>
        <v>14 year-old male was showing off pistol when it accidentally discharged striking another student.</v>
      </c>
      <c r="X2059" s="5" t="str">
        <f ca="1">IFERROR(__xludf.DUMMYFUNCTION("""COMPUTED_VALUE"""),"Accidental")</f>
        <v>Accidental</v>
      </c>
      <c r="Y2059" s="5" t="str">
        <f ca="1">IFERROR(__xludf.DUMMYFUNCTION("""COMPUTED_VALUE"""),"Random Shooting")</f>
        <v>Random Shooting</v>
      </c>
      <c r="Z2059" s="5" t="str">
        <f ca="1">IFERROR(__xludf.DUMMYFUNCTION("""COMPUTED_VALUE"""),"No")</f>
        <v>No</v>
      </c>
      <c r="AA2059" s="5"/>
      <c r="AB2059" s="5" t="str">
        <f ca="1">IFERROR(__xludf.DUMMYFUNCTION("""COMPUTED_VALUE"""),"No")</f>
        <v>No</v>
      </c>
      <c r="AC2059" s="5" t="str">
        <f ca="1">IFERROR(__xludf.DUMMYFUNCTION("""COMPUTED_VALUE"""),"No")</f>
        <v>No</v>
      </c>
      <c r="AD2059" s="5" t="str">
        <f ca="1">IFERROR(__xludf.DUMMYFUNCTION("""COMPUTED_VALUE"""),"No")</f>
        <v>No</v>
      </c>
      <c r="AE2059" s="5" t="str">
        <f ca="1">IFERROR(__xludf.DUMMYFUNCTION("""COMPUTED_VALUE"""),"No")</f>
        <v>No</v>
      </c>
      <c r="AF2059" s="5" t="str">
        <f ca="1">IFERROR(__xludf.DUMMYFUNCTION("""COMPUTED_VALUE"""),"No")</f>
        <v>No</v>
      </c>
      <c r="AG2059" s="5" t="str">
        <f ca="1">IFERROR(__xludf.DUMMYFUNCTION("""COMPUTED_VALUE"""),"No")</f>
        <v>No</v>
      </c>
      <c r="AH2059" s="5"/>
    </row>
    <row r="2060" spans="1:34" ht="12.75">
      <c r="A2060" s="5" t="str">
        <f ca="1">IFERROR(__xludf.DUMMYFUNCTION("""COMPUTED_VALUE"""),"19720215ILKEC")</f>
        <v>19720215ILKEC</v>
      </c>
      <c r="B2060" s="8">
        <f ca="1">IFERROR(__xludf.DUMMYFUNCTION("""COMPUTED_VALUE"""),26344)</f>
        <v>26344</v>
      </c>
      <c r="C2060" s="5" t="str">
        <f ca="1">IFERROR(__xludf.DUMMYFUNCTION("""COMPUTED_VALUE"""),"Kenwood High School")</f>
        <v>Kenwood High School</v>
      </c>
      <c r="D2060" s="5">
        <f ca="1">IFERROR(__xludf.DUMMYFUNCTION("""COMPUTED_VALUE"""),0)</f>
        <v>0</v>
      </c>
      <c r="E2060" s="5">
        <f ca="1">IFERROR(__xludf.DUMMYFUNCTION("""COMPUTED_VALUE"""),0)</f>
        <v>0</v>
      </c>
      <c r="F2060" s="5">
        <f ca="1">IFERROR(__xludf.DUMMYFUNCTION("""COMPUTED_VALUE"""),0)</f>
        <v>0</v>
      </c>
      <c r="G2060" s="5">
        <f ca="1">IFERROR(__xludf.DUMMYFUNCTION("""COMPUTED_VALUE"""),1)</f>
        <v>1</v>
      </c>
      <c r="H2060" s="9" t="str">
        <f ca="1">IFERROR(__xludf.DUMMYFUNCTION("""COMPUTED_VALUE"""),"https://www.newspapers.com/image/340859194/?terms=school%2Bshooting")</f>
        <v>https://www.newspapers.com/image/340859194/?terms=school%2Bshooting</v>
      </c>
      <c r="I2060" s="5"/>
      <c r="J2060" s="5"/>
      <c r="K2060" s="5">
        <f ca="1">IFERROR(__xludf.DUMMYFUNCTION("""COMPUTED_VALUE"""),2)</f>
        <v>2</v>
      </c>
      <c r="L2060" s="5" t="str">
        <f ca="1">IFERROR(__xludf.DUMMYFUNCTION("""COMPUTED_VALUE"""),"Winter")</f>
        <v>Winter</v>
      </c>
      <c r="M2060" s="5" t="str">
        <f ca="1">IFERROR(__xludf.DUMMYFUNCTION("""COMPUTED_VALUE"""),"Chicago")</f>
        <v>Chicago</v>
      </c>
      <c r="N2060" s="5" t="str">
        <f ca="1">IFERROR(__xludf.DUMMYFUNCTION("""COMPUTED_VALUE"""),"IL")</f>
        <v>IL</v>
      </c>
      <c r="O2060" s="5" t="str">
        <f ca="1">IFERROR(__xludf.DUMMYFUNCTION("""COMPUTED_VALUE"""),"High")</f>
        <v>High</v>
      </c>
      <c r="P2060" s="5" t="str">
        <f ca="1">IFERROR(__xludf.DUMMYFUNCTION("""COMPUTED_VALUE"""),"Inside School Building")</f>
        <v>Inside School Building</v>
      </c>
      <c r="Q2060" s="5" t="str">
        <f ca="1">IFERROR(__xludf.DUMMYFUNCTION("""COMPUTED_VALUE"""),"Inside School Building")</f>
        <v>Inside School Building</v>
      </c>
      <c r="R2060" s="5" t="str">
        <f ca="1">IFERROR(__xludf.DUMMYFUNCTION("""COMPUTED_VALUE"""),"No")</f>
        <v>No</v>
      </c>
      <c r="S2060" s="5" t="str">
        <f ca="1">IFERROR(__xludf.DUMMYFUNCTION("""COMPUTED_VALUE"""),"Night")</f>
        <v>Night</v>
      </c>
      <c r="T2060" s="5"/>
      <c r="U2060" s="5">
        <f ca="1">IFERROR(__xludf.DUMMYFUNCTION("""COMPUTED_VALUE"""),1)</f>
        <v>1</v>
      </c>
      <c r="V2060" s="5" t="str">
        <f ca="1">IFERROR(__xludf.DUMMYFUNCTION("""COMPUTED_VALUE"""),"Security guard shot trespasser")</f>
        <v>Security guard shot trespasser</v>
      </c>
      <c r="W2060"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X2060" s="5" t="str">
        <f ca="1">IFERROR(__xludf.DUMMYFUNCTION("""COMPUTED_VALUE"""),"Illegal Activity")</f>
        <v>Illegal Activity</v>
      </c>
      <c r="Y2060" s="5" t="str">
        <f ca="1">IFERROR(__xludf.DUMMYFUNCTION("""COMPUTED_VALUE"""),"Victims Targeted")</f>
        <v>Victims Targeted</v>
      </c>
      <c r="Z2060" s="5" t="str">
        <f ca="1">IFERROR(__xludf.DUMMYFUNCTION("""COMPUTED_VALUE"""),"No")</f>
        <v>No</v>
      </c>
      <c r="AA2060" s="5"/>
      <c r="AB2060" s="5" t="str">
        <f ca="1">IFERROR(__xludf.DUMMYFUNCTION("""COMPUTED_VALUE"""),"No")</f>
        <v>No</v>
      </c>
      <c r="AC2060" s="5" t="str">
        <f ca="1">IFERROR(__xludf.DUMMYFUNCTION("""COMPUTED_VALUE"""),"No")</f>
        <v>No</v>
      </c>
      <c r="AD2060" s="5" t="str">
        <f ca="1">IFERROR(__xludf.DUMMYFUNCTION("""COMPUTED_VALUE"""),"Yes")</f>
        <v>Yes</v>
      </c>
      <c r="AE2060" s="5" t="str">
        <f ca="1">IFERROR(__xludf.DUMMYFUNCTION("""COMPUTED_VALUE"""),"N/A")</f>
        <v>N/A</v>
      </c>
      <c r="AF2060" s="5" t="str">
        <f ca="1">IFERROR(__xludf.DUMMYFUNCTION("""COMPUTED_VALUE"""),"N/A")</f>
        <v>N/A</v>
      </c>
      <c r="AG2060" s="5" t="str">
        <f ca="1">IFERROR(__xludf.DUMMYFUNCTION("""COMPUTED_VALUE"""),"N/A")</f>
        <v>N/A</v>
      </c>
      <c r="AH2060" s="5" t="str">
        <f ca="1">IFERROR(__xludf.DUMMYFUNCTION("""COMPUTED_VALUE"""),"N/A")</f>
        <v>N/A</v>
      </c>
    </row>
    <row r="2061" spans="1:34" ht="12.75">
      <c r="A2061" s="5" t="str">
        <f ca="1">IFERROR(__xludf.DUMMYFUNCTION("""COMPUTED_VALUE"""),"19720214ILCAC")</f>
        <v>19720214ILCAC</v>
      </c>
      <c r="B2061" s="8">
        <f ca="1">IFERROR(__xludf.DUMMYFUNCTION("""COMPUTED_VALUE"""),26343)</f>
        <v>26343</v>
      </c>
      <c r="C2061" s="5" t="str">
        <f ca="1">IFERROR(__xludf.DUMMYFUNCTION("""COMPUTED_VALUE"""),"Camlumet High School")</f>
        <v>Camlumet High School</v>
      </c>
      <c r="D2061" s="5">
        <f ca="1">IFERROR(__xludf.DUMMYFUNCTION("""COMPUTED_VALUE"""),1)</f>
        <v>1</v>
      </c>
      <c r="E2061" s="5">
        <f ca="1">IFERROR(__xludf.DUMMYFUNCTION("""COMPUTED_VALUE"""),0)</f>
        <v>0</v>
      </c>
      <c r="F2061" s="5">
        <f ca="1">IFERROR(__xludf.DUMMYFUNCTION("""COMPUTED_VALUE"""),1)</f>
        <v>1</v>
      </c>
      <c r="G2061" s="5">
        <f ca="1">IFERROR(__xludf.DUMMYFUNCTION("""COMPUTED_VALUE"""),0)</f>
        <v>0</v>
      </c>
      <c r="H2061" s="9" t="str">
        <f ca="1">IFERROR(__xludf.DUMMYFUNCTION("""COMPUTED_VALUE"""),"https://www.newspapers.com/image/340859194/?terms=school%2Bshooting")</f>
        <v>https://www.newspapers.com/image/340859194/?terms=school%2Bshooting</v>
      </c>
      <c r="I2061" s="5"/>
      <c r="J2061" s="5"/>
      <c r="K2061" s="5">
        <f ca="1">IFERROR(__xludf.DUMMYFUNCTION("""COMPUTED_VALUE"""),2)</f>
        <v>2</v>
      </c>
      <c r="L2061" s="5" t="str">
        <f ca="1">IFERROR(__xludf.DUMMYFUNCTION("""COMPUTED_VALUE"""),"Winter")</f>
        <v>Winter</v>
      </c>
      <c r="M2061" s="5" t="str">
        <f ca="1">IFERROR(__xludf.DUMMYFUNCTION("""COMPUTED_VALUE"""),"Chicago")</f>
        <v>Chicago</v>
      </c>
      <c r="N2061" s="5" t="str">
        <f ca="1">IFERROR(__xludf.DUMMYFUNCTION("""COMPUTED_VALUE"""),"IL")</f>
        <v>IL</v>
      </c>
      <c r="O2061" s="5" t="str">
        <f ca="1">IFERROR(__xludf.DUMMYFUNCTION("""COMPUTED_VALUE"""),"High")</f>
        <v>High</v>
      </c>
      <c r="P2061" s="5" t="str">
        <f ca="1">IFERROR(__xludf.DUMMYFUNCTION("""COMPUTED_VALUE"""),"Outside on School Property")</f>
        <v>Outside on School Property</v>
      </c>
      <c r="Q2061" s="5" t="str">
        <f ca="1">IFERROR(__xludf.DUMMYFUNCTION("""COMPUTED_VALUE"""),"Outside on School Property")</f>
        <v>Outside on School Property</v>
      </c>
      <c r="R2061" s="5" t="str">
        <f ca="1">IFERROR(__xludf.DUMMYFUNCTION("""COMPUTED_VALUE"""),"Yes")</f>
        <v>Yes</v>
      </c>
      <c r="S2061" s="5" t="str">
        <f ca="1">IFERROR(__xludf.DUMMYFUNCTION("""COMPUTED_VALUE"""),"Dismissal")</f>
        <v>Dismissal</v>
      </c>
      <c r="T2061" s="5"/>
      <c r="U2061" s="5">
        <f ca="1">IFERROR(__xludf.DUMMYFUNCTION("""COMPUTED_VALUE"""),1)</f>
        <v>1</v>
      </c>
      <c r="V2061" s="5" t="str">
        <f ca="1">IFERROR(__xludf.DUMMYFUNCTION("""COMPUTED_VALUE"""),"Gang related fight outside of school")</f>
        <v>Gang related fight outside of school</v>
      </c>
      <c r="W2061" s="5" t="str">
        <f ca="1">IFERROR(__xludf.DUMMYFUNCTION("""COMPUTED_VALUE"""),"Student shot during street gang fight outside of school.")</f>
        <v>Student shot during street gang fight outside of school.</v>
      </c>
      <c r="X2061" s="5" t="str">
        <f ca="1">IFERROR(__xludf.DUMMYFUNCTION("""COMPUTED_VALUE"""),"Escalation of Dispute")</f>
        <v>Escalation of Dispute</v>
      </c>
      <c r="Y2061" s="5" t="str">
        <f ca="1">IFERROR(__xludf.DUMMYFUNCTION("""COMPUTED_VALUE"""),"Victims Targeted")</f>
        <v>Victims Targeted</v>
      </c>
      <c r="Z2061" s="5" t="str">
        <f ca="1">IFERROR(__xludf.DUMMYFUNCTION("""COMPUTED_VALUE"""),"Yes")</f>
        <v>Yes</v>
      </c>
      <c r="AA2061" s="5" t="str">
        <f ca="1">IFERROR(__xludf.DUMMYFUNCTION("""COMPUTED_VALUE"""),"Multiple gang members involved")</f>
        <v>Multiple gang members involved</v>
      </c>
      <c r="AB2061" s="5" t="str">
        <f ca="1">IFERROR(__xludf.DUMMYFUNCTION("""COMPUTED_VALUE"""),"No")</f>
        <v>No</v>
      </c>
      <c r="AC2061" s="5" t="str">
        <f ca="1">IFERROR(__xludf.DUMMYFUNCTION("""COMPUTED_VALUE"""),"No")</f>
        <v>No</v>
      </c>
      <c r="AD2061" s="5" t="str">
        <f ca="1">IFERROR(__xludf.DUMMYFUNCTION("""COMPUTED_VALUE"""),"No")</f>
        <v>No</v>
      </c>
      <c r="AE2061" s="5" t="str">
        <f ca="1">IFERROR(__xludf.DUMMYFUNCTION("""COMPUTED_VALUE"""),"No")</f>
        <v>No</v>
      </c>
      <c r="AF2061" s="5" t="str">
        <f ca="1">IFERROR(__xludf.DUMMYFUNCTION("""COMPUTED_VALUE"""),"No")</f>
        <v>No</v>
      </c>
      <c r="AG2061" s="5" t="str">
        <f ca="1">IFERROR(__xludf.DUMMYFUNCTION("""COMPUTED_VALUE"""),"Yes")</f>
        <v>Yes</v>
      </c>
      <c r="AH2061" s="5"/>
    </row>
    <row r="2062" spans="1:34" ht="12.75">
      <c r="A2062" s="5" t="str">
        <f ca="1">IFERROR(__xludf.DUMMYFUNCTION("""COMPUTED_VALUE"""),"19720126MDHAB")</f>
        <v>19720126MDHAB</v>
      </c>
      <c r="B2062" s="8">
        <f ca="1">IFERROR(__xludf.DUMMYFUNCTION("""COMPUTED_VALUE"""),26324)</f>
        <v>26324</v>
      </c>
      <c r="C2062" s="5" t="str">
        <f ca="1">IFERROR(__xludf.DUMMYFUNCTION("""COMPUTED_VALUE"""),"Harlem Park Junior High School")</f>
        <v>Harlem Park Junior High School</v>
      </c>
      <c r="D2062" s="5">
        <f ca="1">IFERROR(__xludf.DUMMYFUNCTION("""COMPUTED_VALUE"""),0)</f>
        <v>0</v>
      </c>
      <c r="E2062" s="5">
        <f ca="1">IFERROR(__xludf.DUMMYFUNCTION("""COMPUTED_VALUE"""),1)</f>
        <v>1</v>
      </c>
      <c r="F2062" s="5">
        <f ca="1">IFERROR(__xludf.DUMMYFUNCTION("""COMPUTED_VALUE"""),1)</f>
        <v>1</v>
      </c>
      <c r="G2062" s="5">
        <f ca="1">IFERROR(__xludf.DUMMYFUNCTION("""COMPUTED_VALUE"""),0)</f>
        <v>0</v>
      </c>
      <c r="H2062" s="9" t="str">
        <f ca="1">IFERROR(__xludf.DUMMYFUNCTION("""COMPUTED_VALUE"""),"https://www.newspapers.com/image/377397441/?terms=school%2Bshooting")</f>
        <v>https://www.newspapers.com/image/377397441/?terms=school%2Bshooting</v>
      </c>
      <c r="I2062" s="5"/>
      <c r="J2062" s="5"/>
      <c r="K2062" s="5">
        <f ca="1">IFERROR(__xludf.DUMMYFUNCTION("""COMPUTED_VALUE"""),2)</f>
        <v>2</v>
      </c>
      <c r="L2062" s="5" t="str">
        <f ca="1">IFERROR(__xludf.DUMMYFUNCTION("""COMPUTED_VALUE"""),"Winter")</f>
        <v>Winter</v>
      </c>
      <c r="M2062" s="5" t="str">
        <f ca="1">IFERROR(__xludf.DUMMYFUNCTION("""COMPUTED_VALUE"""),"Baltimore")</f>
        <v>Baltimore</v>
      </c>
      <c r="N2062" s="5" t="str">
        <f ca="1">IFERROR(__xludf.DUMMYFUNCTION("""COMPUTED_VALUE"""),"MD")</f>
        <v>MD</v>
      </c>
      <c r="O2062" s="5" t="str">
        <f ca="1">IFERROR(__xludf.DUMMYFUNCTION("""COMPUTED_VALUE"""),"Junior High")</f>
        <v>Junior High</v>
      </c>
      <c r="P2062" s="5" t="str">
        <f ca="1">IFERROR(__xludf.DUMMYFUNCTION("""COMPUTED_VALUE"""),"Beside Building")</f>
        <v>Beside Building</v>
      </c>
      <c r="Q2062" s="5" t="str">
        <f ca="1">IFERROR(__xludf.DUMMYFUNCTION("""COMPUTED_VALUE"""),"Outside on School Property")</f>
        <v>Outside on School Property</v>
      </c>
      <c r="R2062" s="5" t="str">
        <f ca="1">IFERROR(__xludf.DUMMYFUNCTION("""COMPUTED_VALUE"""),"No")</f>
        <v>No</v>
      </c>
      <c r="S2062" s="5" t="str">
        <f ca="1">IFERROR(__xludf.DUMMYFUNCTION("""COMPUTED_VALUE"""),"Dismissal")</f>
        <v>Dismissal</v>
      </c>
      <c r="T2062" s="10">
        <f ca="1">IFERROR(__xludf.DUMMYFUNCTION("""COMPUTED_VALUE"""),0.614583333333333)</f>
        <v>0.61458333333333304</v>
      </c>
      <c r="U2062" s="5">
        <f ca="1">IFERROR(__xludf.DUMMYFUNCTION("""COMPUTED_VALUE"""),1)</f>
        <v>1</v>
      </c>
      <c r="V2062" s="5" t="str">
        <f ca="1">IFERROR(__xludf.DUMMYFUNCTION("""COMPUTED_VALUE"""),"Argument outside school at dismissal")</f>
        <v>Argument outside school at dismissal</v>
      </c>
      <c r="W2062"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X2062" s="5" t="str">
        <f ca="1">IFERROR(__xludf.DUMMYFUNCTION("""COMPUTED_VALUE"""),"Escalation of Dispute")</f>
        <v>Escalation of Dispute</v>
      </c>
      <c r="Y2062" s="5" t="str">
        <f ca="1">IFERROR(__xludf.DUMMYFUNCTION("""COMPUTED_VALUE"""),"Victims Targeted")</f>
        <v>Victims Targeted</v>
      </c>
      <c r="Z2062" s="5" t="str">
        <f ca="1">IFERROR(__xludf.DUMMYFUNCTION("""COMPUTED_VALUE"""),"Unknown")</f>
        <v>Unknown</v>
      </c>
      <c r="AA2062" s="5"/>
      <c r="AB2062" s="5" t="str">
        <f ca="1">IFERROR(__xludf.DUMMYFUNCTION("""COMPUTED_VALUE"""),"No")</f>
        <v>No</v>
      </c>
      <c r="AC2062" s="5" t="str">
        <f ca="1">IFERROR(__xludf.DUMMYFUNCTION("""COMPUTED_VALUE"""),"No")</f>
        <v>No</v>
      </c>
      <c r="AD2062" s="5" t="str">
        <f ca="1">IFERROR(__xludf.DUMMYFUNCTION("""COMPUTED_VALUE"""),"No")</f>
        <v>No</v>
      </c>
      <c r="AE2062" s="5"/>
      <c r="AF2062" s="5" t="str">
        <f ca="1">IFERROR(__xludf.DUMMYFUNCTION("""COMPUTED_VALUE"""),"No")</f>
        <v>No</v>
      </c>
      <c r="AG2062" s="5" t="str">
        <f ca="1">IFERROR(__xludf.DUMMYFUNCTION("""COMPUTED_VALUE"""),"No")</f>
        <v>No</v>
      </c>
      <c r="AH2062" s="5"/>
    </row>
    <row r="2063" spans="1:34" ht="12.75">
      <c r="A2063" s="5" t="str">
        <f ca="1">IFERROR(__xludf.DUMMYFUNCTION("""COMPUTED_VALUE"""),"19720126MDGWB")</f>
        <v>19720126MDGWB</v>
      </c>
      <c r="B2063" s="8">
        <f ca="1">IFERROR(__xludf.DUMMYFUNCTION("""COMPUTED_VALUE"""),26324)</f>
        <v>26324</v>
      </c>
      <c r="C2063" s="5" t="str">
        <f ca="1">IFERROR(__xludf.DUMMYFUNCTION("""COMPUTED_VALUE"""),"Gwynn Falls Junior High School")</f>
        <v>Gwynn Falls Junior High School</v>
      </c>
      <c r="D2063" s="5">
        <f ca="1">IFERROR(__xludf.DUMMYFUNCTION("""COMPUTED_VALUE"""),0)</f>
        <v>0</v>
      </c>
      <c r="E2063" s="5">
        <f ca="1">IFERROR(__xludf.DUMMYFUNCTION("""COMPUTED_VALUE"""),1)</f>
        <v>1</v>
      </c>
      <c r="F2063" s="5">
        <f ca="1">IFERROR(__xludf.DUMMYFUNCTION("""COMPUTED_VALUE"""),1)</f>
        <v>1</v>
      </c>
      <c r="G2063" s="5">
        <f ca="1">IFERROR(__xludf.DUMMYFUNCTION("""COMPUTED_VALUE"""),0)</f>
        <v>0</v>
      </c>
      <c r="H2063" s="9" t="str">
        <f ca="1">IFERROR(__xludf.DUMMYFUNCTION("""COMPUTED_VALUE"""),"https://www.newspapers.com/image/377397441/?terms=school%2Bshooting")</f>
        <v>https://www.newspapers.com/image/377397441/?terms=school%2Bshooting</v>
      </c>
      <c r="I2063" s="5"/>
      <c r="J2063" s="5"/>
      <c r="K2063" s="5">
        <f ca="1">IFERROR(__xludf.DUMMYFUNCTION("""COMPUTED_VALUE"""),2)</f>
        <v>2</v>
      </c>
      <c r="L2063" s="5" t="str">
        <f ca="1">IFERROR(__xludf.DUMMYFUNCTION("""COMPUTED_VALUE"""),"Winter")</f>
        <v>Winter</v>
      </c>
      <c r="M2063" s="5" t="str">
        <f ca="1">IFERROR(__xludf.DUMMYFUNCTION("""COMPUTED_VALUE"""),"Baltimore")</f>
        <v>Baltimore</v>
      </c>
      <c r="N2063" s="5" t="str">
        <f ca="1">IFERROR(__xludf.DUMMYFUNCTION("""COMPUTED_VALUE"""),"MD")</f>
        <v>MD</v>
      </c>
      <c r="O2063" s="5" t="str">
        <f ca="1">IFERROR(__xludf.DUMMYFUNCTION("""COMPUTED_VALUE"""),"Junior High")</f>
        <v>Junior High</v>
      </c>
      <c r="P2063" s="5" t="str">
        <f ca="1">IFERROR(__xludf.DUMMYFUNCTION("""COMPUTED_VALUE"""),"Cafeteria")</f>
        <v>Cafeteria</v>
      </c>
      <c r="Q2063" s="5" t="str">
        <f ca="1">IFERROR(__xludf.DUMMYFUNCTION("""COMPUTED_VALUE"""),"Inside School Building")</f>
        <v>Inside School Building</v>
      </c>
      <c r="R2063" s="5" t="str">
        <f ca="1">IFERROR(__xludf.DUMMYFUNCTION("""COMPUTED_VALUE"""),"Yes")</f>
        <v>Yes</v>
      </c>
      <c r="S2063" s="5" t="str">
        <f ca="1">IFERROR(__xludf.DUMMYFUNCTION("""COMPUTED_VALUE"""),"Afternoon Classes")</f>
        <v>Afternoon Classes</v>
      </c>
      <c r="T2063" s="10">
        <f ca="1">IFERROR(__xludf.DUMMYFUNCTION("""COMPUTED_VALUE"""),0.579861111111111)</f>
        <v>0.57986111111111105</v>
      </c>
      <c r="U2063" s="5">
        <f ca="1">IFERROR(__xludf.DUMMYFUNCTION("""COMPUTED_VALUE"""),1)</f>
        <v>1</v>
      </c>
      <c r="V2063" s="5" t="str">
        <f ca="1">IFERROR(__xludf.DUMMYFUNCTION("""COMPUTED_VALUE"""),"Student playing with gun in cafeteria")</f>
        <v>Student playing with gun in cafeteria</v>
      </c>
      <c r="W2063" s="5" t="str">
        <f ca="1">IFERROR(__xludf.DUMMYFUNCTION("""COMPUTED_VALUE"""),"Students playing with gun in the cafeteria. Accidental discharge injuring one student.")</f>
        <v>Students playing with gun in the cafeteria. Accidental discharge injuring one student.</v>
      </c>
      <c r="X2063" s="5" t="str">
        <f ca="1">IFERROR(__xludf.DUMMYFUNCTION("""COMPUTED_VALUE"""),"Accidental")</f>
        <v>Accidental</v>
      </c>
      <c r="Y2063" s="5" t="str">
        <f ca="1">IFERROR(__xludf.DUMMYFUNCTION("""COMPUTED_VALUE"""),"Random Shooting")</f>
        <v>Random Shooting</v>
      </c>
      <c r="Z2063" s="5" t="str">
        <f ca="1">IFERROR(__xludf.DUMMYFUNCTION("""COMPUTED_VALUE"""),"No")</f>
        <v>No</v>
      </c>
      <c r="AA2063" s="5"/>
      <c r="AB2063" s="5" t="str">
        <f ca="1">IFERROR(__xludf.DUMMYFUNCTION("""COMPUTED_VALUE"""),"No")</f>
        <v>No</v>
      </c>
      <c r="AC2063" s="5" t="str">
        <f ca="1">IFERROR(__xludf.DUMMYFUNCTION("""COMPUTED_VALUE"""),"No")</f>
        <v>No</v>
      </c>
      <c r="AD2063" s="5" t="str">
        <f ca="1">IFERROR(__xludf.DUMMYFUNCTION("""COMPUTED_VALUE"""),"No")</f>
        <v>No</v>
      </c>
      <c r="AE2063" s="5" t="str">
        <f ca="1">IFERROR(__xludf.DUMMYFUNCTION("""COMPUTED_VALUE"""),"No")</f>
        <v>No</v>
      </c>
      <c r="AF2063" s="5" t="str">
        <f ca="1">IFERROR(__xludf.DUMMYFUNCTION("""COMPUTED_VALUE"""),"No")</f>
        <v>No</v>
      </c>
      <c r="AG2063" s="5" t="str">
        <f ca="1">IFERROR(__xludf.DUMMYFUNCTION("""COMPUTED_VALUE"""),"No")</f>
        <v>No</v>
      </c>
      <c r="AH2063" s="5"/>
    </row>
    <row r="2064" spans="1:34" ht="12.75">
      <c r="A2064" s="5" t="str">
        <f ca="1">IFERROR(__xludf.DUMMYFUNCTION("""COMPUTED_VALUE"""),"19720124OHSTS")</f>
        <v>19720124OHSTS</v>
      </c>
      <c r="B2064" s="8">
        <f ca="1">IFERROR(__xludf.DUMMYFUNCTION("""COMPUTED_VALUE"""),26322)</f>
        <v>26322</v>
      </c>
      <c r="C2064" s="5" t="str">
        <f ca="1">IFERROR(__xludf.DUMMYFUNCTION("""COMPUTED_VALUE"""),"Stow High School")</f>
        <v>Stow High School</v>
      </c>
      <c r="D2064" s="5">
        <f ca="1">IFERROR(__xludf.DUMMYFUNCTION("""COMPUTED_VALUE"""),0)</f>
        <v>0</v>
      </c>
      <c r="E2064" s="5">
        <f ca="1">IFERROR(__xludf.DUMMYFUNCTION("""COMPUTED_VALUE"""),1)</f>
        <v>1</v>
      </c>
      <c r="F2064" s="5">
        <f ca="1">IFERROR(__xludf.DUMMYFUNCTION("""COMPUTED_VALUE"""),1)</f>
        <v>1</v>
      </c>
      <c r="G2064" s="5">
        <f ca="1">IFERROR(__xludf.DUMMYFUNCTION("""COMPUTED_VALUE"""),0)</f>
        <v>0</v>
      </c>
      <c r="H2064"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I2064" s="5"/>
      <c r="J2064" s="5"/>
      <c r="K2064" s="5">
        <f ca="1">IFERROR(__xludf.DUMMYFUNCTION("""COMPUTED_VALUE"""),4)</f>
        <v>4</v>
      </c>
      <c r="L2064" s="5" t="str">
        <f ca="1">IFERROR(__xludf.DUMMYFUNCTION("""COMPUTED_VALUE"""),"Winter")</f>
        <v>Winter</v>
      </c>
      <c r="M2064" s="5" t="str">
        <f ca="1">IFERROR(__xludf.DUMMYFUNCTION("""COMPUTED_VALUE"""),"Stow")</f>
        <v>Stow</v>
      </c>
      <c r="N2064" s="5" t="str">
        <f ca="1">IFERROR(__xludf.DUMMYFUNCTION("""COMPUTED_VALUE"""),"OH")</f>
        <v>OH</v>
      </c>
      <c r="O2064" s="5" t="str">
        <f ca="1">IFERROR(__xludf.DUMMYFUNCTION("""COMPUTED_VALUE"""),"High")</f>
        <v>High</v>
      </c>
      <c r="P2064" s="5" t="str">
        <f ca="1">IFERROR(__xludf.DUMMYFUNCTION("""COMPUTED_VALUE"""),"Classroom")</f>
        <v>Classroom</v>
      </c>
      <c r="Q2064" s="5" t="str">
        <f ca="1">IFERROR(__xludf.DUMMYFUNCTION("""COMPUTED_VALUE"""),"Inside School Building")</f>
        <v>Inside School Building</v>
      </c>
      <c r="R2064" s="5" t="str">
        <f ca="1">IFERROR(__xludf.DUMMYFUNCTION("""COMPUTED_VALUE"""),"Yes")</f>
        <v>Yes</v>
      </c>
      <c r="S2064" s="5" t="str">
        <f ca="1">IFERROR(__xludf.DUMMYFUNCTION("""COMPUTED_VALUE"""),"Morning Classes")</f>
        <v>Morning Classes</v>
      </c>
      <c r="T2064" s="10">
        <f ca="1">IFERROR(__xludf.DUMMYFUNCTION("""COMPUTED_VALUE"""),0.416666666666666)</f>
        <v>0.41666666666666602</v>
      </c>
      <c r="U2064" s="5">
        <f ca="1">IFERROR(__xludf.DUMMYFUNCTION("""COMPUTED_VALUE"""),1)</f>
        <v>1</v>
      </c>
      <c r="V2064" s="5" t="str">
        <f ca="1">IFERROR(__xludf.DUMMYFUNCTION("""COMPUTED_VALUE"""),"Student shot teacher, put down gun, walked outside")</f>
        <v>Student shot teacher, put down gun, walked outside</v>
      </c>
      <c r="W2064"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X2064" s="5" t="str">
        <f ca="1">IFERROR(__xludf.DUMMYFUNCTION("""COMPUTED_VALUE"""),"Anger Over Grade/Suspension/Discipline")</f>
        <v>Anger Over Grade/Suspension/Discipline</v>
      </c>
      <c r="Y2064" s="5" t="str">
        <f ca="1">IFERROR(__xludf.DUMMYFUNCTION("""COMPUTED_VALUE"""),"Victims Targeted")</f>
        <v>Victims Targeted</v>
      </c>
      <c r="Z2064" s="5" t="str">
        <f ca="1">IFERROR(__xludf.DUMMYFUNCTION("""COMPUTED_VALUE"""),"No")</f>
        <v>No</v>
      </c>
      <c r="AA2064" s="5"/>
      <c r="AB2064" s="5" t="str">
        <f ca="1">IFERROR(__xludf.DUMMYFUNCTION("""COMPUTED_VALUE"""),"No")</f>
        <v>No</v>
      </c>
      <c r="AC2064" s="5" t="str">
        <f ca="1">IFERROR(__xludf.DUMMYFUNCTION("""COMPUTED_VALUE"""),"No")</f>
        <v>No</v>
      </c>
      <c r="AD2064" s="5" t="str">
        <f ca="1">IFERROR(__xludf.DUMMYFUNCTION("""COMPUTED_VALUE"""),"No")</f>
        <v>No</v>
      </c>
      <c r="AE2064" s="5" t="str">
        <f ca="1">IFERROR(__xludf.DUMMYFUNCTION("""COMPUTED_VALUE"""),"No")</f>
        <v>No</v>
      </c>
      <c r="AF2064" s="5" t="str">
        <f ca="1">IFERROR(__xludf.DUMMYFUNCTION("""COMPUTED_VALUE"""),"No")</f>
        <v>No</v>
      </c>
      <c r="AG2064" s="5" t="str">
        <f ca="1">IFERROR(__xludf.DUMMYFUNCTION("""COMPUTED_VALUE"""),"No")</f>
        <v>No</v>
      </c>
      <c r="AH2064" s="5"/>
    </row>
    <row r="2065" spans="1:34" ht="12.75">
      <c r="A2065" s="5" t="str">
        <f ca="1">IFERROR(__xludf.DUMMYFUNCTION("""COMPUTED_VALUE"""),"19720105DCPAW")</f>
        <v>19720105DCPAW</v>
      </c>
      <c r="B2065" s="8">
        <f ca="1">IFERROR(__xludf.DUMMYFUNCTION("""COMPUTED_VALUE"""),26303)</f>
        <v>26303</v>
      </c>
      <c r="C2065" s="5" t="str">
        <f ca="1">IFERROR(__xludf.DUMMYFUNCTION("""COMPUTED_VALUE"""),"Parkview Elementary School")</f>
        <v>Parkview Elementary School</v>
      </c>
      <c r="D2065" s="5">
        <f ca="1">IFERROR(__xludf.DUMMYFUNCTION("""COMPUTED_VALUE"""),1)</f>
        <v>1</v>
      </c>
      <c r="E2065" s="5">
        <f ca="1">IFERROR(__xludf.DUMMYFUNCTION("""COMPUTED_VALUE"""),0)</f>
        <v>0</v>
      </c>
      <c r="F2065" s="5">
        <f ca="1">IFERROR(__xludf.DUMMYFUNCTION("""COMPUTED_VALUE"""),1)</f>
        <v>1</v>
      </c>
      <c r="G2065" s="5">
        <f ca="1">IFERROR(__xludf.DUMMYFUNCTION("""COMPUTED_VALUE"""),0)</f>
        <v>0</v>
      </c>
      <c r="H2065" s="9" t="str">
        <f ca="1">IFERROR(__xludf.DUMMYFUNCTION("""COMPUTED_VALUE"""),"https://www.newspapers.com/image/377430624/?terms=husband%2Bkills%2Bteacher")</f>
        <v>https://www.newspapers.com/image/377430624/?terms=husband%2Bkills%2Bteacher</v>
      </c>
      <c r="I2065" s="5"/>
      <c r="J2065" s="5"/>
      <c r="K2065" s="5">
        <f ca="1">IFERROR(__xludf.DUMMYFUNCTION("""COMPUTED_VALUE"""),2)</f>
        <v>2</v>
      </c>
      <c r="L2065" s="5" t="str">
        <f ca="1">IFERROR(__xludf.DUMMYFUNCTION("""COMPUTED_VALUE"""),"Winter")</f>
        <v>Winter</v>
      </c>
      <c r="M2065" s="5" t="str">
        <f ca="1">IFERROR(__xludf.DUMMYFUNCTION("""COMPUTED_VALUE"""),"Washington")</f>
        <v>Washington</v>
      </c>
      <c r="N2065" s="5" t="str">
        <f ca="1">IFERROR(__xludf.DUMMYFUNCTION("""COMPUTED_VALUE"""),"DC")</f>
        <v>DC</v>
      </c>
      <c r="O2065" s="5" t="str">
        <f ca="1">IFERROR(__xludf.DUMMYFUNCTION("""COMPUTED_VALUE"""),"Elementary")</f>
        <v>Elementary</v>
      </c>
      <c r="P2065" s="5" t="str">
        <f ca="1">IFERROR(__xludf.DUMMYFUNCTION("""COMPUTED_VALUE"""),"Classroom")</f>
        <v>Classroom</v>
      </c>
      <c r="Q2065" s="5" t="str">
        <f ca="1">IFERROR(__xludf.DUMMYFUNCTION("""COMPUTED_VALUE"""),"Inside School Building")</f>
        <v>Inside School Building</v>
      </c>
      <c r="R2065" s="5" t="str">
        <f ca="1">IFERROR(__xludf.DUMMYFUNCTION("""COMPUTED_VALUE"""),"Yes")</f>
        <v>Yes</v>
      </c>
      <c r="S2065" s="5" t="str">
        <f ca="1">IFERROR(__xludf.DUMMYFUNCTION("""COMPUTED_VALUE"""),"Morning Classes")</f>
        <v>Morning Classes</v>
      </c>
      <c r="T2065" s="10">
        <f ca="1">IFERROR(__xludf.DUMMYFUNCTION("""COMPUTED_VALUE"""),0.395833333333333)</f>
        <v>0.39583333333333298</v>
      </c>
      <c r="U2065" s="5"/>
      <c r="V2065" s="5" t="str">
        <f ca="1">IFERROR(__xludf.DUMMYFUNCTION("""COMPUTED_VALUE"""),"Husband came to school where his wife worked as teacher. Chased her through school, shot, and killed her.")</f>
        <v>Husband came to school where his wife worked as teacher. Chased her through school, shot, and killed her.</v>
      </c>
      <c r="W2065"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X2065" s="5" t="str">
        <f ca="1">IFERROR(__xludf.DUMMYFUNCTION("""COMPUTED_VALUE"""),"Domestic w/ Targeted Victim")</f>
        <v>Domestic w/ Targeted Victim</v>
      </c>
      <c r="Y2065" s="5" t="str">
        <f ca="1">IFERROR(__xludf.DUMMYFUNCTION("""COMPUTED_VALUE"""),"Victims Targeted")</f>
        <v>Victims Targeted</v>
      </c>
      <c r="Z2065" s="5" t="str">
        <f ca="1">IFERROR(__xludf.DUMMYFUNCTION("""COMPUTED_VALUE"""),"No")</f>
        <v>No</v>
      </c>
      <c r="AA2065" s="5"/>
      <c r="AB2065" s="5" t="str">
        <f ca="1">IFERROR(__xludf.DUMMYFUNCTION("""COMPUTED_VALUE"""),"No")</f>
        <v>No</v>
      </c>
      <c r="AC2065" s="5" t="str">
        <f ca="1">IFERROR(__xludf.DUMMYFUNCTION("""COMPUTED_VALUE"""),"No")</f>
        <v>No</v>
      </c>
      <c r="AD2065" s="5" t="str">
        <f ca="1">IFERROR(__xludf.DUMMYFUNCTION("""COMPUTED_VALUE"""),"No")</f>
        <v>No</v>
      </c>
      <c r="AE2065" s="5" t="str">
        <f ca="1">IFERROR(__xludf.DUMMYFUNCTION("""COMPUTED_VALUE"""),"No")</f>
        <v>No</v>
      </c>
      <c r="AF2065" s="5" t="str">
        <f ca="1">IFERROR(__xludf.DUMMYFUNCTION("""COMPUTED_VALUE"""),"Yes")</f>
        <v>Yes</v>
      </c>
      <c r="AG2065" s="5" t="str">
        <f ca="1">IFERROR(__xludf.DUMMYFUNCTION("""COMPUTED_VALUE"""),"No")</f>
        <v>No</v>
      </c>
      <c r="AH2065" s="5"/>
    </row>
    <row r="2066" spans="1:34" ht="12.75">
      <c r="A2066" s="5" t="str">
        <f ca="1">IFERROR(__xludf.DUMMYFUNCTION("""COMPUTED_VALUE"""),"19711213MDCAB")</f>
        <v>19711213MDCAB</v>
      </c>
      <c r="B2066" s="8">
        <f ca="1">IFERROR(__xludf.DUMMYFUNCTION("""COMPUTED_VALUE"""),26280)</f>
        <v>26280</v>
      </c>
      <c r="C2066" s="5" t="str">
        <f ca="1">IFERROR(__xludf.DUMMYFUNCTION("""COMPUTED_VALUE"""),"Carver Vocational High School")</f>
        <v>Carver Vocational High School</v>
      </c>
      <c r="D2066" s="5">
        <f ca="1">IFERROR(__xludf.DUMMYFUNCTION("""COMPUTED_VALUE"""),0)</f>
        <v>0</v>
      </c>
      <c r="E2066" s="5">
        <f ca="1">IFERROR(__xludf.DUMMYFUNCTION("""COMPUTED_VALUE"""),1)</f>
        <v>1</v>
      </c>
      <c r="F2066" s="5">
        <f ca="1">IFERROR(__xludf.DUMMYFUNCTION("""COMPUTED_VALUE"""),1)</f>
        <v>1</v>
      </c>
      <c r="G2066" s="5">
        <f ca="1">IFERROR(__xludf.DUMMYFUNCTION("""COMPUTED_VALUE"""),0)</f>
        <v>0</v>
      </c>
      <c r="H2066" s="9" t="str">
        <f ca="1">IFERROR(__xludf.DUMMYFUNCTION("""COMPUTED_VALUE"""),"https://www.newspapers.com/image/372317689/?terms=school%2Bshooting")</f>
        <v>https://www.newspapers.com/image/372317689/?terms=school%2Bshooting</v>
      </c>
      <c r="I2066" s="5"/>
      <c r="J2066" s="5"/>
      <c r="K2066" s="5">
        <f ca="1">IFERROR(__xludf.DUMMYFUNCTION("""COMPUTED_VALUE"""),2)</f>
        <v>2</v>
      </c>
      <c r="L2066" s="5" t="str">
        <f ca="1">IFERROR(__xludf.DUMMYFUNCTION("""COMPUTED_VALUE"""),"Winter")</f>
        <v>Winter</v>
      </c>
      <c r="M2066" s="5" t="str">
        <f ca="1">IFERROR(__xludf.DUMMYFUNCTION("""COMPUTED_VALUE"""),"Baltimore")</f>
        <v>Baltimore</v>
      </c>
      <c r="N2066" s="5" t="str">
        <f ca="1">IFERROR(__xludf.DUMMYFUNCTION("""COMPUTED_VALUE"""),"MD")</f>
        <v>MD</v>
      </c>
      <c r="O2066" s="5" t="str">
        <f ca="1">IFERROR(__xludf.DUMMYFUNCTION("""COMPUTED_VALUE"""),"High")</f>
        <v>High</v>
      </c>
      <c r="P2066" s="5" t="str">
        <f ca="1">IFERROR(__xludf.DUMMYFUNCTION("""COMPUTED_VALUE"""),"Classroom")</f>
        <v>Classroom</v>
      </c>
      <c r="Q2066" s="5" t="str">
        <f ca="1">IFERROR(__xludf.DUMMYFUNCTION("""COMPUTED_VALUE"""),"Inside School Building")</f>
        <v>Inside School Building</v>
      </c>
      <c r="R2066" s="5" t="str">
        <f ca="1">IFERROR(__xludf.DUMMYFUNCTION("""COMPUTED_VALUE"""),"Yes")</f>
        <v>Yes</v>
      </c>
      <c r="S2066" s="5" t="str">
        <f ca="1">IFERROR(__xludf.DUMMYFUNCTION("""COMPUTED_VALUE"""),"Morning Classes")</f>
        <v>Morning Classes</v>
      </c>
      <c r="T2066" s="10">
        <f ca="1">IFERROR(__xludf.DUMMYFUNCTION("""COMPUTED_VALUE"""),0.345833333333333)</f>
        <v>0.34583333333333299</v>
      </c>
      <c r="U2066" s="5">
        <f ca="1">IFERROR(__xludf.DUMMYFUNCTION("""COMPUTED_VALUE"""),1)</f>
        <v>1</v>
      </c>
      <c r="V2066" s="5" t="str">
        <f ca="1">IFERROR(__xludf.DUMMYFUNCTION("""COMPUTED_VALUE"""),"Argument over payment for craps game")</f>
        <v>Argument over payment for craps game</v>
      </c>
      <c r="W2066"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X2066" s="5" t="str">
        <f ca="1">IFERROR(__xludf.DUMMYFUNCTION("""COMPUTED_VALUE"""),"Escalation of Dispute")</f>
        <v>Escalation of Dispute</v>
      </c>
      <c r="Y2066" s="5" t="str">
        <f ca="1">IFERROR(__xludf.DUMMYFUNCTION("""COMPUTED_VALUE"""),"Victims Targeted")</f>
        <v>Victims Targeted</v>
      </c>
      <c r="Z2066" s="5" t="str">
        <f ca="1">IFERROR(__xludf.DUMMYFUNCTION("""COMPUTED_VALUE"""),"No")</f>
        <v>No</v>
      </c>
      <c r="AA2066" s="5"/>
      <c r="AB2066" s="5" t="str">
        <f ca="1">IFERROR(__xludf.DUMMYFUNCTION("""COMPUTED_VALUE"""),"No")</f>
        <v>No</v>
      </c>
      <c r="AC2066" s="5" t="str">
        <f ca="1">IFERROR(__xludf.DUMMYFUNCTION("""COMPUTED_VALUE"""),"No")</f>
        <v>No</v>
      </c>
      <c r="AD2066" s="5" t="str">
        <f ca="1">IFERROR(__xludf.DUMMYFUNCTION("""COMPUTED_VALUE"""),"No")</f>
        <v>No</v>
      </c>
      <c r="AE2066" s="5" t="str">
        <f ca="1">IFERROR(__xludf.DUMMYFUNCTION("""COMPUTED_VALUE"""),"No")</f>
        <v>No</v>
      </c>
      <c r="AF2066" s="5" t="str">
        <f ca="1">IFERROR(__xludf.DUMMYFUNCTION("""COMPUTED_VALUE"""),"No")</f>
        <v>No</v>
      </c>
      <c r="AG2066" s="5" t="str">
        <f ca="1">IFERROR(__xludf.DUMMYFUNCTION("""COMPUTED_VALUE"""),"No")</f>
        <v>No</v>
      </c>
      <c r="AH2066" s="5"/>
    </row>
    <row r="2067" spans="1:34" ht="12.75">
      <c r="A2067" s="5" t="str">
        <f ca="1">IFERROR(__xludf.DUMMYFUNCTION("""COMPUTED_VALUE"""),"19711206CALOL")</f>
        <v>19711206CALOL</v>
      </c>
      <c r="B2067" s="8">
        <f ca="1">IFERROR(__xludf.DUMMYFUNCTION("""COMPUTED_VALUE"""),26273)</f>
        <v>26273</v>
      </c>
      <c r="C2067" s="5" t="str">
        <f ca="1">IFERROR(__xludf.DUMMYFUNCTION("""COMPUTED_VALUE"""),"Louis Stevenson Junior High School")</f>
        <v>Louis Stevenson Junior High School</v>
      </c>
      <c r="D2067" s="5">
        <f ca="1">IFERROR(__xludf.DUMMYFUNCTION("""COMPUTED_VALUE"""),0)</f>
        <v>0</v>
      </c>
      <c r="E2067" s="5">
        <f ca="1">IFERROR(__xludf.DUMMYFUNCTION("""COMPUTED_VALUE"""),4)</f>
        <v>4</v>
      </c>
      <c r="F2067" s="5">
        <f ca="1">IFERROR(__xludf.DUMMYFUNCTION("""COMPUTED_VALUE"""),4)</f>
        <v>4</v>
      </c>
      <c r="G2067" s="5">
        <f ca="1">IFERROR(__xludf.DUMMYFUNCTION("""COMPUTED_VALUE"""),0)</f>
        <v>0</v>
      </c>
      <c r="H2067" s="5" t="str">
        <f ca="1">IFERROR(__xludf.DUMMYFUNCTION("""COMPUTED_VALUE"""),"https://www.newspapers.com/image/385580480/?terms=school%2Bshooting .")</f>
        <v>https://www.newspapers.com/image/385580480/?terms=school%2Bshooting .</v>
      </c>
      <c r="I2067" s="5"/>
      <c r="J2067" s="5"/>
      <c r="K2067" s="5">
        <f ca="1">IFERROR(__xludf.DUMMYFUNCTION("""COMPUTED_VALUE"""),2)</f>
        <v>2</v>
      </c>
      <c r="L2067" s="5" t="str">
        <f ca="1">IFERROR(__xludf.DUMMYFUNCTION("""COMPUTED_VALUE"""),"Winter")</f>
        <v>Winter</v>
      </c>
      <c r="M2067" s="5" t="str">
        <f ca="1">IFERROR(__xludf.DUMMYFUNCTION("""COMPUTED_VALUE"""),"Los Angeles")</f>
        <v>Los Angeles</v>
      </c>
      <c r="N2067" s="5" t="str">
        <f ca="1">IFERROR(__xludf.DUMMYFUNCTION("""COMPUTED_VALUE"""),"CA")</f>
        <v>CA</v>
      </c>
      <c r="O2067" s="5" t="str">
        <f ca="1">IFERROR(__xludf.DUMMYFUNCTION("""COMPUTED_VALUE"""),"Junior High")</f>
        <v>Junior High</v>
      </c>
      <c r="P2067" s="5" t="str">
        <f ca="1">IFERROR(__xludf.DUMMYFUNCTION("""COMPUTED_VALUE"""),"Gym")</f>
        <v>Gym</v>
      </c>
      <c r="Q2067" s="5" t="str">
        <f ca="1">IFERROR(__xludf.DUMMYFUNCTION("""COMPUTED_VALUE"""),"Inside School Building")</f>
        <v>Inside School Building</v>
      </c>
      <c r="R2067" s="5" t="str">
        <f ca="1">IFERROR(__xludf.DUMMYFUNCTION("""COMPUTED_VALUE"""),"Yes")</f>
        <v>Yes</v>
      </c>
      <c r="S2067" s="5"/>
      <c r="T2067" s="5"/>
      <c r="U2067" s="5"/>
      <c r="V2067" s="5" t="str">
        <f ca="1">IFERROR(__xludf.DUMMYFUNCTION("""COMPUTED_VALUE"""),"Shooting between rival gang members, 2 bystander/students hit")</f>
        <v>Shooting between rival gang members, 2 bystander/students hit</v>
      </c>
      <c r="W2067"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X2067" s="5" t="str">
        <f ca="1">IFERROR(__xludf.DUMMYFUNCTION("""COMPUTED_VALUE"""),"Escalation of Dispute")</f>
        <v>Escalation of Dispute</v>
      </c>
      <c r="Y2067" s="5" t="str">
        <f ca="1">IFERROR(__xludf.DUMMYFUNCTION("""COMPUTED_VALUE"""),"Both")</f>
        <v>Both</v>
      </c>
      <c r="Z2067" s="5" t="str">
        <f ca="1">IFERROR(__xludf.DUMMYFUNCTION("""COMPUTED_VALUE"""),"Unknown")</f>
        <v>Unknown</v>
      </c>
      <c r="AA2067" s="5"/>
      <c r="AB2067" s="5" t="str">
        <f ca="1">IFERROR(__xludf.DUMMYFUNCTION("""COMPUTED_VALUE"""),"No")</f>
        <v>No</v>
      </c>
      <c r="AC2067" s="5" t="str">
        <f ca="1">IFERROR(__xludf.DUMMYFUNCTION("""COMPUTED_VALUE"""),"No")</f>
        <v>No</v>
      </c>
      <c r="AD2067" s="5" t="str">
        <f ca="1">IFERROR(__xludf.DUMMYFUNCTION("""COMPUTED_VALUE"""),"No")</f>
        <v>No</v>
      </c>
      <c r="AE2067" s="5" t="str">
        <f ca="1">IFERROR(__xludf.DUMMYFUNCTION("""COMPUTED_VALUE"""),"No")</f>
        <v>No</v>
      </c>
      <c r="AF2067" s="5" t="str">
        <f ca="1">IFERROR(__xludf.DUMMYFUNCTION("""COMPUTED_VALUE"""),"No")</f>
        <v>No</v>
      </c>
      <c r="AG2067" s="5" t="str">
        <f ca="1">IFERROR(__xludf.DUMMYFUNCTION("""COMPUTED_VALUE"""),"Yes")</f>
        <v>Yes</v>
      </c>
      <c r="AH2067" s="5"/>
    </row>
    <row r="2068" spans="1:34" ht="12.75">
      <c r="A2068" s="5" t="str">
        <f ca="1">IFERROR(__xludf.DUMMYFUNCTION("""COMPUTED_VALUE"""),"19711124MDEDB")</f>
        <v>19711124MDEDB</v>
      </c>
      <c r="B2068" s="8">
        <f ca="1">IFERROR(__xludf.DUMMYFUNCTION("""COMPUTED_VALUE"""),26261)</f>
        <v>26261</v>
      </c>
      <c r="C2068" s="5" t="str">
        <f ca="1">IFERROR(__xludf.DUMMYFUNCTION("""COMPUTED_VALUE"""),"Edmondson Senior High School")</f>
        <v>Edmondson Senior High School</v>
      </c>
      <c r="D2068" s="5">
        <f ca="1">IFERROR(__xludf.DUMMYFUNCTION("""COMPUTED_VALUE"""),1)</f>
        <v>1</v>
      </c>
      <c r="E2068" s="5">
        <f ca="1">IFERROR(__xludf.DUMMYFUNCTION("""COMPUTED_VALUE"""),0)</f>
        <v>0</v>
      </c>
      <c r="F2068" s="5">
        <f ca="1">IFERROR(__xludf.DUMMYFUNCTION("""COMPUTED_VALUE"""),1)</f>
        <v>1</v>
      </c>
      <c r="G2068" s="5">
        <f ca="1">IFERROR(__xludf.DUMMYFUNCTION("""COMPUTED_VALUE"""),0)</f>
        <v>0</v>
      </c>
      <c r="H2068"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I2068" s="5"/>
      <c r="J2068" s="5"/>
      <c r="K2068" s="5">
        <f ca="1">IFERROR(__xludf.DUMMYFUNCTION("""COMPUTED_VALUE"""),4)</f>
        <v>4</v>
      </c>
      <c r="L2068" s="5" t="str">
        <f ca="1">IFERROR(__xludf.DUMMYFUNCTION("""COMPUTED_VALUE"""),"Fall")</f>
        <v>Fall</v>
      </c>
      <c r="M2068" s="5" t="str">
        <f ca="1">IFERROR(__xludf.DUMMYFUNCTION("""COMPUTED_VALUE"""),"Baltimore")</f>
        <v>Baltimore</v>
      </c>
      <c r="N2068" s="5" t="str">
        <f ca="1">IFERROR(__xludf.DUMMYFUNCTION("""COMPUTED_VALUE"""),"MD")</f>
        <v>MD</v>
      </c>
      <c r="O2068" s="5" t="str">
        <f ca="1">IFERROR(__xludf.DUMMYFUNCTION("""COMPUTED_VALUE"""),"High")</f>
        <v>High</v>
      </c>
      <c r="P2068" s="5" t="str">
        <f ca="1">IFERROR(__xludf.DUMMYFUNCTION("""COMPUTED_VALUE"""),"Parking Lot")</f>
        <v>Parking Lot</v>
      </c>
      <c r="Q2068" s="5" t="str">
        <f ca="1">IFERROR(__xludf.DUMMYFUNCTION("""COMPUTED_VALUE"""),"Outside on School Property")</f>
        <v>Outside on School Property</v>
      </c>
      <c r="R2068" s="5" t="str">
        <f ca="1">IFERROR(__xludf.DUMMYFUNCTION("""COMPUTED_VALUE"""),"Yes")</f>
        <v>Yes</v>
      </c>
      <c r="S2068" s="5" t="str">
        <f ca="1">IFERROR(__xludf.DUMMYFUNCTION("""COMPUTED_VALUE"""),"Afternoon Classes")</f>
        <v>Afternoon Classes</v>
      </c>
      <c r="T2068" s="10">
        <f ca="1">IFERROR(__xludf.DUMMYFUNCTION("""COMPUTED_VALUE"""),0.602083333333333)</f>
        <v>0.60208333333333297</v>
      </c>
      <c r="U2068" s="5">
        <f ca="1">IFERROR(__xludf.DUMMYFUNCTION("""COMPUTED_VALUE"""),1)</f>
        <v>1</v>
      </c>
      <c r="V2068" s="5" t="str">
        <f ca="1">IFERROR(__xludf.DUMMYFUNCTION("""COMPUTED_VALUE"""),"Shooter shot victim after ongoing argument")</f>
        <v>Shooter shot victim after ongoing argument</v>
      </c>
      <c r="W2068"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X2068" s="5" t="str">
        <f ca="1">IFERROR(__xludf.DUMMYFUNCTION("""COMPUTED_VALUE"""),"Escalation of Dispute")</f>
        <v>Escalation of Dispute</v>
      </c>
      <c r="Y2068" s="5" t="str">
        <f ca="1">IFERROR(__xludf.DUMMYFUNCTION("""COMPUTED_VALUE"""),"Victims Targeted")</f>
        <v>Victims Targeted</v>
      </c>
      <c r="Z2068" s="5" t="str">
        <f ca="1">IFERROR(__xludf.DUMMYFUNCTION("""COMPUTED_VALUE"""),"No")</f>
        <v>No</v>
      </c>
      <c r="AA2068" s="5"/>
      <c r="AB2068" s="5" t="str">
        <f ca="1">IFERROR(__xludf.DUMMYFUNCTION("""COMPUTED_VALUE"""),"No")</f>
        <v>No</v>
      </c>
      <c r="AC2068" s="5" t="str">
        <f ca="1">IFERROR(__xludf.DUMMYFUNCTION("""COMPUTED_VALUE"""),"No")</f>
        <v>No</v>
      </c>
      <c r="AD2068" s="5" t="str">
        <f ca="1">IFERROR(__xludf.DUMMYFUNCTION("""COMPUTED_VALUE"""),"No")</f>
        <v>No</v>
      </c>
      <c r="AE2068" s="5" t="str">
        <f ca="1">IFERROR(__xludf.DUMMYFUNCTION("""COMPUTED_VALUE"""),"No")</f>
        <v>No</v>
      </c>
      <c r="AF2068" s="5" t="str">
        <f ca="1">IFERROR(__xludf.DUMMYFUNCTION("""COMPUTED_VALUE"""),"No")</f>
        <v>No</v>
      </c>
      <c r="AG2068" s="5" t="str">
        <f ca="1">IFERROR(__xludf.DUMMYFUNCTION("""COMPUTED_VALUE"""),"No")</f>
        <v>No</v>
      </c>
      <c r="AH2068" s="5"/>
    </row>
    <row r="2069" spans="1:34" ht="12.75">
      <c r="A2069" s="5" t="str">
        <f ca="1">IFERROR(__xludf.DUMMYFUNCTION("""COMPUTED_VALUE"""),"19711108OKGRT")</f>
        <v>19711108OKGRT</v>
      </c>
      <c r="B2069" s="8">
        <f ca="1">IFERROR(__xludf.DUMMYFUNCTION("""COMPUTED_VALUE"""),26245)</f>
        <v>26245</v>
      </c>
      <c r="C2069" s="5" t="str">
        <f ca="1">IFERROR(__xludf.DUMMYFUNCTION("""COMPUTED_VALUE"""),"Grove Elementary School")</f>
        <v>Grove Elementary School</v>
      </c>
      <c r="D2069" s="5">
        <f ca="1">IFERROR(__xludf.DUMMYFUNCTION("""COMPUTED_VALUE"""),1)</f>
        <v>1</v>
      </c>
      <c r="E2069" s="5">
        <f ca="1">IFERROR(__xludf.DUMMYFUNCTION("""COMPUTED_VALUE"""),0)</f>
        <v>0</v>
      </c>
      <c r="F2069" s="5">
        <f ca="1">IFERROR(__xludf.DUMMYFUNCTION("""COMPUTED_VALUE"""),1)</f>
        <v>1</v>
      </c>
      <c r="G2069" s="5">
        <f ca="1">IFERROR(__xludf.DUMMYFUNCTION("""COMPUTED_VALUE"""),0)</f>
        <v>0</v>
      </c>
      <c r="H2069" s="9" t="str">
        <f ca="1">IFERROR(__xludf.DUMMYFUNCTION("""COMPUTED_VALUE"""),"https://www.newspapers.com/image/310892698/?terms=Grove%2BElementary%2BSchool%2Bshooting")</f>
        <v>https://www.newspapers.com/image/310892698/?terms=Grove%2BElementary%2BSchool%2Bshooting</v>
      </c>
      <c r="I2069" s="5"/>
      <c r="J2069" s="5"/>
      <c r="K2069" s="5">
        <f ca="1">IFERROR(__xludf.DUMMYFUNCTION("""COMPUTED_VALUE"""),2)</f>
        <v>2</v>
      </c>
      <c r="L2069" s="5" t="str">
        <f ca="1">IFERROR(__xludf.DUMMYFUNCTION("""COMPUTED_VALUE"""),"Fall")</f>
        <v>Fall</v>
      </c>
      <c r="M2069" s="5" t="str">
        <f ca="1">IFERROR(__xludf.DUMMYFUNCTION("""COMPUTED_VALUE"""),"Tulsa")</f>
        <v>Tulsa</v>
      </c>
      <c r="N2069" s="5" t="str">
        <f ca="1">IFERROR(__xludf.DUMMYFUNCTION("""COMPUTED_VALUE"""),"OK")</f>
        <v>OK</v>
      </c>
      <c r="O2069" s="5" t="str">
        <f ca="1">IFERROR(__xludf.DUMMYFUNCTION("""COMPUTED_VALUE"""),"Elementary")</f>
        <v>Elementary</v>
      </c>
      <c r="P2069" s="5" t="str">
        <f ca="1">IFERROR(__xludf.DUMMYFUNCTION("""COMPUTED_VALUE"""),"Other")</f>
        <v>Other</v>
      </c>
      <c r="Q2069" s="5" t="str">
        <f ca="1">IFERROR(__xludf.DUMMYFUNCTION("""COMPUTED_VALUE"""),"Inside School Building")</f>
        <v>Inside School Building</v>
      </c>
      <c r="R2069" s="5" t="str">
        <f ca="1">IFERROR(__xludf.DUMMYFUNCTION("""COMPUTED_VALUE"""),"Yes")</f>
        <v>Yes</v>
      </c>
      <c r="S2069" s="5" t="str">
        <f ca="1">IFERROR(__xludf.DUMMYFUNCTION("""COMPUTED_VALUE"""),"Morning Classes")</f>
        <v>Morning Classes</v>
      </c>
      <c r="T2069" s="10">
        <f ca="1">IFERROR(__xludf.DUMMYFUNCTION("""COMPUTED_VALUE"""),0.375)</f>
        <v>0.375</v>
      </c>
      <c r="U2069" s="5">
        <f ca="1">IFERROR(__xludf.DUMMYFUNCTION("""COMPUTED_VALUE"""),1)</f>
        <v>1</v>
      </c>
      <c r="V2069" s="5" t="str">
        <f ca="1">IFERROR(__xludf.DUMMYFUNCTION("""COMPUTED_VALUE"""),"Shooting in janitor's closet, long standing feud")</f>
        <v>Shooting in janitor's closet, long standing feud</v>
      </c>
      <c r="W2069" s="5" t="str">
        <f ca="1">IFERROR(__xludf.DUMMYFUNCTION("""COMPUTED_VALUE"""),"Principal killed in janitor's closet by custodian. Long standing feud between the two men.")</f>
        <v>Principal killed in janitor's closet by custodian. Long standing feud between the two men.</v>
      </c>
      <c r="X2069" s="5" t="str">
        <f ca="1">IFERROR(__xludf.DUMMYFUNCTION("""COMPUTED_VALUE"""),"Escalation of Dispute")</f>
        <v>Escalation of Dispute</v>
      </c>
      <c r="Y2069" s="5" t="str">
        <f ca="1">IFERROR(__xludf.DUMMYFUNCTION("""COMPUTED_VALUE"""),"Victims Targeted")</f>
        <v>Victims Targeted</v>
      </c>
      <c r="Z2069" s="5" t="str">
        <f ca="1">IFERROR(__xludf.DUMMYFUNCTION("""COMPUTED_VALUE"""),"No")</f>
        <v>No</v>
      </c>
      <c r="AA2069" s="5"/>
      <c r="AB2069" s="5" t="str">
        <f ca="1">IFERROR(__xludf.DUMMYFUNCTION("""COMPUTED_VALUE"""),"No")</f>
        <v>No</v>
      </c>
      <c r="AC2069" s="5" t="str">
        <f ca="1">IFERROR(__xludf.DUMMYFUNCTION("""COMPUTED_VALUE"""),"No")</f>
        <v>No</v>
      </c>
      <c r="AD2069" s="5" t="str">
        <f ca="1">IFERROR(__xludf.DUMMYFUNCTION("""COMPUTED_VALUE"""),"No")</f>
        <v>No</v>
      </c>
      <c r="AE2069" s="5" t="str">
        <f ca="1">IFERROR(__xludf.DUMMYFUNCTION("""COMPUTED_VALUE"""),"No")</f>
        <v>No</v>
      </c>
      <c r="AF2069" s="5" t="str">
        <f ca="1">IFERROR(__xludf.DUMMYFUNCTION("""COMPUTED_VALUE"""),"No")</f>
        <v>No</v>
      </c>
      <c r="AG2069" s="5" t="str">
        <f ca="1">IFERROR(__xludf.DUMMYFUNCTION("""COMPUTED_VALUE"""),"No")</f>
        <v>No</v>
      </c>
      <c r="AH2069" s="5"/>
    </row>
    <row r="2070" spans="1:34" ht="12.75">
      <c r="A2070" s="5" t="str">
        <f ca="1">IFERROR(__xludf.DUMMYFUNCTION("""COMPUTED_VALUE"""),"19711103NMCAC")</f>
        <v>19711103NMCAC</v>
      </c>
      <c r="B2070" s="8">
        <f ca="1">IFERROR(__xludf.DUMMYFUNCTION("""COMPUTED_VALUE"""),26240)</f>
        <v>26240</v>
      </c>
      <c r="C2070" s="5" t="str">
        <f ca="1">IFERROR(__xludf.DUMMYFUNCTION("""COMPUTED_VALUE"""),"Carlsbad Mid-High School")</f>
        <v>Carlsbad Mid-High School</v>
      </c>
      <c r="D2070" s="5">
        <f ca="1">IFERROR(__xludf.DUMMYFUNCTION("""COMPUTED_VALUE"""),0)</f>
        <v>0</v>
      </c>
      <c r="E2070" s="5">
        <f ca="1">IFERROR(__xludf.DUMMYFUNCTION("""COMPUTED_VALUE"""),1)</f>
        <v>1</v>
      </c>
      <c r="F2070" s="5">
        <f ca="1">IFERROR(__xludf.DUMMYFUNCTION("""COMPUTED_VALUE"""),1)</f>
        <v>1</v>
      </c>
      <c r="G2070" s="5">
        <f ca="1">IFERROR(__xludf.DUMMYFUNCTION("""COMPUTED_VALUE"""),1)</f>
        <v>1</v>
      </c>
      <c r="H2070" s="5" t="str">
        <f ca="1">IFERROR(__xludf.DUMMYFUNCTION("""COMPUTED_VALUE"""),"https://newspaperarchive.com/hutchinson-news-nov-04-1971-p-1/ https://www.newspapers.com/image/53647877/?terms=school%2Bshooting")</f>
        <v>https://newspaperarchive.com/hutchinson-news-nov-04-1971-p-1/ https://www.newspapers.com/image/53647877/?terms=school%2Bshooting</v>
      </c>
      <c r="I2070" s="5"/>
      <c r="J2070" s="5"/>
      <c r="K2070" s="5">
        <f ca="1">IFERROR(__xludf.DUMMYFUNCTION("""COMPUTED_VALUE"""),3)</f>
        <v>3</v>
      </c>
      <c r="L2070" s="5" t="str">
        <f ca="1">IFERROR(__xludf.DUMMYFUNCTION("""COMPUTED_VALUE"""),"Fall")</f>
        <v>Fall</v>
      </c>
      <c r="M2070" s="5" t="str">
        <f ca="1">IFERROR(__xludf.DUMMYFUNCTION("""COMPUTED_VALUE"""),"Carlsbad")</f>
        <v>Carlsbad</v>
      </c>
      <c r="N2070" s="5" t="str">
        <f ca="1">IFERROR(__xludf.DUMMYFUNCTION("""COMPUTED_VALUE"""),"NM")</f>
        <v>NM</v>
      </c>
      <c r="O2070" s="11">
        <f ca="1">IFERROR(__xludf.DUMMYFUNCTION("""COMPUTED_VALUE"""),44724)</f>
        <v>44724</v>
      </c>
      <c r="P2070" s="5" t="str">
        <f ca="1">IFERROR(__xludf.DUMMYFUNCTION("""COMPUTED_VALUE"""),"Other")</f>
        <v>Other</v>
      </c>
      <c r="Q2070" s="5" t="str">
        <f ca="1">IFERROR(__xludf.DUMMYFUNCTION("""COMPUTED_VALUE"""),"Inside School Building")</f>
        <v>Inside School Building</v>
      </c>
      <c r="R2070" s="5" t="str">
        <f ca="1">IFERROR(__xludf.DUMMYFUNCTION("""COMPUTED_VALUE"""),"Yes")</f>
        <v>Yes</v>
      </c>
      <c r="S2070" s="5" t="str">
        <f ca="1">IFERROR(__xludf.DUMMYFUNCTION("""COMPUTED_VALUE"""),"Morning Classes")</f>
        <v>Morning Classes</v>
      </c>
      <c r="T2070" s="10">
        <f ca="1">IFERROR(__xludf.DUMMYFUNCTION("""COMPUTED_VALUE"""),0.429861111111111)</f>
        <v>0.42986111111111103</v>
      </c>
      <c r="U2070" s="5">
        <f ca="1">IFERROR(__xludf.DUMMYFUNCTION("""COMPUTED_VALUE"""),121)</f>
        <v>121</v>
      </c>
      <c r="V2070" s="5" t="str">
        <f ca="1">IFERROR(__xludf.DUMMYFUNCTION("""COMPUTED_VALUE"""),"Shooter fired from 3rd floor tower at random victims")</f>
        <v>Shooter fired from 3rd floor tower at random victims</v>
      </c>
      <c r="W2070"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X2070" s="5" t="str">
        <f ca="1">IFERROR(__xludf.DUMMYFUNCTION("""COMPUTED_VALUE"""),"Psychosis")</f>
        <v>Psychosis</v>
      </c>
      <c r="Y2070" s="5" t="str">
        <f ca="1">IFERROR(__xludf.DUMMYFUNCTION("""COMPUTED_VALUE"""),"Random Shooting")</f>
        <v>Random Shooting</v>
      </c>
      <c r="Z2070" s="5" t="str">
        <f ca="1">IFERROR(__xludf.DUMMYFUNCTION("""COMPUTED_VALUE"""),"No")</f>
        <v>No</v>
      </c>
      <c r="AA2070" s="5"/>
      <c r="AB2070" s="5" t="str">
        <f ca="1">IFERROR(__xludf.DUMMYFUNCTION("""COMPUTED_VALUE"""),"No")</f>
        <v>No</v>
      </c>
      <c r="AC2070" s="5" t="str">
        <f ca="1">IFERROR(__xludf.DUMMYFUNCTION("""COMPUTED_VALUE"""),"Yes")</f>
        <v>Yes</v>
      </c>
      <c r="AD2070" s="5" t="str">
        <f ca="1">IFERROR(__xludf.DUMMYFUNCTION("""COMPUTED_VALUE"""),"No")</f>
        <v>No</v>
      </c>
      <c r="AE2070" s="5" t="str">
        <f ca="1">IFERROR(__xludf.DUMMYFUNCTION("""COMPUTED_VALUE"""),"No")</f>
        <v>No</v>
      </c>
      <c r="AF2070" s="5" t="str">
        <f ca="1">IFERROR(__xludf.DUMMYFUNCTION("""COMPUTED_VALUE"""),"No")</f>
        <v>No</v>
      </c>
      <c r="AG2070" s="5" t="str">
        <f ca="1">IFERROR(__xludf.DUMMYFUNCTION("""COMPUTED_VALUE"""),"No")</f>
        <v>No</v>
      </c>
      <c r="AH2070" s="5" t="str">
        <f ca="1">IFERROR(__xludf.DUMMYFUNCTION("""COMPUTED_VALUE"""),"Yes")</f>
        <v>Yes</v>
      </c>
    </row>
    <row r="2071" spans="1:34" ht="12.75">
      <c r="A2071" s="5" t="str">
        <f ca="1">IFERROR(__xludf.DUMMYFUNCTION("""COMPUTED_VALUE"""),"19711029MDFRB")</f>
        <v>19711029MDFRB</v>
      </c>
      <c r="B2071" s="8">
        <f ca="1">IFERROR(__xludf.DUMMYFUNCTION("""COMPUTED_VALUE"""),26235)</f>
        <v>26235</v>
      </c>
      <c r="C2071" s="5" t="str">
        <f ca="1">IFERROR(__xludf.DUMMYFUNCTION("""COMPUTED_VALUE"""),"Frederick Douglass High School")</f>
        <v>Frederick Douglass High School</v>
      </c>
      <c r="D2071" s="5">
        <f ca="1">IFERROR(__xludf.DUMMYFUNCTION("""COMPUTED_VALUE"""),0)</f>
        <v>0</v>
      </c>
      <c r="E2071" s="5">
        <f ca="1">IFERROR(__xludf.DUMMYFUNCTION("""COMPUTED_VALUE"""),2)</f>
        <v>2</v>
      </c>
      <c r="F2071" s="5">
        <f ca="1">IFERROR(__xludf.DUMMYFUNCTION("""COMPUTED_VALUE"""),2)</f>
        <v>2</v>
      </c>
      <c r="G2071" s="5">
        <f ca="1">IFERROR(__xludf.DUMMYFUNCTION("""COMPUTED_VALUE"""),0)</f>
        <v>0</v>
      </c>
      <c r="H2071" s="9" t="str">
        <f ca="1">IFERROR(__xludf.DUMMYFUNCTION("""COMPUTED_VALUE"""),"https://www.newspapers.com/image/377096935/")</f>
        <v>https://www.newspapers.com/image/377096935/</v>
      </c>
      <c r="I2071" s="5"/>
      <c r="J2071" s="5"/>
      <c r="K2071" s="5">
        <f ca="1">IFERROR(__xludf.DUMMYFUNCTION("""COMPUTED_VALUE"""),2)</f>
        <v>2</v>
      </c>
      <c r="L2071" s="5" t="str">
        <f ca="1">IFERROR(__xludf.DUMMYFUNCTION("""COMPUTED_VALUE"""),"Fall")</f>
        <v>Fall</v>
      </c>
      <c r="M2071" s="5" t="str">
        <f ca="1">IFERROR(__xludf.DUMMYFUNCTION("""COMPUTED_VALUE"""),"Baltimore")</f>
        <v>Baltimore</v>
      </c>
      <c r="N2071" s="5" t="str">
        <f ca="1">IFERROR(__xludf.DUMMYFUNCTION("""COMPUTED_VALUE"""),"MD")</f>
        <v>MD</v>
      </c>
      <c r="O2071" s="5" t="str">
        <f ca="1">IFERROR(__xludf.DUMMYFUNCTION("""COMPUTED_VALUE"""),"High")</f>
        <v>High</v>
      </c>
      <c r="P2071" s="5" t="str">
        <f ca="1">IFERROR(__xludf.DUMMYFUNCTION("""COMPUTED_VALUE"""),"Parking Lot")</f>
        <v>Parking Lot</v>
      </c>
      <c r="Q2071" s="5" t="str">
        <f ca="1">IFERROR(__xludf.DUMMYFUNCTION("""COMPUTED_VALUE"""),"Outside on School Property")</f>
        <v>Outside on School Property</v>
      </c>
      <c r="R2071" s="5" t="str">
        <f ca="1">IFERROR(__xludf.DUMMYFUNCTION("""COMPUTED_VALUE"""),"No")</f>
        <v>No</v>
      </c>
      <c r="S2071" s="5" t="str">
        <f ca="1">IFERROR(__xludf.DUMMYFUNCTION("""COMPUTED_VALUE"""),"Dismissal")</f>
        <v>Dismissal</v>
      </c>
      <c r="T2071" s="10">
        <f ca="1">IFERROR(__xludf.DUMMYFUNCTION("""COMPUTED_VALUE"""),0.625)</f>
        <v>0.625</v>
      </c>
      <c r="U2071" s="5">
        <f ca="1">IFERROR(__xludf.DUMMYFUNCTION("""COMPUTED_VALUE"""),1)</f>
        <v>1</v>
      </c>
      <c r="V2071" s="5" t="str">
        <f ca="1">IFERROR(__xludf.DUMMYFUNCTION("""COMPUTED_VALUE"""),"2 student hit in crossfire of fight that escalated into shooting in the parking lot")</f>
        <v>2 student hit in crossfire of fight that escalated into shooting in the parking lot</v>
      </c>
      <c r="W2071" s="5" t="str">
        <f ca="1">IFERROR(__xludf.DUMMYFUNCTION("""COMPUTED_VALUE"""),"Students hit in the crossfire during fight between other students in the parking lot.")</f>
        <v>Students hit in the crossfire during fight between other students in the parking lot.</v>
      </c>
      <c r="X2071" s="5" t="str">
        <f ca="1">IFERROR(__xludf.DUMMYFUNCTION("""COMPUTED_VALUE"""),"Escalation of Dispute")</f>
        <v>Escalation of Dispute</v>
      </c>
      <c r="Y2071" s="5" t="str">
        <f ca="1">IFERROR(__xludf.DUMMYFUNCTION("""COMPUTED_VALUE"""),"Random Shooting")</f>
        <v>Random Shooting</v>
      </c>
      <c r="Z2071" s="5" t="str">
        <f ca="1">IFERROR(__xludf.DUMMYFUNCTION("""COMPUTED_VALUE"""),"Yes")</f>
        <v>Yes</v>
      </c>
      <c r="AA2071" s="5" t="str">
        <f ca="1">IFERROR(__xludf.DUMMYFUNCTION("""COMPUTED_VALUE"""),"Two teens involved")</f>
        <v>Two teens involved</v>
      </c>
      <c r="AB2071" s="5" t="str">
        <f ca="1">IFERROR(__xludf.DUMMYFUNCTION("""COMPUTED_VALUE"""),"No")</f>
        <v>No</v>
      </c>
      <c r="AC2071" s="5" t="str">
        <f ca="1">IFERROR(__xludf.DUMMYFUNCTION("""COMPUTED_VALUE"""),"No")</f>
        <v>No</v>
      </c>
      <c r="AD2071" s="5" t="str">
        <f ca="1">IFERROR(__xludf.DUMMYFUNCTION("""COMPUTED_VALUE"""),"No")</f>
        <v>No</v>
      </c>
      <c r="AE2071" s="5" t="str">
        <f ca="1">IFERROR(__xludf.DUMMYFUNCTION("""COMPUTED_VALUE"""),"No")</f>
        <v>No</v>
      </c>
      <c r="AF2071" s="5" t="str">
        <f ca="1">IFERROR(__xludf.DUMMYFUNCTION("""COMPUTED_VALUE"""),"No")</f>
        <v>No</v>
      </c>
      <c r="AG2071" s="5" t="str">
        <f ca="1">IFERROR(__xludf.DUMMYFUNCTION("""COMPUTED_VALUE"""),"No")</f>
        <v>No</v>
      </c>
      <c r="AH2071" s="5"/>
    </row>
    <row r="2072" spans="1:34" ht="12.75">
      <c r="A2072" s="5" t="str">
        <f ca="1">IFERROR(__xludf.DUMMYFUNCTION("""COMPUTED_VALUE"""),"19711029MDFOB")</f>
        <v>19711029MDFOB</v>
      </c>
      <c r="B2072" s="8">
        <f ca="1">IFERROR(__xludf.DUMMYFUNCTION("""COMPUTED_VALUE"""),26235)</f>
        <v>26235</v>
      </c>
      <c r="C2072" s="5" t="str">
        <f ca="1">IFERROR(__xludf.DUMMYFUNCTION("""COMPUTED_VALUE"""),"Forest Park High School")</f>
        <v>Forest Park High School</v>
      </c>
      <c r="D2072" s="5">
        <f ca="1">IFERROR(__xludf.DUMMYFUNCTION("""COMPUTED_VALUE"""),0)</f>
        <v>0</v>
      </c>
      <c r="E2072" s="5">
        <f ca="1">IFERROR(__xludf.DUMMYFUNCTION("""COMPUTED_VALUE"""),1)</f>
        <v>1</v>
      </c>
      <c r="F2072" s="5">
        <f ca="1">IFERROR(__xludf.DUMMYFUNCTION("""COMPUTED_VALUE"""),1)</f>
        <v>1</v>
      </c>
      <c r="G2072" s="5">
        <f ca="1">IFERROR(__xludf.DUMMYFUNCTION("""COMPUTED_VALUE"""),0)</f>
        <v>0</v>
      </c>
      <c r="H2072" s="9" t="str">
        <f ca="1">IFERROR(__xludf.DUMMYFUNCTION("""COMPUTED_VALUE"""),"https://www.newspapers.com/image/377096935/")</f>
        <v>https://www.newspapers.com/image/377096935/</v>
      </c>
      <c r="I2072" s="5"/>
      <c r="J2072" s="5"/>
      <c r="K2072" s="5">
        <f ca="1">IFERROR(__xludf.DUMMYFUNCTION("""COMPUTED_VALUE"""),2)</f>
        <v>2</v>
      </c>
      <c r="L2072" s="5" t="str">
        <f ca="1">IFERROR(__xludf.DUMMYFUNCTION("""COMPUTED_VALUE"""),"Fall")</f>
        <v>Fall</v>
      </c>
      <c r="M2072" s="5" t="str">
        <f ca="1">IFERROR(__xludf.DUMMYFUNCTION("""COMPUTED_VALUE"""),"Baltimore")</f>
        <v>Baltimore</v>
      </c>
      <c r="N2072" s="5" t="str">
        <f ca="1">IFERROR(__xludf.DUMMYFUNCTION("""COMPUTED_VALUE"""),"MD")</f>
        <v>MD</v>
      </c>
      <c r="O2072" s="5" t="str">
        <f ca="1">IFERROR(__xludf.DUMMYFUNCTION("""COMPUTED_VALUE"""),"High")</f>
        <v>High</v>
      </c>
      <c r="P2072" s="5" t="str">
        <f ca="1">IFERROR(__xludf.DUMMYFUNCTION("""COMPUTED_VALUE"""),"Beside Building")</f>
        <v>Beside Building</v>
      </c>
      <c r="Q2072" s="5" t="str">
        <f ca="1">IFERROR(__xludf.DUMMYFUNCTION("""COMPUTED_VALUE"""),"Outside on School Property")</f>
        <v>Outside on School Property</v>
      </c>
      <c r="R2072" s="5" t="str">
        <f ca="1">IFERROR(__xludf.DUMMYFUNCTION("""COMPUTED_VALUE"""),"Yes")</f>
        <v>Yes</v>
      </c>
      <c r="S2072" s="5" t="str">
        <f ca="1">IFERROR(__xludf.DUMMYFUNCTION("""COMPUTED_VALUE"""),"Lunch")</f>
        <v>Lunch</v>
      </c>
      <c r="T2072" s="10">
        <f ca="1">IFERROR(__xludf.DUMMYFUNCTION("""COMPUTED_VALUE"""),0.496527777777777)</f>
        <v>0.49652777777777701</v>
      </c>
      <c r="U2072" s="5">
        <f ca="1">IFERROR(__xludf.DUMMYFUNCTION("""COMPUTED_VALUE"""),1)</f>
        <v>1</v>
      </c>
      <c r="V2072" s="5" t="str">
        <f ca="1">IFERROR(__xludf.DUMMYFUNCTION("""COMPUTED_VALUE"""),"Rifle fired during fight over craps game, struck uninvolved student")</f>
        <v>Rifle fired during fight over craps game, struck uninvolved student</v>
      </c>
      <c r="W2072" s="5" t="str">
        <f ca="1">IFERROR(__xludf.DUMMYFUNCTION("""COMPUTED_VALUE"""),"Dispute over craps game behind school during lunch. Rifle was fired and bullet struck uninvolved student.")</f>
        <v>Dispute over craps game behind school during lunch. Rifle was fired and bullet struck uninvolved student.</v>
      </c>
      <c r="X2072" s="5" t="str">
        <f ca="1">IFERROR(__xludf.DUMMYFUNCTION("""COMPUTED_VALUE"""),"Escalation of Dispute")</f>
        <v>Escalation of Dispute</v>
      </c>
      <c r="Y2072" s="5" t="str">
        <f ca="1">IFERROR(__xludf.DUMMYFUNCTION("""COMPUTED_VALUE"""),"Neither")</f>
        <v>Neither</v>
      </c>
      <c r="Z2072" s="5" t="str">
        <f ca="1">IFERROR(__xludf.DUMMYFUNCTION("""COMPUTED_VALUE"""),"No")</f>
        <v>No</v>
      </c>
      <c r="AA2072" s="5"/>
      <c r="AB2072" s="5" t="str">
        <f ca="1">IFERROR(__xludf.DUMMYFUNCTION("""COMPUTED_VALUE"""),"No")</f>
        <v>No</v>
      </c>
      <c r="AC2072" s="5" t="str">
        <f ca="1">IFERROR(__xludf.DUMMYFUNCTION("""COMPUTED_VALUE"""),"No")</f>
        <v>No</v>
      </c>
      <c r="AD2072" s="5" t="str">
        <f ca="1">IFERROR(__xludf.DUMMYFUNCTION("""COMPUTED_VALUE"""),"No")</f>
        <v>No</v>
      </c>
      <c r="AE2072" s="5" t="str">
        <f ca="1">IFERROR(__xludf.DUMMYFUNCTION("""COMPUTED_VALUE"""),"No")</f>
        <v>No</v>
      </c>
      <c r="AF2072" s="5" t="str">
        <f ca="1">IFERROR(__xludf.DUMMYFUNCTION("""COMPUTED_VALUE"""),"No")</f>
        <v>No</v>
      </c>
      <c r="AG2072" s="5" t="str">
        <f ca="1">IFERROR(__xludf.DUMMYFUNCTION("""COMPUTED_VALUE"""),"No")</f>
        <v>No</v>
      </c>
      <c r="AH2072" s="5"/>
    </row>
    <row r="2073" spans="1:34" ht="12.75">
      <c r="A2073" s="5" t="str">
        <f ca="1">IFERROR(__xludf.DUMMYFUNCTION("""COMPUTED_VALUE"""),"19711028MDCIB")</f>
        <v>19711028MDCIB</v>
      </c>
      <c r="B2073" s="8">
        <f ca="1">IFERROR(__xludf.DUMMYFUNCTION("""COMPUTED_VALUE"""),26234)</f>
        <v>26234</v>
      </c>
      <c r="C2073" s="5" t="str">
        <f ca="1">IFERROR(__xludf.DUMMYFUNCTION("""COMPUTED_VALUE"""),"City College High School")</f>
        <v>City College High School</v>
      </c>
      <c r="D2073" s="5">
        <f ca="1">IFERROR(__xludf.DUMMYFUNCTION("""COMPUTED_VALUE"""),0)</f>
        <v>0</v>
      </c>
      <c r="E2073" s="5">
        <f ca="1">IFERROR(__xludf.DUMMYFUNCTION("""COMPUTED_VALUE"""),1)</f>
        <v>1</v>
      </c>
      <c r="F2073" s="5">
        <f ca="1">IFERROR(__xludf.DUMMYFUNCTION("""COMPUTED_VALUE"""),1)</f>
        <v>1</v>
      </c>
      <c r="G2073" s="5">
        <f ca="1">IFERROR(__xludf.DUMMYFUNCTION("""COMPUTED_VALUE"""),0)</f>
        <v>0</v>
      </c>
      <c r="H2073" s="9" t="str">
        <f ca="1">IFERROR(__xludf.DUMMYFUNCTION("""COMPUTED_VALUE"""),"https://www.newspapers.com/image/377094051/?terms=school%2Bshooting")</f>
        <v>https://www.newspapers.com/image/377094051/?terms=school%2Bshooting</v>
      </c>
      <c r="I2073" s="5"/>
      <c r="J2073" s="5"/>
      <c r="K2073" s="5">
        <f ca="1">IFERROR(__xludf.DUMMYFUNCTION("""COMPUTED_VALUE"""),2)</f>
        <v>2</v>
      </c>
      <c r="L2073" s="5" t="str">
        <f ca="1">IFERROR(__xludf.DUMMYFUNCTION("""COMPUTED_VALUE"""),"Fall")</f>
        <v>Fall</v>
      </c>
      <c r="M2073" s="5" t="str">
        <f ca="1">IFERROR(__xludf.DUMMYFUNCTION("""COMPUTED_VALUE"""),"Baltimore")</f>
        <v>Baltimore</v>
      </c>
      <c r="N2073" s="5" t="str">
        <f ca="1">IFERROR(__xludf.DUMMYFUNCTION("""COMPUTED_VALUE"""),"MD")</f>
        <v>MD</v>
      </c>
      <c r="O2073" s="5" t="str">
        <f ca="1">IFERROR(__xludf.DUMMYFUNCTION("""COMPUTED_VALUE"""),"High")</f>
        <v>High</v>
      </c>
      <c r="P2073" s="5" t="str">
        <f ca="1">IFERROR(__xludf.DUMMYFUNCTION("""COMPUTED_VALUE"""),"Hallway")</f>
        <v>Hallway</v>
      </c>
      <c r="Q2073" s="5" t="str">
        <f ca="1">IFERROR(__xludf.DUMMYFUNCTION("""COMPUTED_VALUE"""),"Inside School Building")</f>
        <v>Inside School Building</v>
      </c>
      <c r="R2073" s="5" t="str">
        <f ca="1">IFERROR(__xludf.DUMMYFUNCTION("""COMPUTED_VALUE"""),"Yes")</f>
        <v>Yes</v>
      </c>
      <c r="S2073" s="5" t="str">
        <f ca="1">IFERROR(__xludf.DUMMYFUNCTION("""COMPUTED_VALUE"""),"Lunch")</f>
        <v>Lunch</v>
      </c>
      <c r="T2073" s="10">
        <f ca="1">IFERROR(__xludf.DUMMYFUNCTION("""COMPUTED_VALUE"""),0.493055555555555)</f>
        <v>0.49305555555555503</v>
      </c>
      <c r="U2073" s="5">
        <f ca="1">IFERROR(__xludf.DUMMYFUNCTION("""COMPUTED_VALUE"""),1)</f>
        <v>1</v>
      </c>
      <c r="V2073" s="5" t="str">
        <f ca="1">IFERROR(__xludf.DUMMYFUNCTION("""COMPUTED_VALUE"""),"Shot during argument in stairwell")</f>
        <v>Shot during argument in stairwell</v>
      </c>
      <c r="W2073"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X2073" s="5" t="str">
        <f ca="1">IFERROR(__xludf.DUMMYFUNCTION("""COMPUTED_VALUE"""),"Escalation of Dispute")</f>
        <v>Escalation of Dispute</v>
      </c>
      <c r="Y2073" s="5" t="str">
        <f ca="1">IFERROR(__xludf.DUMMYFUNCTION("""COMPUTED_VALUE"""),"Victims Targeted")</f>
        <v>Victims Targeted</v>
      </c>
      <c r="Z2073" s="5" t="str">
        <f ca="1">IFERROR(__xludf.DUMMYFUNCTION("""COMPUTED_VALUE"""),"No")</f>
        <v>No</v>
      </c>
      <c r="AA2073" s="5"/>
      <c r="AB2073" s="5" t="str">
        <f ca="1">IFERROR(__xludf.DUMMYFUNCTION("""COMPUTED_VALUE"""),"No")</f>
        <v>No</v>
      </c>
      <c r="AC2073" s="5" t="str">
        <f ca="1">IFERROR(__xludf.DUMMYFUNCTION("""COMPUTED_VALUE"""),"No")</f>
        <v>No</v>
      </c>
      <c r="AD2073" s="5" t="str">
        <f ca="1">IFERROR(__xludf.DUMMYFUNCTION("""COMPUTED_VALUE"""),"No")</f>
        <v>No</v>
      </c>
      <c r="AE2073" s="5" t="str">
        <f ca="1">IFERROR(__xludf.DUMMYFUNCTION("""COMPUTED_VALUE"""),"No")</f>
        <v>No</v>
      </c>
      <c r="AF2073" s="5" t="str">
        <f ca="1">IFERROR(__xludf.DUMMYFUNCTION("""COMPUTED_VALUE"""),"No")</f>
        <v>No</v>
      </c>
      <c r="AG2073" s="5" t="str">
        <f ca="1">IFERROR(__xludf.DUMMYFUNCTION("""COMPUTED_VALUE"""),"No")</f>
        <v>No</v>
      </c>
      <c r="AH2073" s="5"/>
    </row>
    <row r="2074" spans="1:34" ht="12.75">
      <c r="A2074" s="5" t="str">
        <f ca="1">IFERROR(__xludf.DUMMYFUNCTION("""COMPUTED_VALUE"""),"19710929VAPEP")</f>
        <v>19710929VAPEP</v>
      </c>
      <c r="B2074" s="8">
        <f ca="1">IFERROR(__xludf.DUMMYFUNCTION("""COMPUTED_VALUE"""),26205)</f>
        <v>26205</v>
      </c>
      <c r="C2074" s="5" t="str">
        <f ca="1">IFERROR(__xludf.DUMMYFUNCTION("""COMPUTED_VALUE"""),"Peabody Junior High School")</f>
        <v>Peabody Junior High School</v>
      </c>
      <c r="D2074" s="5">
        <f ca="1">IFERROR(__xludf.DUMMYFUNCTION("""COMPUTED_VALUE"""),1)</f>
        <v>1</v>
      </c>
      <c r="E2074" s="5">
        <f ca="1">IFERROR(__xludf.DUMMYFUNCTION("""COMPUTED_VALUE"""),2)</f>
        <v>2</v>
      </c>
      <c r="F2074" s="5">
        <f ca="1">IFERROR(__xludf.DUMMYFUNCTION("""COMPUTED_VALUE"""),3)</f>
        <v>3</v>
      </c>
      <c r="G2074" s="5">
        <f ca="1">IFERROR(__xludf.DUMMYFUNCTION("""COMPUTED_VALUE"""),0)</f>
        <v>0</v>
      </c>
      <c r="H2074" s="9" t="str">
        <f ca="1">IFERROR(__xludf.DUMMYFUNCTION("""COMPUTED_VALUE"""),"https://www.newspapers.com/image/378657230/?terms=school%2Bshooting")</f>
        <v>https://www.newspapers.com/image/378657230/?terms=school%2Bshooting</v>
      </c>
      <c r="I2074" s="5"/>
      <c r="J2074" s="5"/>
      <c r="K2074" s="5">
        <f ca="1">IFERROR(__xludf.DUMMYFUNCTION("""COMPUTED_VALUE"""),2)</f>
        <v>2</v>
      </c>
      <c r="L2074" s="5" t="str">
        <f ca="1">IFERROR(__xludf.DUMMYFUNCTION("""COMPUTED_VALUE"""),"Fall")</f>
        <v>Fall</v>
      </c>
      <c r="M2074" s="5" t="str">
        <f ca="1">IFERROR(__xludf.DUMMYFUNCTION("""COMPUTED_VALUE"""),"Petersburg")</f>
        <v>Petersburg</v>
      </c>
      <c r="N2074" s="5" t="str">
        <f ca="1">IFERROR(__xludf.DUMMYFUNCTION("""COMPUTED_VALUE"""),"VA")</f>
        <v>VA</v>
      </c>
      <c r="O2074" s="5" t="str">
        <f ca="1">IFERROR(__xludf.DUMMYFUNCTION("""COMPUTED_VALUE"""),"Junior High")</f>
        <v>Junior High</v>
      </c>
      <c r="P2074" s="5" t="str">
        <f ca="1">IFERROR(__xludf.DUMMYFUNCTION("""COMPUTED_VALUE"""),"Classroom")</f>
        <v>Classroom</v>
      </c>
      <c r="Q2074" s="5" t="str">
        <f ca="1">IFERROR(__xludf.DUMMYFUNCTION("""COMPUTED_VALUE"""),"Inside School Building")</f>
        <v>Inside School Building</v>
      </c>
      <c r="R2074" s="5" t="str">
        <f ca="1">IFERROR(__xludf.DUMMYFUNCTION("""COMPUTED_VALUE"""),"Yes")</f>
        <v>Yes</v>
      </c>
      <c r="S2074" s="5"/>
      <c r="T2074" s="5"/>
      <c r="U2074" s="5">
        <f ca="1">IFERROR(__xludf.DUMMYFUNCTION("""COMPUTED_VALUE"""),1)</f>
        <v>1</v>
      </c>
      <c r="V2074" s="5" t="str">
        <f ca="1">IFERROR(__xludf.DUMMYFUNCTION("""COMPUTED_VALUE"""),"Ran into math class and fired 4 shots before being subdued")</f>
        <v>Ran into math class and fired 4 shots before being subdued</v>
      </c>
      <c r="W2074"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X2074" s="5" t="str">
        <f ca="1">IFERROR(__xludf.DUMMYFUNCTION("""COMPUTED_VALUE"""),"Indiscriminate Shooting")</f>
        <v>Indiscriminate Shooting</v>
      </c>
      <c r="Y2074" s="5" t="str">
        <f ca="1">IFERROR(__xludf.DUMMYFUNCTION("""COMPUTED_VALUE"""),"Random Shooting")</f>
        <v>Random Shooting</v>
      </c>
      <c r="Z2074" s="5" t="str">
        <f ca="1">IFERROR(__xludf.DUMMYFUNCTION("""COMPUTED_VALUE"""),"No")</f>
        <v>No</v>
      </c>
      <c r="AA2074" s="5"/>
      <c r="AB2074" s="5" t="str">
        <f ca="1">IFERROR(__xludf.DUMMYFUNCTION("""COMPUTED_VALUE"""),"No")</f>
        <v>No</v>
      </c>
      <c r="AC2074" s="5" t="str">
        <f ca="1">IFERROR(__xludf.DUMMYFUNCTION("""COMPUTED_VALUE"""),"No")</f>
        <v>No</v>
      </c>
      <c r="AD2074" s="5" t="str">
        <f ca="1">IFERROR(__xludf.DUMMYFUNCTION("""COMPUTED_VALUE"""),"No")</f>
        <v>No</v>
      </c>
      <c r="AE2074" s="5"/>
      <c r="AF2074" s="5" t="str">
        <f ca="1">IFERROR(__xludf.DUMMYFUNCTION("""COMPUTED_VALUE"""),"No")</f>
        <v>No</v>
      </c>
      <c r="AG2074" s="5" t="str">
        <f ca="1">IFERROR(__xludf.DUMMYFUNCTION("""COMPUTED_VALUE"""),"No")</f>
        <v>No</v>
      </c>
      <c r="AH2074" s="5" t="str">
        <f ca="1">IFERROR(__xludf.DUMMYFUNCTION("""COMPUTED_VALUE"""),"Yes")</f>
        <v>Yes</v>
      </c>
    </row>
    <row r="2075" spans="1:34" ht="12.75">
      <c r="A2075" s="5" t="str">
        <f ca="1">IFERROR(__xludf.DUMMYFUNCTION("""COMPUTED_VALUE"""),"19710928MNCEM")</f>
        <v>19710928MNCEM</v>
      </c>
      <c r="B2075" s="8">
        <f ca="1">IFERROR(__xludf.DUMMYFUNCTION("""COMPUTED_VALUE"""),26204)</f>
        <v>26204</v>
      </c>
      <c r="C2075" s="5" t="str">
        <f ca="1">IFERROR(__xludf.DUMMYFUNCTION("""COMPUTED_VALUE"""),"Central High School")</f>
        <v>Central High School</v>
      </c>
      <c r="D2075" s="5">
        <f ca="1">IFERROR(__xludf.DUMMYFUNCTION("""COMPUTED_VALUE"""),0)</f>
        <v>0</v>
      </c>
      <c r="E2075" s="5">
        <f ca="1">IFERROR(__xludf.DUMMYFUNCTION("""COMPUTED_VALUE"""),0)</f>
        <v>0</v>
      </c>
      <c r="F2075" s="5">
        <f ca="1">IFERROR(__xludf.DUMMYFUNCTION("""COMPUTED_VALUE"""),0)</f>
        <v>0</v>
      </c>
      <c r="G2075" s="5">
        <f ca="1">IFERROR(__xludf.DUMMYFUNCTION("""COMPUTED_VALUE"""),0)</f>
        <v>0</v>
      </c>
      <c r="H2075" s="9" t="str">
        <f ca="1">IFERROR(__xludf.DUMMYFUNCTION("""COMPUTED_VALUE"""),"https://www.newspapers.com/image/190388672/?terms=school%2Bshooting")</f>
        <v>https://www.newspapers.com/image/190388672/?terms=school%2Bshooting</v>
      </c>
      <c r="I2075" s="5"/>
      <c r="J2075" s="5"/>
      <c r="K2075" s="5">
        <f ca="1">IFERROR(__xludf.DUMMYFUNCTION("""COMPUTED_VALUE"""),2)</f>
        <v>2</v>
      </c>
      <c r="L2075" s="5" t="str">
        <f ca="1">IFERROR(__xludf.DUMMYFUNCTION("""COMPUTED_VALUE"""),"Fall")</f>
        <v>Fall</v>
      </c>
      <c r="M2075" s="5" t="str">
        <f ca="1">IFERROR(__xludf.DUMMYFUNCTION("""COMPUTED_VALUE"""),"Minneapolis")</f>
        <v>Minneapolis</v>
      </c>
      <c r="N2075" s="5" t="str">
        <f ca="1">IFERROR(__xludf.DUMMYFUNCTION("""COMPUTED_VALUE"""),"MN")</f>
        <v>MN</v>
      </c>
      <c r="O2075" s="5" t="str">
        <f ca="1">IFERROR(__xludf.DUMMYFUNCTION("""COMPUTED_VALUE"""),"High")</f>
        <v>High</v>
      </c>
      <c r="P2075" s="5" t="str">
        <f ca="1">IFERROR(__xludf.DUMMYFUNCTION("""COMPUTED_VALUE"""),"Inside School Building")</f>
        <v>Inside School Building</v>
      </c>
      <c r="Q2075" s="5" t="str">
        <f ca="1">IFERROR(__xludf.DUMMYFUNCTION("""COMPUTED_VALUE"""),"Inside School Building")</f>
        <v>Inside School Building</v>
      </c>
      <c r="R2075" s="5" t="str">
        <f ca="1">IFERROR(__xludf.DUMMYFUNCTION("""COMPUTED_VALUE"""),"Yes")</f>
        <v>Yes</v>
      </c>
      <c r="S2075" s="5" t="str">
        <f ca="1">IFERROR(__xludf.DUMMYFUNCTION("""COMPUTED_VALUE"""),"Lunch")</f>
        <v>Lunch</v>
      </c>
      <c r="T2075" s="10">
        <f ca="1">IFERROR(__xludf.DUMMYFUNCTION("""COMPUTED_VALUE"""),0.5)</f>
        <v>0.5</v>
      </c>
      <c r="U2075" s="5">
        <f ca="1">IFERROR(__xludf.DUMMYFUNCTION("""COMPUTED_VALUE"""),1)</f>
        <v>1</v>
      </c>
      <c r="V2075" s="5" t="str">
        <f ca="1">IFERROR(__xludf.DUMMYFUNCTION("""COMPUTED_VALUE"""),"Group of armed assailants chased student through cafeteria firing shots")</f>
        <v>Group of armed assailants chased student through cafeteria firing shots</v>
      </c>
      <c r="W2075"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X2075" s="5" t="str">
        <f ca="1">IFERROR(__xludf.DUMMYFUNCTION("""COMPUTED_VALUE"""),"Escalation of Dispute")</f>
        <v>Escalation of Dispute</v>
      </c>
      <c r="Y2075" s="5" t="str">
        <f ca="1">IFERROR(__xludf.DUMMYFUNCTION("""COMPUTED_VALUE"""),"Victims Targeted")</f>
        <v>Victims Targeted</v>
      </c>
      <c r="Z2075" s="5" t="str">
        <f ca="1">IFERROR(__xludf.DUMMYFUNCTION("""COMPUTED_VALUE"""),"No")</f>
        <v>No</v>
      </c>
      <c r="AA2075" s="5"/>
      <c r="AB2075" s="5" t="str">
        <f ca="1">IFERROR(__xludf.DUMMYFUNCTION("""COMPUTED_VALUE"""),"No")</f>
        <v>No</v>
      </c>
      <c r="AC2075" s="5" t="str">
        <f ca="1">IFERROR(__xludf.DUMMYFUNCTION("""COMPUTED_VALUE"""),"No")</f>
        <v>No</v>
      </c>
      <c r="AD2075" s="5" t="str">
        <f ca="1">IFERROR(__xludf.DUMMYFUNCTION("""COMPUTED_VALUE"""),"No")</f>
        <v>No</v>
      </c>
      <c r="AE2075" s="5" t="str">
        <f ca="1">IFERROR(__xludf.DUMMYFUNCTION("""COMPUTED_VALUE"""),"No")</f>
        <v>No</v>
      </c>
      <c r="AF2075" s="5" t="str">
        <f ca="1">IFERROR(__xludf.DUMMYFUNCTION("""COMPUTED_VALUE"""),"No")</f>
        <v>No</v>
      </c>
      <c r="AG2075" s="5" t="str">
        <f ca="1">IFERROR(__xludf.DUMMYFUNCTION("""COMPUTED_VALUE"""),"No")</f>
        <v>No</v>
      </c>
      <c r="AH2075" s="5"/>
    </row>
    <row r="2076" spans="1:34" ht="12.75">
      <c r="A2076" s="5" t="str">
        <f ca="1">IFERROR(__xludf.DUMMYFUNCTION("""COMPUTED_VALUE"""),"19710924NYMCB")</f>
        <v>19710924NYMCB</v>
      </c>
      <c r="B2076" s="8">
        <f ca="1">IFERROR(__xludf.DUMMYFUNCTION("""COMPUTED_VALUE"""),26200)</f>
        <v>26200</v>
      </c>
      <c r="C2076" s="5" t="str">
        <f ca="1">IFERROR(__xludf.DUMMYFUNCTION("""COMPUTED_VALUE"""),"McKinley Vocational High School")</f>
        <v>McKinley Vocational High School</v>
      </c>
      <c r="D2076" s="5">
        <f ca="1">IFERROR(__xludf.DUMMYFUNCTION("""COMPUTED_VALUE"""),1)</f>
        <v>1</v>
      </c>
      <c r="E2076" s="5">
        <f ca="1">IFERROR(__xludf.DUMMYFUNCTION("""COMPUTED_VALUE"""),0)</f>
        <v>0</v>
      </c>
      <c r="F2076" s="5">
        <f ca="1">IFERROR(__xludf.DUMMYFUNCTION("""COMPUTED_VALUE"""),1)</f>
        <v>1</v>
      </c>
      <c r="G2076" s="5">
        <f ca="1">IFERROR(__xludf.DUMMYFUNCTION("""COMPUTED_VALUE"""),0)</f>
        <v>0</v>
      </c>
      <c r="H2076" s="9" t="str">
        <f ca="1">IFERROR(__xludf.DUMMYFUNCTION("""COMPUTED_VALUE"""),"https://www.newspapers.com/image/346849918/?terms=school%2Bshooting")</f>
        <v>https://www.newspapers.com/image/346849918/?terms=school%2Bshooting</v>
      </c>
      <c r="I2076" s="5"/>
      <c r="J2076" s="5"/>
      <c r="K2076" s="5">
        <f ca="1">IFERROR(__xludf.DUMMYFUNCTION("""COMPUTED_VALUE"""),2)</f>
        <v>2</v>
      </c>
      <c r="L2076" s="5" t="str">
        <f ca="1">IFERROR(__xludf.DUMMYFUNCTION("""COMPUTED_VALUE"""),"Fall")</f>
        <v>Fall</v>
      </c>
      <c r="M2076" s="5" t="str">
        <f ca="1">IFERROR(__xludf.DUMMYFUNCTION("""COMPUTED_VALUE"""),"Buffalo")</f>
        <v>Buffalo</v>
      </c>
      <c r="N2076" s="5" t="str">
        <f ca="1">IFERROR(__xludf.DUMMYFUNCTION("""COMPUTED_VALUE"""),"NY")</f>
        <v>NY</v>
      </c>
      <c r="O2076" s="5" t="str">
        <f ca="1">IFERROR(__xludf.DUMMYFUNCTION("""COMPUTED_VALUE"""),"High")</f>
        <v>High</v>
      </c>
      <c r="P2076" s="5" t="str">
        <f ca="1">IFERROR(__xludf.DUMMYFUNCTION("""COMPUTED_VALUE"""),"Classroom")</f>
        <v>Classroom</v>
      </c>
      <c r="Q2076" s="5" t="str">
        <f ca="1">IFERROR(__xludf.DUMMYFUNCTION("""COMPUTED_VALUE"""),"Inside School Building")</f>
        <v>Inside School Building</v>
      </c>
      <c r="R2076" s="5" t="str">
        <f ca="1">IFERROR(__xludf.DUMMYFUNCTION("""COMPUTED_VALUE"""),"Yes")</f>
        <v>Yes</v>
      </c>
      <c r="S2076" s="5"/>
      <c r="T2076" s="5"/>
      <c r="U2076" s="5">
        <f ca="1">IFERROR(__xludf.DUMMYFUNCTION("""COMPUTED_VALUE"""),1)</f>
        <v>1</v>
      </c>
      <c r="V2076" s="5" t="str">
        <f ca="1">IFERROR(__xludf.DUMMYFUNCTION("""COMPUTED_VALUE"""),"Argument escalated into shooting inside classroom")</f>
        <v>Argument escalated into shooting inside classroom</v>
      </c>
      <c r="W2076" s="5" t="str">
        <f ca="1">IFERROR(__xludf.DUMMYFUNCTION("""COMPUTED_VALUE"""),"Argument between students in a classroom escalated into shooting.")</f>
        <v>Argument between students in a classroom escalated into shooting.</v>
      </c>
      <c r="X2076" s="5" t="str">
        <f ca="1">IFERROR(__xludf.DUMMYFUNCTION("""COMPUTED_VALUE"""),"Escalation of Dispute")</f>
        <v>Escalation of Dispute</v>
      </c>
      <c r="Y2076" s="5" t="str">
        <f ca="1">IFERROR(__xludf.DUMMYFUNCTION("""COMPUTED_VALUE"""),"Victims Targeted")</f>
        <v>Victims Targeted</v>
      </c>
      <c r="Z2076" s="5" t="str">
        <f ca="1">IFERROR(__xludf.DUMMYFUNCTION("""COMPUTED_VALUE"""),"No")</f>
        <v>No</v>
      </c>
      <c r="AA2076" s="5"/>
      <c r="AB2076" s="5" t="str">
        <f ca="1">IFERROR(__xludf.DUMMYFUNCTION("""COMPUTED_VALUE"""),"No")</f>
        <v>No</v>
      </c>
      <c r="AC2076" s="5" t="str">
        <f ca="1">IFERROR(__xludf.DUMMYFUNCTION("""COMPUTED_VALUE"""),"No")</f>
        <v>No</v>
      </c>
      <c r="AD2076" s="5" t="str">
        <f ca="1">IFERROR(__xludf.DUMMYFUNCTION("""COMPUTED_VALUE"""),"No")</f>
        <v>No</v>
      </c>
      <c r="AE2076" s="5" t="str">
        <f ca="1">IFERROR(__xludf.DUMMYFUNCTION("""COMPUTED_VALUE"""),"No")</f>
        <v>No</v>
      </c>
      <c r="AF2076" s="5" t="str">
        <f ca="1">IFERROR(__xludf.DUMMYFUNCTION("""COMPUTED_VALUE"""),"No")</f>
        <v>No</v>
      </c>
      <c r="AG2076" s="5" t="str">
        <f ca="1">IFERROR(__xludf.DUMMYFUNCTION("""COMPUTED_VALUE"""),"No")</f>
        <v>No</v>
      </c>
      <c r="AH2076" s="5"/>
    </row>
    <row r="2077" spans="1:34" ht="12.75">
      <c r="A2077" s="5" t="str">
        <f ca="1">IFERROR(__xludf.DUMMYFUNCTION("""COMPUTED_VALUE"""),"19710909TXDUL")</f>
        <v>19710909TXDUL</v>
      </c>
      <c r="B2077" s="8">
        <f ca="1">IFERROR(__xludf.DUMMYFUNCTION("""COMPUTED_VALUE"""),26185)</f>
        <v>26185</v>
      </c>
      <c r="C2077" s="5" t="str">
        <f ca="1">IFERROR(__xludf.DUMMYFUNCTION("""COMPUTED_VALUE"""),"Dunbar High School")</f>
        <v>Dunbar High School</v>
      </c>
      <c r="D2077" s="5">
        <f ca="1">IFERROR(__xludf.DUMMYFUNCTION("""COMPUTED_VALUE"""),1)</f>
        <v>1</v>
      </c>
      <c r="E2077" s="5">
        <f ca="1">IFERROR(__xludf.DUMMYFUNCTION("""COMPUTED_VALUE"""),0)</f>
        <v>0</v>
      </c>
      <c r="F2077" s="5">
        <f ca="1">IFERROR(__xludf.DUMMYFUNCTION("""COMPUTED_VALUE"""),1)</f>
        <v>1</v>
      </c>
      <c r="G2077" s="5">
        <f ca="1">IFERROR(__xludf.DUMMYFUNCTION("""COMPUTED_VALUE"""),0)</f>
        <v>0</v>
      </c>
      <c r="H2077" s="9" t="str">
        <f ca="1">IFERROR(__xludf.DUMMYFUNCTION("""COMPUTED_VALUE"""),"https://www.newspapers.com/image/9122502/?terms=school%2Bshooting")</f>
        <v>https://www.newspapers.com/image/9122502/?terms=school%2Bshooting</v>
      </c>
      <c r="I2077" s="5"/>
      <c r="J2077" s="5"/>
      <c r="K2077" s="5">
        <f ca="1">IFERROR(__xludf.DUMMYFUNCTION("""COMPUTED_VALUE"""),3)</f>
        <v>3</v>
      </c>
      <c r="L2077" s="5" t="str">
        <f ca="1">IFERROR(__xludf.DUMMYFUNCTION("""COMPUTED_VALUE"""),"Fall")</f>
        <v>Fall</v>
      </c>
      <c r="M2077" s="5" t="str">
        <f ca="1">IFERROR(__xludf.DUMMYFUNCTION("""COMPUTED_VALUE"""),"Lubbock")</f>
        <v>Lubbock</v>
      </c>
      <c r="N2077" s="5" t="str">
        <f ca="1">IFERROR(__xludf.DUMMYFUNCTION("""COMPUTED_VALUE"""),"TX")</f>
        <v>TX</v>
      </c>
      <c r="O2077" s="5" t="str">
        <f ca="1">IFERROR(__xludf.DUMMYFUNCTION("""COMPUTED_VALUE"""),"High")</f>
        <v>High</v>
      </c>
      <c r="P2077" s="5" t="str">
        <f ca="1">IFERROR(__xludf.DUMMYFUNCTION("""COMPUTED_VALUE"""),"Inside School Building")</f>
        <v>Inside School Building</v>
      </c>
      <c r="Q2077" s="5" t="str">
        <f ca="1">IFERROR(__xludf.DUMMYFUNCTION("""COMPUTED_VALUE"""),"Inside School Building")</f>
        <v>Inside School Building</v>
      </c>
      <c r="R2077" s="5" t="str">
        <f ca="1">IFERROR(__xludf.DUMMYFUNCTION("""COMPUTED_VALUE"""),"Yes")</f>
        <v>Yes</v>
      </c>
      <c r="S2077" s="5" t="str">
        <f ca="1">IFERROR(__xludf.DUMMYFUNCTION("""COMPUTED_VALUE"""),"School Start")</f>
        <v>School Start</v>
      </c>
      <c r="T2077" s="5"/>
      <c r="U2077" s="5"/>
      <c r="V2077" s="5" t="str">
        <f ca="1">IFERROR(__xludf.DUMMYFUNCTION("""COMPUTED_VALUE"""),"Following argument, shooter went home to get gun and returned to kill other student")</f>
        <v>Following argument, shooter went home to get gun and returned to kill other student</v>
      </c>
      <c r="W2077"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X2077" s="5" t="str">
        <f ca="1">IFERROR(__xludf.DUMMYFUNCTION("""COMPUTED_VALUE"""),"Escalation of Dispute")</f>
        <v>Escalation of Dispute</v>
      </c>
      <c r="Y2077" s="5" t="str">
        <f ca="1">IFERROR(__xludf.DUMMYFUNCTION("""COMPUTED_VALUE"""),"Victims Targeted")</f>
        <v>Victims Targeted</v>
      </c>
      <c r="Z2077" s="5" t="str">
        <f ca="1">IFERROR(__xludf.DUMMYFUNCTION("""COMPUTED_VALUE"""),"No")</f>
        <v>No</v>
      </c>
      <c r="AA2077" s="5"/>
      <c r="AB2077" s="5" t="str">
        <f ca="1">IFERROR(__xludf.DUMMYFUNCTION("""COMPUTED_VALUE"""),"No")</f>
        <v>No</v>
      </c>
      <c r="AC2077" s="5" t="str">
        <f ca="1">IFERROR(__xludf.DUMMYFUNCTION("""COMPUTED_VALUE"""),"No")</f>
        <v>No</v>
      </c>
      <c r="AD2077" s="5" t="str">
        <f ca="1">IFERROR(__xludf.DUMMYFUNCTION("""COMPUTED_VALUE"""),"No")</f>
        <v>No</v>
      </c>
      <c r="AE2077" s="5" t="str">
        <f ca="1">IFERROR(__xludf.DUMMYFUNCTION("""COMPUTED_VALUE"""),"No")</f>
        <v>No</v>
      </c>
      <c r="AF2077" s="5" t="str">
        <f ca="1">IFERROR(__xludf.DUMMYFUNCTION("""COMPUTED_VALUE"""),"No")</f>
        <v>No</v>
      </c>
      <c r="AG2077" s="5" t="str">
        <f ca="1">IFERROR(__xludf.DUMMYFUNCTION("""COMPUTED_VALUE"""),"No")</f>
        <v>No</v>
      </c>
      <c r="AH2077" s="5"/>
    </row>
    <row r="2078" spans="1:34" ht="12.75">
      <c r="A2078" s="5" t="str">
        <f ca="1">IFERROR(__xludf.DUMMYFUNCTION("""COMPUTED_VALUE"""),"19710820PAMOM")</f>
        <v>19710820PAMOM</v>
      </c>
      <c r="B2078" s="8">
        <f ca="1">IFERROR(__xludf.DUMMYFUNCTION("""COMPUTED_VALUE"""),26165)</f>
        <v>26165</v>
      </c>
      <c r="C2078" s="5" t="str">
        <f ca="1">IFERROR(__xludf.DUMMYFUNCTION("""COMPUTED_VALUE"""),"Monessen High School")</f>
        <v>Monessen High School</v>
      </c>
      <c r="D2078" s="5">
        <f ca="1">IFERROR(__xludf.DUMMYFUNCTION("""COMPUTED_VALUE"""),0)</f>
        <v>0</v>
      </c>
      <c r="E2078" s="5">
        <f ca="1">IFERROR(__xludf.DUMMYFUNCTION("""COMPUTED_VALUE"""),1)</f>
        <v>1</v>
      </c>
      <c r="F2078" s="5">
        <f ca="1">IFERROR(__xludf.DUMMYFUNCTION("""COMPUTED_VALUE"""),1)</f>
        <v>1</v>
      </c>
      <c r="G2078" s="5">
        <f ca="1">IFERROR(__xludf.DUMMYFUNCTION("""COMPUTED_VALUE"""),0)</f>
        <v>0</v>
      </c>
      <c r="H2078" s="9" t="str">
        <f ca="1">IFERROR(__xludf.DUMMYFUNCTION("""COMPUTED_VALUE"""),"https://www.newspapers.com/image/72973348/?terms=school%2Bshooting")</f>
        <v>https://www.newspapers.com/image/72973348/?terms=school%2Bshooting</v>
      </c>
      <c r="I2078" s="5"/>
      <c r="J2078" s="5"/>
      <c r="K2078" s="5">
        <f ca="1">IFERROR(__xludf.DUMMYFUNCTION("""COMPUTED_VALUE"""),3)</f>
        <v>3</v>
      </c>
      <c r="L2078" s="5" t="str">
        <f ca="1">IFERROR(__xludf.DUMMYFUNCTION("""COMPUTED_VALUE"""),"Summer")</f>
        <v>Summer</v>
      </c>
      <c r="M2078" s="5" t="str">
        <f ca="1">IFERROR(__xludf.DUMMYFUNCTION("""COMPUTED_VALUE"""),"Monessen")</f>
        <v>Monessen</v>
      </c>
      <c r="N2078" s="5" t="str">
        <f ca="1">IFERROR(__xludf.DUMMYFUNCTION("""COMPUTED_VALUE"""),"PA")</f>
        <v>PA</v>
      </c>
      <c r="O2078" s="5" t="str">
        <f ca="1">IFERROR(__xludf.DUMMYFUNCTION("""COMPUTED_VALUE"""),"High")</f>
        <v>High</v>
      </c>
      <c r="P2078" s="5" t="str">
        <f ca="1">IFERROR(__xludf.DUMMYFUNCTION("""COMPUTED_VALUE"""),"Outside on School Property")</f>
        <v>Outside on School Property</v>
      </c>
      <c r="Q2078" s="5" t="str">
        <f ca="1">IFERROR(__xludf.DUMMYFUNCTION("""COMPUTED_VALUE"""),"Outside on School Property")</f>
        <v>Outside on School Property</v>
      </c>
      <c r="R2078" s="5" t="str">
        <f ca="1">IFERROR(__xludf.DUMMYFUNCTION("""COMPUTED_VALUE"""),"No")</f>
        <v>No</v>
      </c>
      <c r="S2078" s="5" t="str">
        <f ca="1">IFERROR(__xludf.DUMMYFUNCTION("""COMPUTED_VALUE"""),"Night")</f>
        <v>Night</v>
      </c>
      <c r="T2078" s="5"/>
      <c r="U2078" s="5"/>
      <c r="V2078" s="5" t="str">
        <f ca="1">IFERROR(__xludf.DUMMYFUNCTION("""COMPUTED_VALUE"""),"Night watchman (white) shot black student")</f>
        <v>Night watchman (white) shot black student</v>
      </c>
      <c r="W2078"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X2078" s="5" t="str">
        <f ca="1">IFERROR(__xludf.DUMMYFUNCTION("""COMPUTED_VALUE"""),"Racial")</f>
        <v>Racial</v>
      </c>
      <c r="Y2078" s="5" t="str">
        <f ca="1">IFERROR(__xludf.DUMMYFUNCTION("""COMPUTED_VALUE"""),"Victims Targeted")</f>
        <v>Victims Targeted</v>
      </c>
      <c r="Z2078" s="5" t="str">
        <f ca="1">IFERROR(__xludf.DUMMYFUNCTION("""COMPUTED_VALUE"""),"No")</f>
        <v>No</v>
      </c>
      <c r="AA2078" s="5"/>
      <c r="AB2078" s="5" t="str">
        <f ca="1">IFERROR(__xludf.DUMMYFUNCTION("""COMPUTED_VALUE"""),"No")</f>
        <v>No</v>
      </c>
      <c r="AC2078" s="5" t="str">
        <f ca="1">IFERROR(__xludf.DUMMYFUNCTION("""COMPUTED_VALUE"""),"No")</f>
        <v>No</v>
      </c>
      <c r="AD2078" s="5" t="str">
        <f ca="1">IFERROR(__xludf.DUMMYFUNCTION("""COMPUTED_VALUE"""),"Yes")</f>
        <v>Yes</v>
      </c>
      <c r="AE2078" s="5" t="str">
        <f ca="1">IFERROR(__xludf.DUMMYFUNCTION("""COMPUTED_VALUE"""),"No")</f>
        <v>No</v>
      </c>
      <c r="AF2078" s="5" t="str">
        <f ca="1">IFERROR(__xludf.DUMMYFUNCTION("""COMPUTED_VALUE"""),"No")</f>
        <v>No</v>
      </c>
      <c r="AG2078" s="5" t="str">
        <f ca="1">IFERROR(__xludf.DUMMYFUNCTION("""COMPUTED_VALUE"""),"No")</f>
        <v>No</v>
      </c>
      <c r="AH2078" s="5"/>
    </row>
    <row r="2079" spans="1:34" ht="12.75">
      <c r="A2079" s="5" t="str">
        <f ca="1">IFERROR(__xludf.DUMMYFUNCTION("""COMPUTED_VALUE"""),"19710602NYEAE")</f>
        <v>19710602NYEAE</v>
      </c>
      <c r="B2079" s="8">
        <f ca="1">IFERROR(__xludf.DUMMYFUNCTION("""COMPUTED_VALUE"""),26086)</f>
        <v>26086</v>
      </c>
      <c r="C2079" s="5" t="str">
        <f ca="1">IFERROR(__xludf.DUMMYFUNCTION("""COMPUTED_VALUE"""),"East Aurora Middle School")</f>
        <v>East Aurora Middle School</v>
      </c>
      <c r="D2079" s="5">
        <f ca="1">IFERROR(__xludf.DUMMYFUNCTION("""COMPUTED_VALUE"""),0)</f>
        <v>0</v>
      </c>
      <c r="E2079" s="5">
        <f ca="1">IFERROR(__xludf.DUMMYFUNCTION("""COMPUTED_VALUE"""),0)</f>
        <v>0</v>
      </c>
      <c r="F2079" s="5">
        <f ca="1">IFERROR(__xludf.DUMMYFUNCTION("""COMPUTED_VALUE"""),0)</f>
        <v>0</v>
      </c>
      <c r="G2079" s="5">
        <f ca="1">IFERROR(__xludf.DUMMYFUNCTION("""COMPUTED_VALUE"""),1)</f>
        <v>1</v>
      </c>
      <c r="H2079" s="9" t="str">
        <f ca="1">IFERROR(__xludf.DUMMYFUNCTION("""COMPUTED_VALUE"""),"https://www.newspapers.com/image/255572230/?terms=school%2Bshooting")</f>
        <v>https://www.newspapers.com/image/255572230/?terms=school%2Bshooting</v>
      </c>
      <c r="I2079" s="5"/>
      <c r="J2079" s="5"/>
      <c r="K2079" s="5">
        <f ca="1">IFERROR(__xludf.DUMMYFUNCTION("""COMPUTED_VALUE"""),3)</f>
        <v>3</v>
      </c>
      <c r="L2079" s="5" t="str">
        <f ca="1">IFERROR(__xludf.DUMMYFUNCTION("""COMPUTED_VALUE"""),"Summer")</f>
        <v>Summer</v>
      </c>
      <c r="M2079" s="5" t="str">
        <f ca="1">IFERROR(__xludf.DUMMYFUNCTION("""COMPUTED_VALUE"""),"East Aurora")</f>
        <v>East Aurora</v>
      </c>
      <c r="N2079" s="5" t="str">
        <f ca="1">IFERROR(__xludf.DUMMYFUNCTION("""COMPUTED_VALUE"""),"NY")</f>
        <v>NY</v>
      </c>
      <c r="O2079" s="5" t="str">
        <f ca="1">IFERROR(__xludf.DUMMYFUNCTION("""COMPUTED_VALUE"""),"Middle")</f>
        <v>Middle</v>
      </c>
      <c r="P2079" s="5" t="str">
        <f ca="1">IFERROR(__xludf.DUMMYFUNCTION("""COMPUTED_VALUE"""),"Classroom")</f>
        <v>Classroom</v>
      </c>
      <c r="Q2079" s="5" t="str">
        <f ca="1">IFERROR(__xludf.DUMMYFUNCTION("""COMPUTED_VALUE"""),"Inside School Building")</f>
        <v>Inside School Building</v>
      </c>
      <c r="R2079" s="5" t="str">
        <f ca="1">IFERROR(__xludf.DUMMYFUNCTION("""COMPUTED_VALUE"""),"Yes")</f>
        <v>Yes</v>
      </c>
      <c r="S2079" s="5" t="str">
        <f ca="1">IFERROR(__xludf.DUMMYFUNCTION("""COMPUTED_VALUE"""),"Afternoon Classes")</f>
        <v>Afternoon Classes</v>
      </c>
      <c r="T2079" s="5"/>
      <c r="U2079" s="5">
        <f ca="1">IFERROR(__xludf.DUMMYFUNCTION("""COMPUTED_VALUE"""),1)</f>
        <v>1</v>
      </c>
      <c r="V2079" s="5" t="str">
        <f ca="1">IFERROR(__xludf.DUMMYFUNCTION("""COMPUTED_VALUE"""),"Fatally wounded self from accidental discharge")</f>
        <v>Fatally wounded self from accidental discharge</v>
      </c>
      <c r="W2079"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X2079" s="5" t="str">
        <f ca="1">IFERROR(__xludf.DUMMYFUNCTION("""COMPUTED_VALUE"""),"Accidental")</f>
        <v>Accidental</v>
      </c>
      <c r="Y2079" s="5" t="str">
        <f ca="1">IFERROR(__xludf.DUMMYFUNCTION("""COMPUTED_VALUE"""),"Neither")</f>
        <v>Neither</v>
      </c>
      <c r="Z2079" s="5" t="str">
        <f ca="1">IFERROR(__xludf.DUMMYFUNCTION("""COMPUTED_VALUE"""),"No")</f>
        <v>No</v>
      </c>
      <c r="AA2079" s="5"/>
      <c r="AB2079" s="5" t="str">
        <f ca="1">IFERROR(__xludf.DUMMYFUNCTION("""COMPUTED_VALUE"""),"No")</f>
        <v>No</v>
      </c>
      <c r="AC2079" s="5" t="str">
        <f ca="1">IFERROR(__xludf.DUMMYFUNCTION("""COMPUTED_VALUE"""),"No")</f>
        <v>No</v>
      </c>
      <c r="AD2079" s="5" t="str">
        <f ca="1">IFERROR(__xludf.DUMMYFUNCTION("""COMPUTED_VALUE"""),"No")</f>
        <v>No</v>
      </c>
      <c r="AE2079" s="5" t="str">
        <f ca="1">IFERROR(__xludf.DUMMYFUNCTION("""COMPUTED_VALUE"""),"No")</f>
        <v>No</v>
      </c>
      <c r="AF2079" s="5" t="str">
        <f ca="1">IFERROR(__xludf.DUMMYFUNCTION("""COMPUTED_VALUE"""),"No")</f>
        <v>No</v>
      </c>
      <c r="AG2079" s="5" t="str">
        <f ca="1">IFERROR(__xludf.DUMMYFUNCTION("""COMPUTED_VALUE"""),"No")</f>
        <v>No</v>
      </c>
      <c r="AH2079" s="5"/>
    </row>
    <row r="2080" spans="1:34" ht="12.75">
      <c r="A2080" s="5" t="str">
        <f ca="1">IFERROR(__xludf.DUMMYFUNCTION("""COMPUTED_VALUE"""),"19710527MIBES")</f>
        <v>19710527MIBES</v>
      </c>
      <c r="B2080" s="8">
        <f ca="1">IFERROR(__xludf.DUMMYFUNCTION("""COMPUTED_VALUE"""),26080)</f>
        <v>26080</v>
      </c>
      <c r="C2080" s="5" t="str">
        <f ca="1">IFERROR(__xludf.DUMMYFUNCTION("""COMPUTED_VALUE"""),"Benton Harbor High School")</f>
        <v>Benton Harbor High School</v>
      </c>
      <c r="D2080" s="5">
        <f ca="1">IFERROR(__xludf.DUMMYFUNCTION("""COMPUTED_VALUE"""),0)</f>
        <v>0</v>
      </c>
      <c r="E2080" s="5">
        <f ca="1">IFERROR(__xludf.DUMMYFUNCTION("""COMPUTED_VALUE"""),1)</f>
        <v>1</v>
      </c>
      <c r="F2080" s="5">
        <f ca="1">IFERROR(__xludf.DUMMYFUNCTION("""COMPUTED_VALUE"""),1)</f>
        <v>1</v>
      </c>
      <c r="G2080" s="5">
        <f ca="1">IFERROR(__xludf.DUMMYFUNCTION("""COMPUTED_VALUE"""),0)</f>
        <v>0</v>
      </c>
      <c r="H2080" s="9" t="str">
        <f ca="1">IFERROR(__xludf.DUMMYFUNCTION("""COMPUTED_VALUE"""),"https://www.newspapers.com/image/365033298/?terms=school%2Bshooting")</f>
        <v>https://www.newspapers.com/image/365033298/?terms=school%2Bshooting</v>
      </c>
      <c r="I2080" s="5"/>
      <c r="J2080" s="5"/>
      <c r="K2080" s="5">
        <f ca="1">IFERROR(__xludf.DUMMYFUNCTION("""COMPUTED_VALUE"""),2)</f>
        <v>2</v>
      </c>
      <c r="L2080" s="5" t="str">
        <f ca="1">IFERROR(__xludf.DUMMYFUNCTION("""COMPUTED_VALUE"""),"Spring")</f>
        <v>Spring</v>
      </c>
      <c r="M2080" s="5" t="str">
        <f ca="1">IFERROR(__xludf.DUMMYFUNCTION("""COMPUTED_VALUE"""),"Saint Joseph")</f>
        <v>Saint Joseph</v>
      </c>
      <c r="N2080" s="5" t="str">
        <f ca="1">IFERROR(__xludf.DUMMYFUNCTION("""COMPUTED_VALUE"""),"MI")</f>
        <v>MI</v>
      </c>
      <c r="O2080" s="5" t="str">
        <f ca="1">IFERROR(__xludf.DUMMYFUNCTION("""COMPUTED_VALUE"""),"High")</f>
        <v>High</v>
      </c>
      <c r="P2080" s="5" t="str">
        <f ca="1">IFERROR(__xludf.DUMMYFUNCTION("""COMPUTED_VALUE"""),"Inside School Building")</f>
        <v>Inside School Building</v>
      </c>
      <c r="Q2080" s="5" t="str">
        <f ca="1">IFERROR(__xludf.DUMMYFUNCTION("""COMPUTED_VALUE"""),"Inside School Building")</f>
        <v>Inside School Building</v>
      </c>
      <c r="R2080" s="5" t="str">
        <f ca="1">IFERROR(__xludf.DUMMYFUNCTION("""COMPUTED_VALUE"""),"Yes")</f>
        <v>Yes</v>
      </c>
      <c r="S2080" s="5"/>
      <c r="T2080" s="5"/>
      <c r="U2080" s="5">
        <f ca="1">IFERROR(__xludf.DUMMYFUNCTION("""COMPUTED_VALUE"""),1)</f>
        <v>1</v>
      </c>
      <c r="V2080" s="5" t="str">
        <f ca="1">IFERROR(__xludf.DUMMYFUNCTION("""COMPUTED_VALUE"""),"Shooter provoked into shooting")</f>
        <v>Shooter provoked into shooting</v>
      </c>
      <c r="W2080"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X2080" s="5" t="str">
        <f ca="1">IFERROR(__xludf.DUMMYFUNCTION("""COMPUTED_VALUE"""),"Bullying")</f>
        <v>Bullying</v>
      </c>
      <c r="Y2080" s="5" t="str">
        <f ca="1">IFERROR(__xludf.DUMMYFUNCTION("""COMPUTED_VALUE"""),"Victims Targeted")</f>
        <v>Victims Targeted</v>
      </c>
      <c r="Z2080" s="5" t="str">
        <f ca="1">IFERROR(__xludf.DUMMYFUNCTION("""COMPUTED_VALUE"""),"No")</f>
        <v>No</v>
      </c>
      <c r="AA2080" s="5"/>
      <c r="AB2080" s="5" t="str">
        <f ca="1">IFERROR(__xludf.DUMMYFUNCTION("""COMPUTED_VALUE"""),"No")</f>
        <v>No</v>
      </c>
      <c r="AC2080" s="5" t="str">
        <f ca="1">IFERROR(__xludf.DUMMYFUNCTION("""COMPUTED_VALUE"""),"No")</f>
        <v>No</v>
      </c>
      <c r="AD2080" s="5" t="str">
        <f ca="1">IFERROR(__xludf.DUMMYFUNCTION("""COMPUTED_VALUE"""),"No")</f>
        <v>No</v>
      </c>
      <c r="AE2080" s="5" t="str">
        <f ca="1">IFERROR(__xludf.DUMMYFUNCTION("""COMPUTED_VALUE"""),"Yes")</f>
        <v>Yes</v>
      </c>
      <c r="AF2080" s="5" t="str">
        <f ca="1">IFERROR(__xludf.DUMMYFUNCTION("""COMPUTED_VALUE"""),"No")</f>
        <v>No</v>
      </c>
      <c r="AG2080" s="5" t="str">
        <f ca="1">IFERROR(__xludf.DUMMYFUNCTION("""COMPUTED_VALUE"""),"No")</f>
        <v>No</v>
      </c>
      <c r="AH2080" s="5"/>
    </row>
    <row r="2081" spans="1:34" ht="12.75">
      <c r="A2081" s="5" t="str">
        <f ca="1">IFERROR(__xludf.DUMMYFUNCTION("""COMPUTED_VALUE"""),"19710405PAWIH")</f>
        <v>19710405PAWIH</v>
      </c>
      <c r="B2081" s="8">
        <f ca="1">IFERROR(__xludf.DUMMYFUNCTION("""COMPUTED_VALUE"""),26028)</f>
        <v>26028</v>
      </c>
      <c r="C2081" s="5" t="str">
        <f ca="1">IFERROR(__xludf.DUMMYFUNCTION("""COMPUTED_VALUE"""),"William Penn High School")</f>
        <v>William Penn High School</v>
      </c>
      <c r="D2081" s="5">
        <f ca="1">IFERROR(__xludf.DUMMYFUNCTION("""COMPUTED_VALUE"""),0)</f>
        <v>0</v>
      </c>
      <c r="E2081" s="5">
        <f ca="1">IFERROR(__xludf.DUMMYFUNCTION("""COMPUTED_VALUE"""),0)</f>
        <v>0</v>
      </c>
      <c r="F2081" s="5">
        <f ca="1">IFERROR(__xludf.DUMMYFUNCTION("""COMPUTED_VALUE"""),0)</f>
        <v>0</v>
      </c>
      <c r="G2081" s="5">
        <f ca="1">IFERROR(__xludf.DUMMYFUNCTION("""COMPUTED_VALUE"""),0)</f>
        <v>0</v>
      </c>
      <c r="H2081" s="9" t="str">
        <f ca="1">IFERROR(__xludf.DUMMYFUNCTION("""COMPUTED_VALUE"""),"https://www.newspapers.com/image/48704588/")</f>
        <v>https://www.newspapers.com/image/48704588/</v>
      </c>
      <c r="I2081" s="5"/>
      <c r="J2081" s="5"/>
      <c r="K2081" s="5">
        <f ca="1">IFERROR(__xludf.DUMMYFUNCTION("""COMPUTED_VALUE"""),2)</f>
        <v>2</v>
      </c>
      <c r="L2081" s="5" t="str">
        <f ca="1">IFERROR(__xludf.DUMMYFUNCTION("""COMPUTED_VALUE"""),"Spring")</f>
        <v>Spring</v>
      </c>
      <c r="M2081" s="5" t="str">
        <f ca="1">IFERROR(__xludf.DUMMYFUNCTION("""COMPUTED_VALUE"""),"Harrisburg")</f>
        <v>Harrisburg</v>
      </c>
      <c r="N2081" s="5" t="str">
        <f ca="1">IFERROR(__xludf.DUMMYFUNCTION("""COMPUTED_VALUE"""),"PA")</f>
        <v>PA</v>
      </c>
      <c r="O2081" s="5" t="str">
        <f ca="1">IFERROR(__xludf.DUMMYFUNCTION("""COMPUTED_VALUE"""),"High")</f>
        <v>High</v>
      </c>
      <c r="P2081" s="5" t="str">
        <f ca="1">IFERROR(__xludf.DUMMYFUNCTION("""COMPUTED_VALUE"""),"Cafeteria")</f>
        <v>Cafeteria</v>
      </c>
      <c r="Q2081" s="5" t="str">
        <f ca="1">IFERROR(__xludf.DUMMYFUNCTION("""COMPUTED_VALUE"""),"Inside School Building")</f>
        <v>Inside School Building</v>
      </c>
      <c r="R2081" s="5" t="str">
        <f ca="1">IFERROR(__xludf.DUMMYFUNCTION("""COMPUTED_VALUE"""),"Yes")</f>
        <v>Yes</v>
      </c>
      <c r="S2081" s="5"/>
      <c r="T2081" s="5"/>
      <c r="U2081" s="5">
        <f ca="1">IFERROR(__xludf.DUMMYFUNCTION("""COMPUTED_VALUE"""),1)</f>
        <v>1</v>
      </c>
      <c r="V2081" s="5" t="str">
        <f ca="1">IFERROR(__xludf.DUMMYFUNCTION("""COMPUTED_VALUE"""),"Fired 5 shots at ex-girlfriend in classroom")</f>
        <v>Fired 5 shots at ex-girlfriend in classroom</v>
      </c>
      <c r="W2081" s="5" t="str">
        <f ca="1">IFERROR(__xludf.DUMMYFUNCTION("""COMPUTED_VALUE"""),"17 year-old male fired 5 shots at ex-girlfriend in classroom. She suffered minor wounds.")</f>
        <v>17 year-old male fired 5 shots at ex-girlfriend in classroom. She suffered minor wounds.</v>
      </c>
      <c r="X2081" s="5" t="str">
        <f ca="1">IFERROR(__xludf.DUMMYFUNCTION("""COMPUTED_VALUE"""),"Domestic w/ Targeted Victim")</f>
        <v>Domestic w/ Targeted Victim</v>
      </c>
      <c r="Y2081" s="5" t="str">
        <f ca="1">IFERROR(__xludf.DUMMYFUNCTION("""COMPUTED_VALUE"""),"Victims Targeted")</f>
        <v>Victims Targeted</v>
      </c>
      <c r="Z2081" s="5" t="str">
        <f ca="1">IFERROR(__xludf.DUMMYFUNCTION("""COMPUTED_VALUE"""),"No")</f>
        <v>No</v>
      </c>
      <c r="AA2081" s="5"/>
      <c r="AB2081" s="5" t="str">
        <f ca="1">IFERROR(__xludf.DUMMYFUNCTION("""COMPUTED_VALUE"""),"No")</f>
        <v>No</v>
      </c>
      <c r="AC2081" s="5" t="str">
        <f ca="1">IFERROR(__xludf.DUMMYFUNCTION("""COMPUTED_VALUE"""),"No")</f>
        <v>No</v>
      </c>
      <c r="AD2081" s="5" t="str">
        <f ca="1">IFERROR(__xludf.DUMMYFUNCTION("""COMPUTED_VALUE"""),"No")</f>
        <v>No</v>
      </c>
      <c r="AE2081" s="5" t="str">
        <f ca="1">IFERROR(__xludf.DUMMYFUNCTION("""COMPUTED_VALUE"""),"No")</f>
        <v>No</v>
      </c>
      <c r="AF2081" s="5" t="str">
        <f ca="1">IFERROR(__xludf.DUMMYFUNCTION("""COMPUTED_VALUE"""),"Yes")</f>
        <v>Yes</v>
      </c>
      <c r="AG2081" s="5" t="str">
        <f ca="1">IFERROR(__xludf.DUMMYFUNCTION("""COMPUTED_VALUE"""),"No")</f>
        <v>No</v>
      </c>
      <c r="AH2081" s="5"/>
    </row>
    <row r="2082" spans="1:34" ht="12.75">
      <c r="A2082" s="5" t="str">
        <f ca="1">IFERROR(__xludf.DUMMYFUNCTION("""COMPUTED_VALUE"""),"19710309AZROT")</f>
        <v>19710309AZROT</v>
      </c>
      <c r="B2082" s="8">
        <f ca="1">IFERROR(__xludf.DUMMYFUNCTION("""COMPUTED_VALUE"""),26001)</f>
        <v>26001</v>
      </c>
      <c r="C2082" s="5" t="str">
        <f ca="1">IFERROR(__xludf.DUMMYFUNCTION("""COMPUTED_VALUE"""),"Roskruge Junior High School")</f>
        <v>Roskruge Junior High School</v>
      </c>
      <c r="D2082" s="5">
        <f ca="1">IFERROR(__xludf.DUMMYFUNCTION("""COMPUTED_VALUE"""),0)</f>
        <v>0</v>
      </c>
      <c r="E2082" s="5">
        <f ca="1">IFERROR(__xludf.DUMMYFUNCTION("""COMPUTED_VALUE"""),1)</f>
        <v>1</v>
      </c>
      <c r="F2082" s="5">
        <f ca="1">IFERROR(__xludf.DUMMYFUNCTION("""COMPUTED_VALUE"""),1)</f>
        <v>1</v>
      </c>
      <c r="G2082" s="5">
        <f ca="1">IFERROR(__xludf.DUMMYFUNCTION("""COMPUTED_VALUE"""),0)</f>
        <v>0</v>
      </c>
      <c r="H2082" s="9" t="str">
        <f ca="1">IFERROR(__xludf.DUMMYFUNCTION("""COMPUTED_VALUE"""),"https://www.newspapers.com/image/164611095/?terms=school%2Bshooting")</f>
        <v>https://www.newspapers.com/image/164611095/?terms=school%2Bshooting</v>
      </c>
      <c r="I2082" s="5"/>
      <c r="J2082" s="5"/>
      <c r="K2082" s="5">
        <f ca="1">IFERROR(__xludf.DUMMYFUNCTION("""COMPUTED_VALUE"""),3)</f>
        <v>3</v>
      </c>
      <c r="L2082" s="5" t="str">
        <f ca="1">IFERROR(__xludf.DUMMYFUNCTION("""COMPUTED_VALUE"""),"Spring")</f>
        <v>Spring</v>
      </c>
      <c r="M2082" s="5" t="str">
        <f ca="1">IFERROR(__xludf.DUMMYFUNCTION("""COMPUTED_VALUE"""),"Tucson")</f>
        <v>Tucson</v>
      </c>
      <c r="N2082" s="5" t="str">
        <f ca="1">IFERROR(__xludf.DUMMYFUNCTION("""COMPUTED_VALUE"""),"AZ")</f>
        <v>AZ</v>
      </c>
      <c r="O2082" s="5" t="str">
        <f ca="1">IFERROR(__xludf.DUMMYFUNCTION("""COMPUTED_VALUE"""),"Junior High")</f>
        <v>Junior High</v>
      </c>
      <c r="P2082" s="5" t="str">
        <f ca="1">IFERROR(__xludf.DUMMYFUNCTION("""COMPUTED_VALUE"""),"Playground")</f>
        <v>Playground</v>
      </c>
      <c r="Q2082" s="5" t="str">
        <f ca="1">IFERROR(__xludf.DUMMYFUNCTION("""COMPUTED_VALUE"""),"Outside on School Property")</f>
        <v>Outside on School Property</v>
      </c>
      <c r="R2082" s="5" t="str">
        <f ca="1">IFERROR(__xludf.DUMMYFUNCTION("""COMPUTED_VALUE"""),"Yes")</f>
        <v>Yes</v>
      </c>
      <c r="S2082" s="5"/>
      <c r="T2082" s="5"/>
      <c r="U2082" s="5">
        <f ca="1">IFERROR(__xludf.DUMMYFUNCTION("""COMPUTED_VALUE"""),1)</f>
        <v>1</v>
      </c>
      <c r="V2082" s="5" t="str">
        <f ca="1">IFERROR(__xludf.DUMMYFUNCTION("""COMPUTED_VALUE"""),"Showing pistol on playground, accidental discharge struck other student")</f>
        <v>Showing pistol on playground, accidental discharge struck other student</v>
      </c>
      <c r="W2082"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X2082" s="5" t="str">
        <f ca="1">IFERROR(__xludf.DUMMYFUNCTION("""COMPUTED_VALUE"""),"Accidental")</f>
        <v>Accidental</v>
      </c>
      <c r="Y2082" s="5" t="str">
        <f ca="1">IFERROR(__xludf.DUMMYFUNCTION("""COMPUTED_VALUE"""),"Random Shooting")</f>
        <v>Random Shooting</v>
      </c>
      <c r="Z2082" s="5" t="str">
        <f ca="1">IFERROR(__xludf.DUMMYFUNCTION("""COMPUTED_VALUE"""),"No")</f>
        <v>No</v>
      </c>
      <c r="AA2082" s="5"/>
      <c r="AB2082" s="5" t="str">
        <f ca="1">IFERROR(__xludf.DUMMYFUNCTION("""COMPUTED_VALUE"""),"No")</f>
        <v>No</v>
      </c>
      <c r="AC2082" s="5" t="str">
        <f ca="1">IFERROR(__xludf.DUMMYFUNCTION("""COMPUTED_VALUE"""),"No")</f>
        <v>No</v>
      </c>
      <c r="AD2082" s="5" t="str">
        <f ca="1">IFERROR(__xludf.DUMMYFUNCTION("""COMPUTED_VALUE"""),"No")</f>
        <v>No</v>
      </c>
      <c r="AE2082" s="5" t="str">
        <f ca="1">IFERROR(__xludf.DUMMYFUNCTION("""COMPUTED_VALUE"""),"No")</f>
        <v>No</v>
      </c>
      <c r="AF2082" s="5" t="str">
        <f ca="1">IFERROR(__xludf.DUMMYFUNCTION("""COMPUTED_VALUE"""),"No")</f>
        <v>No</v>
      </c>
      <c r="AG2082" s="5" t="str">
        <f ca="1">IFERROR(__xludf.DUMMYFUNCTION("""COMPUTED_VALUE"""),"No")</f>
        <v>No</v>
      </c>
      <c r="AH2082" s="5"/>
    </row>
    <row r="2083" spans="1:34" ht="12.75">
      <c r="A2083" s="5" t="str">
        <f ca="1">IFERROR(__xludf.DUMMYFUNCTION("""COMPUTED_VALUE"""),"19710225OHFRC")</f>
        <v>19710225OHFRC</v>
      </c>
      <c r="B2083" s="8">
        <f ca="1">IFERROR(__xludf.DUMMYFUNCTION("""COMPUTED_VALUE"""),25989)</f>
        <v>25989</v>
      </c>
      <c r="C2083" s="5" t="str">
        <f ca="1">IFERROR(__xludf.DUMMYFUNCTION("""COMPUTED_VALUE"""),"Franklin D. Roosevelt Junior High School")</f>
        <v>Franklin D. Roosevelt Junior High School</v>
      </c>
      <c r="D2083" s="5">
        <f ca="1">IFERROR(__xludf.DUMMYFUNCTION("""COMPUTED_VALUE"""),1)</f>
        <v>1</v>
      </c>
      <c r="E2083" s="5">
        <f ca="1">IFERROR(__xludf.DUMMYFUNCTION("""COMPUTED_VALUE"""),0)</f>
        <v>0</v>
      </c>
      <c r="F2083" s="5">
        <f ca="1">IFERROR(__xludf.DUMMYFUNCTION("""COMPUTED_VALUE"""),1)</f>
        <v>1</v>
      </c>
      <c r="G2083" s="5">
        <f ca="1">IFERROR(__xludf.DUMMYFUNCTION("""COMPUTED_VALUE"""),0)</f>
        <v>0</v>
      </c>
      <c r="H2083" s="9" t="str">
        <f ca="1">IFERROR(__xludf.DUMMYFUNCTION("""COMPUTED_VALUE"""),"https://www.newspapers.com/image/296262312/?terms=school%2Bshooting")</f>
        <v>https://www.newspapers.com/image/296262312/?terms=school%2Bshooting</v>
      </c>
      <c r="I2083" s="5"/>
      <c r="J2083" s="5"/>
      <c r="K2083" s="5">
        <f ca="1">IFERROR(__xludf.DUMMYFUNCTION("""COMPUTED_VALUE"""),3)</f>
        <v>3</v>
      </c>
      <c r="L2083" s="5" t="str">
        <f ca="1">IFERROR(__xludf.DUMMYFUNCTION("""COMPUTED_VALUE"""),"Winter")</f>
        <v>Winter</v>
      </c>
      <c r="M2083" s="5" t="str">
        <f ca="1">IFERROR(__xludf.DUMMYFUNCTION("""COMPUTED_VALUE"""),"Cleveland")</f>
        <v>Cleveland</v>
      </c>
      <c r="N2083" s="5" t="str">
        <f ca="1">IFERROR(__xludf.DUMMYFUNCTION("""COMPUTED_VALUE"""),"OH")</f>
        <v>OH</v>
      </c>
      <c r="O2083" s="5" t="str">
        <f ca="1">IFERROR(__xludf.DUMMYFUNCTION("""COMPUTED_VALUE"""),"Junior High")</f>
        <v>Junior High</v>
      </c>
      <c r="P2083" s="5" t="str">
        <f ca="1">IFERROR(__xludf.DUMMYFUNCTION("""COMPUTED_VALUE"""),"Bathroom")</f>
        <v>Bathroom</v>
      </c>
      <c r="Q2083" s="5" t="str">
        <f ca="1">IFERROR(__xludf.DUMMYFUNCTION("""COMPUTED_VALUE"""),"Inside School Building")</f>
        <v>Inside School Building</v>
      </c>
      <c r="R2083" s="5" t="str">
        <f ca="1">IFERROR(__xludf.DUMMYFUNCTION("""COMPUTED_VALUE"""),"Yes")</f>
        <v>Yes</v>
      </c>
      <c r="S2083" s="5"/>
      <c r="T2083" s="5"/>
      <c r="U2083" s="5"/>
      <c r="V2083" s="5" t="str">
        <f ca="1">IFERROR(__xludf.DUMMYFUNCTION("""COMPUTED_VALUE"""),"Victim shot 5 times in the head in the school bathroom")</f>
        <v>Victim shot 5 times in the head in the school bathroom</v>
      </c>
      <c r="W2083"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X2083" s="5" t="str">
        <f ca="1">IFERROR(__xludf.DUMMYFUNCTION("""COMPUTED_VALUE"""),"Escalation of Dispute")</f>
        <v>Escalation of Dispute</v>
      </c>
      <c r="Y2083" s="5" t="str">
        <f ca="1">IFERROR(__xludf.DUMMYFUNCTION("""COMPUTED_VALUE"""),"Victims Targeted")</f>
        <v>Victims Targeted</v>
      </c>
      <c r="Z2083" s="5" t="str">
        <f ca="1">IFERROR(__xludf.DUMMYFUNCTION("""COMPUTED_VALUE"""),"Yes")</f>
        <v>Yes</v>
      </c>
      <c r="AA2083" s="5" t="str">
        <f ca="1">IFERROR(__xludf.DUMMYFUNCTION("""COMPUTED_VALUE"""),"Four teens charged with delinquency")</f>
        <v>Four teens charged with delinquency</v>
      </c>
      <c r="AB2083" s="5" t="str">
        <f ca="1">IFERROR(__xludf.DUMMYFUNCTION("""COMPUTED_VALUE"""),"No")</f>
        <v>No</v>
      </c>
      <c r="AC2083" s="5" t="str">
        <f ca="1">IFERROR(__xludf.DUMMYFUNCTION("""COMPUTED_VALUE"""),"No")</f>
        <v>No</v>
      </c>
      <c r="AD2083" s="5" t="str">
        <f ca="1">IFERROR(__xludf.DUMMYFUNCTION("""COMPUTED_VALUE"""),"No")</f>
        <v>No</v>
      </c>
      <c r="AE2083" s="5"/>
      <c r="AF2083" s="5" t="str">
        <f ca="1">IFERROR(__xludf.DUMMYFUNCTION("""COMPUTED_VALUE"""),"No")</f>
        <v>No</v>
      </c>
      <c r="AG2083" s="5" t="str">
        <f ca="1">IFERROR(__xludf.DUMMYFUNCTION("""COMPUTED_VALUE"""),"No")</f>
        <v>No</v>
      </c>
      <c r="AH2083" s="5"/>
    </row>
    <row r="2084" spans="1:34" ht="12.75">
      <c r="A2084" s="5" t="str">
        <f ca="1">IFERROR(__xludf.DUMMYFUNCTION("""COMPUTED_VALUE"""),"19710210TXOAD")</f>
        <v>19710210TXOAD</v>
      </c>
      <c r="B2084" s="8">
        <f ca="1">IFERROR(__xludf.DUMMYFUNCTION("""COMPUTED_VALUE"""),25974)</f>
        <v>25974</v>
      </c>
      <c r="C2084" s="5" t="str">
        <f ca="1">IFERROR(__xludf.DUMMYFUNCTION("""COMPUTED_VALUE"""),"Oak Cliff High School")</f>
        <v>Oak Cliff High School</v>
      </c>
      <c r="D2084" s="5">
        <f ca="1">IFERROR(__xludf.DUMMYFUNCTION("""COMPUTED_VALUE"""),0)</f>
        <v>0</v>
      </c>
      <c r="E2084" s="5">
        <f ca="1">IFERROR(__xludf.DUMMYFUNCTION("""COMPUTED_VALUE"""),2)</f>
        <v>2</v>
      </c>
      <c r="F2084" s="5">
        <f ca="1">IFERROR(__xludf.DUMMYFUNCTION("""COMPUTED_VALUE"""),2)</f>
        <v>2</v>
      </c>
      <c r="G2084" s="5">
        <f ca="1">IFERROR(__xludf.DUMMYFUNCTION("""COMPUTED_VALUE"""),0)</f>
        <v>0</v>
      </c>
      <c r="H2084" s="9" t="str">
        <f ca="1">IFERROR(__xludf.DUMMYFUNCTION("""COMPUTED_VALUE"""),"https://www.newspapers.com/image/20769968/?terms=school%2Bshooting")</f>
        <v>https://www.newspapers.com/image/20769968/?terms=school%2Bshooting</v>
      </c>
      <c r="I2084" s="5"/>
      <c r="J2084" s="5"/>
      <c r="K2084" s="5">
        <f ca="1">IFERROR(__xludf.DUMMYFUNCTION("""COMPUTED_VALUE"""),3)</f>
        <v>3</v>
      </c>
      <c r="L2084" s="5" t="str">
        <f ca="1">IFERROR(__xludf.DUMMYFUNCTION("""COMPUTED_VALUE"""),"Winter")</f>
        <v>Winter</v>
      </c>
      <c r="M2084" s="5" t="str">
        <f ca="1">IFERROR(__xludf.DUMMYFUNCTION("""COMPUTED_VALUE"""),"Dallas")</f>
        <v>Dallas</v>
      </c>
      <c r="N2084" s="5" t="str">
        <f ca="1">IFERROR(__xludf.DUMMYFUNCTION("""COMPUTED_VALUE"""),"TX")</f>
        <v>TX</v>
      </c>
      <c r="O2084" s="5" t="str">
        <f ca="1">IFERROR(__xludf.DUMMYFUNCTION("""COMPUTED_VALUE"""),"High")</f>
        <v>High</v>
      </c>
      <c r="P2084" s="5" t="str">
        <f ca="1">IFERROR(__xludf.DUMMYFUNCTION("""COMPUTED_VALUE"""),"Outside on School Property")</f>
        <v>Outside on School Property</v>
      </c>
      <c r="Q2084" s="5" t="str">
        <f ca="1">IFERROR(__xludf.DUMMYFUNCTION("""COMPUTED_VALUE"""),"Outside on School Property")</f>
        <v>Outside on School Property</v>
      </c>
      <c r="R2084" s="5" t="str">
        <f ca="1">IFERROR(__xludf.DUMMYFUNCTION("""COMPUTED_VALUE"""),"Yes")</f>
        <v>Yes</v>
      </c>
      <c r="S2084" s="5"/>
      <c r="T2084" s="5"/>
      <c r="U2084" s="5"/>
      <c r="V2084" s="5" t="str">
        <f ca="1">IFERROR(__xludf.DUMMYFUNCTION("""COMPUTED_VALUE"""),"Shooter fired shotgun at a student in a crowd of 200 students")</f>
        <v>Shooter fired shotgun at a student in a crowd of 200 students</v>
      </c>
      <c r="W2084"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X2084" s="5" t="str">
        <f ca="1">IFERROR(__xludf.DUMMYFUNCTION("""COMPUTED_VALUE"""),"Escalation of Dispute")</f>
        <v>Escalation of Dispute</v>
      </c>
      <c r="Y2084" s="5" t="str">
        <f ca="1">IFERROR(__xludf.DUMMYFUNCTION("""COMPUTED_VALUE"""),"Both")</f>
        <v>Both</v>
      </c>
      <c r="Z2084" s="5" t="str">
        <f ca="1">IFERROR(__xludf.DUMMYFUNCTION("""COMPUTED_VALUE"""),"Yes")</f>
        <v>Yes</v>
      </c>
      <c r="AA2084" s="5" t="str">
        <f ca="1">IFERROR(__xludf.DUMMYFUNCTION("""COMPUTED_VALUE"""),"Four teens charged")</f>
        <v>Four teens charged</v>
      </c>
      <c r="AB2084" s="5" t="str">
        <f ca="1">IFERROR(__xludf.DUMMYFUNCTION("""COMPUTED_VALUE"""),"No")</f>
        <v>No</v>
      </c>
      <c r="AC2084" s="5" t="str">
        <f ca="1">IFERROR(__xludf.DUMMYFUNCTION("""COMPUTED_VALUE"""),"No")</f>
        <v>No</v>
      </c>
      <c r="AD2084" s="5" t="str">
        <f ca="1">IFERROR(__xludf.DUMMYFUNCTION("""COMPUTED_VALUE"""),"No")</f>
        <v>No</v>
      </c>
      <c r="AE2084" s="5" t="str">
        <f ca="1">IFERROR(__xludf.DUMMYFUNCTION("""COMPUTED_VALUE"""),"No")</f>
        <v>No</v>
      </c>
      <c r="AF2084" s="5" t="str">
        <f ca="1">IFERROR(__xludf.DUMMYFUNCTION("""COMPUTED_VALUE"""),"No")</f>
        <v>No</v>
      </c>
      <c r="AG2084" s="5" t="str">
        <f ca="1">IFERROR(__xludf.DUMMYFUNCTION("""COMPUTED_VALUE"""),"No")</f>
        <v>No</v>
      </c>
      <c r="AH2084" s="5"/>
    </row>
    <row r="2085" spans="1:34" ht="12.75">
      <c r="A2085" s="5" t="str">
        <f ca="1">IFERROR(__xludf.DUMMYFUNCTION("""COMPUTED_VALUE"""),"19710205PAJOW")</f>
        <v>19710205PAJOW</v>
      </c>
      <c r="B2085" s="8">
        <f ca="1">IFERROR(__xludf.DUMMYFUNCTION("""COMPUTED_VALUE"""),25969)</f>
        <v>25969</v>
      </c>
      <c r="C2085" s="5" t="str">
        <f ca="1">IFERROR(__xludf.DUMMYFUNCTION("""COMPUTED_VALUE"""),"John F. Kennedy High School")</f>
        <v>John F. Kennedy High School</v>
      </c>
      <c r="D2085" s="5">
        <f ca="1">IFERROR(__xludf.DUMMYFUNCTION("""COMPUTED_VALUE"""),0)</f>
        <v>0</v>
      </c>
      <c r="E2085" s="5">
        <f ca="1">IFERROR(__xludf.DUMMYFUNCTION("""COMPUTED_VALUE"""),1)</f>
        <v>1</v>
      </c>
      <c r="F2085" s="5">
        <f ca="1">IFERROR(__xludf.DUMMYFUNCTION("""COMPUTED_VALUE"""),1)</f>
        <v>1</v>
      </c>
      <c r="G2085" s="5">
        <f ca="1">IFERROR(__xludf.DUMMYFUNCTION("""COMPUTED_VALUE"""),0)</f>
        <v>0</v>
      </c>
      <c r="H2085" s="9" t="str">
        <f ca="1">IFERROR(__xludf.DUMMYFUNCTION("""COMPUTED_VALUE"""),"https://www.newspapers.com/image/179956712")</f>
        <v>https://www.newspapers.com/image/179956712</v>
      </c>
      <c r="I2085" s="5"/>
      <c r="J2085" s="5"/>
      <c r="K2085" s="5">
        <f ca="1">IFERROR(__xludf.DUMMYFUNCTION("""COMPUTED_VALUE"""),2)</f>
        <v>2</v>
      </c>
      <c r="L2085" s="5" t="str">
        <f ca="1">IFERROR(__xludf.DUMMYFUNCTION("""COMPUTED_VALUE"""),"Winter")</f>
        <v>Winter</v>
      </c>
      <c r="M2085" s="5" t="str">
        <f ca="1">IFERROR(__xludf.DUMMYFUNCTION("""COMPUTED_VALUE"""),"Willingboro")</f>
        <v>Willingboro</v>
      </c>
      <c r="N2085" s="5" t="str">
        <f ca="1">IFERROR(__xludf.DUMMYFUNCTION("""COMPUTED_VALUE"""),"PA")</f>
        <v>PA</v>
      </c>
      <c r="O2085" s="5" t="str">
        <f ca="1">IFERROR(__xludf.DUMMYFUNCTION("""COMPUTED_VALUE"""),"High")</f>
        <v>High</v>
      </c>
      <c r="P2085" s="5" t="str">
        <f ca="1">IFERROR(__xludf.DUMMYFUNCTION("""COMPUTED_VALUE"""),"ND")</f>
        <v>ND</v>
      </c>
      <c r="Q2085" s="5" t="str">
        <f ca="1">IFERROR(__xludf.DUMMYFUNCTION("""COMPUTED_VALUE"""),"ND")</f>
        <v>ND</v>
      </c>
      <c r="R2085" s="5" t="str">
        <f ca="1">IFERROR(__xludf.DUMMYFUNCTION("""COMPUTED_VALUE"""),"Yes")</f>
        <v>Yes</v>
      </c>
      <c r="S2085" s="5" t="str">
        <f ca="1">IFERROR(__xludf.DUMMYFUNCTION("""COMPUTED_VALUE"""),"Unknown")</f>
        <v>Unknown</v>
      </c>
      <c r="T2085" s="5"/>
      <c r="U2085" s="5"/>
      <c r="V2085" s="5" t="str">
        <f ca="1">IFERROR(__xludf.DUMMYFUNCTION("""COMPUTED_VALUE"""),"Shooter shot and stabbed victim")</f>
        <v>Shooter shot and stabbed victim</v>
      </c>
      <c r="W2085" s="5" t="str">
        <f ca="1">IFERROR(__xludf.DUMMYFUNCTION("""COMPUTED_VALUE"""),"14 year-old male student shot and stabbed a 13 year-old male victim.")</f>
        <v>14 year-old male student shot and stabbed a 13 year-old male victim.</v>
      </c>
      <c r="X2085" s="5" t="str">
        <f ca="1">IFERROR(__xludf.DUMMYFUNCTION("""COMPUTED_VALUE"""),"Escalation of Dispute")</f>
        <v>Escalation of Dispute</v>
      </c>
      <c r="Y2085" s="5" t="str">
        <f ca="1">IFERROR(__xludf.DUMMYFUNCTION("""COMPUTED_VALUE"""),"Victims Targeted")</f>
        <v>Victims Targeted</v>
      </c>
      <c r="Z2085" s="5" t="str">
        <f ca="1">IFERROR(__xludf.DUMMYFUNCTION("""COMPUTED_VALUE"""),"No")</f>
        <v>No</v>
      </c>
      <c r="AA2085" s="5"/>
      <c r="AB2085" s="5" t="str">
        <f ca="1">IFERROR(__xludf.DUMMYFUNCTION("""COMPUTED_VALUE"""),"No")</f>
        <v>No</v>
      </c>
      <c r="AC2085" s="5" t="str">
        <f ca="1">IFERROR(__xludf.DUMMYFUNCTION("""COMPUTED_VALUE"""),"No")</f>
        <v>No</v>
      </c>
      <c r="AD2085" s="5" t="str">
        <f ca="1">IFERROR(__xludf.DUMMYFUNCTION("""COMPUTED_VALUE"""),"No")</f>
        <v>No</v>
      </c>
      <c r="AE2085" s="5"/>
      <c r="AF2085" s="5"/>
      <c r="AG2085" s="5" t="str">
        <f ca="1">IFERROR(__xludf.DUMMYFUNCTION("""COMPUTED_VALUE"""),"No")</f>
        <v>No</v>
      </c>
      <c r="AH2085" s="5"/>
    </row>
    <row r="2086" spans="1:34" ht="12.75">
      <c r="A2086" s="5" t="str">
        <f ca="1">IFERROR(__xludf.DUMMYFUNCTION("""COMPUTED_VALUE"""),"19710202PAMOP")</f>
        <v>19710202PAMOP</v>
      </c>
      <c r="B2086" s="8">
        <f ca="1">IFERROR(__xludf.DUMMYFUNCTION("""COMPUTED_VALUE"""),25966)</f>
        <v>25966</v>
      </c>
      <c r="C2086" s="5" t="str">
        <f ca="1">IFERROR(__xludf.DUMMYFUNCTION("""COMPUTED_VALUE"""),"Morris E. Leeds Middle School")</f>
        <v>Morris E. Leeds Middle School</v>
      </c>
      <c r="D2086" s="5">
        <f ca="1">IFERROR(__xludf.DUMMYFUNCTION("""COMPUTED_VALUE"""),1)</f>
        <v>1</v>
      </c>
      <c r="E2086" s="5">
        <f ca="1">IFERROR(__xludf.DUMMYFUNCTION("""COMPUTED_VALUE"""),0)</f>
        <v>0</v>
      </c>
      <c r="F2086" s="5">
        <f ca="1">IFERROR(__xludf.DUMMYFUNCTION("""COMPUTED_VALUE"""),1)</f>
        <v>1</v>
      </c>
      <c r="G2086" s="5">
        <f ca="1">IFERROR(__xludf.DUMMYFUNCTION("""COMPUTED_VALUE"""),0)</f>
        <v>0</v>
      </c>
      <c r="H2086"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I2086" s="5"/>
      <c r="J2086" s="5"/>
      <c r="K2086" s="5">
        <f ca="1">IFERROR(__xludf.DUMMYFUNCTION("""COMPUTED_VALUE"""),3)</f>
        <v>3</v>
      </c>
      <c r="L2086" s="5" t="str">
        <f ca="1">IFERROR(__xludf.DUMMYFUNCTION("""COMPUTED_VALUE"""),"Winter")</f>
        <v>Winter</v>
      </c>
      <c r="M2086" s="5" t="str">
        <f ca="1">IFERROR(__xludf.DUMMYFUNCTION("""COMPUTED_VALUE"""),"Philadelphia")</f>
        <v>Philadelphia</v>
      </c>
      <c r="N2086" s="5" t="str">
        <f ca="1">IFERROR(__xludf.DUMMYFUNCTION("""COMPUTED_VALUE"""),"PA")</f>
        <v>PA</v>
      </c>
      <c r="O2086" s="5" t="str">
        <f ca="1">IFERROR(__xludf.DUMMYFUNCTION("""COMPUTED_VALUE"""),"Middle")</f>
        <v>Middle</v>
      </c>
      <c r="P2086" s="5" t="str">
        <f ca="1">IFERROR(__xludf.DUMMYFUNCTION("""COMPUTED_VALUE"""),"Outside on School Property")</f>
        <v>Outside on School Property</v>
      </c>
      <c r="Q2086" s="5" t="str">
        <f ca="1">IFERROR(__xludf.DUMMYFUNCTION("""COMPUTED_VALUE"""),"Outside on School Property")</f>
        <v>Outside on School Property</v>
      </c>
      <c r="R2086" s="5" t="str">
        <f ca="1">IFERROR(__xludf.DUMMYFUNCTION("""COMPUTED_VALUE"""),"No")</f>
        <v>No</v>
      </c>
      <c r="S2086" s="5"/>
      <c r="T2086" s="5"/>
      <c r="U2086" s="5"/>
      <c r="V2086" s="5" t="str">
        <f ca="1">IFERROR(__xludf.DUMMYFUNCTION("""COMPUTED_VALUE"""),"Student shot teacher who had suspended him earlier in the day for cursing in the hallway")</f>
        <v>Student shot teacher who had suspended him earlier in the day for cursing in the hallway</v>
      </c>
      <c r="W2086" s="5" t="str">
        <f ca="1">IFERROR(__xludf.DUMMYFUNCTION("""COMPUTED_VALUE"""),"56 year-old male teacher was shot while leaving school by student he had suspended earlier in the day")</f>
        <v>56 year-old male teacher was shot while leaving school by student he had suspended earlier in the day</v>
      </c>
      <c r="X2086" s="5" t="str">
        <f ca="1">IFERROR(__xludf.DUMMYFUNCTION("""COMPUTED_VALUE"""),"Anger Over Grade/Suspension/Discipline")</f>
        <v>Anger Over Grade/Suspension/Discipline</v>
      </c>
      <c r="Y2086" s="5" t="str">
        <f ca="1">IFERROR(__xludf.DUMMYFUNCTION("""COMPUTED_VALUE"""),"Victims Targeted")</f>
        <v>Victims Targeted</v>
      </c>
      <c r="Z2086" s="5" t="str">
        <f ca="1">IFERROR(__xludf.DUMMYFUNCTION("""COMPUTED_VALUE"""),"No")</f>
        <v>No</v>
      </c>
      <c r="AA2086" s="5"/>
      <c r="AB2086" s="5" t="str">
        <f ca="1">IFERROR(__xludf.DUMMYFUNCTION("""COMPUTED_VALUE"""),"No")</f>
        <v>No</v>
      </c>
      <c r="AC2086" s="5" t="str">
        <f ca="1">IFERROR(__xludf.DUMMYFUNCTION("""COMPUTED_VALUE"""),"No")</f>
        <v>No</v>
      </c>
      <c r="AD2086" s="5" t="str">
        <f ca="1">IFERROR(__xludf.DUMMYFUNCTION("""COMPUTED_VALUE"""),"No")</f>
        <v>No</v>
      </c>
      <c r="AE2086" s="5" t="str">
        <f ca="1">IFERROR(__xludf.DUMMYFUNCTION("""COMPUTED_VALUE"""),"No")</f>
        <v>No</v>
      </c>
      <c r="AF2086" s="5" t="str">
        <f ca="1">IFERROR(__xludf.DUMMYFUNCTION("""COMPUTED_VALUE"""),"No")</f>
        <v>No</v>
      </c>
      <c r="AG2086" s="5" t="str">
        <f ca="1">IFERROR(__xludf.DUMMYFUNCTION("""COMPUTED_VALUE"""),"No")</f>
        <v>No</v>
      </c>
      <c r="AH2086" s="5"/>
    </row>
    <row r="2087" spans="1:34" ht="12.75">
      <c r="A2087" s="5" t="str">
        <f ca="1">IFERROR(__xludf.DUMMYFUNCTION("""COMPUTED_VALUE"""),"19701212WIXAA")</f>
        <v>19701212WIXAA</v>
      </c>
      <c r="B2087" s="8">
        <f ca="1">IFERROR(__xludf.DUMMYFUNCTION("""COMPUTED_VALUE"""),25914)</f>
        <v>25914</v>
      </c>
      <c r="C2087" s="5" t="str">
        <f ca="1">IFERROR(__xludf.DUMMYFUNCTION("""COMPUTED_VALUE"""),"Xavier High School")</f>
        <v>Xavier High School</v>
      </c>
      <c r="D2087" s="5">
        <f ca="1">IFERROR(__xludf.DUMMYFUNCTION("""COMPUTED_VALUE"""),1)</f>
        <v>1</v>
      </c>
      <c r="E2087" s="5">
        <f ca="1">IFERROR(__xludf.DUMMYFUNCTION("""COMPUTED_VALUE"""),0)</f>
        <v>0</v>
      </c>
      <c r="F2087" s="5">
        <f ca="1">IFERROR(__xludf.DUMMYFUNCTION("""COMPUTED_VALUE"""),1)</f>
        <v>1</v>
      </c>
      <c r="G2087" s="5">
        <f ca="1">IFERROR(__xludf.DUMMYFUNCTION("""COMPUTED_VALUE"""),0)</f>
        <v>0</v>
      </c>
      <c r="H2087" s="9" t="str">
        <f ca="1">IFERROR(__xludf.DUMMYFUNCTION("""COMPUTED_VALUE"""),"https://www.newspapers.com/image/246856502/?terms=xavier%2Bhigh%2Bschool%2Bshooting%2Bappleton")</f>
        <v>https://www.newspapers.com/image/246856502/?terms=xavier%2Bhigh%2Bschool%2Bshooting%2Bappleton</v>
      </c>
      <c r="I2087" s="5"/>
      <c r="J2087" s="5"/>
      <c r="K2087" s="5">
        <f ca="1">IFERROR(__xludf.DUMMYFUNCTION("""COMPUTED_VALUE"""),3)</f>
        <v>3</v>
      </c>
      <c r="L2087" s="5" t="str">
        <f ca="1">IFERROR(__xludf.DUMMYFUNCTION("""COMPUTED_VALUE"""),"Winter")</f>
        <v>Winter</v>
      </c>
      <c r="M2087" s="5" t="str">
        <f ca="1">IFERROR(__xludf.DUMMYFUNCTION("""COMPUTED_VALUE"""),"Appleton")</f>
        <v>Appleton</v>
      </c>
      <c r="N2087" s="5" t="str">
        <f ca="1">IFERROR(__xludf.DUMMYFUNCTION("""COMPUTED_VALUE"""),"WI")</f>
        <v>WI</v>
      </c>
      <c r="O2087" s="5" t="str">
        <f ca="1">IFERROR(__xludf.DUMMYFUNCTION("""COMPUTED_VALUE"""),"High")</f>
        <v>High</v>
      </c>
      <c r="P2087" s="5" t="str">
        <f ca="1">IFERROR(__xludf.DUMMYFUNCTION("""COMPUTED_VALUE"""),"Inside School Building")</f>
        <v>Inside School Building</v>
      </c>
      <c r="Q2087" s="5" t="str">
        <f ca="1">IFERROR(__xludf.DUMMYFUNCTION("""COMPUTED_VALUE"""),"Inside School Building")</f>
        <v>Inside School Building</v>
      </c>
      <c r="R2087" s="5" t="str">
        <f ca="1">IFERROR(__xludf.DUMMYFUNCTION("""COMPUTED_VALUE"""),"No")</f>
        <v>No</v>
      </c>
      <c r="S2087" s="5" t="str">
        <f ca="1">IFERROR(__xludf.DUMMYFUNCTION("""COMPUTED_VALUE"""),"Night")</f>
        <v>Night</v>
      </c>
      <c r="T2087" s="10">
        <f ca="1">IFERROR(__xludf.DUMMYFUNCTION("""COMPUTED_VALUE"""),0.996527777777777)</f>
        <v>0.99652777777777701</v>
      </c>
      <c r="U2087" s="5">
        <f ca="1">IFERROR(__xludf.DUMMYFUNCTION("""COMPUTED_VALUE"""),1)</f>
        <v>1</v>
      </c>
      <c r="V2087" s="5" t="str">
        <f ca="1">IFERROR(__xludf.DUMMYFUNCTION("""COMPUTED_VALUE"""),"Police officer shot suspect during attempted burglary at school")</f>
        <v>Police officer shot suspect during attempted burglary at school</v>
      </c>
      <c r="W2087"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X2087" s="5" t="str">
        <f ca="1">IFERROR(__xludf.DUMMYFUNCTION("""COMPUTED_VALUE"""),"Illegal Activity")</f>
        <v>Illegal Activity</v>
      </c>
      <c r="Y2087" s="5" t="str">
        <f ca="1">IFERROR(__xludf.DUMMYFUNCTION("""COMPUTED_VALUE"""),"Neither")</f>
        <v>Neither</v>
      </c>
      <c r="Z2087" s="5" t="str">
        <f ca="1">IFERROR(__xludf.DUMMYFUNCTION("""COMPUTED_VALUE"""),"No")</f>
        <v>No</v>
      </c>
      <c r="AA2087" s="5"/>
      <c r="AB2087" s="5" t="str">
        <f ca="1">IFERROR(__xludf.DUMMYFUNCTION("""COMPUTED_VALUE"""),"No")</f>
        <v>No</v>
      </c>
      <c r="AC2087" s="5" t="str">
        <f ca="1">IFERROR(__xludf.DUMMYFUNCTION("""COMPUTED_VALUE"""),"No")</f>
        <v>No</v>
      </c>
      <c r="AD2087" s="5" t="str">
        <f ca="1">IFERROR(__xludf.DUMMYFUNCTION("""COMPUTED_VALUE"""),"Yes")</f>
        <v>Yes</v>
      </c>
      <c r="AE2087" s="5" t="str">
        <f ca="1">IFERROR(__xludf.DUMMYFUNCTION("""COMPUTED_VALUE"""),"No")</f>
        <v>No</v>
      </c>
      <c r="AF2087" s="5" t="str">
        <f ca="1">IFERROR(__xludf.DUMMYFUNCTION("""COMPUTED_VALUE"""),"No")</f>
        <v>No</v>
      </c>
      <c r="AG2087" s="5" t="str">
        <f ca="1">IFERROR(__xludf.DUMMYFUNCTION("""COMPUTED_VALUE"""),"No")</f>
        <v>No</v>
      </c>
      <c r="AH2087" s="5" t="str">
        <f ca="1">IFERROR(__xludf.DUMMYFUNCTION("""COMPUTED_VALUE"""),"N/A")</f>
        <v>N/A</v>
      </c>
    </row>
    <row r="2088" spans="1:34" ht="12.75">
      <c r="A2088" s="5" t="str">
        <f ca="1">IFERROR(__xludf.DUMMYFUNCTION("""COMPUTED_VALUE"""),"19701120ILHAC")</f>
        <v>19701120ILHAC</v>
      </c>
      <c r="B2088" s="8">
        <f ca="1">IFERROR(__xludf.DUMMYFUNCTION("""COMPUTED_VALUE"""),25892)</f>
        <v>25892</v>
      </c>
      <c r="C2088" s="5" t="str">
        <f ca="1">IFERROR(__xludf.DUMMYFUNCTION("""COMPUTED_VALUE"""),"Harlan High School")</f>
        <v>Harlan High School</v>
      </c>
      <c r="D2088" s="5">
        <f ca="1">IFERROR(__xludf.DUMMYFUNCTION("""COMPUTED_VALUE"""),0)</f>
        <v>0</v>
      </c>
      <c r="E2088" s="5">
        <f ca="1">IFERROR(__xludf.DUMMYFUNCTION("""COMPUTED_VALUE"""),2)</f>
        <v>2</v>
      </c>
      <c r="F2088" s="5">
        <f ca="1">IFERROR(__xludf.DUMMYFUNCTION("""COMPUTED_VALUE"""),2)</f>
        <v>2</v>
      </c>
      <c r="G2088" s="5">
        <f ca="1">IFERROR(__xludf.DUMMYFUNCTION("""COMPUTED_VALUE"""),0)</f>
        <v>0</v>
      </c>
      <c r="H2088"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I2088" s="5"/>
      <c r="J2088" s="5"/>
      <c r="K2088" s="5">
        <f ca="1">IFERROR(__xludf.DUMMYFUNCTION("""COMPUTED_VALUE"""),2)</f>
        <v>2</v>
      </c>
      <c r="L2088" s="5" t="str">
        <f ca="1">IFERROR(__xludf.DUMMYFUNCTION("""COMPUTED_VALUE"""),"Fall")</f>
        <v>Fall</v>
      </c>
      <c r="M2088" s="5" t="str">
        <f ca="1">IFERROR(__xludf.DUMMYFUNCTION("""COMPUTED_VALUE"""),"Chicago")</f>
        <v>Chicago</v>
      </c>
      <c r="N2088" s="5" t="str">
        <f ca="1">IFERROR(__xludf.DUMMYFUNCTION("""COMPUTED_VALUE"""),"IL")</f>
        <v>IL</v>
      </c>
      <c r="O2088" s="5" t="str">
        <f ca="1">IFERROR(__xludf.DUMMYFUNCTION("""COMPUTED_VALUE"""),"High")</f>
        <v>High</v>
      </c>
      <c r="P2088" s="5" t="str">
        <f ca="1">IFERROR(__xludf.DUMMYFUNCTION("""COMPUTED_VALUE"""),"Inside School Building")</f>
        <v>Inside School Building</v>
      </c>
      <c r="Q2088" s="5" t="str">
        <f ca="1">IFERROR(__xludf.DUMMYFUNCTION("""COMPUTED_VALUE"""),"Inside School Building")</f>
        <v>Inside School Building</v>
      </c>
      <c r="R2088" s="5" t="str">
        <f ca="1">IFERROR(__xludf.DUMMYFUNCTION("""COMPUTED_VALUE"""),"Yes")</f>
        <v>Yes</v>
      </c>
      <c r="S2088" s="5"/>
      <c r="T2088" s="5"/>
      <c r="U2088" s="5">
        <f ca="1">IFERROR(__xludf.DUMMYFUNCTION("""COMPUTED_VALUE"""),1)</f>
        <v>1</v>
      </c>
      <c r="V2088" s="5" t="str">
        <f ca="1">IFERROR(__xludf.DUMMYFUNCTION("""COMPUTED_VALUE"""),"Gang recruitment related")</f>
        <v>Gang recruitment related</v>
      </c>
      <c r="W2088"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X2088" s="5" t="str">
        <f ca="1">IFERROR(__xludf.DUMMYFUNCTION("""COMPUTED_VALUE"""),"Illegal Activity")</f>
        <v>Illegal Activity</v>
      </c>
      <c r="Y2088" s="5"/>
      <c r="Z2088" s="5" t="str">
        <f ca="1">IFERROR(__xludf.DUMMYFUNCTION("""COMPUTED_VALUE"""),"Unknown")</f>
        <v>Unknown</v>
      </c>
      <c r="AA2088" s="5"/>
      <c r="AB2088" s="5" t="str">
        <f ca="1">IFERROR(__xludf.DUMMYFUNCTION("""COMPUTED_VALUE"""),"No")</f>
        <v>No</v>
      </c>
      <c r="AC2088" s="5" t="str">
        <f ca="1">IFERROR(__xludf.DUMMYFUNCTION("""COMPUTED_VALUE"""),"No")</f>
        <v>No</v>
      </c>
      <c r="AD2088" s="5" t="str">
        <f ca="1">IFERROR(__xludf.DUMMYFUNCTION("""COMPUTED_VALUE"""),"No")</f>
        <v>No</v>
      </c>
      <c r="AE2088" s="5" t="str">
        <f ca="1">IFERROR(__xludf.DUMMYFUNCTION("""COMPUTED_VALUE"""),"No")</f>
        <v>No</v>
      </c>
      <c r="AF2088" s="5" t="str">
        <f ca="1">IFERROR(__xludf.DUMMYFUNCTION("""COMPUTED_VALUE"""),"No")</f>
        <v>No</v>
      </c>
      <c r="AG2088" s="5" t="str">
        <f ca="1">IFERROR(__xludf.DUMMYFUNCTION("""COMPUTED_VALUE"""),"Yes")</f>
        <v>Yes</v>
      </c>
      <c r="AH2088" s="5"/>
    </row>
    <row r="2089" spans="1:34" ht="12.75">
      <c r="A2089" s="5" t="str">
        <f ca="1">IFERROR(__xludf.DUMMYFUNCTION("""COMPUTED_VALUE"""),"19701027OHAPM")</f>
        <v>19701027OHAPM</v>
      </c>
      <c r="B2089" s="8">
        <f ca="1">IFERROR(__xludf.DUMMYFUNCTION("""COMPUTED_VALUE"""),25868)</f>
        <v>25868</v>
      </c>
      <c r="C2089" s="5" t="str">
        <f ca="1">IFERROR(__xludf.DUMMYFUNCTION("""COMPUTED_VALUE"""),"Appleseed Junior High School")</f>
        <v>Appleseed Junior High School</v>
      </c>
      <c r="D2089" s="5">
        <f ca="1">IFERROR(__xludf.DUMMYFUNCTION("""COMPUTED_VALUE"""),0)</f>
        <v>0</v>
      </c>
      <c r="E2089" s="5">
        <f ca="1">IFERROR(__xludf.DUMMYFUNCTION("""COMPUTED_VALUE"""),1)</f>
        <v>1</v>
      </c>
      <c r="F2089" s="5">
        <f ca="1">IFERROR(__xludf.DUMMYFUNCTION("""COMPUTED_VALUE"""),1)</f>
        <v>1</v>
      </c>
      <c r="G2089" s="5">
        <f ca="1">IFERROR(__xludf.DUMMYFUNCTION("""COMPUTED_VALUE"""),0)</f>
        <v>0</v>
      </c>
      <c r="H2089" s="9" t="str">
        <f ca="1">IFERROR(__xludf.DUMMYFUNCTION("""COMPUTED_VALUE"""),"https://www.newspapers.com/image/294129677/?terms=school%2Bshooting")</f>
        <v>https://www.newspapers.com/image/294129677/?terms=school%2Bshooting</v>
      </c>
      <c r="I2089" s="5"/>
      <c r="J2089" s="5"/>
      <c r="K2089" s="5">
        <f ca="1">IFERROR(__xludf.DUMMYFUNCTION("""COMPUTED_VALUE"""),2)</f>
        <v>2</v>
      </c>
      <c r="L2089" s="5" t="str">
        <f ca="1">IFERROR(__xludf.DUMMYFUNCTION("""COMPUTED_VALUE"""),"Fall")</f>
        <v>Fall</v>
      </c>
      <c r="M2089" s="5" t="str">
        <f ca="1">IFERROR(__xludf.DUMMYFUNCTION("""COMPUTED_VALUE"""),"Mansfield")</f>
        <v>Mansfield</v>
      </c>
      <c r="N2089" s="5" t="str">
        <f ca="1">IFERROR(__xludf.DUMMYFUNCTION("""COMPUTED_VALUE"""),"OH")</f>
        <v>OH</v>
      </c>
      <c r="O2089" s="5" t="str">
        <f ca="1">IFERROR(__xludf.DUMMYFUNCTION("""COMPUTED_VALUE"""),"Junior High")</f>
        <v>Junior High</v>
      </c>
      <c r="P2089" s="5" t="str">
        <f ca="1">IFERROR(__xludf.DUMMYFUNCTION("""COMPUTED_VALUE"""),"Bathroom")</f>
        <v>Bathroom</v>
      </c>
      <c r="Q2089" s="5" t="str">
        <f ca="1">IFERROR(__xludf.DUMMYFUNCTION("""COMPUTED_VALUE"""),"Inside School Building")</f>
        <v>Inside School Building</v>
      </c>
      <c r="R2089" s="5" t="str">
        <f ca="1">IFERROR(__xludf.DUMMYFUNCTION("""COMPUTED_VALUE"""),"Yes")</f>
        <v>Yes</v>
      </c>
      <c r="S2089" s="5" t="str">
        <f ca="1">IFERROR(__xludf.DUMMYFUNCTION("""COMPUTED_VALUE"""),"Morning Classes")</f>
        <v>Morning Classes</v>
      </c>
      <c r="T2089" s="10">
        <f ca="1">IFERROR(__xludf.DUMMYFUNCTION("""COMPUTED_VALUE"""),0.354166666666666)</f>
        <v>0.35416666666666602</v>
      </c>
      <c r="U2089" s="5">
        <f ca="1">IFERROR(__xludf.DUMMYFUNCTION("""COMPUTED_VALUE"""),1)</f>
        <v>1</v>
      </c>
      <c r="V2089" s="5" t="str">
        <f ca="1">IFERROR(__xludf.DUMMYFUNCTION("""COMPUTED_VALUE"""),"Shot victim in the bathroom")</f>
        <v>Shot victim in the bathroom</v>
      </c>
      <c r="W2089"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X2089" s="5" t="str">
        <f ca="1">IFERROR(__xludf.DUMMYFUNCTION("""COMPUTED_VALUE"""),"Escalation of Dispute")</f>
        <v>Escalation of Dispute</v>
      </c>
      <c r="Y2089" s="5" t="str">
        <f ca="1">IFERROR(__xludf.DUMMYFUNCTION("""COMPUTED_VALUE"""),"Victims Targeted")</f>
        <v>Victims Targeted</v>
      </c>
      <c r="Z2089" s="5" t="str">
        <f ca="1">IFERROR(__xludf.DUMMYFUNCTION("""COMPUTED_VALUE"""),"No")</f>
        <v>No</v>
      </c>
      <c r="AA2089" s="5"/>
      <c r="AB2089" s="5" t="str">
        <f ca="1">IFERROR(__xludf.DUMMYFUNCTION("""COMPUTED_VALUE"""),"No")</f>
        <v>No</v>
      </c>
      <c r="AC2089" s="5" t="str">
        <f ca="1">IFERROR(__xludf.DUMMYFUNCTION("""COMPUTED_VALUE"""),"No")</f>
        <v>No</v>
      </c>
      <c r="AD2089" s="5" t="str">
        <f ca="1">IFERROR(__xludf.DUMMYFUNCTION("""COMPUTED_VALUE"""),"No")</f>
        <v>No</v>
      </c>
      <c r="AE2089" s="5"/>
      <c r="AF2089" s="5" t="str">
        <f ca="1">IFERROR(__xludf.DUMMYFUNCTION("""COMPUTED_VALUE"""),"No")</f>
        <v>No</v>
      </c>
      <c r="AG2089" s="5" t="str">
        <f ca="1">IFERROR(__xludf.DUMMYFUNCTION("""COMPUTED_VALUE"""),"No")</f>
        <v>No</v>
      </c>
      <c r="AH2089" s="5"/>
    </row>
    <row r="2090" spans="1:34" ht="12.75">
      <c r="A2090" s="5" t="str">
        <f ca="1">IFERROR(__xludf.DUMMYFUNCTION("""COMPUTED_VALUE"""),"19701020TNWAN")</f>
        <v>19701020TNWAN</v>
      </c>
      <c r="B2090" s="8">
        <f ca="1">IFERROR(__xludf.DUMMYFUNCTION("""COMPUTED_VALUE"""),25861)</f>
        <v>25861</v>
      </c>
      <c r="C2090" s="5" t="str">
        <f ca="1">IFERROR(__xludf.DUMMYFUNCTION("""COMPUTED_VALUE"""),"Washington Junior High School")</f>
        <v>Washington Junior High School</v>
      </c>
      <c r="D2090" s="5">
        <f ca="1">IFERROR(__xludf.DUMMYFUNCTION("""COMPUTED_VALUE"""),0)</f>
        <v>0</v>
      </c>
      <c r="E2090" s="5">
        <f ca="1">IFERROR(__xludf.DUMMYFUNCTION("""COMPUTED_VALUE"""),1)</f>
        <v>1</v>
      </c>
      <c r="F2090" s="5">
        <f ca="1">IFERROR(__xludf.DUMMYFUNCTION("""COMPUTED_VALUE"""),1)</f>
        <v>1</v>
      </c>
      <c r="G2090" s="5">
        <f ca="1">IFERROR(__xludf.DUMMYFUNCTION("""COMPUTED_VALUE"""),0)</f>
        <v>0</v>
      </c>
      <c r="H2090" s="9" t="str">
        <f ca="1">IFERROR(__xludf.DUMMYFUNCTION("""COMPUTED_VALUE"""),"https://www.newspapers.com/image/284280856/?terms=school%2Bshooting")</f>
        <v>https://www.newspapers.com/image/284280856/?terms=school%2Bshooting</v>
      </c>
      <c r="I2090" s="5"/>
      <c r="J2090" s="5"/>
      <c r="K2090" s="5">
        <f ca="1">IFERROR(__xludf.DUMMYFUNCTION("""COMPUTED_VALUE"""),2)</f>
        <v>2</v>
      </c>
      <c r="L2090" s="5" t="str">
        <f ca="1">IFERROR(__xludf.DUMMYFUNCTION("""COMPUTED_VALUE"""),"Fall")</f>
        <v>Fall</v>
      </c>
      <c r="M2090" s="5" t="str">
        <f ca="1">IFERROR(__xludf.DUMMYFUNCTION("""COMPUTED_VALUE"""),"Nashville")</f>
        <v>Nashville</v>
      </c>
      <c r="N2090" s="5" t="str">
        <f ca="1">IFERROR(__xludf.DUMMYFUNCTION("""COMPUTED_VALUE"""),"TN")</f>
        <v>TN</v>
      </c>
      <c r="O2090" s="5" t="str">
        <f ca="1">IFERROR(__xludf.DUMMYFUNCTION("""COMPUTED_VALUE"""),"Junior High")</f>
        <v>Junior High</v>
      </c>
      <c r="P2090" s="5" t="str">
        <f ca="1">IFERROR(__xludf.DUMMYFUNCTION("""COMPUTED_VALUE"""),"Hallway")</f>
        <v>Hallway</v>
      </c>
      <c r="Q2090" s="5" t="str">
        <f ca="1">IFERROR(__xludf.DUMMYFUNCTION("""COMPUTED_VALUE"""),"Inside School Building")</f>
        <v>Inside School Building</v>
      </c>
      <c r="R2090" s="5" t="str">
        <f ca="1">IFERROR(__xludf.DUMMYFUNCTION("""COMPUTED_VALUE"""),"Yes")</f>
        <v>Yes</v>
      </c>
      <c r="S2090" s="5" t="str">
        <f ca="1">IFERROR(__xludf.DUMMYFUNCTION("""COMPUTED_VALUE"""),"Lunch")</f>
        <v>Lunch</v>
      </c>
      <c r="T2090" s="10">
        <f ca="1">IFERROR(__xludf.DUMMYFUNCTION("""COMPUTED_VALUE"""),0.5)</f>
        <v>0.5</v>
      </c>
      <c r="U2090" s="5">
        <f ca="1">IFERROR(__xludf.DUMMYFUNCTION("""COMPUTED_VALUE"""),1)</f>
        <v>1</v>
      </c>
      <c r="V2090" s="5" t="str">
        <f ca="1">IFERROR(__xludf.DUMMYFUNCTION("""COMPUTED_VALUE"""),"Hallway monitor shot by another student")</f>
        <v>Hallway monitor shot by another student</v>
      </c>
      <c r="W2090" s="5" t="str">
        <f ca="1">IFERROR(__xludf.DUMMYFUNCTION("""COMPUTED_VALUE"""),"Hallways monitor (student) was shot by another student in the hallway")</f>
        <v>Hallways monitor (student) was shot by another student in the hallway</v>
      </c>
      <c r="X2090" s="5" t="str">
        <f ca="1">IFERROR(__xludf.DUMMYFUNCTION("""COMPUTED_VALUE"""),"Unknown")</f>
        <v>Unknown</v>
      </c>
      <c r="Y2090" s="5" t="str">
        <f ca="1">IFERROR(__xludf.DUMMYFUNCTION("""COMPUTED_VALUE"""),"Victims Targeted")</f>
        <v>Victims Targeted</v>
      </c>
      <c r="Z2090" s="5" t="str">
        <f ca="1">IFERROR(__xludf.DUMMYFUNCTION("""COMPUTED_VALUE"""),"No")</f>
        <v>No</v>
      </c>
      <c r="AA2090" s="5"/>
      <c r="AB2090" s="5" t="str">
        <f ca="1">IFERROR(__xludf.DUMMYFUNCTION("""COMPUTED_VALUE"""),"No")</f>
        <v>No</v>
      </c>
      <c r="AC2090" s="5" t="str">
        <f ca="1">IFERROR(__xludf.DUMMYFUNCTION("""COMPUTED_VALUE"""),"No")</f>
        <v>No</v>
      </c>
      <c r="AD2090" s="5" t="str">
        <f ca="1">IFERROR(__xludf.DUMMYFUNCTION("""COMPUTED_VALUE"""),"No")</f>
        <v>No</v>
      </c>
      <c r="AE2090" s="5" t="str">
        <f ca="1">IFERROR(__xludf.DUMMYFUNCTION("""COMPUTED_VALUE"""),"No")</f>
        <v>No</v>
      </c>
      <c r="AF2090" s="5" t="str">
        <f ca="1">IFERROR(__xludf.DUMMYFUNCTION("""COMPUTED_VALUE"""),"No")</f>
        <v>No</v>
      </c>
      <c r="AG2090" s="5" t="str">
        <f ca="1">IFERROR(__xludf.DUMMYFUNCTION("""COMPUTED_VALUE"""),"No")</f>
        <v>No</v>
      </c>
      <c r="AH2090" s="5"/>
    </row>
    <row r="2091" spans="1:34" ht="12.75">
      <c r="A2091" s="5" t="str">
        <f ca="1">IFERROR(__xludf.DUMMYFUNCTION("""COMPUTED_VALUE"""),"19701019TNBOM")</f>
        <v>19701019TNBOM</v>
      </c>
      <c r="B2091" s="8">
        <f ca="1">IFERROR(__xludf.DUMMYFUNCTION("""COMPUTED_VALUE"""),25860)</f>
        <v>25860</v>
      </c>
      <c r="C2091" s="5" t="str">
        <f ca="1">IFERROR(__xludf.DUMMYFUNCTION("""COMPUTED_VALUE"""),"Booker T. Washington High School")</f>
        <v>Booker T. Washington High School</v>
      </c>
      <c r="D2091" s="5">
        <f ca="1">IFERROR(__xludf.DUMMYFUNCTION("""COMPUTED_VALUE"""),1)</f>
        <v>1</v>
      </c>
      <c r="E2091" s="5">
        <f ca="1">IFERROR(__xludf.DUMMYFUNCTION("""COMPUTED_VALUE"""),0)</f>
        <v>0</v>
      </c>
      <c r="F2091" s="5">
        <f ca="1">IFERROR(__xludf.DUMMYFUNCTION("""COMPUTED_VALUE"""),1)</f>
        <v>1</v>
      </c>
      <c r="G2091" s="5">
        <f ca="1">IFERROR(__xludf.DUMMYFUNCTION("""COMPUTED_VALUE"""),0)</f>
        <v>0</v>
      </c>
      <c r="H2091" s="9" t="str">
        <f ca="1">IFERROR(__xludf.DUMMYFUNCTION("""COMPUTED_VALUE"""),"https://www.newspapers.com/image/284280856/?terms=school%2Bshooting")</f>
        <v>https://www.newspapers.com/image/284280856/?terms=school%2Bshooting</v>
      </c>
      <c r="I2091" s="5"/>
      <c r="J2091" s="5"/>
      <c r="K2091" s="5">
        <f ca="1">IFERROR(__xludf.DUMMYFUNCTION("""COMPUTED_VALUE"""),2)</f>
        <v>2</v>
      </c>
      <c r="L2091" s="5" t="str">
        <f ca="1">IFERROR(__xludf.DUMMYFUNCTION("""COMPUTED_VALUE"""),"Fall")</f>
        <v>Fall</v>
      </c>
      <c r="M2091" s="5" t="str">
        <f ca="1">IFERROR(__xludf.DUMMYFUNCTION("""COMPUTED_VALUE"""),"Memphis")</f>
        <v>Memphis</v>
      </c>
      <c r="N2091" s="5" t="str">
        <f ca="1">IFERROR(__xludf.DUMMYFUNCTION("""COMPUTED_VALUE"""),"TN")</f>
        <v>TN</v>
      </c>
      <c r="O2091" s="5" t="str">
        <f ca="1">IFERROR(__xludf.DUMMYFUNCTION("""COMPUTED_VALUE"""),"High")</f>
        <v>High</v>
      </c>
      <c r="P2091" s="5" t="str">
        <f ca="1">IFERROR(__xludf.DUMMYFUNCTION("""COMPUTED_VALUE"""),"Inside School Building")</f>
        <v>Inside School Building</v>
      </c>
      <c r="Q2091" s="5" t="str">
        <f ca="1">IFERROR(__xludf.DUMMYFUNCTION("""COMPUTED_VALUE"""),"Inside School Building")</f>
        <v>Inside School Building</v>
      </c>
      <c r="R2091" s="5" t="str">
        <f ca="1">IFERROR(__xludf.DUMMYFUNCTION("""COMPUTED_VALUE"""),"Yes")</f>
        <v>Yes</v>
      </c>
      <c r="S2091" s="5"/>
      <c r="T2091" s="5"/>
      <c r="U2091" s="5"/>
      <c r="V2091" s="5" t="str">
        <f ca="1">IFERROR(__xludf.DUMMYFUNCTION("""COMPUTED_VALUE"""),"Argument over girl that has escalated over 2 days")</f>
        <v>Argument over girl that has escalated over 2 days</v>
      </c>
      <c r="W2091" s="5" t="str">
        <f ca="1">IFERROR(__xludf.DUMMYFUNCTION("""COMPUTED_VALUE"""),"Ongoing argument over girls escalated into a targeted shooting.")</f>
        <v>Ongoing argument over girls escalated into a targeted shooting.</v>
      </c>
      <c r="X2091" s="5" t="str">
        <f ca="1">IFERROR(__xludf.DUMMYFUNCTION("""COMPUTED_VALUE"""),"Escalation of Dispute")</f>
        <v>Escalation of Dispute</v>
      </c>
      <c r="Y2091" s="5" t="str">
        <f ca="1">IFERROR(__xludf.DUMMYFUNCTION("""COMPUTED_VALUE"""),"Victims Targeted")</f>
        <v>Victims Targeted</v>
      </c>
      <c r="Z2091" s="5" t="str">
        <f ca="1">IFERROR(__xludf.DUMMYFUNCTION("""COMPUTED_VALUE"""),"No")</f>
        <v>No</v>
      </c>
      <c r="AA2091" s="5"/>
      <c r="AB2091" s="5" t="str">
        <f ca="1">IFERROR(__xludf.DUMMYFUNCTION("""COMPUTED_VALUE"""),"No")</f>
        <v>No</v>
      </c>
      <c r="AC2091" s="5" t="str">
        <f ca="1">IFERROR(__xludf.DUMMYFUNCTION("""COMPUTED_VALUE"""),"No")</f>
        <v>No</v>
      </c>
      <c r="AD2091" s="5" t="str">
        <f ca="1">IFERROR(__xludf.DUMMYFUNCTION("""COMPUTED_VALUE"""),"No")</f>
        <v>No</v>
      </c>
      <c r="AE2091" s="5" t="str">
        <f ca="1">IFERROR(__xludf.DUMMYFUNCTION("""COMPUTED_VALUE"""),"No")</f>
        <v>No</v>
      </c>
      <c r="AF2091" s="5" t="str">
        <f ca="1">IFERROR(__xludf.DUMMYFUNCTION("""COMPUTED_VALUE"""),"No")</f>
        <v>No</v>
      </c>
      <c r="AG2091" s="5" t="str">
        <f ca="1">IFERROR(__xludf.DUMMYFUNCTION("""COMPUTED_VALUE"""),"No")</f>
        <v>No</v>
      </c>
      <c r="AH2091" s="5"/>
    </row>
    <row r="2092" spans="1:34" ht="12.75">
      <c r="A2092" s="5" t="str">
        <f ca="1">IFERROR(__xludf.DUMMYFUNCTION("""COMPUTED_VALUE"""),"19701005MIPOD")</f>
        <v>19701005MIPOD</v>
      </c>
      <c r="B2092" s="8">
        <f ca="1">IFERROR(__xludf.DUMMYFUNCTION("""COMPUTED_VALUE"""),25846)</f>
        <v>25846</v>
      </c>
      <c r="C2092" s="5" t="str">
        <f ca="1">IFERROR(__xludf.DUMMYFUNCTION("""COMPUTED_VALUE"""),"Pontiac Central High School")</f>
        <v>Pontiac Central High School</v>
      </c>
      <c r="D2092" s="5">
        <f ca="1">IFERROR(__xludf.DUMMYFUNCTION("""COMPUTED_VALUE"""),0)</f>
        <v>0</v>
      </c>
      <c r="E2092" s="5">
        <f ca="1">IFERROR(__xludf.DUMMYFUNCTION("""COMPUTED_VALUE"""),4)</f>
        <v>4</v>
      </c>
      <c r="F2092" s="5">
        <f ca="1">IFERROR(__xludf.DUMMYFUNCTION("""COMPUTED_VALUE"""),4)</f>
        <v>4</v>
      </c>
      <c r="G2092" s="5">
        <f ca="1">IFERROR(__xludf.DUMMYFUNCTION("""COMPUTED_VALUE"""),0)</f>
        <v>0</v>
      </c>
      <c r="H2092"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I2092" s="5"/>
      <c r="J2092" s="5"/>
      <c r="K2092" s="5">
        <f ca="1">IFERROR(__xludf.DUMMYFUNCTION("""COMPUTED_VALUE"""),2)</f>
        <v>2</v>
      </c>
      <c r="L2092" s="5" t="str">
        <f ca="1">IFERROR(__xludf.DUMMYFUNCTION("""COMPUTED_VALUE"""),"Fall")</f>
        <v>Fall</v>
      </c>
      <c r="M2092" s="5" t="str">
        <f ca="1">IFERROR(__xludf.DUMMYFUNCTION("""COMPUTED_VALUE"""),"Detroit")</f>
        <v>Detroit</v>
      </c>
      <c r="N2092" s="5" t="str">
        <f ca="1">IFERROR(__xludf.DUMMYFUNCTION("""COMPUTED_VALUE"""),"MI")</f>
        <v>MI</v>
      </c>
      <c r="O2092" s="5" t="str">
        <f ca="1">IFERROR(__xludf.DUMMYFUNCTION("""COMPUTED_VALUE"""),"High")</f>
        <v>High</v>
      </c>
      <c r="P2092" s="5" t="str">
        <f ca="1">IFERROR(__xludf.DUMMYFUNCTION("""COMPUTED_VALUE"""),"Outside on School Property")</f>
        <v>Outside on School Property</v>
      </c>
      <c r="Q2092" s="5" t="str">
        <f ca="1">IFERROR(__xludf.DUMMYFUNCTION("""COMPUTED_VALUE"""),"Outside on School Property")</f>
        <v>Outside on School Property</v>
      </c>
      <c r="R2092" s="5" t="str">
        <f ca="1">IFERROR(__xludf.DUMMYFUNCTION("""COMPUTED_VALUE"""),"Yes")</f>
        <v>Yes</v>
      </c>
      <c r="S2092" s="5"/>
      <c r="T2092" s="5"/>
      <c r="U2092" s="5"/>
      <c r="V2092" s="5" t="str">
        <f ca="1">IFERROR(__xludf.DUMMYFUNCTION("""COMPUTED_VALUE"""),"Fight between 4 white and 4 black students escalated into shooting")</f>
        <v>Fight between 4 white and 4 black students escalated into shooting</v>
      </c>
      <c r="W2092"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X2092" s="5" t="str">
        <f ca="1">IFERROR(__xludf.DUMMYFUNCTION("""COMPUTED_VALUE"""),"Racial")</f>
        <v>Racial</v>
      </c>
      <c r="Y2092" s="5" t="str">
        <f ca="1">IFERROR(__xludf.DUMMYFUNCTION("""COMPUTED_VALUE"""),"Victims Targeted")</f>
        <v>Victims Targeted</v>
      </c>
      <c r="Z2092" s="5" t="str">
        <f ca="1">IFERROR(__xludf.DUMMYFUNCTION("""COMPUTED_VALUE"""),"Yes")</f>
        <v>Yes</v>
      </c>
      <c r="AA2092" s="5" t="str">
        <f ca="1">IFERROR(__xludf.DUMMYFUNCTION("""COMPUTED_VALUE"""),"Two groups of 4 students involved in fight")</f>
        <v>Two groups of 4 students involved in fight</v>
      </c>
      <c r="AB2092" s="5" t="str">
        <f ca="1">IFERROR(__xludf.DUMMYFUNCTION("""COMPUTED_VALUE"""),"No")</f>
        <v>No</v>
      </c>
      <c r="AC2092" s="5" t="str">
        <f ca="1">IFERROR(__xludf.DUMMYFUNCTION("""COMPUTED_VALUE"""),"No")</f>
        <v>No</v>
      </c>
      <c r="AD2092" s="5" t="str">
        <f ca="1">IFERROR(__xludf.DUMMYFUNCTION("""COMPUTED_VALUE"""),"No")</f>
        <v>No</v>
      </c>
      <c r="AE2092" s="5" t="str">
        <f ca="1">IFERROR(__xludf.DUMMYFUNCTION("""COMPUTED_VALUE"""),"No")</f>
        <v>No</v>
      </c>
      <c r="AF2092" s="5" t="str">
        <f ca="1">IFERROR(__xludf.DUMMYFUNCTION("""COMPUTED_VALUE"""),"No")</f>
        <v>No</v>
      </c>
      <c r="AG2092" s="5" t="str">
        <f ca="1">IFERROR(__xludf.DUMMYFUNCTION("""COMPUTED_VALUE"""),"No")</f>
        <v>No</v>
      </c>
      <c r="AH2092" s="5"/>
    </row>
    <row r="2093" spans="1:34" ht="12.75">
      <c r="A2093" s="5" t="str">
        <f ca="1">IFERROR(__xludf.DUMMYFUNCTION("""COMPUTED_VALUE"""),"19700928IACED")</f>
        <v>19700928IACED</v>
      </c>
      <c r="B2093" s="8">
        <f ca="1">IFERROR(__xludf.DUMMYFUNCTION("""COMPUTED_VALUE"""),25839)</f>
        <v>25839</v>
      </c>
      <c r="C2093" s="5" t="str">
        <f ca="1">IFERROR(__xludf.DUMMYFUNCTION("""COMPUTED_VALUE"""),"Central High School")</f>
        <v>Central High School</v>
      </c>
      <c r="D2093" s="5">
        <f ca="1">IFERROR(__xludf.DUMMYFUNCTION("""COMPUTED_VALUE"""),0)</f>
        <v>0</v>
      </c>
      <c r="E2093" s="5">
        <f ca="1">IFERROR(__xludf.DUMMYFUNCTION("""COMPUTED_VALUE"""),1)</f>
        <v>1</v>
      </c>
      <c r="F2093" s="5">
        <f ca="1">IFERROR(__xludf.DUMMYFUNCTION("""COMPUTED_VALUE"""),1)</f>
        <v>1</v>
      </c>
      <c r="G2093" s="5">
        <f ca="1">IFERROR(__xludf.DUMMYFUNCTION("""COMPUTED_VALUE"""),0)</f>
        <v>0</v>
      </c>
      <c r="H2093" s="9" t="str">
        <f ca="1">IFERROR(__xludf.DUMMYFUNCTION("""COMPUTED_VALUE"""),"https://www.newspapers.com/image/338873635/?terms=school%2Bshooting")</f>
        <v>https://www.newspapers.com/image/338873635/?terms=school%2Bshooting</v>
      </c>
      <c r="I2093" s="5"/>
      <c r="J2093" s="5"/>
      <c r="K2093" s="5">
        <f ca="1">IFERROR(__xludf.DUMMYFUNCTION("""COMPUTED_VALUE"""),2)</f>
        <v>2</v>
      </c>
      <c r="L2093" s="5" t="str">
        <f ca="1">IFERROR(__xludf.DUMMYFUNCTION("""COMPUTED_VALUE"""),"Fall")</f>
        <v>Fall</v>
      </c>
      <c r="M2093" s="5" t="str">
        <f ca="1">IFERROR(__xludf.DUMMYFUNCTION("""COMPUTED_VALUE"""),"Davenport")</f>
        <v>Davenport</v>
      </c>
      <c r="N2093" s="5" t="str">
        <f ca="1">IFERROR(__xludf.DUMMYFUNCTION("""COMPUTED_VALUE"""),"IA")</f>
        <v>IA</v>
      </c>
      <c r="O2093" s="5" t="str">
        <f ca="1">IFERROR(__xludf.DUMMYFUNCTION("""COMPUTED_VALUE"""),"High")</f>
        <v>High</v>
      </c>
      <c r="P2093" s="5" t="str">
        <f ca="1">IFERROR(__xludf.DUMMYFUNCTION("""COMPUTED_VALUE"""),"Bathroom")</f>
        <v>Bathroom</v>
      </c>
      <c r="Q2093" s="5" t="str">
        <f ca="1">IFERROR(__xludf.DUMMYFUNCTION("""COMPUTED_VALUE"""),"Inside School Building")</f>
        <v>Inside School Building</v>
      </c>
      <c r="R2093" s="5" t="str">
        <f ca="1">IFERROR(__xludf.DUMMYFUNCTION("""COMPUTED_VALUE"""),"Yes")</f>
        <v>Yes</v>
      </c>
      <c r="S2093" s="5"/>
      <c r="T2093" s="5"/>
      <c r="U2093" s="5"/>
      <c r="V2093" s="5" t="str">
        <f ca="1">IFERROR(__xludf.DUMMYFUNCTION("""COMPUTED_VALUE"""),"Fired shot at female student in restroom")</f>
        <v>Fired shot at female student in restroom</v>
      </c>
      <c r="W2093"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X2093" s="5" t="str">
        <f ca="1">IFERROR(__xludf.DUMMYFUNCTION("""COMPUTED_VALUE"""),"Domestic w/ Targeted Victim")</f>
        <v>Domestic w/ Targeted Victim</v>
      </c>
      <c r="Y2093" s="5" t="str">
        <f ca="1">IFERROR(__xludf.DUMMYFUNCTION("""COMPUTED_VALUE"""),"Victims Targeted")</f>
        <v>Victims Targeted</v>
      </c>
      <c r="Z2093" s="5" t="str">
        <f ca="1">IFERROR(__xludf.DUMMYFUNCTION("""COMPUTED_VALUE"""),"No")</f>
        <v>No</v>
      </c>
      <c r="AA2093" s="5"/>
      <c r="AB2093" s="5" t="str">
        <f ca="1">IFERROR(__xludf.DUMMYFUNCTION("""COMPUTED_VALUE"""),"No")</f>
        <v>No</v>
      </c>
      <c r="AC2093" s="5" t="str">
        <f ca="1">IFERROR(__xludf.DUMMYFUNCTION("""COMPUTED_VALUE"""),"No")</f>
        <v>No</v>
      </c>
      <c r="AD2093" s="5" t="str">
        <f ca="1">IFERROR(__xludf.DUMMYFUNCTION("""COMPUTED_VALUE"""),"No")</f>
        <v>No</v>
      </c>
      <c r="AE2093" s="5" t="str">
        <f ca="1">IFERROR(__xludf.DUMMYFUNCTION("""COMPUTED_VALUE"""),"No")</f>
        <v>No</v>
      </c>
      <c r="AF2093" s="5" t="str">
        <f ca="1">IFERROR(__xludf.DUMMYFUNCTION("""COMPUTED_VALUE"""),"Yes")</f>
        <v>Yes</v>
      </c>
      <c r="AG2093" s="5" t="str">
        <f ca="1">IFERROR(__xludf.DUMMYFUNCTION("""COMPUTED_VALUE"""),"No")</f>
        <v>No</v>
      </c>
      <c r="AH2093" s="5"/>
    </row>
    <row r="2094" spans="1:34" ht="12.75">
      <c r="A2094" s="5" t="str">
        <f ca="1">IFERROR(__xludf.DUMMYFUNCTION("""COMPUTED_VALUE"""),"19700924IDMEM")</f>
        <v>19700924IDMEM</v>
      </c>
      <c r="B2094" s="8">
        <f ca="1">IFERROR(__xludf.DUMMYFUNCTION("""COMPUTED_VALUE"""),25835)</f>
        <v>25835</v>
      </c>
      <c r="C2094" s="5" t="str">
        <f ca="1">IFERROR(__xludf.DUMMYFUNCTION("""COMPUTED_VALUE"""),"Meridian High School")</f>
        <v>Meridian High School</v>
      </c>
      <c r="D2094" s="5">
        <f ca="1">IFERROR(__xludf.DUMMYFUNCTION("""COMPUTED_VALUE"""),1)</f>
        <v>1</v>
      </c>
      <c r="E2094" s="5">
        <f ca="1">IFERROR(__xludf.DUMMYFUNCTION("""COMPUTED_VALUE"""),0)</f>
        <v>0</v>
      </c>
      <c r="F2094" s="5">
        <f ca="1">IFERROR(__xludf.DUMMYFUNCTION("""COMPUTED_VALUE"""),1)</f>
        <v>1</v>
      </c>
      <c r="G2094" s="5">
        <f ca="1">IFERROR(__xludf.DUMMYFUNCTION("""COMPUTED_VALUE"""),0)</f>
        <v>0</v>
      </c>
      <c r="H2094" s="9" t="str">
        <f ca="1">IFERROR(__xludf.DUMMYFUNCTION("""COMPUTED_VALUE"""),"https://www.newspapers.com/image/571585288/?terms=shot%2Bin%2Bschool%2Bparking%2Blot")</f>
        <v>https://www.newspapers.com/image/571585288/?terms=shot%2Bin%2Bschool%2Bparking%2Blot</v>
      </c>
      <c r="I2094" s="5"/>
      <c r="J2094" s="5"/>
      <c r="K2094" s="5">
        <f ca="1">IFERROR(__xludf.DUMMYFUNCTION("""COMPUTED_VALUE"""),2)</f>
        <v>2</v>
      </c>
      <c r="L2094" s="5" t="str">
        <f ca="1">IFERROR(__xludf.DUMMYFUNCTION("""COMPUTED_VALUE"""),"Fall")</f>
        <v>Fall</v>
      </c>
      <c r="M2094" s="5" t="str">
        <f ca="1">IFERROR(__xludf.DUMMYFUNCTION("""COMPUTED_VALUE"""),"Meridian")</f>
        <v>Meridian</v>
      </c>
      <c r="N2094" s="5" t="str">
        <f ca="1">IFERROR(__xludf.DUMMYFUNCTION("""COMPUTED_VALUE"""),"ID")</f>
        <v>ID</v>
      </c>
      <c r="O2094" s="5" t="str">
        <f ca="1">IFERROR(__xludf.DUMMYFUNCTION("""COMPUTED_VALUE"""),"High")</f>
        <v>High</v>
      </c>
      <c r="P2094" s="5" t="str">
        <f ca="1">IFERROR(__xludf.DUMMYFUNCTION("""COMPUTED_VALUE"""),"Parking Lot")</f>
        <v>Parking Lot</v>
      </c>
      <c r="Q2094" s="5" t="str">
        <f ca="1">IFERROR(__xludf.DUMMYFUNCTION("""COMPUTED_VALUE"""),"Outside on School Property")</f>
        <v>Outside on School Property</v>
      </c>
      <c r="R2094" s="5"/>
      <c r="S2094" s="5"/>
      <c r="T2094" s="5"/>
      <c r="U2094" s="5"/>
      <c r="V2094" s="5" t="str">
        <f ca="1">IFERROR(__xludf.DUMMYFUNCTION("""COMPUTED_VALUE"""),"Accidentally fired gun inside car")</f>
        <v>Accidentally fired gun inside car</v>
      </c>
      <c r="W2094"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X2094" s="5" t="str">
        <f ca="1">IFERROR(__xludf.DUMMYFUNCTION("""COMPUTED_VALUE"""),"Accidental")</f>
        <v>Accidental</v>
      </c>
      <c r="Y2094" s="5" t="str">
        <f ca="1">IFERROR(__xludf.DUMMYFUNCTION("""COMPUTED_VALUE"""),"Random Shooting")</f>
        <v>Random Shooting</v>
      </c>
      <c r="Z2094" s="5" t="str">
        <f ca="1">IFERROR(__xludf.DUMMYFUNCTION("""COMPUTED_VALUE"""),"No")</f>
        <v>No</v>
      </c>
      <c r="AA2094" s="5"/>
      <c r="AB2094" s="5" t="str">
        <f ca="1">IFERROR(__xludf.DUMMYFUNCTION("""COMPUTED_VALUE"""),"No")</f>
        <v>No</v>
      </c>
      <c r="AC2094" s="5"/>
      <c r="AD2094" s="5" t="str">
        <f ca="1">IFERROR(__xludf.DUMMYFUNCTION("""COMPUTED_VALUE"""),"No")</f>
        <v>No</v>
      </c>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row>
    <row r="2095" spans="1:34" ht="12.75">
      <c r="A2095" s="5" t="str">
        <f ca="1">IFERROR(__xludf.DUMMYFUNCTION("""COMPUTED_VALUE"""),"19700914TNHAN")</f>
        <v>19700914TNHAN</v>
      </c>
      <c r="B2095" s="8">
        <f ca="1">IFERROR(__xludf.DUMMYFUNCTION("""COMPUTED_VALUE"""),25825)</f>
        <v>25825</v>
      </c>
      <c r="C2095" s="5" t="str">
        <f ca="1">IFERROR(__xludf.DUMMYFUNCTION("""COMPUTED_VALUE"""),"Hamilton High School")</f>
        <v>Hamilton High School</v>
      </c>
      <c r="D2095" s="5">
        <f ca="1">IFERROR(__xludf.DUMMYFUNCTION("""COMPUTED_VALUE"""),1)</f>
        <v>1</v>
      </c>
      <c r="E2095" s="5">
        <f ca="1">IFERROR(__xludf.DUMMYFUNCTION("""COMPUTED_VALUE"""),2)</f>
        <v>2</v>
      </c>
      <c r="F2095" s="5">
        <f ca="1">IFERROR(__xludf.DUMMYFUNCTION("""COMPUTED_VALUE"""),3)</f>
        <v>3</v>
      </c>
      <c r="G2095" s="5">
        <f ca="1">IFERROR(__xludf.DUMMYFUNCTION("""COMPUTED_VALUE"""),0)</f>
        <v>0</v>
      </c>
      <c r="H2095" s="9" t="str">
        <f ca="1">IFERROR(__xludf.DUMMYFUNCTION("""COMPUTED_VALUE"""),"https://www.newspapers.com/image/25156350/?terms=school%2Bshooting")</f>
        <v>https://www.newspapers.com/image/25156350/?terms=school%2Bshooting</v>
      </c>
      <c r="I2095" s="5"/>
      <c r="J2095" s="5"/>
      <c r="K2095" s="5">
        <f ca="1">IFERROR(__xludf.DUMMYFUNCTION("""COMPUTED_VALUE"""),2)</f>
        <v>2</v>
      </c>
      <c r="L2095" s="5" t="str">
        <f ca="1">IFERROR(__xludf.DUMMYFUNCTION("""COMPUTED_VALUE"""),"Fall")</f>
        <v>Fall</v>
      </c>
      <c r="M2095" s="5" t="str">
        <f ca="1">IFERROR(__xludf.DUMMYFUNCTION("""COMPUTED_VALUE"""),"Nashville")</f>
        <v>Nashville</v>
      </c>
      <c r="N2095" s="5" t="str">
        <f ca="1">IFERROR(__xludf.DUMMYFUNCTION("""COMPUTED_VALUE"""),"TN")</f>
        <v>TN</v>
      </c>
      <c r="O2095" s="5" t="str">
        <f ca="1">IFERROR(__xludf.DUMMYFUNCTION("""COMPUTED_VALUE"""),"High")</f>
        <v>High</v>
      </c>
      <c r="P2095" s="5" t="str">
        <f ca="1">IFERROR(__xludf.DUMMYFUNCTION("""COMPUTED_VALUE"""),"Hallway")</f>
        <v>Hallway</v>
      </c>
      <c r="Q2095" s="5" t="str">
        <f ca="1">IFERROR(__xludf.DUMMYFUNCTION("""COMPUTED_VALUE"""),"Inside School Building")</f>
        <v>Inside School Building</v>
      </c>
      <c r="R2095" s="5" t="str">
        <f ca="1">IFERROR(__xludf.DUMMYFUNCTION("""COMPUTED_VALUE"""),"Yes")</f>
        <v>Yes</v>
      </c>
      <c r="S2095" s="5"/>
      <c r="T2095" s="5"/>
      <c r="U2095" s="5"/>
      <c r="V2095" s="5" t="str">
        <f ca="1">IFERROR(__xludf.DUMMYFUNCTION("""COMPUTED_VALUE"""),"Shooting followed fight the previous week at school dance")</f>
        <v>Shooting followed fight the previous week at school dance</v>
      </c>
      <c r="W2095"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X2095" s="5" t="str">
        <f ca="1">IFERROR(__xludf.DUMMYFUNCTION("""COMPUTED_VALUE"""),"Escalation of Dispute")</f>
        <v>Escalation of Dispute</v>
      </c>
      <c r="Y2095" s="5" t="str">
        <f ca="1">IFERROR(__xludf.DUMMYFUNCTION("""COMPUTED_VALUE"""),"Both")</f>
        <v>Both</v>
      </c>
      <c r="Z2095" s="5" t="str">
        <f ca="1">IFERROR(__xludf.DUMMYFUNCTION("""COMPUTED_VALUE"""),"No")</f>
        <v>No</v>
      </c>
      <c r="AA2095" s="5"/>
      <c r="AB2095" s="5" t="str">
        <f ca="1">IFERROR(__xludf.DUMMYFUNCTION("""COMPUTED_VALUE"""),"No")</f>
        <v>No</v>
      </c>
      <c r="AC2095" s="5" t="str">
        <f ca="1">IFERROR(__xludf.DUMMYFUNCTION("""COMPUTED_VALUE"""),"No")</f>
        <v>No</v>
      </c>
      <c r="AD2095" s="5" t="str">
        <f ca="1">IFERROR(__xludf.DUMMYFUNCTION("""COMPUTED_VALUE"""),"No")</f>
        <v>No</v>
      </c>
      <c r="AE2095" s="5" t="str">
        <f ca="1">IFERROR(__xludf.DUMMYFUNCTION("""COMPUTED_VALUE"""),"No")</f>
        <v>No</v>
      </c>
      <c r="AF2095" s="5" t="str">
        <f ca="1">IFERROR(__xludf.DUMMYFUNCTION("""COMPUTED_VALUE"""),"No")</f>
        <v>No</v>
      </c>
      <c r="AG2095" s="5" t="str">
        <f ca="1">IFERROR(__xludf.DUMMYFUNCTION("""COMPUTED_VALUE"""),"No")</f>
        <v>No</v>
      </c>
      <c r="AH2095" s="5"/>
    </row>
    <row r="2096" spans="1:34" ht="12.75">
      <c r="A2096" s="5" t="str">
        <f ca="1">IFERROR(__xludf.DUMMYFUNCTION("""COMPUTED_VALUE"""),"19700831FLALM")</f>
        <v>19700831FLALM</v>
      </c>
      <c r="B2096" s="8">
        <f ca="1">IFERROR(__xludf.DUMMYFUNCTION("""COMPUTED_VALUE"""),25811)</f>
        <v>25811</v>
      </c>
      <c r="C2096" s="5" t="str">
        <f ca="1">IFERROR(__xludf.DUMMYFUNCTION("""COMPUTED_VALUE"""),"Allapatah Elementary School")</f>
        <v>Allapatah Elementary School</v>
      </c>
      <c r="D2096" s="5">
        <f ca="1">IFERROR(__xludf.DUMMYFUNCTION("""COMPUTED_VALUE"""),1)</f>
        <v>1</v>
      </c>
      <c r="E2096" s="5">
        <f ca="1">IFERROR(__xludf.DUMMYFUNCTION("""COMPUTED_VALUE"""),0)</f>
        <v>0</v>
      </c>
      <c r="F2096" s="5">
        <f ca="1">IFERROR(__xludf.DUMMYFUNCTION("""COMPUTED_VALUE"""),1)</f>
        <v>1</v>
      </c>
      <c r="G2096" s="5">
        <f ca="1">IFERROR(__xludf.DUMMYFUNCTION("""COMPUTED_VALUE"""),0)</f>
        <v>0</v>
      </c>
      <c r="H2096" s="9" t="str">
        <f ca="1">IFERROR(__xludf.DUMMYFUNCTION("""COMPUTED_VALUE"""),"https://www.newspapers.com/image/43039004/?terms=school%2Bshooting")</f>
        <v>https://www.newspapers.com/image/43039004/?terms=school%2Bshooting</v>
      </c>
      <c r="I2096" s="5"/>
      <c r="J2096" s="5"/>
      <c r="K2096" s="5">
        <f ca="1">IFERROR(__xludf.DUMMYFUNCTION("""COMPUTED_VALUE"""),2)</f>
        <v>2</v>
      </c>
      <c r="L2096" s="5" t="str">
        <f ca="1">IFERROR(__xludf.DUMMYFUNCTION("""COMPUTED_VALUE"""),"Summer")</f>
        <v>Summer</v>
      </c>
      <c r="M2096" s="5" t="str">
        <f ca="1">IFERROR(__xludf.DUMMYFUNCTION("""COMPUTED_VALUE"""),"Miami")</f>
        <v>Miami</v>
      </c>
      <c r="N2096" s="5" t="str">
        <f ca="1">IFERROR(__xludf.DUMMYFUNCTION("""COMPUTED_VALUE"""),"FL")</f>
        <v>FL</v>
      </c>
      <c r="O2096" s="5" t="str">
        <f ca="1">IFERROR(__xludf.DUMMYFUNCTION("""COMPUTED_VALUE"""),"Elementary")</f>
        <v>Elementary</v>
      </c>
      <c r="P2096" s="5" t="str">
        <f ca="1">IFERROR(__xludf.DUMMYFUNCTION("""COMPUTED_VALUE"""),"Inside School Building")</f>
        <v>Inside School Building</v>
      </c>
      <c r="Q2096" s="5" t="str">
        <f ca="1">IFERROR(__xludf.DUMMYFUNCTION("""COMPUTED_VALUE"""),"Inside School Building")</f>
        <v>Inside School Building</v>
      </c>
      <c r="R2096" s="5" t="str">
        <f ca="1">IFERROR(__xludf.DUMMYFUNCTION("""COMPUTED_VALUE"""),"Yes")</f>
        <v>Yes</v>
      </c>
      <c r="S2096" s="5" t="str">
        <f ca="1">IFERROR(__xludf.DUMMYFUNCTION("""COMPUTED_VALUE"""),"Dismissal")</f>
        <v>Dismissal</v>
      </c>
      <c r="T2096" s="5"/>
      <c r="U2096" s="5"/>
      <c r="V2096" s="5" t="str">
        <f ca="1">IFERROR(__xludf.DUMMYFUNCTION("""COMPUTED_VALUE"""),"Father (Cuban exile) killed by gunman at school")</f>
        <v>Father (Cuban exile) killed by gunman at school</v>
      </c>
      <c r="W2096"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X2096" s="5" t="str">
        <f ca="1">IFERROR(__xludf.DUMMYFUNCTION("""COMPUTED_VALUE"""),"Racial")</f>
        <v>Racial</v>
      </c>
      <c r="Y2096" s="5" t="str">
        <f ca="1">IFERROR(__xludf.DUMMYFUNCTION("""COMPUTED_VALUE"""),"Victims Targeted")</f>
        <v>Victims Targeted</v>
      </c>
      <c r="Z2096" s="5" t="str">
        <f ca="1">IFERROR(__xludf.DUMMYFUNCTION("""COMPUTED_VALUE"""),"No")</f>
        <v>No</v>
      </c>
      <c r="AA2096" s="5"/>
      <c r="AB2096" s="5" t="str">
        <f ca="1">IFERROR(__xludf.DUMMYFUNCTION("""COMPUTED_VALUE"""),"No")</f>
        <v>No</v>
      </c>
      <c r="AC2096" s="5" t="str">
        <f ca="1">IFERROR(__xludf.DUMMYFUNCTION("""COMPUTED_VALUE"""),"No")</f>
        <v>No</v>
      </c>
      <c r="AD2096" s="5" t="str">
        <f ca="1">IFERROR(__xludf.DUMMYFUNCTION("""COMPUTED_VALUE"""),"No")</f>
        <v>No</v>
      </c>
      <c r="AE2096" s="5" t="str">
        <f ca="1">IFERROR(__xludf.DUMMYFUNCTION("""COMPUTED_VALUE"""),"No")</f>
        <v>No</v>
      </c>
      <c r="AF2096" s="5" t="str">
        <f ca="1">IFERROR(__xludf.DUMMYFUNCTION("""COMPUTED_VALUE"""),"No")</f>
        <v>No</v>
      </c>
      <c r="AG2096" s="5" t="str">
        <f ca="1">IFERROR(__xludf.DUMMYFUNCTION("""COMPUTED_VALUE"""),"No")</f>
        <v>No</v>
      </c>
      <c r="AH2096" s="5"/>
    </row>
    <row r="2097" spans="1:34" ht="12.75">
      <c r="A2097" s="5" t="str">
        <f ca="1">IFERROR(__xludf.DUMMYFUNCTION("""COMPUTED_VALUE"""),"19700828TXRIE")</f>
        <v>19700828TXRIE</v>
      </c>
      <c r="B2097" s="8">
        <f ca="1">IFERROR(__xludf.DUMMYFUNCTION("""COMPUTED_VALUE"""),25808)</f>
        <v>25808</v>
      </c>
      <c r="C2097" s="5" t="str">
        <f ca="1">IFERROR(__xludf.DUMMYFUNCTION("""COMPUTED_VALUE"""),"Riverside High School")</f>
        <v>Riverside High School</v>
      </c>
      <c r="D2097" s="5">
        <f ca="1">IFERROR(__xludf.DUMMYFUNCTION("""COMPUTED_VALUE"""),0)</f>
        <v>0</v>
      </c>
      <c r="E2097" s="5">
        <f ca="1">IFERROR(__xludf.DUMMYFUNCTION("""COMPUTED_VALUE"""),1)</f>
        <v>1</v>
      </c>
      <c r="F2097" s="5">
        <f ca="1">IFERROR(__xludf.DUMMYFUNCTION("""COMPUTED_VALUE"""),1)</f>
        <v>1</v>
      </c>
      <c r="G2097" s="5">
        <f ca="1">IFERROR(__xludf.DUMMYFUNCTION("""COMPUTED_VALUE"""),0)</f>
        <v>0</v>
      </c>
      <c r="H2097" s="9" t="str">
        <f ca="1">IFERROR(__xludf.DUMMYFUNCTION("""COMPUTED_VALUE"""),"https://www.newspapers.com/image/435429470/?terms=school%2Bshooting")</f>
        <v>https://www.newspapers.com/image/435429470/?terms=school%2Bshooting</v>
      </c>
      <c r="I2097" s="5"/>
      <c r="J2097" s="5"/>
      <c r="K2097" s="5">
        <f ca="1">IFERROR(__xludf.DUMMYFUNCTION("""COMPUTED_VALUE"""),2)</f>
        <v>2</v>
      </c>
      <c r="L2097" s="5" t="str">
        <f ca="1">IFERROR(__xludf.DUMMYFUNCTION("""COMPUTED_VALUE"""),"Summer")</f>
        <v>Summer</v>
      </c>
      <c r="M2097" s="5" t="str">
        <f ca="1">IFERROR(__xludf.DUMMYFUNCTION("""COMPUTED_VALUE"""),"El Paso")</f>
        <v>El Paso</v>
      </c>
      <c r="N2097" s="5" t="str">
        <f ca="1">IFERROR(__xludf.DUMMYFUNCTION("""COMPUTED_VALUE"""),"TX")</f>
        <v>TX</v>
      </c>
      <c r="O2097" s="5" t="str">
        <f ca="1">IFERROR(__xludf.DUMMYFUNCTION("""COMPUTED_VALUE"""),"High")</f>
        <v>High</v>
      </c>
      <c r="P2097" s="5" t="str">
        <f ca="1">IFERROR(__xludf.DUMMYFUNCTION("""COMPUTED_VALUE"""),"Outside on School Property")</f>
        <v>Outside on School Property</v>
      </c>
      <c r="Q2097" s="5" t="str">
        <f ca="1">IFERROR(__xludf.DUMMYFUNCTION("""COMPUTED_VALUE"""),"Outside on School Property")</f>
        <v>Outside on School Property</v>
      </c>
      <c r="R2097" s="5" t="str">
        <f ca="1">IFERROR(__xludf.DUMMYFUNCTION("""COMPUTED_VALUE"""),"Yes")</f>
        <v>Yes</v>
      </c>
      <c r="S2097" s="5" t="str">
        <f ca="1">IFERROR(__xludf.DUMMYFUNCTION("""COMPUTED_VALUE"""),"Lunch")</f>
        <v>Lunch</v>
      </c>
      <c r="T2097" s="10">
        <f ca="1">IFERROR(__xludf.DUMMYFUNCTION("""COMPUTED_VALUE"""),0)</f>
        <v>0</v>
      </c>
      <c r="U2097" s="5">
        <f ca="1">IFERROR(__xludf.DUMMYFUNCTION("""COMPUTED_VALUE"""),1)</f>
        <v>1</v>
      </c>
      <c r="V2097" s="5" t="str">
        <f ca="1">IFERROR(__xludf.DUMMYFUNCTION("""COMPUTED_VALUE"""),"Fight between students in parking lot escalated into shooting")</f>
        <v>Fight between students in parking lot escalated into shooting</v>
      </c>
      <c r="W2097"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X2097" s="5" t="str">
        <f ca="1">IFERROR(__xludf.DUMMYFUNCTION("""COMPUTED_VALUE"""),"Escalation of Dispute")</f>
        <v>Escalation of Dispute</v>
      </c>
      <c r="Y2097" s="5" t="str">
        <f ca="1">IFERROR(__xludf.DUMMYFUNCTION("""COMPUTED_VALUE"""),"Victims Targeted")</f>
        <v>Victims Targeted</v>
      </c>
      <c r="Z2097" s="5" t="str">
        <f ca="1">IFERROR(__xludf.DUMMYFUNCTION("""COMPUTED_VALUE"""),"Yes")</f>
        <v>Yes</v>
      </c>
      <c r="AA2097" s="5" t="str">
        <f ca="1">IFERROR(__xludf.DUMMYFUNCTION("""COMPUTED_VALUE"""),"4 teens involved in fight")</f>
        <v>4 teens involved in fight</v>
      </c>
      <c r="AB2097" s="5" t="str">
        <f ca="1">IFERROR(__xludf.DUMMYFUNCTION("""COMPUTED_VALUE"""),"No")</f>
        <v>No</v>
      </c>
      <c r="AC2097" s="5" t="str">
        <f ca="1">IFERROR(__xludf.DUMMYFUNCTION("""COMPUTED_VALUE"""),"No")</f>
        <v>No</v>
      </c>
      <c r="AD2097" s="5" t="str">
        <f ca="1">IFERROR(__xludf.DUMMYFUNCTION("""COMPUTED_VALUE"""),"No")</f>
        <v>No</v>
      </c>
      <c r="AE2097" s="5" t="str">
        <f ca="1">IFERROR(__xludf.DUMMYFUNCTION("""COMPUTED_VALUE"""),"No")</f>
        <v>No</v>
      </c>
      <c r="AF2097" s="5" t="str">
        <f ca="1">IFERROR(__xludf.DUMMYFUNCTION("""COMPUTED_VALUE"""),"No")</f>
        <v>No</v>
      </c>
      <c r="AG2097" s="5" t="str">
        <f ca="1">IFERROR(__xludf.DUMMYFUNCTION("""COMPUTED_VALUE"""),"No")</f>
        <v>No</v>
      </c>
      <c r="AH2097" s="5"/>
    </row>
    <row r="2098" spans="1:34" ht="12.75">
      <c r="A2098" s="5" t="str">
        <f ca="1">IFERROR(__xludf.DUMMYFUNCTION("""COMPUTED_VALUE"""),"19700515UTBEO")</f>
        <v>19700515UTBEO</v>
      </c>
      <c r="B2098" s="8">
        <f ca="1">IFERROR(__xludf.DUMMYFUNCTION("""COMPUTED_VALUE"""),25703)</f>
        <v>25703</v>
      </c>
      <c r="C2098" s="5" t="str">
        <f ca="1">IFERROR(__xludf.DUMMYFUNCTION("""COMPUTED_VALUE"""),"Ben Lomond High School")</f>
        <v>Ben Lomond High School</v>
      </c>
      <c r="D2098" s="5">
        <f ca="1">IFERROR(__xludf.DUMMYFUNCTION("""COMPUTED_VALUE"""),0)</f>
        <v>0</v>
      </c>
      <c r="E2098" s="5">
        <f ca="1">IFERROR(__xludf.DUMMYFUNCTION("""COMPUTED_VALUE"""),2)</f>
        <v>2</v>
      </c>
      <c r="F2098" s="5">
        <f ca="1">IFERROR(__xludf.DUMMYFUNCTION("""COMPUTED_VALUE"""),2)</f>
        <v>2</v>
      </c>
      <c r="G2098" s="5">
        <f ca="1">IFERROR(__xludf.DUMMYFUNCTION("""COMPUTED_VALUE"""),0)</f>
        <v>0</v>
      </c>
      <c r="H2098" s="9" t="str">
        <f ca="1">IFERROR(__xludf.DUMMYFUNCTION("""COMPUTED_VALUE"""),"https://www.newspapers.com/image/8204825/?terms=school%2Bshooting")</f>
        <v>https://www.newspapers.com/image/8204825/?terms=school%2Bshooting</v>
      </c>
      <c r="I2098" s="5"/>
      <c r="J2098" s="5"/>
      <c r="K2098" s="5">
        <f ca="1">IFERROR(__xludf.DUMMYFUNCTION("""COMPUTED_VALUE"""),2)</f>
        <v>2</v>
      </c>
      <c r="L2098" s="5" t="str">
        <f ca="1">IFERROR(__xludf.DUMMYFUNCTION("""COMPUTED_VALUE"""),"Spring")</f>
        <v>Spring</v>
      </c>
      <c r="M2098" s="5" t="str">
        <f ca="1">IFERROR(__xludf.DUMMYFUNCTION("""COMPUTED_VALUE"""),"Ogden")</f>
        <v>Ogden</v>
      </c>
      <c r="N2098" s="5" t="str">
        <f ca="1">IFERROR(__xludf.DUMMYFUNCTION("""COMPUTED_VALUE"""),"UT")</f>
        <v>UT</v>
      </c>
      <c r="O2098" s="5" t="str">
        <f ca="1">IFERROR(__xludf.DUMMYFUNCTION("""COMPUTED_VALUE"""),"High")</f>
        <v>High</v>
      </c>
      <c r="P2098" s="5" t="str">
        <f ca="1">IFERROR(__xludf.DUMMYFUNCTION("""COMPUTED_VALUE"""),"Hallway")</f>
        <v>Hallway</v>
      </c>
      <c r="Q2098" s="5" t="str">
        <f ca="1">IFERROR(__xludf.DUMMYFUNCTION("""COMPUTED_VALUE"""),"Inside School Building")</f>
        <v>Inside School Building</v>
      </c>
      <c r="R2098" s="5" t="str">
        <f ca="1">IFERROR(__xludf.DUMMYFUNCTION("""COMPUTED_VALUE"""),"Yes")</f>
        <v>Yes</v>
      </c>
      <c r="S2098" s="5"/>
      <c r="T2098" s="5"/>
      <c r="U2098" s="5"/>
      <c r="V2098" s="5" t="str">
        <f ca="1">IFERROR(__xludf.DUMMYFUNCTION("""COMPUTED_VALUE"""),"Showing off gun in hallway, fired two shots striking teacher and student")</f>
        <v>Showing off gun in hallway, fired two shots striking teacher and student</v>
      </c>
      <c r="W2098"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X2098" s="5" t="str">
        <f ca="1">IFERROR(__xludf.DUMMYFUNCTION("""COMPUTED_VALUE"""),"Suicide/Attempted")</f>
        <v>Suicide/Attempted</v>
      </c>
      <c r="Y2098" s="5" t="str">
        <f ca="1">IFERROR(__xludf.DUMMYFUNCTION("""COMPUTED_VALUE"""),"Random Shooting")</f>
        <v>Random Shooting</v>
      </c>
      <c r="Z2098" s="5" t="str">
        <f ca="1">IFERROR(__xludf.DUMMYFUNCTION("""COMPUTED_VALUE"""),"No")</f>
        <v>No</v>
      </c>
      <c r="AA2098" s="5"/>
      <c r="AB2098" s="5" t="str">
        <f ca="1">IFERROR(__xludf.DUMMYFUNCTION("""COMPUTED_VALUE"""),"No")</f>
        <v>No</v>
      </c>
      <c r="AC2098" s="5" t="str">
        <f ca="1">IFERROR(__xludf.DUMMYFUNCTION("""COMPUTED_VALUE"""),"No")</f>
        <v>No</v>
      </c>
      <c r="AD2098" s="5" t="str">
        <f ca="1">IFERROR(__xludf.DUMMYFUNCTION("""COMPUTED_VALUE"""),"No")</f>
        <v>No</v>
      </c>
      <c r="AE2098" s="5"/>
      <c r="AF2098" s="5" t="str">
        <f ca="1">IFERROR(__xludf.DUMMYFUNCTION("""COMPUTED_VALUE"""),"No")</f>
        <v>No</v>
      </c>
      <c r="AG2098" s="5" t="str">
        <f ca="1">IFERROR(__xludf.DUMMYFUNCTION("""COMPUTED_VALUE"""),"No")</f>
        <v>No</v>
      </c>
      <c r="AH2098" s="5"/>
    </row>
    <row r="2099" spans="1:34" ht="12.75">
      <c r="A2099" s="5" t="str">
        <f ca="1">IFERROR(__xludf.DUMMYFUNCTION("""COMPUTED_VALUE"""),"19700508FLCAD")</f>
        <v>19700508FLCAD</v>
      </c>
      <c r="B2099" s="8">
        <f ca="1">IFERROR(__xludf.DUMMYFUNCTION("""COMPUTED_VALUE"""),25696)</f>
        <v>25696</v>
      </c>
      <c r="C2099" s="5" t="str">
        <f ca="1">IFERROR(__xludf.DUMMYFUNCTION("""COMPUTED_VALUE"""),"Carver High School")</f>
        <v>Carver High School</v>
      </c>
      <c r="D2099" s="5">
        <f ca="1">IFERROR(__xludf.DUMMYFUNCTION("""COMPUTED_VALUE"""),0)</f>
        <v>0</v>
      </c>
      <c r="E2099" s="5">
        <f ca="1">IFERROR(__xludf.DUMMYFUNCTION("""COMPUTED_VALUE"""),1)</f>
        <v>1</v>
      </c>
      <c r="F2099" s="5">
        <f ca="1">IFERROR(__xludf.DUMMYFUNCTION("""COMPUTED_VALUE"""),1)</f>
        <v>1</v>
      </c>
      <c r="G2099" s="5">
        <f ca="1">IFERROR(__xludf.DUMMYFUNCTION("""COMPUTED_VALUE"""),0)</f>
        <v>0</v>
      </c>
      <c r="H2099" s="9" t="str">
        <f ca="1">IFERROR(__xludf.DUMMYFUNCTION("""COMPUTED_VALUE"""),"https://www.newspapers.com/image/129716948/?terms=school%2Bshooting")</f>
        <v>https://www.newspapers.com/image/129716948/?terms=school%2Bshooting</v>
      </c>
      <c r="I2099" s="5"/>
      <c r="J2099" s="5"/>
      <c r="K2099" s="5">
        <f ca="1">IFERROR(__xludf.DUMMYFUNCTION("""COMPUTED_VALUE"""),2)</f>
        <v>2</v>
      </c>
      <c r="L2099" s="5" t="str">
        <f ca="1">IFERROR(__xludf.DUMMYFUNCTION("""COMPUTED_VALUE"""),"Spring")</f>
        <v>Spring</v>
      </c>
      <c r="M2099" s="5" t="str">
        <f ca="1">IFERROR(__xludf.DUMMYFUNCTION("""COMPUTED_VALUE"""),"Delray Beach")</f>
        <v>Delray Beach</v>
      </c>
      <c r="N2099" s="5" t="str">
        <f ca="1">IFERROR(__xludf.DUMMYFUNCTION("""COMPUTED_VALUE"""),"FL")</f>
        <v>FL</v>
      </c>
      <c r="O2099" s="5" t="str">
        <f ca="1">IFERROR(__xludf.DUMMYFUNCTION("""COMPUTED_VALUE"""),"High")</f>
        <v>High</v>
      </c>
      <c r="P2099" s="5" t="str">
        <f ca="1">IFERROR(__xludf.DUMMYFUNCTION("""COMPUTED_VALUE"""),"Inside School Building")</f>
        <v>Inside School Building</v>
      </c>
      <c r="Q2099" s="5" t="str">
        <f ca="1">IFERROR(__xludf.DUMMYFUNCTION("""COMPUTED_VALUE"""),"Inside School Building")</f>
        <v>Inside School Building</v>
      </c>
      <c r="R2099" s="5" t="str">
        <f ca="1">IFERROR(__xludf.DUMMYFUNCTION("""COMPUTED_VALUE"""),"Yes")</f>
        <v>Yes</v>
      </c>
      <c r="S2099" s="5" t="str">
        <f ca="1">IFERROR(__xludf.DUMMYFUNCTION("""COMPUTED_VALUE"""),"Morning Classes")</f>
        <v>Morning Classes</v>
      </c>
      <c r="T2099" s="10">
        <f ca="1">IFERROR(__xludf.DUMMYFUNCTION("""COMPUTED_VALUE"""),0.416666666666666)</f>
        <v>0.41666666666666602</v>
      </c>
      <c r="U2099" s="5">
        <f ca="1">IFERROR(__xludf.DUMMYFUNCTION("""COMPUTED_VALUE"""),1)</f>
        <v>1</v>
      </c>
      <c r="V2099" s="5" t="str">
        <f ca="1">IFERROR(__xludf.DUMMYFUNCTION("""COMPUTED_VALUE"""),"Shooting after previous fight at pool hall")</f>
        <v>Shooting after previous fight at pool hall</v>
      </c>
      <c r="W2099"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X2099" s="5" t="str">
        <f ca="1">IFERROR(__xludf.DUMMYFUNCTION("""COMPUTED_VALUE"""),"Escalation of Dispute")</f>
        <v>Escalation of Dispute</v>
      </c>
      <c r="Y2099" s="5" t="str">
        <f ca="1">IFERROR(__xludf.DUMMYFUNCTION("""COMPUTED_VALUE"""),"Victims Targeted")</f>
        <v>Victims Targeted</v>
      </c>
      <c r="Z2099" s="5" t="str">
        <f ca="1">IFERROR(__xludf.DUMMYFUNCTION("""COMPUTED_VALUE"""),"No")</f>
        <v>No</v>
      </c>
      <c r="AA2099" s="5"/>
      <c r="AB2099" s="5" t="str">
        <f ca="1">IFERROR(__xludf.DUMMYFUNCTION("""COMPUTED_VALUE"""),"No")</f>
        <v>No</v>
      </c>
      <c r="AC2099" s="5" t="str">
        <f ca="1">IFERROR(__xludf.DUMMYFUNCTION("""COMPUTED_VALUE"""),"No")</f>
        <v>No</v>
      </c>
      <c r="AD2099" s="5" t="str">
        <f ca="1">IFERROR(__xludf.DUMMYFUNCTION("""COMPUTED_VALUE"""),"No")</f>
        <v>No</v>
      </c>
      <c r="AE2099" s="5" t="str">
        <f ca="1">IFERROR(__xludf.DUMMYFUNCTION("""COMPUTED_VALUE"""),"No")</f>
        <v>No</v>
      </c>
      <c r="AF2099" s="5" t="str">
        <f ca="1">IFERROR(__xludf.DUMMYFUNCTION("""COMPUTED_VALUE"""),"No")</f>
        <v>No</v>
      </c>
      <c r="AG2099" s="5" t="str">
        <f ca="1">IFERROR(__xludf.DUMMYFUNCTION("""COMPUTED_VALUE"""),"No")</f>
        <v>No</v>
      </c>
      <c r="AH2099" s="5"/>
    </row>
    <row r="2100" spans="1:34" ht="12.75">
      <c r="A2100" s="5" t="str">
        <f ca="1">IFERROR(__xludf.DUMMYFUNCTION("""COMPUTED_VALUE"""),"19700422DEPIW")</f>
        <v>19700422DEPIW</v>
      </c>
      <c r="B2100" s="8">
        <f ca="1">IFERROR(__xludf.DUMMYFUNCTION("""COMPUTED_VALUE"""),25680)</f>
        <v>25680</v>
      </c>
      <c r="C2100" s="5" t="str">
        <f ca="1">IFERROR(__xludf.DUMMYFUNCTION("""COMPUTED_VALUE"""),"Pierre S. Dupont High School")</f>
        <v>Pierre S. Dupont High School</v>
      </c>
      <c r="D2100" s="5">
        <f ca="1">IFERROR(__xludf.DUMMYFUNCTION("""COMPUTED_VALUE"""),1)</f>
        <v>1</v>
      </c>
      <c r="E2100" s="5">
        <f ca="1">IFERROR(__xludf.DUMMYFUNCTION("""COMPUTED_VALUE"""),0)</f>
        <v>0</v>
      </c>
      <c r="F2100" s="5">
        <f ca="1">IFERROR(__xludf.DUMMYFUNCTION("""COMPUTED_VALUE"""),1)</f>
        <v>1</v>
      </c>
      <c r="G2100" s="5">
        <f ca="1">IFERROR(__xludf.DUMMYFUNCTION("""COMPUTED_VALUE"""),0)</f>
        <v>0</v>
      </c>
      <c r="H2100" s="9" t="str">
        <f ca="1">IFERROR(__xludf.DUMMYFUNCTION("""COMPUTED_VALUE"""),"https://www.newspapers.com/image/154804412/?terms=school%2Bshooting")</f>
        <v>https://www.newspapers.com/image/154804412/?terms=school%2Bshooting</v>
      </c>
      <c r="I2100" s="5"/>
      <c r="J2100" s="5"/>
      <c r="K2100" s="5">
        <f ca="1">IFERROR(__xludf.DUMMYFUNCTION("""COMPUTED_VALUE"""),3)</f>
        <v>3</v>
      </c>
      <c r="L2100" s="5" t="str">
        <f ca="1">IFERROR(__xludf.DUMMYFUNCTION("""COMPUTED_VALUE"""),"Spring")</f>
        <v>Spring</v>
      </c>
      <c r="M2100" s="5" t="str">
        <f ca="1">IFERROR(__xludf.DUMMYFUNCTION("""COMPUTED_VALUE"""),"Wilmington")</f>
        <v>Wilmington</v>
      </c>
      <c r="N2100" s="5" t="str">
        <f ca="1">IFERROR(__xludf.DUMMYFUNCTION("""COMPUTED_VALUE"""),"DE")</f>
        <v>DE</v>
      </c>
      <c r="O2100" s="5" t="str">
        <f ca="1">IFERROR(__xludf.DUMMYFUNCTION("""COMPUTED_VALUE"""),"High")</f>
        <v>High</v>
      </c>
      <c r="P2100" s="5" t="str">
        <f ca="1">IFERROR(__xludf.DUMMYFUNCTION("""COMPUTED_VALUE"""),"Hallway")</f>
        <v>Hallway</v>
      </c>
      <c r="Q2100" s="5" t="str">
        <f ca="1">IFERROR(__xludf.DUMMYFUNCTION("""COMPUTED_VALUE"""),"Inside School Building")</f>
        <v>Inside School Building</v>
      </c>
      <c r="R2100" s="5" t="str">
        <f ca="1">IFERROR(__xludf.DUMMYFUNCTION("""COMPUTED_VALUE"""),"Yes")</f>
        <v>Yes</v>
      </c>
      <c r="S2100" s="5" t="str">
        <f ca="1">IFERROR(__xludf.DUMMYFUNCTION("""COMPUTED_VALUE"""),"Morning Classes")</f>
        <v>Morning Classes</v>
      </c>
      <c r="T2100" s="10">
        <f ca="1">IFERROR(__xludf.DUMMYFUNCTION("""COMPUTED_VALUE"""),0.375)</f>
        <v>0.375</v>
      </c>
      <c r="U2100" s="5">
        <f ca="1">IFERROR(__xludf.DUMMYFUNCTION("""COMPUTED_VALUE"""),1)</f>
        <v>1</v>
      </c>
      <c r="V2100" s="5" t="str">
        <f ca="1">IFERROR(__xludf.DUMMYFUNCTION("""COMPUTED_VALUE"""),"Ongoing fight between the students escalated into shooting in school hallway")</f>
        <v>Ongoing fight between the students escalated into shooting in school hallway</v>
      </c>
      <c r="W2100"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X2100" s="5" t="str">
        <f ca="1">IFERROR(__xludf.DUMMYFUNCTION("""COMPUTED_VALUE"""),"Escalation of Dispute")</f>
        <v>Escalation of Dispute</v>
      </c>
      <c r="Y2100" s="5" t="str">
        <f ca="1">IFERROR(__xludf.DUMMYFUNCTION("""COMPUTED_VALUE"""),"Victims Targeted")</f>
        <v>Victims Targeted</v>
      </c>
      <c r="Z2100" s="5" t="str">
        <f ca="1">IFERROR(__xludf.DUMMYFUNCTION("""COMPUTED_VALUE"""),"No")</f>
        <v>No</v>
      </c>
      <c r="AA2100" s="5"/>
      <c r="AB2100" s="5" t="str">
        <f ca="1">IFERROR(__xludf.DUMMYFUNCTION("""COMPUTED_VALUE"""),"No")</f>
        <v>No</v>
      </c>
      <c r="AC2100" s="5" t="str">
        <f ca="1">IFERROR(__xludf.DUMMYFUNCTION("""COMPUTED_VALUE"""),"No")</f>
        <v>No</v>
      </c>
      <c r="AD2100" s="5" t="str">
        <f ca="1">IFERROR(__xludf.DUMMYFUNCTION("""COMPUTED_VALUE"""),"No")</f>
        <v>No</v>
      </c>
      <c r="AE2100" s="5" t="str">
        <f ca="1">IFERROR(__xludf.DUMMYFUNCTION("""COMPUTED_VALUE"""),"No")</f>
        <v>No</v>
      </c>
      <c r="AF2100" s="5" t="str">
        <f ca="1">IFERROR(__xludf.DUMMYFUNCTION("""COMPUTED_VALUE"""),"No")</f>
        <v>No</v>
      </c>
      <c r="AG2100" s="5" t="str">
        <f ca="1">IFERROR(__xludf.DUMMYFUNCTION("""COMPUTED_VALUE"""),"No")</f>
        <v>No</v>
      </c>
      <c r="AH2100" s="5"/>
    </row>
    <row r="2101" spans="1:34" ht="12.75">
      <c r="A2101" s="5" t="str">
        <f ca="1">IFERROR(__xludf.DUMMYFUNCTION("""COMPUTED_VALUE"""),"19700415ARPIP")</f>
        <v>19700415ARPIP</v>
      </c>
      <c r="B2101" s="8">
        <f ca="1">IFERROR(__xludf.DUMMYFUNCTION("""COMPUTED_VALUE"""),25673)</f>
        <v>25673</v>
      </c>
      <c r="C2101" s="5" t="str">
        <f ca="1">IFERROR(__xludf.DUMMYFUNCTION("""COMPUTED_VALUE"""),"Pine Bluff Coleman High School")</f>
        <v>Pine Bluff Coleman High School</v>
      </c>
      <c r="D2101" s="5">
        <f ca="1">IFERROR(__xludf.DUMMYFUNCTION("""COMPUTED_VALUE"""),1)</f>
        <v>1</v>
      </c>
      <c r="E2101" s="5">
        <f ca="1">IFERROR(__xludf.DUMMYFUNCTION("""COMPUTED_VALUE"""),5)</f>
        <v>5</v>
      </c>
      <c r="F2101" s="5">
        <f ca="1">IFERROR(__xludf.DUMMYFUNCTION("""COMPUTED_VALUE"""),6)</f>
        <v>6</v>
      </c>
      <c r="G2101" s="5">
        <f ca="1">IFERROR(__xludf.DUMMYFUNCTION("""COMPUTED_VALUE"""),0)</f>
        <v>0</v>
      </c>
      <c r="H2101"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I2101" s="5"/>
      <c r="J2101" s="5"/>
      <c r="K2101" s="5">
        <f ca="1">IFERROR(__xludf.DUMMYFUNCTION("""COMPUTED_VALUE"""),3)</f>
        <v>3</v>
      </c>
      <c r="L2101" s="5" t="str">
        <f ca="1">IFERROR(__xludf.DUMMYFUNCTION("""COMPUTED_VALUE"""),"Spring")</f>
        <v>Spring</v>
      </c>
      <c r="M2101" s="5" t="str">
        <f ca="1">IFERROR(__xludf.DUMMYFUNCTION("""COMPUTED_VALUE"""),"Pine Bluff")</f>
        <v>Pine Bluff</v>
      </c>
      <c r="N2101" s="5" t="str">
        <f ca="1">IFERROR(__xludf.DUMMYFUNCTION("""COMPUTED_VALUE"""),"AR")</f>
        <v>AR</v>
      </c>
      <c r="O2101" s="5" t="str">
        <f ca="1">IFERROR(__xludf.DUMMYFUNCTION("""COMPUTED_VALUE"""),"High")</f>
        <v>High</v>
      </c>
      <c r="P2101" s="5" t="str">
        <f ca="1">IFERROR(__xludf.DUMMYFUNCTION("""COMPUTED_VALUE"""),"Cafeteria")</f>
        <v>Cafeteria</v>
      </c>
      <c r="Q2101" s="5" t="str">
        <f ca="1">IFERROR(__xludf.DUMMYFUNCTION("""COMPUTED_VALUE"""),"Inside School Building")</f>
        <v>Inside School Building</v>
      </c>
      <c r="R2101" s="5" t="str">
        <f ca="1">IFERROR(__xludf.DUMMYFUNCTION("""COMPUTED_VALUE"""),"Yes")</f>
        <v>Yes</v>
      </c>
      <c r="S2101" s="5" t="str">
        <f ca="1">IFERROR(__xludf.DUMMYFUNCTION("""COMPUTED_VALUE"""),"Lunch")</f>
        <v>Lunch</v>
      </c>
      <c r="T2101" s="10">
        <f ca="1">IFERROR(__xludf.DUMMYFUNCTION("""COMPUTED_VALUE"""),0.5)</f>
        <v>0.5</v>
      </c>
      <c r="U2101" s="5">
        <f ca="1">IFERROR(__xludf.DUMMYFUNCTION("""COMPUTED_VALUE"""),8)</f>
        <v>8</v>
      </c>
      <c r="V2101" s="5" t="str">
        <f ca="1">IFERROR(__xludf.DUMMYFUNCTION("""COMPUTED_VALUE"""),"6 gunmen chased student into cafeteria firing weapons")</f>
        <v>6 gunmen chased student into cafeteria firing weapons</v>
      </c>
      <c r="W2101"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X2101" s="5" t="str">
        <f ca="1">IFERROR(__xludf.DUMMYFUNCTION("""COMPUTED_VALUE"""),"Escalation of Dispute")</f>
        <v>Escalation of Dispute</v>
      </c>
      <c r="Y2101" s="5" t="str">
        <f ca="1">IFERROR(__xludf.DUMMYFUNCTION("""COMPUTED_VALUE"""),"Both")</f>
        <v>Both</v>
      </c>
      <c r="Z2101" s="5" t="str">
        <f ca="1">IFERROR(__xludf.DUMMYFUNCTION("""COMPUTED_VALUE"""),"Yes")</f>
        <v>Yes</v>
      </c>
      <c r="AA2101" s="5" t="str">
        <f ca="1">IFERROR(__xludf.DUMMYFUNCTION("""COMPUTED_VALUE"""),"Group of armed men fired at student")</f>
        <v>Group of armed men fired at student</v>
      </c>
      <c r="AB2101" s="5" t="str">
        <f ca="1">IFERROR(__xludf.DUMMYFUNCTION("""COMPUTED_VALUE"""),"No")</f>
        <v>No</v>
      </c>
      <c r="AC2101" s="5" t="str">
        <f ca="1">IFERROR(__xludf.DUMMYFUNCTION("""COMPUTED_VALUE"""),"No")</f>
        <v>No</v>
      </c>
      <c r="AD2101" s="5" t="str">
        <f ca="1">IFERROR(__xludf.DUMMYFUNCTION("""COMPUTED_VALUE"""),"No")</f>
        <v>No</v>
      </c>
      <c r="AE2101" s="5" t="str">
        <f ca="1">IFERROR(__xludf.DUMMYFUNCTION("""COMPUTED_VALUE"""),"No")</f>
        <v>No</v>
      </c>
      <c r="AF2101" s="5" t="str">
        <f ca="1">IFERROR(__xludf.DUMMYFUNCTION("""COMPUTED_VALUE"""),"No")</f>
        <v>No</v>
      </c>
      <c r="AG2101" s="5" t="str">
        <f ca="1">IFERROR(__xludf.DUMMYFUNCTION("""COMPUTED_VALUE"""),"Yes")</f>
        <v>Yes</v>
      </c>
      <c r="AH2101" s="5"/>
    </row>
    <row r="2102" spans="1:34" ht="12.75">
      <c r="A2102" s="5" t="str">
        <f ca="1">IFERROR(__xludf.DUMMYFUNCTION("""COMPUTED_VALUE"""),"19700323CADAL")</f>
        <v>19700323CADAL</v>
      </c>
      <c r="B2102" s="8">
        <f ca="1">IFERROR(__xludf.DUMMYFUNCTION("""COMPUTED_VALUE"""),25650)</f>
        <v>25650</v>
      </c>
      <c r="C2102" s="5" t="str">
        <f ca="1">IFERROR(__xludf.DUMMYFUNCTION("""COMPUTED_VALUE"""),"David Starr Jordan High School")</f>
        <v>David Starr Jordan High School</v>
      </c>
      <c r="D2102" s="5">
        <f ca="1">IFERROR(__xludf.DUMMYFUNCTION("""COMPUTED_VALUE"""),0)</f>
        <v>0</v>
      </c>
      <c r="E2102" s="5">
        <f ca="1">IFERROR(__xludf.DUMMYFUNCTION("""COMPUTED_VALUE"""),2)</f>
        <v>2</v>
      </c>
      <c r="F2102" s="5">
        <f ca="1">IFERROR(__xludf.DUMMYFUNCTION("""COMPUTED_VALUE"""),2)</f>
        <v>2</v>
      </c>
      <c r="G2102" s="5">
        <f ca="1">IFERROR(__xludf.DUMMYFUNCTION("""COMPUTED_VALUE"""),0)</f>
        <v>0</v>
      </c>
      <c r="H2102" s="9" t="str">
        <f ca="1">IFERROR(__xludf.DUMMYFUNCTION("""COMPUTED_VALUE"""),"https://www.newspapers.com/image/23768017/?terms=school%2Bshooting")</f>
        <v>https://www.newspapers.com/image/23768017/?terms=school%2Bshooting</v>
      </c>
      <c r="I2102" s="5"/>
      <c r="J2102" s="5"/>
      <c r="K2102" s="5">
        <f ca="1">IFERROR(__xludf.DUMMYFUNCTION("""COMPUTED_VALUE"""),2)</f>
        <v>2</v>
      </c>
      <c r="L2102" s="5" t="str">
        <f ca="1">IFERROR(__xludf.DUMMYFUNCTION("""COMPUTED_VALUE"""),"Spring")</f>
        <v>Spring</v>
      </c>
      <c r="M2102" s="5" t="str">
        <f ca="1">IFERROR(__xludf.DUMMYFUNCTION("""COMPUTED_VALUE"""),"Long Beach")</f>
        <v>Long Beach</v>
      </c>
      <c r="N2102" s="5" t="str">
        <f ca="1">IFERROR(__xludf.DUMMYFUNCTION("""COMPUTED_VALUE"""),"CA")</f>
        <v>CA</v>
      </c>
      <c r="O2102" s="5" t="str">
        <f ca="1">IFERROR(__xludf.DUMMYFUNCTION("""COMPUTED_VALUE"""),"High")</f>
        <v>High</v>
      </c>
      <c r="P2102" s="5" t="str">
        <f ca="1">IFERROR(__xludf.DUMMYFUNCTION("""COMPUTED_VALUE"""),"Beside Building")</f>
        <v>Beside Building</v>
      </c>
      <c r="Q2102" s="5" t="str">
        <f ca="1">IFERROR(__xludf.DUMMYFUNCTION("""COMPUTED_VALUE"""),"Outside on School Property")</f>
        <v>Outside on School Property</v>
      </c>
      <c r="R2102" s="5" t="str">
        <f ca="1">IFERROR(__xludf.DUMMYFUNCTION("""COMPUTED_VALUE"""),"No")</f>
        <v>No</v>
      </c>
      <c r="S2102" s="5" t="str">
        <f ca="1">IFERROR(__xludf.DUMMYFUNCTION("""COMPUTED_VALUE"""),"Night")</f>
        <v>Night</v>
      </c>
      <c r="T2102" s="5"/>
      <c r="U2102" s="5"/>
      <c r="V2102" s="5" t="str">
        <f ca="1">IFERROR(__xludf.DUMMYFUNCTION("""COMPUTED_VALUE"""),"Teens fired at security guard who returned fire injuring one")</f>
        <v>Teens fired at security guard who returned fire injuring one</v>
      </c>
      <c r="W2102"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X2102" s="5" t="str">
        <f ca="1">IFERROR(__xludf.DUMMYFUNCTION("""COMPUTED_VALUE"""),"Illegal Activity")</f>
        <v>Illegal Activity</v>
      </c>
      <c r="Y2102" s="5" t="str">
        <f ca="1">IFERROR(__xludf.DUMMYFUNCTION("""COMPUTED_VALUE"""),"Neither")</f>
        <v>Neither</v>
      </c>
      <c r="Z2102" s="5" t="str">
        <f ca="1">IFERROR(__xludf.DUMMYFUNCTION("""COMPUTED_VALUE"""),"Yes")</f>
        <v>Yes</v>
      </c>
      <c r="AA2102" s="5" t="str">
        <f ca="1">IFERROR(__xludf.DUMMYFUNCTION("""COMPUTED_VALUE"""),"Group of teens")</f>
        <v>Group of teens</v>
      </c>
      <c r="AB2102" s="5" t="str">
        <f ca="1">IFERROR(__xludf.DUMMYFUNCTION("""COMPUTED_VALUE"""),"No")</f>
        <v>No</v>
      </c>
      <c r="AC2102" s="5" t="str">
        <f ca="1">IFERROR(__xludf.DUMMYFUNCTION("""COMPUTED_VALUE"""),"No")</f>
        <v>No</v>
      </c>
      <c r="AD2102" s="5" t="str">
        <f ca="1">IFERROR(__xludf.DUMMYFUNCTION("""COMPUTED_VALUE"""),"No")</f>
        <v>No</v>
      </c>
      <c r="AE2102" s="5" t="str">
        <f ca="1">IFERROR(__xludf.DUMMYFUNCTION("""COMPUTED_VALUE"""),"No")</f>
        <v>No</v>
      </c>
      <c r="AF2102" s="5" t="str">
        <f ca="1">IFERROR(__xludf.DUMMYFUNCTION("""COMPUTED_VALUE"""),"No")</f>
        <v>No</v>
      </c>
      <c r="AG2102" s="5" t="str">
        <f ca="1">IFERROR(__xludf.DUMMYFUNCTION("""COMPUTED_VALUE"""),"No")</f>
        <v>No</v>
      </c>
      <c r="AH2102" s="5"/>
    </row>
    <row r="2103" spans="1:34" ht="12.75">
      <c r="A2103" s="5" t="str">
        <f ca="1">IFERROR(__xludf.DUMMYFUNCTION("""COMPUTED_VALUE"""),"19700206OHJOC")</f>
        <v>19700206OHJOC</v>
      </c>
      <c r="B2103" s="8">
        <f ca="1">IFERROR(__xludf.DUMMYFUNCTION("""COMPUTED_VALUE"""),25605)</f>
        <v>25605</v>
      </c>
      <c r="C2103" s="5" t="str">
        <f ca="1">IFERROR(__xludf.DUMMYFUNCTION("""COMPUTED_VALUE"""),"John F. Kennedy High School")</f>
        <v>John F. Kennedy High School</v>
      </c>
      <c r="D2103" s="5">
        <f ca="1">IFERROR(__xludf.DUMMYFUNCTION("""COMPUTED_VALUE"""),0)</f>
        <v>0</v>
      </c>
      <c r="E2103" s="5">
        <f ca="1">IFERROR(__xludf.DUMMYFUNCTION("""COMPUTED_VALUE"""),1)</f>
        <v>1</v>
      </c>
      <c r="F2103" s="5">
        <f ca="1">IFERROR(__xludf.DUMMYFUNCTION("""COMPUTED_VALUE"""),1)</f>
        <v>1</v>
      </c>
      <c r="G2103" s="5">
        <f ca="1">IFERROR(__xludf.DUMMYFUNCTION("""COMPUTED_VALUE"""),0)</f>
        <v>0</v>
      </c>
      <c r="H2103" s="9" t="str">
        <f ca="1">IFERROR(__xludf.DUMMYFUNCTION("""COMPUTED_VALUE"""),"https://www.newspapers.com/image/18059538/?terms=school%2Bshooting")</f>
        <v>https://www.newspapers.com/image/18059538/?terms=school%2Bshooting</v>
      </c>
      <c r="I2103" s="5"/>
      <c r="J2103" s="5"/>
      <c r="K2103" s="5">
        <f ca="1">IFERROR(__xludf.DUMMYFUNCTION("""COMPUTED_VALUE"""),2)</f>
        <v>2</v>
      </c>
      <c r="L2103" s="5" t="str">
        <f ca="1">IFERROR(__xludf.DUMMYFUNCTION("""COMPUTED_VALUE"""),"Winter")</f>
        <v>Winter</v>
      </c>
      <c r="M2103" s="5" t="str">
        <f ca="1">IFERROR(__xludf.DUMMYFUNCTION("""COMPUTED_VALUE"""),"Cleveland")</f>
        <v>Cleveland</v>
      </c>
      <c r="N2103" s="5" t="str">
        <f ca="1">IFERROR(__xludf.DUMMYFUNCTION("""COMPUTED_VALUE"""),"OH")</f>
        <v>OH</v>
      </c>
      <c r="O2103" s="5" t="str">
        <f ca="1">IFERROR(__xludf.DUMMYFUNCTION("""COMPUTED_VALUE"""),"High")</f>
        <v>High</v>
      </c>
      <c r="P2103" s="5" t="str">
        <f ca="1">IFERROR(__xludf.DUMMYFUNCTION("""COMPUTED_VALUE"""),"Hallway")</f>
        <v>Hallway</v>
      </c>
      <c r="Q2103" s="5" t="str">
        <f ca="1">IFERROR(__xludf.DUMMYFUNCTION("""COMPUTED_VALUE"""),"Inside School Building")</f>
        <v>Inside School Building</v>
      </c>
      <c r="R2103" s="5" t="str">
        <f ca="1">IFERROR(__xludf.DUMMYFUNCTION("""COMPUTED_VALUE"""),"Yes")</f>
        <v>Yes</v>
      </c>
      <c r="S2103" s="5"/>
      <c r="T2103" s="5"/>
      <c r="U2103" s="5">
        <f ca="1">IFERROR(__xludf.DUMMYFUNCTION("""COMPUTED_VALUE"""),1)</f>
        <v>1</v>
      </c>
      <c r="V2103" s="5" t="str">
        <f ca="1">IFERROR(__xludf.DUMMYFUNCTION("""COMPUTED_VALUE"""),"Argument in school hallway escalated into shooting")</f>
        <v>Argument in school hallway escalated into shooting</v>
      </c>
      <c r="W2103" s="5" t="str">
        <f ca="1">IFERROR(__xludf.DUMMYFUNCTION("""COMPUTED_VALUE"""),"Argument between shooter and victim escalated into shooting in school hallway.")</f>
        <v>Argument between shooter and victim escalated into shooting in school hallway.</v>
      </c>
      <c r="X2103" s="5" t="str">
        <f ca="1">IFERROR(__xludf.DUMMYFUNCTION("""COMPUTED_VALUE"""),"Escalation of Dispute")</f>
        <v>Escalation of Dispute</v>
      </c>
      <c r="Y2103" s="5" t="str">
        <f ca="1">IFERROR(__xludf.DUMMYFUNCTION("""COMPUTED_VALUE"""),"Victims Targeted")</f>
        <v>Victims Targeted</v>
      </c>
      <c r="Z2103" s="5" t="str">
        <f ca="1">IFERROR(__xludf.DUMMYFUNCTION("""COMPUTED_VALUE"""),"No")</f>
        <v>No</v>
      </c>
      <c r="AA2103" s="5"/>
      <c r="AB2103" s="5" t="str">
        <f ca="1">IFERROR(__xludf.DUMMYFUNCTION("""COMPUTED_VALUE"""),"No")</f>
        <v>No</v>
      </c>
      <c r="AC2103" s="5" t="str">
        <f ca="1">IFERROR(__xludf.DUMMYFUNCTION("""COMPUTED_VALUE"""),"No")</f>
        <v>No</v>
      </c>
      <c r="AD2103" s="5" t="str">
        <f ca="1">IFERROR(__xludf.DUMMYFUNCTION("""COMPUTED_VALUE"""),"No")</f>
        <v>No</v>
      </c>
      <c r="AE2103" s="5" t="str">
        <f ca="1">IFERROR(__xludf.DUMMYFUNCTION("""COMPUTED_VALUE"""),"No")</f>
        <v>No</v>
      </c>
      <c r="AF2103" s="5" t="str">
        <f ca="1">IFERROR(__xludf.DUMMYFUNCTION("""COMPUTED_VALUE"""),"No")</f>
        <v>No</v>
      </c>
      <c r="AG2103" s="5" t="str">
        <f ca="1">IFERROR(__xludf.DUMMYFUNCTION("""COMPUTED_VALUE"""),"No")</f>
        <v>No</v>
      </c>
      <c r="AH2103" s="5"/>
    </row>
    <row r="2104" spans="1:34" ht="12.75">
      <c r="A2104" s="5" t="str">
        <f ca="1">IFERROR(__xludf.DUMMYFUNCTION("""COMPUTED_VALUE"""),"19700105DCUNW")</f>
        <v>19700105DCUNW</v>
      </c>
      <c r="B2104" s="8">
        <f ca="1">IFERROR(__xludf.DUMMYFUNCTION("""COMPUTED_VALUE"""),25573)</f>
        <v>25573</v>
      </c>
      <c r="C2104" s="5" t="str">
        <f ca="1">IFERROR(__xludf.DUMMYFUNCTION("""COMPUTED_VALUE"""),"Unnamed High School")</f>
        <v>Unnamed High School</v>
      </c>
      <c r="D2104" s="5">
        <f ca="1">IFERROR(__xludf.DUMMYFUNCTION("""COMPUTED_VALUE"""),0)</f>
        <v>0</v>
      </c>
      <c r="E2104" s="5">
        <f ca="1">IFERROR(__xludf.DUMMYFUNCTION("""COMPUTED_VALUE"""),0)</f>
        <v>0</v>
      </c>
      <c r="F2104" s="5">
        <f ca="1">IFERROR(__xludf.DUMMYFUNCTION("""COMPUTED_VALUE"""),0)</f>
        <v>0</v>
      </c>
      <c r="G2104" s="5">
        <f ca="1">IFERROR(__xludf.DUMMYFUNCTION("""COMPUTED_VALUE"""),0)</f>
        <v>0</v>
      </c>
      <c r="H2104" s="9" t="str">
        <f ca="1">IFERROR(__xludf.DUMMYFUNCTION("""COMPUTED_VALUE"""),"https://www.newspapers.com/image/156467116/?terms=school%2Bshooting")</f>
        <v>https://www.newspapers.com/image/156467116/?terms=school%2Bshooting</v>
      </c>
      <c r="I2104" s="5"/>
      <c r="J2104" s="5"/>
      <c r="K2104" s="5">
        <f ca="1">IFERROR(__xludf.DUMMYFUNCTION("""COMPUTED_VALUE"""),2)</f>
        <v>2</v>
      </c>
      <c r="L2104" s="5" t="str">
        <f ca="1">IFERROR(__xludf.DUMMYFUNCTION("""COMPUTED_VALUE"""),"Winter")</f>
        <v>Winter</v>
      </c>
      <c r="M2104" s="5" t="str">
        <f ca="1">IFERROR(__xludf.DUMMYFUNCTION("""COMPUTED_VALUE"""),"Washington")</f>
        <v>Washington</v>
      </c>
      <c r="N2104" s="5" t="str">
        <f ca="1">IFERROR(__xludf.DUMMYFUNCTION("""COMPUTED_VALUE"""),"DC")</f>
        <v>DC</v>
      </c>
      <c r="O2104" s="5" t="str">
        <f ca="1">IFERROR(__xludf.DUMMYFUNCTION("""COMPUTED_VALUE"""),"High")</f>
        <v>High</v>
      </c>
      <c r="P2104" s="5" t="str">
        <f ca="1">IFERROR(__xludf.DUMMYFUNCTION("""COMPUTED_VALUE"""),"Playground")</f>
        <v>Playground</v>
      </c>
      <c r="Q2104" s="5" t="str">
        <f ca="1">IFERROR(__xludf.DUMMYFUNCTION("""COMPUTED_VALUE"""),"Outside on School Property")</f>
        <v>Outside on School Property</v>
      </c>
      <c r="R2104" s="5" t="str">
        <f ca="1">IFERROR(__xludf.DUMMYFUNCTION("""COMPUTED_VALUE"""),"Yes")</f>
        <v>Yes</v>
      </c>
      <c r="S2104" s="5"/>
      <c r="T2104" s="5"/>
      <c r="U2104" s="5">
        <f ca="1">IFERROR(__xludf.DUMMYFUNCTION("""COMPUTED_VALUE"""),1)</f>
        <v>1</v>
      </c>
      <c r="V2104" s="5" t="str">
        <f ca="1">IFERROR(__xludf.DUMMYFUNCTION("""COMPUTED_VALUE"""),"Student shot at twice during attempted robbery on playground")</f>
        <v>Student shot at twice during attempted robbery on playground</v>
      </c>
      <c r="W2104"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X2104" s="5" t="str">
        <f ca="1">IFERROR(__xludf.DUMMYFUNCTION("""COMPUTED_VALUE"""),"Illegal Activity")</f>
        <v>Illegal Activity</v>
      </c>
      <c r="Y2104" s="5" t="str">
        <f ca="1">IFERROR(__xludf.DUMMYFUNCTION("""COMPUTED_VALUE"""),"Victims Targeted")</f>
        <v>Victims Targeted</v>
      </c>
      <c r="Z2104" s="5" t="str">
        <f ca="1">IFERROR(__xludf.DUMMYFUNCTION("""COMPUTED_VALUE"""),"Yes")</f>
        <v>Yes</v>
      </c>
      <c r="AA2104" s="5" t="str">
        <f ca="1">IFERROR(__xludf.DUMMYFUNCTION("""COMPUTED_VALUE"""),"Group of 10 teens")</f>
        <v>Group of 10 teens</v>
      </c>
      <c r="AB2104" s="5" t="str">
        <f ca="1">IFERROR(__xludf.DUMMYFUNCTION("""COMPUTED_VALUE"""),"No")</f>
        <v>No</v>
      </c>
      <c r="AC2104" s="5" t="str">
        <f ca="1">IFERROR(__xludf.DUMMYFUNCTION("""COMPUTED_VALUE"""),"No")</f>
        <v>No</v>
      </c>
      <c r="AD2104" s="5" t="str">
        <f ca="1">IFERROR(__xludf.DUMMYFUNCTION("""COMPUTED_VALUE"""),"No")</f>
        <v>No</v>
      </c>
      <c r="AE2104" s="5" t="str">
        <f ca="1">IFERROR(__xludf.DUMMYFUNCTION("""COMPUTED_VALUE"""),"No")</f>
        <v>No</v>
      </c>
      <c r="AF2104" s="5" t="str">
        <f ca="1">IFERROR(__xludf.DUMMYFUNCTION("""COMPUTED_VALUE"""),"No")</f>
        <v>No</v>
      </c>
      <c r="AG2104" s="5" t="str">
        <f ca="1">IFERROR(__xludf.DUMMYFUNCTION("""COMPUTED_VALUE"""),"No")</f>
        <v>No</v>
      </c>
      <c r="AH2104" s="5"/>
    </row>
    <row r="2105" spans="1:34" ht="12.75">
      <c r="A2105" s="5" t="str">
        <f ca="1">IFERROR(__xludf.DUMMYFUNCTION("""COMPUTED_VALUE"""),"19700105DCSOW")</f>
        <v>19700105DCSOW</v>
      </c>
      <c r="B2105" s="8">
        <f ca="1">IFERROR(__xludf.DUMMYFUNCTION("""COMPUTED_VALUE"""),25573)</f>
        <v>25573</v>
      </c>
      <c r="C2105" s="5" t="str">
        <f ca="1">IFERROR(__xludf.DUMMYFUNCTION("""COMPUTED_VALUE"""),"Sousa Junior High")</f>
        <v>Sousa Junior High</v>
      </c>
      <c r="D2105" s="5">
        <f ca="1">IFERROR(__xludf.DUMMYFUNCTION("""COMPUTED_VALUE"""),0)</f>
        <v>0</v>
      </c>
      <c r="E2105" s="5">
        <f ca="1">IFERROR(__xludf.DUMMYFUNCTION("""COMPUTED_VALUE"""),1)</f>
        <v>1</v>
      </c>
      <c r="F2105" s="5">
        <f ca="1">IFERROR(__xludf.DUMMYFUNCTION("""COMPUTED_VALUE"""),1)</f>
        <v>1</v>
      </c>
      <c r="G2105" s="5">
        <f ca="1">IFERROR(__xludf.DUMMYFUNCTION("""COMPUTED_VALUE"""),0)</f>
        <v>0</v>
      </c>
      <c r="H2105"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I2105" s="5"/>
      <c r="J2105" s="5"/>
      <c r="K2105" s="5">
        <f ca="1">IFERROR(__xludf.DUMMYFUNCTION("""COMPUTED_VALUE"""),3)</f>
        <v>3</v>
      </c>
      <c r="L2105" s="5" t="str">
        <f ca="1">IFERROR(__xludf.DUMMYFUNCTION("""COMPUTED_VALUE"""),"Winter")</f>
        <v>Winter</v>
      </c>
      <c r="M2105" s="5" t="str">
        <f ca="1">IFERROR(__xludf.DUMMYFUNCTION("""COMPUTED_VALUE"""),"Washington")</f>
        <v>Washington</v>
      </c>
      <c r="N2105" s="5" t="str">
        <f ca="1">IFERROR(__xludf.DUMMYFUNCTION("""COMPUTED_VALUE"""),"DC")</f>
        <v>DC</v>
      </c>
      <c r="O2105" s="5" t="str">
        <f ca="1">IFERROR(__xludf.DUMMYFUNCTION("""COMPUTED_VALUE"""),"Junior High")</f>
        <v>Junior High</v>
      </c>
      <c r="P2105" s="5" t="str">
        <f ca="1">IFERROR(__xludf.DUMMYFUNCTION("""COMPUTED_VALUE"""),"Hallway")</f>
        <v>Hallway</v>
      </c>
      <c r="Q2105" s="5" t="str">
        <f ca="1">IFERROR(__xludf.DUMMYFUNCTION("""COMPUTED_VALUE"""),"Inside School Building")</f>
        <v>Inside School Building</v>
      </c>
      <c r="R2105" s="5" t="str">
        <f ca="1">IFERROR(__xludf.DUMMYFUNCTION("""COMPUTED_VALUE"""),"Yes")</f>
        <v>Yes</v>
      </c>
      <c r="S2105" s="5"/>
      <c r="T2105" s="5"/>
      <c r="U2105" s="5">
        <f ca="1">IFERROR(__xludf.DUMMYFUNCTION("""COMPUTED_VALUE"""),1)</f>
        <v>1</v>
      </c>
      <c r="V2105" s="5" t="str">
        <f ca="1">IFERROR(__xludf.DUMMYFUNCTION("""COMPUTED_VALUE"""),"Occurred during horseplay in the school")</f>
        <v>Occurred during horseplay in the school</v>
      </c>
      <c r="W2105"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X2105" s="5" t="str">
        <f ca="1">IFERROR(__xludf.DUMMYFUNCTION("""COMPUTED_VALUE"""),"Accidental")</f>
        <v>Accidental</v>
      </c>
      <c r="Y2105" s="5" t="str">
        <f ca="1">IFERROR(__xludf.DUMMYFUNCTION("""COMPUTED_VALUE"""),"Random Shooting")</f>
        <v>Random Shooting</v>
      </c>
      <c r="Z2105" s="5" t="str">
        <f ca="1">IFERROR(__xludf.DUMMYFUNCTION("""COMPUTED_VALUE"""),"No")</f>
        <v>No</v>
      </c>
      <c r="AA2105" s="5"/>
      <c r="AB2105" s="5" t="str">
        <f ca="1">IFERROR(__xludf.DUMMYFUNCTION("""COMPUTED_VALUE"""),"No")</f>
        <v>No</v>
      </c>
      <c r="AC2105" s="5" t="str">
        <f ca="1">IFERROR(__xludf.DUMMYFUNCTION("""COMPUTED_VALUE"""),"No")</f>
        <v>No</v>
      </c>
      <c r="AD2105" s="5" t="str">
        <f ca="1">IFERROR(__xludf.DUMMYFUNCTION("""COMPUTED_VALUE"""),"No")</f>
        <v>No</v>
      </c>
      <c r="AE2105" s="5" t="str">
        <f ca="1">IFERROR(__xludf.DUMMYFUNCTION("""COMPUTED_VALUE"""),"No")</f>
        <v>No</v>
      </c>
      <c r="AF2105" s="5" t="str">
        <f ca="1">IFERROR(__xludf.DUMMYFUNCTION("""COMPUTED_VALUE"""),"No")</f>
        <v>No</v>
      </c>
      <c r="AG2105" s="5" t="str">
        <f ca="1">IFERROR(__xludf.DUMMYFUNCTION("""COMPUTED_VALUE"""),"No")</f>
        <v>No</v>
      </c>
      <c r="AH2105" s="5"/>
    </row>
    <row r="2106" spans="1:34" ht="12.75">
      <c r="A2106" s="5" t="str">
        <f ca="1">IFERROR(__xludf.DUMMYFUNCTION("""COMPUTED_VALUE"""),"19700105DCHIW")</f>
        <v>19700105DCHIW</v>
      </c>
      <c r="B2106" s="8">
        <f ca="1">IFERROR(__xludf.DUMMYFUNCTION("""COMPUTED_VALUE"""),25573)</f>
        <v>25573</v>
      </c>
      <c r="C2106" s="5" t="str">
        <f ca="1">IFERROR(__xludf.DUMMYFUNCTION("""COMPUTED_VALUE"""),"Hine Junior High School")</f>
        <v>Hine Junior High School</v>
      </c>
      <c r="D2106" s="5">
        <f ca="1">IFERROR(__xludf.DUMMYFUNCTION("""COMPUTED_VALUE"""),1)</f>
        <v>1</v>
      </c>
      <c r="E2106" s="5">
        <f ca="1">IFERROR(__xludf.DUMMYFUNCTION("""COMPUTED_VALUE"""),0)</f>
        <v>0</v>
      </c>
      <c r="F2106" s="5">
        <f ca="1">IFERROR(__xludf.DUMMYFUNCTION("""COMPUTED_VALUE"""),1)</f>
        <v>1</v>
      </c>
      <c r="G2106" s="5">
        <f ca="1">IFERROR(__xludf.DUMMYFUNCTION("""COMPUTED_VALUE"""),0)</f>
        <v>0</v>
      </c>
      <c r="H2106" s="9" t="str">
        <f ca="1">IFERROR(__xludf.DUMMYFUNCTION("""COMPUTED_VALUE"""),"https://news.google.com/newspapers?id=AfRYAAAAIBAJ&amp;pg=3025,1894998")</f>
        <v>https://news.google.com/newspapers?id=AfRYAAAAIBAJ&amp;pg=3025,1894998</v>
      </c>
      <c r="I2106" s="5"/>
      <c r="J2106" s="5"/>
      <c r="K2106" s="5">
        <f ca="1">IFERROR(__xludf.DUMMYFUNCTION("""COMPUTED_VALUE"""),3)</f>
        <v>3</v>
      </c>
      <c r="L2106" s="5" t="str">
        <f ca="1">IFERROR(__xludf.DUMMYFUNCTION("""COMPUTED_VALUE"""),"Winter")</f>
        <v>Winter</v>
      </c>
      <c r="M2106" s="5" t="str">
        <f ca="1">IFERROR(__xludf.DUMMYFUNCTION("""COMPUTED_VALUE"""),"Washington")</f>
        <v>Washington</v>
      </c>
      <c r="N2106" s="5" t="str">
        <f ca="1">IFERROR(__xludf.DUMMYFUNCTION("""COMPUTED_VALUE"""),"DC")</f>
        <v>DC</v>
      </c>
      <c r="O2106" s="5" t="str">
        <f ca="1">IFERROR(__xludf.DUMMYFUNCTION("""COMPUTED_VALUE"""),"High")</f>
        <v>High</v>
      </c>
      <c r="P2106" s="5" t="str">
        <f ca="1">IFERROR(__xludf.DUMMYFUNCTION("""COMPUTED_VALUE"""),"Inside School Building")</f>
        <v>Inside School Building</v>
      </c>
      <c r="Q2106" s="5" t="str">
        <f ca="1">IFERROR(__xludf.DUMMYFUNCTION("""COMPUTED_VALUE"""),"Inside School Building")</f>
        <v>Inside School Building</v>
      </c>
      <c r="R2106" s="5" t="str">
        <f ca="1">IFERROR(__xludf.DUMMYFUNCTION("""COMPUTED_VALUE"""),"Yes")</f>
        <v>Yes</v>
      </c>
      <c r="S2106" s="5"/>
      <c r="T2106" s="5"/>
      <c r="U2106" s="5">
        <f ca="1">IFERROR(__xludf.DUMMYFUNCTION("""COMPUTED_VALUE"""),1)</f>
        <v>1</v>
      </c>
      <c r="V2106"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W2106"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X2106" s="5" t="str">
        <f ca="1">IFERROR(__xludf.DUMMYFUNCTION("""COMPUTED_VALUE"""),"Accidental")</f>
        <v>Accidental</v>
      </c>
      <c r="Y2106" s="5" t="str">
        <f ca="1">IFERROR(__xludf.DUMMYFUNCTION("""COMPUTED_VALUE"""),"Random Shooting")</f>
        <v>Random Shooting</v>
      </c>
      <c r="Z2106" s="5" t="str">
        <f ca="1">IFERROR(__xludf.DUMMYFUNCTION("""COMPUTED_VALUE"""),"Yes")</f>
        <v>Yes</v>
      </c>
      <c r="AA2106" s="5" t="str">
        <f ca="1">IFERROR(__xludf.DUMMYFUNCTION("""COMPUTED_VALUE"""),"Gave gun to another student after shooting.")</f>
        <v>Gave gun to another student after shooting.</v>
      </c>
      <c r="AB2106" s="5" t="str">
        <f ca="1">IFERROR(__xludf.DUMMYFUNCTION("""COMPUTED_VALUE"""),"No")</f>
        <v>No</v>
      </c>
      <c r="AC2106" s="5" t="str">
        <f ca="1">IFERROR(__xludf.DUMMYFUNCTION("""COMPUTED_VALUE"""),"No")</f>
        <v>No</v>
      </c>
      <c r="AD2106" s="5" t="str">
        <f ca="1">IFERROR(__xludf.DUMMYFUNCTION("""COMPUTED_VALUE"""),"No")</f>
        <v>No</v>
      </c>
      <c r="AE2106" s="5" t="str">
        <f ca="1">IFERROR(__xludf.DUMMYFUNCTION("""COMPUTED_VALUE"""),"No")</f>
        <v>No</v>
      </c>
      <c r="AF2106" s="5" t="str">
        <f ca="1">IFERROR(__xludf.DUMMYFUNCTION("""COMPUTED_VALUE"""),"No")</f>
        <v>No</v>
      </c>
      <c r="AG2106" s="5" t="str">
        <f ca="1">IFERROR(__xludf.DUMMYFUNCTION("""COMPUTED_VALUE"""),"No")</f>
        <v>No</v>
      </c>
      <c r="AH2106" s="5"/>
    </row>
    <row r="2107" spans="1:34" ht="12.75">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row>
    <row r="2108" spans="1:34" ht="12.75">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row>
    <row r="2109" spans="1:34" ht="12.75">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row>
    <row r="2110" spans="1:34" ht="12.75">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row>
    <row r="2111" spans="1:34" ht="12.75">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row>
    <row r="2112" spans="1:34" ht="12.75">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row>
    <row r="2113" spans="1:34" ht="12.75">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row>
    <row r="2114" spans="1:34" ht="12.75">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row>
    <row r="2115" spans="1:34" ht="12.75">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row>
    <row r="2116" spans="1:34" ht="12.75">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row>
    <row r="2117" spans="1:34" ht="12.75">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row>
    <row r="2118" spans="1:34" ht="12.75">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row>
    <row r="2119" spans="1:34" ht="12.75">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row>
    <row r="2120" spans="1:34" ht="12.75">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row>
    <row r="2121" spans="1:34" ht="12.75">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row>
    <row r="2122" spans="1:34" ht="12.75">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row>
    <row r="2123" spans="1:34" ht="12.75">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row>
    <row r="2124" spans="1:34" ht="12.75">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row>
    <row r="2125" spans="1:34" ht="12.75">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row>
    <row r="2126" spans="1:34" ht="12.75">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row>
    <row r="2127" spans="1:34" ht="12.75">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row>
    <row r="2128" spans="1:34" ht="12.75">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row>
    <row r="2129" spans="1:34" ht="12.75">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row>
    <row r="2130" spans="1:34" ht="12.75">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row>
    <row r="2131" spans="1:34" ht="12.75">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row>
    <row r="2132" spans="1:34" ht="12.75">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row>
    <row r="2133" spans="1:34" ht="12.75">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row>
    <row r="2134" spans="1:34" ht="12.75">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row>
    <row r="2135" spans="1:34" ht="12.75">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row>
    <row r="2136" spans="1:34" ht="12.75">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row>
    <row r="2137" spans="1:34" ht="12.75">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row>
    <row r="2138" spans="1:34" ht="12.75">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row>
    <row r="2139" spans="1:34" ht="12.75">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row>
    <row r="2140" spans="1:34" ht="12.75">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row>
    <row r="2141" spans="1:34" ht="12.75">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row>
    <row r="2142" spans="1:34" ht="12.75">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row>
    <row r="2143" spans="1:34" ht="12.75">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row>
    <row r="2144" spans="1:34" ht="12.75">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row>
    <row r="2145" spans="1:34" ht="12.75">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row>
    <row r="2146" spans="1:34" ht="12.75">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row>
    <row r="2147" spans="1:34" ht="12.75">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row>
    <row r="2148" spans="1:34" ht="12.75">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row>
    <row r="2149" spans="1:34" ht="12.75">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row>
    <row r="2150" spans="1:34" ht="12.75">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row>
    <row r="2151" spans="1:34" ht="12.75">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row>
    <row r="2152" spans="1:34" ht="12.75">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row>
    <row r="2153" spans="1:34" ht="12.75">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row>
    <row r="2154" spans="1:34" ht="12.75">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row>
    <row r="2155" spans="1:34" ht="12.75">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row>
    <row r="2156" spans="1:34" ht="12.75">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row>
    <row r="2157" spans="1:34" ht="12.75">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row>
    <row r="2158" spans="1:34" ht="12.75">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row>
    <row r="2159" spans="1:34" ht="12.75">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row>
    <row r="2160" spans="1:34" ht="12.75">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row>
    <row r="2161" spans="1:34" ht="12.75">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row>
    <row r="2162" spans="1:34" ht="12.75">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row>
    <row r="2163" spans="1:34" ht="12.75">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row>
    <row r="2164" spans="1:34" ht="12.75">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row>
    <row r="2165" spans="1:34" ht="12.75">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row>
    <row r="2166" spans="1:34" ht="12.75">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row>
    <row r="2167" spans="1:34" ht="12.75">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row>
    <row r="2168" spans="1:34" ht="12.75">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row>
    <row r="2169" spans="1:34" ht="12.75">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row>
    <row r="2170" spans="1:34" ht="12.75">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row>
    <row r="2171" spans="1:34" ht="12.75">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row>
    <row r="2172" spans="1:34" ht="12.75">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row>
    <row r="2173" spans="1:34" ht="12.75">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row>
    <row r="2174" spans="1:34" ht="12.75">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row>
    <row r="2175" spans="1:34" ht="12.75">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row>
    <row r="2176" spans="1:34" ht="12.75">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row>
    <row r="2177" spans="1:34" ht="12.75">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row>
    <row r="2178" spans="1:34" ht="12.75">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row>
    <row r="2179" spans="1:34" ht="12.75">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row>
    <row r="2180" spans="1:34" ht="12.75">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row>
    <row r="2181" spans="1:34" ht="12.75">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row>
    <row r="2182" spans="1:34" ht="12.75">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row>
    <row r="2183" spans="1:34" ht="12.75">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row>
    <row r="2184" spans="1:34" ht="12.75">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row>
    <row r="2185" spans="1:34" ht="12.75">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row>
    <row r="2186" spans="1:34" ht="12.75">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row>
    <row r="2187" spans="1:34" ht="12.75">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row>
    <row r="2188" spans="1:34" ht="12.75">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row>
    <row r="2189" spans="1:34" ht="12.75">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row>
    <row r="2190" spans="1:34" ht="12.75">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row>
    <row r="2191" spans="1:34" ht="12.75">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row>
    <row r="2192" spans="1:34" ht="12.75">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row>
    <row r="2193" spans="1:34" ht="12.75">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row>
    <row r="2194" spans="1:34" ht="12.75">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row>
    <row r="2195" spans="1:34" ht="12.75">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row>
    <row r="2196" spans="1:34" ht="12.75">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row>
    <row r="2197" spans="1:34" ht="12.75">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row>
    <row r="2198" spans="1:34" ht="12.75">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row>
    <row r="2199" spans="1:34" ht="12.75">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row>
    <row r="2200" spans="1:34" ht="12.75">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row>
    <row r="2201" spans="1:34" ht="12.75">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row>
    <row r="2202" spans="1:34" ht="12.75">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row>
    <row r="2203" spans="1:34" ht="12.75">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row>
    <row r="2204" spans="1:34" ht="12.75">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row>
    <row r="2205" spans="1:34" ht="12.75">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row>
    <row r="2206" spans="1:34" ht="12.75">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row>
    <row r="2207" spans="1:34" ht="12.75">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row>
    <row r="2208" spans="1:34" ht="12.75">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row>
    <row r="2209" spans="1:34" ht="12.75">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row>
    <row r="2210" spans="1:34" ht="12.75">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row>
    <row r="2211" spans="1:34" ht="12.75">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row>
    <row r="2212" spans="1:34" ht="12.75">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row>
    <row r="2213" spans="1:34" ht="12.75">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row>
    <row r="2214" spans="1:34" ht="12.75">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row>
    <row r="2215" spans="1:34" ht="12.75">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row>
    <row r="2216" spans="1:34" ht="12.75">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row>
    <row r="2217" spans="1:34" ht="12.75">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row>
    <row r="2218" spans="1:34" ht="12.75">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row>
    <row r="2219" spans="1:34" ht="12.75">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row>
    <row r="2220" spans="1:34" ht="12.75">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row>
    <row r="2221" spans="1:34" ht="12.75">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row>
    <row r="2222" spans="1:34" ht="12.75">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row>
    <row r="2223" spans="1:34" ht="12.75">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row>
    <row r="2224" spans="1:34" ht="12.75">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row>
    <row r="2225" spans="1:34" ht="12.75">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row>
    <row r="2226" spans="1:34" ht="12.75">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row>
    <row r="2227" spans="1:34" ht="12.75">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row>
    <row r="2228" spans="1:34" ht="12.75">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row>
    <row r="2229" spans="1:34" ht="12.75">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row>
    <row r="2230" spans="1:34" ht="12.75">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row>
    <row r="2231" spans="1:34" ht="12.75">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row>
    <row r="2232" spans="1:34" ht="12.75">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row>
    <row r="2233" spans="1:34" ht="12.75">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row>
    <row r="2234" spans="1:34" ht="12.75">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row>
    <row r="2235" spans="1:34" ht="12.75">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row>
    <row r="2236" spans="1:34" ht="12.75">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row>
    <row r="2237" spans="1:34" ht="12.75">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row>
    <row r="2238" spans="1:34" ht="12.75">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row>
    <row r="2239" spans="1:34" ht="12.75">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row>
    <row r="2240" spans="1:34" ht="12.75">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row>
    <row r="2241" spans="1:34" ht="12.75">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row>
    <row r="2242" spans="1:34" ht="12.75">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row>
    <row r="2243" spans="1:34" ht="12.75">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row>
    <row r="2244" spans="1:34" ht="12.75">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row>
    <row r="2245" spans="1:34" ht="12.75">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row>
    <row r="2246" spans="1:34" ht="12.75">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row>
    <row r="2247" spans="1:34" ht="12.75">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row>
    <row r="2248" spans="1:34" ht="12.75">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row>
    <row r="2249" spans="1:34" ht="12.75">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row>
    <row r="2250" spans="1:34" ht="12.75">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row>
    <row r="2251" spans="1:34" ht="12.75">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row>
    <row r="2252" spans="1:34" ht="12.75">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row>
    <row r="2253" spans="1:34" ht="12.75">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row>
    <row r="2254" spans="1:34" ht="12.75">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row>
    <row r="2255" spans="1:34" ht="12.75">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row>
    <row r="2256" spans="1:34" ht="12.75">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row>
    <row r="2257" spans="1:34" ht="12.75">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row>
    <row r="2258" spans="1:34" ht="12.75">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row>
    <row r="2259" spans="1:34" ht="12.75">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row>
    <row r="2260" spans="1:34" ht="12.75">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row>
    <row r="2261" spans="1:34" ht="12.75">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row>
    <row r="2262" spans="1:34" ht="12.75">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row>
    <row r="2263" spans="1:34" ht="12.75">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row>
    <row r="2264" spans="1:34" ht="12.75">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row>
    <row r="2265" spans="1:34" ht="12.75">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row>
    <row r="2266" spans="1:34" ht="12.75">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row>
    <row r="2267" spans="1:34" ht="12.75">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row>
    <row r="2268" spans="1:34" ht="12.75">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row>
    <row r="2269" spans="1:34" ht="12.75">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row>
    <row r="2270" spans="1:34" ht="12.75">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row>
    <row r="2271" spans="1:34" ht="12.75">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row>
    <row r="2272" spans="1:34" ht="12.75">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row>
    <row r="2273" spans="1:34" ht="12.75">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row>
    <row r="2274" spans="1:34" ht="12.75">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row>
    <row r="2275" spans="1:34" ht="12.75">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row>
    <row r="2276" spans="1:34" ht="12.75">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row>
    <row r="2277" spans="1:34" ht="12.75">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row>
    <row r="2278" spans="1:34" ht="12.75">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row>
    <row r="2279" spans="1:34" ht="12.75">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row>
    <row r="2280" spans="1:34" ht="12.75">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row>
    <row r="2281" spans="1:34" ht="12.75">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row>
    <row r="2282" spans="1:34" ht="12.75">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row>
    <row r="2283" spans="1:34" ht="12.75">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row>
    <row r="2284" spans="1:34" ht="12.75">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row>
    <row r="2285" spans="1:34" ht="12.75">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row>
    <row r="2286" spans="1:34" ht="12.75">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row>
    <row r="2287" spans="1:34" ht="12.75">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row>
    <row r="2288" spans="1:34" ht="12.75">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row>
    <row r="2289" spans="1:34" ht="12.75">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row>
    <row r="2290" spans="1:34" ht="12.75">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row>
    <row r="2291" spans="1:34" ht="12.75">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row>
    <row r="2292" spans="1:34" ht="12.75">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row>
    <row r="2293" spans="1:34" ht="12.75">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row>
    <row r="2294" spans="1:34" ht="12.75">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row>
    <row r="2295" spans="1:34" ht="12.75">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row>
    <row r="2296" spans="1:34" ht="12.75">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row>
    <row r="2297" spans="1:34" ht="12.75">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row>
    <row r="2298" spans="1:34" ht="12.75">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row>
    <row r="2299" spans="1:34" ht="12.75">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row>
    <row r="2300" spans="1:34" ht="12.75">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row>
    <row r="2301" spans="1:34" ht="12.75">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row>
    <row r="2302" spans="1:34" ht="12.75">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row>
    <row r="2303" spans="1:34" ht="12.75">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row>
    <row r="2304" spans="1:34" ht="12.75">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row>
    <row r="2305" spans="1:34" ht="12.75">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row>
    <row r="2306" spans="1:34" ht="12.75">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row>
    <row r="2307" spans="1:34" ht="12.75">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row>
    <row r="2308" spans="1:34" ht="12.75">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row>
    <row r="2309" spans="1:34" ht="12.75">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row>
    <row r="2310" spans="1:34" ht="12.75">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row>
    <row r="2311" spans="1:34" ht="12.75">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row>
    <row r="2312" spans="1:34" ht="12.75">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row>
    <row r="2313" spans="1:34" ht="12.75">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row>
    <row r="2314" spans="1:34" ht="12.75">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row>
    <row r="2315" spans="1:34" ht="12.75">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row>
    <row r="2316" spans="1:34" ht="12.75">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row>
    <row r="2317" spans="1:34" ht="12.75">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row>
    <row r="2318" spans="1:34" ht="12.75">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row>
    <row r="2319" spans="1:34" ht="12.75">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row>
    <row r="2320" spans="1:34" ht="12.75">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row>
    <row r="2321" spans="1:34" ht="12.75">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row>
    <row r="2322" spans="1:34" ht="12.75">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row>
    <row r="2323" spans="1:34" ht="12.75">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row>
    <row r="2324" spans="1:34" ht="12.75">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row>
    <row r="2325" spans="1:34" ht="12.75">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row>
    <row r="2326" spans="1:34" ht="12.75">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row>
    <row r="2327" spans="1:34" ht="12.75">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row>
    <row r="2328" spans="1:34" ht="12.75">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row>
    <row r="2329" spans="1:34" ht="12.75">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row>
    <row r="2330" spans="1:34" ht="12.75">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row>
    <row r="2331" spans="1:34" ht="12.75">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row>
    <row r="2332" spans="1:34" ht="12.75">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row>
    <row r="2333" spans="1:34" ht="12.75">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row>
    <row r="2334" spans="1:34" ht="12.75">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row>
    <row r="2335" spans="1:34" ht="12.75">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row>
    <row r="2336" spans="1:34" ht="12.75">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row>
    <row r="2337" spans="1:34" ht="12.75">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row>
    <row r="2338" spans="1:34" ht="12.75">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row>
    <row r="2339" spans="1:34" ht="12.75">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row>
    <row r="2340" spans="1:34" ht="12.75">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row>
    <row r="2341" spans="1:34" ht="12.75">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row>
    <row r="2342" spans="1:34" ht="12.75">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row>
    <row r="2343" spans="1:34" ht="12.75">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row>
    <row r="2344" spans="1:34" ht="12.75">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row>
    <row r="2345" spans="1:34" ht="12.75">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row>
    <row r="2346" spans="1:34" ht="12.75">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row>
    <row r="2347" spans="1:34" ht="12.75">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row>
    <row r="2348" spans="1:34" ht="12.75">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row>
    <row r="2349" spans="1:34" ht="12.75">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row>
    <row r="2350" spans="1:34" ht="12.75">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row>
    <row r="2351" spans="1:34" ht="12.75">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row>
    <row r="2352" spans="1:34" ht="12.75">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row>
    <row r="2353" spans="1:34" ht="12.75">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row>
    <row r="2354" spans="1:34" ht="12.75">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row>
    <row r="2355" spans="1:34" ht="12.75">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row>
    <row r="2356" spans="1:34" ht="12.75">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row>
    <row r="2357" spans="1:34" ht="12.75">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row>
    <row r="2358" spans="1:34" ht="12.75">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row>
    <row r="2359" spans="1:34" ht="12.75">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row>
    <row r="2360" spans="1:34" ht="12.75">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row>
    <row r="2361" spans="1:34" ht="12.75">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row>
    <row r="2362" spans="1:34" ht="12.75">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row>
    <row r="2363" spans="1:34" ht="12.75">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row>
    <row r="2364" spans="1:34" ht="12.75">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row>
    <row r="2365" spans="1:34" ht="12.75">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row>
    <row r="2366" spans="1:34" ht="12.75">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row>
    <row r="2367" spans="1:34" ht="12.75">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row>
    <row r="2368" spans="1:34" ht="12.75">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row>
    <row r="2369" spans="1:34" ht="12.75">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row>
    <row r="2370" spans="1:34" ht="12.75">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row>
    <row r="2371" spans="1:34" ht="12.75">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row>
    <row r="2372" spans="1:34" ht="12.75">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row>
    <row r="2373" spans="1:34" ht="12.75">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row>
    <row r="2374" spans="1:34" ht="12.75">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row>
    <row r="2375" spans="1:34" ht="12.75">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row>
    <row r="2376" spans="1:34" ht="12.75">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row>
    <row r="2377" spans="1:34" ht="12.75">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row>
    <row r="2378" spans="1:34" ht="12.75">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row>
    <row r="2379" spans="1:34" ht="12.75">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row>
    <row r="2380" spans="1:34" ht="12.75">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row>
    <row r="2381" spans="1:34" ht="12.75">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row>
    <row r="2382" spans="1:34" ht="12.75">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row>
    <row r="2383" spans="1:34" ht="12.75">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row>
    <row r="2384" spans="1:34" ht="12.75">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row>
    <row r="2385" spans="1:34" ht="12.75">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row>
    <row r="2386" spans="1:34" ht="12.75">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row>
    <row r="2387" spans="1:34" ht="12.75">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row>
    <row r="2388" spans="1:34" ht="12.75">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row>
    <row r="2389" spans="1:34" ht="12.75">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row>
    <row r="2390" spans="1:34" ht="12.75">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row>
    <row r="2391" spans="1:34" ht="12.75">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row>
    <row r="2392" spans="1:34" ht="12.75">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row>
    <row r="2393" spans="1:34" ht="12.75">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row>
    <row r="2394" spans="1:34" ht="12.75">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row>
    <row r="2395" spans="1:34" ht="12.75">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row>
    <row r="2396" spans="1:34" ht="12.75">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row>
    <row r="2397" spans="1:34" ht="12.75">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row>
    <row r="2398" spans="1:34" ht="12.75">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row>
    <row r="2399" spans="1:34" ht="12.75">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row>
    <row r="2400" spans="1:34" ht="12.75">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row>
    <row r="2401" spans="1:34" ht="12.75">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row>
    <row r="2402" spans="1:34" ht="12.75">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row>
    <row r="2403" spans="1:34" ht="12.75">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row>
    <row r="2404" spans="1:34" ht="12.75">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row>
    <row r="2405" spans="1:34" ht="12.75">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row>
    <row r="2406" spans="1:34" ht="12.75">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row>
    <row r="2407" spans="1:34" ht="12.75">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row>
    <row r="2408" spans="1:34" ht="12.75">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row>
    <row r="2409" spans="1:34" ht="12.75">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row>
    <row r="2410" spans="1:34" ht="12.75">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row>
    <row r="2411" spans="1:34" ht="12.75">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row>
    <row r="2412" spans="1:34" ht="12.75">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row>
    <row r="2413" spans="1:34" ht="12.75">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row>
    <row r="2414" spans="1:34" ht="12.75">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row>
    <row r="2415" spans="1:34" ht="12.75">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row>
    <row r="2416" spans="1:34" ht="12.75">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row>
    <row r="2417" spans="1:34" ht="12.75">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row>
    <row r="2418" spans="1:34" ht="12.75">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row>
    <row r="2419" spans="1:34" ht="12.75">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row>
    <row r="2420" spans="1:34" ht="12.75">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row>
    <row r="2421" spans="1:34" ht="12.75">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row>
    <row r="2422" spans="1:34" ht="12.75">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row>
    <row r="2423" spans="1:34" ht="12.75">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row>
    <row r="2424" spans="1:34" ht="12.75">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row>
    <row r="2425" spans="1:34" ht="12.75">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row>
    <row r="2426" spans="1:34" ht="12.75">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row>
    <row r="2427" spans="1:34" ht="12.75">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row>
    <row r="2428" spans="1:34" ht="12.75">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row>
    <row r="2429" spans="1:34" ht="12.75">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row>
    <row r="2430" spans="1:34" ht="12.75">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row>
    <row r="2431" spans="1:34" ht="12.75">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row>
    <row r="2432" spans="1:34" ht="12.75">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row>
    <row r="2433" spans="1:34" ht="12.75">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row>
    <row r="2434" spans="1:34" ht="12.75">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row>
    <row r="2435" spans="1:34" ht="12.75">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row>
    <row r="2436" spans="1:34" ht="12.75">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row>
    <row r="2437" spans="1:34" ht="12.75">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row>
    <row r="2438" spans="1:34" ht="12.75">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row>
    <row r="2439" spans="1:34" ht="12.75">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row>
    <row r="2440" spans="1:34" ht="12.75">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row>
    <row r="2441" spans="1:34" ht="12.75">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row>
    <row r="2442" spans="1:34" ht="12.75">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row>
    <row r="2443" spans="1:34" ht="12.75">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row>
    <row r="2444" spans="1:34" ht="12.75">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row>
    <row r="2445" spans="1:34" ht="12.75">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row>
    <row r="2446" spans="1:34" ht="12.75">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row>
    <row r="2447" spans="1:34" ht="12.75">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row>
    <row r="2448" spans="1:34" ht="12.75">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row>
    <row r="2449" spans="1:34" ht="12.75">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row>
    <row r="2450" spans="1:34" ht="12.75">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row>
    <row r="2451" spans="1:34" ht="12.75">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row>
    <row r="2452" spans="1:34" ht="12.75">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row>
    <row r="2453" spans="1:34" ht="12.75">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row>
    <row r="2454" spans="1:34" ht="12.75">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row>
    <row r="2455" spans="1:34" ht="12.75">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row>
    <row r="2456" spans="1:34" ht="12.75">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row>
    <row r="2457" spans="1:34" ht="12.75">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row>
    <row r="2458" spans="1:34" ht="12.75">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row>
    <row r="2459" spans="1:34" ht="12.75">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row>
    <row r="2460" spans="1:34" ht="12.75">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row>
    <row r="2461" spans="1:34" ht="12.75">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row>
    <row r="2462" spans="1:34" ht="12.75">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row>
    <row r="2463" spans="1:34" ht="12.75">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row>
    <row r="2464" spans="1:34" ht="12.75">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row>
    <row r="2465" spans="1:34" ht="12.75">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row>
    <row r="2466" spans="1:34" ht="12.75">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row>
    <row r="2467" spans="1:34" ht="12.75">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row>
    <row r="2468" spans="1:34" ht="12.75">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row>
    <row r="2469" spans="1:34" ht="12.75">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row>
    <row r="2470" spans="1:34" ht="12.75">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row>
    <row r="2471" spans="1:34" ht="12.75">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row>
    <row r="2472" spans="1:34" ht="12.75">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row>
    <row r="2473" spans="1:34" ht="12.75">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row>
    <row r="2474" spans="1:34" ht="12.75">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row>
    <row r="2475" spans="1:34" ht="12.75">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row>
    <row r="2476" spans="1:34" ht="12.75">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row>
    <row r="2477" spans="1:34" ht="12.75">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row>
    <row r="2478" spans="1:34" ht="12.75">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row>
    <row r="2479" spans="1:34" ht="12.75">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row>
    <row r="2480" spans="1:34" ht="12.75">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row>
    <row r="2481" spans="1:34" ht="12.75">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row>
    <row r="2482" spans="1:34" ht="12.75">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row>
    <row r="2483" spans="1:34" ht="12.75">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row>
    <row r="2484" spans="1:34" ht="12.75">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row>
    <row r="2485" spans="1:34" ht="12.75">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row>
    <row r="2486" spans="1:34" ht="12.75">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row>
    <row r="2487" spans="1:34" ht="12.75">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row>
    <row r="2488" spans="1:34" ht="12.75">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row>
    <row r="2489" spans="1:34" ht="12.75">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row>
    <row r="2490" spans="1:34" ht="12.75">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row>
    <row r="2491" spans="1:34" ht="12.75">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row>
    <row r="2492" spans="1:34" ht="12.75">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row>
    <row r="2493" spans="1:34" ht="12.75">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row>
    <row r="2494" spans="1:34" ht="12.75">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row>
    <row r="2495" spans="1:34" ht="12.75">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row>
    <row r="2496" spans="1:34" ht="12.75">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row>
    <row r="2497" spans="1:34" ht="12.75">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row>
    <row r="2498" spans="1:34" ht="12.75">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row>
    <row r="2499" spans="1:34" ht="12.75">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row>
    <row r="2500" spans="1:34" ht="12.75">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row>
    <row r="2501" spans="1:34" ht="12.75">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row>
    <row r="2502" spans="1:34" ht="12.75">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row>
    <row r="2503" spans="1:34" ht="12.75">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row>
    <row r="2504" spans="1:34" ht="12.75">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row>
    <row r="2505" spans="1:34" ht="12.75">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row>
    <row r="2506" spans="1:34" ht="12.75">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row>
    <row r="2507" spans="1:34" ht="12.75">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row>
    <row r="2508" spans="1:34" ht="12.75">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row>
    <row r="2509" spans="1:34" ht="12.75">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row>
    <row r="2510" spans="1:34" ht="12.75">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row>
    <row r="2511" spans="1:34" ht="12.75">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row>
    <row r="2512" spans="1:34" ht="12.75">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row>
    <row r="2513" spans="1:34" ht="12.75">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row>
    <row r="2514" spans="1:34" ht="12.75">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row>
    <row r="2515" spans="1:34" ht="12.75">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row>
    <row r="2516" spans="1:34" ht="12.75">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row>
    <row r="2517" spans="1:34" ht="12.75">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row>
    <row r="2518" spans="1:34" ht="12.75">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row>
    <row r="2519" spans="1:34" ht="12.75">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row>
    <row r="2520" spans="1:34" ht="12.75">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row>
    <row r="2521" spans="1:34" ht="12.75">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row>
    <row r="2522" spans="1:34" ht="12.75">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row>
    <row r="2523" spans="1:34" ht="12.75">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row>
    <row r="2524" spans="1:34" ht="12.75">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row>
    <row r="2525" spans="1:34" ht="12.75">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row>
    <row r="2526" spans="1:34" ht="12.75">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row>
    <row r="2527" spans="1:34" ht="12.75">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row>
    <row r="2528" spans="1:34" ht="12.75">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row>
    <row r="2529" spans="1:34" ht="12.75">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row>
    <row r="2530" spans="1:34" ht="12.75">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row>
    <row r="2531" spans="1:34" ht="12.75">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row>
    <row r="2532" spans="1:34" ht="12.75">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row>
    <row r="2533" spans="1:34" ht="12.75">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row>
    <row r="2534" spans="1:34" ht="12.75">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row>
    <row r="2535" spans="1:34" ht="12.75">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row>
    <row r="2536" spans="1:34" ht="12.75">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row>
    <row r="2537" spans="1:34" ht="12.75">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row>
    <row r="2538" spans="1:34" ht="12.75">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row>
    <row r="2539" spans="1:34" ht="12.75">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row>
    <row r="2540" spans="1:34" ht="12.75">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row>
    <row r="2541" spans="1:34" ht="12.75">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row>
    <row r="2542" spans="1:34" ht="12.75">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row>
    <row r="2543" spans="1:34" ht="12.75">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row>
    <row r="2544" spans="1:34" ht="12.75">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row>
    <row r="2545" spans="1:34" ht="12.75">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row>
    <row r="2546" spans="1:34" ht="12.75">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row>
    <row r="2547" spans="1:34" ht="12.75">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row>
    <row r="2548" spans="1:34" ht="12.75">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row>
    <row r="2549" spans="1:34" ht="12.75">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row>
    <row r="2550" spans="1:34" ht="12.75">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row>
    <row r="2551" spans="1:34" ht="12.75">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row>
    <row r="2552" spans="1:34" ht="12.75">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row>
    <row r="2553" spans="1:34" ht="12.75">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row>
    <row r="2554" spans="1:34" ht="12.75">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row>
    <row r="2555" spans="1:34" ht="12.75">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row>
    <row r="2556" spans="1:34" ht="12.75">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row>
    <row r="2557" spans="1:34" ht="12.75">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row>
    <row r="2558" spans="1:34" ht="12.75">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row>
    <row r="2559" spans="1:34" ht="12.75">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row>
    <row r="2560" spans="1:34" ht="12.75">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row>
    <row r="2561" spans="1:34" ht="12.75">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row>
    <row r="2562" spans="1:34" ht="12.75">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row>
    <row r="2563" spans="1:34" ht="12.75">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row>
    <row r="2564" spans="1:34" ht="12.75">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row>
    <row r="2565" spans="1:34" ht="12.75">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row>
    <row r="2566" spans="1:34" ht="12.75">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row>
    <row r="2567" spans="1:34" ht="12.75">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row>
    <row r="2568" spans="1:34" ht="12.75">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row>
    <row r="2569" spans="1:34" ht="12.75">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row>
    <row r="2570" spans="1:34" ht="12.75">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row>
    <row r="2571" spans="1:34" ht="12.75">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row>
  </sheetData>
  <sortState xmlns:xlrd2="http://schemas.microsoft.com/office/spreadsheetml/2017/richdata2" ref="A2:AH2571">
    <sortCondition descending="1" ref="B1:B2571"/>
  </sortState>
  <conditionalFormatting sqref="F1:F2571">
    <cfRule type="cellIs" dxfId="1" priority="1" operator="greaterThan">
      <formula>3</formula>
    </cfRule>
  </conditionalFormatting>
  <conditionalFormatting sqref="G1:G2571">
    <cfRule type="cellIs" dxfId="0" priority="2" operator="greaterThan">
      <formula>0</formula>
    </cfRule>
  </conditionalFormatting>
  <hyperlinks>
    <hyperlink ref="H2" r:id="rId1" display="https://www.local10.com/news/local/2022/09/05/adult-gambling-causes-shooting-injuring-3-teens-during-broward-little-league-football-game-police-say/" xr:uid="{00000000-0004-0000-0100-000000000000}"/>
    <hyperlink ref="H3" r:id="rId2" display="https://www.baltimoresun.com/news/crime/bs-md-ci-cr-shooting-near-mervo-high-20220902-7vkk6gckhbdzrgodfepcdyjj6m-story.html" xr:uid="{00000000-0004-0000-0100-000001000000}"/>
    <hyperlink ref="H4" r:id="rId3" display="https://www.wusa9.com/article/news/local/dc/northeast-dc-double-shooting-near-idea-charter-school/65-5f5a72d3-526e-4e68-9e6d-e7cd9194384f" xr:uid="{00000000-0004-0000-0100-000002000000}"/>
    <hyperlink ref="H6" r:id="rId4" display="https://www.fox29.com/news/police-3-people-hospitalized-after-being-shot-on-elementary-school-playground-in-kensington" xr:uid="{00000000-0004-0000-0100-000003000000}"/>
    <hyperlink ref="H15" r:id="rId5" display="https://www.wfla.com/news/hillsborough-county/no-active-shooter-at-lennard-high-school-sheriff-says/" xr:uid="{00000000-0004-0000-0100-000004000000}"/>
    <hyperlink ref="H17" r:id="rId6" display="https://www.recordnet.com/story/news/2022/08/15/student-gun-arrested-lincoln-high-school-stockton-california/10333624002/" xr:uid="{00000000-0004-0000-0100-000005000000}"/>
    <hyperlink ref="H19" r:id="rId7" display="https://sports.yahoo.com/shots-ring-serrano-high-school-050531605.html" xr:uid="{00000000-0004-0000-0100-000006000000}"/>
    <hyperlink ref="H20" r:id="rId8" display="https://gbi.georgia.gov/press-releases/2022-08-12/gbi-investigates-union-county-school-shooting-incident" xr:uid="{00000000-0004-0000-0100-000007000000}"/>
    <hyperlink ref="H21" r:id="rId9" display="https://www.11alive.com/article/news/local/henry-county-high-lockdown/85-3fef23a6-d1b9-47e3-8f26-4e97e6cd9ed5" xr:uid="{00000000-0004-0000-0100-000008000000}"/>
    <hyperlink ref="H22" r:id="rId10" display="https://hudsonvalleypost.com/hudson-valley-man-fatally-shot-outside-new-york-school-poughkeepsie-dutchess-county/" xr:uid="{00000000-0004-0000-0100-000009000000}"/>
    <hyperlink ref="H23" r:id="rId11" display="https://www.nbcboston.com/news/local/shooting-breaks-out-during-basketball-game-in-lynn-mass/2801412/" xr:uid="{00000000-0004-0000-0100-00000A000000}"/>
    <hyperlink ref="H24" r:id="rId12" display="https://www.walb.com/2022/08/06/shots-fired-near-johnson-co-football-game/" xr:uid="{00000000-0004-0000-0100-00000B000000}"/>
    <hyperlink ref="H27" r:id="rId13" display="https://connecticut.news12.com/hempstead-school-officials-to-speak-following-2-shootings-near-schools" xr:uid="{00000000-0004-0000-0100-00000C000000}"/>
    <hyperlink ref="H29" r:id="rId14" display="https://www.kctv5.com/2022/07/27/police-man-involved-shooting-incident-with-gardner-police-wounded-himself/" xr:uid="{00000000-0004-0000-0100-00000D000000}"/>
    <hyperlink ref="H30" r:id="rId15" display="https://local21news.com/news/local/man-wanted-by-police-for-discharging-firearm" xr:uid="{00000000-0004-0000-0100-00000E000000}"/>
    <hyperlink ref="H31" r:id="rId16" display="https://www.fox44news.com/news/local-news/brazos/shots-fired-at-college-station-high-school-suspect-sought/" xr:uid="{00000000-0004-0000-0100-00000F000000}"/>
    <hyperlink ref="H33" r:id="rId17" display="https://www.msn.com/en-us/news/crime/shots-fired-near-john-finney-cause-lockdown/ar-AAZNJZH?ocid=hplocalnews&amp;srcref=rss" xr:uid="{00000000-0004-0000-0100-000010000000}"/>
    <hyperlink ref="H36" r:id="rId18" display="https://www.mercedsunstar.com/news/local/crime/article263063843.html" xr:uid="{00000000-0004-0000-0100-000011000000}"/>
    <hyperlink ref="H37" r:id="rId19" display="https://www.cbsnews.com/chicago/news/woman-and-2-teenagers-injured-after-shooting-near-school-gresham/" xr:uid="{00000000-0004-0000-0100-000012000000}"/>
    <hyperlink ref="H38" r:id="rId20" display="https://www.q13fox.com/news/deputies-arrest-15-year-old-accused-of-firing-shots-outside-everett-high-school-causing-a-lockdown" xr:uid="{00000000-0004-0000-0100-000013000000}"/>
    <hyperlink ref="H49" r:id="rId21" display="https://www.postandcourier.com/news/berkeley-county-detention-officers-slaying-in-school-parking-lot-remains-a-mystery/article_14da3fac-0932-11ed-a50f-bb8eb3384a30.html" xr:uid="{00000000-0004-0000-0100-000014000000}"/>
    <hyperlink ref="H50" r:id="rId22" display="https://www.chicagocatholic.com/chicagoland/-/article/2022/06/01/five-windows-at-st-margaret-of-scotland-school-shot-out" xr:uid="{00000000-0004-0000-0100-000015000000}"/>
    <hyperlink ref="H51" r:id="rId23" display="https://www.tmj4.com/news/local-news/mpd-police-respond-to-riverside-high-school-twice-for-reports-of-shots-fired-fight" xr:uid="{00000000-0004-0000-0100-000016000000}"/>
    <hyperlink ref="H55" r:id="rId24" display="https://www.insidenova.com/headlines/potomac-high-school-student-charged-after-bathroom-brandishing/article_f3fa326e-d86d-11ec-bd21-f36cea08fd4d.html" xr:uid="{00000000-0004-0000-0100-000017000000}"/>
    <hyperlink ref="H56" r:id="rId25" display="https://newschannel9.com/news/local/25-year-old-man-shot-to-death-in-chattanooga-near-school-early-friday-morning-east-lake-elementary-murder-homicide" xr:uid="{00000000-0004-0000-0100-000018000000}"/>
    <hyperlink ref="H58" r:id="rId26" display="https://www.myjournalcourier.com/news/article/Hallucinating-woman-arrested-after-shot-fired-17188158.php" xr:uid="{00000000-0004-0000-0100-000019000000}"/>
    <hyperlink ref="H66" r:id="rId27" display="https://www.cbsnews.com/sanfrancisco/news/school-bus-in-san-francisco-hit-by-gunfire/" xr:uid="{00000000-0004-0000-0100-00001A000000}"/>
    <hyperlink ref="H68" r:id="rId28" display="https://www.laconiadailysun.com/news/local/belmont-police-investigate-pellet-gun-shooting-targeted-at-children/article_19c3bb5e-d608-11ec-879e-5bb5cf440fe6.html" xr:uid="{00000000-0004-0000-0100-00001B000000}"/>
    <hyperlink ref="H70" r:id="rId29" display="https://wgxa.tv/news/local/friday-shooting-macon-school" xr:uid="{00000000-0004-0000-0100-00001C000000}"/>
    <hyperlink ref="H79" r:id="rId30" display="https://www.sbsun.com/2022/05/03/gunfire-in-san-bernardino-causes-car-to-crash-leaves-bullet-holes-in-school/" xr:uid="{00000000-0004-0000-0100-00001D000000}"/>
    <hyperlink ref="H82" r:id="rId31" display="https://triblive.com/local/westmoreland/no-one-reported-hurt-after-shot-fired-during-fight-at-mckee-stadium-in-jeannette/" xr:uid="{00000000-0004-0000-0100-00001E000000}"/>
    <hyperlink ref="H83" r:id="rId32" display="https://news4sanantonio.com/news/local/police-shot-suspect-after-attempting-to-break-in-school" xr:uid="{00000000-0004-0000-0100-00001F000000}"/>
    <hyperlink ref="H84" r:id="rId33" display="https://www.wndu.com/2022/04/27/investigation-underway-after-student-shoots-school-bus-window-with-bb-gun/" xr:uid="{00000000-0004-0000-0100-000020000000}"/>
    <hyperlink ref="H88" r:id="rId34" display="https://www.fox5atlanta.com/news/marietta-school-buses-windshield-shot" xr:uid="{00000000-0004-0000-0100-000021000000}"/>
    <hyperlink ref="H90" r:id="rId35" display="https://www.kptv.com/2022/04/23/teen-arrested-after-shooting-near-salem-middle-school/" xr:uid="{00000000-0004-0000-0100-000022000000}"/>
    <hyperlink ref="H92" r:id="rId36" display="https://krcrtv.com/news/local/video-reports-of-shots-fired-near-middle-school" xr:uid="{00000000-0004-0000-0100-000023000000}"/>
    <hyperlink ref="H96" r:id="rId37" display="https://www.wtok.com/2022/04/15/three-students-shot-with-high-powered-air-rifles-neshoba-central/" xr:uid="{00000000-0004-0000-0100-000024000000}"/>
    <hyperlink ref="H97" r:id="rId38" display="https://www.clickondetroit.com/news/local/2022/04/13/11-year-old-shoots-fellow-student-with-bb-gun-during-recess-at-elementary-school-in-southgate/" xr:uid="{00000000-0004-0000-0100-000025000000}"/>
    <hyperlink ref="H101" r:id="rId39" display="https://www.mi-reporter.com/news/island-police-investigating-possible-pellet-gun-shooting-on-school-playfield/" xr:uid="{00000000-0004-0000-0100-000026000000}"/>
    <hyperlink ref="H102" r:id="rId40" display="https://www.koin.com/news/crime/portland-police-investigate-shooting-near-roosevelt-high-school/" xr:uid="{00000000-0004-0000-0100-000027000000}"/>
    <hyperlink ref="H113" r:id="rId41" display="https://www.fox13now.com/news/local-news/utah-parent-says-tiktok-challenge-caused-son-to-be-shot-at-with-toy-gun-then-real-gun" xr:uid="{00000000-0004-0000-0100-000028000000}"/>
    <hyperlink ref="H115" r:id="rId42" display="https://www.actionnews5.com/2022/03/26/shots-fired-during-candlelight-vigil-brighton-high-school/" xr:uid="{00000000-0004-0000-0100-000029000000}"/>
    <hyperlink ref="H117" r:id="rId43" display="https://www.wdbj7.com/2022/03/22/school-bus-shot-nw-roanoke/" xr:uid="{00000000-0004-0000-0100-00002A000000}"/>
    <hyperlink ref="H125" r:id="rId44" display="https://www.chicagotribune.com/news/breaking/ct-barrington-high-school-pellet-guns-shot-at-lgbtq-students-20220318-ans632prmngx3fxixmgzaq3vbu-story.html" xr:uid="{00000000-0004-0000-0100-00002B000000}"/>
    <hyperlink ref="H127" r:id="rId45" display="https://www.alaskasnewssource.com/2022/03/18/charges-forwarded-student-shooting-investigation-redington-jrsr-high-school/" xr:uid="{00000000-0004-0000-0100-00002C000000}"/>
    <hyperlink ref="H132" r:id="rId46" display="https://www.fox5atlanta.com/news/gunshot-fired-in-clayton-county-middle-school-district-says" xr:uid="{00000000-0004-0000-0100-00002D000000}"/>
    <hyperlink ref="H134" r:id="rId47" display="https://6abc.com/new-foundations-charter-high-school-bullet-classroom-philadelphia-shooting-torresdale-ave/11651217/" xr:uid="{00000000-0004-0000-0100-00002E000000}"/>
    <hyperlink ref="H135" r:id="rId48" display="https://www.cbs58.com/news/weapon-fired-inside-jerstad-agerholm-elementary-school-in-racine" xr:uid="{00000000-0004-0000-0100-00002F000000}"/>
    <hyperlink ref="H136" r:id="rId49" display="https://www.wsaz.com/2022/03/11/school-lockdown-lifted-following-robbery-shots-fired-lawrence-county-fairgrounds/" xr:uid="{00000000-0004-0000-0100-000030000000}"/>
    <hyperlink ref="H138" r:id="rId50" display="https://www.actionnews5.com/2022/03/11/memphis-mother-accused-pointing-gun-5-children-outside-school/" xr:uid="{00000000-0004-0000-0100-000031000000}"/>
    <hyperlink ref="H140" r:id="rId51" display="https://kdvr.com/news/local/student-brings-pellet-type-gun-to-rock-canyon-hs/" xr:uid="{00000000-0004-0000-0100-000032000000}"/>
    <hyperlink ref="H142" r:id="rId52" display="https://www.krqe.com/sports/high-school-sports/del-norte-school-bus-shot-with-paintballs-after-espanola-game/" xr:uid="{00000000-0004-0000-0100-000033000000}"/>
    <hyperlink ref="H161" r:id="rId53" display="https://www.wusa9.com/article/news/local/dc/police-man-injured-shooting-parking-lot-dc-charter-school/65-f3074dfc-06a1-49b2-9051-45f4b25befdb" xr:uid="{00000000-0004-0000-0100-000034000000}"/>
    <hyperlink ref="H166" r:id="rId54" display="https://www.fox5atlanta.com/news/southwest-dekalb-high-school-student-accidentally-shot" xr:uid="{00000000-0004-0000-0100-000035000000}"/>
    <hyperlink ref="H169" r:id="rId55" display="https://www.wnky.com/sheriffs-office-investigating-several-shots-fired-incidences-including-one-at-a-school-no-injuries/" xr:uid="{00000000-0004-0000-0100-000036000000}"/>
    <hyperlink ref="H172" r:id="rId56" display="https://kstp.com/kstp-news/top-news/trial-scheduled-for-man-accused-of-murder-in-shooting-outside-richfield-school/" xr:uid="{00000000-0004-0000-0100-000037000000}"/>
    <hyperlink ref="H184" r:id="rId57" display="https://www.wusa9.com/article/news/crime/shooting-outside-anacostia-high-school-caught-on-camera/65-2ad8c323-8d37-4f4d-9ee6-dc8adcd8bc46" xr:uid="{00000000-0004-0000-0100-000038000000}"/>
    <hyperlink ref="H185" r:id="rId58" display="https://www.khou.com/article/news/crime/deadly-shooting-pyburn-elementary-peppertree-lane-houston/285-c7d1292b-a102-4d22-953f-69636db73539" xr:uid="{00000000-0004-0000-0100-000039000000}"/>
    <hyperlink ref="H186" r:id="rId59" display="https://www.fox5dc.com/news/man-found-with-gun-at-gaithersburg-high-school-is-second-incident-in-montgomery-county-this-month" xr:uid="{00000000-0004-0000-0100-00003A000000}"/>
    <hyperlink ref="H191" r:id="rId60" display="https://www.10tv.com/article/news/local/columbus-school-bus-hit-gunfire-i-670/530-4688dd7c-6ed3-4e46-9ac9-284f273997c6" xr:uid="{00000000-0004-0000-0100-00003B000000}"/>
    <hyperlink ref="H195" r:id="rId61" display="https://bronx.news12.com/nypd-shots-fired-outside-of-p-s-26-in-brooklyn-no-injuries-reported" xr:uid="{00000000-0004-0000-0100-00003C000000}"/>
    <hyperlink ref="H204" r:id="rId62" display="https://www.wbtv.com/2021/12/09/shots-hit-cars-high-school-parking-lot-rowan-county-prompting-lockdown/" xr:uid="{00000000-0004-0000-0100-00003D000000}"/>
    <hyperlink ref="H207" r:id="rId63" display="https://www.wave3.com/2021/12/08/shooting-near-st-matthews-elementary-school-under-investigation/" xr:uid="{00000000-0004-0000-0100-00003E000000}"/>
    <hyperlink ref="H211" r:id="rId64" display="https://www.kait8.com/2021/12/06/man-arrested-following-school-parking-lot-shooting/" xr:uid="{00000000-0004-0000-0100-00003F000000}"/>
    <hyperlink ref="H213" r:id="rId65" display="https://www.khou.com/article/news/crime/armed-robbery-sam-rayburn-high-school/285-06becca9-eb0b-46ce-85e6-b710d108e7dc" xr:uid="{00000000-0004-0000-0100-000040000000}"/>
    <hyperlink ref="H217" r:id="rId66" display="https://losangeles.cbslocal.com/video/6166005-school-bus-hit-by-bb-gun/" xr:uid="{00000000-0004-0000-0100-000041000000}"/>
    <hyperlink ref="H218" r:id="rId67" display="https://www.wifr.com/2021/11/29/shots-fired-behind-west-middle-school/" xr:uid="{00000000-0004-0000-0100-000042000000}"/>
    <hyperlink ref="H221" r:id="rId68" display="https://www.chicagotribune.com/suburbs/daily-southtown/ct-sta-thornton-high-school-shots-fired-st-1125-20211124-23o46c2tavacvn4g6agtukzej4-story.html" xr:uid="{00000000-0004-0000-0100-000043000000}"/>
    <hyperlink ref="H222" r:id="rId69" display="https://fox8.com/news/cleveland-school-bus-driver-robbed-at-gunpoint/" xr:uid="{00000000-0004-0000-0100-000044000000}"/>
    <hyperlink ref="H225" r:id="rId70" display="https://nypost.com/2021/11/18/cops-arrest-gunman-who-fired-outside-nyc-school-police-say/" xr:uid="{00000000-0004-0000-0100-000045000000}"/>
    <hyperlink ref="H226" r:id="rId71" display="https://www.firstcoastnews.com/article/news/crime/jso-2-critically-wounded-after-moncrief-area-shooting-school-bus-hit-by-gunfire-jacksonville/77-3869f63b-d473-4a45-9724-e3fb6b7ba011" xr:uid="{00000000-0004-0000-0100-000046000000}"/>
    <hyperlink ref="H235" r:id="rId72" display="https://www.wltx.com/article/news/crime/calhoun-county-gunfire-teen-arrested/101-f7c8bca9-d90a-4583-a83e-0ceb27a6bd67" xr:uid="{00000000-0004-0000-0100-000047000000}"/>
    <hyperlink ref="H237" r:id="rId73" display="https://blockclubchicago.org/2021/10/26/shots-fired-during-fight-outside-west-town-school/" xr:uid="{00000000-0004-0000-0100-000048000000}"/>
    <hyperlink ref="H247" r:id="rId74" display="https://wgntv.com/news/chicagocrime/separate-shooting-incidents-outside-cps-schools-has-parents-on-edge/" xr:uid="{00000000-0004-0000-0100-000049000000}"/>
    <hyperlink ref="H263" r:id="rId75" display="https://www.santafenewmexican.com/news/local_news/suspect-in-shooting-spree-near-santa-fe-indian-school-charged-with-murder/article_29ff33f0-5e89-11ec-b003-9f6af4c814ff.html" xr:uid="{00000000-0004-0000-0100-00004A000000}"/>
    <hyperlink ref="H264" r:id="rId76" display="https://chicago.cbslocal.com/video/6072449-video-of-shooting-outside-lakeview-high-school/" xr:uid="{00000000-0004-0000-0100-00004B000000}"/>
    <hyperlink ref="H272" r:id="rId77" display="https://www.cleveland19.com/2021/09/30/shot-fired-after-middle-school-football-game-east-cleveland/" xr:uid="{00000000-0004-0000-0100-00004C000000}"/>
    <hyperlink ref="H274" r:id="rId78" display="https://www.lakemchenryscanner.com/2021/09/24/police-arrest-juvenile-who-brought-bb-gun-to-crystal-lake-elementary-school-shot-other-kids/" xr:uid="{00000000-0004-0000-0100-00004D000000}"/>
    <hyperlink ref="H277" r:id="rId79" display="https://www.baltimoresun.com/maryland/baltimore-city/bs-md-ci-wildwood-parkway-shooting-20210925-foif3yhuzjahniqo7u35vophv4-story.html" xr:uid="{00000000-0004-0000-0100-00004E000000}"/>
    <hyperlink ref="H279" r:id="rId80" display="https://www.postregister.com/star/news/jefferson-joint-school-dist-moving-forward-after-another-gun-incident/article_e7b6f146-3426-5c60-a8c7-4668519062a5.html" xr:uid="{00000000-0004-0000-0100-00004F000000}"/>
    <hyperlink ref="H280" r:id="rId81" display="https://newyork.cbslocal.com/2021/09/22/teen-shot-near-brooklyn-schools/" xr:uid="{00000000-0004-0000-0100-000050000000}"/>
    <hyperlink ref="H282" r:id="rId82" display="https://www.fox29.com/news/15-year-old-boy-shot-outside-school-in-north-philadelphia-police-say" xr:uid="{00000000-0004-0000-0100-000051000000}"/>
    <hyperlink ref="H283" r:id="rId83" display="https://www.fox19.com/2021/09/22/middletown-school-bus-hit-with-bb-gun-fire/" xr:uid="{00000000-0004-0000-0100-000052000000}"/>
    <hyperlink ref="H285" r:id="rId84" display="https://decaturish.com/2021/09/argument-outside-toomer-elementary-leads-to-shots-fired-temporary-lockdown/" xr:uid="{00000000-0004-0000-0100-000053000000}"/>
    <hyperlink ref="H288" r:id="rId85" display="https://www.news5cleveland.com/news/local-news/cleveland-metro/teens-shot-near-k-6-school-in-clevelands-broadway-slavic-village-neighborhood" xr:uid="{00000000-0004-0000-0100-000054000000}"/>
    <hyperlink ref="H295" r:id="rId86" display="https://www.nbc15.com/2021/09/16/reports-shots-fired-near-orchard-ridge-elementary-school/" xr:uid="{00000000-0004-0000-0100-000055000000}"/>
    <hyperlink ref="H297" r:id="rId87" display="https://www.thesussireport.com/reports/car-windows-shot-out-at-high-school-football-game" xr:uid="{00000000-0004-0000-0100-000056000000}"/>
    <hyperlink ref="H302" r:id="rId88" display="https://www.ksdk.com/article/news/local/hazelwood-parents-bring-gun-school/63-858a7bac-0311-4c92-8471-c2770c2c7716" xr:uid="{00000000-0004-0000-0100-000057000000}"/>
    <hyperlink ref="H305" r:id="rId89" display="https://sanfrancisco.cbslocal.com/2021/09/03/palo-alto-man-arrested-shooting-child-school-air-rifle/" xr:uid="{00000000-0004-0000-0100-000058000000}"/>
    <hyperlink ref="H306" r:id="rId90" display="https://www.wavy.com/news/crime/shooting-shatters-windows-at-elizabeth-city-elementary-school/" xr:uid="{00000000-0004-0000-0100-000059000000}"/>
    <hyperlink ref="H307" r:id="rId91" display="https://www.detroitnews.com/story/news/local/oakland-county/2021/09/09/2-teens-arrested-school-parking-lot-shooting-royal-oak-twp/5781664001/" xr:uid="{00000000-0004-0000-0100-00005A000000}"/>
    <hyperlink ref="H309" r:id="rId92" display="https://bringmethenews.com/minnesota-news/brooklyn-park-school-hit-by-bullets-cancels-classes-thursday" xr:uid="{00000000-0004-0000-0100-00005B000000}"/>
    <hyperlink ref="H313" r:id="rId93" display="https://whdh.com/news/police-2-teens-facing-charges-after-shooting-bar-school-bus-more-than-40-cars-with-bb-guns-on-north-shore/" xr:uid="{00000000-0004-0000-0100-00005C000000}"/>
    <hyperlink ref="H319" r:id="rId94" display="https://www.fox32chicago.com/news/gary-students-to-return-to-class-after-classmate-shot" xr:uid="{00000000-0004-0000-0100-00005D000000}"/>
    <hyperlink ref="H320" r:id="rId95" display="https://www.ajc.com/news/breaking-3-henry-schools-on-lockdown-due-to-suspicious-person/J6LSPTV7XVALNDGZOJVBSZJK2E/" xr:uid="{00000000-0004-0000-0100-00005E000000}"/>
    <hyperlink ref="H323" r:id="rId96" display="https://arktimes.com/arkansas-blog/2021/09/02/a-gun-brandished-at-little-rock-central-high-this-morning-but-no-shots-fired" xr:uid="{00000000-0004-0000-0100-00005F000000}"/>
    <hyperlink ref="H328" r:id="rId97" display="https://www.wmar2news.com/news/local-news/police-investigating-shots-fired-in-owings-mills-monday-afternoon" xr:uid="{00000000-0004-0000-0100-000060000000}"/>
    <hyperlink ref="H329" r:id="rId98" display="https://cbs12.com/news/local/pbc-mom-complains-about-safety-on-buses-after-her-daughter-was-shot-with-a-pellet-gun" xr:uid="{00000000-0004-0000-0100-000061000000}"/>
    <hyperlink ref="H330" r:id="rId99" display="https://keyt.com/news/crime/2021/08/28/police-investigating-shots-fired-at-santa-maria-high-school/" xr:uid="{00000000-0004-0000-0100-000062000000}"/>
    <hyperlink ref="H331" r:id="rId100" display="https://www.wcax.com/2021/08/27/burlington-schools-canceled-due-police-incident/" xr:uid="{00000000-0004-0000-0100-000063000000}"/>
    <hyperlink ref="H336" r:id="rId101" display="https://www.seattletimes.com/seattle-news/crime/14-year-old-in-critical-condition-teen-in-custody-after-gunfire-erupts-outside-seattle-middle-school/" xr:uid="{00000000-0004-0000-0100-000064000000}"/>
    <hyperlink ref="H337" r:id="rId102" display="https://www.wtol.com/article/news/local/fight-shots-fired-during-youth-football-game-at-northpointe-academy-elementary/512-86c1c571-4188-43c4-898e-3930ac7721aa" xr:uid="{00000000-0004-0000-0100-000065000000}"/>
    <hyperlink ref="H338" r:id="rId103" display="https://bronx.news12.com/police-suspect-arrested-for-firing-shots-during-dispute-on-grounds-of-hauppauge-middle-school" xr:uid="{00000000-0004-0000-0100-000066000000}"/>
    <hyperlink ref="H344" r:id="rId104" display="https://www.insidenova.com/news/crime_police/police-investigate-shots-fired-in-dale-city-school-parking-lot/article_ffda50d0-0061-11ec-945a-9343d5248cec.html" xr:uid="{00000000-0004-0000-0100-000067000000}"/>
    <hyperlink ref="H345" r:id="rId105" display="https://wpde.com/news/local/school-bus-windows-shot-out-with-bb-pellet-gun-in-hartsville" xr:uid="{00000000-0004-0000-0100-000068000000}"/>
    <hyperlink ref="H346" r:id="rId106" display="https://chicago.cbslocal.com/2021/08/14/15-year-old-boy-shot-near-elementary-school-calumet-heights/" xr:uid="{00000000-0004-0000-0100-000069000000}"/>
    <hyperlink ref="H350" r:id="rId107" display="https://www.pe.com/2021/08/12/early-morning-gunshot-locks-down-san-jacintos-north-mountain-middle-school/" xr:uid="{00000000-0004-0000-0100-00006A000000}"/>
    <hyperlink ref="H354" r:id="rId108" display="https://www.oregonlive.com/portland/2021/08/man-found-dead-after-shooting-in-portlands-powellhurst-gilbert-neighborhood-police-say.html" xr:uid="{00000000-0004-0000-0100-00006B000000}"/>
    <hyperlink ref="H361" r:id="rId109" display="https://www.kark.com/news/local-news/little-rock-police-investigating-shooting-near-elementary-school-no-injuries-reported/" xr:uid="{00000000-0004-0000-0100-00006C000000}"/>
    <hyperlink ref="H365" r:id="rId110" display="https://www.yourcentralvalley.com/news/local-news/driver-crashes-into-central-fresno-school-fence-after-being-shot-police-say/" xr:uid="{00000000-0004-0000-0100-00006D000000}"/>
    <hyperlink ref="H371" r:id="rId111" display="https://6abc.com/young-man-shot-and-killed-near-philadelphia-school/10787708/" xr:uid="{00000000-0004-0000-0100-00006E000000}"/>
    <hyperlink ref="H372" r:id="rId112" display="https://www.wgal.com/article/man-found-shot-in-columbia/36709512" xr:uid="{00000000-0004-0000-0100-00006F000000}"/>
    <hyperlink ref="H379" r:id="rId113" display="https://www.nbcnews.com/news/us-news/16-year-old-critical-condition-after-getting-shot-outside-texas-n1269945" xr:uid="{00000000-0004-0000-0100-000070000000}"/>
    <hyperlink ref="H393" r:id="rId114" display="https://chicago.cbslocal.com/2021/05/03/near-west-side-shooting-2/" xr:uid="{00000000-0004-0000-0100-000071000000}"/>
    <hyperlink ref="H416" r:id="rId115" display="https://www.chicagotribune.com/suburbs/post-tribune/ct-ptb-courts-riley-murder-st-0407-20210406-iuwci7kygfet5iwmiwcxasuwfa-story.html" xr:uid="{00000000-0004-0000-0100-000072000000}"/>
    <hyperlink ref="H425" r:id="rId116" display="https://abc30.com/visalia-shooting-houston-elementary-school-police-man-shot/10361223/" xr:uid="{00000000-0004-0000-0100-000073000000}"/>
    <hyperlink ref="H427" r:id="rId117" display="https://www.wate.com/news/local-news/dispatch-knoxville-police-respond-to-reported-shooting-in-north-knoxville/" xr:uid="{00000000-0004-0000-0100-000074000000}"/>
    <hyperlink ref="H438" r:id="rId118" display="https://www.newson6.com/story/600ba2d50247a70bc6e22b8a/parent-accidentally-shoots-themself-while-picking-up-student-at-grove-lower-elementary" xr:uid="{00000000-0004-0000-0100-000075000000}"/>
    <hyperlink ref="H439" r:id="rId119" display="https://www.nbc4i.com/news/local-news/cpd-school-fight-leads-to-shooting/" xr:uid="{00000000-0004-0000-0100-000076000000}"/>
    <hyperlink ref="H442" r:id="rId120" location="photo-20839860" display="https://www.timesunion.com/news/article/Town-of-Perth-man-charged-for-alleged-animal-16084406.php - photo-20839860" xr:uid="{00000000-0004-0000-0100-000077000000}"/>
    <hyperlink ref="H444" r:id="rId121" display="https://wsvn.com/news/special-reports/bso-investigating-shooting-incident-outside-holiday-party-hosted-by-pompano-beach-school-for-at-risk-youth/" xr:uid="{00000000-0004-0000-0100-000078000000}"/>
    <hyperlink ref="H451" r:id="rId122" display="https://www.krtv.com/news/crime-and-courts/ledford-charged-with-shooting-out-windows-at-great-falls-high-school" xr:uid="{00000000-0004-0000-0100-000079000000}"/>
    <hyperlink ref="H455" r:id="rId123" display="https://www.eastbaytimes.com/2020/11/13/union-city-man-shot-near-cesar-chavez-middle-school/" xr:uid="{00000000-0004-0000-0100-00007A000000}"/>
    <hyperlink ref="H457" r:id="rId124" display="https://www.sgvtribune.com/2020/11/09/body-of-man-who-had-been-fatally-shot-is-found-at-school-near-la-puente/" xr:uid="{00000000-0004-0000-0100-00007B000000}"/>
    <hyperlink ref="H458" r:id="rId125" display="https://www.mywabashvalley.com/top-news/thpd-shots-fired-at-terre-haute-high-school-no-injuries/" xr:uid="{00000000-0004-0000-0100-00007C000000}"/>
    <hyperlink ref="H462" r:id="rId126" display="https://spectrumlocalnews.com/nys/rochester/public-safety/2020/10/29/rpd--bullet-hits-rochester-prep-charter-school-in-apparent-drive-by-shooting-" xr:uid="{00000000-0004-0000-0100-00007D000000}"/>
    <hyperlink ref="H464" r:id="rId127" display="https://www.stamfordadvocate.com/policereports/article/Police-Man-shot-early-Tuesday-in-Stamford-15678594.php" xr:uid="{00000000-0004-0000-0100-00007E000000}"/>
    <hyperlink ref="H468" r:id="rId128" display="http://www.bradfordera.com/news/local/no-injuries-when-school-bus-shot-by-bb-gun-wednesday/article_5e809a44-23b0-5f69-a54c-b2ae8799785b.html" xr:uid="{00000000-0004-0000-0100-00007F000000}"/>
    <hyperlink ref="H470" r:id="rId129" display="https://www.wfaa.com/article/news/crime/no-one-injured-verbal-altercation-escalates-shooting-north-dallas-high-school-parking-lot-district-officials-say/287-2a04b92a-88da-45cc-8ed3-b8a7ab58ee78" xr:uid="{00000000-0004-0000-0100-000080000000}"/>
    <hyperlink ref="H471" r:id="rId130" display="https://www.fox9.com/news/target-shooter-fires-accidental-shots-near-shakopee-sports-stadium" xr:uid="{00000000-0004-0000-0100-000081000000}"/>
    <hyperlink ref="H475" r:id="rId131" display="https://www.klkntv.com/shots-fired-at-a-lincoln-elementary-school-officers-say-its-alarming/" xr:uid="{00000000-0004-0000-0100-000082000000}"/>
    <hyperlink ref="H476" r:id="rId132" display="https://www.mainlinemedianews.com/mainlinesuburbanlife/radnor-police-reports-shots-from-pellet-gun-hit-school-bus/article_a0646684-0c76-11eb-bae3-0702efefe48f.html" xr:uid="{00000000-0004-0000-0100-000083000000}"/>
    <hyperlink ref="H480" r:id="rId133" display="https://www.kwqc.com/2020/09/27/police-man-found-in-school-stairwell-and-arrested-after-shooting-friday-night/" xr:uid="{00000000-0004-0000-0100-000084000000}"/>
    <hyperlink ref="H481" r:id="rId134" display="https://newschannel20.com/news/local/man-elementary-school-window-shot-by-bb-gun" xr:uid="{00000000-0004-0000-0100-000085000000}"/>
    <hyperlink ref="H484" r:id="rId135" display="https://www.news4jax.com/news/local/2020/09/23/police-1-detained-after-shot-fired-at-duval-county-school-bus/" xr:uid="{00000000-0004-0000-0100-000086000000}"/>
    <hyperlink ref="H488" r:id="rId136" display="https://www.wkyt.com/2020/09/19/one-shot-near-lexington-school/" xr:uid="{00000000-0004-0000-0100-000087000000}"/>
    <hyperlink ref="H492" r:id="rId137" display="https://www.kiro7.com/news/local/man-injured-gig-harbor-shooting/AMXZMA2TLZC53LAN53PMT5GNAE/" xr:uid="{00000000-0004-0000-0100-000088000000}"/>
    <hyperlink ref="H494" r:id="rId138" display="https://www.heraldonline.com/news/local/crime/article245774640.html" xr:uid="{00000000-0004-0000-0100-000089000000}"/>
    <hyperlink ref="H496" r:id="rId139" display="https://www.10tv.com/article/news/local/no-one-hurt-when-columbus-city-schools-bus-shot-in-northeast-columbus/530-16a8f216-efe8-4e7a-922d-4a9ba1c21493" xr:uid="{00000000-0004-0000-0100-00008A000000}"/>
    <hyperlink ref="H495" r:id="rId140" display="https://www.centralillinoisproud.com/news/local-news/peoria-public-schools-emphasizing-student-safety-after-school-bus-was-struck-by-stray-bullet-thursday/" xr:uid="{00000000-0004-0000-0100-00008B000000}"/>
    <hyperlink ref="H502" r:id="rId141" display="https://abc17news.com/news/crime/shooting/2020/08/25/one-person-shot-near-west-middle-school-in-columbia/" xr:uid="{00000000-0004-0000-0100-00008C000000}"/>
    <hyperlink ref="H508" r:id="rId142" display="https://www.detroitnews.com/story/news/local/macomb-county/2020/07/14/sterling-heights-police-fight-shot-fired-school-grounds/5435977002/" xr:uid="{00000000-0004-0000-0100-00008D000000}"/>
    <hyperlink ref="H510" r:id="rId143" display="https://www.dailyherald.com/news/20200714/prospect-heights-man-charged-after-shooting-near-frost-elementary-school" xr:uid="{00000000-0004-0000-0100-00008E000000}"/>
    <hyperlink ref="H517" r:id="rId144" display="https://www.cleveland.com/metro/2020/05/man-shot-to-death-in-school-parking-lot-in-clevelands-tremont-neighborhood.html" xr:uid="{00000000-0004-0000-0100-00008F000000}"/>
    <hyperlink ref="H518" r:id="rId145" display="https://www.fox10tv.com/news/mpd-makes-arrest-in-overnight-robbery-and-shooting-in-school-parking-lot/article_711aa7e0-9fa6-11ea-ac6c-ef149a798701.html" xr:uid="{00000000-0004-0000-0100-000090000000}"/>
    <hyperlink ref="H519" r:id="rId146" display="https://fox8.com/news/man-killed-in-shooting-near-miles-elementary-school-in-cleveland/" xr:uid="{00000000-0004-0000-0100-000091000000}"/>
    <hyperlink ref="H521" r:id="rId147" display="https://abc11.com/nc-man-shoots-at-couple-after-mistaking-them-for-russian-mafia-/6196277/" xr:uid="{00000000-0004-0000-0100-000092000000}"/>
    <hyperlink ref="H523" r:id="rId148" display="https://www.newsobserver.com/news/local/crime/article256631386.html" xr:uid="{00000000-0004-0000-0100-000093000000}"/>
    <hyperlink ref="H529" r:id="rId149" display="https://www.wsmv.com/news/sro-accidentally-fires-gun-inside-elementary-school/article_37ac76fe-654b-11ea-88b9-3fd9db99f2ae.html" xr:uid="{00000000-0004-0000-0100-000094000000}"/>
    <hyperlink ref="H533" r:id="rId150" display="https://www.abqjournal.com/1424911/apd-drive-by-sent-bullets-flying-into-abq-school.html" xr:uid="{00000000-0004-0000-0100-000095000000}"/>
    <hyperlink ref="H539" r:id="rId151" display="https://abc13.com/shooting-at-hicks-elementary-leaves-man-injured/5897932/" xr:uid="{00000000-0004-0000-0100-000096000000}"/>
    <hyperlink ref="H544" r:id="rId152" display="https://kimatv.com/news/local/police-yakima-teen-arrested-for-threatening-woman-girl-at-and-elementary-school" xr:uid="{00000000-0004-0000-0100-000097000000}"/>
    <hyperlink ref="H546" r:id="rId153" display="https://www.klkntv.com/story/41605181/car-breakins-occur-at-a-lincoln-middle-school" xr:uid="{00000000-0004-0000-0100-000098000000}"/>
    <hyperlink ref="H547" r:id="rId154" display="https://chicago.cbslocal.com/2020/01/22/lindblom-high-school-shooting-robbery-swim-team-members/" xr:uid="{00000000-0004-0000-0100-000099000000}"/>
    <hyperlink ref="H554" r:id="rId155" display="https://www.wapt.com/article/australia-turns-from-defense-to-offense-in-wildfire-battle/30485441" xr:uid="{00000000-0004-0000-0100-00009A000000}"/>
    <hyperlink ref="H555" r:id="rId156" display="https://www.wptv.com/news/region-the-glades/belle-glade/lockdown-lifted-at-glades-central-high-school-following-shooting" xr:uid="{00000000-0004-0000-0100-00009B000000}"/>
    <hyperlink ref="H563" r:id="rId157" display="https://www.14news.com/2019/12/11/dispatch-police-called-evans-elem-after-gunshots-reported/" xr:uid="{00000000-0004-0000-0100-00009C000000}"/>
    <hyperlink ref="H565" r:id="rId158" display="https://www.kshb.com/news/local-news/no-injuries-reported-after-school-bus-struck-by-gunfire-near-j-c-harmon-high-school" xr:uid="{00000000-0004-0000-0100-00009D000000}"/>
    <hyperlink ref="H571" r:id="rId159" display="https://www.wvtm13.com/article/mountain-brook-homicide-woman-found-dead-parking-lot-megan-montgomery/30065595" xr:uid="{00000000-0004-0000-0100-00009E000000}"/>
    <hyperlink ref="H573" r:id="rId160" display="https://abc7chicago.com/1-shot-outside-school-in-austin/5717900/" xr:uid="{00000000-0004-0000-0100-00009F000000}"/>
    <hyperlink ref="H575" r:id="rId161" display="https://abc7chicago.com/rich-central-student-charged-after-pellet-hits-school-bus-injuring-another-student/5713973/" xr:uid="{00000000-0004-0000-0100-0000A0000000}"/>
    <hyperlink ref="H581" r:id="rId162" display="https://www.kcra.com/article/shooting-scare-prompts-panic-at-stockton-football-game/29745486" xr:uid="{00000000-0004-0000-0100-0000A1000000}"/>
    <hyperlink ref="H584" r:id="rId163" display="https://dailyvoice.com/new-jersey/ocean/police-fire/asbury-park-teen-idd-charged-with-shooting-near-brick-high-school/794032/" xr:uid="{00000000-0004-0000-0100-0000A2000000}"/>
    <hyperlink ref="H586" r:id="rId164" display="https://www.13abc.com/content/news/Shots-fired-at-Woodward-High-School-football-game-against-Rogers-563419051.html" xr:uid="{00000000-0004-0000-0100-0000A3000000}"/>
    <hyperlink ref="H590" r:id="rId165" display="https://www.katc.com/news/acadia-parish/police-confirm-arrest-of-second-suspect-in-shooting-near-rayne-hs-stadium" xr:uid="{00000000-0004-0000-0100-0000A4000000}"/>
    <hyperlink ref="H595" r:id="rId166" display="https://www.wbtv.com/2019/09/28/arrested-after-multiple-fights-high-school-football-game-charlotte/" xr:uid="{00000000-0004-0000-0100-0000A5000000}"/>
    <hyperlink ref="H600" r:id="rId167" display="https://dfw.cbslocal.com/2019/09/14/dispute-pee-wee-football-game-shooting-2-injured-fort-worth/" xr:uid="{00000000-0004-0000-0100-0000A6000000}"/>
    <hyperlink ref="H607" r:id="rId168" display="https://www.al.com/news/birmingham/2019/09/shots-fired-near-alabama-high-school-football-game-temporarily-stop-play-no-injures.html" xr:uid="{00000000-0004-0000-0100-0000A7000000}"/>
    <hyperlink ref="H608" r:id="rId169" display="https://www.wmar2news.com/news/crime-checker/baltimore-city-crime/triple-shooting-near-elementary-school-leaves-one-man-dead-on-monday" xr:uid="{00000000-0004-0000-0100-0000A8000000}"/>
    <hyperlink ref="H609" r:id="rId170" display="https://www.13abc.com/content/news/Juvenile-shot-on-Central-Catholic-grounds-after-altercation-following-football-game-558889751.html" xr:uid="{00000000-0004-0000-0100-0000A9000000}"/>
    <hyperlink ref="H610" r:id="rId171" display="https://www.wnct.com/news/2-arrested-in-connection-to-a-shooting-at-a-kinston-football-game/" xr:uid="{00000000-0004-0000-0100-0000AA000000}"/>
    <hyperlink ref="H612" r:id="rId172" display="https://patch.com/new-york/merrick/shooting-long-island-school-causes-lockdown" xr:uid="{00000000-0004-0000-0100-0000AB000000}"/>
    <hyperlink ref="H615" r:id="rId173" display="https://www.stltoday.com/news/kristina-curry-found-dead-with-gunshot-wounds-at-roosevelt-high/article_965e67bc-9a38-577b-8346-2cb10be3843a.html" xr:uid="{00000000-0004-0000-0100-0000AC000000}"/>
    <hyperlink ref="H618" r:id="rId174" display="https://cumberlink.com/news/local/crime-and-courts/school-saint-patrick-parent-accidentally-fires-gun-injures-self-in/article_d58b284e-fd55-5d1f-bf83-91de12e5302d.html" xr:uid="{00000000-0004-0000-0100-0000AD000000}"/>
    <hyperlink ref="H620" r:id="rId175" display="https://www.wsmv.com/news/three-in-custody-after-shots-fired-at-east-high-school/article_9f788d58-bfcf-11e9-bdda-c788cc06a4b1.html" xr:uid="{00000000-0004-0000-0100-0000AE000000}"/>
    <hyperlink ref="H623" r:id="rId176" display="https://fox5sandiego.com/2019/07/19/mid-city-school-locks-down-over-bb-gun-shooting/" xr:uid="{00000000-0004-0000-0100-0000AF000000}"/>
    <hyperlink ref="H624" r:id="rId177" display="https://whdh.com/news/2-charged-in-fatal-shooting-of-man-found-behind-high-school/" xr:uid="{00000000-0004-0000-0100-0000B0000000}"/>
    <hyperlink ref="H627" r:id="rId178" display="https://www.denverpost.com/2019/07/04/colorado-springs-shooting-victims/" xr:uid="{00000000-0004-0000-0100-0000B1000000}"/>
    <hyperlink ref="H629" r:id="rId179" display="https://6abc.com/police-del-man-found-holding-loaded-gun-outside-nj-elementary-school/5346847/" xr:uid="{00000000-0004-0000-0100-0000B2000000}"/>
    <hyperlink ref="H630" r:id="rId180" display="https://www.mcall.com/news/police/mc-nws-emmaus-shooting-conspiracy-prelim-20200110-2setspazpzapxmcnt7ljuyvfx4-story.html" xr:uid="{00000000-0004-0000-0100-0000B3000000}"/>
    <hyperlink ref="H632" r:id="rId181" display="https://www.chicagotribune.com/suburbs/lake-county-news-sun/news/ct-lns-waukegan-shooting-arrests-blotter-st-0612-story.html" xr:uid="{00000000-0004-0000-0100-0000B4000000}"/>
    <hyperlink ref="H633" r:id="rId182" display="https://chicago.suntimes.com/crime/2019/6/6/18656020/genevieve-melody-school-court-shooting" xr:uid="{00000000-0004-0000-0100-0000B5000000}"/>
    <hyperlink ref="H634" r:id="rId183" display="https://wjla.com/news/local/dc-elementary-school-shot-again" xr:uid="{00000000-0004-0000-0100-0000B6000000}"/>
    <hyperlink ref="H636" r:id="rId184" display="https://www.kgw.com/article/news/local/police-id-student-accused-of-bringing-shotgun-to-parkrose-high-school/283-6998e18d-8460-4ab4-87bd-aab49b4082a8" xr:uid="{00000000-0004-0000-0100-0000B7000000}"/>
    <hyperlink ref="H641" r:id="rId185" display="https://www.wfla.com/news/pasco-county/deputies-pasco-school-officer-s-gun-discharges-in-cafeteria-no-one-injured/1966758072" xr:uid="{00000000-0004-0000-0100-0000B8000000}"/>
    <hyperlink ref="H642" r:id="rId186" display="http://www.fox5atlanta.com/news/police-release-vehicle-description-in-fulton-county-school-bus-shooting" xr:uid="{00000000-0004-0000-0100-0000B9000000}"/>
    <hyperlink ref="H647" r:id="rId187" display="https://www.kxro.com/montesano-police-arrest-student-after-school-shooting-statements/" xr:uid="{00000000-0004-0000-0100-0000BA000000}"/>
    <hyperlink ref="H650" r:id="rId188" display="https://www.sentinelcolorado.com/0trending/aurora-high-school-dean-accused-of-bringing-loaded-concealed-weapon-to-campus-making-threats/" xr:uid="{00000000-0004-0000-0100-0000BB000000}"/>
    <hyperlink ref="H653" r:id="rId189" display="https://www.news4jax.com/news/2019/03/28/12-year-old-hurt-after-metal-projectile-hits-school-bus/" xr:uid="{00000000-0004-0000-0100-0000BC000000}"/>
    <hyperlink ref="H655" r:id="rId190" display="https://www.orlandosentinel.com/news/breaking-news/os-ne-lake-mary-lockdown-code-red-20190313-story.html" xr:uid="{00000000-0004-0000-0100-0000BD000000}"/>
    <hyperlink ref="H658" r:id="rId191" display="https://kdvr.com/2019/02/18/man-shot-in-neighbor-dispute-idd-as-former-cu-football-player-assistant-high-school-principal/" xr:uid="{00000000-0004-0000-0100-0000BE000000}"/>
    <hyperlink ref="H666" r:id="rId192" display="https://mynews4.com/news/local/2019-shooting-of-man-near-reno-high-school-by-reno-police-ruled-justified-by-washoe-da" xr:uid="{00000000-0004-0000-0100-0000BF000000}"/>
    <hyperlink ref="H671" r:id="rId193" display="https://www.wral.com/durham-school-bus-hit-by-stray-bullet/18133535/" xr:uid="{00000000-0004-0000-0100-0000C0000000}"/>
    <hyperlink ref="H672" r:id="rId194" display="https://fox2now.com/2019/01/18/gunfire-exchanged-in-hazelwood-east-parking-lot/" xr:uid="{00000000-0004-0000-0100-0000C1000000}"/>
    <hyperlink ref="H676" r:id="rId195" display="https://www.delawareonline.com/story/news/crime/2018/12/18/shots-fired-ai-dupont-high-school/2358011002/" xr:uid="{00000000-0004-0000-0100-0000C2000000}"/>
    <hyperlink ref="H677" r:id="rId196" display="https://fox4kc.com/2018/12/14/police-investigating-reports-of-shot-fired-into-air-and-shooting-at-2-metro-high-schools/" xr:uid="{00000000-0004-0000-0100-0000C3000000}"/>
    <hyperlink ref="H680" r:id="rId197" display="https://democratherald.com/news/local/sheriff-death-of-teen-in-jefferson-apparently-suicide/article_3eb0d660-a01e-55d9-8d38-076025be56cb.html" xr:uid="{00000000-0004-0000-0100-0000C4000000}"/>
    <hyperlink ref="H681" r:id="rId198" display="https://www.nbcphiladelphia.com/news/local/Stray-Bullet-Strawberry-Mansion-High-School-Lockdown-Shooting--501474831.html" xr:uid="{00000000-0004-0000-0100-0000C5000000}"/>
    <hyperlink ref="H682" r:id="rId199" display="https://abc6onyourside.com/news/local/police-investigating-double-shooting-at-africentric-high-school" xr:uid="{00000000-0004-0000-0100-0000C6000000}"/>
    <hyperlink ref="H685" r:id="rId200" display="https://www.mlive.com/news/muskegon/index.ssf/2018/11/man_suspected_of_shooting_out.html" xr:uid="{00000000-0004-0000-0100-0000C7000000}"/>
    <hyperlink ref="H686" r:id="rId201" display="https://wtkr.com/2018/11/20/shot-fired-by-portsmouth-elementary-school-police-investigate/" xr:uid="{00000000-0004-0000-0100-0000C8000000}"/>
    <hyperlink ref="H687" r:id="rId202" display="https://baltimore.cbslocal.com/2018/11/12/school-resource-officer-suicide/" xr:uid="{00000000-0004-0000-0100-0000C9000000}"/>
    <hyperlink ref="H688" r:id="rId203" display="https://www.mdjonline.com/news/gun-fired-in-garrett-middle-school-bathroom-students-charged/article_3efeedb6-e481-11e8-b800-e38d6827d46f.html" xr:uid="{00000000-0004-0000-0100-0000CA000000}"/>
    <hyperlink ref="H689" r:id="rId204" display="https://ksby.com/news/2018/12/03/suspects-arrested-in-santa-barbara-elementary-school-shooting-linked-to-other-crimes" xr:uid="{00000000-0004-0000-0100-0000CB000000}"/>
    <hyperlink ref="H690" r:id="rId205" display="https://www.wbtw.com/crime/grand-strand-crime/12-year-old-issued-summons-after-bringing-bb-gun-to-conway-school-shooting-13-year-old-report-says/1579188190" xr:uid="{00000000-0004-0000-0100-0000CC000000}"/>
    <hyperlink ref="H694" r:id="rId206" display="https://www.wxyz.com/news/detroit-police-confirm-shooting-on-cody-high-school-property" xr:uid="{00000000-0004-0000-0100-0000CD000000}"/>
    <hyperlink ref="H695" r:id="rId207" display="https://www.wmur.com/amp/article/manchester-after-school-volunteer-shot-by-pellet-gun-at-elementary-school/24089076" xr:uid="{00000000-0004-0000-0100-0000CE000000}"/>
    <hyperlink ref="H696" r:id="rId208" display="https://fox61.com/2018/10/22/shot-fired-through-window-in-bridgeport-school/" xr:uid="{00000000-0004-0000-0100-0000CF000000}"/>
    <hyperlink ref="H699" r:id="rId209" display="https://wwmt.com/news/local/battle-creek-academy-locked-down-after-building-shot" xr:uid="{00000000-0004-0000-0100-0000D0000000}"/>
    <hyperlink ref="H701" r:id="rId210" display="https://www.wavy.com/news/local-news/norfolk/police-respond-to-shooting-after-football-game-at-lake-taylor-high-school/1501979731" xr:uid="{00000000-0004-0000-0100-0000D1000000}"/>
    <hyperlink ref="H705" r:id="rId211" display="https://www.arkansasonline.com/news/2018/oct/02/shots-fired-near-little-rock-elementary-school-pol/" xr:uid="{00000000-0004-0000-0100-0000D2000000}"/>
    <hyperlink ref="H706" r:id="rId212" display="https://www.ksfy.com/content/news/High-school-football-game-evacuated-following-gunshot-494669791.html" xr:uid="{00000000-0004-0000-0100-0000D3000000}"/>
    <hyperlink ref="H708" r:id="rId213" display="http://www.baltimoresun.com/news/maryland/crime/bs-md-ci-guns-fired-elementary-school-20180926-story.html" xr:uid="{00000000-0004-0000-0100-0000D4000000}"/>
    <hyperlink ref="H711" r:id="rId214" display="https://www.wsav.com/news/local-news/update-student-found-shot-at-appling-co-hs-declared-dead-coroner-says/" xr:uid="{00000000-0004-0000-0100-0000D5000000}"/>
    <hyperlink ref="H712" r:id="rId215" display="https://www.dailybulletin.com/2018/09/20/body-found-at-pomona-high-school/" xr:uid="{00000000-0004-0000-0100-0000D6000000}"/>
    <hyperlink ref="H715" r:id="rId216" display="https://q13fox.com/2018/09/14/reports-of-shots-fired-outside-mariner-high-school-football-stadium-evacuated/" xr:uid="{00000000-0004-0000-0100-0000D7000000}"/>
    <hyperlink ref="H720" r:id="rId217" display="https://www.nbcbayarea.com/news/local/Suspect-Arrested-After-Officer-Involved-Shooting-Chase-at-Gilroy-High-School--492815721.html" xr:uid="{00000000-0004-0000-0100-0000D8000000}"/>
    <hyperlink ref="H721" r:id="rId218" display="https://www.desmoinesregister.com/story/news/2018/09/07/des-moines-hoover-north-homecoming-game-shooting-football-des-moines-police-mcgrane-stadium/1234471002/" xr:uid="{00000000-0004-0000-0100-0000D9000000}"/>
    <hyperlink ref="H723" r:id="rId219" display="http://www.nydailynews.com/new-york/nyc-crime/ny-metro-man-shot-outside-bronx-school-20180904-story.html" xr:uid="{00000000-0004-0000-0100-0000DA000000}"/>
    <hyperlink ref="H725" r:id="rId220" display="https://abc7news.com/3-students-in-custody-1-hurt-after-police-find-gun-on-sf-campus/4100641/" xr:uid="{00000000-0004-0000-0100-0000DB000000}"/>
    <hyperlink ref="H727" r:id="rId221" display="https://www.woodtv.com/news/grand-rapids/shooting-outside-ottawa-hills-hs-leads-to-lockdowns/1406788527" xr:uid="{00000000-0004-0000-0100-0000DC000000}"/>
    <hyperlink ref="H728" r:id="rId222" display="https://www.nbcphiladelphia.com/news/local/Towne-Point-Elementary-School-Dover-Deadly-Shooting-491979251.html" xr:uid="{00000000-0004-0000-0100-0000DD000000}"/>
    <hyperlink ref="H730" r:id="rId223" display="https://www.ksdk.com/article/news/local/metro-east-football-team-forced-to-cancel-game-after-shooting-in-chicago/63-587675552" xr:uid="{00000000-0004-0000-0100-0000DE000000}"/>
    <hyperlink ref="H731" r:id="rId224" display="https://www.news4jax.com/news/2018/08/25/police-gang-shooting-after-raines-high-school-football-game-kills-1-injures-2/" xr:uid="{00000000-0004-0000-0100-0000DF000000}"/>
    <hyperlink ref="H732" r:id="rId225" display="https://www.montgomeryadvertiser.com/story/sports/high-school/football/2018/08/23/shooting-outside-asu-stadium-brings-halt-g-w-carver-jeff-davis-game/1081209002/" xr:uid="{00000000-0004-0000-0100-0000E0000000}"/>
    <hyperlink ref="H734" r:id="rId226" display="https://www.wsmv.com/news/police-identify-man-accused-of-shooting-youth-football-coach-on/article_f8653b71-1014-5896-bc31-37c289db30f9.html" xr:uid="{00000000-0004-0000-0100-0000E1000000}"/>
    <hyperlink ref="H735" r:id="rId227" display="https://www.thedailyjournal.com/story/news/crime/2018/08/09/man-critically-wounded-shooting-school-parking-lot-millville/953855002/" xr:uid="{00000000-0004-0000-0100-0000E2000000}"/>
    <hyperlink ref="H736" r:id="rId228" display="https://foxbaltimore.com/news/local/teen-fatally-shot-in-edgewood-high-school-parking-lot" xr:uid="{00000000-0004-0000-0100-0000E3000000}"/>
    <hyperlink ref="H738" r:id="rId229" display="https://www.yakimaherald.com/news/crime_and_courts/shooting-victim-found-near-west-valley-school-identified/article_486a9ff4-8c56-11e8-886e-3bb30443843b.html" xr:uid="{00000000-0004-0000-0100-0000E4000000}"/>
    <hyperlink ref="H739" r:id="rId230" display="https://wchstv.com/news/local/man-accused-of-firing-gun-at-hurricane-high-school-during-agrument" xr:uid="{00000000-0004-0000-0100-0000E5000000}"/>
    <hyperlink ref="H741" r:id="rId231" display="https://abcnews.go.com/US/critical-condition-shooting-kansas-elementary-school-police/story?id=56340440" xr:uid="{00000000-0004-0000-0100-0000E6000000}"/>
    <hyperlink ref="H742" r:id="rId232" display="https://wreg.com/2018/07/02/man-slams-car-into-boarded-up-school-building-after-being-shot/" xr:uid="{00000000-0004-0000-0100-0000E7000000}"/>
    <hyperlink ref="H743" r:id="rId233" display="https://www.springfieldnewssun.com/news/crime--law/update-teens-arrested-after-alleged-attempted-shooting-truck-strike-outside-springfield-school/Kv3diPzfq35me2wa7OrdBI/" xr:uid="{00000000-0004-0000-0100-0000E8000000}"/>
    <hyperlink ref="H745" r:id="rId234" display="https://krld.radio.com/articles/suspect-arrested-after-16-yr-old-found-shot-near-skyline-high-school" xr:uid="{00000000-0004-0000-0100-0000E9000000}"/>
    <hyperlink ref="H746" r:id="rId235" display="http://katu.com/news/local/police-man-found-shot-killed-on-se-portland-grant-high-school-track" xr:uid="{00000000-0004-0000-0100-0000EA000000}"/>
    <hyperlink ref="H747" r:id="rId236" display="https://www.whio.com/news/local/report-shot-possibly-fired-during-altercation-basketball-court-beavercreek-school/pik2z70Vnp3YXYCS9M5YKN/" xr:uid="{00000000-0004-0000-0100-0000EB000000}"/>
    <hyperlink ref="H749" r:id="rId237" display="https://www.indystar.com/story/news/crime/2018/05/29/noblesville-indiana-middle-school-shooting-unanswered-questions-shooter-weapons-victims/650866002/" xr:uid="{00000000-0004-0000-0100-0000EC000000}"/>
    <hyperlink ref="H750" r:id="rId238" display="https://www.wsbtv.com/news/local/breaking-personshot-in-elementary-school-parking-lot/753941792" xr:uid="{00000000-0004-0000-0100-0000ED000000}"/>
    <hyperlink ref="H753" r:id="rId239" display="https://www.kshb.com/news/crime/man-charged-in-shooting-at-center-high-school-graduation" xr:uid="{00000000-0004-0000-0100-0000EE000000}"/>
    <hyperlink ref="H756" r:id="rId240" display="https://www.wxyz.com/news/off-duty-officer-accidentally-discharges-gun-during-wrestling-meet-at-michigan-high-school" xr:uid="{00000000-0004-0000-0100-0000EF000000}"/>
    <hyperlink ref="H757" r:id="rId241" display="https://www.mlive.com/news/jackson/index.ssf/2018/04/no_arrests_made_yet_after_jack.html" xr:uid="{00000000-0004-0000-0100-0000F0000000}"/>
    <hyperlink ref="H760" r:id="rId242" display="http://www.cbs46.com/story/38020869/us-marshals-suspect-involved-in-mays-high-school-shooting-apprehended" xr:uid="{00000000-0004-0000-0100-0000F1000000}"/>
    <hyperlink ref="H762" r:id="rId243" display="https://www.mlive.com/news/jackson/index.ssf/2018/04/no_arrests_made_yet_after_jack.html" xr:uid="{00000000-0004-0000-0100-0000F2000000}"/>
    <hyperlink ref="H763" r:id="rId244" display="http://www.kansascity.com/news/local/crime/article208770464.html" xr:uid="{00000000-0004-0000-0100-0000F3000000}"/>
    <hyperlink ref="H764" r:id="rId245" display="http://www.leaderherald.com/news/local-news/2018/04/student-shot-with-bb-gun-at-school/" xr:uid="{00000000-0004-0000-0100-0000F4000000}"/>
    <hyperlink ref="H765" r:id="rId246" display="https://www.cbsnews.com/news/kentucky-police-suspect-in-wifes-death-shot-behind-school/" xr:uid="{00000000-0004-0000-0100-0000F5000000}"/>
    <hyperlink ref="H766" r:id="rId247" display="https://www.clarionledger.com/story/news/local/2018/05/31/school-shooting-suspect-detained-trial-authorities-advise-educators/628988002/" xr:uid="{00000000-0004-0000-0100-0000F6000000}"/>
    <hyperlink ref="H768" r:id="rId248" display="https://pilotonline.com/news/local/crime/article_32543292-2bcc-11e8-a262-877b86c9daad.html" xr:uid="{00000000-0004-0000-0100-0000F7000000}"/>
    <hyperlink ref="H769" r:id="rId249" display="http://missoulian.com/news/local/report-gunshots-at-missoula-s-big-sky-high-fired-by/article_f14cb7f4-ee52-58e2-abda-afb0f8f33421.html" xr:uid="{00000000-0004-0000-0100-0000F8000000}"/>
    <hyperlink ref="H770" r:id="rId250" display="http://www.alexandrianews.org/2018/05/gw-school-resource-officer-charged-after-discharge-of-weapon/" xr:uid="{00000000-0004-0000-0100-0000F9000000}"/>
    <hyperlink ref="H771" r:id="rId251" display="http://www.ksbw.com/article/seaside-high-teacher-accidentally-fires-gun-in-class/19426017" xr:uid="{00000000-0004-0000-0100-0000FA000000}"/>
    <hyperlink ref="H772" r:id="rId252" display="http://www.wsaz.com/content/news/Reported-gunfire-at-Frederick-Douglas-High-School-in-Lexington-476375083.html" xr:uid="{00000000-0004-0000-0100-0000FB000000}"/>
    <hyperlink ref="H774" r:id="rId253" display="https://fox2now.com/2018/03/05/students-sent-home-after-suicide-at-washington-county-school/" xr:uid="{00000000-0004-0000-0100-0000FC000000}"/>
    <hyperlink ref="H776" r:id="rId254" display="https://www.thenewstribune.com/news/local/crime/article202366859.html" xr:uid="{00000000-0004-0000-0100-0000FD000000}"/>
    <hyperlink ref="H779" r:id="rId255" display="https://www.cnn.com/2022/07/18/us/nikolas-cruz-parkland-shooter-penalty-phase/index.html" xr:uid="{00000000-0004-0000-0100-0000FE000000}"/>
    <hyperlink ref="H780" r:id="rId256" display="http://www.wsmv.com/story/37500077/14-year-old-suspect-wanted-in-shooting-outside-pearl-cohn-high-school" xr:uid="{00000000-0004-0000-0100-0000FF000000}"/>
    <hyperlink ref="H781" r:id="rId257" display="https://abc7ny.com/teen-in-custody-after-shot-fired-inside-bronx-high-school/3054112/" xr:uid="{00000000-0004-0000-0100-000000010000}"/>
    <hyperlink ref="H782" r:id="rId258" display="https://www.twincities.com/2018/02/05/maplewood-police-officers-gun-fires-at-school-no-injuries-reported/" xr:uid="{00000000-0004-0000-0100-000001010000}"/>
    <hyperlink ref="H783" r:id="rId259" display="http://pgpolice.blogspot.ca/2018/02/two-teenage-suspects-in-custody-for-non.html" xr:uid="{00000000-0004-0000-0100-000002010000}"/>
    <hyperlink ref="H784" r:id="rId260" display="http://abc7.com/charges-filed-against-12-year-old-girl-in-westlake-school-shooting/3023846/" xr:uid="{00000000-0004-0000-0100-000003010000}"/>
    <hyperlink ref="H785" r:id="rId261" display="http://6abc.com/man-32-killed-outside-lincoln-high-school-in-mayfair-idd/3013312/" xr:uid="{00000000-0004-0000-0100-000004010000}"/>
    <hyperlink ref="H786" r:id="rId262" display="https://www.freep.com/story/news/local/michigan/wayne/2018/01/27/dearborn-high-school-shooting/1071836001/" xr:uid="{00000000-0004-0000-0100-000005010000}"/>
    <hyperlink ref="H787" r:id="rId263" display="https://lagniappemobile.com/police-student-fired-weapon-indiscriminately-campus/" xr:uid="{00000000-0004-0000-0100-000006010000}"/>
    <hyperlink ref="H790" r:id="rId264" display="http://www.nola.com/crime/index.ssf/2018/02/how_many_school_shootings_2018.html" xr:uid="{00000000-0004-0000-0100-000007010000}"/>
    <hyperlink ref="H792" r:id="rId265" display="http://www.tucsonnewsnow.com/story/37226015/school-shooting-cochise-county-coronado-elementary-lockdown-suicide-sierra-vista" xr:uid="{00000000-0004-0000-0100-000008010000}"/>
    <hyperlink ref="H794" r:id="rId266" display="https://q13fox.com/2018/01/04/bullet-fired-into-window-at-highlines-new-start-high-school-but-no-injuries/" xr:uid="{00000000-0004-0000-0100-000009010000}"/>
    <hyperlink ref="H795" r:id="rId267" display="https://www.heraldnet.com/news/police-say-they-shot-up-the-school-then-bragged-about-it/" xr:uid="{00000000-0004-0000-0100-00000A010000}"/>
    <hyperlink ref="H796" r:id="rId268" display="https://www.nola.com/crime/index.ssf/2017/01/algiers_double_shooting.html" xr:uid="{00000000-0004-0000-0100-00000B010000}"/>
    <hyperlink ref="H797" r:id="rId269" display="https://www.dailynews.com/2017/12/28/man-arguing-with-girlfriend-in-lancaster-school-parking-lot-is-shot-by-another-man/" xr:uid="{00000000-0004-0000-0100-00000C010000}"/>
    <hyperlink ref="H798" r:id="rId270" display="http://www.wnem.com/story/37105109/breaking-police-investigate-shooting-at-beecher-high-school" xr:uid="{00000000-0004-0000-0100-00000D010000}"/>
    <hyperlink ref="H799" r:id="rId271" display="https://www.nbcdfw.com/news/local/Dallas-ISD-Gun-Accidentally-Goes-Off-in-3rd-Grade-Classroom-464473823.html" xr:uid="{00000000-0004-0000-0100-00000E010000}"/>
    <hyperlink ref="H800" r:id="rId272" display="https://abc13.com/2-wounded-when-gun-goes-off-in-car-at-sam-rayburn-hs/2774679/" xr:uid="{00000000-0004-0000-0100-00000F010000}"/>
    <hyperlink ref="H801" r:id="rId273" display="http://www.hpenews.com/free/shot-fired-at-central-high-school-no-one-injured/article_574ce5ba-dea8-11e7-b849-5ffd746bf19a.html" xr:uid="{00000000-0004-0000-0100-000010010000}"/>
    <hyperlink ref="H802" r:id="rId274" display="https://www.news-gazette.com/news/update-potential-fight-might-have-sparked-gunfire/article_644ff6c6-f9f5-5327-b078-630facba2e9b.html" xr:uid="{00000000-0004-0000-0100-000011010000}"/>
    <hyperlink ref="H805" r:id="rId275" display="https://www.limaohio.com/news/273390/lima-man-arrested-after-gun-goes-off-accidentally-at-bath-high-school" xr:uid="{00000000-0004-0000-0100-000012010000}"/>
    <hyperlink ref="H807" r:id="rId276" display="https://www.denverpost.com/2017/11/23/shooting-near-manual-high-school-denver/" xr:uid="{00000000-0004-0000-0100-000013010000}"/>
    <hyperlink ref="H808" r:id="rId277" display="https://www.wbbjtv.com/2017/11/18/shots-fired-north-side-high-school-school-placed-brief-lockdown/" xr:uid="{00000000-0004-0000-0100-000014010000}"/>
    <hyperlink ref="H811" r:id="rId278" display="http://www.unionrecorder.com/news/update-gun-discharges-in-third-grader-s-book-bag/article_12323ddc-c65b-11e7-a275-f77a9d106f20.html" xr:uid="{00000000-0004-0000-0100-000015010000}"/>
    <hyperlink ref="H812" r:id="rId279" location="/" display="http://www.fox5atlanta.com/news/two-students-accidentally-shot-at-banneker-high-school-according-to-principal - /" xr:uid="{00000000-0004-0000-0100-000016010000}"/>
    <hyperlink ref="H813" r:id="rId280" display="https://rumble.com/v3x6k9-documents-reveal-what-police-think-happened-outside-pattengill-academy.html" xr:uid="{00000000-0004-0000-0100-000017010000}"/>
    <hyperlink ref="H814" r:id="rId281" display="https://www.wktv.com/content/news/453482573.html" xr:uid="{00000000-0004-0000-0100-000018010000}"/>
    <hyperlink ref="H815" r:id="rId282" display="https://www.wtol.com/article/text/news/police-shots-fired-in-parking-lot-area-of-start-high-school/512-4f7360d6-2e3f-434a-a6e6-0067351b41f4" xr:uid="{00000000-0004-0000-0100-000019010000}"/>
    <hyperlink ref="H816" r:id="rId283" display="https://www.journalnow.com/news/crime/man-charged-after-gun-fired-at-kernersville-youth-football-game/article_18fb0bef-80e1-530a-bc1f-b6b61ce4d8fd.html" xr:uid="{00000000-0004-0000-0100-00001A010000}"/>
    <hyperlink ref="H817" r:id="rId284" display="https://newsmaven.io/charlottealerts/news/video-drug-dispute-erupts-into-shootout-at-gas-station-school-bus-gets-hit-ffkja5HUBEKh-yZn1VMiVQ" xr:uid="{00000000-0004-0000-0100-00001B010000}"/>
    <hyperlink ref="H818" r:id="rId285" display="https://triblive.com/local/regional/12794212-74/woman-shoots-boyfriend-in-indiana-county-school-parking-lot" xr:uid="{00000000-0004-0000-0100-00001C010000}"/>
    <hyperlink ref="H819" r:id="rId286" display="https://fox4kc.com/2017/09/29/lees-summit-north-high-school-dismissing-students-early-due-to-an-incident/" xr:uid="{00000000-0004-0000-0100-00001D010000}"/>
    <hyperlink ref="H820" r:id="rId287" display="http://abc7.com/5-injured-in-bb-gun-shooting-at-sun-valley-high-school/2469755/" xr:uid="{00000000-0004-0000-0100-00001E010000}"/>
    <hyperlink ref="H823" r:id="rId288" display="https://www.spokesman.com/stories/2022/aug/19/the-true-cost-of-evil-freeman-high-school-shooter-/" xr:uid="{00000000-0004-0000-0100-00001F010000}"/>
    <hyperlink ref="H824" r:id="rId289" display="http://www.dispatch.com/news/20170912/counselor-describes-how-he-defused-columbus-scioto-school-shooter" xr:uid="{00000000-0004-0000-0100-000020010000}"/>
    <hyperlink ref="H825" r:id="rId290" display="https://www.thv11.com/article/news/local/after-shooting-north-little-rock-high-to-increase-security-at-football-games/473815136" xr:uid="{00000000-0004-0000-0100-000021010000}"/>
    <hyperlink ref="H826" r:id="rId291" display="https://www.sbsun.com/2017/09/01/shooting-cuts-arroyo-valley-high-school-football-game-short/" xr:uid="{00000000-0004-0000-0100-000022010000}"/>
    <hyperlink ref="H827" r:id="rId292" display="https://www.ajc.com/news/crime--law/veteran-lithia-springs-high-teacher-shoots-self-school-classes-canceled/ySkZFldVAcQEqaXTYrihbK/" xr:uid="{00000000-0004-0000-0100-000023010000}"/>
    <hyperlink ref="H829" r:id="rId293" display="https://www.wctv.tv/content/news/Shots-fired-during-Valdosta-Highs-Midnight-Madness-practice-437798503.html" xr:uid="{00000000-0004-0000-0100-000024010000}"/>
    <hyperlink ref="H830" r:id="rId294" display="https://fox13now.com/2017/07/21/19-year-old-shoots-teen-at-spanish-fork-high-before-taking-own-life/" xr:uid="{00000000-0004-0000-0100-000025010000}"/>
    <hyperlink ref="H831" r:id="rId295" display="https://fox6now.com/2017/07/19/police-32-year-old-shot-multiple-times-inside-school-gym-in-milwaukee-during-basketball-game/" xr:uid="{00000000-0004-0000-0100-000026010000}"/>
    <hyperlink ref="H832" r:id="rId296" display="https://www.wbtw.com/news/1-arrested-hospitalized-after-accidental-shooting-at-wilson-high-school/868539676" xr:uid="{00000000-0004-0000-0100-000027010000}"/>
    <hyperlink ref="H833" r:id="rId297" display="https://chicago.suntimes.com/crime/2-boys-man-charged-with-warren-elementary-school-shooting/" xr:uid="{00000000-0004-0000-0100-000028010000}"/>
    <hyperlink ref="H834" r:id="rId298" display="https://www.fox23.com/news/tulsa-police-respond-to-reports-of-shots-fired-at-mcclain-high-school/436311154" xr:uid="{00000000-0004-0000-0100-000029010000}"/>
    <hyperlink ref="H836" r:id="rId299" display="http://abc3340.com/news/local/greensboro-hs-student-in-police-custody-after-shooting-at-another-student" xr:uid="{00000000-0004-0000-0100-00002A010000}"/>
    <hyperlink ref="H837" r:id="rId300" display="http://www.ktre.com/story/35506610/kirbyville-high-school-principal-resigns-then-shoots-kills-self-in-parking-lot" xr:uid="{00000000-0004-0000-0100-00002B010000}"/>
    <hyperlink ref="H838" r:id="rId301" display="http://www.americanpress.com/news/local/year-old-shot-at-moss-bluff-school/article_bf746d62-ee60-11e7-ad5c-7b6da485d0a4.html" xr:uid="{00000000-0004-0000-0100-00002C010000}"/>
    <hyperlink ref="H839" r:id="rId302" display="https://www.kptv.com/news/crime-stoppers-2017-deadly-shooting-near-menlo-park-elementary-school-remains-unsolved/article_c6c7f520-9dfd-11eb-90de-33d857869811.html" xr:uid="{00000000-0004-0000-0100-00002D010000}"/>
    <hyperlink ref="H840" r:id="rId303" display="https://www.tulsaworld.com/homepagelatest/man-shot-in-chest-at-booker-t-washington-high-school/article_f6b588e9-926b-5c04-a9c5-aee4dc5c7ee8.html" xr:uid="{00000000-0004-0000-0100-00002E010000}"/>
    <hyperlink ref="H841" r:id="rId304" display="https://www.cnn.com/2017/04/10/us/san-bernardino-school-shooting/index.html" xr:uid="{00000000-0004-0000-0100-00002F010000}"/>
    <hyperlink ref="H843" r:id="rId305" display="https://www.thecalifornian.com/story/news/my-safety/2017/03/21/authorities-hunt-king-city-school-shooting-suspect/99464446/" xr:uid="{00000000-0004-0000-0100-000030010000}"/>
    <hyperlink ref="H845" r:id="rId306" display="https://www.twincities.com/2017/02/18/man-kidnaps-ex-fiancee-kills-himself-in-middle-school-parking-lot/" xr:uid="{00000000-0004-0000-0100-000031010000}"/>
    <hyperlink ref="H846" r:id="rId307" display="http://www.theadvocate.com/baton_rouge/news/crime_police/article_c0f86974-ed92-11e6-98ec-1fec7cb6253b.html" xr:uid="{00000000-0004-0000-0100-000032010000}"/>
    <hyperlink ref="H850" r:id="rId308" display="http://www.wtxl.com/news/gun-goes-off-at-franklin-county-school/article_5f86d63a-ddb1-11e6-b2c8-b722f449d29e.html" xr:uid="{00000000-0004-0000-0100-000033010000}"/>
    <hyperlink ref="H851" r:id="rId309" display="http://www.alexcityoutlook.com/2017/01/09/two-students-taken-into-custody-after-gun-goes-off-at-middle-school/" xr:uid="{00000000-0004-0000-0100-000034010000}"/>
    <hyperlink ref="H856" r:id="rId310" display="http://www.standard.net/Police-Fire/2017/02/13/Teen-accused-of-shooting-gun-in-Mueller-Park-Jr-High-pleads-guilty" xr:uid="{00000000-0004-0000-0100-000035010000}"/>
    <hyperlink ref="H858" r:id="rId311" display="http://www.mlive.com/news/bay-city/index.ssf/2016/12/deputy_who_fired_gun_in_school.html" xr:uid="{00000000-0004-0000-0100-000036010000}"/>
    <hyperlink ref="H859" r:id="rId312" display="https://www.denverpost.com/2016/11/04/authorities-id-joshua-francis-berthoud-high-school-suicide/" xr:uid="{00000000-0004-0000-0100-000037010000}"/>
    <hyperlink ref="H861" r:id="rId313" display="https://www.ksl.com/?sid=42051617&amp;nid=148&amp;title=14-year-old-charged-with-attempted-murder-in-union-middle-school-shooting" xr:uid="{00000000-0004-0000-0100-000038010000}"/>
    <hyperlink ref="H862" r:id="rId314" display="https://www.sfgate.com/crime/article/Two-arrested-in-SF-school-shooting-that-injured-4-10005290.php" xr:uid="{00000000-0004-0000-0100-000039010000}"/>
    <hyperlink ref="H863" r:id="rId315" display="http://usatodayhss.com/2016/student-shot-outside-atlanta-high-school-after-football-game" xr:uid="{00000000-0004-0000-0100-00003A010000}"/>
    <hyperlink ref="H864" r:id="rId316" display="http://www.dispatch.com/content/stories/local/2016/10/20/Two-charged-in-Linden-McKinley-shooting.html" xr:uid="{00000000-0004-0000-0100-00003B010000}"/>
    <hyperlink ref="H865" r:id="rId317" display="https://www.al.com/news/mobile/index.ssf/2016/10/teen_injured_in_high_school_sh.html" xr:uid="{00000000-0004-0000-0100-00003C010000}"/>
    <hyperlink ref="H867" r:id="rId318" display="https://www.nbcchicago.com/news/local/chicago-school-bus-driver-shot-395469231.html" xr:uid="{00000000-0004-0000-0100-00003D010000}"/>
    <hyperlink ref="H870" r:id="rId319" display="https://www.wcpo.com/news/local-news/hamilton-county/cincinnati/three-people-shot-after-elder-high-soccer-game" xr:uid="{00000000-0004-0000-0100-00003E010000}"/>
    <hyperlink ref="H871" r:id="rId320" display="http://www.mlive.com/news/jackson/index.ssf/2016/09/student_shot_on_school_bus_out.html" xr:uid="{00000000-0004-0000-0100-00003F010000}"/>
    <hyperlink ref="H872" r:id="rId321" display="https://www.ydr.com/story/news/2016/09/09/shooting-reported-small-athletic-field-911-says/90154006/" xr:uid="{00000000-0004-0000-0100-000040010000}"/>
    <hyperlink ref="H875" r:id="rId322" display="http://detroit.cbslocal.com/2016/09/07/detroit-principals-vehicle-reportedly-shot-up-in-parking-lot-on-second-day-of-school/" xr:uid="{00000000-0004-0000-0100-000041010000}"/>
    <hyperlink ref="H877" r:id="rId323" display="https://www.local10.com/news/2016/08/20/shots-fired-at-southridge-vs-south-plantation-football-game-police-say/" xr:uid="{00000000-0004-0000-0100-000042010000}"/>
    <hyperlink ref="H878" r:id="rId324" display="http://www.nbc4i.com/news/one-shot-at-west-side-middle-school-police-looking-for-group-of-males-as-suspects/1114333465" xr:uid="{00000000-0004-0000-0100-000043010000}"/>
    <hyperlink ref="H880" r:id="rId325" display="https://hanfordsentinel.com/news/local/crime/police-woman-shot-at-hanford-junior-high-school/article_e202ea04-65e0-5150-ad82-cea69301fb51.html" xr:uid="{00000000-0004-0000-0100-000044010000}"/>
    <hyperlink ref="H881" r:id="rId326" display="http://abc7chicago.com/news/cps-employee-fatally-shot-outside-mcnair-elementary-school/1388692/" xr:uid="{00000000-0004-0000-0100-000045010000}"/>
    <hyperlink ref="H882" r:id="rId327" display="http://boston.cbslocal.com/2016/06/22/raekwon-brown-murder-arrests-jeremiah-burke-high-school-shooting-boston-police/" xr:uid="{00000000-0004-0000-0100-000046010000}"/>
    <hyperlink ref="H883" r:id="rId328" display="http://www.kwch.com/content/news/One-seriously-hurt-at-possible-shooting-at-Augusta-high-school-379583611.html" xr:uid="{00000000-0004-0000-0100-000047010000}"/>
    <hyperlink ref="H884" r:id="rId329" display="http://www.wyff4.com/article/2-more-teens-charged-shooting-at-southside-high-school/7022388" xr:uid="{00000000-0004-0000-0100-000048010000}"/>
    <hyperlink ref="H885" r:id="rId330" display="https://magicvalley.com/news/local/education/update-school-district-students-in-custody-after-gun-fired-at/article_f23be68f-936b-51ce-847a-f0a02e99f3a0.html" xr:uid="{00000000-0004-0000-0100-000049010000}"/>
    <hyperlink ref="H886" r:id="rId331" display="http://www.newsherald.com/news/20160509/probe-into-detention-officers-accidental-shooting-near-oscar-patterson-underway" xr:uid="{00000000-0004-0000-0100-00004A010000}"/>
    <hyperlink ref="H887" r:id="rId332" display="https://www.nbcwashington.com/news/local/Shooting-High-Point-High-School-378322341.html" xr:uid="{00000000-0004-0000-0100-00004B010000}"/>
    <hyperlink ref="H888" r:id="rId333" display="http://www.kktv.com/home/headlines/PD-East-High-School-Staff-Hurt-In-Drive-By-Shooting-Near-School-378173411.html" xr:uid="{00000000-0004-0000-0100-00004C010000}"/>
    <hyperlink ref="H891" r:id="rId334" display="http://www.wbrc.com/story/31487356/birmingham-police-identify-suspect-arrested-charged-in-huffman-high-school-shooting" xr:uid="{00000000-0004-0000-0100-00004D010000}"/>
    <hyperlink ref="H894" r:id="rId335" display="http://www.delcotimes.com/general-news/20160222/cops-chester-probes-source-of-gun-teen-used-in-shooting" xr:uid="{00000000-0004-0000-0100-00004E010000}"/>
    <hyperlink ref="H895" r:id="rId336" display="https://www.wfla.com/news/local-news/loaded-gun-discharges-at-citrus-co-elementary-school/1051971907" xr:uid="{00000000-0004-0000-0100-00004F010000}"/>
    <hyperlink ref="H898" r:id="rId337" display="https://www.nbcphiladelphia.com/news/local/BREAKING-Benjamin-Franklin-High-School-on-Lockdown-After-Shell-Casing-Found-in-Stairwell--366996461.html" xr:uid="{00000000-0004-0000-0100-000050010000}"/>
    <hyperlink ref="H899" r:id="rId338" display="https://www.indystar.com/story/news/crime/2016/01/25/teen-charged-shooting-lawrence-central-high-school/79319130/" xr:uid="{00000000-0004-0000-0100-000051010000}"/>
    <hyperlink ref="H900" r:id="rId339" display="https://www.theindychannel.com/news/local-news/gun-goes-off-outside-northwest-community-hs" xr:uid="{00000000-0004-0000-0100-000052010000}"/>
    <hyperlink ref="H901" r:id="rId340" display="http://www.arkansasonline.com/news/2016/jan/14/student-accidentally-shot-outside-high-school-ouac/" xr:uid="{00000000-0004-0000-0100-000053010000}"/>
    <hyperlink ref="H902" r:id="rId341" display="http://www.doverpost.com/news/20160112/update-students-arrested-after-shot-fired-at-central-middle-school" xr:uid="{00000000-0004-0000-0100-000054010000}"/>
    <hyperlink ref="H904" r:id="rId342" display="https://www.miamiherald.com/news/local/community/miami-dade/article45747750.html" xr:uid="{00000000-0004-0000-0100-000055010000}"/>
    <hyperlink ref="H905" r:id="rId343" display="https://www.kait8.com/story/30492261/gun-goes-off-in-school-parking-lot-hitting-junior-high-student/" xr:uid="{00000000-0004-0000-0100-000056010000}"/>
    <hyperlink ref="H906" r:id="rId344" display="http://www.moultrieobserver.com/news/local_news/student-fires-gun-during-struggle/article_149e02cc-84db-11e5-8369-ef294cd8fd87.html" xr:uid="{00000000-0004-0000-0100-000057010000}"/>
    <hyperlink ref="H907" r:id="rId345" display="https://www.mysanantonio.com/news/local/article/Man-fatally-shot-in-middle-school-parking-lot-6588994.php" xr:uid="{00000000-0004-0000-0100-000058010000}"/>
    <hyperlink ref="H908" r:id="rId346" display="http://news4sanantonio.com/news/local/deputies-arrest-wagner-high-school-shooting-suspect" xr:uid="{00000000-0004-0000-0100-000059010000}"/>
    <hyperlink ref="H912" r:id="rId347" display="https://www.statesmanjournal.com/story/news/2015/09/04/man-arrested-after-shots-fired-near-newberg-high-school/71699392/" xr:uid="{00000000-0004-0000-0100-00005A010000}"/>
    <hyperlink ref="H913" r:id="rId348" display="http://www.wrdw.com/home/headlines/BREAKING-Student-at-Hornsby-School-shot-and-taken-to-hospital-322826461.html" xr:uid="{00000000-0004-0000-0100-00005B010000}"/>
    <hyperlink ref="H918" r:id="rId349" display="https://www.mysanantonio.com/news/local/article/Suspect-killed-by-polcie-during-chase-identified-6355557.php" xr:uid="{00000000-0004-0000-0100-00005C010000}"/>
    <hyperlink ref="H919" r:id="rId350" display="https://www.ibtimes.com/hartford-shooting-leaves-four-injured-rawson-elementary-school-basketball-tournament-1986922" xr:uid="{00000000-0004-0000-0100-00005D010000}"/>
    <hyperlink ref="H921" r:id="rId351" display="https://www.citizen-times.com/story/news/crime/2015/06/04/armed-suspects-found-macon-county-school-custody/28467377/" xr:uid="{00000000-0004-0000-0100-00005E010000}"/>
    <hyperlink ref="H922" r:id="rId352" display="http://archive.naplesnews.com/news/crime/everglades-city-man-charged-in-shooting-ep-1109639680-337933051.html" xr:uid="{00000000-0004-0000-0100-00005F010000}"/>
    <hyperlink ref="H926" r:id="rId353" display="http://www.jacksonville.com/breaking-news/2015-05-14/story/two-students-shot-school-bus-jacksonvilles-westside-police-searching" xr:uid="{00000000-0004-0000-0100-000060010000}"/>
    <hyperlink ref="H930" r:id="rId354" display="https://smnewsnet.com/archives/283458/man-shot-behind-school/" xr:uid="{00000000-0004-0000-0100-000061010000}"/>
    <hyperlink ref="H931" r:id="rId355" display="https://www.theolympian.com/news/local/education/article74949547.html" xr:uid="{00000000-0004-0000-0100-000062010000}"/>
    <hyperlink ref="H932" r:id="rId356" display="https://www.cbsnews.com/news/boy-11-arrested-after-accidentally-firing-handgun-at-school/" xr:uid="{00000000-0004-0000-0100-000063010000}"/>
    <hyperlink ref="H933" r:id="rId357" display="https://www.ksat.com/news/school-official-seguin-high-school-student-shoots-kills-self" xr:uid="{00000000-0004-0000-0100-000064010000}"/>
    <hyperlink ref="H935" r:id="rId358" display="http://www.mercedsunstar.com/news/local/crime/article11963273.html" xr:uid="{00000000-0004-0000-0100-000065010000}"/>
    <hyperlink ref="H937" r:id="rId359" display="https://www.fredericknewspost.com/subjects/crime_and_justice/updated-two-students-wounded-in-frederick-high-school-shooting/article_153b667f-90c2-5c8c-b4ed-9c4ba869e442.html" xr:uid="{00000000-0004-0000-0100-000066010000}"/>
    <hyperlink ref="H938" r:id="rId360" display="https://minnesota.cbslocal.com/2015/01/26/police-man-fires-shot-at-school-before-shooting-himself/" xr:uid="{00000000-0004-0000-0100-000067010000}"/>
    <hyperlink ref="H940" r:id="rId361" display="https://www.al.com/news/mobile/index.ssf/2015/01/one_shot_in_the_buttock_after.html" xr:uid="{00000000-0004-0000-0100-000068010000}"/>
    <hyperlink ref="H941" r:id="rId362" display="http://www.ocalapost.com/shooting-at-vanguard-high-injured-2/" xr:uid="{00000000-0004-0000-0100-000069010000}"/>
    <hyperlink ref="H942" r:id="rId363" display="http://archive.jsonline.com/news/crime/milwaukee-man-charged-in-wisconsin-lutheran-high-school-shooting-b99431381z1-289512441.html/" xr:uid="{00000000-0004-0000-0100-00006A010000}"/>
    <hyperlink ref="H943" r:id="rId364" display="https://fox17online.com/2014/12/17/basketball-player-shot-outside-godfrey-lee-high-school/" xr:uid="{00000000-0004-0000-0100-00006B010000}"/>
    <hyperlink ref="H944" r:id="rId365" display="https://www.centralmaine.com/2014/12/18/man-who-shot-himself-at-school-was-suspected-in-waterville-rape-police-say/" xr:uid="{00000000-0004-0000-0100-00006C010000}"/>
    <hyperlink ref="H945" r:id="rId366" display="https://pittsburgh.cbslocal.com/2014/12/17/shooting-at-stanton-heights-elementary-school/" xr:uid="{00000000-0004-0000-0100-00006D010000}"/>
    <hyperlink ref="H946" r:id="rId367" display="http://www.oregonlive.com/portland/index.ssf/2015/05/teen_who_shot_four_outside_ros.html" xr:uid="{00000000-0004-0000-0100-00006E010000}"/>
    <hyperlink ref="H947" r:id="rId368" display="https://www.miamiherald.com/news/local/crime/article4139118.html" xr:uid="{00000000-0004-0000-0100-00006F010000}"/>
    <hyperlink ref="H949" r:id="rId369" display="https://www.wsbtv.com/news/shots-fired-lakewood-stadium/137231817" xr:uid="{00000000-0004-0000-0100-000070010000}"/>
    <hyperlink ref="H950" r:id="rId370" display="http://archive.commercialappeal.com/news/crime/student-shoots-himself-in-leg-at-a-maceo-walker-middle-memphis-police-say-ep-692582895-324312081.html/" xr:uid="{00000000-0004-0000-0100-000071010000}"/>
    <hyperlink ref="H951" r:id="rId371" display="https://www.wsbtv.com/news/17-year-old-shot-killed-after-high-school-football/137193168" xr:uid="{00000000-0004-0000-0100-000072010000}"/>
    <hyperlink ref="H952" r:id="rId372" display="https://www.usatoday.com/story/news/2014/09/30/police-1-shot-at-albemarle-high-school-1-in-custody/16469203/" xr:uid="{00000000-0004-0000-0100-000073010000}"/>
    <hyperlink ref="H953" r:id="rId373" display="http://www.wdrb.com/story/31888475/teen-sentenced-for-shooting-fern-creek-high-school-student-in-2014" xr:uid="{00000000-0004-0000-0100-000074010000}"/>
    <hyperlink ref="H954" r:id="rId374" display="https://manchesterinklink.com/man-gun-knife-arrested-inside-west-hs-lockdown/" xr:uid="{00000000-0004-0000-0100-000075010000}"/>
    <hyperlink ref="H955" r:id="rId375" display="https://www.desmoinesregister.com/story/news/crime-and-courts/2014/12/22/teen-arrested-shooting-north-high-school/20767421/" xr:uid="{00000000-0004-0000-0100-000076010000}"/>
    <hyperlink ref="H958" r:id="rId376" display="https://www.local10.com/news/florida/miami-dade/5-in-custody-after-shooting-outside-northwest-miami-dade-county-school" xr:uid="{00000000-0004-0000-0100-000077010000}"/>
    <hyperlink ref="H960" r:id="rId377" display="https://www.fredericknewspost.com/news/crime_and_justice/cops_and_crime/two-face-charges-in-wednesday-gunfire-at-heather-ridge-school/article_737ade83-ddbb-5d49-af29-7f18d962e3a3.html" xr:uid="{00000000-0004-0000-0100-000078010000}"/>
    <hyperlink ref="H964" r:id="rId378" display="https://www.nbcbayarea.com/news/local/Student-Shot-Kennedy-High-School-in-Richmond-on-Lockdown-259238751.html" xr:uid="{00000000-0004-0000-0100-000079010000}"/>
    <hyperlink ref="H965" r:id="rId379" display="http://www.newsofmillcreek.com/content/weekend-shooting-horizon-elementary-school" xr:uid="{00000000-0004-0000-0100-00007A010000}"/>
    <hyperlink ref="H968" r:id="rId380" display="https://www.cbsnews.com/news/cops-fatal-shooting-outside-detroit-high-school-gang-related/" xr:uid="{00000000-0004-0000-0100-00007B010000}"/>
    <hyperlink ref="H970" r:id="rId381" display="https://wcti12.com/archive/two-j-h-rose-students-arrested-for-shooting-near-d-h-conley-1" xr:uid="{00000000-0004-0000-0100-00007C010000}"/>
    <hyperlink ref="H971" r:id="rId382" display="https://www.nbcnewyork.com/news/local/Newark-Shooting-Man-Wounded-School-Bus-Bullet-Hole-253840881.html" xr:uid="{00000000-0004-0000-0100-00007D010000}"/>
    <hyperlink ref="H972" r:id="rId383" display="https://www.ajc.com/news/local/fourth-person-arrested-after-shots-fired-outside-banneker-high-school/E7iAqMZysw5q4XheUNHn9K/" xr:uid="{00000000-0004-0000-0100-00007E010000}"/>
    <hyperlink ref="H973" r:id="rId384" display="http://miami.cbslocal.com/2014/03/14/man-accused-of-murdering-wife-near-miami-dade-preschool/" xr:uid="{00000000-0004-0000-0100-00007F010000}"/>
    <hyperlink ref="H974" r:id="rId385" display="https://www.myarklamiss.com/crime/update-17-year-old-arrested-in-connection-with-friday-nights-shooting-in-madison-parish/166472643" xr:uid="{00000000-0004-0000-0100-000080010000}"/>
    <hyperlink ref="H975" r:id="rId386" display="http://www.kansascity.com/news/local/crime/article9772547.html" xr:uid="{00000000-0004-0000-0100-000081010000}"/>
    <hyperlink ref="H977" r:id="rId387" display="http://www.wbtv.com/story/24683911/student-shot-at-salisbury-high-school" xr:uid="{00000000-0004-0000-0100-000082010000}"/>
    <hyperlink ref="H978" r:id="rId388" display="https://www.bendbulletin.com/home/1790423-151/details-emerge-in-bend-high-suicide" xr:uid="{00000000-0004-0000-0100-000083010000}"/>
    <hyperlink ref="H979" r:id="rId389" display="http://www.kcci.com/article/police-investigate-shooting-outside-north-high-school/6888652" xr:uid="{00000000-0004-0000-0100-000084010000}"/>
    <hyperlink ref="H980" r:id="rId390" display="https://www.azcentral.com/story/news/local/phoenix/2014/04/03/phoenix-police-make-arrests-chavez-high-school-shooting-abrk/7264833/" xr:uid="{00000000-0004-0000-0100-000085010000}"/>
    <hyperlink ref="H981" r:id="rId391" display="http://articles.chicagotribune.com/keyword/roosevelt-high-school" xr:uid="{00000000-0004-0000-0100-000086010000}"/>
    <hyperlink ref="H982" r:id="rId392" display="http://www.kfvs12.com/story/24557239/1-injured-in-shooting-on-carbondale-school-parking-lot" xr:uid="{00000000-0004-0000-0100-000087010000}"/>
    <hyperlink ref="H983" r:id="rId393" display="http://www.philly.com/philly/news/2nd_teen_charged_in_Delaware_Valley_Charter_High_School_shooting.html" xr:uid="{00000000-0004-0000-0100-000088010000}"/>
    <hyperlink ref="H984" r:id="rId394" display="https://www.wgal.com/article/police-shot-fired-at-elementary-school-playground/6229898" xr:uid="{00000000-0004-0000-0100-000089010000}"/>
    <hyperlink ref="H986" r:id="rId395" display="https://www.wbrz.com/news/man-sentenced-to-15-years-for-2014-drive-by-shooting-outside-of-st-james-high-school/" xr:uid="{00000000-0004-0000-0100-00008A010000}"/>
    <hyperlink ref="H987" r:id="rId396" display="https://www.nhregister.com/connecticut/article/New-Haven-teen-to-serve-6-years-in-two-shooting-11351580.php" xr:uid="{00000000-0004-0000-0100-00008B010000}"/>
    <hyperlink ref="H988" r:id="rId397" display="http://www.wbbjtv.com/2014/01/10/police-charge-suspect-in-liberty-tech-shooting/" xr:uid="{00000000-0004-0000-0100-00008C010000}"/>
    <hyperlink ref="H989" r:id="rId398" display="https://kmph.com/archive/fresno-police-arrest-four-teens-related-to-edison-high-school-shooting" xr:uid="{00000000-0004-0000-0100-00008D010000}"/>
    <hyperlink ref="H991" r:id="rId399" display="https://www.clickorlando.com/news/student-shot-in-face-at-west-orange-high-school-_2015110710074418" xr:uid="{00000000-0004-0000-0100-00008E010000}"/>
    <hyperlink ref="H993" r:id="rId400" display="https://patch.com/georgia/stonemountain/stephenson-high-student-shot-at-school" xr:uid="{00000000-0004-0000-0100-00008F010000}"/>
    <hyperlink ref="H994" r:id="rId401" display="https://whotv.com/2013/11/01/schools-closed-body-found-at-algona-school/" xr:uid="{00000000-0004-0000-0100-000090010000}"/>
    <hyperlink ref="H995" r:id="rId402" display="https://www.nbclosangeles.com/news/local/Chino-Newman-Elementary-School-Safety-Demonstration-Weapon-Gun-Misfires-Injures-228984301.html" xr:uid="{00000000-0004-0000-0100-000091010000}"/>
    <hyperlink ref="H997" r:id="rId403" display="http://www.foxnews.com/world/2013/10/17/texas-student-kills-himself-in-front-high-school-classmates.html" xr:uid="{00000000-0004-0000-0100-000092010000}"/>
    <hyperlink ref="H998" r:id="rId404" display="https://www.wftv.com/news/local/teen-shot-agape-christian-academy-pine-hills/270794978" xr:uid="{00000000-0004-0000-0100-000093010000}"/>
    <hyperlink ref="H999" r:id="rId405" display="https://boston.cbslocal.com/2013/10/04/police-nh-man-fired-pellet-gun-at-school-bus-over-students-obscene-gesture/" xr:uid="{00000000-0004-0000-0100-000094010000}"/>
    <hyperlink ref="H1000" r:id="rId406" display="https://www.pressherald.com/2013/09/28/19-year-old-kills-himself-at-gray-new-gloucester-high-school/" xr:uid="{00000000-0004-0000-0100-000095010000}"/>
    <hyperlink ref="H1001" r:id="rId407" location="slide-1" display="https://www.dnainfo.com/chicago/20130927/albany-park/teen-arrested-for-shooting-student-near-roosevelt-high-school/slideshow/443194/ - slide-1" xr:uid="{00000000-0004-0000-0100-000096010000}"/>
    <hyperlink ref="H1002" r:id="rId408" display="https://www.journalnow.com/news/local/update--year-old-charged-in-shooting-at-carver/article_247ee7d0-11a4-11e3-b183-001a4bcf6878.html" xr:uid="{00000000-0004-0000-0100-000097010000}"/>
    <hyperlink ref="H1003" r:id="rId409" display="http://blog.gulflive.com/mississippi-press-news/2013/08/3_gang_members_arrested_after.html" xr:uid="{00000000-0004-0000-0100-000098010000}"/>
    <hyperlink ref="H1004" r:id="rId410" display="http://www.wmcactionnews5.com/story/23229636/5-year-old-fires-gun-in-school-cafeteria" xr:uid="{00000000-0004-0000-0100-000099010000}"/>
    <hyperlink ref="H1006" r:id="rId411" display="https://www.theleafchronicle.com/story/news/2017/03/10/one-familys-emotional-trial-ends-without-answers/98871314/" xr:uid="{00000000-0004-0000-0100-00009A010000}"/>
    <hyperlink ref="H1007" r:id="rId412" display="https://www.cbsnews.com/news/two-custodians-found-shot-to-death-at-fla-high-school-police-name-person-of-interest-report-says/" xr:uid="{00000000-0004-0000-0100-00009B010000}"/>
    <hyperlink ref="H1008" r:id="rId413" display="https://www.wsoctv.com/news/local/gunfire-school-campus-part-undercover-drug-operati/335014423" xr:uid="{00000000-0004-0000-0100-00009C010000}"/>
    <hyperlink ref="H1009" r:id="rId414" display="https://www.nbcmiami.com/news/local/Redland-Middle-School-Student-Injured-After-Bullet-Thrown-on-Floor-Exploded-Official-208862711.html" xr:uid="{00000000-0004-0000-0100-00009D010000}"/>
    <hyperlink ref="H1010" r:id="rId415" display="http://www.wbrc.com/story/22251179/parent-allegedly-fires-gun-when-daughters-fight-at-school" xr:uid="{00000000-0004-0000-0100-00009E010000}"/>
    <hyperlink ref="H1011" r:id="rId416" display="https://www.abqjournal.com/253495/grand-jury-shooting-outside-school-was-justified.html" xr:uid="{00000000-0004-0000-0100-00009F010000}"/>
    <hyperlink ref="H1012" r:id="rId417" display="https://www.cbsnews.com/news/la-salle-high-school-shooting-update-gun-used-in-ohio-classroom-came-from-home-police-say/" xr:uid="{00000000-0004-0000-0100-0000A0010000}"/>
    <hyperlink ref="H1013" r:id="rId418" display="http://ktemnews.com/student-who-shot-himself-at-temple-high-school-has-died/" xr:uid="{00000000-0004-0000-0100-0000A1010000}"/>
    <hyperlink ref="H1014" r:id="rId419" display="https://www.usatoday.com/story/news/nation/2013/03/21/michigan-student-13-commits-suicide/2006643/" xr:uid="{00000000-0004-0000-0100-0000A2010000}"/>
    <hyperlink ref="H1015" r:id="rId420" display="https://www.ajc.com/news/local/student-who-shot-herself-grady-high-due-court/2tFBhv5vj4RC2VqPUjIIxH/?icmp=np_inform_variation-control" xr:uid="{00000000-0004-0000-0100-0000A3010000}"/>
    <hyperlink ref="H1016" r:id="rId421" display="https://patch.com/california/sanleandro/man-sentenced-to-prison-for-fatal-2013-shooting-at-hillside-elementary" xr:uid="{00000000-0004-0000-0100-0000A4010000}"/>
    <hyperlink ref="H1017" r:id="rId422" display="https://www.wxyz.com/news/man-shot-near-martin-luther-king-jr-high-school-in-detroit" xr:uid="{00000000-0004-0000-0100-0000A5010000}"/>
    <hyperlink ref="H1018" r:id="rId423" display="https://www.cbsnews.com/news/police-teen-shot-by-fellow-student-at-ga-school/" xr:uid="{00000000-0004-0000-0100-0000A6010000}"/>
    <hyperlink ref="H1020" r:id="rId424" display="https://www.wxyz.com/news/region/detroit/16-year-old-boy-shot-at-after-basketball-game-in-detroit" xr:uid="{00000000-0004-0000-0100-0000A7010000}"/>
    <hyperlink ref="H1022" r:id="rId425" display="https://www.usatoday.com/story/news/nation/2013/01/08/school-shooting-florida/1817149/" xr:uid="{00000000-0004-0000-0100-0000A8010000}"/>
    <hyperlink ref="H1024" r:id="rId426" display="https://abc13.com/archive/8915159/" xr:uid="{00000000-0004-0000-0100-0000A9010000}"/>
    <hyperlink ref="H1025" r:id="rId427" display="http://articles.chicagotribune.com/2012-10-30/news/chi-2nd-teen-charged-in-murder-of-teen-outside-south-side-high-school-20121030_1_adult-with-first-degree-murder-terrance-wright-banner-academy-south" xr:uid="{00000000-0004-0000-0100-0000AA010000}"/>
    <hyperlink ref="H1027" r:id="rId428" display="https://www.newspapers.com/image/452822197" xr:uid="{00000000-0004-0000-0100-0000AB010000}"/>
    <hyperlink ref="H1028" r:id="rId429" display="http://www.pantagraph.com/news/local/crime-and-courts/boy-gets-juvenile-prison-term-for-nchs-shooting/article_6ddfd6ea-85e1-11e2-aff0-0019bb2963f4.html" xr:uid="{00000000-0004-0000-0100-0000AC010000}"/>
    <hyperlink ref="H1030" r:id="rId430" display="https://921wlhr.com/banks-county-hs-students-mourn-loss-of-two-classmates/" xr:uid="{00000000-0004-0000-0100-0000AD010000}"/>
    <hyperlink ref="H1031" r:id="rId431" display="http://www.wmcactionnews5.com/story/19307558/students-shot-at-outside-memphis-high-school" xr:uid="{00000000-0004-0000-0100-0000AE010000}"/>
    <hyperlink ref="H1032" r:id="rId432" display="https://www.abc6.com/story/18962837/pawtucket-police-investigate-shooting-behind-fire-station" xr:uid="{00000000-0004-0000-0100-0000AF010000}"/>
    <hyperlink ref="H1033" r:id="rId433" display="http://www.dailytarheel.com/article/2014/10/man-pleads-guilty-of-murder-in-scroggs-elementary-shooting" xr:uid="{00000000-0004-0000-0100-0000B0010000}"/>
    <hyperlink ref="H1040" r:id="rId434" display="https://www.cbsnews.com/news/14-year-old-shoots-self-in-nh-school-cafeteria/" xr:uid="{00000000-0004-0000-0100-0000B1010000}"/>
    <hyperlink ref="H1041" r:id="rId435" display="https://www.chron.com/news/houston-texas/article/Teen-shot-at-North-Forest-High-School-2457718.php" xr:uid="{00000000-0004-0000-0100-0000B2010000}"/>
    <hyperlink ref="H1042" r:id="rId436" display="https://www.mysanantonio.com/news/local_news/article/Deadly-day-in-Brownsville-2440652.php" xr:uid="{00000000-0004-0000-0100-0000B3010000}"/>
    <hyperlink ref="H1045" r:id="rId437" display="http://www.fayobserver.com/news/20180817/cape-fear-high-shooting-lawsuit-settled-for-2-million" xr:uid="{00000000-0004-0000-0100-0000B4010000}"/>
    <hyperlink ref="H1046" r:id="rId438" display="https://www.kgw.com/article/news/4-arrested-for-shots-fired-outside-wilson-high/283-73396732" xr:uid="{00000000-0004-0000-0100-0000B5010000}"/>
    <hyperlink ref="H1047" r:id="rId439" display="https://www.wbtv.com/story/15592235/man-shot-twice-at-garinger-high-school-police-say/" xr:uid="{00000000-0004-0000-0100-0000B6010000}"/>
    <hyperlink ref="H1050" r:id="rId440" display="https://www.heraldnet.com/news/marysville-teen-sentenced-to-10-years-for-shooting-outside-everett-school/" xr:uid="{00000000-0004-0000-0100-0000B7010000}"/>
    <hyperlink ref="H1053" r:id="rId441" display="https://abc13.com/archive/8044190/" xr:uid="{00000000-0004-0000-0100-0000B8010000}"/>
    <hyperlink ref="H1054" r:id="rId442" display="https://www.courtlistener.com/pdf/2012/06/11/michael_phelps_v._state_of_indiana.pdf" xr:uid="{00000000-0004-0000-0100-0000B9010000}"/>
    <hyperlink ref="H1055" r:id="rId443" display="https://sacramento.cbslocal.com/2012/04/24/verdict-reached-in-placerville-principal-slaying/" xr:uid="{00000000-0004-0000-0100-0000BA010000}"/>
    <hyperlink ref="H1056" r:id="rId444" display="https://www.dailybreeze.com/2011/04/11/gardena-high-student-gets-9-months-for-having-gun-that-discharged/" xr:uid="{00000000-0004-0000-0100-0000BB010000}"/>
    <hyperlink ref="H1057" r:id="rId445" display="https://journalstar.com/news/state-and-regional/nebraska/the-millard-south-shooting-timeline/article_ef16c15d-c67e-54b5-b4fa-0742edc6085d.html" xr:uid="{00000000-0004-0000-0100-0000BC010000}"/>
    <hyperlink ref="H1058" r:id="rId446" display="https://www.newspapers.com/image/310759931/?terms=school%2B%2Bbus%2Bshooting" xr:uid="{00000000-0004-0000-0100-0000BD010000}"/>
    <hyperlink ref="H1059" r:id="rId447" display="https://www.denverpost.com/2015/11/19/court-reverses-conviction-in-2010-aurora-shooting-that-paralyzed-victim/" xr:uid="{00000000-0004-0000-0100-0000BE010000}"/>
    <hyperlink ref="H1060" r:id="rId448" display="https://madison.com/wsj/news/local/crime_and_courts/no-clues-found-in-marinette-school-standoff-that-ended-in/article_62c3dbb3-1712-52ec-b275-d599eff149de.html" xr:uid="{00000000-0004-0000-0100-0000BF010000}"/>
    <hyperlink ref="H1074" r:id="rId449" display="https://www.ktbs.com/news/police-btw-shooter-was-spurned-lover/article_655e08f3-5404-5896-a955-81611d1a56b3.html" xr:uid="{00000000-0004-0000-0100-0000C0010000}"/>
    <hyperlink ref="H1077" r:id="rId450" display="http://www.wistv.com/story/23589594/school-shootings-in-south-carolina" xr:uid="{00000000-0004-0000-0100-0000C1010000}"/>
    <hyperlink ref="H1081" r:id="rId451" display="https://www.wral.com/teen-charged-with-firing-handgun-at-westover-high/5885748/" xr:uid="{00000000-0004-0000-0100-0000C2010000}"/>
    <hyperlink ref="H1086" r:id="rId452" display="http://www.wsaw.com/home/headlines/44225502.html" xr:uid="{00000000-0004-0000-0100-0000C3010000}"/>
    <hyperlink ref="H1087" r:id="rId453" display="http://www.latimes.com/la-me-locke01_ki20l0nc-photo.html" xr:uid="{00000000-0004-0000-0100-0000C4010000}"/>
    <hyperlink ref="H1088" r:id="rId454" display="https://abc13.com/archive/6704811/" xr:uid="{00000000-0004-0000-0100-0000C5010000}"/>
    <hyperlink ref="H1089" r:id="rId455" display="http://www.jacksonville.com/news/metro/crime/2009-03-10/story/police_responding_to_shots_fired_at_ribault_high_school" xr:uid="{00000000-0004-0000-0100-0000C6010000}"/>
    <hyperlink ref="H1090" r:id="rId456" display="https://www.wral.com/news/local/story/4689449/" xr:uid="{00000000-0004-0000-0100-0000C7010000}"/>
    <hyperlink ref="H1091" r:id="rId457" display="https://www.newspapers.com/image/243883968/?terms=robert%2Bfrost%2Belementary%2BSCHOOL" xr:uid="{00000000-0004-0000-0100-0000C8010000}"/>
    <hyperlink ref="H1093" r:id="rId458" display="https://www.columbine-angels.com/School_Violence_2008-2009.htm" xr:uid="{00000000-0004-0000-0100-0000C9010000}"/>
    <hyperlink ref="H1094" r:id="rId459" display="https://www.newspapers.com/image/362815804/?terms=central%2Bhigh%2Bschool%2Bshooting%2Bdetroit" xr:uid="{00000000-0004-0000-0100-0000CA010000}"/>
    <hyperlink ref="H1096" r:id="rId460" display="https://abc7.com/archive/6651899/" xr:uid="{00000000-0004-0000-0100-0000CB010000}"/>
    <hyperlink ref="H1099" r:id="rId461" display="https://www.columbine-angels.com/School_Violence_2008-2009.htm" xr:uid="{00000000-0004-0000-0100-0000CC010000}"/>
    <hyperlink ref="H1100" r:id="rId462" display="https://www.mlive.com/news/flint/index.ssf/2009/01/four_shot_outside_beecher_high.html" xr:uid="{00000000-0004-0000-0100-0000CD010000}"/>
    <hyperlink ref="H1103" r:id="rId463" display="http://www.cnn.com/2009/CRIME/01/10/school.shooting/index.html" xr:uid="{00000000-0004-0000-0100-0000CE010000}"/>
    <hyperlink ref="H1105" r:id="rId464" display="https://www.columbine-angels.com/School_Violence_2008-2009.htm" xr:uid="{00000000-0004-0000-0100-0000CF010000}"/>
    <hyperlink ref="H1106" r:id="rId465" display="https://www.columbine-angels.com/School_Violence_2008-2009.htm" xr:uid="{00000000-0004-0000-0100-0000D0010000}"/>
    <hyperlink ref="H1107" r:id="rId466" display="https://www.columbine-angels.com/School_Violence_2008-2009.htm" xr:uid="{00000000-0004-0000-0100-0000D1010000}"/>
    <hyperlink ref="H1109" r:id="rId467" display="https://www.postandcourier.com/news/teen-wounded-at-summerville-high/article_e9e8740e-ac4b-54fe-bf85-d2756db7f1cc.html" xr:uid="{00000000-0004-0000-0100-0000D2010000}"/>
    <hyperlink ref="H1110" r:id="rId468" display="http://archive.longislandpress.com/2010/02/26/mastic-man-pleads-guilty-to-school-shooting/" xr:uid="{00000000-0004-0000-0100-0000D3010000}"/>
    <hyperlink ref="H1111" r:id="rId469" display="https://www.greensboro.com/news/a-playground-fight-turned-deadly/article_0aadff61-c881-5944-99d3-e81ee3468277.html" xr:uid="{00000000-0004-0000-0100-0000D4010000}"/>
    <hyperlink ref="H1112" r:id="rId470" display="http://www.startribune.com/shattuck-st-mary-s-school-under-fire-on-2008-case/173333511/" xr:uid="{00000000-0004-0000-0100-0000D5010000}"/>
    <hyperlink ref="H1113" r:id="rId471" display="https://www.ksbw.com/article/king-city-high-school-soccer-game-murderer-sentenced/1048897" xr:uid="{00000000-0004-0000-0100-0000D6010000}"/>
    <hyperlink ref="H1114" r:id="rId472" display="https://www.columbine-angels.com/School_Violence_2008-2009.htm" xr:uid="{00000000-0004-0000-0100-0000D7010000}"/>
    <hyperlink ref="H1115" r:id="rId473" display="https://www.columbine-angels.com/School_Violence_2008-2009.htm" xr:uid="{00000000-0004-0000-0100-0000D8010000}"/>
    <hyperlink ref="H1116" r:id="rId474" display="https://www.eastbaytimes.com/2008/11/24/oaklands-cole-middle-school-to-use-metal-detectors-after-recent-gun-scare/" xr:uid="{00000000-0004-0000-0100-0000D9010000}"/>
    <hyperlink ref="H1117" r:id="rId475" display="https://www.modbee.com/latest-news/article3115798.html" xr:uid="{00000000-0004-0000-0100-0000DA010000}"/>
    <hyperlink ref="H1118" r:id="rId476" display="https://www.deseretnews.com/article/865556503/High-court-No-immunity-in-case-of-15-year-old-killed-by-prop-gun-used-in-school-play.html" xr:uid="{00000000-0004-0000-0100-0000DB010000}"/>
    <hyperlink ref="H1119" r:id="rId477" display="http://www.reporterherald.com/ci_18289600" xr:uid="{00000000-0004-0000-0100-0000DC010000}"/>
    <hyperlink ref="H1120" r:id="rId478" display="http://www.gainesville.com/news/20091210/teenage-girl-16-convicted-of-shooting-girlfriend-after-break-up" xr:uid="{00000000-0004-0000-0100-0000DD010000}"/>
    <hyperlink ref="H1121" r:id="rId479" display="http://archive.vcstar.com/news/352401581.html/" xr:uid="{00000000-0004-0000-0100-0000DE010000}"/>
    <hyperlink ref="H1122" r:id="rId480" display="http://homicide.latimes.com/post/luis-rosas/" xr:uid="{00000000-0004-0000-0100-0000DF010000}"/>
    <hyperlink ref="H1123" r:id="rId481" display="https://bangordailynews.com/2008/10/31/news/5th-graders-safe-after-police-arrest-armed-fugitive/" xr:uid="{00000000-0004-0000-0100-0000E0010000}"/>
    <hyperlink ref="H1124" r:id="rId482" display="https://www.columbine-angels.com/School_Violence_2008-2009.htm" xr:uid="{00000000-0004-0000-0100-0000E1010000}"/>
    <hyperlink ref="H1125" r:id="rId483" display="http://www.wsfa.com/story/9234390/wsfa-12-news-update-suspect-charged-with-attempted-murder-in-prattville-shooting" xr:uid="{00000000-0004-0000-0100-0000E2010000}"/>
    <hyperlink ref="H1126" r:id="rId484" display="https://www.newspapers.com/image/193364114/?terms=jeremiah%2Blasater" xr:uid="{00000000-0004-0000-0100-0000E3010000}"/>
    <hyperlink ref="H1127" r:id="rId485" display="http://www.foxnews.com/story/2008/10/16/teen-killed-in-shooting-near-detroit-high-school.html" xr:uid="{00000000-0004-0000-0100-0000E4010000}"/>
    <hyperlink ref="H1128" r:id="rId486" display="http://www.latimes.com/local/la-me-shoot21-2008sep21-story.html" xr:uid="{00000000-0004-0000-0100-0000E5010000}"/>
    <hyperlink ref="H1129" r:id="rId487" display="https://www.mcclatchydc.com/news/nation-world/national/article24600571.html" xr:uid="{00000000-0004-0000-0100-0000E6010000}"/>
    <hyperlink ref="H1132" r:id="rId488" display="https://www.seattletimes.com/seattle-news/suspect-arrested-in-fatal-shooting-last-week-outside-federal-way-middle-school/" xr:uid="{00000000-0004-0000-0100-0000E7010000}"/>
    <hyperlink ref="H1133" r:id="rId489" display="https://www.columbine-angels.com/School_Violence_2008-2009.htm" xr:uid="{00000000-0004-0000-0100-0000E8010000}"/>
    <hyperlink ref="H1134" r:id="rId490" display="https://www.ktbs.com/news/student-found-shot-at-madison-high/article_0cdc830b-bca1-5acc-857b-e08b04bff7b2.html" xr:uid="{00000000-0004-0000-0100-0000E9010000}"/>
    <hyperlink ref="H1137" r:id="rId491" display="https://abcnews.go.com/US/eighth-grade-shooting-larry-king-brandon-mcinerney-boys/story?id=14666577" xr:uid="{00000000-0004-0000-0100-0000EA010000}"/>
    <hyperlink ref="H1138" r:id="rId492" display="https://www.nytimes.com/2008/02/12/us/12memphis.html" xr:uid="{00000000-0004-0000-0100-0000EB010000}"/>
    <hyperlink ref="H1139" r:id="rId493" display="http://www.wmcactionnews5.com/story/7818497/police-investigate-shooting-inside-classroom-at-hamilton-high" xr:uid="{00000000-0004-0000-0100-0000EC010000}"/>
    <hyperlink ref="H1141" r:id="rId494" display="http://www.uticaod.com/article/20071127/news/311279895" xr:uid="{00000000-0004-0000-0100-0000ED010000}"/>
    <hyperlink ref="H1142" r:id="rId495" display="https://www.newspapers.com/image/432388038/?terms=student%2Bshot" xr:uid="{00000000-0004-0000-0100-0000EE010000}"/>
    <hyperlink ref="H1143" r:id="rId496" display="https://www.newspapers.com/image/282229204/?terms=markees%2Bsmith" xr:uid="{00000000-0004-0000-0100-0000EF010000}"/>
    <hyperlink ref="H1145" r:id="rId497" display="https://www.newspapers.com/image/243658015/?terms=student%2Bshot" xr:uid="{00000000-0004-0000-0100-0000F0010000}"/>
    <hyperlink ref="H1146" r:id="rId498" display="https://www.newspapers.com/image/126118804/?terms=SS%3E%2BSImon%2Band%2BJude%2BCatholic%2Bschool" xr:uid="{00000000-0004-0000-0100-0000F1010000}"/>
    <hyperlink ref="H1148" r:id="rId499" display="https://www.nj.com/news/index.ssf/2010/09/newark_schoolyard_slaying_susp_1.html" xr:uid="{00000000-0004-0000-0100-0000F2010000}"/>
    <hyperlink ref="H1149" r:id="rId500" display="https://www.columbine-angels.com/School_Violence_2006-2007.htm" xr:uid="{00000000-0004-0000-0100-0000F3010000}"/>
    <hyperlink ref="H1150" r:id="rId501" display="https://www.pressreader.com/usa/the-dallas-morning-news/20070629/282364035265089" xr:uid="{00000000-0004-0000-0100-0000F4010000}"/>
    <hyperlink ref="H1151" r:id="rId502" display="https://www.columbine-angels.com/School_Violence_2006-2007.htm" xr:uid="{00000000-0004-0000-0100-0000F5010000}"/>
    <hyperlink ref="H1152" r:id="rId503" display="https://www.columbine-angels.com/School_Violence_2006-2007.htm" xr:uid="{00000000-0004-0000-0100-0000F6010000}"/>
    <hyperlink ref="H1153" r:id="rId504" display="https://www.columbine-angels.com/School_Violence_2006-2007.htm" xr:uid="{00000000-0004-0000-0100-0000F7010000}"/>
    <hyperlink ref="H1154" r:id="rId505" display="https://www.columbine-angels.com/School_Violence_2006-2007.htm" xr:uid="{00000000-0004-0000-0100-0000F8010000}"/>
    <hyperlink ref="H1155" r:id="rId506" display="https://www.brownsvilleherald.com/news/local/parents-remove-children-after-student-fires-gun-at-school/article_10ab2498-9eb9-5db8-97fd-9bed18dcdc95.html" xr:uid="{00000000-0004-0000-0100-0000F9010000}"/>
    <hyperlink ref="H1156" r:id="rId507" display="http://starlocalmedia.com/mesquitenews/news/arrests-made-in-west-mesquite-shooting/article_c1de2b11-1f0a-5ac7-8ea4-807789bd19bc.html" xr:uid="{00000000-0004-0000-0100-0000FA010000}"/>
    <hyperlink ref="H1157" r:id="rId508" display="https://www.columbine-angels.com/School_Violence_2006-2007.htm" xr:uid="{00000000-0004-0000-0100-0000FB010000}"/>
    <hyperlink ref="H1158" r:id="rId509" display="https://www.highbeam.com/doc/1G1-163016802.html" xr:uid="{00000000-0004-0000-0100-0000FC010000}"/>
    <hyperlink ref="H1159" r:id="rId510" display="https://www.newspapers.com/image/411133269/?terms=school%2Bbus%2B313" xr:uid="{00000000-0004-0000-0100-0000FD010000}"/>
    <hyperlink ref="H1161" r:id="rId511" display="http://blog.oregonlive.com/breakingnews/2007/04/gresham_teen_indicted_in_sprin.html" xr:uid="{00000000-0004-0000-0100-0000FE010000}"/>
    <hyperlink ref="H1162" r:id="rId512" display="http://articles.chicagotribune.com/2007-04-12/news/0704110994_1_school-shooting-city-school-leaders-schools-chief-arne-duncan" xr:uid="{00000000-0004-0000-0100-0000FF010000}"/>
    <hyperlink ref="H1163" r:id="rId513" display="http://www.wistv.com/story/6297864/student-shoots-himself-in-leg-at-myrtle-beach-high-school?clienttype=printable" xr:uid="{00000000-0004-0000-0100-000000020000}"/>
    <hyperlink ref="H1164" r:id="rId514" display="https://www.newspapers.com/image/243778502/?terms=Sarah%2BJ.%2BRawson%2BElementary%2BSchool%2Bshot" xr:uid="{00000000-0004-0000-0100-000001020000}"/>
    <hyperlink ref="H1165" r:id="rId515" display="https://www.columbine-angels.com/School_Violence_2006-2007.htm" xr:uid="{00000000-0004-0000-0100-000002020000}"/>
    <hyperlink ref="H1166" r:id="rId516" display="https://www.newspapers.com/image/284085985/?terms=east%2Bridge%2Bhigh%2Bschool" xr:uid="{00000000-0004-0000-0100-000003020000}"/>
    <hyperlink ref="H1167" r:id="rId517" display="http://www.heraldbanner.com/archives/shooting-shocks-ghs/article_411a3183-9998-56eb-9c2a-ed8b1c9788c2.html" xr:uid="{00000000-0004-0000-0100-000004020000}"/>
    <hyperlink ref="H1168" r:id="rId518" display="https://www.ourmidland.com/news/article/One-dead-one-hurt-in-Dow-High-shooting-7037728.php" xr:uid="{00000000-0004-0000-0100-000005020000}"/>
    <hyperlink ref="H1170" r:id="rId519" display="https://www.columbine-angels.com/School_Violence_2006-2007.htm" xr:uid="{00000000-0004-0000-0100-000006020000}"/>
    <hyperlink ref="H1171" r:id="rId520" display="https://www.columbine-angels.com/School_Violence_2006-2007.htm" xr:uid="{00000000-0004-0000-0100-000007020000}"/>
    <hyperlink ref="H1172" r:id="rId521" display="https://www.columbine-angels.com/School_Violence_2006-2007.htm" xr:uid="{00000000-0004-0000-0100-000008020000}"/>
    <hyperlink ref="H1173" r:id="rId522" display="https://portlandtribune.com/component/content/article?id=187719" xr:uid="{00000000-0004-0000-0100-000009020000}"/>
    <hyperlink ref="H1174" r:id="rId523" display="https://www.columbine-angels.com/School_Violence_2006-2007.htm" xr:uid="{00000000-0004-0000-0100-00000A020000}"/>
    <hyperlink ref="H1175" r:id="rId524" display="https://www.newspapers.com/image/231615256/?terms=Hillcrest%2BHigh%2BSchool%2Bshooting%2BDwight%2BWelch" xr:uid="{00000000-0004-0000-0100-00000B020000}"/>
    <hyperlink ref="H1176" r:id="rId525" display="http://www.wmcactionnews5.com/story/5984007/17-year-old-in-critical-condition-at-the-med-after-school-shooting" xr:uid="{00000000-0004-0000-0100-00000C020000}"/>
    <hyperlink ref="H1177" r:id="rId526" display="http://www.philly.com/philly/news/20070119_dn_M_SAYR.html" xr:uid="{00000000-0004-0000-0100-00000D020000}"/>
    <hyperlink ref="H1178" r:id="rId527" display="https://www.lasvegasnow.com/news/shooter-in-western-high-school-case-in-custody/81454838" xr:uid="{00000000-0004-0000-0100-00000E020000}"/>
    <hyperlink ref="H1179" r:id="rId528" display="http://articles.latimes.com/2007/jan/10/local/me-grant10" xr:uid="{00000000-0004-0000-0100-00000F020000}"/>
    <hyperlink ref="H1180" r:id="rId529" display="https://www.newspapers.com/image/286391925/?terms=High%2BSchool%2BDixon%2BEdwards" xr:uid="{00000000-0004-0000-0100-000010020000}"/>
    <hyperlink ref="H1181" r:id="rId530" display="https://www.columbine-angels.com/School_Violence_2006-2007.htm" xr:uid="{00000000-0004-0000-0100-000011020000}"/>
    <hyperlink ref="H1183" r:id="rId531" display="http://www.keystosaferschools.com/2007startswithabang.htm" xr:uid="{00000000-0004-0000-0100-000012020000}"/>
    <hyperlink ref="H1184" r:id="rId532" display="https://triblive.com/x/pittsburghtrib/news/regional/s_484514.html" xr:uid="{00000000-0004-0000-0100-000013020000}"/>
    <hyperlink ref="H1185" r:id="rId533" display="https://www.columbine-angels.com/School_Violence_2006-2007.htm" xr:uid="{00000000-0004-0000-0100-000014020000}"/>
    <hyperlink ref="H1186" r:id="rId534" display="http://www.foxnews.com/story/2006/12/12/teen-commits-suicide-in-hallway-pennsylvania-school.html" xr:uid="{00000000-0004-0000-0100-000015020000}"/>
    <hyperlink ref="H1187" r:id="rId535" display="https://www.newspapers.com/image/232079346/?terms=Northwest%2BHigh%2BSchool%2Bgun%2Bpocket" xr:uid="{00000000-0004-0000-0100-000016020000}"/>
    <hyperlink ref="H1188" r:id="rId536" display="https://www.columbine-angels.com/School_Violence_2006-2007.htm" xr:uid="{00000000-0004-0000-0100-000017020000}"/>
    <hyperlink ref="H1189" r:id="rId537" display="http://www.witn.com/home/headlines/35382409.html" xr:uid="{00000000-0004-0000-0100-000018020000}"/>
    <hyperlink ref="H1190" r:id="rId538" display="https://www.newspapers.com/image/422972655/?terms=Atlanta%2BMiddle%2BSchool%2BRicardo%2BAlexander" xr:uid="{00000000-0004-0000-0100-000019020000}"/>
    <hyperlink ref="H1191" r:id="rId539" display="https://www.eastbaytimes.com/2006/11/13/man-killed-at-oakland-school-party/" xr:uid="{00000000-0004-0000-0100-00001A020000}"/>
    <hyperlink ref="H1192" r:id="rId540" display="http://www.wvlt.tv/home/headlines/4542511.html" xr:uid="{00000000-0004-0000-0100-00001B020000}"/>
    <hyperlink ref="H1193" r:id="rId541" display="https://www.chron.com/news/houston-texas/article/Katy-student-shoots-himself-at-high-school-1862524.php" xr:uid="{00000000-0004-0000-0100-00001C020000}"/>
    <hyperlink ref="H1194" r:id="rId542" display="https://www.washingtonexaminer.com/third-grader-at-grove-park-brings-gun-to-city-school" xr:uid="{00000000-0004-0000-0100-00001D020000}"/>
    <hyperlink ref="H1195" r:id="rId543" display="https://www.newspapers.com/image/166180631/?terms=POMONA%2BMIDDLE%2BSCHOOL" xr:uid="{00000000-0004-0000-0100-00001E020000}"/>
    <hyperlink ref="H1200" r:id="rId544" display="http://www.washingtonpost.com/wp-dyn/content/article/2006/09/23/AR2006092301174.html" xr:uid="{00000000-0004-0000-0100-00001F020000}"/>
    <hyperlink ref="H1201" r:id="rId545" display="https://www.newspapers.com/image/151778408/?terms=westminster%2Bchristian%2Bacademy" xr:uid="{00000000-0004-0000-0100-000020020000}"/>
    <hyperlink ref="H1202" r:id="rId546" display="https://www.amazon.com/WIN-Memoir-Shooting-Gabe-Medrano/dp/1432793624" xr:uid="{00000000-0004-0000-0100-000021020000}"/>
    <hyperlink ref="H1203" r:id="rId547" display="https://www.columbine-angels.com/School_Violence_2006-2007.htm" xr:uid="{00000000-0004-0000-0100-000022020000}"/>
    <hyperlink ref="H1204" r:id="rId548" display="https://www.newspapers.com/image/106551825/?terms=Oxford%2BHigh%2BSchool%2BHawkins%2Bshot" xr:uid="{00000000-0004-0000-0100-000023020000}"/>
    <hyperlink ref="H1206" r:id="rId549" display="https://www.washingtonpost.com/archive/local/2006/08/30/teen-held-after-shot-is-fired-outside-se-school/a1d30f03-8e66-47af-a999-d43629af535b/?utm_term=.37a883ef0fca" xr:uid="{00000000-0004-0000-0100-000024020000}"/>
    <hyperlink ref="H1208" r:id="rId550" display="http://www.14news.com/story/5306020/funeral-set-for-castle-suicide-victim?clienttype=printable&amp;redirected=true" xr:uid="{00000000-0004-0000-0100-000025020000}"/>
    <hyperlink ref="H1209" r:id="rId551" display="http://www.savannahnow.com/article/20060821/NEWS/308219914" xr:uid="{00000000-0004-0000-0100-000026020000}"/>
    <hyperlink ref="H1210" r:id="rId552" display="http://www.vindy.com/news/2009/jul/27/trial-under-way-for-man-accused-of-shooting-death/" xr:uid="{00000000-0004-0000-0100-000027020000}"/>
    <hyperlink ref="H1211" r:id="rId553" display="http://www.pressreader.com/usa/austin-american-statesman/20060822/281908768618808" xr:uid="{00000000-0004-0000-0100-000028020000}"/>
    <hyperlink ref="H1212" r:id="rId554" display="https://www.newspapers.com/image/379718672/?terms=J.%2BT.%2BAlton%2BMiddle%2BSchool%2Bbullet%2Bceiling" xr:uid="{00000000-0004-0000-0100-000029020000}"/>
    <hyperlink ref="H1213" r:id="rId555" display="https://www.newspapers.com/image/330166745/" xr:uid="{00000000-0004-0000-0100-00002A020000}"/>
    <hyperlink ref="H1214" r:id="rId556" display="https://www.newspapers.com/image/363378271/?terms=Pershing%2BHigh%2BSchool%2Bshooting" xr:uid="{00000000-0004-0000-0100-00002B020000}"/>
    <hyperlink ref="H1215" r:id="rId557" display="https://www.nwitimes.com/news/local/eskew-guilty-in-wirt-high-school-shooting/article_c43a6d4c-8921-5a4a-8e1a-8af4f3506ca2.html" xr:uid="{00000000-0004-0000-0100-00002C020000}"/>
    <hyperlink ref="H1216" r:id="rId558" display="http://articles.latimes.com/2006/jun/07/local/me-venice7" xr:uid="{00000000-0004-0000-0100-00002D020000}"/>
    <hyperlink ref="H1217" r:id="rId559" display="http://articles.mcall.com/2006-05-26/news/3667295_1_students-or-teachers-district-s-zero-tolerance-senior-prom" xr:uid="{00000000-0004-0000-0100-00002E020000}"/>
    <hyperlink ref="H1218" r:id="rId560" display="http://www.wistv.com/story/4933127/officer-shoots-at-intruder-at-dutch-fork-hs" xr:uid="{00000000-0004-0000-0100-00002F020000}"/>
    <hyperlink ref="H1219" r:id="rId561" display="http://articles.sun-sentinel.com/2006-05-07/news/0605060367_1_charter-school-parking-lot-office-bill-robertson" xr:uid="{00000000-0004-0000-0100-000030020000}"/>
    <hyperlink ref="H1220" r:id="rId562" display="https://www.wral.com/news/local/story/157302/" xr:uid="{00000000-0004-0000-0100-000031020000}"/>
    <hyperlink ref="H1221" r:id="rId563" display="https://www.chron.com/news/houston-texas/article/Two-cut-by-glass-after-HISD-bus-shot-1908192.php" xr:uid="{00000000-0004-0000-0100-000032020000}"/>
    <hyperlink ref="H1222" r:id="rId564" display="https://www.washingtonpost.com/archive/business/technology/2006/04/05/shooting-at-roosevelt-high-injures-19-year-old-student/5e198f72-616c-4f3e-8b06-25cdc4162735/?utm_term=.0b3f619eca63" xr:uid="{00000000-0004-0000-0100-000033020000}"/>
    <hyperlink ref="H1224" r:id="rId565" display="http://www.downtownexpress.com/de_149/bbgunshotingatis89.html" xr:uid="{00000000-0004-0000-0100-000034020000}"/>
    <hyperlink ref="H1225" r:id="rId566" display="https://www.usatoday.com/story/news/2015/10/01/roseburg-had-school-shooting-2006/73168186/" xr:uid="{00000000-0004-0000-0100-000035020000}"/>
    <hyperlink ref="H1226" r:id="rId567" display="http://www.post-gazette.com/local/city/2007/02/28/Rifle-used-to-shoot-teen-outside-school-tied-to-2nd-shooting/stories/200702280235" xr:uid="{00000000-0004-0000-0100-000036020000}"/>
    <hyperlink ref="H1227" r:id="rId568" display="https://www.ydr.com/story/news/local/blogs/teen-takeover/2006/02/24/school-censoring-student-writi/31691051/" xr:uid="{00000000-0004-0000-0100-000037020000}"/>
    <hyperlink ref="H1228" r:id="rId569" display="https://www.newspapers.com/image/164693932/?terms=William%2BPenn%2BHigh%2BSchool%2Bshooting" xr:uid="{00000000-0004-0000-0100-000038020000}"/>
    <hyperlink ref="H1229" r:id="rId570" display="https://www.newspapers.com/image/192748872/?terms=Longfellow%2BElementary%2BSchool%2Belbow%2Bbus" xr:uid="{00000000-0004-0000-0100-000039020000}"/>
    <hyperlink ref="H1230" r:id="rId571" display="https://mtstandard.com/news/state-and-regional/student-dies-in-suicide-at-c-m-russell/article_6b906cf5-ad30-5bc9-87cd-1929be726a82.html" xr:uid="{00000000-0004-0000-0100-00003A020000}"/>
    <hyperlink ref="H1231" r:id="rId572" display="https://www.statesman.com/news/state--regional/santa-school-shooting-the-deadliest-texas-since-tower-shooting/pdX1aBkUi4kR3NUVqxdbJP/" xr:uid="{00000000-0004-0000-0100-00003B020000}"/>
    <hyperlink ref="H1232" r:id="rId573" display="http://www.thereporter.com/article/zz/20060124/NEWS/601249925" xr:uid="{00000000-0004-0000-0100-00003C020000}"/>
    <hyperlink ref="H1233" r:id="rId574" display="https://www.newspapers.com/image/102780485/?terms=Withrow%2BHigh%2BSchool%2Bshooting" xr:uid="{00000000-0004-0000-0100-00003D020000}"/>
    <hyperlink ref="H1234" r:id="rId575" display="https://pilotonline.com/news/article_91bd4bea-b9dc-5c30-bff7-43f583e1f7a9.html" xr:uid="{00000000-0004-0000-0100-00003E020000}"/>
    <hyperlink ref="H1235" r:id="rId576" display="https://www.chron.com/news/houston-texas/article/Alvin-6th-grader-shoots-himself-in-the-leg-in-1939399.php" xr:uid="{00000000-0004-0000-0100-00003F020000}"/>
    <hyperlink ref="H1236" r:id="rId577" display="https://mtstandard.com/news/local/anaconda-students-expelled-after-air-gun-shooting-incident/article_846a24e2-3d18-5764-a1a7-ccfb3bb8e820.html" xr:uid="{00000000-0004-0000-0100-000040020000}"/>
    <hyperlink ref="H1237" r:id="rId578" display="https://www.columbine-angels.com/School_Violence_2005-2006.htm" xr:uid="{00000000-0004-0000-0100-000041020000}"/>
    <hyperlink ref="H1238" r:id="rId579" display="https://www.cbsnews.com/news/parents-we-told-police-gun-was-fake/" xr:uid="{00000000-0004-0000-0100-000042020000}"/>
    <hyperlink ref="H1239" r:id="rId580" display="http://www.gadsdentimes.com/lifestyle/20060116/student-charged-in-fatal-shooting-after-game" xr:uid="{00000000-0004-0000-0100-000043020000}"/>
    <hyperlink ref="H1240" r:id="rId581" display="https://www.newspapers.com/image/343443050/?terms=girl%2Bshot%2Bschool%2Bplayground" xr:uid="{00000000-0004-0000-0100-000044020000}"/>
    <hyperlink ref="H1241" r:id="rId582" display="https://www.newspapers.com/image/164693932/?terms=Mount%2BPleasant%2BHigh%2BSchool%2Bshooting" xr:uid="{00000000-0004-0000-0100-000045020000}"/>
    <hyperlink ref="H1242" r:id="rId583" display="https://www.nytimes.com/2006/01/05/nyregion/gangs-tied-to-violence-near-jersey-city-school.html" xr:uid="{00000000-0004-0000-0100-000046020000}"/>
    <hyperlink ref="H1244" r:id="rId584" display="https://www.ocregister.com/2005/12/08/five-arrests-made-in-santiago-high-shooting-death/" xr:uid="{00000000-0004-0000-0100-000047020000}"/>
    <hyperlink ref="H1245" r:id="rId585" display="http://archive.boston.com/news/local/articles/2005/12/07/a_mattapan_teen_gets_stiff_bail_terms/" xr:uid="{00000000-0004-0000-0100-000048020000}"/>
    <hyperlink ref="H1246" r:id="rId586" display="http://www.kxii.com/home/headlines/1978757.html" xr:uid="{00000000-0004-0000-0100-000049020000}"/>
    <hyperlink ref="H1247" r:id="rId587" display="http://www.cnn.com/2005/US/11/15/florida.shooting/index.html" xr:uid="{00000000-0004-0000-0100-00004A020000}"/>
    <hyperlink ref="H1249" r:id="rId588" display="http://plainedgechat.proboards.com/thread/23" xr:uid="{00000000-0004-0000-0100-00004B020000}"/>
    <hyperlink ref="H1250" r:id="rId589" display="http://articles.baltimoresun.com/2005-10-30/news/0510300052_1_annapolis-shooting-was-accidental-charged-in-shooting" xr:uid="{00000000-0004-0000-0100-00004C020000}"/>
    <hyperlink ref="H1252" r:id="rId590" display="https://www.michigandaily.com/content/school-shooting-injures-student" xr:uid="{00000000-0004-0000-0100-00004D020000}"/>
    <hyperlink ref="H1253" r:id="rId591" display="http://articles.latimes.com/2005/oct/20/local/me-iebrief20" xr:uid="{00000000-0004-0000-0100-00004E020000}"/>
    <hyperlink ref="H1254" r:id="rId592" display="https://nypost.com/2005/10/15/teen-shot-in-hs-madness-leg-hurt-by-punk-at-school/" xr:uid="{00000000-0004-0000-0100-00004F020000}"/>
    <hyperlink ref="H1255" r:id="rId593" display="https://dailyjournalonline.com/news/local/farmington-youth-is-headed-for-prison/article_c56ed328-1d5d-5ef6-82a8-d88ae950e9e3.html" xr:uid="{00000000-0004-0000-0100-000050020000}"/>
    <hyperlink ref="H1256" r:id="rId594" display="https://www.newspapers.com/image/442838812/?terms=SAGINAW%2BDRIVE-BY%2BSHOOTING" xr:uid="{00000000-0004-0000-0100-000051020000}"/>
    <hyperlink ref="H1257" r:id="rId595" display="http://articles.chicagotribune.com/2005-09-14/news/0509140261_1_student-chicago-public-schools-initial-fight" xr:uid="{00000000-0004-0000-0100-000052020000}"/>
    <hyperlink ref="H1258" r:id="rId596" display="https://www.questia.com/newspaper/1G1-136174022/student-shot-at-school-police-say-the-shooting-was" xr:uid="{00000000-0004-0000-0100-000053020000}"/>
    <hyperlink ref="H1259" r:id="rId597" display="https://www.columbine-angels.com/School_Violence_2005-2006.htm" xr:uid="{00000000-0004-0000-0100-000054020000}"/>
    <hyperlink ref="H1260" r:id="rId598" display="http://www.foxnews.com/story/2005/11/09/principal-praised-as-hero-in-tenn-school-shooting.html" xr:uid="{00000000-0004-0000-0100-000055020000}"/>
    <hyperlink ref="H1261" r:id="rId599" display="https://www.columbine-angels.com/School_Violence_2005-2006.htm" xr:uid="{00000000-0004-0000-0100-000056020000}"/>
    <hyperlink ref="H1262" r:id="rId600" display="https://www.columbine-angels.com/School_Violence_2005-2006.htm" xr:uid="{00000000-0004-0000-0100-000057020000}"/>
    <hyperlink ref="H1264" r:id="rId601" display="https://www.nytimes.com/2005/07/20/nyregion/2-men-charged-in-slaying-of-officer-at-newark-school.html" xr:uid="{00000000-0004-0000-0100-000058020000}"/>
    <hyperlink ref="H1265" r:id="rId602" display="https://www.columbine-angels.com/School_Violence_2004-2005.htm" xr:uid="{00000000-0004-0000-0100-000059020000}"/>
    <hyperlink ref="H1266" r:id="rId603" display="https://www.columbine-angels.com/School_Violence_2004-2005.htm" xr:uid="{00000000-0004-0000-0100-00005A020000}"/>
    <hyperlink ref="H1267" r:id="rId604" display="https://www.newspapers.com/image/219341527/" xr:uid="{00000000-0004-0000-0100-00005B020000}"/>
    <hyperlink ref="H1268" r:id="rId605" display="https://www.denverpost.com/2005/05/24/pellets-strike-2-adults-on-busy-school-playground/" xr:uid="{00000000-0004-0000-0100-00005C020000}"/>
    <hyperlink ref="H1269" r:id="rId606" display="http://articles.chicagotribune.com/2005-05-26/news/0505260268_1_hallman-pupils-soft-air-gun" xr:uid="{00000000-0004-0000-0100-00005D020000}"/>
    <hyperlink ref="H1270" r:id="rId607" display="https://cumberlink.com/news/murder-suicide-shocks-school/article_f20ad9ba-ef8b-5fc1-bf1e-2507ab486715.html" xr:uid="{00000000-0004-0000-0100-00005E020000}"/>
    <hyperlink ref="H1271" r:id="rId608" display="http://www.freerepublic.com/focus/news/1404328/posts" xr:uid="{00000000-0004-0000-0100-00005F020000}"/>
    <hyperlink ref="H1272" r:id="rId609" display="https://www.columbine-angels.com/School_Violence_2004-2005.htm" xr:uid="{00000000-0004-0000-0100-000060020000}"/>
    <hyperlink ref="H1273" r:id="rId610" display="https://www.lobservateur.com/2005/05/02/godchaux-student-fires-handgun-in-class/" xr:uid="{00000000-0004-0000-0100-000061020000}"/>
    <hyperlink ref="H1274" r:id="rId611" location=".W2cyndJKiUk" display="http://www.nbcnews.com/id/7420306/ns/us_news-crime_and_courts/t/wounded-coach-upset-some-players-parents/ - .W2cyndJKiUk" xr:uid="{00000000-0004-0000-0100-000062020000}"/>
    <hyperlink ref="H1275" r:id="rId612" display="https://www.columbine-angels.com/School_Violence_2004-2005.htm" xr:uid="{00000000-0004-0000-0100-000063020000}"/>
    <hyperlink ref="H1276" r:id="rId613" display="https://www.columbine-angels.com/School_Violence_2004-2005.htm" xr:uid="{00000000-0004-0000-0100-000064020000}"/>
    <hyperlink ref="H1277" r:id="rId614" display="http://www.nydailynews.com/archives/news/b-klyn-hs-panic-boy-shoots-leg-article-1.589241" xr:uid="{00000000-0004-0000-0100-000065020000}"/>
    <hyperlink ref="H1279" r:id="rId615" display="https://www.newspapers.com/image/321630892/?terms=o.%2Bperry%2Bhigh%2Bschool" xr:uid="{00000000-0004-0000-0100-000066020000}"/>
    <hyperlink ref="H1281" r:id="rId616" display="http://www.post-gazette.com/local/city/2007/05/02/Dueling-snitches-muddy-trial-in-Carrick-High-School-killing/stories/200705020345" xr:uid="{00000000-0004-0000-0100-000067020000}"/>
    <hyperlink ref="H1282" r:id="rId617" display="https://www.bgfalconmedia.com/fourth-grader-injured-after-toting-gun-to-school/article_b41044bf-61db-5b3a-a623-89b6ca62a191.html" xr:uid="{00000000-0004-0000-0100-000068020000}"/>
    <hyperlink ref="H1283" r:id="rId618" display="https://www.columbine-angels.com/School_Violence_2004-2005.htm" xr:uid="{00000000-0004-0000-0100-000069020000}"/>
    <hyperlink ref="H1284" r:id="rId619" display="https://www.columbine-angels.com/School_Violence_2004-2005.htm" xr:uid="{00000000-0004-0000-0100-00006A020000}"/>
    <hyperlink ref="H1285" r:id="rId620" display="https://www.cbsnews.com/news/school-bus-driver-shot-to-death/" xr:uid="{00000000-0004-0000-0100-00006B020000}"/>
    <hyperlink ref="H1286" r:id="rId621" display="http://articles.chicagotribune.com/2005-02-09/news/0502090400_1_chicago-public-schools-students-exits" xr:uid="{00000000-0004-0000-0100-00006C020000}"/>
    <hyperlink ref="H1287" r:id="rId622" display="https://www.columbine-angels.com/School_Violence_2005-2006.htm" xr:uid="{00000000-0004-0000-0100-00006D020000}"/>
    <hyperlink ref="H1288" r:id="rId623" display="http://www.pjstar.com/article/20131215/news/131219398" xr:uid="{00000000-0004-0000-0100-00006E020000}"/>
    <hyperlink ref="H1289" r:id="rId624" display="http://www.philadelphiaweekly.com/news/state-of-disgrace/article_86c2a06b-190d-5781-ab53-23c8fb71c94c.html" xr:uid="{00000000-0004-0000-0100-00006F020000}"/>
    <hyperlink ref="H1290" r:id="rId625" display="https://www.chron.com/news/houston-texas/article/1-dead-1-hurt-in-Richmond-State-School-shooting-1938319.php" xr:uid="{00000000-0004-0000-0100-000070020000}"/>
    <hyperlink ref="H1291" r:id="rId626" display="https://www.columbine-angels.com/School_Violence_2004-2005.htm" xr:uid="{00000000-0004-0000-0100-000071020000}"/>
    <hyperlink ref="H1292" r:id="rId627" display="http://www.spokesman.com/stories/2004/dec/11/skyler-cullitan-remembered-as-caring-outgoing/" xr:uid="{00000000-0004-0000-0100-000072020000}"/>
    <hyperlink ref="H1293" r:id="rId628" display="https://www.questia.com/newspaper/1G1-125515131/student-accidentally-shot-1-charged-terry-parker" xr:uid="{00000000-0004-0000-0100-000073020000}"/>
    <hyperlink ref="H1294" r:id="rId629" display="http://articles.orlandosentinel.com/keyword/gun-to-school/recent/3" xr:uid="{00000000-0004-0000-0100-000074020000}"/>
    <hyperlink ref="H1295" r:id="rId630" display="http://www.wtoc.com/story/2578224/gunman-sought-in-battery-creek-high-shooting" xr:uid="{00000000-0004-0000-0100-000075020000}"/>
    <hyperlink ref="H1296" r:id="rId631" display="https://www.nwitimes.com/news/local/suspect-in-school-shooting-in-custody/article_45dbc46d-b19d-5eda-a4e0-8823c211e6cd.html" xr:uid="{00000000-0004-0000-0100-000076020000}"/>
    <hyperlink ref="H1297" r:id="rId632" display="http://blog.al.com/spotnews/2009/04/suspect_in_drugrelated_titusvi.html" xr:uid="{00000000-0004-0000-0100-000077020000}"/>
    <hyperlink ref="H1298" r:id="rId633" display="https://www.sfgate.com/bayarea/article/HAYWARD-Man-fatally-shot-at-school-no-arrest-2679598.php" xr:uid="{00000000-0004-0000-0100-000078020000}"/>
    <hyperlink ref="H1299" r:id="rId634" display="http://articles.baltimoresun.com/2004-10-23/news/0410230240_1_thurgood-marshall-high-school-violence-city-schools" xr:uid="{00000000-0004-0000-0100-000079020000}"/>
    <hyperlink ref="H1300" r:id="rId635" display="http://articles.latimes.com/2004/oct/17/local/me-sbriefs17.2" xr:uid="{00000000-0004-0000-0100-00007A020000}"/>
    <hyperlink ref="H1301" r:id="rId636" display="https://www.sfgate.com/bayarea/article/SUNNYVALE-2-killings-at-school-bring-murder-2641374.php" xr:uid="{00000000-0004-0000-0100-00007B020000}"/>
    <hyperlink ref="H1302" r:id="rId637" display="https://www.upi.com/Distraught-teen-kills-himself-at-school/59631097364281/" xr:uid="{00000000-0004-0000-0100-00007C020000}"/>
    <hyperlink ref="H1303" r:id="rId638" display="https://www.theindependent.com/news/man-charged-with-shooting-at-jefferson-school/article_3665f3f8-7aea-525c-b6a2-1d6de44bd561.html" xr:uid="{00000000-0004-0000-0100-00007D020000}"/>
    <hyperlink ref="H1304" r:id="rId639" display="https://www.nwitimes.com/news/local/lake-county-news-briefs/article_cc5c39db-4f11-5fc4-8024-c813bc7b21f9.html" xr:uid="{00000000-0004-0000-0100-00007E020000}"/>
    <hyperlink ref="H1305" r:id="rId640" display="https://en.wikipedia.org/wiki/List_of_school_shootings_in_the_United_States" xr:uid="{00000000-0004-0000-0100-00007F020000}"/>
    <hyperlink ref="H1306" r:id="rId641" display="http://articles.chicagotribune.com/2004-08-31/news/0408310214_1_gang-related-shooting-proviso-east-high-school-student-parking-lot" xr:uid="{00000000-0004-0000-0100-000080020000}"/>
    <hyperlink ref="H1307" r:id="rId642" display="http://www.wmcactionnews5.com/story/7818497/police-investigate-shooting-inside-classroom-at-hamilton-high/" xr:uid="{00000000-0004-0000-0100-000081020000}"/>
    <hyperlink ref="H1308" r:id="rId643" display="http://www.gadsdentimes.com/article/DA/20040804/News/603205688/GT/" xr:uid="{00000000-0004-0000-0100-000082020000}"/>
    <hyperlink ref="H1309" r:id="rId644" display="https://www.eastbaytimes.com/2004/06/10/castlemont-pupils-shot-in-drive-by/" xr:uid="{00000000-0004-0000-0100-000083020000}"/>
    <hyperlink ref="H1310" r:id="rId645" display="https://www.deseretnews.com/article/595065631/Man-kills-wife-self-at-West-High.html" xr:uid="{00000000-0004-0000-0100-000084020000}"/>
    <hyperlink ref="H1311" r:id="rId646" display="https://www.newspapers.com/image/285023326/?terms=East%2BCampus%2BEducational%2BCenter%2BJulio%2BNajar" xr:uid="{00000000-0004-0000-0100-000085020000}"/>
    <hyperlink ref="H1312" r:id="rId647" display="http://www.baltimoresun.com/bal-te.randallstown28jan28-story.html" xr:uid="{00000000-0004-0000-0100-000086020000}"/>
    <hyperlink ref="H1313" r:id="rId648" display="https://www.chron.com/news/houston-texas/article/Gunfire-but-no-injuries-at-Kashmere-High-School-1651100.php" xr:uid="{00000000-0004-0000-0100-000087020000}"/>
    <hyperlink ref="H1314" r:id="rId649" display="http://community.seattletimes.nwsource.com/archive/?date=20040319&amp;slug=boyshot19m" xr:uid="{00000000-0004-0000-0100-000088020000}"/>
    <hyperlink ref="H1315" r:id="rId650" display="https://www.newspapers.com/image/192854243/?terms=Los%2BAngeles%2Bhigh%2Bschool%2Bshooting" xr:uid="{00000000-0004-0000-0100-000089020000}"/>
    <hyperlink ref="H1316" r:id="rId651" display="https://www.iberianet.com/news/two-dead-in-friday-murder-suicide/article_6e2281d6-1558-5273-b883-8aa0132a8b2e.html" xr:uid="{00000000-0004-0000-0100-00008A020000}"/>
    <hyperlink ref="H1317" r:id="rId652" display="https://www.newspapers.com/image/410611502/" xr:uid="{00000000-0004-0000-0100-00008B020000}"/>
    <hyperlink ref="H1318" r:id="rId653" display="http://www.foxnews.com/story/2006/03/16/two-guilty-in-slaying-philadelphia-boy.html" xr:uid="{00000000-0004-0000-0100-00008C020000}"/>
    <hyperlink ref="H1320" r:id="rId654" display="https://www.shreveporttimes.com/story/news/2017/11/07/times-files-officer-fires-shot-fair-park-high/841429001/" xr:uid="{00000000-0004-0000-0100-00008D020000}"/>
    <hyperlink ref="H1321" r:id="rId655" display="https://www.chron.com/news/houston-texas/article/Fifth-grader-accidentally-shoots-himself-at-school-1979500.php" xr:uid="{00000000-0004-0000-0100-00008E020000}"/>
    <hyperlink ref="H1322" r:id="rId656" display="http://www.washingtonpost.com/wp-dyn/articles/A13630-2004Feb4.html" xr:uid="{00000000-0004-0000-0100-00008F020000}"/>
    <hyperlink ref="H1323" r:id="rId657" display="https://lasvegassun.com/news/2004/feb/27/inquest-begins-in-shooting-at-elementary-school/" xr:uid="{00000000-0004-0000-0100-000090020000}"/>
    <hyperlink ref="H1324" r:id="rId658" display="https://www.newspapers.com/image/192733466/?terms=Pomona%2BHigh%2BSchool%2Bstudent%2Bshot" xr:uid="{00000000-0004-0000-0100-000091020000}"/>
    <hyperlink ref="H1325" r:id="rId659" display="https://www.news4jax.com/news/two-brothers-arrested-for-school-lot-shooting" xr:uid="{00000000-0004-0000-0100-000092020000}"/>
    <hyperlink ref="H1326" r:id="rId660" display="https://www.newspapers.com/image/225032236/?terms=Colonia%2BHigh%2BSchool%2Bhandgun" xr:uid="{00000000-0004-0000-0100-000093020000}"/>
    <hyperlink ref="H1327" r:id="rId661" display="http://articles.baltimoresun.com/2003-12-18/news/0312180341_1_two-middle-schools-school-officials-mill-high" xr:uid="{00000000-0004-0000-0100-000094020000}"/>
    <hyperlink ref="H1328" r:id="rId662" display="https://dailyegyptian.com/27496/archives/man-shot-in-leg-cchs-game/" xr:uid="{00000000-0004-0000-0100-000095020000}"/>
    <hyperlink ref="H1329" r:id="rId663" display="https://newsok.com/article/1961014/arrest-warrant-issued-in-high-school-shooting" xr:uid="{00000000-0004-0000-0100-000096020000}"/>
    <hyperlink ref="H1331" r:id="rId664" display="https://www.columbine-angels.com/School_Violence_2003-2004.htm" xr:uid="{00000000-0004-0000-0100-000097020000}"/>
    <hyperlink ref="H1332" r:id="rId665" display="https://www.chron.com/news/houston-texas/article/Man-convicted-of-killing-student-outside-stadium-1624934.php" xr:uid="{00000000-0004-0000-0100-000098020000}"/>
    <hyperlink ref="H1333" r:id="rId666" display="https://www.washingtonpost.com/archive/politics/2003/10/31/anacostia-high-student-is-fatally-shot-at-school/a36cda4b-5726-44b6-8658-07f7b3d2c499/?utm_term=.9b19cef0c21d" xr:uid="{00000000-0004-0000-0100-000099020000}"/>
    <hyperlink ref="H1334" r:id="rId667" display="https://www.newspapers.com/image/226188784/" xr:uid="{00000000-0004-0000-0100-00009A020000}"/>
    <hyperlink ref="H1335" r:id="rId668" display="http://www.the-daily-record.com/news/20070723/kenmore-grad-remembers-every-detail-of-2003-school-shooting" xr:uid="{00000000-0004-0000-0100-00009B020000}"/>
    <hyperlink ref="H1336" r:id="rId669" display="http://articles.latimes.com/2003/oct/02/local/me-shooting2" xr:uid="{00000000-0004-0000-0100-00009C020000}"/>
    <hyperlink ref="H1339" r:id="rId670" display="http://www.spokesman.com/stories/2004/sep/04/father-says-police-too-aggressive-high-school-shoo/" xr:uid="{00000000-0004-0000-0100-00009D020000}"/>
    <hyperlink ref="H1340" r:id="rId671" display="https://en.wikipedia.org/wiki/List_of_school_shootings_in_the_United_States" xr:uid="{00000000-0004-0000-0100-00009E020000}"/>
    <hyperlink ref="H1341" r:id="rId672" display="http://archive.boston.com/news/local/articles/2003/09/18/teen_shot_near_charlestown_high/" xr:uid="{00000000-0004-0000-0100-00009F020000}"/>
    <hyperlink ref="H1342" r:id="rId673" display="https://www.vicksburgpost.com/2003/09/11/former-vhs-student-shot-dead/" xr:uid="{00000000-0004-0000-0100-0000A0020000}"/>
    <hyperlink ref="H1344" r:id="rId674" display="https://newspaperarchive.com/altoona-mirror-may-14-2003-p-11/" xr:uid="{00000000-0004-0000-0100-0000A1020000}"/>
    <hyperlink ref="H1346" r:id="rId675" display="http://obits.dallasnews.com/obituaries/dallasmorningnews/obituary.aspx?page=lifestory&amp;pid=950952" xr:uid="{00000000-0004-0000-0100-0000A2020000}"/>
    <hyperlink ref="H1347" r:id="rId676" display="https://www.washingtonpost.com/archive/politics/2003/04/15/youth-15-dies-in-shooting-at-new-orleans-high-school/a2b1c00e-b101-4b41-ae45-a150abc01ada/?utm_term=.0ec08f1f82f8" xr:uid="{00000000-0004-0000-0100-0000A3020000}"/>
    <hyperlink ref="H1348" r:id="rId677" display="https://www.newspapers.com/image/220871722/?terms=Fair%2BPark%2BHigh%2BSchool%2BSteven%2BGreen" xr:uid="{00000000-0004-0000-0100-0000A4020000}"/>
    <hyperlink ref="H1349" r:id="rId678" display="https://web.archive.org/web/20050211181322/https:/www.nbc4.tv/news/2104581/detail.html" xr:uid="{00000000-0004-0000-0100-0000A5020000}"/>
    <hyperlink ref="H1350" r:id="rId679" display="https://www.washingtontimes.com/news/2003/apr/4/20030404-090538-6902r/" xr:uid="{00000000-0004-0000-0100-0000A6020000}"/>
    <hyperlink ref="H1351" r:id="rId680" display="http://www.santacruzsentinel.com/article/zz/20080625/NEWS/806259869" xr:uid="{00000000-0004-0000-0100-0000A7020000}"/>
    <hyperlink ref="H1352" r:id="rId681" display="https://www.franklincountytimes.com/2003/03/26/northeast-high-school-begins-healing-process/" xr:uid="{00000000-0004-0000-0100-0000A8020000}"/>
    <hyperlink ref="H1353" r:id="rId682" display="https://azdailysun.com/teen-shoots-himself-in-principal-s-office/article_4262b5f6-0d4a-536c-9859-fb77384f957a.html" xr:uid="{00000000-0004-0000-0100-0000A9020000}"/>
    <hyperlink ref="H1354" r:id="rId683" display="https://trib.com/news/state-and-regional/shots-fired-outside-colorado-high-school/article_6fc1cc83-9e5a-5600-ba1a-d3044ce97ab7.html" xr:uid="{00000000-0004-0000-0100-0000AA020000}"/>
    <hyperlink ref="H1355" r:id="rId684" display="https://www.tulsaworld.com/archives/jenks-student-yields-after-standoff/article_df79f378-452f-5400-9568-28cd4a828fdf.html" xr:uid="{00000000-0004-0000-0100-0000AB020000}"/>
    <hyperlink ref="H1356" r:id="rId685" display="https://www.newspapers.com/image/362208049/?terms=Olive%2BHill%2Bschool%2Bhostage" xr:uid="{00000000-0004-0000-0100-0000AC020000}"/>
    <hyperlink ref="H1357" r:id="rId686" display="http://articles.chicagotribune.com/2002-12-17/news/0212180098_1_chicago-public-schools-chicago-police-alleged" xr:uid="{00000000-0004-0000-0100-0000AD020000}"/>
    <hyperlink ref="H1359" r:id="rId687" display="https://www.newspapers.com/image/205047710/?terms=student%2Bshoots" xr:uid="{00000000-0004-0000-0100-0000AE020000}"/>
    <hyperlink ref="H1360" r:id="rId688" display="https://www.myplainview.com/news/article/Scurry-Rosser-faculty-students-subdue-gunman-8787426.php" xr:uid="{00000000-0004-0000-0100-0000AF020000}"/>
    <hyperlink ref="H1361" r:id="rId689" display="http://articles.latimes.com/2002/nov/15/local/me-carson15" xr:uid="{00000000-0004-0000-0100-0000B0020000}"/>
    <hyperlink ref="H1362" r:id="rId690" display="https://www.semissourian.com/story/152973.html" xr:uid="{00000000-0004-0000-0100-0000B1020000}"/>
    <hyperlink ref="H1363" r:id="rId691" display="http://www.cnn.com/2002/US/Northeast/10/29/school.shooting/" xr:uid="{00000000-0004-0000-0100-0000B2020000}"/>
    <hyperlink ref="H1364" r:id="rId692" display="https://www.theguardian.com/world/2002/oct/08/usgunviolence.usa" xr:uid="{00000000-0004-0000-0100-0000B3020000}"/>
    <hyperlink ref="H1365" r:id="rId693" display="http://ssristories.drugawareness.org/archive/showa5f5.html?item=224" xr:uid="{00000000-0004-0000-0100-0000B4020000}"/>
    <hyperlink ref="H1367" r:id="rId694" display="https://www.newspapers.com/image/229238117/?terms=Toran%2BJoseph%2BRichard%2BAntoine%2Bschool%2Bdance" xr:uid="{00000000-0004-0000-0100-0000B5020000}"/>
    <hyperlink ref="H1369" r:id="rId695" display="https://www.newspapers.com/image/4986183/" xr:uid="{00000000-0004-0000-0100-0000B6020000}"/>
    <hyperlink ref="H1370" r:id="rId696" display="https://www.newspapers.com/image/390065452/?terms=Roosevelt%2BHigh%2BSchool%2Bshooting%2BJose%2BVela" xr:uid="{00000000-0004-0000-0100-0000B7020000}"/>
    <hyperlink ref="H1371" r:id="rId697" display="http://articles.latimes.com/2002/feb/07/local/me-shot7" xr:uid="{00000000-0004-0000-0100-0000B8020000}"/>
    <hyperlink ref="H1372" r:id="rId698" display="https://www.newspapers.com/image/434313780/?terms=thomas%2Bmcadams%2Barrested" xr:uid="{00000000-0004-0000-0100-0000B9020000}"/>
    <hyperlink ref="H1373" r:id="rId699" display="http://articles.mcall.com/2003-09-24/news/3482461_1_berks-christian-school-otto-nuss-bus-driver" xr:uid="{00000000-0004-0000-0100-0000BA020000}"/>
    <hyperlink ref="H1374" r:id="rId700" display="https://www.cbsnews.com/news/arrest-in-nyc-school-shooting/" xr:uid="{00000000-0004-0000-0100-0000BB020000}"/>
    <hyperlink ref="H1376" r:id="rId701" display="https://www.chron.com/news/houston-texas/article/Friendswood-teacher-indicted-over-gunfire-2059926.php" xr:uid="{00000000-0004-0000-0100-0000BC020000}"/>
    <hyperlink ref="H1377" r:id="rId702" display="https://www.michigandaily.com/content/17-year-old-takes-hostages-school-commits-suicide" xr:uid="{00000000-0004-0000-0100-0000BD020000}"/>
    <hyperlink ref="H1378" r:id="rId703" display="https://www.newspapers.com/image/220634008/?terms=High%2BSchool%2BSaginaw%2Bgun%2Bjacket" xr:uid="{00000000-0004-0000-0100-0000BE020000}"/>
    <hyperlink ref="H1379" r:id="rId704" display="http://articles.latimes.com/2001/oct/27/local/me-62198" xr:uid="{00000000-0004-0000-0100-0000BF020000}"/>
    <hyperlink ref="H1380" r:id="rId705" display="https://www.deseretnews.com/article/868847/Boy-shoots-self-at-school.html" xr:uid="{00000000-0004-0000-0100-0000C0020000}"/>
    <hyperlink ref="H1381" r:id="rId706" display="http://articles.baltimoresun.com/2001-09-21/news/0109210200_1_lake-clifton-neighborhood-dispute-inside-the-school" xr:uid="{00000000-0004-0000-0100-0000C1020000}"/>
    <hyperlink ref="H1382" r:id="rId707" display="http://www.enquirer.com/editions/2001/09/14/loc_children_who_saw.html" xr:uid="{00000000-0004-0000-0100-0000C2020000}"/>
    <hyperlink ref="H1383" r:id="rId708" display="http://www.ladowntownnews.com/news/lockdown-at-belmont-high/article_cc919569-fc0c-5517-be27-6e7adfd7e46a.html" xr:uid="{00000000-0004-0000-0100-0000C3020000}"/>
    <hyperlink ref="H1385" r:id="rId709" display="https://www.deseretnews.com/article/843018/Texas-teen-kills-himself-at-school.html" xr:uid="{00000000-0004-0000-0100-0000C4020000}"/>
    <hyperlink ref="H1386" r:id="rId710" display="https://nthfmemorial.org/mystery-in-ohio-demetrius-minifee/" xr:uid="{00000000-0004-0000-0100-0000C5020000}"/>
    <hyperlink ref="H1387" r:id="rId711" display="https://products.kitsapsun.com/archive/2001/04-21/0043_in_the_headlines.html" xr:uid="{00000000-0004-0000-0100-0000C6020000}"/>
    <hyperlink ref="H1389" r:id="rId712" display="https://www.chron.com/news/houston-texas/article/Eighth-grade-girl-dies-after-shooting-herself-at-2012069.php" xr:uid="{00000000-0004-0000-0100-0000C7020000}"/>
    <hyperlink ref="H1390" r:id="rId713" display="http://edition.cnn.com/2001/US/03/31/school.shooting/" xr:uid="{00000000-0004-0000-0100-0000C8020000}"/>
    <hyperlink ref="H1392" r:id="rId714" display="http://community.seattletimes.nwsource.com/archive/?date=20010308&amp;slug=kent08m0" xr:uid="{00000000-0004-0000-0100-0000C9020000}"/>
    <hyperlink ref="H1394" r:id="rId715" display="https://www.washingtontimes.com/news/2001/mar/8/20010308-021529-7742r/" xr:uid="{00000000-0004-0000-0100-0000CA020000}"/>
    <hyperlink ref="H1396" r:id="rId716" display="https://www.deseretnews.com/article/831817/School-hopes-suicide-doesnt-put-it-in-spotlight.html" xr:uid="{00000000-0004-0000-0100-0000CB020000}"/>
    <hyperlink ref="H1397" r:id="rId717" display="http://edition.cnn.com/2001/US/02/02/detroit.shooting/index.html" xr:uid="{00000000-0004-0000-0100-0000CC020000}"/>
    <hyperlink ref="H1398" r:id="rId718" display="http://articles.baltimoresun.com/2001-01-19/news/0101190243_1_sanders-inside-the-school-school-shooting" xr:uid="{00000000-0004-0000-0100-0000CD020000}"/>
    <hyperlink ref="H1399" r:id="rId719" display="http://articles.latimes.com/2001/jan/11/local/me-11081" xr:uid="{00000000-0004-0000-0100-0000CE020000}"/>
    <hyperlink ref="H1400" r:id="rId720" display="https://www.sfgate.com/news/article/Security-Review-After-Accident-Student-shot-2968986.php" xr:uid="{00000000-0004-0000-0100-0000CF020000}"/>
    <hyperlink ref="H1401" r:id="rId721" display="http://articles.sun-sentinel.com/2000-12-21/news/0012210472_1_armored-car-armored-guard-routine-pickup" xr:uid="{00000000-0004-0000-0100-0000D0020000}"/>
    <hyperlink ref="H1402" r:id="rId722" display="https://www.sfgate.com/bayarea/article/Drive-by-Shooter-Kills-Teen-2692458.php" xr:uid="{00000000-0004-0000-0100-0000D1020000}"/>
    <hyperlink ref="H1403" r:id="rId723" display="http://www.berkeleydailyplanet.com/issue/2000-12-06/article/2518" xr:uid="{00000000-0004-0000-0100-0000D2020000}"/>
    <hyperlink ref="H1404" r:id="rId724" display="http://articles.latimes.com/2000/dec/02/local/me-60380" xr:uid="{00000000-0004-0000-0100-0000D3020000}"/>
    <hyperlink ref="H1405" r:id="rId725" display="https://www.deseretnews.com/article/791173/Student-takes-class-hostage.html" xr:uid="{00000000-0004-0000-0100-0000D4020000}"/>
    <hyperlink ref="H1406" r:id="rId726" display="http://tucsoncitizen.com/morgue2/2000/10/25/84611-teen-holds-class-teacher-hostage-at-his-former-glendale-school/" xr:uid="{00000000-0004-0000-0100-0000D5020000}"/>
    <hyperlink ref="H1407" r:id="rId727" display="https://www.newspapers.com/image/195721847/?terms=shooting%2Bhomecoming%2BMinneapolis" xr:uid="{00000000-0004-0000-0100-0000D6020000}"/>
    <hyperlink ref="H1408" r:id="rId728" display="http://abcnews.go.com/US/story?id=95621&amp;page=1" xr:uid="{00000000-0004-0000-0100-0000D7020000}"/>
    <hyperlink ref="H1409" r:id="rId729" display="https://www.newspapers.com/image/324100036/?terms=Mount%2BHealthy%2C%2BOhio%2Bschool%2Bgun" xr:uid="{00000000-0004-0000-0100-0000D8020000}"/>
    <hyperlink ref="H1412" r:id="rId730" display="http://enquirer.com/editions/2000/11/14/loc_driver_in_fatal.html" xr:uid="{00000000-0004-0000-0100-0000D9020000}"/>
    <hyperlink ref="H1413" r:id="rId731" display="https://products.kitsapsun.com/archive/2000/10-19/0036_cafeteria__teen_pleads_guilty_to_.html" xr:uid="{00000000-0004-0000-0100-0000DA020000}"/>
    <hyperlink ref="H1415" r:id="rId732" display="http://tucsoncitizen.com/morgue2/2000/05/11/58653-sierra-vista-shootings-prompt-safety-review/" xr:uid="{00000000-0004-0000-0100-0000DB020000}"/>
    <hyperlink ref="H1416" r:id="rId733" display="https://www.newspapers.com/image/340040843/?terms=high%2Bschool%2Bsuicide%2Bdenver" xr:uid="{00000000-0004-0000-0100-0000DC020000}"/>
    <hyperlink ref="H1417" r:id="rId734" display="https://www.cbsnews.com/news/fear-turns-to-outrage-at-tucson-school/" xr:uid="{00000000-0004-0000-0100-0000DD020000}"/>
    <hyperlink ref="H1418" r:id="rId735" display="https://www.newspapers.com/image/454563845/?terms=Hugo%2BHigh%2BSchool%2Bshooting" xr:uid="{00000000-0004-0000-0100-0000DE020000}"/>
    <hyperlink ref="H1419" r:id="rId736" display="https://www.cbsnews.com/news/boy-charged-in-school-gun-scare/" xr:uid="{00000000-0004-0000-0100-0000DF020000}"/>
    <hyperlink ref="H1422" r:id="rId737" display="http://articles.chicagotribune.com/2000-03-30/news/0003300274_1_metal-detectors-elementary-schools-west-side-school" xr:uid="{00000000-0004-0000-0100-0000E0020000}"/>
    <hyperlink ref="H1426" r:id="rId738" display="https://www.newspapers.com/image/197812875/?terms=Erwin%2BHigh%2BSchool%2Bshooting" xr:uid="{00000000-0004-0000-0100-0000E1020000}"/>
    <hyperlink ref="H1427" r:id="rId739" display="http://www.tbo.com/pasco-county/teen-who-accidentally-shot-friend-lands-in-jail-as-adult-87255" xr:uid="{00000000-0004-0000-0100-0000E2020000}"/>
    <hyperlink ref="H1428" r:id="rId740" display="https://www.newspapers.com/image/342081991/?terms=Albuquerque%2BHigh%2BSchool%2Bshooting" xr:uid="{00000000-0004-0000-0100-0000E3020000}"/>
    <hyperlink ref="H1431" r:id="rId741" display="https://www.abqjournal.com/news/state/apteen10-12-04.htm" xr:uid="{00000000-0004-0000-0100-0000E4020000}"/>
    <hyperlink ref="H1432" r:id="rId742" display="https://www.newspapers.com/image/13325920/?terms=Dickinson%2BHigh%2BSchool%2Bshooting" xr:uid="{00000000-0004-0000-0100-0000E5020000}"/>
    <hyperlink ref="H1433" r:id="rId743" display="https://www.newspapers.com/image/220395374/?terms=Guyan%2BValley%2BHigh%2BSchool" xr:uid="{00000000-0004-0000-0100-0000E6020000}"/>
    <hyperlink ref="H1434" r:id="rId744" display="https://www.newspapers.com/image/184629441/?terms=shooting%2BDonald%2BMcNeil" xr:uid="{00000000-0004-0000-0100-0000E7020000}"/>
    <hyperlink ref="H1435" r:id="rId745" display="http://articles.latimes.com/1999/oct/22/local/me-24932" xr:uid="{00000000-0004-0000-0100-0000E8020000}"/>
    <hyperlink ref="H1436" r:id="rId746" display="https://lasvegassun.com/news/1999/oct/12/security-increased-after-shooting-at-clark-high/" xr:uid="{00000000-0004-0000-0100-0000E9020000}"/>
    <hyperlink ref="H1437" r:id="rId747" display="https://www.cbsnews.com/news/vice-principal-shot-in-scuffle/" xr:uid="{00000000-0004-0000-0100-0000EA020000}"/>
    <hyperlink ref="H1438" r:id="rId748" display="https://www.newspapers.com/image/327236803/?terms=Lauren%2BKlingensmith" xr:uid="{00000000-0004-0000-0100-0000EB020000}"/>
    <hyperlink ref="H1439" r:id="rId749" display="https://www.sfgate.com/bayarea/article/San-Jose-Boy-16-Fatally-Shoots-Himself-at-High-2909269.php" xr:uid="{00000000-0004-0000-0100-0000EC020000}"/>
    <hyperlink ref="H1440" r:id="rId750" display="https://www.cbsnews.com/news/ga-teen-found-dead-in-truck/" xr:uid="{00000000-0004-0000-0100-0000ED020000}"/>
    <hyperlink ref="H1443" r:id="rId751" display="https://www.newspapers.com/image/403219735/?terms=Geno%2BThomas%2Bshooting" xr:uid="{00000000-0004-0000-0100-0000EE020000}"/>
    <hyperlink ref="H1444" r:id="rId752" display="https://www.history.com/topics/columbine-high-school-shootings" xr:uid="{00000000-0004-0000-0100-0000EF020000}"/>
    <hyperlink ref="H1445" r:id="rId753" display="https://www.deseretnews.com/article/691987/Did-teen-in-school-shooting-have-hit-list.html" xr:uid="{00000000-0004-0000-0100-0000F0020000}"/>
    <hyperlink ref="H1446" r:id="rId754" display="http://articles.chicagotribune.com/1999-03-06/news/9903060113_1_hennessy-police-skokie" xr:uid="{00000000-0004-0000-0100-0000F1020000}"/>
    <hyperlink ref="H1447" r:id="rId755" display="https://www.deseretnews.com/article/679792/News-capsules.html" xr:uid="{00000000-0004-0000-0100-0000F2020000}"/>
    <hyperlink ref="H1448" r:id="rId756" display="http://articles.chicagotribune.com/1999-02-12/news/9902120139_1_shooting-gunman-gang" xr:uid="{00000000-0004-0000-0100-0000F3020000}"/>
    <hyperlink ref="H1449" r:id="rId757" display="https://www.newspapers.com/image/13671024/" xr:uid="{00000000-0004-0000-0100-0000F4020000}"/>
    <hyperlink ref="H1450" r:id="rId758" display="https://www.nytimes.com/1999/01/15/nyregion/2-students-shot-outside-bronx-high-school.html" xr:uid="{00000000-0004-0000-0100-0000F5020000}"/>
    <hyperlink ref="H1451" r:id="rId759" display="https://www.cbsnews.com/news/2-teens-shot-at-georgia-school/" xr:uid="{00000000-0004-0000-0100-0000F6020000}"/>
    <hyperlink ref="H1452" r:id="rId760" display="https://www.newspapers.com/image/156830644/?terms=student%2Bshot" xr:uid="{00000000-0004-0000-0100-0000F7020000}"/>
    <hyperlink ref="H1467" r:id="rId761" display="http://articles.sun-sentinel.com/1998-09-30/news/9809300032_1_school-cafeteria-school-officials-high-school" xr:uid="{00000000-0004-0000-0100-0000F8020000}"/>
    <hyperlink ref="H1478" r:id="rId762" display="https://cmuhistory.cmich.edu/?a=d&amp;d=IsabellaCML19980227.1.2&amp;" xr:uid="{00000000-0004-0000-0100-0000F9020000}"/>
    <hyperlink ref="H1480" r:id="rId763" display="http://www.cnn.com/US/9712/19/school.shooting/" xr:uid="{00000000-0004-0000-0100-0000FA020000}"/>
    <hyperlink ref="H1481" r:id="rId764" display="https://www.washingtonpost.com/nation/2022/08/28/school-shooting-paducah-kentucky-michael-carneal-parole/" xr:uid="{00000000-0004-0000-0100-0000FB020000}"/>
    <hyperlink ref="H1482" r:id="rId765" display="https://www.apnews.com/4875a8815b27a22d306a61ab83a97d26" xr:uid="{00000000-0004-0000-0100-0000FC020000}"/>
    <hyperlink ref="H1483" r:id="rId766" display="https://www.questia.com/newspaper/1G1-57464504/two-students-shot-1-dead-teens-attacked-near-ribault" xr:uid="{00000000-0004-0000-0100-0000FD020000}"/>
    <hyperlink ref="H1487" r:id="rId767" display="https://ssristories.org/21-year-old-woman-shoots-herself/" xr:uid="{00000000-0004-0000-0100-0000FE020000}"/>
    <hyperlink ref="H1488" r:id="rId768" display="http://articles.chicagotribune.com/1997-10-12/news/9710120311_1_fatal-shooting-wallace-high-school-police" xr:uid="{00000000-0004-0000-0100-0000FF020000}"/>
    <hyperlink ref="H1489" r:id="rId769" display="https://www.newspapers.com/image/455228173/?terms=shot%2Bin%2Bschool%2Bparking%2Blot" xr:uid="{00000000-0004-0000-0100-000000030000}"/>
    <hyperlink ref="H1492" r:id="rId770" display="https://www.newspapers.com/image/295695332/?terms=student%2Bshoots" xr:uid="{00000000-0004-0000-0100-000001030000}"/>
    <hyperlink ref="H1493" r:id="rId771" display="https://www.newspapers.com/image/186768947/?terms=student%2Bshoots" xr:uid="{00000000-0004-0000-0100-000002030000}"/>
    <hyperlink ref="H1495" r:id="rId772" display="http://www.psychceu.com/school_violence/savd.pdf" xr:uid="{00000000-0004-0000-0100-000003030000}"/>
    <hyperlink ref="H1498" r:id="rId773" display="https://m.lasvegassun.com/news/1997/feb/21/rival-gangs-blamed-in-rancho-shooting/" xr:uid="{00000000-0004-0000-0100-000004030000}"/>
    <hyperlink ref="H1501" r:id="rId774" display="https://www.nytimes.com/1997/02/14/nyregion/gunfire-injures-2-students-at-high-schools-in-bronx.html?auth=login-google" xr:uid="{00000000-0004-0000-0100-000005030000}"/>
    <hyperlink ref="H1502" r:id="rId775" display="https://www.nytimes.com/1997/02/14/nyregion/gunfire-injures-2-students-at-high-schools-in-bronx.html?auth=login-google" xr:uid="{00000000-0004-0000-0100-000006030000}"/>
    <hyperlink ref="H1506" r:id="rId776" display="http://www.psychceu.com/school_violence/savd.pdf" xr:uid="{00000000-0004-0000-0100-000007030000}"/>
    <hyperlink ref="H1507" r:id="rId777" display="http://www.psychceu.com/school_violence/savd.pdf" xr:uid="{00000000-0004-0000-0100-000008030000}"/>
    <hyperlink ref="H1508" r:id="rId778" display="https://www.upi.com/Archives/1996/10/10/Teen-charged-in-school-bus-slaying/5274844920000/" xr:uid="{00000000-0004-0000-0100-000009030000}"/>
    <hyperlink ref="H1509" r:id="rId779" display="http://www.psychceu.com/school_violence/savd.pdf" xr:uid="{00000000-0004-0000-0100-00000A030000}"/>
    <hyperlink ref="H1510" r:id="rId780" display="http://www.psychceu.com/school_violence/savd.pdf" xr:uid="{00000000-0004-0000-0100-00000B030000}"/>
    <hyperlink ref="H1513" r:id="rId781" display="https://www.columbine-angels.com/School_Violence_1995-1996.htm" xr:uid="{00000000-0004-0000-0100-00000C030000}"/>
    <hyperlink ref="H1514" r:id="rId782" display="https://pepperbough.com/features/2012/08/17/who-mourns-for-sexy-x/" xr:uid="{00000000-0004-0000-0100-00000D030000}"/>
    <hyperlink ref="H1515" r:id="rId783" display="https://www.columbine-angels.com/School_Violence_1995-1996.htm" xr:uid="{00000000-0004-0000-0100-00000E030000}"/>
    <hyperlink ref="H1516" r:id="rId784" display="https://www.columbine-angels.com/School_Violence_1995-1996.htm" xr:uid="{00000000-0004-0000-0100-00000F030000}"/>
    <hyperlink ref="H1530" r:id="rId785" display="https://www.columbine-angels.com/School_Violence_1995-1996.htm" xr:uid="{00000000-0004-0000-0100-000010030000}"/>
    <hyperlink ref="H1534" r:id="rId786" display="https://www.newspapers.com/image/106718796/?terms=student%2Bshot" xr:uid="{00000000-0004-0000-0100-000011030000}"/>
    <hyperlink ref="H1537" r:id="rId787" display="https://www.columbine-angels.com/School_Violence_1995-1996.htm" xr:uid="{00000000-0004-0000-0100-000012030000}"/>
    <hyperlink ref="H1538" r:id="rId788" display="http://www.columbine-angels.com/School_Violence_1995-1996.htm" xr:uid="{00000000-0004-0000-0100-000013030000}"/>
    <hyperlink ref="H1542" r:id="rId789" display="https://apnews.com/a07c45ae91ad4f448d560abb24e292f1" xr:uid="{00000000-0004-0000-0100-000014030000}"/>
    <hyperlink ref="H1543" r:id="rId790" display="https://www.presstelegram.com/2015/10/16/javiers-dream-of-helping-people-lives-on-rich-archbold/" xr:uid="{00000000-0004-0000-0100-000015030000}"/>
    <hyperlink ref="H1544" r:id="rId791" display="https://www.washingtonpost.com/archive/local/1995/01/25/student-wounded-in-school-shooting/43b9c1ae-244d-40ed-8bc7-18fec6c338f3/" xr:uid="{00000000-0004-0000-0100-000016030000}"/>
    <hyperlink ref="H1545" r:id="rId792" display="http://articles.latimes.com/1995-01-25/news/mn-24213_1_attitude-problem" xr:uid="{00000000-0004-0000-0100-000017030000}"/>
    <hyperlink ref="H1546" r:id="rId793" display="http://community.seattletimes.nwsource.com/archive/?date=19950118&amp;slug=2100074" xr:uid="{00000000-0004-0000-0100-000018030000}"/>
    <hyperlink ref="H1547" r:id="rId794" display="http://articles.sun-sentinel.com/1995-01-12/news/9501120169_1_high-schools-gun-school-administrators" xr:uid="{00000000-0004-0000-0100-000019030000}"/>
    <hyperlink ref="H1552" r:id="rId795" display="https://www.sfgate.com/bayarea/article/SAN-LEANDRO-Suspect-named-in-1994-slaying-2596999.php" xr:uid="{00000000-0004-0000-0100-00001A030000}"/>
    <hyperlink ref="H1553" r:id="rId796" display="http://articles.latimes.com/1994-11-01/local/me-57381_1_aliso-niguel-high-student" xr:uid="{00000000-0004-0000-0100-00001B030000}"/>
    <hyperlink ref="H1554" r:id="rId797" display="http://articles.chicagotribune.com/1994-10-18/news/9410180247_1_female-student-was-shot-christ-hospital-flesh-wound" xr:uid="{00000000-0004-0000-0100-00001C030000}"/>
    <hyperlink ref="H1556" r:id="rId798" display="https://www.gazettetimes.com/news/local/a-history-of-violence/article_54ce32a6-d4e3-5d34-8aa6-09d9437a0439.html" xr:uid="{00000000-0004-0000-0100-00001D030000}"/>
    <hyperlink ref="H1557" r:id="rId799" display="https://www.newspapers.com/image/159244311/?terms=Hollywood%2BHigh%2BSchool%2Bshooting" xr:uid="{00000000-0004-0000-0100-00001E030000}"/>
    <hyperlink ref="H1560" r:id="rId800" display="http://ottumwaradio.com/coffman-get-new-sentence-1994-murder-ottumwa-high-school/" xr:uid="{00000000-0004-0000-0100-00001F030000}"/>
    <hyperlink ref="H1561" r:id="rId801" display="https://www.publicsource.org/most-of-pennsylvanias-juvenile-lifers-are-still-awaiting-their-new-day-in-court/" xr:uid="{00000000-0004-0000-0100-000020030000}"/>
    <hyperlink ref="H1563" r:id="rId802" display="https://www.newspapers.com/image/166926358/?terms=Amy%2BGamarello" xr:uid="{00000000-0004-0000-0100-000021030000}"/>
    <hyperlink ref="H1568" r:id="rId803" display="https://www.washingtonpost.com/archive/local/1994/04/20/man-found-slain-at-dc-school/64a705c4-ab7a-43d0-b027-dd0b21ec008b/?utm_term=.21348ca8fd4b" xr:uid="{00000000-0004-0000-0100-000022030000}"/>
    <hyperlink ref="H1575" r:id="rId804" display="http://www.wistv.com/story/23589594/school-shootings-in-south-carolina" xr:uid="{00000000-0004-0000-0100-000023030000}"/>
    <hyperlink ref="H1576" r:id="rId805" display="http://www.columbine-angels.com/School_Violence_1993-1994.htm" xr:uid="{00000000-0004-0000-0100-000024030000}"/>
    <hyperlink ref="H1579" r:id="rId806" display="http://www.goupstate.com/article/NC/19940219/News/605198620/SJ/" xr:uid="{00000000-0004-0000-0100-000025030000}"/>
    <hyperlink ref="H1586" r:id="rId807" display="https://www.newspapers.com/image/219396903/?terms=Kennard%2BHigh%2BSchool%2Bsuicide" xr:uid="{00000000-0004-0000-0100-000026030000}"/>
    <hyperlink ref="H1587" r:id="rId808" display="https://www.newspapers.com/image/159190089/?terms=Los%2BAltos%2BHigh%2BSchool" xr:uid="{00000000-0004-0000-0100-000027030000}"/>
    <hyperlink ref="H1588" r:id="rId809" display="https://www.mlive.com/politics/index.ssf/2013/04/chelsea_school_shooter_gun_con.html" xr:uid="{00000000-0004-0000-0100-000028030000}"/>
    <hyperlink ref="H1590" r:id="rId810" display="https://www.newspapers.com/image/403544801/?terms=Aron%2BGilliam" xr:uid="{00000000-0004-0000-0100-000029030000}"/>
    <hyperlink ref="H1591" r:id="rId811" display="https://www.newspapers.com/image/175645669/?terms=New%2BBritain%2BHigh%2BSchool%2Bshooting" xr:uid="{00000000-0004-0000-0100-00002A030000}"/>
    <hyperlink ref="H1592" r:id="rId812" display="http://journaltimes.com/news/former-student-arrested-in-tosa-west-slaying/article_dfb15b1e-986c-5b2b-ba06-76388109b2cf.html" xr:uid="{00000000-0004-0000-0100-00002B030000}"/>
    <hyperlink ref="H1593" r:id="rId813" display="https://www.newspapers.com/image/195155455/?terms=Harold%2BPage%2BIII" xr:uid="{00000000-0004-0000-0100-00002C030000}"/>
    <hyperlink ref="H1594" r:id="rId814" display="https://www.newspapers.com/image/278601708/?terms=Bay%2BSprings%2BHigh%2BSchool%2Bshooting" xr:uid="{00000000-0004-0000-0100-00002D030000}"/>
    <hyperlink ref="H1595" r:id="rId815" display="https://www.newspapers.com/image/179150239/?terms=Richard%2BJefferson%2BMitchell" xr:uid="{00000000-0004-0000-0100-00002E030000}"/>
    <hyperlink ref="H1596" r:id="rId816" display="http://articles.courant.com/1995-07-21/news/9507210401_1_latin-king-rival-gang-gang-war" xr:uid="{00000000-0004-0000-0100-00002F030000}"/>
    <hyperlink ref="H1597" r:id="rId817" display="https://www.newspapers.com/image/241267382/?terms=Sullivan%2BHigh%2BSchool%2Bshooting" xr:uid="{00000000-0004-0000-0100-000030030000}"/>
    <hyperlink ref="H1599" r:id="rId818" display="https://www.newspapers.com/image/156503737/?terms=Dover%2BHigh%2BSchool%2Bsuicide" xr:uid="{00000000-0004-0000-0100-000031030000}"/>
    <hyperlink ref="H1601" r:id="rId819" display="https://www.newspapers.com/image/276635826/?terms=Weatherless%2BElementary%2BSchool%2Bshooting" xr:uid="{00000000-0004-0000-0100-000032030000}"/>
    <hyperlink ref="H1602" r:id="rId820" display="http://buffalonews.com/1993/09/18/gunman-wounds-4-at-school-kills-self-shooting-takes-place-on-football-field/" xr:uid="{00000000-0004-0000-0100-000033030000}"/>
    <hyperlink ref="H1603" r:id="rId821" display="http://www.mysuburbanlife.com/2011/12/20/philip-powell-who-murdered-hinsdale-teen-barrett-modisette-after-downers-grove-south-high-school-football-game-released-early-from-prison/za3xo73/" xr:uid="{00000000-0004-0000-0100-000034030000}"/>
    <hyperlink ref="H1604" r:id="rId822" display="https://www.newspapers.com/image/241417531/?terms=Roosevelt%2BHigh%2BSchool%2Bshooting" xr:uid="{00000000-0004-0000-0100-000035030000}"/>
    <hyperlink ref="H1605" r:id="rId823" display="https://www.newspapers.com/image/89590422/?terms=%22shot%20high%20school%20football%22&amp;match=1" xr:uid="{00000000-0004-0000-0100-000036030000}"/>
    <hyperlink ref="H1607" r:id="rId824" display="https://www.newspapers.com/image/1005267/?terms=Junction%2BCity%2BHigh%2BSchool%2Bshooting" xr:uid="{00000000-0004-0000-0100-000037030000}"/>
    <hyperlink ref="H1608" r:id="rId825" display="https://www.newspapers.com/image/403198507/?terms=Marcus%2BTaylor%2Bdied" xr:uid="{00000000-0004-0000-0100-000038030000}"/>
    <hyperlink ref="H1609" r:id="rId826" display="https://www.nytimes.com/1993/08/03/nyregion/student-shot-during-class-in-bronx-high-school.html" xr:uid="{00000000-0004-0000-0100-000039030000}"/>
    <hyperlink ref="H1611" r:id="rId827" display="https://www.newspapers.com/image/278618494/?terms=Francis%2BT.%2BNicholls%2BHigh%2BSchool%2Bshooting" xr:uid="{00000000-0004-0000-0100-00003A030000}"/>
    <hyperlink ref="H1612" r:id="rId828" display="http://articles.mcall.com/1993-05-25/news/2916043_1_michael-swann-upper-perkiomen-high-school-jason-michael-smith" xr:uid="{00000000-0004-0000-0100-00003B030000}"/>
    <hyperlink ref="H1614" r:id="rId829" display="https://people.com/archive/roll-call-of-the-dead-vol-39-no-23/" xr:uid="{00000000-0004-0000-0100-00003C030000}"/>
    <hyperlink ref="H1616" r:id="rId830" display="http://www.southcoasttoday.com/article/20150617/NEWS/150619469" xr:uid="{00000000-0004-0000-0100-00003D030000}"/>
    <hyperlink ref="H1617" r:id="rId831" display="https://www.newspapers.com/image/384227902/?terms=Vodrick%2BJohnson" xr:uid="{00000000-0004-0000-0100-00003E030000}"/>
    <hyperlink ref="H1618" r:id="rId832" display="https://www.newspapers.com/image/141626514/?terms=Sumner%2BHigh%2BSchool" xr:uid="{00000000-0004-0000-0100-00003F030000}"/>
    <hyperlink ref="H1621" r:id="rId833" display="https://www.highbeam.com/doc/1P2-8216829.html" xr:uid="{00000000-0004-0000-0100-000040030000}"/>
    <hyperlink ref="H1623" r:id="rId834" display="https://mnmarshallus.genweb.io/people/obituaries/melby-eric-john-1979-1993/" xr:uid="{00000000-0004-0000-0100-000041030000}"/>
    <hyperlink ref="H1625" r:id="rId835" display="https://www.newspapers.com/image/402779742/?terms=North%2BClayton%2BHigh%2BSchool%2Bshooting" xr:uid="{00000000-0004-0000-0100-000042030000}"/>
    <hyperlink ref="H1626" r:id="rId836" display="https://www.newspapers.com/image/752371201/?terms=shot%20at%20school&amp;match=1" xr:uid="{00000000-0004-0000-0100-000043030000}"/>
    <hyperlink ref="H1627" r:id="rId837" display="https://www.newspapers.com/image/752371201/?terms=shot%20at%20school&amp;match=1" xr:uid="{00000000-0004-0000-0100-000044030000}"/>
    <hyperlink ref="H1628" r:id="rId838" display="https://people.com/archive/roll-call-of-the-dead-vol-39-no-23/" xr:uid="{00000000-0004-0000-0100-000045030000}"/>
    <hyperlink ref="H1630" r:id="rId839" display="http://articles.latimes.com/1993-01-29/local/me-2165_1_student-body" xr:uid="{00000000-0004-0000-0100-000046030000}"/>
    <hyperlink ref="H1632" r:id="rId840" display="https://www.newspapers.com/image/238950794/?terms=Norland%2BSenior%2BHigh%2BSchool%2Bshooting" xr:uid="{00000000-0004-0000-0100-000047030000}"/>
    <hyperlink ref="H1633" r:id="rId841" display="https://www.newspapers.com/image/510596731/?terms=shot%20at%20school&amp;match=1" xr:uid="{00000000-0004-0000-0100-000048030000}"/>
    <hyperlink ref="H1634" r:id="rId842" display="https://www.nytimes.com/1993/01/07/nyregion/school-upset-by-shooting-of-teen-ager-during-game.html" xr:uid="{00000000-0004-0000-0100-000049030000}"/>
    <hyperlink ref="H1635" r:id="rId843" display="https://www.newspapers.com/image/257172973/?terms=Virginia%2BWilcox" xr:uid="{00000000-0004-0000-0100-00004A030000}"/>
    <hyperlink ref="H1636" r:id="rId844" display="https://www.newspapers.com/image/389807433/" xr:uid="{00000000-0004-0000-0100-00004B030000}"/>
    <hyperlink ref="H1637" r:id="rId845" display="https://www.newspapers.com/image/389789093/?terms=laroyal%2Bcrowley" xr:uid="{00000000-0004-0000-0100-00004C030000}"/>
    <hyperlink ref="H1639" r:id="rId846" display="https://www.newspapers.com/image/389765443" xr:uid="{00000000-0004-0000-0100-00004D030000}"/>
    <hyperlink ref="H1640" r:id="rId847" display="https://www.newspapers.com/image/106780083/?terms=Michael%2BJackson%2BJr" xr:uid="{00000000-0004-0000-0100-00004E030000}"/>
    <hyperlink ref="H1642" r:id="rId848" display="https://www.newspapers.com/image/389728711/?terms=Willie%2BClayborn" xr:uid="{00000000-0004-0000-0100-00004F030000}"/>
    <hyperlink ref="H1646" r:id="rId849" display="https://www.nytimes.com/1992/10/20/nyregion/3-teen-agers-shot-in-bronx-near-a-school.html" xr:uid="{00000000-0004-0000-0100-000050030000}"/>
    <hyperlink ref="H1650" r:id="rId850" display="https://www.newspapers.com/image/384174219/?terms=Hiram%2BJohnson%2BHigh%2BSchool%2Bshooting" xr:uid="{00000000-0004-0000-0100-000051030000}"/>
    <hyperlink ref="H1653" r:id="rId851" display="https://www.washingtonpost.com/archive/politics/1992/06/01/9-are-slain-in-dc-area-in-2-days/32b3c46c-27dc-45f4-9f60-14ce403dbad5/" xr:uid="{00000000-0004-0000-0100-000052030000}"/>
    <hyperlink ref="H1654" r:id="rId852" display="https://www.newspapers.com/image/177465085" xr:uid="{00000000-0004-0000-0100-000053030000}"/>
    <hyperlink ref="H1655" r:id="rId853" display="https://www.newspapers.com/image/300277708/?terms=Huntsville%2BJunior%2BHigh%2BSchool%2Bshooting" xr:uid="{00000000-0004-0000-0100-000054030000}"/>
    <hyperlink ref="H1656" r:id="rId854" display="https://www.upi.com/Archives/1992/05/14/Student-opens-fire-in-school/6395705816000/" xr:uid="{00000000-0004-0000-0100-000055030000}"/>
    <hyperlink ref="H1657" r:id="rId855" display="http://sacramento.cbslocal.com/2012/08/02/state-supreme-court-upholds-death-penalty-for-houston-in-lindhurst-high-rampage/" xr:uid="{00000000-0004-0000-0100-000056030000}"/>
    <hyperlink ref="H1660" r:id="rId856" display="https://www.nola.com/crime/index.ssf/2017/09/25_years_after_walker_students.html" xr:uid="{00000000-0004-0000-0100-000057030000}"/>
    <hyperlink ref="H1661" r:id="rId857" display="https://www.newspapers.com/image/296856537/?terms=Hamilton%2BMiddle%2BSchool%2Bshooting" xr:uid="{00000000-0004-0000-0100-000058030000}"/>
    <hyperlink ref="H1662" r:id="rId858" display="https://www.nytimes.com/1992/02/27/nyregion/2-teen-agers-shot-to-death-in-a-brooklyn-school.html" xr:uid="{00000000-0004-0000-0100-000059030000}"/>
    <hyperlink ref="H1663" r:id="rId859" display="http://articles.dailypress.com/1992-02-08/news/9202080051_1_place-on-school-property-critical-condition-school-officials" xr:uid="{00000000-0004-0000-0100-00005A030000}"/>
    <hyperlink ref="H1664" r:id="rId860" display="https://newsok.com/article/2384331/city-campuses-close-after-shooting-death-security-searches-stepped-up" xr:uid="{00000000-0004-0000-0100-00005B030000}"/>
    <hyperlink ref="H1665" r:id="rId861" display="https://www.newspapers.com/image/218234824/?terms=Francis%2BW.%2BGregory%2BJunior%2BHigh%2BSchool%2Bshooting" xr:uid="{00000000-0004-0000-0100-00005C030000}"/>
    <hyperlink ref="H1666" r:id="rId862" display="https://www.newspapers.com/image/218234824/?terms=Francis%2BW.%2BGregory%2BJunior%2BHigh%2BSchool%2Bshooting" xr:uid="{00000000-0004-0000-0100-00005D030000}"/>
    <hyperlink ref="H1669" r:id="rId863" display="https://www.nytimes.com/1991/11/26/nyregion/16-year-old-is-shot-to-death-in-a-high-school-in-brooklyn.html" xr:uid="{00000000-0004-0000-0100-00005E030000}"/>
    <hyperlink ref="H1670" r:id="rId864" display="https://www.newspapers.com/image/17145244/?terms=Milby%2BHIgh%2BSchool%2Bshot" xr:uid="{00000000-0004-0000-0100-00005F030000}"/>
    <hyperlink ref="H1673" r:id="rId865" display="https://www.newspapers.com/image/300241588/?terms=Spring%2BWoods%2BHigh%2BSchool%2Bstudent%2Bshot" xr:uid="{00000000-0004-0000-0100-000060030000}"/>
    <hyperlink ref="H1674" r:id="rId866" display="https://www.newspapers.com/image/300231582/?terms=Genevieve%2BSparks%2BElementary%2BSchool" xr:uid="{00000000-0004-0000-0100-000061030000}"/>
    <hyperlink ref="H1675" r:id="rId867" display="https://www.newspapers.com/image/191964993/?terms=Woodruff%2BHigh%2BSchool%2Bshooting" xr:uid="{00000000-0004-0000-0100-000062030000}"/>
    <hyperlink ref="H1678" r:id="rId868" display="https://www.nytimes.com/1991/10/09/nyregion/a-bronx-youth-is-shot-to-death-outside-a-school.html" xr:uid="{00000000-0004-0000-0100-000063030000}"/>
    <hyperlink ref="H1679" r:id="rId869" display="https://www.newspapers.com/image/176460783/?terms=Dorsey%2BHigh%2BSchool%2Bshooting" xr:uid="{00000000-0004-0000-0100-000064030000}"/>
    <hyperlink ref="H1680" r:id="rId870" display="https://www.newspapers.com/image/176460783/?terms=Dorsey%2BHigh%2BSchool%2Bshooting" xr:uid="{00000000-0004-0000-0100-000065030000}"/>
    <hyperlink ref="H1683" r:id="rId871" display="https://www.newspapers.com/image/389496363/?terms=Woodson%2BHigh%2BSchool%2Bshooting" xr:uid="{00000000-0004-0000-0100-000066030000}"/>
    <hyperlink ref="H1684" r:id="rId872" display="https://www.newspapers.com/image/300249662/?terms=Madison%2BHigh%2BSchool%2Bshooting%2Bhouston" xr:uid="{00000000-0004-0000-0100-000067030000}"/>
    <hyperlink ref="H1685" r:id="rId873" display="https://www.newspapers.com/image/176991255/?terms=Enterprise%2BMiddle%2BSchool%2Bshot%2Bcompton" xr:uid="{00000000-0004-0000-0100-000068030000}"/>
    <hyperlink ref="H1686" r:id="rId874" display="https://www.newspapers.com/image/176655612/?terms=Westchester%2BHigh%2BSchool%2Bshooting" xr:uid="{00000000-0004-0000-0100-000069030000}"/>
    <hyperlink ref="H1688" r:id="rId875" display="https://www.newspapers.com/image/176951271/?terms=Robert%2BA.%2BMillikan%2BJunior%2BHigh%2BSchool%2Bshooting" xr:uid="{00000000-0004-0000-0100-00006A030000}"/>
    <hyperlink ref="H1689" r:id="rId876" display="https://www.newspapers.com/image/424939665/?terms=Coronado%2BMiddle%2BSchool" xr:uid="{00000000-0004-0000-0100-00006B030000}"/>
    <hyperlink ref="H1690" r:id="rId877" display="https://www.newspapers.com/image/289233212/?terms=Franklin%2BAlternative%2BMiddle%2BSchool%2Bshooting" xr:uid="{00000000-0004-0000-0100-00006C030000}"/>
    <hyperlink ref="H1692" r:id="rId878" display="http://articles.latimes.com/1991-04-25/news/mn-828_1_school-district" xr:uid="{00000000-0004-0000-0100-00006D030000}"/>
    <hyperlink ref="H1694" r:id="rId879" display="https://www.newspapers.com/image/200149579/?terms=Garinger%2BHigh%2BSchool%2Bshooting" xr:uid="{00000000-0004-0000-0100-00006E030000}"/>
    <hyperlink ref="H1697" r:id="rId880" display="https://www.newspapers.com/image/216895876/?terms=Booker%2BT.%2BWashington%2BHigh%2BSchool%2Bshooting" xr:uid="{00000000-0004-0000-0100-00006F030000}"/>
    <hyperlink ref="H1701" r:id="rId881" display="https://www.newspapers.com/image/16849683/?terms=%22shot%20high%20school%20football%22&amp;match=1" xr:uid="{00000000-0004-0000-0100-000070030000}"/>
    <hyperlink ref="H1702" r:id="rId882" display="https://www.newspapers.com/image/300370142/?terms=Naaman%2BForest%2BHigh%2BSchool" xr:uid="{00000000-0004-0000-0100-000071030000}"/>
    <hyperlink ref="H1703" r:id="rId883" display="https://www.upi.com/Archives/1990/10/29/Teenager-holds-hostages-at-high-school-for-more-than-8-hours/6921657176400/" xr:uid="{00000000-0004-0000-0100-000072030000}"/>
    <hyperlink ref="H1704" r:id="rId884" display="https://www.columbine-angels.com/School_Violence_1990-1991.htm" xr:uid="{00000000-0004-0000-0100-000073030000}"/>
    <hyperlink ref="H1705" r:id="rId885" display="https://www.newspapers.com/image/106533912/?terms=shot%2Bat%2Bfootball%2Bgame" xr:uid="{00000000-0004-0000-0100-000074030000}"/>
    <hyperlink ref="H1706" r:id="rId886" display="https://www.upi.com/Archives/1990/09/11/Three-shot-wounded-in-confrontation-on-school-grounds/4334653025600/" xr:uid="{00000000-0004-0000-0100-000075030000}"/>
    <hyperlink ref="H1708" r:id="rId887" display="https://www.columbine-angels.com/School_Violence_1990-1991.htm" xr:uid="{00000000-0004-0000-0100-000076030000}"/>
    <hyperlink ref="H1709" r:id="rId888" display="https://lasvegassun.com/news/1998/jun/20/memories-linger-for-victims-mother/" xr:uid="{00000000-0004-0000-0100-000077030000}"/>
    <hyperlink ref="H1710" r:id="rId889" display="https://www.newspapers.com/image/400340582/?terms=Myers%2BPark%2BHigh%2BSchool%2Bshooting" xr:uid="{00000000-0004-0000-0100-000078030000}"/>
    <hyperlink ref="H1712" r:id="rId890" display="https://news.google.com/newspapers?nid=1310&amp;dat=19900521&amp;id=wcJWAAAAIBAJ&amp;sjid=0eoDAAAAIBAJ&amp;pg=6655,5338612," xr:uid="{00000000-0004-0000-0100-000079030000}"/>
    <hyperlink ref="H1713" r:id="rId891" display="https://www.newspapers.com/image/462261165/?terms=Mount%2BPleasant%2BHigh%2BSchool%2Bshooting" xr:uid="{00000000-0004-0000-0100-00007A030000}"/>
    <hyperlink ref="H1714" r:id="rId892" display="https://www.newspapers.com/image/13852014/?terms=Skyline%2BHigh%2BSchool%2Bshooting" xr:uid="{00000000-0004-0000-0100-00007B030000}"/>
    <hyperlink ref="H1715" r:id="rId893" display="https://www.nytimes.com/1990/03/28/nyregion/a-black-is-shot-in-a-high-school-in-bensonshurst.html" xr:uid="{00000000-0004-0000-0100-00007C030000}"/>
    <hyperlink ref="H1716" r:id="rId894" display="https://www.newspapers.com/image/101597966/?terms=Taft%2BHigh%2BSchool%2Bshooting" xr:uid="{00000000-0004-0000-0100-00007D030000}"/>
    <hyperlink ref="H1717" r:id="rId895" display="https://www.upi.com/Archives/1990/01/16/Two-wounded-in-school-shooting-racial-tensions-blamed/1799632466000/" xr:uid="{00000000-0004-0000-0100-00007E030000}"/>
    <hyperlink ref="H1718" r:id="rId896" display="https://www.newspapers.com/image/192086573/?terms=STUDENT%2BSHOT" xr:uid="{00000000-0004-0000-0100-00007F030000}"/>
    <hyperlink ref="H1719" r:id="rId897" display="https://www.newspapers.com/image/410785023/?terms=W.%2BW.%2BSamuell%2BHigh%2BSchool" xr:uid="{00000000-0004-0000-0100-000080030000}"/>
    <hyperlink ref="H1720" r:id="rId898" display="https://www.newspapers.com/image/?spot=18344924&amp;fcfToken=536773687944775732446a58364954534665376d633843482b323739555a426a2f504561364e734836595337333573763434484338504843556571516b5a3172417a344c2b66306a4762733d" xr:uid="{00000000-0004-0000-0100-000081030000}"/>
    <hyperlink ref="H1721" r:id="rId899" display="https://www.newspapers.com/image/228504621/?terms=student%2Bshot" xr:uid="{00000000-0004-0000-0100-000082030000}"/>
    <hyperlink ref="H1722" r:id="rId900" display="http://articles.latimes.com/1990-06-15/local/me-106_1_rival-gang-member" xr:uid="{00000000-0004-0000-0100-000083030000}"/>
    <hyperlink ref="H1724" r:id="rId901" display="https://www.newspapers.com/image/112524612/?terms=Alfred%2BE.%2BSmith%2BHigh%2BSchool" xr:uid="{00000000-0004-0000-0100-000084030000}"/>
    <hyperlink ref="H1725" r:id="rId902" display="https://www.newspapers.com/image/300055668/?terms=Oliver%2BWendell%2BHolmes%2BMiddle%2BSchool%2Bshooting" xr:uid="{00000000-0004-0000-0100-000085030000}"/>
    <hyperlink ref="H1727" r:id="rId903"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86030000}"/>
    <hyperlink ref="H1728" r:id="rId904" display="https://www.newspapers.com/image/121870781/?terms=student%2Bshot" xr:uid="{00000000-0004-0000-0100-000087030000}"/>
    <hyperlink ref="H1729" r:id="rId905" display="https://www.newspapers.com/image/129470000/?terms=%22shot%20high%20school%20football%22&amp;match=1" xr:uid="{00000000-0004-0000-0100-000088030000}"/>
    <hyperlink ref="H1732" r:id="rId906" display="https://www.deseretnews.com/article/34103/OFFICERS-SEEKING-ANSWERS-AFTER-JUNIOR-HIGH-SHOOTING.html" xr:uid="{00000000-0004-0000-0100-000089030000}"/>
    <hyperlink ref="H1738" r:id="rId907" display="https://www.upi.com/Archives/1988/11/22/High-school-student-shoots-history-teacher-in-face/3742596178000/" xr:uid="{00000000-0004-0000-0100-00008A030000}"/>
    <hyperlink ref="H1739" r:id="rId908" display="https://www.deseretnews.com/article/34103/OFFICERS-SEEKING-ANSWERS-AFTER-JUNIOR-HIGH-SHOOTING.html" xr:uid="{00000000-0004-0000-0100-00008B030000}"/>
    <hyperlink ref="H1740" r:id="rId909" display="https://www.newspapers.com/image/177559696/?terms=jacksonville%2Bhigh%2Bschool%2Bshooting" xr:uid="{00000000-0004-0000-0100-00008C030000}"/>
    <hyperlink ref="H1743" r:id="rId910" display="https://www.newspapers.com/image/200956524/?terms=arilyn%2Bjean%2BLelande" xr:uid="{00000000-0004-0000-0100-00008D030000}"/>
    <hyperlink ref="H1744" r:id="rId911" display="https://www.newspapers.com/image/378123968/?terms=anita%2Bmoore" xr:uid="{00000000-0004-0000-0100-00008E030000}"/>
    <hyperlink ref="H1746" r:id="rId912" display="https://www.newspapers.com/image/229988989/?terms=J.%2BE.%2BB.%2BStuart%2BJunior%2BHigh%2BSchool%2Bbus%2Bshooting" xr:uid="{00000000-0004-0000-0100-00008F030000}"/>
    <hyperlink ref="H1747" r:id="rId913" display="http://articles.latimes.com/1988-10-04/news/mn-3503_1_elementary-school" xr:uid="{00000000-0004-0000-0100-000090030000}"/>
    <hyperlink ref="H1750" r:id="rId914" display="https://www.newspapers.com/image/299882814/?terms=Lincoln%2BHigh%2BSchool%2Bdallas%2Bpep%2Brally" xr:uid="{00000000-0004-0000-0100-000091030000}"/>
    <hyperlink ref="H1753" r:id="rId915" display="https://www.newspapers.com/image/69768900/?terms=Dennis%2BRay%2BHepler" xr:uid="{00000000-0004-0000-0100-000092030000}"/>
    <hyperlink ref="H1754" r:id="rId916" display="https://www.newspapers.com/image/99828797/?terms=student%2Bshot" xr:uid="{00000000-0004-0000-0100-000093030000}"/>
    <hyperlink ref="H1756" r:id="rId917" display="https://news.google.com/newspapers?id=zWcaAAAAIBAJ&amp;pg=4608,2375219" xr:uid="{00000000-0004-0000-0100-000094030000}"/>
    <hyperlink ref="H1760" r:id="rId918" display="https://www.newspapers.com/image/145067165/?terms=bridget%2Bisaacs" xr:uid="{00000000-0004-0000-0100-000095030000}"/>
    <hyperlink ref="H1763" r:id="rId919" display="https://www.newspapers.com/image/388885712/?terms=martin%2Bluther%2Bking%2Bhigh%2Bschool" xr:uid="{00000000-0004-0000-0100-000096030000}"/>
    <hyperlink ref="H1764" r:id="rId920" display="https://www.newspapers.com/image/363969550/?terms=school%2Bbus%2Bshooting" xr:uid="{00000000-0004-0000-0100-000097030000}"/>
    <hyperlink ref="H1765" r:id="rId921" display="https://www.newspapers.com/image/67975492/?terms=school%2Bbus%2Bshooting" xr:uid="{00000000-0004-0000-0100-000098030000}"/>
    <hyperlink ref="H1766" r:id="rId922" display="https://www.newspapers.com/image/99777421/?terms=lessenger" xr:uid="{00000000-0004-0000-0100-000099030000}"/>
    <hyperlink ref="H1769" r:id="rId923" display="https://www.newspapers.com/image/399821731/?terms=West%2BEnd%2BChristian%2BElementary%2BSchool" xr:uid="{00000000-0004-0000-0100-00009A030000}"/>
    <hyperlink ref="H1770" r:id="rId924" display="https://www.newspapers.com/image/364030604/?terms=consuela%2Breed" xr:uid="{00000000-0004-0000-0100-00009B030000}"/>
    <hyperlink ref="H1772" r:id="rId925" display="https://www.newspapers.com/image/33621001/?terms=crawford%2Bcounty%2Bjoint%2Bvocational" xr:uid="{00000000-0004-0000-0100-00009C030000}"/>
    <hyperlink ref="H1774" r:id="rId926" display="https://www.newspapers.com/image/169515600/?terms=charles%2Bmincey%2Bridley%2Bhigh%2Bschool" xr:uid="{00000000-0004-0000-0100-00009D030000}"/>
    <hyperlink ref="H1775" r:id="rId927" display="https://www.newspapers.com/image/6664149/?terms=student%2Bshot" xr:uid="{00000000-0004-0000-0100-00009E030000}"/>
    <hyperlink ref="H1776" r:id="rId928" display="https://www.newspapers.com/image/406009908/?terms=STUDENT%2BSHOT" xr:uid="{00000000-0004-0000-0100-00009F030000}"/>
    <hyperlink ref="H1778" r:id="rId929" display="https://www.newspapers.com/image/321411477/?terms=student%2Bshoots%2Bdean%2Bcar" xr:uid="{00000000-0004-0000-0100-0000A0030000}"/>
    <hyperlink ref="H1779" r:id="rId930" display="https://www.newspapers.com/image/322419384/?terms=MARIA%2BSOLIS" xr:uid="{00000000-0004-0000-0100-0000A1030000}"/>
    <hyperlink ref="H1780" r:id="rId931" display="https://www.newspapers.com/image/322900608/?terms=student%2Bshot" xr:uid="{00000000-0004-0000-0100-0000A2030000}"/>
    <hyperlink ref="H1781" r:id="rId932" display="https://www.newspapers.com/image/99920647/?terms=STUDENT%2BSHOT" xr:uid="{00000000-0004-0000-0100-0000A3030000}"/>
    <hyperlink ref="H1783" r:id="rId933" display="https://www.newspapers.com/image/196275731/?terms=SOUTHWOOD%2BELEMENTARY%2BSCHOOL%2BSHOOTING" xr:uid="{00000000-0004-0000-0100-0000A4030000}"/>
    <hyperlink ref="H1785" r:id="rId934" display="http://articles.chicagotribune.com/1987-09-30/news/8703130825_1_second-floor-classroom-shooting-smoking-on-school-grounds" xr:uid="{00000000-0004-0000-0100-0000A5030000}"/>
    <hyperlink ref="H1786" r:id="rId935" display="https://www.newspapers.com/image/388845031/?terms=Dale%2BBruck" xr:uid="{00000000-0004-0000-0100-0000A6030000}"/>
    <hyperlink ref="H1788" r:id="rId936" display="https://www.newspapers.com/image/174030895/?terms=student%2Bshoots" xr:uid="{00000000-0004-0000-0100-0000A7030000}"/>
    <hyperlink ref="H1791" r:id="rId937" display="https://www.upi.com/Archives/1987/04/16/Gunshots-fired-in-a-high-school-gymnasium-killed-a/4536545544000/" xr:uid="{00000000-0004-0000-0100-0000A8030000}"/>
    <hyperlink ref="H1792" r:id="rId938" display="https://www.newspapers.com/image/404237062/?terms=Panorama%2BElementary%2BSchool%2Bshooting" xr:uid="{00000000-0004-0000-0100-0000A9030000}"/>
    <hyperlink ref="H1793" r:id="rId939" display="https://www.newspapers.com/image/430983332/?terms=student%2Bshot" xr:uid="{00000000-0004-0000-0100-0000AA030000}"/>
    <hyperlink ref="H1794" r:id="rId940" display="https://www.upi.com/Archives/1987/03/03/Death-of-unsung-hero-allows-classmates-to-escape/3177541746000/" xr:uid="{00000000-0004-0000-0100-0000AB030000}"/>
    <hyperlink ref="H1797" r:id="rId941" display="https://www.newspapers.com/image/203093088/?terms=roger%2Bjoe%2Bedward%2Bjenkins" xr:uid="{00000000-0004-0000-0100-0000AC030000}"/>
    <hyperlink ref="H1798" r:id="rId942" display="https://www.newspapers.com/image/99552670/?terms=redford%2Bhigh%2Bschool" xr:uid="{00000000-0004-0000-0100-0000AD030000}"/>
    <hyperlink ref="H1799" r:id="rId943" display="https://www.newspapers.com/image/229316333/?terms=oscar%2Bmartinez" xr:uid="{00000000-0004-0000-0100-0000AE030000}"/>
    <hyperlink ref="H1800" r:id="rId944" display="https://www.nytimes.com/1986/12/06/us/failing-grade-is-linked-to-shooting-of-teacher.html" xr:uid="{00000000-0004-0000-0100-0000AF030000}"/>
    <hyperlink ref="H1801" r:id="rId945" display="https://www.newspapers.com/image/195486648/?terms=South%2BOak%2BCliff%2BHigh%2BSchool%2Bshooting" xr:uid="{00000000-0004-0000-0100-0000B0030000}"/>
    <hyperlink ref="H1802" r:id="rId946" display="https://www.newspapers.com/image/64897451/?terms=Monrovia%2BHigh%2BSchool%2Bshooting" xr:uid="{00000000-0004-0000-0100-0000B1030000}"/>
    <hyperlink ref="H1803" r:id="rId947" display="https://www.newspapers.com/image/71348642/?terms=Benicia%2BHigh%2BSchool%2Bshooting" xr:uid="{00000000-0004-0000-0100-0000B2030000}"/>
    <hyperlink ref="H1804" r:id="rId948" display="https://www.newspapers.com/image/404657287/?terms=Fairfax%2BHigh%2BSchool%2Bshooting" xr:uid="{00000000-0004-0000-0100-0000B3030000}"/>
    <hyperlink ref="H1805" r:id="rId949" display="https://www.newspapers.com/image/321065578/?terms=KERRY%2BDICKENS" xr:uid="{00000000-0004-0000-0100-0000B4030000}"/>
    <hyperlink ref="H1807" r:id="rId950" display="https://www.newspapers.com/image/399571341/?terms=tammy%2Bfowler%2Bcarver" xr:uid="{00000000-0004-0000-0100-0000B5030000}"/>
    <hyperlink ref="H1808" r:id="rId951" display="https://www.upi.com/Archives/1986/05/09/A-17-year-old-student-opened-fire-with-a-pistol-in/5107515995200/" xr:uid="{00000000-0004-0000-0100-0000B6030000}"/>
    <hyperlink ref="H1809" r:id="rId952" display="http://articles.chicagotribune.com/1986-05-01/news/8601310677_1_science-class-elliott-student" xr:uid="{00000000-0004-0000-0100-0000B7030000}"/>
    <hyperlink ref="H1810" r:id="rId953" display="https://www.newspapers.com/image/321178464/?terms=McCauley%2BCharles%2BDrew%2BMiddle%2BSchool" xr:uid="{00000000-0004-0000-0100-0000B8030000}"/>
    <hyperlink ref="H1811" r:id="rId954" display="http://articles.chicagotribune.com/1986-03-07/news/8601170427_1_second-teacher-third-period-classes-cap-gun" xr:uid="{00000000-0004-0000-0100-0000B9030000}"/>
    <hyperlink ref="H1812" r:id="rId955" display="https://www.newspapers.com/image/216501029/?terms=Boyet%2BJunior%2BHigh%2BSchool%2Bshooting" xr:uid="{00000000-0004-0000-0100-0000BA030000}"/>
    <hyperlink ref="H1813" r:id="rId956" display="https://www.newspapers.com/image/377738432/?terms=Lake%2BClifton%2BHigh%2BSchool%2Bshooting" xr:uid="{00000000-0004-0000-0100-0000BB030000}"/>
    <hyperlink ref="H1814" r:id="rId957" display="https://www.newspapers.com/image/401857837/?terms=Vanguard%2BJunior%2BHigh%2BSchool%2Bshooting" xr:uid="{00000000-0004-0000-0100-0000BC030000}"/>
    <hyperlink ref="H1815" r:id="rId958" display="https://www.newspapers.com/image/337579716/?terms=David%2BMancuso" xr:uid="{00000000-0004-0000-0100-0000BD030000}"/>
    <hyperlink ref="H1817" r:id="rId959" display="https://www.newspapers.com/image/182776909/?terms=Archbishop%2BRyan%2BHigh%2BSchool%2Bfor%2Bboys%2Bshooting" xr:uid="{00000000-0004-0000-0100-0000BE030000}"/>
    <hyperlink ref="H1819" r:id="rId960" display="https://people.com/archive/a-16-year-old-alabama-boy-points-a-gun-shoots-a-friend-and-kills-himself-in-remorse-vol-25-no-2/" xr:uid="{00000000-0004-0000-0100-0000BF030000}"/>
    <hyperlink ref="H1820" r:id="rId961" display="http://www.apnewsarchive.com/1985/Distraught-Over-Losing-Boyfriend-Girl-Kills-Two-Then-Herself/id-075d33aa6600d2e6b30d969ba3edaf0d" xr:uid="{00000000-0004-0000-0100-0000C0030000}"/>
    <hyperlink ref="H1821" r:id="rId962" display="https://www.newspapers.com/image/292865629/?terms=Southern%2BHills%2BJoint%2BVocational%2BHigh%2BSchool%2Bshooting" xr:uid="{00000000-0004-0000-0100-0000C1030000}"/>
    <hyperlink ref="H1822" r:id="rId963" display="https://www.upi.com/Archives/1985/10/18/A-gunman-stepped-out-of-a-car-and-sprayed/5334498456000/" xr:uid="{00000000-0004-0000-0100-0000C2030000}"/>
    <hyperlink ref="H1823" r:id="rId964" display="https://www.newspapers.com/image/372547711/?terms=Lake%2BClifton%2BHigh%2BSchool%2Bshooting" xr:uid="{00000000-0004-0000-0100-0000C3030000}"/>
    <hyperlink ref="H1824" r:id="rId965" display="https://www.newspapers.com/image/395559841/?terms=TROTWOOD%2BMADISON%2BSCHOOL%2BSHOOTING" xr:uid="{00000000-0004-0000-0100-0000C4030000}"/>
    <hyperlink ref="H1826" r:id="rId966" display="https://www.newspapers.com/image/310187745/?terms=Wheatley%2BHigh%2BSchool%2Bshooting" xr:uid="{00000000-0004-0000-0100-0000C5030000}"/>
    <hyperlink ref="H1827" r:id="rId967" display="https://www.apnews.com/2230ba54081db004aff5288eb8885c96" xr:uid="{00000000-0004-0000-0100-0000C6030000}"/>
    <hyperlink ref="H1829" r:id="rId968" display="https://www.newspapers.com/image/320585636/?terms=school%2Bshooting" xr:uid="{00000000-0004-0000-0100-0000C7030000}"/>
    <hyperlink ref="H1832" r:id="rId969" display="https://www.newspapers.com/image/245510114/?terms=Prince%2BTechnical%2BHigh%2BSchool" xr:uid="{00000000-0004-0000-0100-0000C8030000}"/>
    <hyperlink ref="H1833" r:id="rId970" display="https://www.newspapers.com/image/437414203/?terms=school%2Bshooting" xr:uid="{00000000-0004-0000-0100-0000C9030000}"/>
    <hyperlink ref="H1836" r:id="rId971" display="https://www.newspapers.com/image/140853530" xr:uid="{00000000-0004-0000-0100-0000CA030000}"/>
    <hyperlink ref="H1838" r:id="rId972" display="https://www.nytimes.com/1994/11/10/nyregion/student-is-shot-at-a-high-school-in-new-haven.html" xr:uid="{00000000-0004-0000-0100-0000CB030000}"/>
    <hyperlink ref="H1840" r:id="rId973" display="https://www.newspapers.com/image/190761964/?terms=teacher%2Bshot" xr:uid="{00000000-0004-0000-0100-0000CC030000}"/>
    <hyperlink ref="H1844" r:id="rId974" display="https://www.newspapers.com/image/426484373/?terms=student%2Bshot" xr:uid="{00000000-0004-0000-0100-0000CD030000}"/>
    <hyperlink ref="H1845" r:id="rId975" display="https://www.newspapers.com/newspage/5937341/" xr:uid="{00000000-0004-0000-0100-0000CE030000}"/>
    <hyperlink ref="H1846" r:id="rId976" display="https://www.newspapers.com/image/218042406/?terms=student%2Bshot" xr:uid="{00000000-0004-0000-0100-0000CF030000}"/>
    <hyperlink ref="H1847" r:id="rId977" display="https://www.newspapers.com/image/217311653/?terms=student%2Bshot" xr:uid="{00000000-0004-0000-0100-0000D0030000}"/>
    <hyperlink ref="H1848" r:id="rId978" display="https://www.newspapers.com/image/99155324/?terms=student%2Bshot" xr:uid="{00000000-0004-0000-0100-0000D1030000}"/>
    <hyperlink ref="H1849" r:id="rId979" display="https://www.newspapers.com/image/153645072/?terms=michael%2Bbrody" xr:uid="{00000000-0004-0000-0100-0000D2030000}"/>
    <hyperlink ref="H1850" r:id="rId980" display="https://www.newspapers.com/image/368938109/?terms=Norco%2BHigh%2BSchool%2Bshooting" xr:uid="{00000000-0004-0000-0100-0000D3030000}"/>
    <hyperlink ref="H1853" r:id="rId981" display="https://www.newspapers.com/image/240845256/?terms=STUDENT%2BSHOOTS" xr:uid="{00000000-0004-0000-0100-0000D4030000}"/>
    <hyperlink ref="H1854" r:id="rId982" display="https://www.newspapers.com/image/337840295/?terms=STUDENT%2BSHOOTS" xr:uid="{00000000-0004-0000-0100-0000D5030000}"/>
    <hyperlink ref="H1855" r:id="rId983" display="https://www.newspapers.com/newspage/99072089/" xr:uid="{00000000-0004-0000-0100-0000D6030000}"/>
    <hyperlink ref="H1856" r:id="rId984" display="https://www.newspapers.com/image/216585063/?terms=student%2Bshot" xr:uid="{00000000-0004-0000-0100-0000D7030000}"/>
    <hyperlink ref="H1858" r:id="rId985" display="https://www.newspapers.com/image/439511158/?terms=sharpstown%2Bhigh%2Bschool%2Bteacher" xr:uid="{00000000-0004-0000-0100-0000D8030000}"/>
    <hyperlink ref="H1859" r:id="rId986" display="https://www.newspapers.com/image/109675401/?terms=student%2Bshot" xr:uid="{00000000-0004-0000-0100-0000D9030000}"/>
    <hyperlink ref="H1861" r:id="rId987" display="https://news.google.com/newspapers?id=uSEVAAAAIBAJ&amp;sjid=UwYEAAAAIBAJ&amp;pg=3636,1012288&amp;dq=" xr:uid="{00000000-0004-0000-0100-0000DA030000}"/>
    <hyperlink ref="H1862" r:id="rId988" display="https://www.newspapers.com/image/178928817/?terms=student%2Bshot" xr:uid="{00000000-0004-0000-0100-0000DB030000}"/>
    <hyperlink ref="H1864" r:id="rId989" display="https://www.newspapers.com/image/388094016/?terms=school%2Bshooting" xr:uid="{00000000-0004-0000-0100-0000DC030000}"/>
    <hyperlink ref="H1866" r:id="rId990" display="https://www.newspapers.com/image/371003589/?terms=student%2Bshot&amp;match=10" xr:uid="{00000000-0004-0000-0100-0000DD030000}"/>
    <hyperlink ref="H1867" r:id="rId991" display="https://www.newspapers.com/image/390896596/?terms=Compton%2BHigh%2BSchool%2Bshooting" xr:uid="{00000000-0004-0000-0100-0000DE030000}"/>
    <hyperlink ref="H1868" r:id="rId992" display="https://www.newspapers.com/image/379323248/?terms=temple%2Bhigh%2Bschool%2Bshooting" xr:uid="{00000000-0004-0000-0100-0000DF030000}"/>
    <hyperlink ref="H1869" r:id="rId993" display="https://www.newspapers.com/image/369822289" xr:uid="{00000000-0004-0000-0100-0000E0030000}"/>
    <hyperlink ref="H1870" r:id="rId994" display="https://www.newspapers.com/image/97839646" xr:uid="{00000000-0004-0000-0100-0000E1030000}"/>
    <hyperlink ref="H1871" r:id="rId995" display="https://www.newspapers.com/image/381958766/?terms=student%2Bshot" xr:uid="{00000000-0004-0000-0100-0000E2030000}"/>
    <hyperlink ref="H1872" r:id="rId996" display="https://www.newspapers.com/image/89740743/?terms=student%2Bshot" xr:uid="{00000000-0004-0000-0100-0000E3030000}"/>
    <hyperlink ref="H1873" r:id="rId997" display="https://www.newspapers.com/image/296835492/?terms=mansfield%2Bsenior%2Bhigh%2Bschool" xr:uid="{00000000-0004-0000-0100-0000E4030000}"/>
    <hyperlink ref="H1875" r:id="rId998" display="https://lakehighlands.advocatemag.com/2014/03/history-shooting-lake-highlands-cafeteria-worker-remembered/" xr:uid="{00000000-0004-0000-0100-0000E5030000}"/>
    <hyperlink ref="H1876" r:id="rId999" display="https://www.nytimes.com/1983/05/17/nyregion/hostages-at-li-school-are-freed-and-gunman-then-kills-himself.html" xr:uid="{00000000-0004-0000-0100-0000E6030000}"/>
    <hyperlink ref="H1877" r:id="rId1000" display="https://www.newspapers.com/image/139911306/?terms=student%2Bshot" xr:uid="{00000000-0004-0000-0100-0000E7030000}"/>
    <hyperlink ref="H1878" r:id="rId1001" display="https://www.newspapers.com/image/277257866/?terms=Santa%2BMaria%2BInCornata-Santa%2BLucia%2BSchool%2Bshooting" xr:uid="{00000000-0004-0000-0100-0000E8030000}"/>
    <hyperlink ref="H1879" r:id="rId1002" display="https://www.newspapers.com/image/157419087/?terms=student%2Bshot" xr:uid="{00000000-0004-0000-0100-0000E9030000}"/>
    <hyperlink ref="H1880" r:id="rId1003" display="https://www.newspapers.com/image/112306526/?terms=troy%2Bhale" xr:uid="{00000000-0004-0000-0100-0000EA030000}"/>
    <hyperlink ref="H1881" r:id="rId1004" display="https://www.newspapers.com/image/227592168/?terms=student%2Bshoots" xr:uid="{00000000-0004-0000-0100-0000EB030000}"/>
    <hyperlink ref="H1883" r:id="rId1005" display="https://www.newspapers.com/image/372294245/?terms=lemmel%2Bmiddle%2Bschool" xr:uid="{00000000-0004-0000-0100-0000EC030000}"/>
    <hyperlink ref="H1884" r:id="rId1006" display="http://articles.baltimoresun.com/1999-05-02/topic/9905040373_1_senti-firecracker-beneath" xr:uid="{00000000-0004-0000-0100-0000ED030000}"/>
    <hyperlink ref="H1890" r:id="rId1007" display="https://www.newspapers.com/image/397000389/?terms=student%2Bshot" xr:uid="{00000000-0004-0000-0100-0000EE030000}"/>
    <hyperlink ref="H1891" r:id="rId1008" display="https://www.newspapers.com/image/356116122/?terms=STUDENT%2BSHOOTS" xr:uid="{00000000-0004-0000-0100-0000EF030000}"/>
    <hyperlink ref="H1892" r:id="rId1009" display="https://www.newspapers.com/image/365939621/?terms=Lake%2BBraddock%2BSecondary%2BSchool%2Bshooting" xr:uid="{00000000-0004-0000-0100-0000F0030000}"/>
    <hyperlink ref="H1893" r:id="rId1010" display="https://www.newspapers.com/image/283184637/?terms=student%2Bshot" xr:uid="{00000000-0004-0000-0100-0000F1030000}"/>
    <hyperlink ref="H1895" r:id="rId1011" display="https://www.newspapers.com/image/399546733/?terms=student%2Bshot&amp;match=3" xr:uid="{00000000-0004-0000-0100-0000F2030000}"/>
    <hyperlink ref="H1896" r:id="rId1012" display="https://www.newspapers.com/image/377444331/?terms=TEACHER%2BSHOT" xr:uid="{00000000-0004-0000-0100-0000F3030000}"/>
    <hyperlink ref="H1899" r:id="rId1013" display="https://www.newspapers.com/image/155231508/?terms=STUDENT%2BSHOOTS" xr:uid="{00000000-0004-0000-0100-0000F4030000}"/>
    <hyperlink ref="H1900" r:id="rId1014" display="https://www.newspapers.com/image/199055882/?terms=STUDENT%2BSHOOTS" xr:uid="{00000000-0004-0000-0100-0000F5030000}"/>
    <hyperlink ref="H1901" r:id="rId1015" display="https://www.newspapers.com/image/305864381/?terms=student%2Bshot" xr:uid="{00000000-0004-0000-0100-0000F6030000}"/>
    <hyperlink ref="H1903" r:id="rId1016" display="https://www.newspapers.com/image/279068651/?terms=teacher%2Bshot" xr:uid="{00000000-0004-0000-0100-0000F7030000}"/>
    <hyperlink ref="H1904" r:id="rId1017" display="https://www.nytimes.com/1981/12/24/nyregion/wrong-kid-is-fatally-shot-in-fight-at-brooklyn-school.html" xr:uid="{00000000-0004-0000-0100-0000F8030000}"/>
    <hyperlink ref="H1905" r:id="rId1018" display="https://www.newspapers.com/image/209382299/?terms=student%2BshoT" xr:uid="{00000000-0004-0000-0100-0000F9030000}"/>
    <hyperlink ref="H1906" r:id="rId1019" display="https://www.nytimes.com/1981/12/24/nyregion/wrong-kid-is-fatally-shot-in-fight-at-brooklyn-school.html" xr:uid="{00000000-0004-0000-0100-0000FA030000}"/>
    <hyperlink ref="H1908" r:id="rId1020" display="https://www.newspapers.com/image/371656005" xr:uid="{00000000-0004-0000-0100-0000FB030000}"/>
    <hyperlink ref="H1909" r:id="rId1021" display="https://www.newspapers.com/image/130082201/?terms=student%2Bshoots" xr:uid="{00000000-0004-0000-0100-0000FC030000}"/>
    <hyperlink ref="H1911" r:id="rId1022" display="https://www.newspapers.com/image/174012189/?terms=William%2BLongstreth%2BElementary%2BSchool%2Bshooting" xr:uid="{00000000-0004-0000-0100-0000FD030000}"/>
    <hyperlink ref="H1912" r:id="rId1023" display="https://www.newspapers.com/image/216284765/?terms=new%2BIberia%2Bteacher%2Bshot" xr:uid="{00000000-0004-0000-0100-0000FE030000}"/>
    <hyperlink ref="H1913" r:id="rId1024" display="https://www.newspapers.com/image/278826646/?terms=student%2Bshot" xr:uid="{00000000-0004-0000-0100-0000FF030000}"/>
    <hyperlink ref="H1915" r:id="rId1025" display="https://www.newspapers.com/image/235456423/?terms=dillard%2Bhigh%2Bschool%2Bshooting" xr:uid="{00000000-0004-0000-0100-000000040000}"/>
    <hyperlink ref="H1916" r:id="rId1026" display="https://www.newspapers.com/image/312662676/?terms=student%2Bshot" xr:uid="{00000000-0004-0000-0100-000001040000}"/>
    <hyperlink ref="H1917" r:id="rId1027" display="https://www.newspapers.com/image/378838711/?terms=Manuel%2BArts%2BHigh%2BSchool%2Bshooting" xr:uid="{00000000-0004-0000-0100-000002040000}"/>
    <hyperlink ref="H1919" r:id="rId1028" display="https://www.newspapers.com/image/377747566/?terms=student%2Bshot" xr:uid="{00000000-0004-0000-0100-000003040000}"/>
    <hyperlink ref="H1920" r:id="rId1029" display="https://www.upi.com/Archives/1981/01/21/A-science-teacher-was-shot-and-wounded-Wednesday-by/6947348901200/" xr:uid="{00000000-0004-0000-0100-000004040000}"/>
    <hyperlink ref="H1922" r:id="rId1030" display="https://www.newspapers.com/image/262419526/?terms=Parker%2BHigh%2BSchool%2Bshooting%2Bbirmingham" xr:uid="{00000000-0004-0000-0100-000005040000}"/>
    <hyperlink ref="H1924" r:id="rId1031" display="https://www.newspapers.com/newspage/106527312/" xr:uid="{00000000-0004-0000-0100-000006040000}"/>
    <hyperlink ref="H1925" r:id="rId1032" display="https://www.newspapers.com/image/266962735/?terms=Central%2BHigh%2BSchool%2Btuscaloosa%2Bshooting" xr:uid="{00000000-0004-0000-0100-000007040000}"/>
    <hyperlink ref="H1926" r:id="rId1033" display="https://www.newspapers.com/image/242933436/?terms=student%2Bshot" xr:uid="{00000000-0004-0000-0100-000008040000}"/>
    <hyperlink ref="H1927" r:id="rId1034" display="https://www.newspapers.com/image/265350967/?terms=marian%2Bgreen" xr:uid="{00000000-0004-0000-0100-000009040000}"/>
    <hyperlink ref="H1928" r:id="rId1035" display="https://www.washingtonpost.com/archive/local/1980/09/11/spingarn-high-student-fatally-shot-at-school-assembly/92b6d5ba-12ec-406d-9b40-92cbc30665c0/?utm_term=.a461da45a849" xr:uid="{00000000-0004-0000-0100-00000A040000}"/>
    <hyperlink ref="H1929" r:id="rId1036" display="https://www.newspapers.com/image/437154147/?terms=jim%2BScherny" xr:uid="{00000000-0004-0000-0100-00000B040000}"/>
    <hyperlink ref="H1930" r:id="rId1037" display="https://www.newspapers.com/image/63246339/?terms=Whittier%2BHigh%2BSchool%2Bshooting" xr:uid="{00000000-0004-0000-0100-00000C040000}"/>
    <hyperlink ref="H1931" r:id="rId1038" display="https://www.newspapers.com/image/335123478/?terms=student%2Bshoots%2Bself" xr:uid="{00000000-0004-0000-0100-00000D040000}"/>
    <hyperlink ref="H1932" r:id="rId1039" display="https://www.newspapers.com/image/281071758/?terms=Capeville%2BElementary%2BSchool%2Bshooting" xr:uid="{00000000-0004-0000-0100-00000E040000}"/>
    <hyperlink ref="H1933" r:id="rId1040" display="https://www.newspapers.com/image/377692610/?terms=Frederick%2BDouglass%2BSenior%2BHigh%2BSchool%2Bshooting" xr:uid="{00000000-0004-0000-0100-00000F040000}"/>
    <hyperlink ref="H1935" r:id="rId1041" display="https://www.newspapers.com/image/318405620/?terms=sandra%2Bviser%2Bmccomb" xr:uid="{00000000-0004-0000-0100-000010040000}"/>
    <hyperlink ref="H1936" r:id="rId1042" display="https://www.newspapers.com/image/107593168/?terms=DANIEL%2BPEREZ%2BARSENAL%2BTECHNICAL%2BHIGH%2BSCHOOL" xr:uid="{00000000-0004-0000-0100-000011040000}"/>
    <hyperlink ref="H1937" r:id="rId1043" display="https://www.newspapers.com/image/217265072/?terms=10-year%2Bold%2Bboy%2Baccidentally%2Bshot" xr:uid="{00000000-0004-0000-0100-000012040000}"/>
    <hyperlink ref="H1938" r:id="rId1044" display="https://www.washingtonpost.com/archive/local/1980/02/02/proving-gun-is-real-2nd-grader-at-langdon-school-is-shot/f83c3b73-ed9d-4a79-a529-984a01675142/?noredirect=on&amp;utm_term=.d238a08a83ec" xr:uid="{00000000-0004-0000-0100-000013040000}"/>
    <hyperlink ref="H1939" r:id="rId1045" display="https://www.newspapers.com/image/234200567/?terms=student%2Bwho%2Bshot%2Bself" xr:uid="{00000000-0004-0000-0100-000014040000}"/>
    <hyperlink ref="H1941" r:id="rId1046" display="https://www.newspapers.com/image/139639371/?terms=school%2Bshooting" xr:uid="{00000000-0004-0000-0100-000015040000}"/>
    <hyperlink ref="H1942" r:id="rId1047" display="https://www.newspapers.com/image/281107557/?terms=eastern%2Bhigh%2Bschool%2Bshooting%2Bbaltimore" xr:uid="{00000000-0004-0000-0100-000016040000}"/>
    <hyperlink ref="H1944" r:id="rId1048" display="https://www.newspapers.com/image/107586036/?terms=school%2Bshooting" xr:uid="{00000000-0004-0000-0100-000017040000}"/>
    <hyperlink ref="H1945" r:id="rId1049" display="https://www.newspapers.com/image/307812073/?terms=school%2Bshooting" xr:uid="{00000000-0004-0000-0100-000018040000}"/>
    <hyperlink ref="H1949" r:id="rId1050" display="https://www.newspapers.com/image/362214425/?terms=school%2Bshooting" xr:uid="{00000000-0004-0000-0100-000019040000}"/>
    <hyperlink ref="H1950" r:id="rId1051" display="https://www.newspapers.com/image/407944749/?terms=school%2Bshooting" xr:uid="{00000000-0004-0000-0100-00001A040000}"/>
    <hyperlink ref="H1951" r:id="rId1052" display="https://www.newspapers.com/image/273435847/?terms=Wisconsin%2BLutheran%2BHigh%2BSchool%2Bjanitor%2Bshot%2Brocks" xr:uid="{00000000-0004-0000-0100-00001B040000}"/>
    <hyperlink ref="H1958" r:id="rId1053" display="https://www.newspapers.com/image/396100647/?terms=school%2Bshooting" xr:uid="{00000000-0004-0000-0100-00001C040000}"/>
    <hyperlink ref="H1959" r:id="rId1054" display="https://stltoday.newspapers.com/clip/7051030/3_wounded_in_university_city_high/" xr:uid="{00000000-0004-0000-0100-00001D040000}"/>
    <hyperlink ref="H1960" r:id="rId1055" display="https://www.newspapers.com/newspage/107532734/" xr:uid="{00000000-0004-0000-0100-00001E040000}"/>
    <hyperlink ref="H1961" r:id="rId1056" display="https://www.newspapers.com/image/72988843/?terms=Weymouth%2BSouth%2BHigh%2BSchool%2Bshooting" xr:uid="{00000000-0004-0000-0100-00001F040000}"/>
    <hyperlink ref="H1962" r:id="rId1057" display="https://www.newspapers.com/image/160873897/?terms=Adams%2BElementary%2BSchool%2Bshooting" xr:uid="{00000000-0004-0000-0100-000020040000}"/>
    <hyperlink ref="H1963" r:id="rId1058" display="https://www.newspapers.com/image/178054448/?terms=school%2Bshooting" xr:uid="{00000000-0004-0000-0100-000021040000}"/>
    <hyperlink ref="H1965" r:id="rId1059" display="https://www.newspapers.com/image/385395737/?terms=Ridgewood%2BHigh%2BSchool%2Bdance" xr:uid="{00000000-0004-0000-0100-000022040000}"/>
    <hyperlink ref="H1967" r:id="rId1060" display="https://www.newspapers.com/image/98660556/?terms=school%2Bshooting" xr:uid="{00000000-0004-0000-0100-000023040000}"/>
    <hyperlink ref="H1968" r:id="rId1061" display="https://www.newspapers.com/image/111103679/?terms=school%2Bshooting" xr:uid="{00000000-0004-0000-0100-000024040000}"/>
    <hyperlink ref="H1969" r:id="rId1062" display="https://www.newspapers.com/image/295196725/" xr:uid="{00000000-0004-0000-0100-000025040000}"/>
    <hyperlink ref="H1970" r:id="rId1063" display="https://www.newspapers.com/newspage/207607604/" xr:uid="{00000000-0004-0000-0100-000026040000}"/>
    <hyperlink ref="H1971" r:id="rId1064" display="https://www.wvgazettemail.com/news/cops_and_courts/before-school-shooting-became-a-common-term-junior-high-killing/article_6db5ead9-22c2-5c2c-8b56-32a110e4df26.html" xr:uid="{00000000-0004-0000-0100-000027040000}"/>
    <hyperlink ref="H1972" r:id="rId1065" display="https://news.google.com/newspapers?id=xeUrAAAAIBAJ&amp;pg=1382,878132" xr:uid="{00000000-0004-0000-0100-000028040000}"/>
    <hyperlink ref="H1973" r:id="rId1066" display="https://www.newspapers.com/image/342698296/?terms=school%2Bshooting" xr:uid="{00000000-0004-0000-0100-000029040000}"/>
    <hyperlink ref="H1974" r:id="rId1067" display="https://www.newspapers.com/image/303108537/?terms=school%2Bshooting" xr:uid="{00000000-0004-0000-0100-00002A040000}"/>
    <hyperlink ref="H1975" r:id="rId1068" display="https://www.newspapers.com/image/295122036/?terms=school%2Bshooting" xr:uid="{00000000-0004-0000-0100-00002B040000}"/>
    <hyperlink ref="H1976" r:id="rId1069" display="https://www.newspapers.com/image/139488488/?terms=school%2Bshooting" xr:uid="{00000000-0004-0000-0100-00002C040000}"/>
    <hyperlink ref="H1977" r:id="rId1070" display="https://www.newspapers.com/image/139128319/?terms=school%2Bshooting" xr:uid="{00000000-0004-0000-0100-00002D040000}"/>
    <hyperlink ref="H1978" r:id="rId1071" display="https://www.newspapers.com/image/86275915/?terms=school%2Bshooting" xr:uid="{00000000-0004-0000-0100-00002E040000}"/>
    <hyperlink ref="H1979" r:id="rId1072" display="https://www.newspapers.com/image/131852835/?terms=school%2Bshooting" xr:uid="{00000000-0004-0000-0100-00002F040000}"/>
    <hyperlink ref="H1980" r:id="rId1073" display="https://www.newspapers.com/image/124954684/?terms=school%2Bshooting" xr:uid="{00000000-0004-0000-0100-000030040000}"/>
    <hyperlink ref="H1981" r:id="rId1074" display="https://www.newspapers.com/image/112439487/?terms=school%2Bshooting" xr:uid="{00000000-0004-0000-0100-000031040000}"/>
    <hyperlink ref="H1983" r:id="rId1075" display="https://www.newspapers.com/image/347216054/?terms=school%2Bshooting" xr:uid="{00000000-0004-0000-0100-000032040000}"/>
    <hyperlink ref="H1984" r:id="rId1076" display="https://www.newspapers.com/image/26422860/?terms=school%2Bshooting" xr:uid="{00000000-0004-0000-0100-000033040000}"/>
    <hyperlink ref="H1985" r:id="rId1077" display="https://www.newspapers.com/image/29839915/?terms=school%2Bshooting" xr:uid="{00000000-0004-0000-0100-000034040000}"/>
    <hyperlink ref="H1986" r:id="rId1078" display="https://www.newspapers.com/image/139488488/?terms=school%2Bshooting" xr:uid="{00000000-0004-0000-0100-000035040000}"/>
    <hyperlink ref="H1987" r:id="rId1079" display="https://www.newspapers.com/image/127972205/?terms=school%2Bshooting" xr:uid="{00000000-0004-0000-0100-000036040000}"/>
    <hyperlink ref="H1988" r:id="rId1080" display="https://www.newspapers.com/image/18233056/?terms=Old%2BMain%2BEisenhower%2BHigh%2BSchool%2Bshooting" xr:uid="{00000000-0004-0000-0100-000037040000}"/>
    <hyperlink ref="H1989" r:id="rId1081" display="https://www.newspapers.com/image/165856618/?terms=school%2Bshooting" xr:uid="{00000000-0004-0000-0100-000038040000}"/>
    <hyperlink ref="H1990" r:id="rId1082" display="https://news.google.com/newspapers?id=gblHAAAAIBAJ&amp;pg=3465,1557281" xr:uid="{00000000-0004-0000-0100-000039040000}"/>
    <hyperlink ref="H1991" r:id="rId1083" display="https://www.newspapers.com/image/43183929/?terms=school%2Bshooting" xr:uid="{00000000-0004-0000-0100-00003A040000}"/>
    <hyperlink ref="H1992" r:id="rId1084" display="https://www.newspapers.com/image/12568764/?terms=school%2Bshooting" xr:uid="{00000000-0004-0000-0100-00003B040000}"/>
    <hyperlink ref="H1993" r:id="rId1085" display="https://www.newspapers.com/image/133980815/?terms=palm%2Bbeach%2Bgarden%2Bschool%2Bshooting" xr:uid="{00000000-0004-0000-0100-00003C040000}"/>
    <hyperlink ref="H1995" r:id="rId1086" display="https://www.newspapers.com/image/29580657/?terms=school%2Bshooting" xr:uid="{00000000-0004-0000-0100-00003D040000}"/>
    <hyperlink ref="H1996" r:id="rId1087" display="https://news.google.com/newspapers?id=LQ9PAAAAIBAJ&amp;pg=3947,2156747" xr:uid="{00000000-0004-0000-0100-00003E040000}"/>
    <hyperlink ref="H1998" r:id="rId1088" display="https://www.newspapers.com/image/293916124/?terms=school%2Bshooting" xr:uid="{00000000-0004-0000-0100-00003F040000}"/>
    <hyperlink ref="H1999" r:id="rId1089" display="https://www.newspapers.com/image/117994783/?terms=school%2Bshooting" xr:uid="{00000000-0004-0000-0100-000040040000}"/>
    <hyperlink ref="H2000" r:id="rId1090" display="https://www.newspapers.com/image/86248524/?terms=school%2Bshooting" xr:uid="{00000000-0004-0000-0100-000041040000}"/>
    <hyperlink ref="H2001" r:id="rId1091" display="https://www.newspapers.com/image/398982633/" xr:uid="{00000000-0004-0000-0100-000042040000}"/>
    <hyperlink ref="H2004" r:id="rId1092" display="https://www.newspapers.com/image/140719112/?terms=school%2Bshooting" xr:uid="{00000000-0004-0000-0100-000043040000}"/>
    <hyperlink ref="H2005" r:id="rId1093" display="https://www.newspapers.com/image/382147136/?terms=teacher%2Bshot" xr:uid="{00000000-0004-0000-0100-000044040000}"/>
    <hyperlink ref="H2006" r:id="rId1094" display="https://www.newspapers.com/image/98347062/?terms=school%2Bshooting" xr:uid="{00000000-0004-0000-0100-000045040000}"/>
    <hyperlink ref="H2007" r:id="rId1095" display="https://www.newspapers.com/image/140698558/?terms=school%2Bshooting" xr:uid="{00000000-0004-0000-0100-000046040000}"/>
    <hyperlink ref="H2008" r:id="rId1096" display="https://www.newspapers.com/image/29775822/?terms=pupil%2Bshot" xr:uid="{00000000-0004-0000-0100-000047040000}"/>
    <hyperlink ref="H2009" r:id="rId1097" display="https://www.newspapers.com/image/405249949/?terms=NICHOLAS%2BSUTTLES%2BTEACHER" xr:uid="{00000000-0004-0000-0100-000048040000}"/>
    <hyperlink ref="H2010" r:id="rId1098" display="https://www.newspapers.com/newspage/139614437/" xr:uid="{00000000-0004-0000-0100-000049040000}"/>
    <hyperlink ref="H2013" r:id="rId1099" display="https://www.newspapers.com/image/431914265/?terms=william%2Bgund" xr:uid="{00000000-0004-0000-0100-00004A040000}"/>
    <hyperlink ref="H2015" r:id="rId1100" display="https://www.newspapers.com/image/246204936/?terms=school%2Bshooting" xr:uid="{00000000-0004-0000-0100-00004B040000}"/>
    <hyperlink ref="H2016" r:id="rId1101" display="https://www.newspapers.com/image/68536508/?terms=school%2Bshooting" xr:uid="{00000000-0004-0000-0100-00004C040000}"/>
    <hyperlink ref="H2017" r:id="rId1102" display="https://www.newspapers.com/image/31485570/?terms=school%2Bshooting" xr:uid="{00000000-0004-0000-0100-00004D040000}"/>
    <hyperlink ref="H2018" r:id="rId1103" display="https://www.newspapers.com/image/68536508/?terms=school%2Bshooting" xr:uid="{00000000-0004-0000-0100-00004E040000}"/>
    <hyperlink ref="H2019" r:id="rId1104" display="https://www.newspapers.com/image/377591998/?terms=school%2Bshooting" xr:uid="{00000000-0004-0000-0100-00004F040000}"/>
    <hyperlink ref="H2021" r:id="rId1105" display="https://www.newspapers.com/image/30473026/?terms=school%2Bshooting" xr:uid="{00000000-0004-0000-0100-000050040000}"/>
    <hyperlink ref="H2022" r:id="rId1106" display="https://www.newspapers.com/image/252161775/?terms=school%2Bshooting" xr:uid="{00000000-0004-0000-0100-000051040000}"/>
    <hyperlink ref="H2023" r:id="rId1107" display="https://www.newspapers.com/image/236492101/?terms=school%2Bshooting" xr:uid="{00000000-0004-0000-0100-000052040000}"/>
    <hyperlink ref="H2025" r:id="rId1108" display="https://www.newspapers.com/image/60655345/?terms=school%2Bshooting" xr:uid="{00000000-0004-0000-0100-000053040000}"/>
    <hyperlink ref="H2027" r:id="rId1109" display="https://www.newspapers.com/image/63455706/?terms=school%2Bshooting" xr:uid="{00000000-0004-0000-0100-000054040000}"/>
    <hyperlink ref="H2028" r:id="rId1110" display="https://www.newspapers.com/image/382020739/?terms=school%2Bshooting" xr:uid="{00000000-0004-0000-0100-000055040000}"/>
    <hyperlink ref="H2029" r:id="rId1111" display="https://www.newspapers.com/image/287719212/?terms=school%2Bshooting" xr:uid="{00000000-0004-0000-0100-000056040000}"/>
    <hyperlink ref="H2030" r:id="rId1112" display="https://www.newspapers.com/image/104353084/?terms=school%2Bshooting" xr:uid="{00000000-0004-0000-0100-000057040000}"/>
    <hyperlink ref="H2031" r:id="rId1113" display="https://www.newspapers.com/image/81731406/?terms=Student%2Bshot" xr:uid="{00000000-0004-0000-0100-000058040000}"/>
    <hyperlink ref="H2032" r:id="rId1114" display="https://www.newspapers.com/image/25814105/?terms=school%2Bshooting" xr:uid="{00000000-0004-0000-0100-000059040000}"/>
    <hyperlink ref="H2034" r:id="rId1115" display="https://www.newspapers.com/image/305635210/?terms=school%2Bshooting" xr:uid="{00000000-0004-0000-0100-00005A040000}"/>
    <hyperlink ref="H2035" r:id="rId1116" display="https://www.newspapers.com/image/186814707/?terms=school%2Bshooting" xr:uid="{00000000-0004-0000-0100-00005B040000}"/>
    <hyperlink ref="H2036" r:id="rId1117" display="https://www.newspapers.com/image/152290612/?terms=a%2Bsingle%2Btragic%2Bincident" xr:uid="{00000000-0004-0000-0100-00005C040000}"/>
    <hyperlink ref="H2039" r:id="rId1118" display="https://www.newspapers.com/image/94426366/?terms=school%2Bshooting" xr:uid="{00000000-0004-0000-0100-00005D040000}"/>
    <hyperlink ref="H2040" r:id="rId1119" display="https://www.newspapers.com/image/381696060/?terms=school%2Bshooting" xr:uid="{00000000-0004-0000-0100-00005E040000}"/>
    <hyperlink ref="H2041" r:id="rId1120" display="https://www.newspapers.com/image/43038797/?terms=student%2Bshot" xr:uid="{00000000-0004-0000-0100-00005F040000}"/>
    <hyperlink ref="H2042" r:id="rId1121" display="https://www.newspapers.com/image/37911464/?terms=school%2Bshooting" xr:uid="{00000000-0004-0000-0100-000060040000}"/>
    <hyperlink ref="H2044" r:id="rId1122" display="https://www.newspapers.com/image/256798541/?terms=school%2Bshooting" xr:uid="{00000000-0004-0000-0100-000061040000}"/>
    <hyperlink ref="H2045" r:id="rId1123" display="https://www.newspapers.com/image/53558183/?terms=school%2Bshooting" xr:uid="{00000000-0004-0000-0100-000062040000}"/>
    <hyperlink ref="H2046" r:id="rId1124" display="https://www.newspapers.com/image/18141346/?terms=school%2Bshooting" xr:uid="{00000000-0004-0000-0100-000063040000}"/>
    <hyperlink ref="H2047" r:id="rId1125" display="https://www.newspapers.com/image/133686805/?terms=STUDENT%2BSHOT" xr:uid="{00000000-0004-0000-0100-000064040000}"/>
    <hyperlink ref="H2048" r:id="rId1126" display="https://www.newspapers.com/image/125303713/?terms=school%2Bshooting" xr:uid="{00000000-0004-0000-0100-000065040000}"/>
    <hyperlink ref="H2049" r:id="rId1127" display="https://www.newspapers.com/image/208385082/?terms=boy+who+shot+students+may+have+stopped+riots" xr:uid="{00000000-0004-0000-0100-000066040000}"/>
    <hyperlink ref="H2050" r:id="rId1128" display="https://www.newspapers.com/image/271348834/?terms=school%2Bshooting" xr:uid="{00000000-0004-0000-0100-000067040000}"/>
    <hyperlink ref="H2051" r:id="rId1129" display="https://www.newspapers.com/image/294173364/?terms=teacher%2Bshot%2Band%2Bbeaten" xr:uid="{00000000-0004-0000-0100-000068040000}"/>
    <hyperlink ref="H2053" r:id="rId1130" display="https://www.newspapers.com/image/205331514/?terms=school%2Bshooting" xr:uid="{00000000-0004-0000-0100-000069040000}"/>
    <hyperlink ref="H2055" r:id="rId1131" display="https://www.newspapers.com/image/105768941/" xr:uid="{00000000-0004-0000-0100-00006A040000}"/>
    <hyperlink ref="H2056" r:id="rId1132" display="https://www.newspapers.com/image/151050501/?terms=principal%2Bof%2BLibby%2BC.%2BBooth%2BElementary%2BSchool%2Bwho%2Bwas%2Bshot%2Bto%2Bdeath" xr:uid="{00000000-0004-0000-0100-00006B040000}"/>
    <hyperlink ref="H2057" r:id="rId1133" display="https://www.newspapers.com/image/227849615/?terms=husband%2Bkills%2Bteacher" xr:uid="{00000000-0004-0000-0100-00006C040000}"/>
    <hyperlink ref="H2058" r:id="rId1134" display="https://www.newspapers.com/image/6263611/?terms=school%2Bshooting" xr:uid="{00000000-0004-0000-0100-00006D040000}"/>
    <hyperlink ref="H2059" r:id="rId1135" display="https://www.newspapers.com/image/238598927/?terms=school%2Bshooting" xr:uid="{00000000-0004-0000-0100-00006E040000}"/>
    <hyperlink ref="H2060" r:id="rId1136" display="https://www.newspapers.com/image/340859194/?terms=school%2Bshooting" xr:uid="{00000000-0004-0000-0100-00006F040000}"/>
    <hyperlink ref="H2061" r:id="rId1137" display="https://www.newspapers.com/image/340859194/?terms=school%2Bshooting" xr:uid="{00000000-0004-0000-0100-000070040000}"/>
    <hyperlink ref="H2062" r:id="rId1138" display="https://www.newspapers.com/image/377397441/?terms=school%2Bshooting" xr:uid="{00000000-0004-0000-0100-000071040000}"/>
    <hyperlink ref="H2063" r:id="rId1139" display="https://www.newspapers.com/image/377397441/?terms=school%2Bshooting" xr:uid="{00000000-0004-0000-0100-000072040000}"/>
    <hyperlink ref="H2065" r:id="rId1140" display="https://www.newspapers.com/image/377430624/?terms=husband%2Bkills%2Bteacher" xr:uid="{00000000-0004-0000-0100-000073040000}"/>
    <hyperlink ref="H2066" r:id="rId1141" display="https://www.newspapers.com/image/372317689/?terms=school%2Bshooting" xr:uid="{00000000-0004-0000-0100-000074040000}"/>
    <hyperlink ref="H2069" r:id="rId1142" display="https://www.newspapers.com/image/310892698/?terms=Grove%2BElementary%2BSchool%2Bshooting" xr:uid="{00000000-0004-0000-0100-000075040000}"/>
    <hyperlink ref="H2071" r:id="rId1143" display="https://www.newspapers.com/image/377096935/" xr:uid="{00000000-0004-0000-0100-000076040000}"/>
    <hyperlink ref="H2072" r:id="rId1144" display="https://www.newspapers.com/image/377096935/" xr:uid="{00000000-0004-0000-0100-000077040000}"/>
    <hyperlink ref="H2073" r:id="rId1145" display="https://www.newspapers.com/image/377094051/?terms=school%2Bshooting" xr:uid="{00000000-0004-0000-0100-000078040000}"/>
    <hyperlink ref="H2074" r:id="rId1146" display="https://www.newspapers.com/image/378657230/?terms=school%2Bshooting" xr:uid="{00000000-0004-0000-0100-000079040000}"/>
    <hyperlink ref="H2075" r:id="rId1147" display="https://www.newspapers.com/image/190388672/?terms=school%2Bshooting" xr:uid="{00000000-0004-0000-0100-00007A040000}"/>
    <hyperlink ref="H2076" r:id="rId1148" display="https://www.newspapers.com/image/346849918/?terms=school%2Bshooting" xr:uid="{00000000-0004-0000-0100-00007B040000}"/>
    <hyperlink ref="H2077" r:id="rId1149" display="https://www.newspapers.com/image/9122502/?terms=school%2Bshooting" xr:uid="{00000000-0004-0000-0100-00007C040000}"/>
    <hyperlink ref="H2078" r:id="rId1150" display="https://www.newspapers.com/image/72973348/?terms=school%2Bshooting" xr:uid="{00000000-0004-0000-0100-00007D040000}"/>
    <hyperlink ref="H2079" r:id="rId1151" display="https://www.newspapers.com/image/255572230/?terms=school%2Bshooting" xr:uid="{00000000-0004-0000-0100-00007E040000}"/>
    <hyperlink ref="H2080" r:id="rId1152" display="https://www.newspapers.com/image/365033298/?terms=school%2Bshooting" xr:uid="{00000000-0004-0000-0100-00007F040000}"/>
    <hyperlink ref="H2081" r:id="rId1153" display="https://www.newspapers.com/image/48704588/" xr:uid="{00000000-0004-0000-0100-000080040000}"/>
    <hyperlink ref="H2082" r:id="rId1154" display="https://www.newspapers.com/image/164611095/?terms=school%2Bshooting" xr:uid="{00000000-0004-0000-0100-000081040000}"/>
    <hyperlink ref="H2083" r:id="rId1155" display="https://www.newspapers.com/image/296262312/?terms=school%2Bshooting" xr:uid="{00000000-0004-0000-0100-000082040000}"/>
    <hyperlink ref="H2084" r:id="rId1156" display="https://www.newspapers.com/image/20769968/?terms=school%2Bshooting" xr:uid="{00000000-0004-0000-0100-000083040000}"/>
    <hyperlink ref="H2085" r:id="rId1157" display="https://www.newspapers.com/image/179956712" xr:uid="{00000000-0004-0000-0100-000084040000}"/>
    <hyperlink ref="H2087" r:id="rId1158" display="https://www.newspapers.com/image/246856502/?terms=xavier%2Bhigh%2Bschool%2Bshooting%2Bappleton" xr:uid="{00000000-0004-0000-0100-000085040000}"/>
    <hyperlink ref="H2089" r:id="rId1159" display="https://www.newspapers.com/image/294129677/?terms=school%2Bshooting" xr:uid="{00000000-0004-0000-0100-000086040000}"/>
    <hyperlink ref="H2090" r:id="rId1160" display="https://www.newspapers.com/image/284280856/?terms=school%2Bshooting" xr:uid="{00000000-0004-0000-0100-000087040000}"/>
    <hyperlink ref="H2091" r:id="rId1161" display="https://www.newspapers.com/image/284280856/?terms=school%2Bshooting" xr:uid="{00000000-0004-0000-0100-000088040000}"/>
    <hyperlink ref="H2093" r:id="rId1162" display="https://www.newspapers.com/image/338873635/?terms=school%2Bshooting" xr:uid="{00000000-0004-0000-0100-000089040000}"/>
    <hyperlink ref="H2094" r:id="rId1163" display="https://www.newspapers.com/image/571585288/?terms=shot%2Bin%2Bschool%2Bparking%2Blot" xr:uid="{00000000-0004-0000-0100-00008A040000}"/>
    <hyperlink ref="H2095" r:id="rId1164" display="https://www.newspapers.com/image/25156350/?terms=school%2Bshooting" xr:uid="{00000000-0004-0000-0100-00008B040000}"/>
    <hyperlink ref="H2096" r:id="rId1165" display="https://www.newspapers.com/image/43039004/?terms=school%2Bshooting" xr:uid="{00000000-0004-0000-0100-00008C040000}"/>
    <hyperlink ref="H2097" r:id="rId1166" display="https://www.newspapers.com/image/435429470/?terms=school%2Bshooting" xr:uid="{00000000-0004-0000-0100-00008D040000}"/>
    <hyperlink ref="H2098" r:id="rId1167" display="https://www.newspapers.com/image/8204825/?terms=school%2Bshooting" xr:uid="{00000000-0004-0000-0100-00008E040000}"/>
    <hyperlink ref="H2099" r:id="rId1168" display="https://www.newspapers.com/image/129716948/?terms=school%2Bshooting" xr:uid="{00000000-0004-0000-0100-00008F040000}"/>
    <hyperlink ref="H2100" r:id="rId1169" display="https://www.newspapers.com/image/154804412/?terms=school%2Bshooting" xr:uid="{00000000-0004-0000-0100-000090040000}"/>
    <hyperlink ref="H2102" r:id="rId1170" display="https://www.newspapers.com/image/23768017/?terms=school%2Bshooting" xr:uid="{00000000-0004-0000-0100-000091040000}"/>
    <hyperlink ref="H1955" r:id="rId1171" display="https://www.vvdailypress.com/story/news/crime/2021/04/03/man-killed-police-perpetrated-1979-barstow-high-school-shooting-wounded-3-students/7078487002/" xr:uid="{00000000-0004-0000-0100-000092040000}"/>
    <hyperlink ref="H2103" r:id="rId1172" display="https://www.newspapers.com/image/18059538/?terms=school%2Bshooting" xr:uid="{00000000-0004-0000-0100-000093040000}"/>
    <hyperlink ref="H2104" r:id="rId1173" display="https://www.newspapers.com/image/156467116/?terms=school%2Bshooting" xr:uid="{00000000-0004-0000-0100-000094040000}"/>
    <hyperlink ref="H2106" r:id="rId1174" display="https://news.google.com/newspapers?id=AfRYAAAAIBAJ&amp;pg=3025,1894998" xr:uid="{00000000-0004-0000-0100-000095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2335"/>
  <sheetViews>
    <sheetView workbookViewId="0"/>
  </sheetViews>
  <sheetFormatPr defaultColWidth="12.5703125" defaultRowHeight="15.75" customHeight="1"/>
  <sheetData>
    <row r="1" spans="1:8">
      <c r="A1" s="12" t="str">
        <f ca="1">IFERROR(__xludf.DUMMYFUNCTION("IMPORTRANGE(""https://docs.google.com/spreadsheets/d/13by1rx0kMN24Sm2nKqqR6GsRtIyhgOO8U6IyuCHwhEU/edit#gid=1519919770"", ""Shooter!A1:H2500"")"),"Incident_ID")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c r="A2" s="5" t="str">
        <f ca="1">IFERROR(__xludf.DUMMYFUNCTION("""COMPUTED_VALUE"""),"20220904FLBOL")</f>
        <v>20220904FLBOL</v>
      </c>
      <c r="B2" s="5" t="str">
        <f ca="1">IFERROR(__xludf.DUMMYFUNCTION("""COMPUTED_VALUE"""),"Adult")</f>
        <v>Adult</v>
      </c>
      <c r="C2" s="5" t="str">
        <f ca="1">IFERROR(__xludf.DUMMYFUNCTION("""COMPUTED_VALUE"""),"Male")</f>
        <v>Male</v>
      </c>
      <c r="D2" s="5"/>
      <c r="E2" s="5" t="str">
        <f ca="1">IFERROR(__xludf.DUMMYFUNCTION("""COMPUTED_VALUE"""),"Nonstudent Using Athletic Facilities/Attending Game")</f>
        <v>Nonstudent Using Athletic Facilities/Attending Game</v>
      </c>
      <c r="F2" s="5" t="str">
        <f ca="1">IFERROR(__xludf.DUMMYFUNCTION("""COMPUTED_VALUE"""),"Fled/Escaped")</f>
        <v>Fled/Escaped</v>
      </c>
      <c r="G2" s="5" t="str">
        <f ca="1">IFERROR(__xludf.DUMMYFUNCTION("""COMPUTED_VALUE"""),"No")</f>
        <v>No</v>
      </c>
      <c r="H2" s="5" t="str">
        <f ca="1">IFERROR(__xludf.DUMMYFUNCTION("""COMPUTED_VALUE"""),"None")</f>
        <v>None</v>
      </c>
    </row>
    <row r="3" spans="1:8">
      <c r="A3" s="5" t="str">
        <f ca="1">IFERROR(__xludf.DUMMYFUNCTION("""COMPUTED_VALUE"""),"20220902MDMEB")</f>
        <v>20220902MDMEB</v>
      </c>
      <c r="B3" s="5">
        <f ca="1">IFERROR(__xludf.DUMMYFUNCTION("""COMPUTED_VALUE"""),17)</f>
        <v>17</v>
      </c>
      <c r="C3" s="5" t="str">
        <f ca="1">IFERROR(__xludf.DUMMYFUNCTION("""COMPUTED_VALUE"""),"Male")</f>
        <v>Male</v>
      </c>
      <c r="D3" s="5"/>
      <c r="E3" s="5" t="str">
        <f ca="1">IFERROR(__xludf.DUMMYFUNCTION("""COMPUTED_VALUE"""),"Rival School Student")</f>
        <v>Rival School Student</v>
      </c>
      <c r="F3" s="5" t="str">
        <f ca="1">IFERROR(__xludf.DUMMYFUNCTION("""COMPUTED_VALUE"""),"Apprehended/Killed by SRO")</f>
        <v>Apprehended/Killed by SRO</v>
      </c>
      <c r="G3" s="5" t="str">
        <f ca="1">IFERROR(__xludf.DUMMYFUNCTION("""COMPUTED_VALUE"""),"No")</f>
        <v>No</v>
      </c>
      <c r="H3" s="5" t="str">
        <f ca="1">IFERROR(__xludf.DUMMYFUNCTION("""COMPUTED_VALUE"""),"None")</f>
        <v>None</v>
      </c>
    </row>
    <row r="4" spans="1:8">
      <c r="A4" s="5" t="str">
        <f ca="1">IFERROR(__xludf.DUMMYFUNCTION("""COMPUTED_VALUE"""),"20220831DCIDW")</f>
        <v>20220831DCIDW</v>
      </c>
      <c r="B4" s="5">
        <f ca="1">IFERROR(__xludf.DUMMYFUNCTION("""COMPUTED_VALUE"""),15)</f>
        <v>15</v>
      </c>
      <c r="C4" s="5" t="str">
        <f ca="1">IFERROR(__xludf.DUMMYFUNCTION("""COMPUTED_VALUE"""),"Male")</f>
        <v>Male</v>
      </c>
      <c r="D4" s="5"/>
      <c r="E4" s="5" t="str">
        <f ca="1">IFERROR(__xludf.DUMMYFUNCTION("""COMPUTED_VALUE"""),"Student")</f>
        <v>Student</v>
      </c>
      <c r="F4" s="5" t="str">
        <f ca="1">IFERROR(__xludf.DUMMYFUNCTION("""COMPUTED_VALUE"""),"Fled/Apprehended")</f>
        <v>Fled/Apprehended</v>
      </c>
      <c r="G4" s="5" t="str">
        <f ca="1">IFERROR(__xludf.DUMMYFUNCTION("""COMPUTED_VALUE"""),"No")</f>
        <v>No</v>
      </c>
      <c r="H4" s="5" t="str">
        <f ca="1">IFERROR(__xludf.DUMMYFUNCTION("""COMPUTED_VALUE"""),"None")</f>
        <v>None</v>
      </c>
    </row>
    <row r="5" spans="1:8">
      <c r="A5" s="5" t="str">
        <f ca="1">IFERROR(__xludf.DUMMYFUNCTION("""COMPUTED_VALUE"""),"20220831NMDEA")</f>
        <v>20220831NMDEA</v>
      </c>
      <c r="B5" s="5">
        <f ca="1">IFERROR(__xludf.DUMMYFUNCTION("""COMPUTED_VALUE"""),17)</f>
        <v>17</v>
      </c>
      <c r="C5" s="5" t="str">
        <f ca="1">IFERROR(__xludf.DUMMYFUNCTION("""COMPUTED_VALUE"""),"Male")</f>
        <v>Male</v>
      </c>
      <c r="D5" s="5"/>
      <c r="E5" s="5" t="str">
        <f ca="1">IFERROR(__xludf.DUMMYFUNCTION("""COMPUTED_VALUE"""),"Student")</f>
        <v>Student</v>
      </c>
      <c r="F5" s="5" t="str">
        <f ca="1">IFERROR(__xludf.DUMMYFUNCTION("""COMPUTED_VALUE"""),"Fled/Apprehended")</f>
        <v>Fled/Apprehended</v>
      </c>
      <c r="G5" s="5" t="str">
        <f ca="1">IFERROR(__xludf.DUMMYFUNCTION("""COMPUTED_VALUE"""),"No")</f>
        <v>No</v>
      </c>
      <c r="H5" s="5" t="str">
        <f ca="1">IFERROR(__xludf.DUMMYFUNCTION("""COMPUTED_VALUE"""),"None")</f>
        <v>None</v>
      </c>
    </row>
    <row r="6" spans="1:8">
      <c r="A6" s="5" t="str">
        <f ca="1">IFERROR(__xludf.DUMMYFUNCTION("""COMPUTED_VALUE"""),"20220831PAFRP")</f>
        <v>20220831PAFRP</v>
      </c>
      <c r="B6" s="5"/>
      <c r="C6" s="5"/>
      <c r="D6" s="5"/>
      <c r="E6" s="5" t="str">
        <f ca="1">IFERROR(__xludf.DUMMYFUNCTION("""COMPUTED_VALUE"""),"No Relation")</f>
        <v>No Relation</v>
      </c>
      <c r="F6" s="5" t="str">
        <f ca="1">IFERROR(__xludf.DUMMYFUNCTION("""COMPUTED_VALUE"""),"Fled/Escaped")</f>
        <v>Fled/Escaped</v>
      </c>
      <c r="G6" s="5" t="str">
        <f ca="1">IFERROR(__xludf.DUMMYFUNCTION("""COMPUTED_VALUE"""),"No")</f>
        <v>No</v>
      </c>
      <c r="H6" s="5" t="str">
        <f ca="1">IFERROR(__xludf.DUMMYFUNCTION("""COMPUTED_VALUE"""),"None")</f>
        <v>None</v>
      </c>
    </row>
    <row r="7" spans="1:8">
      <c r="A7" s="5" t="str">
        <f ca="1">IFERROR(__xludf.DUMMYFUNCTION("""COMPUTED_VALUE"""),"20220829CAMAO")</f>
        <v>20220829CAMAO</v>
      </c>
      <c r="B7" s="5">
        <f ca="1">IFERROR(__xludf.DUMMYFUNCTION("""COMPUTED_VALUE"""),12)</f>
        <v>12</v>
      </c>
      <c r="C7" s="5" t="str">
        <f ca="1">IFERROR(__xludf.DUMMYFUNCTION("""COMPUTED_VALUE"""),"Male")</f>
        <v>Male</v>
      </c>
      <c r="D7" s="5"/>
      <c r="E7" s="5" t="str">
        <f ca="1">IFERROR(__xludf.DUMMYFUNCTION("""COMPUTED_VALUE"""),"Student")</f>
        <v>Student</v>
      </c>
      <c r="F7" s="5" t="str">
        <f ca="1">IFERROR(__xludf.DUMMYFUNCTION("""COMPUTED_VALUE"""),"Fled/Apprehended")</f>
        <v>Fled/Apprehended</v>
      </c>
      <c r="G7" s="5" t="str">
        <f ca="1">IFERROR(__xludf.DUMMYFUNCTION("""COMPUTED_VALUE"""),"No")</f>
        <v>No</v>
      </c>
      <c r="H7" s="5" t="str">
        <f ca="1">IFERROR(__xludf.DUMMYFUNCTION("""COMPUTED_VALUE"""),"None")</f>
        <v>None</v>
      </c>
    </row>
    <row r="8" spans="1:8">
      <c r="A8" s="5" t="str">
        <f ca="1">IFERROR(__xludf.DUMMYFUNCTION("""COMPUTED_VALUE"""),"20220827MONOS")</f>
        <v>20220827MONOS</v>
      </c>
      <c r="B8" s="5">
        <f ca="1">IFERROR(__xludf.DUMMYFUNCTION("""COMPUTED_VALUE"""),42)</f>
        <v>42</v>
      </c>
      <c r="C8" s="5" t="str">
        <f ca="1">IFERROR(__xludf.DUMMYFUNCTION("""COMPUTED_VALUE"""),"Male")</f>
        <v>Male</v>
      </c>
      <c r="D8" s="5"/>
      <c r="E8" s="5" t="str">
        <f ca="1">IFERROR(__xludf.DUMMYFUNCTION("""COMPUTED_VALUE"""),"Nonstudent Using Athletic Facilities/Attending Game")</f>
        <v>Nonstudent Using Athletic Facilities/Attending Game</v>
      </c>
      <c r="F8" s="5" t="str">
        <f ca="1">IFERROR(__xludf.DUMMYFUNCTION("""COMPUTED_VALUE"""),"Fled/Apprehended")</f>
        <v>Fled/Apprehended</v>
      </c>
      <c r="G8" s="5" t="str">
        <f ca="1">IFERROR(__xludf.DUMMYFUNCTION("""COMPUTED_VALUE"""),"No")</f>
        <v>No</v>
      </c>
      <c r="H8" s="5" t="str">
        <f ca="1">IFERROR(__xludf.DUMMYFUNCTION("""COMPUTED_VALUE"""),"None")</f>
        <v>None</v>
      </c>
    </row>
    <row r="9" spans="1:8">
      <c r="A9" s="5" t="str">
        <f ca="1">IFERROR(__xludf.DUMMYFUNCTION("""COMPUTED_VALUE"""),"20220826OHGAC")</f>
        <v>20220826OHGAC</v>
      </c>
      <c r="B9" s="5"/>
      <c r="C9" s="5"/>
      <c r="D9" s="5"/>
      <c r="E9" s="5"/>
      <c r="F9" s="5" t="str">
        <f ca="1">IFERROR(__xludf.DUMMYFUNCTION("""COMPUTED_VALUE"""),"Fled/Escaped")</f>
        <v>Fled/Escaped</v>
      </c>
      <c r="G9" s="5" t="str">
        <f ca="1">IFERROR(__xludf.DUMMYFUNCTION("""COMPUTED_VALUE"""),"No")</f>
        <v>No</v>
      </c>
      <c r="H9" s="5" t="str">
        <f ca="1">IFERROR(__xludf.DUMMYFUNCTION("""COMPUTED_VALUE"""),"None")</f>
        <v>None</v>
      </c>
    </row>
    <row r="10" spans="1:8">
      <c r="A10" s="5" t="str">
        <f ca="1">IFERROR(__xludf.DUMMYFUNCTION("""COMPUTED_VALUE"""),"20220823OHINC")</f>
        <v>20220823OHINC</v>
      </c>
      <c r="B10" s="5"/>
      <c r="C10" s="5"/>
      <c r="D10" s="5"/>
      <c r="E10" s="5"/>
      <c r="F10" s="5" t="str">
        <f ca="1">IFERROR(__xludf.DUMMYFUNCTION("""COMPUTED_VALUE"""),"Fled/Escaped")</f>
        <v>Fled/Escaped</v>
      </c>
      <c r="G10" s="5" t="str">
        <f ca="1">IFERROR(__xludf.DUMMYFUNCTION("""COMPUTED_VALUE"""),"No")</f>
        <v>No</v>
      </c>
      <c r="H10" s="5" t="str">
        <f ca="1">IFERROR(__xludf.DUMMYFUNCTION("""COMPUTED_VALUE"""),"None")</f>
        <v>None</v>
      </c>
    </row>
    <row r="11" spans="1:8">
      <c r="A11" s="5" t="str">
        <f ca="1">IFERROR(__xludf.DUMMYFUNCTION("""COMPUTED_VALUE"""),"20220823OHART")</f>
        <v>20220823OHART</v>
      </c>
      <c r="B11" s="5" t="str">
        <f ca="1">IFERROR(__xludf.DUMMYFUNCTION("""COMPUTED_VALUE"""),"Adult")</f>
        <v>Adult</v>
      </c>
      <c r="C11" s="5"/>
      <c r="D11" s="5"/>
      <c r="E11" s="5" t="str">
        <f ca="1">IFERROR(__xludf.DUMMYFUNCTION("""COMPUTED_VALUE"""),"Parent")</f>
        <v>Parent</v>
      </c>
      <c r="F11" s="5" t="str">
        <f ca="1">IFERROR(__xludf.DUMMYFUNCTION("""COMPUTED_VALUE"""),"Fled/Escaped")</f>
        <v>Fled/Escaped</v>
      </c>
      <c r="G11" s="5" t="str">
        <f ca="1">IFERROR(__xludf.DUMMYFUNCTION("""COMPUTED_VALUE"""),"No")</f>
        <v>No</v>
      </c>
      <c r="H11" s="5" t="str">
        <f ca="1">IFERROR(__xludf.DUMMYFUNCTION("""COMPUTED_VALUE"""),"None")</f>
        <v>None</v>
      </c>
    </row>
    <row r="12" spans="1:8">
      <c r="A12" s="5" t="str">
        <f ca="1">IFERROR(__xludf.DUMMYFUNCTION("""COMPUTED_VALUE"""),"20220819LAAKN")</f>
        <v>20220819LAAKN</v>
      </c>
      <c r="B12" s="5">
        <f ca="1">IFERROR(__xludf.DUMMYFUNCTION("""COMPUTED_VALUE"""),12)</f>
        <v>12</v>
      </c>
      <c r="C12" s="5" t="str">
        <f ca="1">IFERROR(__xludf.DUMMYFUNCTION("""COMPUTED_VALUE"""),"Female")</f>
        <v>Female</v>
      </c>
      <c r="D12" s="5" t="str">
        <f ca="1">IFERROR(__xludf.DUMMYFUNCTION("""COMPUTED_VALUE"""),"Black")</f>
        <v>Black</v>
      </c>
      <c r="E12" s="5" t="str">
        <f ca="1">IFERROR(__xludf.DUMMYFUNCTION("""COMPUTED_VALUE"""),"Student")</f>
        <v>Student</v>
      </c>
      <c r="F12" s="5" t="str">
        <f ca="1">IFERROR(__xludf.DUMMYFUNCTION("""COMPUTED_VALUE"""),"Fled/Apprehended")</f>
        <v>Fled/Apprehended</v>
      </c>
      <c r="G12" s="5" t="str">
        <f ca="1">IFERROR(__xludf.DUMMYFUNCTION("""COMPUTED_VALUE"""),"No")</f>
        <v>No</v>
      </c>
      <c r="H12" s="5" t="str">
        <f ca="1">IFERROR(__xludf.DUMMYFUNCTION("""COMPUTED_VALUE"""),"None")</f>
        <v>None</v>
      </c>
    </row>
    <row r="13" spans="1:8">
      <c r="A13" s="5" t="str">
        <f ca="1">IFERROR(__xludf.DUMMYFUNCTION("""COMPUTED_VALUE"""),"20220819OHGRG")</f>
        <v>20220819OHGRG</v>
      </c>
      <c r="B13" s="5">
        <f ca="1">IFERROR(__xludf.DUMMYFUNCTION("""COMPUTED_VALUE"""),18)</f>
        <v>18</v>
      </c>
      <c r="C13" s="5" t="str">
        <f ca="1">IFERROR(__xludf.DUMMYFUNCTION("""COMPUTED_VALUE"""),"Male")</f>
        <v>Male</v>
      </c>
      <c r="D13" s="5" t="str">
        <f ca="1">IFERROR(__xludf.DUMMYFUNCTION("""COMPUTED_VALUE"""),"Black")</f>
        <v>Black</v>
      </c>
      <c r="E13" s="5" t="str">
        <f ca="1">IFERROR(__xludf.DUMMYFUNCTION("""COMPUTED_VALUE"""),"Nonstudent Using Athletic Facilities/Attending Game")</f>
        <v>Nonstudent Using Athletic Facilities/Attending Game</v>
      </c>
      <c r="F13" s="5" t="str">
        <f ca="1">IFERROR(__xludf.DUMMYFUNCTION("""COMPUTED_VALUE"""),"Apprehended/Killed by LE")</f>
        <v>Apprehended/Killed by LE</v>
      </c>
      <c r="G13" s="5" t="str">
        <f ca="1">IFERROR(__xludf.DUMMYFUNCTION("""COMPUTED_VALUE"""),"No")</f>
        <v>No</v>
      </c>
      <c r="H13" s="5" t="str">
        <f ca="1">IFERROR(__xludf.DUMMYFUNCTION("""COMPUTED_VALUE"""),"None")</f>
        <v>None</v>
      </c>
    </row>
    <row r="14" spans="1:8">
      <c r="A14" s="5" t="str">
        <f ca="1">IFERROR(__xludf.DUMMYFUNCTION("""COMPUTED_VALUE"""),"20220819TNWEC")</f>
        <v>20220819TNWEC</v>
      </c>
      <c r="B14" s="5">
        <f ca="1">IFERROR(__xludf.DUMMYFUNCTION("""COMPUTED_VALUE"""),16)</f>
        <v>16</v>
      </c>
      <c r="C14" s="5" t="str">
        <f ca="1">IFERROR(__xludf.DUMMYFUNCTION("""COMPUTED_VALUE"""),"Male")</f>
        <v>Male</v>
      </c>
      <c r="D14" s="5"/>
      <c r="E14" s="5"/>
      <c r="F14" s="5" t="str">
        <f ca="1">IFERROR(__xludf.DUMMYFUNCTION("""COMPUTED_VALUE"""),"Fled/Apprehended")</f>
        <v>Fled/Apprehended</v>
      </c>
      <c r="G14" s="5" t="str">
        <f ca="1">IFERROR(__xludf.DUMMYFUNCTION("""COMPUTED_VALUE"""),"No")</f>
        <v>No</v>
      </c>
      <c r="H14" s="5" t="str">
        <f ca="1">IFERROR(__xludf.DUMMYFUNCTION("""COMPUTED_VALUE"""),"None")</f>
        <v>None</v>
      </c>
    </row>
    <row r="15" spans="1:8">
      <c r="A15" s="5" t="str">
        <f ca="1">IFERROR(__xludf.DUMMYFUNCTION("""COMPUTED_VALUE"""),"20220818FLLER")</f>
        <v>20220818FLLER</v>
      </c>
      <c r="B15" s="5">
        <f ca="1">IFERROR(__xludf.DUMMYFUNCTION("""COMPUTED_VALUE"""),18)</f>
        <v>18</v>
      </c>
      <c r="C15" s="5" t="str">
        <f ca="1">IFERROR(__xludf.DUMMYFUNCTION("""COMPUTED_VALUE"""),"Male")</f>
        <v>Male</v>
      </c>
      <c r="D15" s="5"/>
      <c r="E15" s="5" t="str">
        <f ca="1">IFERROR(__xludf.DUMMYFUNCTION("""COMPUTED_VALUE"""),"Former Student")</f>
        <v>Former Student</v>
      </c>
      <c r="F15" s="5" t="str">
        <f ca="1">IFERROR(__xludf.DUMMYFUNCTION("""COMPUTED_VALUE"""),"Fled/Apprehended")</f>
        <v>Fled/Apprehended</v>
      </c>
      <c r="G15" s="5" t="str">
        <f ca="1">IFERROR(__xludf.DUMMYFUNCTION("""COMPUTED_VALUE"""),"No")</f>
        <v>No</v>
      </c>
      <c r="H15" s="5" t="str">
        <f ca="1">IFERROR(__xludf.DUMMYFUNCTION("""COMPUTED_VALUE"""),"Wounded")</f>
        <v>Wounded</v>
      </c>
    </row>
    <row r="16" spans="1:8">
      <c r="A16" s="5" t="str">
        <f ca="1">IFERROR(__xludf.DUMMYFUNCTION("""COMPUTED_VALUE"""),"20220816TXPOB")</f>
        <v>20220816TXPOB</v>
      </c>
      <c r="B16" s="5" t="str">
        <f ca="1">IFERROR(__xludf.DUMMYFUNCTION("""COMPUTED_VALUE"""),"Teen")</f>
        <v>Teen</v>
      </c>
      <c r="C16" s="5" t="str">
        <f ca="1">IFERROR(__xludf.DUMMYFUNCTION("""COMPUTED_VALUE"""),"Male")</f>
        <v>Male</v>
      </c>
      <c r="D16" s="5"/>
      <c r="E16" s="5" t="str">
        <f ca="1">IFERROR(__xludf.DUMMYFUNCTION("""COMPUTED_VALUE"""),"No Relation")</f>
        <v>No Relation</v>
      </c>
      <c r="F16" s="5" t="str">
        <f ca="1">IFERROR(__xludf.DUMMYFUNCTION("""COMPUTED_VALUE"""),"Fled/Apprehended")</f>
        <v>Fled/Apprehended</v>
      </c>
      <c r="G16" s="5" t="str">
        <f ca="1">IFERROR(__xludf.DUMMYFUNCTION("""COMPUTED_VALUE"""),"No")</f>
        <v>No</v>
      </c>
      <c r="H16" s="5" t="str">
        <f ca="1">IFERROR(__xludf.DUMMYFUNCTION("""COMPUTED_VALUE"""),"None")</f>
        <v>None</v>
      </c>
    </row>
    <row r="17" spans="1:8">
      <c r="A17" s="5" t="str">
        <f ca="1">IFERROR(__xludf.DUMMYFUNCTION("""COMPUTED_VALUE"""),"20220815CALIS")</f>
        <v>20220815CALIS</v>
      </c>
      <c r="B17" s="5">
        <f ca="1">IFERROR(__xludf.DUMMYFUNCTION("""COMPUTED_VALUE"""),17)</f>
        <v>17</v>
      </c>
      <c r="C17" s="5" t="str">
        <f ca="1">IFERROR(__xludf.DUMMYFUNCTION("""COMPUTED_VALUE"""),"Male")</f>
        <v>Male</v>
      </c>
      <c r="D17" s="5"/>
      <c r="E17" s="5" t="str">
        <f ca="1">IFERROR(__xludf.DUMMYFUNCTION("""COMPUTED_VALUE"""),"Student")</f>
        <v>Student</v>
      </c>
      <c r="F17" s="5" t="str">
        <f ca="1">IFERROR(__xludf.DUMMYFUNCTION("""COMPUTED_VALUE"""),"Apprehended/Killed by SRO")</f>
        <v>Apprehended/Killed by SRO</v>
      </c>
      <c r="G17" s="5" t="str">
        <f ca="1">IFERROR(__xludf.DUMMYFUNCTION("""COMPUTED_VALUE"""),"No")</f>
        <v>No</v>
      </c>
      <c r="H17" s="5" t="str">
        <f ca="1">IFERROR(__xludf.DUMMYFUNCTION("""COMPUTED_VALUE"""),"None")</f>
        <v>None</v>
      </c>
    </row>
    <row r="18" spans="1:8">
      <c r="A18" s="5" t="str">
        <f ca="1">IFERROR(__xludf.DUMMYFUNCTION("""COMPUTED_VALUE"""),"20220813ARMAL")</f>
        <v>20220813ARMAL</v>
      </c>
      <c r="B18" s="5"/>
      <c r="C18" s="5"/>
      <c r="D18" s="5"/>
      <c r="E18" s="5" t="str">
        <f ca="1">IFERROR(__xludf.DUMMYFUNCTION("""COMPUTED_VALUE"""),"No Relation")</f>
        <v>No Relation</v>
      </c>
      <c r="F18" s="5" t="str">
        <f ca="1">IFERROR(__xludf.DUMMYFUNCTION("""COMPUTED_VALUE"""),"Fled/Escaped")</f>
        <v>Fled/Escaped</v>
      </c>
      <c r="G18" s="5" t="str">
        <f ca="1">IFERROR(__xludf.DUMMYFUNCTION("""COMPUTED_VALUE"""),"No")</f>
        <v>No</v>
      </c>
      <c r="H18" s="5" t="str">
        <f ca="1">IFERROR(__xludf.DUMMYFUNCTION("""COMPUTED_VALUE"""),"None")</f>
        <v>None</v>
      </c>
    </row>
    <row r="19" spans="1:8">
      <c r="A19" s="5" t="str">
        <f ca="1">IFERROR(__xludf.DUMMYFUNCTION("""COMPUTED_VALUE"""),"20220812CASIV")</f>
        <v>20220812CASIV</v>
      </c>
      <c r="B19" s="5"/>
      <c r="C19" s="5"/>
      <c r="D19" s="5"/>
      <c r="E19" s="5"/>
      <c r="F19" s="5" t="str">
        <f ca="1">IFERROR(__xludf.DUMMYFUNCTION("""COMPUTED_VALUE"""),"Fled/Escaped")</f>
        <v>Fled/Escaped</v>
      </c>
      <c r="G19" s="5" t="str">
        <f ca="1">IFERROR(__xludf.DUMMYFUNCTION("""COMPUTED_VALUE"""),"No")</f>
        <v>No</v>
      </c>
      <c r="H19" s="5" t="str">
        <f ca="1">IFERROR(__xludf.DUMMYFUNCTION("""COMPUTED_VALUE"""),"None")</f>
        <v>None</v>
      </c>
    </row>
    <row r="20" spans="1:8">
      <c r="A20" s="5" t="str">
        <f ca="1">IFERROR(__xludf.DUMMYFUNCTION("""COMPUTED_VALUE"""),"20220811GAUCB")</f>
        <v>20220811GAUCB</v>
      </c>
      <c r="B20" s="5">
        <f ca="1">IFERROR(__xludf.DUMMYFUNCTION("""COMPUTED_VALUE"""),64)</f>
        <v>64</v>
      </c>
      <c r="C20" s="5" t="str">
        <f ca="1">IFERROR(__xludf.DUMMYFUNCTION("""COMPUTED_VALUE"""),"Male")</f>
        <v>Male</v>
      </c>
      <c r="D20" s="5"/>
      <c r="E20" s="5" t="str">
        <f ca="1">IFERROR(__xludf.DUMMYFUNCTION("""COMPUTED_VALUE"""),"Other Staff")</f>
        <v>Other Staff</v>
      </c>
      <c r="F20" s="5" t="str">
        <f ca="1">IFERROR(__xludf.DUMMYFUNCTION("""COMPUTED_VALUE"""),"Fled/Apprehended")</f>
        <v>Fled/Apprehended</v>
      </c>
      <c r="G20" s="5" t="str">
        <f ca="1">IFERROR(__xludf.DUMMYFUNCTION("""COMPUTED_VALUE"""),"No")</f>
        <v>No</v>
      </c>
      <c r="H20" s="5" t="str">
        <f ca="1">IFERROR(__xludf.DUMMYFUNCTION("""COMPUTED_VALUE"""),"None")</f>
        <v>None</v>
      </c>
    </row>
    <row r="21" spans="1:8">
      <c r="A21" s="5" t="str">
        <f ca="1">IFERROR(__xludf.DUMMYFUNCTION("""COMPUTED_VALUE"""),"20220810GAMCA")</f>
        <v>20220810GAMCA</v>
      </c>
      <c r="B21" s="5">
        <f ca="1">IFERROR(__xludf.DUMMYFUNCTION("""COMPUTED_VALUE"""),18)</f>
        <v>18</v>
      </c>
      <c r="C21" s="5" t="str">
        <f ca="1">IFERROR(__xludf.DUMMYFUNCTION("""COMPUTED_VALUE"""),"Male")</f>
        <v>Male</v>
      </c>
      <c r="D21" s="5"/>
      <c r="E21" s="5" t="str">
        <f ca="1">IFERROR(__xludf.DUMMYFUNCTION("""COMPUTED_VALUE"""),"Student")</f>
        <v>Student</v>
      </c>
      <c r="F21" s="5" t="str">
        <f ca="1">IFERROR(__xludf.DUMMYFUNCTION("""COMPUTED_VALUE"""),"Apprehended/Killed by SRO")</f>
        <v>Apprehended/Killed by SRO</v>
      </c>
      <c r="G21" s="5" t="str">
        <f ca="1">IFERROR(__xludf.DUMMYFUNCTION("""COMPUTED_VALUE"""),"No")</f>
        <v>No</v>
      </c>
      <c r="H21" s="5" t="str">
        <f ca="1">IFERROR(__xludf.DUMMYFUNCTION("""COMPUTED_VALUE"""),"None")</f>
        <v>None</v>
      </c>
    </row>
    <row r="22" spans="1:8">
      <c r="A22" s="5" t="str">
        <f ca="1">IFERROR(__xludf.DUMMYFUNCTION("""COMPUTED_VALUE"""),"20220809PACHP")</f>
        <v>20220809PACHP</v>
      </c>
      <c r="B22" s="5" t="str">
        <f ca="1">IFERROR(__xludf.DUMMYFUNCTION("""COMPUTED_VALUE"""),"Adult")</f>
        <v>Adult</v>
      </c>
      <c r="C22" s="5"/>
      <c r="D22" s="5"/>
      <c r="E22" s="5" t="str">
        <f ca="1">IFERROR(__xludf.DUMMYFUNCTION("""COMPUTED_VALUE"""),"No Relation")</f>
        <v>No Relation</v>
      </c>
      <c r="F22" s="5" t="str">
        <f ca="1">IFERROR(__xludf.DUMMYFUNCTION("""COMPUTED_VALUE"""),"Fled/Escaped")</f>
        <v>Fled/Escaped</v>
      </c>
      <c r="G22" s="5" t="str">
        <f ca="1">IFERROR(__xludf.DUMMYFUNCTION("""COMPUTED_VALUE"""),"No")</f>
        <v>No</v>
      </c>
      <c r="H22" s="5" t="str">
        <f ca="1">IFERROR(__xludf.DUMMYFUNCTION("""COMPUTED_VALUE"""),"None")</f>
        <v>None</v>
      </c>
    </row>
    <row r="23" spans="1:8">
      <c r="A23" s="5" t="str">
        <f ca="1">IFERROR(__xludf.DUMMYFUNCTION("""COMPUTED_VALUE"""),"20220805MATHL")</f>
        <v>20220805MATHL</v>
      </c>
      <c r="B23" s="5">
        <f ca="1">IFERROR(__xludf.DUMMYFUNCTION("""COMPUTED_VALUE"""),25)</f>
        <v>25</v>
      </c>
      <c r="C23" s="5" t="str">
        <f ca="1">IFERROR(__xludf.DUMMYFUNCTION("""COMPUTED_VALUE"""),"Male")</f>
        <v>Male</v>
      </c>
      <c r="D23" s="5"/>
      <c r="E23" s="5" t="str">
        <f ca="1">IFERROR(__xludf.DUMMYFUNCTION("""COMPUTED_VALUE"""),"Nonstudent Using Athletic Facilities/Attending Game")</f>
        <v>Nonstudent Using Athletic Facilities/Attending Game</v>
      </c>
      <c r="F23" s="5" t="str">
        <f ca="1">IFERROR(__xludf.DUMMYFUNCTION("""COMPUTED_VALUE"""),"Fled/Apprehended")</f>
        <v>Fled/Apprehended</v>
      </c>
      <c r="G23" s="5" t="str">
        <f ca="1">IFERROR(__xludf.DUMMYFUNCTION("""COMPUTED_VALUE"""),"No")</f>
        <v>No</v>
      </c>
      <c r="H23" s="5" t="str">
        <f ca="1">IFERROR(__xludf.DUMMYFUNCTION("""COMPUTED_VALUE"""),"None")</f>
        <v>None</v>
      </c>
    </row>
    <row r="24" spans="1:8">
      <c r="A24" s="5" t="str">
        <f ca="1">IFERROR(__xludf.DUMMYFUNCTION("""COMPUTED_VALUE"""),"20220805GAJOJ")</f>
        <v>20220805GAJOJ</v>
      </c>
      <c r="B24" s="5">
        <f ca="1">IFERROR(__xludf.DUMMYFUNCTION("""COMPUTED_VALUE"""),27)</f>
        <v>27</v>
      </c>
      <c r="C24" s="5" t="str">
        <f ca="1">IFERROR(__xludf.DUMMYFUNCTION("""COMPUTED_VALUE"""),"Male")</f>
        <v>Male</v>
      </c>
      <c r="D24" s="5" t="str">
        <f ca="1">IFERROR(__xludf.DUMMYFUNCTION("""COMPUTED_VALUE"""),"Black")</f>
        <v>Black</v>
      </c>
      <c r="E24" s="5" t="str">
        <f ca="1">IFERROR(__xludf.DUMMYFUNCTION("""COMPUTED_VALUE"""),"No Relation")</f>
        <v>No Relation</v>
      </c>
      <c r="F24" s="5" t="str">
        <f ca="1">IFERROR(__xludf.DUMMYFUNCTION("""COMPUTED_VALUE"""),"Apprehended/Killed by LE")</f>
        <v>Apprehended/Killed by LE</v>
      </c>
      <c r="G24" s="5" t="str">
        <f ca="1">IFERROR(__xludf.DUMMYFUNCTION("""COMPUTED_VALUE"""),"No")</f>
        <v>No</v>
      </c>
      <c r="H24" s="5" t="str">
        <f ca="1">IFERROR(__xludf.DUMMYFUNCTION("""COMPUTED_VALUE"""),"None")</f>
        <v>None</v>
      </c>
    </row>
    <row r="25" spans="1:8">
      <c r="A25" s="5" t="str">
        <f ca="1">IFERROR(__xludf.DUMMYFUNCTION("""COMPUTED_VALUE"""),"20220803PALEP")</f>
        <v>20220803PALEP</v>
      </c>
      <c r="B25" s="5" t="str">
        <f ca="1">IFERROR(__xludf.DUMMYFUNCTION("""COMPUTED_VALUE"""),"Adult")</f>
        <v>Adult</v>
      </c>
      <c r="C25" s="5" t="str">
        <f ca="1">IFERROR(__xludf.DUMMYFUNCTION("""COMPUTED_VALUE"""),"Male")</f>
        <v>Male</v>
      </c>
      <c r="D25" s="5"/>
      <c r="E25" s="5" t="str">
        <f ca="1">IFERROR(__xludf.DUMMYFUNCTION("""COMPUTED_VALUE"""),"No Relation")</f>
        <v>No Relation</v>
      </c>
      <c r="F25" s="5" t="str">
        <f ca="1">IFERROR(__xludf.DUMMYFUNCTION("""COMPUTED_VALUE"""),"Fled/Escaped")</f>
        <v>Fled/Escaped</v>
      </c>
      <c r="G25" s="5" t="str">
        <f ca="1">IFERROR(__xludf.DUMMYFUNCTION("""COMPUTED_VALUE"""),"No")</f>
        <v>No</v>
      </c>
      <c r="H25" s="5" t="str">
        <f ca="1">IFERROR(__xludf.DUMMYFUNCTION("""COMPUTED_VALUE"""),"None")</f>
        <v>None</v>
      </c>
    </row>
    <row r="26" spans="1:8">
      <c r="A26" s="5" t="str">
        <f ca="1">IFERROR(__xludf.DUMMYFUNCTION("""COMPUTED_VALUE"""),"20220731CAOAO")</f>
        <v>20220731CAOAO</v>
      </c>
      <c r="B26" s="5" t="str">
        <f ca="1">IFERROR(__xludf.DUMMYFUNCTION("""COMPUTED_VALUE"""),"Adult")</f>
        <v>Adult</v>
      </c>
      <c r="C26" s="5"/>
      <c r="D26" s="5"/>
      <c r="E26" s="5" t="str">
        <f ca="1">IFERROR(__xludf.DUMMYFUNCTION("""COMPUTED_VALUE"""),"Nonstudent Using Athletic Facilities/Attending Game")</f>
        <v>Nonstudent Using Athletic Facilities/Attending Game</v>
      </c>
      <c r="F26" s="5" t="str">
        <f ca="1">IFERROR(__xludf.DUMMYFUNCTION("""COMPUTED_VALUE"""),"Fled/Escaped")</f>
        <v>Fled/Escaped</v>
      </c>
      <c r="G26" s="5" t="str">
        <f ca="1">IFERROR(__xludf.DUMMYFUNCTION("""COMPUTED_VALUE"""),"No")</f>
        <v>No</v>
      </c>
      <c r="H26" s="5" t="str">
        <f ca="1">IFERROR(__xludf.DUMMYFUNCTION("""COMPUTED_VALUE"""),"None")</f>
        <v>None</v>
      </c>
    </row>
    <row r="27" spans="1:8">
      <c r="A27" s="5" t="str">
        <f ca="1">IFERROR(__xludf.DUMMYFUNCTION("""COMPUTED_VALUE"""),"20220731CAOAO")</f>
        <v>20220731CAOAO</v>
      </c>
      <c r="B27" s="5" t="str">
        <f ca="1">IFERROR(__xludf.DUMMYFUNCTION("""COMPUTED_VALUE"""),"Adult")</f>
        <v>Adult</v>
      </c>
      <c r="C27" s="5"/>
      <c r="D27" s="5"/>
      <c r="E27" s="5" t="str">
        <f ca="1">IFERROR(__xludf.DUMMYFUNCTION("""COMPUTED_VALUE"""),"Nonstudent Using Athletic Facilities/Attending Game")</f>
        <v>Nonstudent Using Athletic Facilities/Attending Game</v>
      </c>
      <c r="F27" s="5" t="str">
        <f ca="1">IFERROR(__xludf.DUMMYFUNCTION("""COMPUTED_VALUE"""),"Fled/Escaped")</f>
        <v>Fled/Escaped</v>
      </c>
      <c r="G27" s="5" t="str">
        <f ca="1">IFERROR(__xludf.DUMMYFUNCTION("""COMPUTED_VALUE"""),"No")</f>
        <v>No</v>
      </c>
      <c r="H27" s="5" t="str">
        <f ca="1">IFERROR(__xludf.DUMMYFUNCTION("""COMPUTED_VALUE"""),"None")</f>
        <v>None</v>
      </c>
    </row>
    <row r="28" spans="1:8">
      <c r="A28" s="5" t="str">
        <f ca="1">IFERROR(__xludf.DUMMYFUNCTION("""COMPUTED_VALUE"""),"20220731CAOAO")</f>
        <v>20220731CAOAO</v>
      </c>
      <c r="B28" s="5" t="str">
        <f ca="1">IFERROR(__xludf.DUMMYFUNCTION("""COMPUTED_VALUE"""),"Adult")</f>
        <v>Adult</v>
      </c>
      <c r="C28" s="5" t="str">
        <f ca="1">IFERROR(__xludf.DUMMYFUNCTION("""COMPUTED_VALUE"""),"Male")</f>
        <v>Male</v>
      </c>
      <c r="D28" s="5"/>
      <c r="E28" s="5" t="str">
        <f ca="1">IFERROR(__xludf.DUMMYFUNCTION("""COMPUTED_VALUE"""),"Nonstudent Using Athletic Facilities/Attending Game")</f>
        <v>Nonstudent Using Athletic Facilities/Attending Game</v>
      </c>
      <c r="F28" s="5" t="str">
        <f ca="1">IFERROR(__xludf.DUMMYFUNCTION("""COMPUTED_VALUE"""),"Fled/Escaped")</f>
        <v>Fled/Escaped</v>
      </c>
      <c r="G28" s="5" t="str">
        <f ca="1">IFERROR(__xludf.DUMMYFUNCTION("""COMPUTED_VALUE"""),"No")</f>
        <v>No</v>
      </c>
      <c r="H28" s="5" t="str">
        <f ca="1">IFERROR(__xludf.DUMMYFUNCTION("""COMPUTED_VALUE"""),"None")</f>
        <v>None</v>
      </c>
    </row>
    <row r="29" spans="1:8">
      <c r="A29" s="5" t="str">
        <f ca="1">IFERROR(__xludf.DUMMYFUNCTION("""COMPUTED_VALUE"""),"20220730NYRHH")</f>
        <v>20220730NYRHH</v>
      </c>
      <c r="B29" s="5"/>
      <c r="C29" s="5"/>
      <c r="D29" s="5"/>
      <c r="E29" s="5" t="str">
        <f ca="1">IFERROR(__xludf.DUMMYFUNCTION("""COMPUTED_VALUE"""),"No Relation")</f>
        <v>No Relation</v>
      </c>
      <c r="F29" s="5" t="str">
        <f ca="1">IFERROR(__xludf.DUMMYFUNCTION("""COMPUTED_VALUE"""),"Fled/Escaped")</f>
        <v>Fled/Escaped</v>
      </c>
      <c r="G29" s="5" t="str">
        <f ca="1">IFERROR(__xludf.DUMMYFUNCTION("""COMPUTED_VALUE"""),"No")</f>
        <v>No</v>
      </c>
      <c r="H29" s="5" t="str">
        <f ca="1">IFERROR(__xludf.DUMMYFUNCTION("""COMPUTED_VALUE"""),"None")</f>
        <v>None</v>
      </c>
    </row>
    <row r="30" spans="1:8">
      <c r="A30" s="5" t="str">
        <f ca="1">IFERROR(__xludf.DUMMYFUNCTION("""COMPUTED_VALUE"""),"20220729INCOS")</f>
        <v>20220729INCOS</v>
      </c>
      <c r="B30" s="5">
        <f ca="1">IFERROR(__xludf.DUMMYFUNCTION("""COMPUTED_VALUE"""),51)</f>
        <v>51</v>
      </c>
      <c r="C30" s="5" t="str">
        <f ca="1">IFERROR(__xludf.DUMMYFUNCTION("""COMPUTED_VALUE"""),"Male")</f>
        <v>Male</v>
      </c>
      <c r="D30" s="5"/>
      <c r="E30" s="5" t="str">
        <f ca="1">IFERROR(__xludf.DUMMYFUNCTION("""COMPUTED_VALUE"""),"No Relation")</f>
        <v>No Relation</v>
      </c>
      <c r="F30" s="5" t="str">
        <f ca="1">IFERROR(__xludf.DUMMYFUNCTION("""COMPUTED_VALUE"""),"Attempted Suicide")</f>
        <v>Attempted Suicide</v>
      </c>
      <c r="G30" s="5" t="str">
        <f ca="1">IFERROR(__xludf.DUMMYFUNCTION("""COMPUTED_VALUE"""),"Yes")</f>
        <v>Yes</v>
      </c>
      <c r="H30" s="5" t="str">
        <f ca="1">IFERROR(__xludf.DUMMYFUNCTION("""COMPUTED_VALUE"""),"Suicide")</f>
        <v>Suicide</v>
      </c>
    </row>
    <row r="31" spans="1:8">
      <c r="A31" s="5" t="str">
        <f ca="1">IFERROR(__xludf.DUMMYFUNCTION("""COMPUTED_VALUE"""),"20220728KSMOG")</f>
        <v>20220728KSMOG</v>
      </c>
      <c r="B31" s="5">
        <f ca="1">IFERROR(__xludf.DUMMYFUNCTION("""COMPUTED_VALUE"""),22)</f>
        <v>22</v>
      </c>
      <c r="C31" s="5" t="str">
        <f ca="1">IFERROR(__xludf.DUMMYFUNCTION("""COMPUTED_VALUE"""),"Male")</f>
        <v>Male</v>
      </c>
      <c r="D31" s="5"/>
      <c r="E31" s="5" t="str">
        <f ca="1">IFERROR(__xludf.DUMMYFUNCTION("""COMPUTED_VALUE"""),"No Relation")</f>
        <v>No Relation</v>
      </c>
      <c r="F31" s="5" t="str">
        <f ca="1">IFERROR(__xludf.DUMMYFUNCTION("""COMPUTED_VALUE"""),"Attempted Suicide")</f>
        <v>Attempted Suicide</v>
      </c>
      <c r="G31" s="5" t="str">
        <f ca="1">IFERROR(__xludf.DUMMYFUNCTION("""COMPUTED_VALUE"""),"No")</f>
        <v>No</v>
      </c>
      <c r="H31" s="5" t="str">
        <f ca="1">IFERROR(__xludf.DUMMYFUNCTION("""COMPUTED_VALUE"""),"Suicide")</f>
        <v>Suicide</v>
      </c>
    </row>
    <row r="32" spans="1:8">
      <c r="A32" s="5" t="str">
        <f ca="1">IFERROR(__xludf.DUMMYFUNCTION("""COMPUTED_VALUE"""),"20220726PALAL")</f>
        <v>20220726PALAL</v>
      </c>
      <c r="B32" s="5">
        <f ca="1">IFERROR(__xludf.DUMMYFUNCTION("""COMPUTED_VALUE"""),20)</f>
        <v>20</v>
      </c>
      <c r="C32" s="5" t="str">
        <f ca="1">IFERROR(__xludf.DUMMYFUNCTION("""COMPUTED_VALUE"""),"Male")</f>
        <v>Male</v>
      </c>
      <c r="D32" s="5" t="str">
        <f ca="1">IFERROR(__xludf.DUMMYFUNCTION("""COMPUTED_VALUE"""),"White")</f>
        <v>White</v>
      </c>
      <c r="E32" s="5" t="str">
        <f ca="1">IFERROR(__xludf.DUMMYFUNCTION("""COMPUTED_VALUE"""),"No Relation")</f>
        <v>No Relation</v>
      </c>
      <c r="F32" s="5" t="str">
        <f ca="1">IFERROR(__xludf.DUMMYFUNCTION("""COMPUTED_VALUE"""),"Fled/Apprehended")</f>
        <v>Fled/Apprehended</v>
      </c>
      <c r="G32" s="5" t="str">
        <f ca="1">IFERROR(__xludf.DUMMYFUNCTION("""COMPUTED_VALUE"""),"No")</f>
        <v>No</v>
      </c>
      <c r="H32" s="5" t="str">
        <f ca="1">IFERROR(__xludf.DUMMYFUNCTION("""COMPUTED_VALUE"""),"None")</f>
        <v>None</v>
      </c>
    </row>
    <row r="33" spans="1:8">
      <c r="A33" s="5" t="str">
        <f ca="1">IFERROR(__xludf.DUMMYFUNCTION("""COMPUTED_VALUE"""),"20220726TXCOC")</f>
        <v>20220726TXCOC</v>
      </c>
      <c r="B33" s="5" t="str">
        <f ca="1">IFERROR(__xludf.DUMMYFUNCTION("""COMPUTED_VALUE"""),"Adult")</f>
        <v>Adult</v>
      </c>
      <c r="C33" s="5" t="str">
        <f ca="1">IFERROR(__xludf.DUMMYFUNCTION("""COMPUTED_VALUE"""),"Male")</f>
        <v>Male</v>
      </c>
      <c r="D33" s="5" t="str">
        <f ca="1">IFERROR(__xludf.DUMMYFUNCTION("""COMPUTED_VALUE"""),"Black")</f>
        <v>Black</v>
      </c>
      <c r="E33" s="5"/>
      <c r="F33" s="5" t="str">
        <f ca="1">IFERROR(__xludf.DUMMYFUNCTION("""COMPUTED_VALUE"""),"Fled/Escaped")</f>
        <v>Fled/Escaped</v>
      </c>
      <c r="G33" s="5" t="str">
        <f ca="1">IFERROR(__xludf.DUMMYFUNCTION("""COMPUTED_VALUE"""),"No")</f>
        <v>No</v>
      </c>
      <c r="H33" s="5" t="str">
        <f ca="1">IFERROR(__xludf.DUMMYFUNCTION("""COMPUTED_VALUE"""),"None")</f>
        <v>None</v>
      </c>
    </row>
    <row r="34" spans="1:8">
      <c r="A34" s="5" t="str">
        <f ca="1">IFERROR(__xludf.DUMMYFUNCTION("""COMPUTED_VALUE"""),"20220725NYBRB")</f>
        <v>20220725NYBRB</v>
      </c>
      <c r="B34" s="5" t="str">
        <f ca="1">IFERROR(__xludf.DUMMYFUNCTION("""COMPUTED_VALUE"""),"Adult")</f>
        <v>Adult</v>
      </c>
      <c r="C34" s="5" t="str">
        <f ca="1">IFERROR(__xludf.DUMMYFUNCTION("""COMPUTED_VALUE"""),"Male")</f>
        <v>Male</v>
      </c>
      <c r="D34" s="5" t="str">
        <f ca="1">IFERROR(__xludf.DUMMYFUNCTION("""COMPUTED_VALUE"""),"Black")</f>
        <v>Black</v>
      </c>
      <c r="E34" s="5" t="str">
        <f ca="1">IFERROR(__xludf.DUMMYFUNCTION("""COMPUTED_VALUE"""),"No Relation")</f>
        <v>No Relation</v>
      </c>
      <c r="F34" s="5" t="str">
        <f ca="1">IFERROR(__xludf.DUMMYFUNCTION("""COMPUTED_VALUE"""),"Fled/Escaped")</f>
        <v>Fled/Escaped</v>
      </c>
      <c r="G34" s="5" t="str">
        <f ca="1">IFERROR(__xludf.DUMMYFUNCTION("""COMPUTED_VALUE"""),"No")</f>
        <v>No</v>
      </c>
      <c r="H34" s="5" t="str">
        <f ca="1">IFERROR(__xludf.DUMMYFUNCTION("""COMPUTED_VALUE"""),"None")</f>
        <v>None</v>
      </c>
    </row>
    <row r="35" spans="1:8">
      <c r="A35" s="5" t="str">
        <f ca="1">IFERROR(__xludf.DUMMYFUNCTION("""COMPUTED_VALUE"""),"20220720CAJOV")</f>
        <v>20220720CAJOV</v>
      </c>
      <c r="B35" s="5" t="str">
        <f ca="1">IFERROR(__xludf.DUMMYFUNCTION("""COMPUTED_VALUE"""),"Adult")</f>
        <v>Adult</v>
      </c>
      <c r="C35" s="5" t="str">
        <f ca="1">IFERROR(__xludf.DUMMYFUNCTION("""COMPUTED_VALUE"""),"Male")</f>
        <v>Male</v>
      </c>
      <c r="D35" s="5" t="str">
        <f ca="1">IFERROR(__xludf.DUMMYFUNCTION("""COMPUTED_VALUE"""),"Hispanic")</f>
        <v>Hispanic</v>
      </c>
      <c r="E35" s="5" t="str">
        <f ca="1">IFERROR(__xludf.DUMMYFUNCTION("""COMPUTED_VALUE"""),"No Relation")</f>
        <v>No Relation</v>
      </c>
      <c r="F35" s="5" t="str">
        <f ca="1">IFERROR(__xludf.DUMMYFUNCTION("""COMPUTED_VALUE"""),"Fled/Escaped")</f>
        <v>Fled/Escaped</v>
      </c>
      <c r="G35" s="5" t="str">
        <f ca="1">IFERROR(__xludf.DUMMYFUNCTION("""COMPUTED_VALUE"""),"No")</f>
        <v>No</v>
      </c>
      <c r="H35" s="5" t="str">
        <f ca="1">IFERROR(__xludf.DUMMYFUNCTION("""COMPUTED_VALUE"""),"None")</f>
        <v>None</v>
      </c>
    </row>
    <row r="36" spans="1:8">
      <c r="A36" s="5" t="str">
        <f ca="1">IFERROR(__xludf.DUMMYFUNCTION("""COMPUTED_VALUE"""),"20220716NYCLS")</f>
        <v>20220716NYCLS</v>
      </c>
      <c r="B36" s="5" t="str">
        <f ca="1">IFERROR(__xludf.DUMMYFUNCTION("""COMPUTED_VALUE"""),"Adult")</f>
        <v>Adult</v>
      </c>
      <c r="C36" s="5" t="str">
        <f ca="1">IFERROR(__xludf.DUMMYFUNCTION("""COMPUTED_VALUE"""),"Male")</f>
        <v>Male</v>
      </c>
      <c r="D36" s="5"/>
      <c r="E36" s="5" t="str">
        <f ca="1">IFERROR(__xludf.DUMMYFUNCTION("""COMPUTED_VALUE"""),"Nonstudent Using Athletic Facilities/Attending Game")</f>
        <v>Nonstudent Using Athletic Facilities/Attending Game</v>
      </c>
      <c r="F36" s="5" t="str">
        <f ca="1">IFERROR(__xludf.DUMMYFUNCTION("""COMPUTED_VALUE"""),"Fled/Escaped")</f>
        <v>Fled/Escaped</v>
      </c>
      <c r="G36" s="5" t="str">
        <f ca="1">IFERROR(__xludf.DUMMYFUNCTION("""COMPUTED_VALUE"""),"No")</f>
        <v>No</v>
      </c>
      <c r="H36" s="5" t="str">
        <f ca="1">IFERROR(__xludf.DUMMYFUNCTION("""COMPUTED_VALUE"""),"None")</f>
        <v>None</v>
      </c>
    </row>
    <row r="37" spans="1:8">
      <c r="A37" s="5" t="str">
        <f ca="1">IFERROR(__xludf.DUMMYFUNCTION("""COMPUTED_VALUE"""),"20220716GAAPF")</f>
        <v>20220716GAAPF</v>
      </c>
      <c r="B37" s="5" t="str">
        <f ca="1">IFERROR(__xludf.DUMMYFUNCTION("""COMPUTED_VALUE"""),"Adult")</f>
        <v>Adult</v>
      </c>
      <c r="C37" s="5"/>
      <c r="D37" s="5"/>
      <c r="E37" s="5" t="str">
        <f ca="1">IFERROR(__xludf.DUMMYFUNCTION("""COMPUTED_VALUE"""),"No Relation")</f>
        <v>No Relation</v>
      </c>
      <c r="F37" s="5" t="str">
        <f ca="1">IFERROR(__xludf.DUMMYFUNCTION("""COMPUTED_VALUE"""),"Fled/Escaped")</f>
        <v>Fled/Escaped</v>
      </c>
      <c r="G37" s="5" t="str">
        <f ca="1">IFERROR(__xludf.DUMMYFUNCTION("""COMPUTED_VALUE"""),"No")</f>
        <v>No</v>
      </c>
      <c r="H37" s="5" t="str">
        <f ca="1">IFERROR(__xludf.DUMMYFUNCTION("""COMPUTED_VALUE"""),"None")</f>
        <v>None</v>
      </c>
    </row>
    <row r="38" spans="1:8">
      <c r="A38" s="5" t="str">
        <f ca="1">IFERROR(__xludf.DUMMYFUNCTION("""COMPUTED_VALUE"""),"20220629CABUA")</f>
        <v>20220629CABUA</v>
      </c>
      <c r="B38" s="5"/>
      <c r="C38" s="5"/>
      <c r="D38" s="5"/>
      <c r="E38" s="5" t="str">
        <f ca="1">IFERROR(__xludf.DUMMYFUNCTION("""COMPUTED_VALUE"""),"No Relation")</f>
        <v>No Relation</v>
      </c>
      <c r="F38" s="5" t="str">
        <f ca="1">IFERROR(__xludf.DUMMYFUNCTION("""COMPUTED_VALUE"""),"Fled/Escaped")</f>
        <v>Fled/Escaped</v>
      </c>
      <c r="G38" s="5" t="str">
        <f ca="1">IFERROR(__xludf.DUMMYFUNCTION("""COMPUTED_VALUE"""),"No")</f>
        <v>No</v>
      </c>
      <c r="H38" s="5" t="str">
        <f ca="1">IFERROR(__xludf.DUMMYFUNCTION("""COMPUTED_VALUE"""),"None")</f>
        <v>None</v>
      </c>
    </row>
    <row r="39" spans="1:8">
      <c r="A39" s="5" t="str">
        <f ca="1">IFERROR(__xludf.DUMMYFUNCTION("""COMPUTED_VALUE"""),"20220620ILGRC")</f>
        <v>20220620ILGRC</v>
      </c>
      <c r="B39" s="5"/>
      <c r="C39" s="5"/>
      <c r="D39" s="5"/>
      <c r="E39" s="5" t="str">
        <f ca="1">IFERROR(__xludf.DUMMYFUNCTION("""COMPUTED_VALUE"""),"No Relation")</f>
        <v>No Relation</v>
      </c>
      <c r="F39" s="5" t="str">
        <f ca="1">IFERROR(__xludf.DUMMYFUNCTION("""COMPUTED_VALUE"""),"Fled/Escaped")</f>
        <v>Fled/Escaped</v>
      </c>
      <c r="G39" s="5" t="str">
        <f ca="1">IFERROR(__xludf.DUMMYFUNCTION("""COMPUTED_VALUE"""),"No")</f>
        <v>No</v>
      </c>
      <c r="H39" s="5" t="str">
        <f ca="1">IFERROR(__xludf.DUMMYFUNCTION("""COMPUTED_VALUE"""),"None")</f>
        <v>None</v>
      </c>
    </row>
    <row r="40" spans="1:8">
      <c r="A40" s="5" t="str">
        <f ca="1">IFERROR(__xludf.DUMMYFUNCTION("""COMPUTED_VALUE"""),"20220613WAMAE")</f>
        <v>20220613WAMAE</v>
      </c>
      <c r="B40" s="5">
        <f ca="1">IFERROR(__xludf.DUMMYFUNCTION("""COMPUTED_VALUE"""),15)</f>
        <v>15</v>
      </c>
      <c r="C40" s="5" t="str">
        <f ca="1">IFERROR(__xludf.DUMMYFUNCTION("""COMPUTED_VALUE"""),"Male")</f>
        <v>Male</v>
      </c>
      <c r="D40" s="5"/>
      <c r="E40" s="5" t="str">
        <f ca="1">IFERROR(__xludf.DUMMYFUNCTION("""COMPUTED_VALUE"""),"Student")</f>
        <v>Student</v>
      </c>
      <c r="F40" s="5" t="str">
        <f ca="1">IFERROR(__xludf.DUMMYFUNCTION("""COMPUTED_VALUE"""),"Fled/Apprehended")</f>
        <v>Fled/Apprehended</v>
      </c>
      <c r="G40" s="5" t="str">
        <f ca="1">IFERROR(__xludf.DUMMYFUNCTION("""COMPUTED_VALUE"""),"No")</f>
        <v>No</v>
      </c>
      <c r="H40" s="5" t="str">
        <f ca="1">IFERROR(__xludf.DUMMYFUNCTION("""COMPUTED_VALUE"""),"None")</f>
        <v>None</v>
      </c>
    </row>
    <row r="41" spans="1:8">
      <c r="A41" s="5" t="str">
        <f ca="1">IFERROR(__xludf.DUMMYFUNCTION("""COMPUTED_VALUE"""),"20220610ALBYB")</f>
        <v>20220610ALBYB</v>
      </c>
      <c r="B41" s="5" t="str">
        <f ca="1">IFERROR(__xludf.DUMMYFUNCTION("""COMPUTED_VALUE"""),"Teen")</f>
        <v>Teen</v>
      </c>
      <c r="C41" s="5" t="str">
        <f ca="1">IFERROR(__xludf.DUMMYFUNCTION("""COMPUTED_VALUE"""),"Male")</f>
        <v>Male</v>
      </c>
      <c r="D41" s="5"/>
      <c r="E41" s="5" t="str">
        <f ca="1">IFERROR(__xludf.DUMMYFUNCTION("""COMPUTED_VALUE"""),"Student")</f>
        <v>Student</v>
      </c>
      <c r="F41" s="5" t="str">
        <f ca="1">IFERROR(__xludf.DUMMYFUNCTION("""COMPUTED_VALUE"""),"Fled/Apprehended")</f>
        <v>Fled/Apprehended</v>
      </c>
      <c r="G41" s="5" t="str">
        <f ca="1">IFERROR(__xludf.DUMMYFUNCTION("""COMPUTED_VALUE"""),"No")</f>
        <v>No</v>
      </c>
      <c r="H41" s="5" t="str">
        <f ca="1">IFERROR(__xludf.DUMMYFUNCTION("""COMPUTED_VALUE"""),"None")</f>
        <v>None</v>
      </c>
    </row>
    <row r="42" spans="1:8">
      <c r="A42" s="5" t="str">
        <f ca="1">IFERROR(__xludf.DUMMYFUNCTION("""COMPUTED_VALUE"""),"20220609ALWAG")</f>
        <v>20220609ALWAG</v>
      </c>
      <c r="B42" s="5"/>
      <c r="C42" s="5"/>
      <c r="D42" s="5"/>
      <c r="E42" s="5" t="str">
        <f ca="1">IFERROR(__xludf.DUMMYFUNCTION("""COMPUTED_VALUE"""),"Police Officer/SRO")</f>
        <v>Police Officer/SRO</v>
      </c>
      <c r="F42" s="5" t="str">
        <f ca="1">IFERROR(__xludf.DUMMYFUNCTION("""COMPUTED_VALUE"""),"Law Enforcement")</f>
        <v>Law Enforcement</v>
      </c>
      <c r="G42" s="5" t="str">
        <f ca="1">IFERROR(__xludf.DUMMYFUNCTION("""COMPUTED_VALUE"""),"No")</f>
        <v>No</v>
      </c>
      <c r="H42" s="5" t="str">
        <f ca="1">IFERROR(__xludf.DUMMYFUNCTION("""COMPUTED_VALUE"""),"None")</f>
        <v>None</v>
      </c>
    </row>
    <row r="43" spans="1:8">
      <c r="A43" s="5" t="str">
        <f ca="1">IFERROR(__xludf.DUMMYFUNCTION("""COMPUTED_VALUE"""),"20220608ARLIL")</f>
        <v>20220608ARLIL</v>
      </c>
      <c r="B43" s="5"/>
      <c r="C43" s="5"/>
      <c r="D43" s="5"/>
      <c r="E43" s="5" t="str">
        <f ca="1">IFERROR(__xludf.DUMMYFUNCTION("""COMPUTED_VALUE"""),"No Relation")</f>
        <v>No Relation</v>
      </c>
      <c r="F43" s="5" t="str">
        <f ca="1">IFERROR(__xludf.DUMMYFUNCTION("""COMPUTED_VALUE"""),"Fled/Escaped")</f>
        <v>Fled/Escaped</v>
      </c>
      <c r="G43" s="5" t="str">
        <f ca="1">IFERROR(__xludf.DUMMYFUNCTION("""COMPUTED_VALUE"""),"No")</f>
        <v>No</v>
      </c>
      <c r="H43" s="5" t="str">
        <f ca="1">IFERROR(__xludf.DUMMYFUNCTION("""COMPUTED_VALUE"""),"None")</f>
        <v>None</v>
      </c>
    </row>
    <row r="44" spans="1:8">
      <c r="A44" s="5" t="str">
        <f ca="1">IFERROR(__xludf.DUMMYFUNCTION("""COMPUTED_VALUE"""),"20220607MIPED")</f>
        <v>20220607MIPED</v>
      </c>
      <c r="B44" s="5"/>
      <c r="C44" s="5"/>
      <c r="D44" s="5"/>
      <c r="E44" s="5"/>
      <c r="F44" s="5" t="str">
        <f ca="1">IFERROR(__xludf.DUMMYFUNCTION("""COMPUTED_VALUE"""),"Apprehended/Killed by SRO")</f>
        <v>Apprehended/Killed by SRO</v>
      </c>
      <c r="G44" s="5" t="str">
        <f ca="1">IFERROR(__xludf.DUMMYFUNCTION("""COMPUTED_VALUE"""),"No")</f>
        <v>No</v>
      </c>
      <c r="H44" s="5" t="str">
        <f ca="1">IFERROR(__xludf.DUMMYFUNCTION("""COMPUTED_VALUE"""),"None")</f>
        <v>None</v>
      </c>
    </row>
    <row r="45" spans="1:8">
      <c r="A45" s="5" t="str">
        <f ca="1">IFERROR(__xludf.DUMMYFUNCTION("""COMPUTED_VALUE"""),"20220605INWEG")</f>
        <v>20220605INWEG</v>
      </c>
      <c r="B45" s="5" t="str">
        <f ca="1">IFERROR(__xludf.DUMMYFUNCTION("""COMPUTED_VALUE"""),"Teen")</f>
        <v>Teen</v>
      </c>
      <c r="C45" s="5"/>
      <c r="D45" s="5"/>
      <c r="E45" s="5"/>
      <c r="F45" s="5" t="str">
        <f ca="1">IFERROR(__xludf.DUMMYFUNCTION("""COMPUTED_VALUE"""),"Apprehended/Killed by LE")</f>
        <v>Apprehended/Killed by LE</v>
      </c>
      <c r="G45" s="5" t="str">
        <f ca="1">IFERROR(__xludf.DUMMYFUNCTION("""COMPUTED_VALUE"""),"No")</f>
        <v>No</v>
      </c>
      <c r="H45" s="5" t="str">
        <f ca="1">IFERROR(__xludf.DUMMYFUNCTION("""COMPUTED_VALUE"""),"None")</f>
        <v>None</v>
      </c>
    </row>
    <row r="46" spans="1:8">
      <c r="A46" s="5" t="str">
        <f ca="1">IFERROR(__xludf.DUMMYFUNCTION("""COMPUTED_VALUE"""),"20220601CAULL")</f>
        <v>20220601CAULL</v>
      </c>
      <c r="B46" s="5"/>
      <c r="C46" s="5" t="str">
        <f ca="1">IFERROR(__xludf.DUMMYFUNCTION("""COMPUTED_VALUE"""),"Male")</f>
        <v>Male</v>
      </c>
      <c r="D46" s="5"/>
      <c r="E46" s="5"/>
      <c r="F46" s="5" t="str">
        <f ca="1">IFERROR(__xludf.DUMMYFUNCTION("""COMPUTED_VALUE"""),"Fled/Escaped")</f>
        <v>Fled/Escaped</v>
      </c>
      <c r="G46" s="5" t="str">
        <f ca="1">IFERROR(__xludf.DUMMYFUNCTION("""COMPUTED_VALUE"""),"No")</f>
        <v>No</v>
      </c>
      <c r="H46" s="5" t="str">
        <f ca="1">IFERROR(__xludf.DUMMYFUNCTION("""COMPUTED_VALUE"""),"None")</f>
        <v>None</v>
      </c>
    </row>
    <row r="47" spans="1:8">
      <c r="A47" s="5" t="str">
        <f ca="1">IFERROR(__xludf.DUMMYFUNCTION("""COMPUTED_VALUE"""),"20220531LAMON")</f>
        <v>20220531LAMON</v>
      </c>
      <c r="B47" s="5">
        <f ca="1">IFERROR(__xludf.DUMMYFUNCTION("""COMPUTED_VALUE"""),18)</f>
        <v>18</v>
      </c>
      <c r="C47" s="5" t="str">
        <f ca="1">IFERROR(__xludf.DUMMYFUNCTION("""COMPUTED_VALUE"""),"Male")</f>
        <v>Male</v>
      </c>
      <c r="D47" s="5" t="str">
        <f ca="1">IFERROR(__xludf.DUMMYFUNCTION("""COMPUTED_VALUE"""),"Black")</f>
        <v>Black</v>
      </c>
      <c r="E47" s="5"/>
      <c r="F47" s="5" t="str">
        <f ca="1">IFERROR(__xludf.DUMMYFUNCTION("""COMPUTED_VALUE"""),"Fled/Apprehended")</f>
        <v>Fled/Apprehended</v>
      </c>
      <c r="G47" s="5" t="str">
        <f ca="1">IFERROR(__xludf.DUMMYFUNCTION("""COMPUTED_VALUE"""),"No")</f>
        <v>No</v>
      </c>
      <c r="H47" s="5" t="str">
        <f ca="1">IFERROR(__xludf.DUMMYFUNCTION("""COMPUTED_VALUE"""),"None")</f>
        <v>None</v>
      </c>
    </row>
    <row r="48" spans="1:8">
      <c r="A48" s="5" t="str">
        <f ca="1">IFERROR(__xludf.DUMMYFUNCTION("""COMPUTED_VALUE"""),"20220531LAMON")</f>
        <v>20220531LAMON</v>
      </c>
      <c r="B48" s="5">
        <f ca="1">IFERROR(__xludf.DUMMYFUNCTION("""COMPUTED_VALUE"""),40)</f>
        <v>40</v>
      </c>
      <c r="C48" s="5" t="str">
        <f ca="1">IFERROR(__xludf.DUMMYFUNCTION("""COMPUTED_VALUE"""),"Male")</f>
        <v>Male</v>
      </c>
      <c r="D48" s="5"/>
      <c r="E48" s="5" t="str">
        <f ca="1">IFERROR(__xludf.DUMMYFUNCTION("""COMPUTED_VALUE"""),"Relative")</f>
        <v>Relative</v>
      </c>
      <c r="F48" s="5" t="str">
        <f ca="1">IFERROR(__xludf.DUMMYFUNCTION("""COMPUTED_VALUE"""),"Fled/Apprehended")</f>
        <v>Fled/Apprehended</v>
      </c>
      <c r="G48" s="5" t="str">
        <f ca="1">IFERROR(__xludf.DUMMYFUNCTION("""COMPUTED_VALUE"""),"No")</f>
        <v>No</v>
      </c>
      <c r="H48" s="5" t="str">
        <f ca="1">IFERROR(__xludf.DUMMYFUNCTION("""COMPUTED_VALUE"""),"None")</f>
        <v>None</v>
      </c>
    </row>
    <row r="49" spans="1:8">
      <c r="A49" s="5" t="str">
        <f ca="1">IFERROR(__xludf.DUMMYFUNCTION("""COMPUTED_VALUE"""),"20220530CAHEL")</f>
        <v>20220530CAHEL</v>
      </c>
      <c r="B49" s="5" t="str">
        <f ca="1">IFERROR(__xludf.DUMMYFUNCTION("""COMPUTED_VALUE"""),"Adult")</f>
        <v>Adult</v>
      </c>
      <c r="C49" s="5" t="str">
        <f ca="1">IFERROR(__xludf.DUMMYFUNCTION("""COMPUTED_VALUE"""),"Male")</f>
        <v>Male</v>
      </c>
      <c r="D49" s="5"/>
      <c r="E49" s="5" t="str">
        <f ca="1">IFERROR(__xludf.DUMMYFUNCTION("""COMPUTED_VALUE"""),"No Relation")</f>
        <v>No Relation</v>
      </c>
      <c r="F49" s="5" t="str">
        <f ca="1">IFERROR(__xludf.DUMMYFUNCTION("""COMPUTED_VALUE"""),"Fled/Escaped")</f>
        <v>Fled/Escaped</v>
      </c>
      <c r="G49" s="5" t="str">
        <f ca="1">IFERROR(__xludf.DUMMYFUNCTION("""COMPUTED_VALUE"""),"No")</f>
        <v>No</v>
      </c>
      <c r="H49" s="5" t="str">
        <f ca="1">IFERROR(__xludf.DUMMYFUNCTION("""COMPUTED_VALUE"""),"None")</f>
        <v>None</v>
      </c>
    </row>
    <row r="50" spans="1:8">
      <c r="A50" s="5" t="str">
        <f ca="1">IFERROR(__xludf.DUMMYFUNCTION("""COMPUTED_VALUE"""),"20220529ILDAC")</f>
        <v>20220529ILDAC</v>
      </c>
      <c r="B50" s="5"/>
      <c r="C50" s="5"/>
      <c r="D50" s="5"/>
      <c r="E50" s="5"/>
      <c r="F50" s="5" t="str">
        <f ca="1">IFERROR(__xludf.DUMMYFUNCTION("""COMPUTED_VALUE"""),"Fled/Escaped")</f>
        <v>Fled/Escaped</v>
      </c>
      <c r="G50" s="5" t="str">
        <f ca="1">IFERROR(__xludf.DUMMYFUNCTION("""COMPUTED_VALUE"""),"No")</f>
        <v>No</v>
      </c>
      <c r="H50" s="5" t="str">
        <f ca="1">IFERROR(__xludf.DUMMYFUNCTION("""COMPUTED_VALUE"""),"None")</f>
        <v>None</v>
      </c>
    </row>
    <row r="51" spans="1:8">
      <c r="A51" s="5" t="str">
        <f ca="1">IFERROR(__xludf.DUMMYFUNCTION("""COMPUTED_VALUE"""),"20220529ILDAC")</f>
        <v>20220529ILDAC</v>
      </c>
      <c r="B51" s="5"/>
      <c r="C51" s="5"/>
      <c r="D51" s="5"/>
      <c r="E51" s="5"/>
      <c r="F51" s="5" t="str">
        <f ca="1">IFERROR(__xludf.DUMMYFUNCTION("""COMPUTED_VALUE"""),"Fled/Escaped")</f>
        <v>Fled/Escaped</v>
      </c>
      <c r="G51" s="5" t="str">
        <f ca="1">IFERROR(__xludf.DUMMYFUNCTION("""COMPUTED_VALUE"""),"No")</f>
        <v>No</v>
      </c>
      <c r="H51" s="5" t="str">
        <f ca="1">IFERROR(__xludf.DUMMYFUNCTION("""COMPUTED_VALUE"""),"None")</f>
        <v>None</v>
      </c>
    </row>
    <row r="52" spans="1:8">
      <c r="A52" s="5" t="str">
        <f ca="1">IFERROR(__xludf.DUMMYFUNCTION("""COMPUTED_VALUE"""),"20220529ILDAC")</f>
        <v>20220529ILDAC</v>
      </c>
      <c r="B52" s="5"/>
      <c r="C52" s="5"/>
      <c r="D52" s="5"/>
      <c r="E52" s="5"/>
      <c r="F52" s="5" t="str">
        <f ca="1">IFERROR(__xludf.DUMMYFUNCTION("""COMPUTED_VALUE"""),"Fled/Escaped")</f>
        <v>Fled/Escaped</v>
      </c>
      <c r="G52" s="5" t="str">
        <f ca="1">IFERROR(__xludf.DUMMYFUNCTION("""COMPUTED_VALUE"""),"No")</f>
        <v>No</v>
      </c>
      <c r="H52" s="5" t="str">
        <f ca="1">IFERROR(__xludf.DUMMYFUNCTION("""COMPUTED_VALUE"""),"None")</f>
        <v>None</v>
      </c>
    </row>
    <row r="53" spans="1:8">
      <c r="A53" s="5" t="str">
        <f ca="1">IFERROR(__xludf.DUMMYFUNCTION("""COMPUTED_VALUE"""),"20220526TXDUA")</f>
        <v>20220526TXDUA</v>
      </c>
      <c r="B53" s="5">
        <f ca="1">IFERROR(__xludf.DUMMYFUNCTION("""COMPUTED_VALUE"""),55)</f>
        <v>55</v>
      </c>
      <c r="C53" s="5" t="str">
        <f ca="1">IFERROR(__xludf.DUMMYFUNCTION("""COMPUTED_VALUE"""),"Male")</f>
        <v>Male</v>
      </c>
      <c r="D53" s="5" t="str">
        <f ca="1">IFERROR(__xludf.DUMMYFUNCTION("""COMPUTED_VALUE"""),"White")</f>
        <v>White</v>
      </c>
      <c r="E53" s="5" t="str">
        <f ca="1">IFERROR(__xludf.DUMMYFUNCTION("""COMPUTED_VALUE"""),"Relative")</f>
        <v>Relative</v>
      </c>
      <c r="F53" s="5" t="str">
        <f ca="1">IFERROR(__xludf.DUMMYFUNCTION("""COMPUTED_VALUE"""),"Surrendered")</f>
        <v>Surrendered</v>
      </c>
      <c r="G53" s="5" t="str">
        <f ca="1">IFERROR(__xludf.DUMMYFUNCTION("""COMPUTED_VALUE"""),"No")</f>
        <v>No</v>
      </c>
      <c r="H53" s="5" t="str">
        <f ca="1">IFERROR(__xludf.DUMMYFUNCTION("""COMPUTED_VALUE"""),"Wounded")</f>
        <v>Wounded</v>
      </c>
    </row>
    <row r="54" spans="1:8">
      <c r="A54" s="5" t="str">
        <f ca="1">IFERROR(__xludf.DUMMYFUNCTION("""COMPUTED_VALUE"""),"20220526SCMEG")</f>
        <v>20220526SCMEG</v>
      </c>
      <c r="B54" s="5"/>
      <c r="C54" s="5"/>
      <c r="D54" s="5"/>
      <c r="E54" s="5"/>
      <c r="F54" s="5" t="str">
        <f ca="1">IFERROR(__xludf.DUMMYFUNCTION("""COMPUTED_VALUE"""),"Fled/Escaped")</f>
        <v>Fled/Escaped</v>
      </c>
      <c r="G54" s="5" t="str">
        <f ca="1">IFERROR(__xludf.DUMMYFUNCTION("""COMPUTED_VALUE"""),"No")</f>
        <v>No</v>
      </c>
      <c r="H54" s="5" t="str">
        <f ca="1">IFERROR(__xludf.DUMMYFUNCTION("""COMPUTED_VALUE"""),"None")</f>
        <v>None</v>
      </c>
    </row>
    <row r="55" spans="1:8">
      <c r="A55" s="5" t="str">
        <f ca="1">IFERROR(__xludf.DUMMYFUNCTION("""COMPUTED_VALUE"""),"20220525ILSTC")</f>
        <v>20220525ILSTC</v>
      </c>
      <c r="B55" s="5"/>
      <c r="C55" s="5"/>
      <c r="D55" s="5"/>
      <c r="E55" s="5"/>
      <c r="F55" s="5" t="str">
        <f ca="1">IFERROR(__xludf.DUMMYFUNCTION("""COMPUTED_VALUE"""),"Fled/Escaped")</f>
        <v>Fled/Escaped</v>
      </c>
      <c r="G55" s="5" t="str">
        <f ca="1">IFERROR(__xludf.DUMMYFUNCTION("""COMPUTED_VALUE"""),"No")</f>
        <v>No</v>
      </c>
      <c r="H55" s="5" t="str">
        <f ca="1">IFERROR(__xludf.DUMMYFUNCTION("""COMPUTED_VALUE"""),"None")</f>
        <v>None</v>
      </c>
    </row>
    <row r="56" spans="1:8">
      <c r="A56" s="5" t="str">
        <f ca="1">IFERROR(__xludf.DUMMYFUNCTION("""COMPUTED_VALUE"""),"20220524WIRIM")</f>
        <v>20220524WIRIM</v>
      </c>
      <c r="B56" s="5" t="str">
        <f ca="1">IFERROR(__xludf.DUMMYFUNCTION("""COMPUTED_VALUE"""),"Teen")</f>
        <v>Teen</v>
      </c>
      <c r="C56" s="5" t="str">
        <f ca="1">IFERROR(__xludf.DUMMYFUNCTION("""COMPUTED_VALUE"""),"Male")</f>
        <v>Male</v>
      </c>
      <c r="D56" s="5"/>
      <c r="E56" s="5" t="str">
        <f ca="1">IFERROR(__xludf.DUMMYFUNCTION("""COMPUTED_VALUE"""),"Student")</f>
        <v>Student</v>
      </c>
      <c r="F56" s="5" t="str">
        <f ca="1">IFERROR(__xludf.DUMMYFUNCTION("""COMPUTED_VALUE"""),"Fled/Escaped")</f>
        <v>Fled/Escaped</v>
      </c>
      <c r="G56" s="5" t="str">
        <f ca="1">IFERROR(__xludf.DUMMYFUNCTION("""COMPUTED_VALUE"""),"No")</f>
        <v>No</v>
      </c>
      <c r="H56" s="5" t="str">
        <f ca="1">IFERROR(__xludf.DUMMYFUNCTION("""COMPUTED_VALUE"""),"None")</f>
        <v>None</v>
      </c>
    </row>
    <row r="57" spans="1:8">
      <c r="A57" s="5" t="str">
        <f ca="1">IFERROR(__xludf.DUMMYFUNCTION("""COMPUTED_VALUE"""),"20220524TXROU")</f>
        <v>20220524TXROU</v>
      </c>
      <c r="B57" s="5">
        <f ca="1">IFERROR(__xludf.DUMMYFUNCTION("""COMPUTED_VALUE"""),18)</f>
        <v>18</v>
      </c>
      <c r="C57" s="5" t="str">
        <f ca="1">IFERROR(__xludf.DUMMYFUNCTION("""COMPUTED_VALUE"""),"Male")</f>
        <v>Male</v>
      </c>
      <c r="D57" s="5"/>
      <c r="E57" s="5"/>
      <c r="F57" s="5" t="str">
        <f ca="1">IFERROR(__xludf.DUMMYFUNCTION("""COMPUTED_VALUE"""),"Apprehended/Killed by LE")</f>
        <v>Apprehended/Killed by LE</v>
      </c>
      <c r="G57" s="5" t="str">
        <f ca="1">IFERROR(__xludf.DUMMYFUNCTION("""COMPUTED_VALUE"""),"Yes")</f>
        <v>Yes</v>
      </c>
      <c r="H57" s="5" t="str">
        <f ca="1">IFERROR(__xludf.DUMMYFUNCTION("""COMPUTED_VALUE"""),"Fatal")</f>
        <v>Fatal</v>
      </c>
    </row>
    <row r="58" spans="1:8">
      <c r="A58" s="5" t="str">
        <f ca="1">IFERROR(__xludf.DUMMYFUNCTION("""COMPUTED_VALUE"""),"20220524DCPOW")</f>
        <v>20220524DCPOW</v>
      </c>
      <c r="B58" s="5"/>
      <c r="C58" s="5"/>
      <c r="D58" s="5"/>
      <c r="E58" s="5"/>
      <c r="F58" s="5" t="str">
        <f ca="1">IFERROR(__xludf.DUMMYFUNCTION("""COMPUTED_VALUE"""),"Fled/Escaped")</f>
        <v>Fled/Escaped</v>
      </c>
      <c r="G58" s="5" t="str">
        <f ca="1">IFERROR(__xludf.DUMMYFUNCTION("""COMPUTED_VALUE"""),"No")</f>
        <v>No</v>
      </c>
      <c r="H58" s="5" t="str">
        <f ca="1">IFERROR(__xludf.DUMMYFUNCTION("""COMPUTED_VALUE"""),"None")</f>
        <v>None</v>
      </c>
    </row>
    <row r="59" spans="1:8">
      <c r="A59" s="5" t="str">
        <f ca="1">IFERROR(__xludf.DUMMYFUNCTION("""COMPUTED_VALUE"""),"20220523PASIP")</f>
        <v>20220523PASIP</v>
      </c>
      <c r="B59" s="5"/>
      <c r="C59" s="5"/>
      <c r="D59" s="5"/>
      <c r="E59" s="5"/>
      <c r="F59" s="5" t="str">
        <f ca="1">IFERROR(__xludf.DUMMYFUNCTION("""COMPUTED_VALUE"""),"Fled/Escaped")</f>
        <v>Fled/Escaped</v>
      </c>
      <c r="G59" s="5" t="str">
        <f ca="1">IFERROR(__xludf.DUMMYFUNCTION("""COMPUTED_VALUE"""),"No")</f>
        <v>No</v>
      </c>
      <c r="H59" s="5" t="str">
        <f ca="1">IFERROR(__xludf.DUMMYFUNCTION("""COMPUTED_VALUE"""),"None")</f>
        <v>None</v>
      </c>
    </row>
    <row r="60" spans="1:8">
      <c r="A60" s="5" t="str">
        <f ca="1">IFERROR(__xludf.DUMMYFUNCTION("""COMPUTED_VALUE"""),"20220520VAPOD")</f>
        <v>20220520VAPOD</v>
      </c>
      <c r="B60" s="5" t="str">
        <f ca="1">IFERROR(__xludf.DUMMYFUNCTION("""COMPUTED_VALUE"""),"Teen")</f>
        <v>Teen</v>
      </c>
      <c r="C60" s="5" t="str">
        <f ca="1">IFERROR(__xludf.DUMMYFUNCTION("""COMPUTED_VALUE"""),"Male")</f>
        <v>Male</v>
      </c>
      <c r="D60" s="5"/>
      <c r="E60" s="5" t="str">
        <f ca="1">IFERROR(__xludf.DUMMYFUNCTION("""COMPUTED_VALUE"""),"Student")</f>
        <v>Student</v>
      </c>
      <c r="F60" s="5" t="str">
        <f ca="1">IFERROR(__xludf.DUMMYFUNCTION("""COMPUTED_VALUE"""),"Apprehended/Killed by SRO")</f>
        <v>Apprehended/Killed by SRO</v>
      </c>
      <c r="G60" s="5" t="str">
        <f ca="1">IFERROR(__xludf.DUMMYFUNCTION("""COMPUTED_VALUE"""),"No")</f>
        <v>No</v>
      </c>
      <c r="H60" s="5" t="str">
        <f ca="1">IFERROR(__xludf.DUMMYFUNCTION("""COMPUTED_VALUE"""),"None")</f>
        <v>None</v>
      </c>
    </row>
    <row r="61" spans="1:8">
      <c r="A61" s="5" t="str">
        <f ca="1">IFERROR(__xludf.DUMMYFUNCTION("""COMPUTED_VALUE"""),"20220520TNEAC")</f>
        <v>20220520TNEAC</v>
      </c>
      <c r="B61" s="5"/>
      <c r="C61" s="5"/>
      <c r="D61" s="5"/>
      <c r="E61" s="5" t="str">
        <f ca="1">IFERROR(__xludf.DUMMYFUNCTION("""COMPUTED_VALUE"""),"No Relation")</f>
        <v>No Relation</v>
      </c>
      <c r="F61" s="5" t="str">
        <f ca="1">IFERROR(__xludf.DUMMYFUNCTION("""COMPUTED_VALUE"""),"Fled/Escaped")</f>
        <v>Fled/Escaped</v>
      </c>
      <c r="G61" s="5" t="str">
        <f ca="1">IFERROR(__xludf.DUMMYFUNCTION("""COMPUTED_VALUE"""),"No")</f>
        <v>No</v>
      </c>
      <c r="H61" s="5" t="str">
        <f ca="1">IFERROR(__xludf.DUMMYFUNCTION("""COMPUTED_VALUE"""),"None")</f>
        <v>None</v>
      </c>
    </row>
    <row r="62" spans="1:8">
      <c r="A62" s="5" t="str">
        <f ca="1">IFERROR(__xludf.DUMMYFUNCTION("""COMPUTED_VALUE"""),"20220520OHCAC")</f>
        <v>20220520OHCAC</v>
      </c>
      <c r="B62" s="5" t="str">
        <f ca="1">IFERROR(__xludf.DUMMYFUNCTION("""COMPUTED_VALUE"""),"Teen")</f>
        <v>Teen</v>
      </c>
      <c r="C62" s="5" t="str">
        <f ca="1">IFERROR(__xludf.DUMMYFUNCTION("""COMPUTED_VALUE"""),"Male")</f>
        <v>Male</v>
      </c>
      <c r="D62" s="5"/>
      <c r="E62" s="5" t="str">
        <f ca="1">IFERROR(__xludf.DUMMYFUNCTION("""COMPUTED_VALUE"""),"Student")</f>
        <v>Student</v>
      </c>
      <c r="F62" s="5" t="str">
        <f ca="1">IFERROR(__xludf.DUMMYFUNCTION("""COMPUTED_VALUE"""),"Fled/Apprehended")</f>
        <v>Fled/Apprehended</v>
      </c>
      <c r="G62" s="5" t="str">
        <f ca="1">IFERROR(__xludf.DUMMYFUNCTION("""COMPUTED_VALUE"""),"No")</f>
        <v>No</v>
      </c>
      <c r="H62" s="5" t="str">
        <f ca="1">IFERROR(__xludf.DUMMYFUNCTION("""COMPUTED_VALUE"""),"None")</f>
        <v>None</v>
      </c>
    </row>
    <row r="63" spans="1:8">
      <c r="A63" s="5" t="str">
        <f ca="1">IFERROR(__xludf.DUMMYFUNCTION("""COMPUTED_VALUE"""),"20220520ILSOP")</f>
        <v>20220520ILSOP</v>
      </c>
      <c r="B63" s="5" t="str">
        <f ca="1">IFERROR(__xludf.DUMMYFUNCTION("""COMPUTED_VALUE"""),"Adult")</f>
        <v>Adult</v>
      </c>
      <c r="C63" s="5" t="str">
        <f ca="1">IFERROR(__xludf.DUMMYFUNCTION("""COMPUTED_VALUE"""),"Female")</f>
        <v>Female</v>
      </c>
      <c r="D63" s="5"/>
      <c r="E63" s="5" t="str">
        <f ca="1">IFERROR(__xludf.DUMMYFUNCTION("""COMPUTED_VALUE"""),"No Relation")</f>
        <v>No Relation</v>
      </c>
      <c r="F63" s="5" t="str">
        <f ca="1">IFERROR(__xludf.DUMMYFUNCTION("""COMPUTED_VALUE"""),"Apprehended/Killed by LE")</f>
        <v>Apprehended/Killed by LE</v>
      </c>
      <c r="G63" s="5" t="str">
        <f ca="1">IFERROR(__xludf.DUMMYFUNCTION("""COMPUTED_VALUE"""),"No")</f>
        <v>No</v>
      </c>
      <c r="H63" s="5" t="str">
        <f ca="1">IFERROR(__xludf.DUMMYFUNCTION("""COMPUTED_VALUE"""),"None")</f>
        <v>None</v>
      </c>
    </row>
    <row r="64" spans="1:8">
      <c r="A64" s="5" t="str">
        <f ca="1">IFERROR(__xludf.DUMMYFUNCTION("""COMPUTED_VALUE"""),"20220520ALMAT")</f>
        <v>20220520ALMAT</v>
      </c>
      <c r="B64" s="5"/>
      <c r="C64" s="5"/>
      <c r="D64" s="5"/>
      <c r="E64" s="5" t="str">
        <f ca="1">IFERROR(__xludf.DUMMYFUNCTION("""COMPUTED_VALUE"""),"No Relation")</f>
        <v>No Relation</v>
      </c>
      <c r="F64" s="5" t="str">
        <f ca="1">IFERROR(__xludf.DUMMYFUNCTION("""COMPUTED_VALUE"""),"Fled/Escaped")</f>
        <v>Fled/Escaped</v>
      </c>
      <c r="G64" s="5" t="str">
        <f ca="1">IFERROR(__xludf.DUMMYFUNCTION("""COMPUTED_VALUE"""),"No")</f>
        <v>No</v>
      </c>
      <c r="H64" s="5" t="str">
        <f ca="1">IFERROR(__xludf.DUMMYFUNCTION("""COMPUTED_VALUE"""),"None")</f>
        <v>None</v>
      </c>
    </row>
    <row r="65" spans="1:8">
      <c r="A65" s="5" t="str">
        <f ca="1">IFERROR(__xludf.DUMMYFUNCTION("""COMPUTED_VALUE"""),"20220519VAGER")</f>
        <v>20220519VAGER</v>
      </c>
      <c r="B65" s="5"/>
      <c r="C65" s="5"/>
      <c r="D65" s="5"/>
      <c r="E65" s="5"/>
      <c r="F65" s="5" t="str">
        <f ca="1">IFERROR(__xludf.DUMMYFUNCTION("""COMPUTED_VALUE"""),"Fled/Escaped")</f>
        <v>Fled/Escaped</v>
      </c>
      <c r="G65" s="5" t="str">
        <f ca="1">IFERROR(__xludf.DUMMYFUNCTION("""COMPUTED_VALUE"""),"No")</f>
        <v>No</v>
      </c>
      <c r="H65" s="5" t="str">
        <f ca="1">IFERROR(__xludf.DUMMYFUNCTION("""COMPUTED_VALUE"""),"None")</f>
        <v>None</v>
      </c>
    </row>
    <row r="66" spans="1:8">
      <c r="A66" s="5" t="str">
        <f ca="1">IFERROR(__xludf.DUMMYFUNCTION("""COMPUTED_VALUE"""),"20220519MIEAK")</f>
        <v>20220519MIEAK</v>
      </c>
      <c r="B66" s="5">
        <f ca="1">IFERROR(__xludf.DUMMYFUNCTION("""COMPUTED_VALUE"""),18)</f>
        <v>18</v>
      </c>
      <c r="C66" s="5" t="str">
        <f ca="1">IFERROR(__xludf.DUMMYFUNCTION("""COMPUTED_VALUE"""),"Male")</f>
        <v>Male</v>
      </c>
      <c r="D66" s="5" t="str">
        <f ca="1">IFERROR(__xludf.DUMMYFUNCTION("""COMPUTED_VALUE"""),"Black")</f>
        <v>Black</v>
      </c>
      <c r="E66" s="5" t="str">
        <f ca="1">IFERROR(__xludf.DUMMYFUNCTION("""COMPUTED_VALUE"""),"Nonstudent")</f>
        <v>Nonstudent</v>
      </c>
      <c r="F66" s="5" t="str">
        <f ca="1">IFERROR(__xludf.DUMMYFUNCTION("""COMPUTED_VALUE"""),"Fled/Apprehended")</f>
        <v>Fled/Apprehended</v>
      </c>
      <c r="G66" s="5" t="str">
        <f ca="1">IFERROR(__xludf.DUMMYFUNCTION("""COMPUTED_VALUE"""),"No")</f>
        <v>No</v>
      </c>
      <c r="H66" s="5" t="str">
        <f ca="1">IFERROR(__xludf.DUMMYFUNCTION("""COMPUTED_VALUE"""),"None")</f>
        <v>None</v>
      </c>
    </row>
    <row r="67" spans="1:8">
      <c r="A67" s="5" t="str">
        <f ca="1">IFERROR(__xludf.DUMMYFUNCTION("""COMPUTED_VALUE"""),"20220519MIEAK")</f>
        <v>20220519MIEAK</v>
      </c>
      <c r="B67" s="5">
        <f ca="1">IFERROR(__xludf.DUMMYFUNCTION("""COMPUTED_VALUE"""),18)</f>
        <v>18</v>
      </c>
      <c r="C67" s="5" t="str">
        <f ca="1">IFERROR(__xludf.DUMMYFUNCTION("""COMPUTED_VALUE"""),"Male")</f>
        <v>Male</v>
      </c>
      <c r="D67" s="5" t="str">
        <f ca="1">IFERROR(__xludf.DUMMYFUNCTION("""COMPUTED_VALUE"""),"Black")</f>
        <v>Black</v>
      </c>
      <c r="E67" s="5" t="str">
        <f ca="1">IFERROR(__xludf.DUMMYFUNCTION("""COMPUTED_VALUE"""),"Nonstudent")</f>
        <v>Nonstudent</v>
      </c>
      <c r="F67" s="5" t="str">
        <f ca="1">IFERROR(__xludf.DUMMYFUNCTION("""COMPUTED_VALUE"""),"Fled/Apprehended")</f>
        <v>Fled/Apprehended</v>
      </c>
      <c r="G67" s="5" t="str">
        <f ca="1">IFERROR(__xludf.DUMMYFUNCTION("""COMPUTED_VALUE"""),"No")</f>
        <v>No</v>
      </c>
      <c r="H67" s="5" t="str">
        <f ca="1">IFERROR(__xludf.DUMMYFUNCTION("""COMPUTED_VALUE"""),"None")</f>
        <v>None</v>
      </c>
    </row>
    <row r="68" spans="1:8">
      <c r="A68" s="5" t="str">
        <f ca="1">IFERROR(__xludf.DUMMYFUNCTION("""COMPUTED_VALUE"""),"20220519MIEAK")</f>
        <v>20220519MIEAK</v>
      </c>
      <c r="B68" s="5"/>
      <c r="C68" s="5"/>
      <c r="D68" s="5"/>
      <c r="E68" s="5"/>
      <c r="F68" s="5" t="str">
        <f ca="1">IFERROR(__xludf.DUMMYFUNCTION("""COMPUTED_VALUE"""),"Fled/Escaped")</f>
        <v>Fled/Escaped</v>
      </c>
      <c r="G68" s="5" t="str">
        <f ca="1">IFERROR(__xludf.DUMMYFUNCTION("""COMPUTED_VALUE"""),"No")</f>
        <v>No</v>
      </c>
      <c r="H68" s="5" t="str">
        <f ca="1">IFERROR(__xludf.DUMMYFUNCTION("""COMPUTED_VALUE"""),"None")</f>
        <v>None</v>
      </c>
    </row>
    <row r="69" spans="1:8">
      <c r="A69" s="5" t="str">
        <f ca="1">IFERROR(__xludf.DUMMYFUNCTION("""COMPUTED_VALUE"""),"20220519MIEAK")</f>
        <v>20220519MIEAK</v>
      </c>
      <c r="B69" s="5"/>
      <c r="C69" s="5"/>
      <c r="D69" s="5"/>
      <c r="E69" s="5"/>
      <c r="F69" s="5" t="str">
        <f ca="1">IFERROR(__xludf.DUMMYFUNCTION("""COMPUTED_VALUE"""),"Fled/Escaped")</f>
        <v>Fled/Escaped</v>
      </c>
      <c r="G69" s="5" t="str">
        <f ca="1">IFERROR(__xludf.DUMMYFUNCTION("""COMPUTED_VALUE"""),"No")</f>
        <v>No</v>
      </c>
      <c r="H69" s="5" t="str">
        <f ca="1">IFERROR(__xludf.DUMMYFUNCTION("""COMPUTED_VALUE"""),"None")</f>
        <v>None</v>
      </c>
    </row>
    <row r="70" spans="1:8">
      <c r="A70" s="5" t="str">
        <f ca="1">IFERROR(__xludf.DUMMYFUNCTION("""COMPUTED_VALUE"""),"20220519MIEAK")</f>
        <v>20220519MIEAK</v>
      </c>
      <c r="B70" s="5"/>
      <c r="C70" s="5"/>
      <c r="D70" s="5"/>
      <c r="E70" s="5"/>
      <c r="F70" s="5" t="str">
        <f ca="1">IFERROR(__xludf.DUMMYFUNCTION("""COMPUTED_VALUE"""),"Fled/Escaped")</f>
        <v>Fled/Escaped</v>
      </c>
      <c r="G70" s="5" t="str">
        <f ca="1">IFERROR(__xludf.DUMMYFUNCTION("""COMPUTED_VALUE"""),"No")</f>
        <v>No</v>
      </c>
      <c r="H70" s="5" t="str">
        <f ca="1">IFERROR(__xludf.DUMMYFUNCTION("""COMPUTED_VALUE"""),"None")</f>
        <v>None</v>
      </c>
    </row>
    <row r="71" spans="1:8">
      <c r="A71" s="5" t="str">
        <f ca="1">IFERROR(__xludf.DUMMYFUNCTION("""COMPUTED_VALUE"""),"20220518TNRIM")</f>
        <v>20220518TNRIM</v>
      </c>
      <c r="B71" s="5">
        <f ca="1">IFERROR(__xludf.DUMMYFUNCTION("""COMPUTED_VALUE"""),17)</f>
        <v>17</v>
      </c>
      <c r="C71" s="5" t="str">
        <f ca="1">IFERROR(__xludf.DUMMYFUNCTION("""COMPUTED_VALUE"""),"Male")</f>
        <v>Male</v>
      </c>
      <c r="D71" s="5"/>
      <c r="E71" s="5" t="str">
        <f ca="1">IFERROR(__xludf.DUMMYFUNCTION("""COMPUTED_VALUE"""),"Former Student")</f>
        <v>Former Student</v>
      </c>
      <c r="F71" s="5" t="str">
        <f ca="1">IFERROR(__xludf.DUMMYFUNCTION("""COMPUTED_VALUE"""),"Fled/Apprehended")</f>
        <v>Fled/Apprehended</v>
      </c>
      <c r="G71" s="5" t="str">
        <f ca="1">IFERROR(__xludf.DUMMYFUNCTION("""COMPUTED_VALUE"""),"No")</f>
        <v>No</v>
      </c>
      <c r="H71" s="5" t="str">
        <f ca="1">IFERROR(__xludf.DUMMYFUNCTION("""COMPUTED_VALUE"""),"None")</f>
        <v>None</v>
      </c>
    </row>
    <row r="72" spans="1:8">
      <c r="A72" s="5" t="str">
        <f ca="1">IFERROR(__xludf.DUMMYFUNCTION("""COMPUTED_VALUE"""),"20220518FLPAP")</f>
        <v>20220518FLPAP</v>
      </c>
      <c r="B72" s="5">
        <f ca="1">IFERROR(__xludf.DUMMYFUNCTION("""COMPUTED_VALUE"""),13)</f>
        <v>13</v>
      </c>
      <c r="C72" s="5" t="str">
        <f ca="1">IFERROR(__xludf.DUMMYFUNCTION("""COMPUTED_VALUE"""),"Male")</f>
        <v>Male</v>
      </c>
      <c r="D72" s="5"/>
      <c r="E72" s="5" t="str">
        <f ca="1">IFERROR(__xludf.DUMMYFUNCTION("""COMPUTED_VALUE"""),"Nonstudent Using Athletic Facilities/Attending Game")</f>
        <v>Nonstudent Using Athletic Facilities/Attending Game</v>
      </c>
      <c r="F72" s="5" t="str">
        <f ca="1">IFERROR(__xludf.DUMMYFUNCTION("""COMPUTED_VALUE"""),"Fled/Escaped")</f>
        <v>Fled/Escaped</v>
      </c>
      <c r="G72" s="5" t="str">
        <f ca="1">IFERROR(__xludf.DUMMYFUNCTION("""COMPUTED_VALUE"""),"No")</f>
        <v>No</v>
      </c>
      <c r="H72" s="5" t="str">
        <f ca="1">IFERROR(__xludf.DUMMYFUNCTION("""COMPUTED_VALUE"""),"None")</f>
        <v>None</v>
      </c>
    </row>
    <row r="73" spans="1:8">
      <c r="A73" s="5" t="str">
        <f ca="1">IFERROR(__xludf.DUMMYFUNCTION("""COMPUTED_VALUE"""),"20220517ILWAC")</f>
        <v>20220517ILWAC</v>
      </c>
      <c r="B73" s="5">
        <f ca="1">IFERROR(__xludf.DUMMYFUNCTION("""COMPUTED_VALUE"""),7)</f>
        <v>7</v>
      </c>
      <c r="C73" s="5"/>
      <c r="D73" s="5"/>
      <c r="E73" s="5" t="str">
        <f ca="1">IFERROR(__xludf.DUMMYFUNCTION("""COMPUTED_VALUE"""),"Student")</f>
        <v>Student</v>
      </c>
      <c r="F73" s="5" t="str">
        <f ca="1">IFERROR(__xludf.DUMMYFUNCTION("""COMPUTED_VALUE"""),"Surrendered")</f>
        <v>Surrendered</v>
      </c>
      <c r="G73" s="5" t="str">
        <f ca="1">IFERROR(__xludf.DUMMYFUNCTION("""COMPUTED_VALUE"""),"No")</f>
        <v>No</v>
      </c>
      <c r="H73" s="5" t="str">
        <f ca="1">IFERROR(__xludf.DUMMYFUNCTION("""COMPUTED_VALUE"""),"None")</f>
        <v>None</v>
      </c>
    </row>
    <row r="74" spans="1:8">
      <c r="A74" s="5" t="str">
        <f ca="1">IFERROR(__xludf.DUMMYFUNCTION("""COMPUTED_VALUE"""),"20220517CASAS")</f>
        <v>20220517CASAS</v>
      </c>
      <c r="B74" s="5"/>
      <c r="C74" s="5"/>
      <c r="D74" s="5"/>
      <c r="E74" s="5" t="str">
        <f ca="1">IFERROR(__xludf.DUMMYFUNCTION("""COMPUTED_VALUE"""),"No Relation")</f>
        <v>No Relation</v>
      </c>
      <c r="F74" s="5" t="str">
        <f ca="1">IFERROR(__xludf.DUMMYFUNCTION("""COMPUTED_VALUE"""),"Fled/Escaped")</f>
        <v>Fled/Escaped</v>
      </c>
      <c r="G74" s="5" t="str">
        <f ca="1">IFERROR(__xludf.DUMMYFUNCTION("""COMPUTED_VALUE"""),"No")</f>
        <v>No</v>
      </c>
      <c r="H74" s="5" t="str">
        <f ca="1">IFERROR(__xludf.DUMMYFUNCTION("""COMPUTED_VALUE"""),"None")</f>
        <v>None</v>
      </c>
    </row>
    <row r="75" spans="1:8">
      <c r="A75" s="5" t="str">
        <f ca="1">IFERROR(__xludf.DUMMYFUNCTION("""COMPUTED_VALUE"""),"20220516TXMEM")</f>
        <v>20220516TXMEM</v>
      </c>
      <c r="B75" s="5" t="str">
        <f ca="1">IFERROR(__xludf.DUMMYFUNCTION("""COMPUTED_VALUE"""),"Teen")</f>
        <v>Teen</v>
      </c>
      <c r="C75" s="5"/>
      <c r="D75" s="5"/>
      <c r="E75" s="5" t="str">
        <f ca="1">IFERROR(__xludf.DUMMYFUNCTION("""COMPUTED_VALUE"""),"Student")</f>
        <v>Student</v>
      </c>
      <c r="F75" s="5" t="str">
        <f ca="1">IFERROR(__xludf.DUMMYFUNCTION("""COMPUTED_VALUE"""),"Apprehended/Killed by LE")</f>
        <v>Apprehended/Killed by LE</v>
      </c>
      <c r="G75" s="5" t="str">
        <f ca="1">IFERROR(__xludf.DUMMYFUNCTION("""COMPUTED_VALUE"""),"No")</f>
        <v>No</v>
      </c>
      <c r="H75" s="5" t="str">
        <f ca="1">IFERROR(__xludf.DUMMYFUNCTION("""COMPUTED_VALUE"""),"None")</f>
        <v>None</v>
      </c>
    </row>
    <row r="76" spans="1:8">
      <c r="A76" s="5" t="str">
        <f ca="1">IFERROR(__xludf.DUMMYFUNCTION("""COMPUTED_VALUE"""),"20220515NHBEB")</f>
        <v>20220515NHBEB</v>
      </c>
      <c r="B76" s="5" t="str">
        <f ca="1">IFERROR(__xludf.DUMMYFUNCTION("""COMPUTED_VALUE"""),"Teen")</f>
        <v>Teen</v>
      </c>
      <c r="C76" s="5" t="str">
        <f ca="1">IFERROR(__xludf.DUMMYFUNCTION("""COMPUTED_VALUE"""),"Male")</f>
        <v>Male</v>
      </c>
      <c r="D76" s="5"/>
      <c r="E76" s="5" t="str">
        <f ca="1">IFERROR(__xludf.DUMMYFUNCTION("""COMPUTED_VALUE"""),"No Relation")</f>
        <v>No Relation</v>
      </c>
      <c r="F76" s="5" t="str">
        <f ca="1">IFERROR(__xludf.DUMMYFUNCTION("""COMPUTED_VALUE"""),"Fled/Escaped")</f>
        <v>Fled/Escaped</v>
      </c>
      <c r="G76" s="5" t="str">
        <f ca="1">IFERROR(__xludf.DUMMYFUNCTION("""COMPUTED_VALUE"""),"No")</f>
        <v>No</v>
      </c>
      <c r="H76" s="5" t="str">
        <f ca="1">IFERROR(__xludf.DUMMYFUNCTION("""COMPUTED_VALUE"""),"None")</f>
        <v>None</v>
      </c>
    </row>
    <row r="77" spans="1:8">
      <c r="A77" s="5" t="str">
        <f ca="1">IFERROR(__xludf.DUMMYFUNCTION("""COMPUTED_VALUE"""),"20220515NHBEB")</f>
        <v>20220515NHBEB</v>
      </c>
      <c r="B77" s="5" t="str">
        <f ca="1">IFERROR(__xludf.DUMMYFUNCTION("""COMPUTED_VALUE"""),"Teen")</f>
        <v>Teen</v>
      </c>
      <c r="C77" s="5" t="str">
        <f ca="1">IFERROR(__xludf.DUMMYFUNCTION("""COMPUTED_VALUE"""),"Male")</f>
        <v>Male</v>
      </c>
      <c r="D77" s="5"/>
      <c r="E77" s="5" t="str">
        <f ca="1">IFERROR(__xludf.DUMMYFUNCTION("""COMPUTED_VALUE"""),"No Relation")</f>
        <v>No Relation</v>
      </c>
      <c r="F77" s="5" t="str">
        <f ca="1">IFERROR(__xludf.DUMMYFUNCTION("""COMPUTED_VALUE"""),"Fled/Escaped")</f>
        <v>Fled/Escaped</v>
      </c>
      <c r="G77" s="5" t="str">
        <f ca="1">IFERROR(__xludf.DUMMYFUNCTION("""COMPUTED_VALUE"""),"No")</f>
        <v>No</v>
      </c>
      <c r="H77" s="5" t="str">
        <f ca="1">IFERROR(__xludf.DUMMYFUNCTION("""COMPUTED_VALUE"""),"None")</f>
        <v>None</v>
      </c>
    </row>
    <row r="78" spans="1:8">
      <c r="A78" s="5" t="str">
        <f ca="1">IFERROR(__xludf.DUMMYFUNCTION("""COMPUTED_VALUE"""),"20220515ILMEP")</f>
        <v>20220515ILMEP</v>
      </c>
      <c r="B78" s="5">
        <f ca="1">IFERROR(__xludf.DUMMYFUNCTION("""COMPUTED_VALUE"""),16)</f>
        <v>16</v>
      </c>
      <c r="C78" s="5" t="str">
        <f ca="1">IFERROR(__xludf.DUMMYFUNCTION("""COMPUTED_VALUE"""),"Male")</f>
        <v>Male</v>
      </c>
      <c r="D78" s="5"/>
      <c r="E78" s="5" t="str">
        <f ca="1">IFERROR(__xludf.DUMMYFUNCTION("""COMPUTED_VALUE"""),"No Relation")</f>
        <v>No Relation</v>
      </c>
      <c r="F78" s="5" t="str">
        <f ca="1">IFERROR(__xludf.DUMMYFUNCTION("""COMPUTED_VALUE"""),"Fled/Apprehended")</f>
        <v>Fled/Apprehended</v>
      </c>
      <c r="G78" s="5" t="str">
        <f ca="1">IFERROR(__xludf.DUMMYFUNCTION("""COMPUTED_VALUE"""),"No")</f>
        <v>No</v>
      </c>
      <c r="H78" s="5" t="str">
        <f ca="1">IFERROR(__xludf.DUMMYFUNCTION("""COMPUTED_VALUE"""),"None")</f>
        <v>None</v>
      </c>
    </row>
    <row r="79" spans="1:8">
      <c r="A79" s="5" t="str">
        <f ca="1">IFERROR(__xludf.DUMMYFUNCTION("""COMPUTED_VALUE"""),"20220513GASOM")</f>
        <v>20220513GASOM</v>
      </c>
      <c r="B79" s="5"/>
      <c r="C79" s="5"/>
      <c r="D79" s="5"/>
      <c r="E79" s="5"/>
      <c r="F79" s="5" t="str">
        <f ca="1">IFERROR(__xludf.DUMMYFUNCTION("""COMPUTED_VALUE"""),"Fled/Escaped")</f>
        <v>Fled/Escaped</v>
      </c>
      <c r="G79" s="5" t="str">
        <f ca="1">IFERROR(__xludf.DUMMYFUNCTION("""COMPUTED_VALUE"""),"No")</f>
        <v>No</v>
      </c>
      <c r="H79" s="5" t="str">
        <f ca="1">IFERROR(__xludf.DUMMYFUNCTION("""COMPUTED_VALUE"""),"None")</f>
        <v>None</v>
      </c>
    </row>
    <row r="80" spans="1:8">
      <c r="A80" s="5" t="str">
        <f ca="1">IFERROR(__xludf.DUMMYFUNCTION("""COMPUTED_VALUE"""),"20220513FLALW")</f>
        <v>20220513FLALW</v>
      </c>
      <c r="B80" s="5"/>
      <c r="C80" s="5"/>
      <c r="D80" s="5"/>
      <c r="E80" s="5" t="str">
        <f ca="1">IFERROR(__xludf.DUMMYFUNCTION("""COMPUTED_VALUE"""),"Police Officer/SRO")</f>
        <v>Police Officer/SRO</v>
      </c>
      <c r="F80" s="5"/>
      <c r="G80" s="5"/>
      <c r="H80" s="5"/>
    </row>
    <row r="81" spans="1:8">
      <c r="A81" s="5" t="str">
        <f ca="1">IFERROR(__xludf.DUMMYFUNCTION("""COMPUTED_VALUE"""),"20220512TXHEH")</f>
        <v>20220512TXHEH</v>
      </c>
      <c r="B81" s="5">
        <f ca="1">IFERROR(__xludf.DUMMYFUNCTION("""COMPUTED_VALUE"""),18)</f>
        <v>18</v>
      </c>
      <c r="C81" s="5" t="str">
        <f ca="1">IFERROR(__xludf.DUMMYFUNCTION("""COMPUTED_VALUE"""),"Male")</f>
        <v>Male</v>
      </c>
      <c r="D81" s="5"/>
      <c r="E81" s="5" t="str">
        <f ca="1">IFERROR(__xludf.DUMMYFUNCTION("""COMPUTED_VALUE"""),"Student")</f>
        <v>Student</v>
      </c>
      <c r="F81" s="5" t="str">
        <f ca="1">IFERROR(__xludf.DUMMYFUNCTION("""COMPUTED_VALUE"""),"Fled/Apprehended")</f>
        <v>Fled/Apprehended</v>
      </c>
      <c r="G81" s="5" t="str">
        <f ca="1">IFERROR(__xludf.DUMMYFUNCTION("""COMPUTED_VALUE"""),"No")</f>
        <v>No</v>
      </c>
      <c r="H81" s="5" t="str">
        <f ca="1">IFERROR(__xludf.DUMMYFUNCTION("""COMPUTED_VALUE"""),"None")</f>
        <v>None</v>
      </c>
    </row>
    <row r="82" spans="1:8">
      <c r="A82" s="5" t="str">
        <f ca="1">IFERROR(__xludf.DUMMYFUNCTION("""COMPUTED_VALUE"""),"20220512ARHOH")</f>
        <v>20220512ARHOH</v>
      </c>
      <c r="B82" s="5">
        <f ca="1">IFERROR(__xludf.DUMMYFUNCTION("""COMPUTED_VALUE"""),25)</f>
        <v>25</v>
      </c>
      <c r="C82" s="5" t="str">
        <f ca="1">IFERROR(__xludf.DUMMYFUNCTION("""COMPUTED_VALUE"""),"Male")</f>
        <v>Male</v>
      </c>
      <c r="D82" s="5"/>
      <c r="E82" s="5"/>
      <c r="F82" s="5" t="str">
        <f ca="1">IFERROR(__xludf.DUMMYFUNCTION("""COMPUTED_VALUE"""),"Fled/Apprehended")</f>
        <v>Fled/Apprehended</v>
      </c>
      <c r="G82" s="5" t="str">
        <f ca="1">IFERROR(__xludf.DUMMYFUNCTION("""COMPUTED_VALUE"""),"No")</f>
        <v>No</v>
      </c>
      <c r="H82" s="5" t="str">
        <f ca="1">IFERROR(__xludf.DUMMYFUNCTION("""COMPUTED_VALUE"""),"Wounded")</f>
        <v>Wounded</v>
      </c>
    </row>
    <row r="83" spans="1:8">
      <c r="A83" s="5" t="str">
        <f ca="1">IFERROR(__xludf.DUMMYFUNCTION("""COMPUTED_VALUE"""),"20220511FLJAJ")</f>
        <v>20220511FLJAJ</v>
      </c>
      <c r="B83" s="5"/>
      <c r="C83" s="5" t="str">
        <f ca="1">IFERROR(__xludf.DUMMYFUNCTION("""COMPUTED_VALUE"""),"Male")</f>
        <v>Male</v>
      </c>
      <c r="D83" s="5"/>
      <c r="E83" s="5"/>
      <c r="F83" s="5" t="str">
        <f ca="1">IFERROR(__xludf.DUMMYFUNCTION("""COMPUTED_VALUE"""),"Fled/Escaped")</f>
        <v>Fled/Escaped</v>
      </c>
      <c r="G83" s="5" t="str">
        <f ca="1">IFERROR(__xludf.DUMMYFUNCTION("""COMPUTED_VALUE"""),"No")</f>
        <v>No</v>
      </c>
      <c r="H83" s="5" t="str">
        <f ca="1">IFERROR(__xludf.DUMMYFUNCTION("""COMPUTED_VALUE"""),"None")</f>
        <v>None</v>
      </c>
    </row>
    <row r="84" spans="1:8">
      <c r="A84" s="5" t="str">
        <f ca="1">IFERROR(__xludf.DUMMYFUNCTION("""COMPUTED_VALUE"""),"20220509NYEDS")</f>
        <v>20220509NYEDS</v>
      </c>
      <c r="B84" s="5" t="str">
        <f ca="1">IFERROR(__xludf.DUMMYFUNCTION("""COMPUTED_VALUE"""),"Adult")</f>
        <v>Adult</v>
      </c>
      <c r="C84" s="5" t="str">
        <f ca="1">IFERROR(__xludf.DUMMYFUNCTION("""COMPUTED_VALUE"""),"Male")</f>
        <v>Male</v>
      </c>
      <c r="D84" s="5"/>
      <c r="E84" s="5"/>
      <c r="F84" s="5" t="str">
        <f ca="1">IFERROR(__xludf.DUMMYFUNCTION("""COMPUTED_VALUE"""),"Fled/Escaped")</f>
        <v>Fled/Escaped</v>
      </c>
      <c r="G84" s="5" t="str">
        <f ca="1">IFERROR(__xludf.DUMMYFUNCTION("""COMPUTED_VALUE"""),"No")</f>
        <v>No</v>
      </c>
      <c r="H84" s="5" t="str">
        <f ca="1">IFERROR(__xludf.DUMMYFUNCTION("""COMPUTED_VALUE"""),"None")</f>
        <v>None</v>
      </c>
    </row>
    <row r="85" spans="1:8">
      <c r="A85" s="5" t="str">
        <f ca="1">IFERROR(__xludf.DUMMYFUNCTION("""COMPUTED_VALUE"""),"20220509GARIS")</f>
        <v>20220509GARIS</v>
      </c>
      <c r="B85" s="5">
        <f ca="1">IFERROR(__xludf.DUMMYFUNCTION("""COMPUTED_VALUE"""),57)</f>
        <v>57</v>
      </c>
      <c r="C85" s="5" t="str">
        <f ca="1">IFERROR(__xludf.DUMMYFUNCTION("""COMPUTED_VALUE"""),"Female")</f>
        <v>Female</v>
      </c>
      <c r="D85" s="5" t="str">
        <f ca="1">IFERROR(__xludf.DUMMYFUNCTION("""COMPUTED_VALUE"""),"Black")</f>
        <v>Black</v>
      </c>
      <c r="E85" s="5" t="str">
        <f ca="1">IFERROR(__xludf.DUMMYFUNCTION("""COMPUTED_VALUE"""),"No Relation")</f>
        <v>No Relation</v>
      </c>
      <c r="F85" s="5" t="str">
        <f ca="1">IFERROR(__xludf.DUMMYFUNCTION("""COMPUTED_VALUE"""),"Fled/Apprehended")</f>
        <v>Fled/Apprehended</v>
      </c>
      <c r="G85" s="5" t="str">
        <f ca="1">IFERROR(__xludf.DUMMYFUNCTION("""COMPUTED_VALUE"""),"No")</f>
        <v>No</v>
      </c>
      <c r="H85" s="5" t="str">
        <f ca="1">IFERROR(__xludf.DUMMYFUNCTION("""COMPUTED_VALUE"""),"None")</f>
        <v>None</v>
      </c>
    </row>
    <row r="86" spans="1:8">
      <c r="A86" s="5" t="str">
        <f ca="1">IFERROR(__xludf.DUMMYFUNCTION("""COMPUTED_VALUE"""),"20220505OHLOL")</f>
        <v>20220505OHLOL</v>
      </c>
      <c r="B86" s="5">
        <f ca="1">IFERROR(__xludf.DUMMYFUNCTION("""COMPUTED_VALUE"""),13)</f>
        <v>13</v>
      </c>
      <c r="C86" s="5" t="str">
        <f ca="1">IFERROR(__xludf.DUMMYFUNCTION("""COMPUTED_VALUE"""),"Male")</f>
        <v>Male</v>
      </c>
      <c r="D86" s="5"/>
      <c r="E86" s="5" t="str">
        <f ca="1">IFERROR(__xludf.DUMMYFUNCTION("""COMPUTED_VALUE"""),"Student")</f>
        <v>Student</v>
      </c>
      <c r="F86" s="5" t="str">
        <f ca="1">IFERROR(__xludf.DUMMYFUNCTION("""COMPUTED_VALUE"""),"Suicide")</f>
        <v>Suicide</v>
      </c>
      <c r="G86" s="5" t="str">
        <f ca="1">IFERROR(__xludf.DUMMYFUNCTION("""COMPUTED_VALUE"""),"Yes")</f>
        <v>Yes</v>
      </c>
      <c r="H86" s="5" t="str">
        <f ca="1">IFERROR(__xludf.DUMMYFUNCTION("""COMPUTED_VALUE"""),"Suicide")</f>
        <v>Suicide</v>
      </c>
    </row>
    <row r="87" spans="1:8">
      <c r="A87" s="5" t="str">
        <f ca="1">IFERROR(__xludf.DUMMYFUNCTION("""COMPUTED_VALUE"""),"20220505OHLOL")</f>
        <v>20220505OHLOL</v>
      </c>
      <c r="B87" s="5" t="str">
        <f ca="1">IFERROR(__xludf.DUMMYFUNCTION("""COMPUTED_VALUE"""),"Adult")</f>
        <v>Adult</v>
      </c>
      <c r="C87" s="5" t="str">
        <f ca="1">IFERROR(__xludf.DUMMYFUNCTION("""COMPUTED_VALUE"""),"Female")</f>
        <v>Female</v>
      </c>
      <c r="D87" s="5" t="str">
        <f ca="1">IFERROR(__xludf.DUMMYFUNCTION("""COMPUTED_VALUE"""),"White")</f>
        <v>White</v>
      </c>
      <c r="E87" s="5" t="str">
        <f ca="1">IFERROR(__xludf.DUMMYFUNCTION("""COMPUTED_VALUE"""),"Parent")</f>
        <v>Parent</v>
      </c>
      <c r="F87" s="5" t="str">
        <f ca="1">IFERROR(__xludf.DUMMYFUNCTION("""COMPUTED_VALUE"""),"Apprehended/Killed by LE")</f>
        <v>Apprehended/Killed by LE</v>
      </c>
      <c r="G87" s="5" t="str">
        <f ca="1">IFERROR(__xludf.DUMMYFUNCTION("""COMPUTED_VALUE"""),"No")</f>
        <v>No</v>
      </c>
      <c r="H87" s="5" t="str">
        <f ca="1">IFERROR(__xludf.DUMMYFUNCTION("""COMPUTED_VALUE"""),"None")</f>
        <v>None</v>
      </c>
    </row>
    <row r="88" spans="1:8">
      <c r="A88" s="5" t="str">
        <f ca="1">IFERROR(__xludf.DUMMYFUNCTION("""COMPUTED_VALUE"""),"20220505ALDOD")</f>
        <v>20220505ALDOD</v>
      </c>
      <c r="B88" s="5">
        <f ca="1">IFERROR(__xludf.DUMMYFUNCTION("""COMPUTED_VALUE"""),20)</f>
        <v>20</v>
      </c>
      <c r="C88" s="5" t="str">
        <f ca="1">IFERROR(__xludf.DUMMYFUNCTION("""COMPUTED_VALUE"""),"Male")</f>
        <v>Male</v>
      </c>
      <c r="D88" s="5"/>
      <c r="E88" s="5" t="str">
        <f ca="1">IFERROR(__xludf.DUMMYFUNCTION("""COMPUTED_VALUE"""),"No Relation")</f>
        <v>No Relation</v>
      </c>
      <c r="F88" s="5" t="str">
        <f ca="1">IFERROR(__xludf.DUMMYFUNCTION("""COMPUTED_VALUE"""),"Apprehended/Killed by LE")</f>
        <v>Apprehended/Killed by LE</v>
      </c>
      <c r="G88" s="5" t="str">
        <f ca="1">IFERROR(__xludf.DUMMYFUNCTION("""COMPUTED_VALUE"""),"No")</f>
        <v>No</v>
      </c>
      <c r="H88" s="5" t="str">
        <f ca="1">IFERROR(__xludf.DUMMYFUNCTION("""COMPUTED_VALUE"""),"None")</f>
        <v>None</v>
      </c>
    </row>
    <row r="89" spans="1:8">
      <c r="A89" s="5" t="str">
        <f ca="1">IFERROR(__xludf.DUMMYFUNCTION("""COMPUTED_VALUE"""),"20220503CAARS")</f>
        <v>20220503CAARS</v>
      </c>
      <c r="B89" s="5"/>
      <c r="C89" s="5"/>
      <c r="D89" s="5"/>
      <c r="E89" s="5" t="str">
        <f ca="1">IFERROR(__xludf.DUMMYFUNCTION("""COMPUTED_VALUE"""),"No Relation")</f>
        <v>No Relation</v>
      </c>
      <c r="F89" s="5" t="str">
        <f ca="1">IFERROR(__xludf.DUMMYFUNCTION("""COMPUTED_VALUE"""),"Fled/Escaped")</f>
        <v>Fled/Escaped</v>
      </c>
      <c r="G89" s="5" t="str">
        <f ca="1">IFERROR(__xludf.DUMMYFUNCTION("""COMPUTED_VALUE"""),"No")</f>
        <v>No</v>
      </c>
      <c r="H89" s="5" t="str">
        <f ca="1">IFERROR(__xludf.DUMMYFUNCTION("""COMPUTED_VALUE"""),"None")</f>
        <v>None</v>
      </c>
    </row>
    <row r="90" spans="1:8">
      <c r="A90" s="5" t="str">
        <f ca="1">IFERROR(__xludf.DUMMYFUNCTION("""COMPUTED_VALUE"""),"20220501VALOM")</f>
        <v>20220501VALOM</v>
      </c>
      <c r="B90" s="5" t="str">
        <f ca="1">IFERROR(__xludf.DUMMYFUNCTION("""COMPUTED_VALUE"""),"Adult")</f>
        <v>Adult</v>
      </c>
      <c r="C90" s="5" t="str">
        <f ca="1">IFERROR(__xludf.DUMMYFUNCTION("""COMPUTED_VALUE"""),"Male")</f>
        <v>Male</v>
      </c>
      <c r="D90" s="5" t="str">
        <f ca="1">IFERROR(__xludf.DUMMYFUNCTION("""COMPUTED_VALUE"""),"Black")</f>
        <v>Black</v>
      </c>
      <c r="E90" s="5" t="str">
        <f ca="1">IFERROR(__xludf.DUMMYFUNCTION("""COMPUTED_VALUE"""),"Nonstudent Using Athletic Facilities/Attending Game")</f>
        <v>Nonstudent Using Athletic Facilities/Attending Game</v>
      </c>
      <c r="F90" s="5" t="str">
        <f ca="1">IFERROR(__xludf.DUMMYFUNCTION("""COMPUTED_VALUE"""),"Fled/Escaped")</f>
        <v>Fled/Escaped</v>
      </c>
      <c r="G90" s="5" t="str">
        <f ca="1">IFERROR(__xludf.DUMMYFUNCTION("""COMPUTED_VALUE"""),"No")</f>
        <v>No</v>
      </c>
      <c r="H90" s="5" t="str">
        <f ca="1">IFERROR(__xludf.DUMMYFUNCTION("""COMPUTED_VALUE"""),"None")</f>
        <v>None</v>
      </c>
    </row>
    <row r="91" spans="1:8">
      <c r="A91" s="5" t="str">
        <f ca="1">IFERROR(__xludf.DUMMYFUNCTION("""COMPUTED_VALUE"""),"20220501OHHAC")</f>
        <v>20220501OHHAC</v>
      </c>
      <c r="B91" s="5"/>
      <c r="C91" s="5"/>
      <c r="D91" s="5"/>
      <c r="E91" s="5"/>
      <c r="F91" s="5" t="str">
        <f ca="1">IFERROR(__xludf.DUMMYFUNCTION("""COMPUTED_VALUE"""),"Fled/Escaped")</f>
        <v>Fled/Escaped</v>
      </c>
      <c r="G91" s="5" t="str">
        <f ca="1">IFERROR(__xludf.DUMMYFUNCTION("""COMPUTED_VALUE"""),"No")</f>
        <v>No</v>
      </c>
      <c r="H91" s="5" t="str">
        <f ca="1">IFERROR(__xludf.DUMMYFUNCTION("""COMPUTED_VALUE"""),"None")</f>
        <v>None</v>
      </c>
    </row>
    <row r="92" spans="1:8">
      <c r="A92" s="5" t="str">
        <f ca="1">IFERROR(__xludf.DUMMYFUNCTION("""COMPUTED_VALUE"""),"20220430PAMCJ")</f>
        <v>20220430PAMCJ</v>
      </c>
      <c r="B92" s="5" t="str">
        <f ca="1">IFERROR(__xludf.DUMMYFUNCTION("""COMPUTED_VALUE"""),"Adult")</f>
        <v>Adult</v>
      </c>
      <c r="C92" s="5" t="str">
        <f ca="1">IFERROR(__xludf.DUMMYFUNCTION("""COMPUTED_VALUE"""),"Male")</f>
        <v>Male</v>
      </c>
      <c r="D92" s="5"/>
      <c r="E92" s="5" t="str">
        <f ca="1">IFERROR(__xludf.DUMMYFUNCTION("""COMPUTED_VALUE"""),"Nonstudent Using Athletic Facilities/Attending Game")</f>
        <v>Nonstudent Using Athletic Facilities/Attending Game</v>
      </c>
      <c r="F92" s="5" t="str">
        <f ca="1">IFERROR(__xludf.DUMMYFUNCTION("""COMPUTED_VALUE"""),"Fled/Escaped")</f>
        <v>Fled/Escaped</v>
      </c>
      <c r="G92" s="5" t="str">
        <f ca="1">IFERROR(__xludf.DUMMYFUNCTION("""COMPUTED_VALUE"""),"No")</f>
        <v>No</v>
      </c>
      <c r="H92" s="5" t="str">
        <f ca="1">IFERROR(__xludf.DUMMYFUNCTION("""COMPUTED_VALUE"""),"None")</f>
        <v>None</v>
      </c>
    </row>
    <row r="93" spans="1:8">
      <c r="A93" s="5" t="str">
        <f ca="1">IFERROR(__xludf.DUMMYFUNCTION("""COMPUTED_VALUE"""),"20220427TXMOS")</f>
        <v>20220427TXMOS</v>
      </c>
      <c r="B93" s="5"/>
      <c r="C93" s="5"/>
      <c r="D93" s="5"/>
      <c r="E93" s="5" t="str">
        <f ca="1">IFERROR(__xludf.DUMMYFUNCTION("""COMPUTED_VALUE"""),"Police Officer/SRO")</f>
        <v>Police Officer/SRO</v>
      </c>
      <c r="F93" s="5"/>
      <c r="G93" s="5"/>
      <c r="H93" s="5"/>
    </row>
    <row r="94" spans="1:8">
      <c r="A94" s="5" t="str">
        <f ca="1">IFERROR(__xludf.DUMMYFUNCTION("""COMPUTED_VALUE"""),"20220427INCOS")</f>
        <v>20220427INCOS</v>
      </c>
      <c r="B94" s="5" t="str">
        <f ca="1">IFERROR(__xludf.DUMMYFUNCTION("""COMPUTED_VALUE"""),"Child")</f>
        <v>Child</v>
      </c>
      <c r="C94" s="5"/>
      <c r="D94" s="5"/>
      <c r="E94" s="5" t="str">
        <f ca="1">IFERROR(__xludf.DUMMYFUNCTION("""COMPUTED_VALUE"""),"Student")</f>
        <v>Student</v>
      </c>
      <c r="F94" s="5" t="str">
        <f ca="1">IFERROR(__xludf.DUMMYFUNCTION("""COMPUTED_VALUE"""),"Fled/Apprehended")</f>
        <v>Fled/Apprehended</v>
      </c>
      <c r="G94" s="5" t="str">
        <f ca="1">IFERROR(__xludf.DUMMYFUNCTION("""COMPUTED_VALUE"""),"No")</f>
        <v>No</v>
      </c>
      <c r="H94" s="5" t="str">
        <f ca="1">IFERROR(__xludf.DUMMYFUNCTION("""COMPUTED_VALUE"""),"None")</f>
        <v>None</v>
      </c>
    </row>
    <row r="95" spans="1:8">
      <c r="A95" s="5" t="str">
        <f ca="1">IFERROR(__xludf.DUMMYFUNCTION("""COMPUTED_VALUE"""),"20220426MIASI")</f>
        <v>20220426MIASI</v>
      </c>
      <c r="B95" s="5" t="str">
        <f ca="1">IFERROR(__xludf.DUMMYFUNCTION("""COMPUTED_VALUE"""),"Child")</f>
        <v>Child</v>
      </c>
      <c r="C95" s="5"/>
      <c r="D95" s="5"/>
      <c r="E95" s="5" t="str">
        <f ca="1">IFERROR(__xludf.DUMMYFUNCTION("""COMPUTED_VALUE"""),"Student")</f>
        <v>Student</v>
      </c>
      <c r="F95" s="5" t="str">
        <f ca="1">IFERROR(__xludf.DUMMYFUNCTION("""COMPUTED_VALUE"""),"Suicide")</f>
        <v>Suicide</v>
      </c>
      <c r="G95" s="5" t="str">
        <f ca="1">IFERROR(__xludf.DUMMYFUNCTION("""COMPUTED_VALUE"""),"Yes")</f>
        <v>Yes</v>
      </c>
      <c r="H95" s="5" t="str">
        <f ca="1">IFERROR(__xludf.DUMMYFUNCTION("""COMPUTED_VALUE"""),"Suicide")</f>
        <v>Suicide</v>
      </c>
    </row>
    <row r="96" spans="1:8">
      <c r="A96" s="5" t="str">
        <f ca="1">IFERROR(__xludf.DUMMYFUNCTION("""COMPUTED_VALUE"""),"20220426GASOM")</f>
        <v>20220426GASOM</v>
      </c>
      <c r="B96" s="5"/>
      <c r="C96" s="5"/>
      <c r="D96" s="5"/>
      <c r="E96" s="5"/>
      <c r="F96" s="5" t="str">
        <f ca="1">IFERROR(__xludf.DUMMYFUNCTION("""COMPUTED_VALUE"""),"Fled/Escaped")</f>
        <v>Fled/Escaped</v>
      </c>
      <c r="G96" s="5" t="str">
        <f ca="1">IFERROR(__xludf.DUMMYFUNCTION("""COMPUTED_VALUE"""),"No")</f>
        <v>No</v>
      </c>
      <c r="H96" s="5" t="str">
        <f ca="1">IFERROR(__xludf.DUMMYFUNCTION("""COMPUTED_VALUE"""),"None")</f>
        <v>None</v>
      </c>
    </row>
    <row r="97" spans="1:8">
      <c r="A97" s="5" t="str">
        <f ca="1">IFERROR(__xludf.DUMMYFUNCTION("""COMPUTED_VALUE"""),"20220426GASOM")</f>
        <v>20220426GASOM</v>
      </c>
      <c r="B97" s="5" t="str">
        <f ca="1">IFERROR(__xludf.DUMMYFUNCTION("""COMPUTED_VALUE"""),"Adult")</f>
        <v>Adult</v>
      </c>
      <c r="C97" s="5" t="str">
        <f ca="1">IFERROR(__xludf.DUMMYFUNCTION("""COMPUTED_VALUE"""),"Female")</f>
        <v>Female</v>
      </c>
      <c r="D97" s="5"/>
      <c r="E97" s="5"/>
      <c r="F97" s="5" t="str">
        <f ca="1">IFERROR(__xludf.DUMMYFUNCTION("""COMPUTED_VALUE"""),"Fled/Escaped")</f>
        <v>Fled/Escaped</v>
      </c>
      <c r="G97" s="5" t="str">
        <f ca="1">IFERROR(__xludf.DUMMYFUNCTION("""COMPUTED_VALUE"""),"No")</f>
        <v>No</v>
      </c>
      <c r="H97" s="5" t="str">
        <f ca="1">IFERROR(__xludf.DUMMYFUNCTION("""COMPUTED_VALUE"""),"None")</f>
        <v>None</v>
      </c>
    </row>
    <row r="98" spans="1:8">
      <c r="A98" s="5" t="str">
        <f ca="1">IFERROR(__xludf.DUMMYFUNCTION("""COMPUTED_VALUE"""),"20220425WIWIM")</f>
        <v>20220425WIWIM</v>
      </c>
      <c r="B98" s="5"/>
      <c r="C98" s="5"/>
      <c r="D98" s="5"/>
      <c r="E98" s="5"/>
      <c r="F98" s="5" t="str">
        <f ca="1">IFERROR(__xludf.DUMMYFUNCTION("""COMPUTED_VALUE"""),"Fled/Escaped")</f>
        <v>Fled/Escaped</v>
      </c>
      <c r="G98" s="5" t="str">
        <f ca="1">IFERROR(__xludf.DUMMYFUNCTION("""COMPUTED_VALUE"""),"No")</f>
        <v>No</v>
      </c>
      <c r="H98" s="5" t="str">
        <f ca="1">IFERROR(__xludf.DUMMYFUNCTION("""COMPUTED_VALUE"""),"None")</f>
        <v>None</v>
      </c>
    </row>
    <row r="99" spans="1:8">
      <c r="A99" s="5" t="str">
        <f ca="1">IFERROR(__xludf.DUMMYFUNCTION("""COMPUTED_VALUE"""),"20220425WIWIM")</f>
        <v>20220425WIWIM</v>
      </c>
      <c r="B99" s="5"/>
      <c r="C99" s="5"/>
      <c r="D99" s="5"/>
      <c r="E99" s="5"/>
      <c r="F99" s="5" t="str">
        <f ca="1">IFERROR(__xludf.DUMMYFUNCTION("""COMPUTED_VALUE"""),"Fled/Escaped")</f>
        <v>Fled/Escaped</v>
      </c>
      <c r="G99" s="5" t="str">
        <f ca="1">IFERROR(__xludf.DUMMYFUNCTION("""COMPUTED_VALUE"""),"No")</f>
        <v>No</v>
      </c>
      <c r="H99" s="5" t="str">
        <f ca="1">IFERROR(__xludf.DUMMYFUNCTION("""COMPUTED_VALUE"""),"None")</f>
        <v>None</v>
      </c>
    </row>
    <row r="100" spans="1:8">
      <c r="A100" s="5" t="str">
        <f ca="1">IFERROR(__xludf.DUMMYFUNCTION("""COMPUTED_VALUE"""),"20220424MOHAF")</f>
        <v>20220424MOHAF</v>
      </c>
      <c r="B100" s="5">
        <f ca="1">IFERROR(__xludf.DUMMYFUNCTION("""COMPUTED_VALUE"""),18)</f>
        <v>18</v>
      </c>
      <c r="C100" s="5" t="str">
        <f ca="1">IFERROR(__xludf.DUMMYFUNCTION("""COMPUTED_VALUE"""),"Male")</f>
        <v>Male</v>
      </c>
      <c r="D100" s="5" t="str">
        <f ca="1">IFERROR(__xludf.DUMMYFUNCTION("""COMPUTED_VALUE"""),"Black")</f>
        <v>Black</v>
      </c>
      <c r="E100" s="5"/>
      <c r="F100" s="5" t="str">
        <f ca="1">IFERROR(__xludf.DUMMYFUNCTION("""COMPUTED_VALUE"""),"Fled/Apprehended")</f>
        <v>Fled/Apprehended</v>
      </c>
      <c r="G100" s="5" t="str">
        <f ca="1">IFERROR(__xludf.DUMMYFUNCTION("""COMPUTED_VALUE"""),"No")</f>
        <v>No</v>
      </c>
      <c r="H100" s="5" t="str">
        <f ca="1">IFERROR(__xludf.DUMMYFUNCTION("""COMPUTED_VALUE"""),"None")</f>
        <v>None</v>
      </c>
    </row>
    <row r="101" spans="1:8">
      <c r="A101" s="5" t="str">
        <f ca="1">IFERROR(__xludf.DUMMYFUNCTION("""COMPUTED_VALUE"""),"20220424MOHAF")</f>
        <v>20220424MOHAF</v>
      </c>
      <c r="B101" s="5">
        <f ca="1">IFERROR(__xludf.DUMMYFUNCTION("""COMPUTED_VALUE"""),18)</f>
        <v>18</v>
      </c>
      <c r="C101" s="5" t="str">
        <f ca="1">IFERROR(__xludf.DUMMYFUNCTION("""COMPUTED_VALUE"""),"Male")</f>
        <v>Male</v>
      </c>
      <c r="D101" s="5" t="str">
        <f ca="1">IFERROR(__xludf.DUMMYFUNCTION("""COMPUTED_VALUE"""),"Black")</f>
        <v>Black</v>
      </c>
      <c r="E101" s="5"/>
      <c r="F101" s="5" t="str">
        <f ca="1">IFERROR(__xludf.DUMMYFUNCTION("""COMPUTED_VALUE"""),"Fled/Apprehended")</f>
        <v>Fled/Apprehended</v>
      </c>
      <c r="G101" s="5" t="str">
        <f ca="1">IFERROR(__xludf.DUMMYFUNCTION("""COMPUTED_VALUE"""),"No")</f>
        <v>No</v>
      </c>
      <c r="H101" s="5" t="str">
        <f ca="1">IFERROR(__xludf.DUMMYFUNCTION("""COMPUTED_VALUE"""),"None")</f>
        <v>None</v>
      </c>
    </row>
    <row r="102" spans="1:8">
      <c r="A102" s="5" t="str">
        <f ca="1">IFERROR(__xludf.DUMMYFUNCTION("""COMPUTED_VALUE"""),"20220422ORHOS")</f>
        <v>20220422ORHOS</v>
      </c>
      <c r="B102" s="5" t="str">
        <f ca="1">IFERROR(__xludf.DUMMYFUNCTION("""COMPUTED_VALUE"""),"Teen")</f>
        <v>Teen</v>
      </c>
      <c r="C102" s="5" t="str">
        <f ca="1">IFERROR(__xludf.DUMMYFUNCTION("""COMPUTED_VALUE"""),"Male")</f>
        <v>Male</v>
      </c>
      <c r="D102" s="5"/>
      <c r="E102" s="5"/>
      <c r="F102" s="5" t="str">
        <f ca="1">IFERROR(__xludf.DUMMYFUNCTION("""COMPUTED_VALUE"""),"Fled/Apprehended")</f>
        <v>Fled/Apprehended</v>
      </c>
      <c r="G102" s="5" t="str">
        <f ca="1">IFERROR(__xludf.DUMMYFUNCTION("""COMPUTED_VALUE"""),"No")</f>
        <v>No</v>
      </c>
      <c r="H102" s="5" t="str">
        <f ca="1">IFERROR(__xludf.DUMMYFUNCTION("""COMPUTED_VALUE"""),"None")</f>
        <v>None</v>
      </c>
    </row>
    <row r="103" spans="1:8">
      <c r="A103" s="5" t="str">
        <f ca="1">IFERROR(__xludf.DUMMYFUNCTION("""COMPUTED_VALUE"""),"20220422DCEDW")</f>
        <v>20220422DCEDW</v>
      </c>
      <c r="B103" s="5">
        <f ca="1">IFERROR(__xludf.DUMMYFUNCTION("""COMPUTED_VALUE"""),23)</f>
        <v>23</v>
      </c>
      <c r="C103" s="5" t="str">
        <f ca="1">IFERROR(__xludf.DUMMYFUNCTION("""COMPUTED_VALUE"""),"Male")</f>
        <v>Male</v>
      </c>
      <c r="D103" s="5"/>
      <c r="E103" s="5" t="str">
        <f ca="1">IFERROR(__xludf.DUMMYFUNCTION("""COMPUTED_VALUE"""),"No Relation")</f>
        <v>No Relation</v>
      </c>
      <c r="F103" s="5" t="str">
        <f ca="1">IFERROR(__xludf.DUMMYFUNCTION("""COMPUTED_VALUE"""),"Suicide")</f>
        <v>Suicide</v>
      </c>
      <c r="G103" s="5" t="str">
        <f ca="1">IFERROR(__xludf.DUMMYFUNCTION("""COMPUTED_VALUE"""),"Yes")</f>
        <v>Yes</v>
      </c>
      <c r="H103" s="5" t="str">
        <f ca="1">IFERROR(__xludf.DUMMYFUNCTION("""COMPUTED_VALUE"""),"Suicide")</f>
        <v>Suicide</v>
      </c>
    </row>
    <row r="104" spans="1:8">
      <c r="A104" s="5" t="str">
        <f ca="1">IFERROR(__xludf.DUMMYFUNCTION("""COMPUTED_VALUE"""),"20220422CAMOR")</f>
        <v>20220422CAMOR</v>
      </c>
      <c r="B104" s="5"/>
      <c r="C104" s="5"/>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c r="A105" s="5" t="str">
        <f ca="1">IFERROR(__xludf.DUMMYFUNCTION("""COMPUTED_VALUE"""),"20220421NDMOM")</f>
        <v>20220421NDMOM</v>
      </c>
      <c r="B105" s="5"/>
      <c r="C105" s="5"/>
      <c r="D105" s="5"/>
      <c r="E105" s="5" t="str">
        <f ca="1">IFERROR(__xludf.DUMMYFUNCTION("""COMPUTED_VALUE"""),"Police Officer/SRO")</f>
        <v>Police Officer/SRO</v>
      </c>
      <c r="F105" s="5" t="str">
        <f ca="1">IFERROR(__xludf.DUMMYFUNCTION("""COMPUTED_VALUE"""),"Law Enforcement")</f>
        <v>Law Enforcement</v>
      </c>
      <c r="G105" s="5" t="str">
        <f ca="1">IFERROR(__xludf.DUMMYFUNCTION("""COMPUTED_VALUE"""),"No")</f>
        <v>No</v>
      </c>
      <c r="H105" s="5" t="str">
        <f ca="1">IFERROR(__xludf.DUMMYFUNCTION("""COMPUTED_VALUE"""),"None")</f>
        <v>None</v>
      </c>
    </row>
    <row r="106" spans="1:8">
      <c r="A106" s="5" t="str">
        <f ca="1">IFERROR(__xludf.DUMMYFUNCTION("""COMPUTED_VALUE"""),"20220416IAMED")</f>
        <v>20220416IAMED</v>
      </c>
      <c r="B106" s="5" t="str">
        <f ca="1">IFERROR(__xludf.DUMMYFUNCTION("""COMPUTED_VALUE"""),"Adult")</f>
        <v>Adult</v>
      </c>
      <c r="C106" s="5"/>
      <c r="D106" s="5"/>
      <c r="E106" s="5"/>
      <c r="F106" s="5" t="str">
        <f ca="1">IFERROR(__xludf.DUMMYFUNCTION("""COMPUTED_VALUE"""),"Fled/Escaped")</f>
        <v>Fled/Escaped</v>
      </c>
      <c r="G106" s="5" t="str">
        <f ca="1">IFERROR(__xludf.DUMMYFUNCTION("""COMPUTED_VALUE"""),"No")</f>
        <v>No</v>
      </c>
      <c r="H106" s="5" t="str">
        <f ca="1">IFERROR(__xludf.DUMMYFUNCTION("""COMPUTED_VALUE"""),"None")</f>
        <v>None</v>
      </c>
    </row>
    <row r="107" spans="1:8">
      <c r="A107" s="5" t="str">
        <f ca="1">IFERROR(__xludf.DUMMYFUNCTION("""COMPUTED_VALUE"""),"20220415VAGAW")</f>
        <v>20220415VAGAW</v>
      </c>
      <c r="B107" s="5"/>
      <c r="C107" s="5" t="str">
        <f ca="1">IFERROR(__xludf.DUMMYFUNCTION("""COMPUTED_VALUE"""),"Male")</f>
        <v>Male</v>
      </c>
      <c r="D107" s="5"/>
      <c r="E107" s="5"/>
      <c r="F107" s="5" t="str">
        <f ca="1">IFERROR(__xludf.DUMMYFUNCTION("""COMPUTED_VALUE"""),"Fled/Escaped")</f>
        <v>Fled/Escaped</v>
      </c>
      <c r="G107" s="5" t="str">
        <f ca="1">IFERROR(__xludf.DUMMYFUNCTION("""COMPUTED_VALUE"""),"No")</f>
        <v>No</v>
      </c>
      <c r="H107" s="5" t="str">
        <f ca="1">IFERROR(__xludf.DUMMYFUNCTION("""COMPUTED_VALUE"""),"None")</f>
        <v>None</v>
      </c>
    </row>
    <row r="108" spans="1:8">
      <c r="A108" s="5" t="str">
        <f ca="1">IFERROR(__xludf.DUMMYFUNCTION("""COMPUTED_VALUE"""),"20220414MSNEP")</f>
        <v>20220414MSNEP</v>
      </c>
      <c r="B108" s="5" t="str">
        <f ca="1">IFERROR(__xludf.DUMMYFUNCTION("""COMPUTED_VALUE"""),"Teen")</f>
        <v>Teen</v>
      </c>
      <c r="C108" s="5" t="str">
        <f ca="1">IFERROR(__xludf.DUMMYFUNCTION("""COMPUTED_VALUE"""),"Male")</f>
        <v>Male</v>
      </c>
      <c r="D108" s="5"/>
      <c r="E108" s="5" t="str">
        <f ca="1">IFERROR(__xludf.DUMMYFUNCTION("""COMPUTED_VALUE"""),"Rival School Student")</f>
        <v>Rival School Student</v>
      </c>
      <c r="F108" s="5" t="str">
        <f ca="1">IFERROR(__xludf.DUMMYFUNCTION("""COMPUTED_VALUE"""),"Fled/Apprehended")</f>
        <v>Fled/Apprehended</v>
      </c>
      <c r="G108" s="5" t="str">
        <f ca="1">IFERROR(__xludf.DUMMYFUNCTION("""COMPUTED_VALUE"""),"No")</f>
        <v>No</v>
      </c>
      <c r="H108" s="5" t="str">
        <f ca="1">IFERROR(__xludf.DUMMYFUNCTION("""COMPUTED_VALUE"""),"None")</f>
        <v>None</v>
      </c>
    </row>
    <row r="109" spans="1:8">
      <c r="A109" s="5" t="str">
        <f ca="1">IFERROR(__xludf.DUMMYFUNCTION("""COMPUTED_VALUE"""),"20220414MSNEP")</f>
        <v>20220414MSNEP</v>
      </c>
      <c r="B109" s="5" t="str">
        <f ca="1">IFERROR(__xludf.DUMMYFUNCTION("""COMPUTED_VALUE"""),"Teen")</f>
        <v>Teen</v>
      </c>
      <c r="C109" s="5" t="str">
        <f ca="1">IFERROR(__xludf.DUMMYFUNCTION("""COMPUTED_VALUE"""),"Male")</f>
        <v>Male</v>
      </c>
      <c r="D109" s="5"/>
      <c r="E109" s="5" t="str">
        <f ca="1">IFERROR(__xludf.DUMMYFUNCTION("""COMPUTED_VALUE"""),"Rival School Student")</f>
        <v>Rival School Student</v>
      </c>
      <c r="F109" s="5" t="str">
        <f ca="1">IFERROR(__xludf.DUMMYFUNCTION("""COMPUTED_VALUE"""),"Fled/Apprehended")</f>
        <v>Fled/Apprehended</v>
      </c>
      <c r="G109" s="5" t="str">
        <f ca="1">IFERROR(__xludf.DUMMYFUNCTION("""COMPUTED_VALUE"""),"No")</f>
        <v>No</v>
      </c>
      <c r="H109" s="5" t="str">
        <f ca="1">IFERROR(__xludf.DUMMYFUNCTION("""COMPUTED_VALUE"""),"None")</f>
        <v>None</v>
      </c>
    </row>
    <row r="110" spans="1:8">
      <c r="A110" s="5" t="str">
        <f ca="1">IFERROR(__xludf.DUMMYFUNCTION("""COMPUTED_VALUE"""),"20220414MSNEP")</f>
        <v>20220414MSNEP</v>
      </c>
      <c r="B110" s="5" t="str">
        <f ca="1">IFERROR(__xludf.DUMMYFUNCTION("""COMPUTED_VALUE"""),"Teen")</f>
        <v>Teen</v>
      </c>
      <c r="C110" s="5" t="str">
        <f ca="1">IFERROR(__xludf.DUMMYFUNCTION("""COMPUTED_VALUE"""),"Male")</f>
        <v>Male</v>
      </c>
      <c r="D110" s="5"/>
      <c r="E110" s="5" t="str">
        <f ca="1">IFERROR(__xludf.DUMMYFUNCTION("""COMPUTED_VALUE"""),"Rival School Student")</f>
        <v>Rival School Student</v>
      </c>
      <c r="F110" s="5" t="str">
        <f ca="1">IFERROR(__xludf.DUMMYFUNCTION("""COMPUTED_VALUE"""),"Fled/Apprehended")</f>
        <v>Fled/Apprehended</v>
      </c>
      <c r="G110" s="5" t="str">
        <f ca="1">IFERROR(__xludf.DUMMYFUNCTION("""COMPUTED_VALUE"""),"No")</f>
        <v>No</v>
      </c>
      <c r="H110" s="5" t="str">
        <f ca="1">IFERROR(__xludf.DUMMYFUNCTION("""COMPUTED_VALUE"""),"None")</f>
        <v>None</v>
      </c>
    </row>
    <row r="111" spans="1:8">
      <c r="A111" s="5" t="str">
        <f ca="1">IFERROR(__xludf.DUMMYFUNCTION("""COMPUTED_VALUE"""),"20220413MISHS")</f>
        <v>20220413MISHS</v>
      </c>
      <c r="B111" s="5">
        <f ca="1">IFERROR(__xludf.DUMMYFUNCTION("""COMPUTED_VALUE"""),11)</f>
        <v>11</v>
      </c>
      <c r="C111" s="5" t="str">
        <f ca="1">IFERROR(__xludf.DUMMYFUNCTION("""COMPUTED_VALUE"""),"Male")</f>
        <v>Male</v>
      </c>
      <c r="D111" s="5"/>
      <c r="E111" s="5" t="str">
        <f ca="1">IFERROR(__xludf.DUMMYFUNCTION("""COMPUTED_VALUE"""),"Student")</f>
        <v>Student</v>
      </c>
      <c r="F111" s="5" t="str">
        <f ca="1">IFERROR(__xludf.DUMMYFUNCTION("""COMPUTED_VALUE"""),"Apprehended/Killed by SRO")</f>
        <v>Apprehended/Killed by SRO</v>
      </c>
      <c r="G111" s="5" t="str">
        <f ca="1">IFERROR(__xludf.DUMMYFUNCTION("""COMPUTED_VALUE"""),"No")</f>
        <v>No</v>
      </c>
      <c r="H111" s="5" t="str">
        <f ca="1">IFERROR(__xludf.DUMMYFUNCTION("""COMPUTED_VALUE"""),"None")</f>
        <v>None</v>
      </c>
    </row>
    <row r="112" spans="1:8">
      <c r="A112" s="5" t="str">
        <f ca="1">IFERROR(__xludf.DUMMYFUNCTION("""COMPUTED_VALUE"""),"20220411ARPIP")</f>
        <v>20220411ARPIP</v>
      </c>
      <c r="B112" s="5" t="str">
        <f ca="1">IFERROR(__xludf.DUMMYFUNCTION("""COMPUTED_VALUE"""),"Teen")</f>
        <v>Teen</v>
      </c>
      <c r="C112" s="5" t="str">
        <f ca="1">IFERROR(__xludf.DUMMYFUNCTION("""COMPUTED_VALUE"""),"Male")</f>
        <v>Male</v>
      </c>
      <c r="D112" s="5"/>
      <c r="E112" s="5"/>
      <c r="F112" s="5" t="str">
        <f ca="1">IFERROR(__xludf.DUMMYFUNCTION("""COMPUTED_VALUE"""),"Apprehended/Killed by SRO")</f>
        <v>Apprehended/Killed by SRO</v>
      </c>
      <c r="G112" s="5" t="str">
        <f ca="1">IFERROR(__xludf.DUMMYFUNCTION("""COMPUTED_VALUE"""),"No")</f>
        <v>No</v>
      </c>
      <c r="H112" s="5" t="str">
        <f ca="1">IFERROR(__xludf.DUMMYFUNCTION("""COMPUTED_VALUE"""),"None")</f>
        <v>None</v>
      </c>
    </row>
    <row r="113" spans="1:8">
      <c r="A113" s="5" t="str">
        <f ca="1">IFERROR(__xludf.DUMMYFUNCTION("""COMPUTED_VALUE"""),"20220410MALYL")</f>
        <v>20220410MALYL</v>
      </c>
      <c r="B113" s="5"/>
      <c r="C113" s="5"/>
      <c r="D113" s="5"/>
      <c r="E113" s="5" t="str">
        <f ca="1">IFERROR(__xludf.DUMMYFUNCTION("""COMPUTED_VALUE"""),"No Relation")</f>
        <v>No Relation</v>
      </c>
      <c r="F113" s="5" t="str">
        <f ca="1">IFERROR(__xludf.DUMMYFUNCTION("""COMPUTED_VALUE"""),"Fled/Escaped")</f>
        <v>Fled/Escaped</v>
      </c>
      <c r="G113" s="5" t="str">
        <f ca="1">IFERROR(__xludf.DUMMYFUNCTION("""COMPUTED_VALUE"""),"No")</f>
        <v>No</v>
      </c>
      <c r="H113" s="5" t="str">
        <f ca="1">IFERROR(__xludf.DUMMYFUNCTION("""COMPUTED_VALUE"""),"None")</f>
        <v>None</v>
      </c>
    </row>
    <row r="114" spans="1:8">
      <c r="A114" s="5" t="str">
        <f ca="1">IFERROR(__xludf.DUMMYFUNCTION("""COMPUTED_VALUE"""),"20220406WVRIR")</f>
        <v>20220406WVRIR</v>
      </c>
      <c r="B114" s="5">
        <f ca="1">IFERROR(__xludf.DUMMYFUNCTION("""COMPUTED_VALUE"""),15)</f>
        <v>15</v>
      </c>
      <c r="C114" s="5" t="str">
        <f ca="1">IFERROR(__xludf.DUMMYFUNCTION("""COMPUTED_VALUE"""),"Male")</f>
        <v>Male</v>
      </c>
      <c r="D114" s="5"/>
      <c r="E114" s="5" t="str">
        <f ca="1">IFERROR(__xludf.DUMMYFUNCTION("""COMPUTED_VALUE"""),"Student")</f>
        <v>Student</v>
      </c>
      <c r="F114" s="5" t="str">
        <f ca="1">IFERROR(__xludf.DUMMYFUNCTION("""COMPUTED_VALUE"""),"Subdued by Students/Staff/Other")</f>
        <v>Subdued by Students/Staff/Other</v>
      </c>
      <c r="G114" s="5" t="str">
        <f ca="1">IFERROR(__xludf.DUMMYFUNCTION("""COMPUTED_VALUE"""),"No")</f>
        <v>No</v>
      </c>
      <c r="H114" s="5" t="str">
        <f ca="1">IFERROR(__xludf.DUMMYFUNCTION("""COMPUTED_VALUE"""),"None")</f>
        <v>None</v>
      </c>
    </row>
    <row r="115" spans="1:8">
      <c r="A115" s="5" t="str">
        <f ca="1">IFERROR(__xludf.DUMMYFUNCTION("""COMPUTED_VALUE"""),"20220406WASTM")</f>
        <v>20220406WASTM</v>
      </c>
      <c r="B115" s="5"/>
      <c r="C115" s="5"/>
      <c r="D115" s="5"/>
      <c r="E115" s="5" t="str">
        <f ca="1">IFERROR(__xludf.DUMMYFUNCTION("""COMPUTED_VALUE"""),"No Relation")</f>
        <v>No Relation</v>
      </c>
      <c r="F115" s="5" t="str">
        <f ca="1">IFERROR(__xludf.DUMMYFUNCTION("""COMPUTED_VALUE"""),"Fled/Escaped")</f>
        <v>Fled/Escaped</v>
      </c>
      <c r="G115" s="5" t="str">
        <f ca="1">IFERROR(__xludf.DUMMYFUNCTION("""COMPUTED_VALUE"""),"No")</f>
        <v>No</v>
      </c>
      <c r="H115" s="5" t="str">
        <f ca="1">IFERROR(__xludf.DUMMYFUNCTION("""COMPUTED_VALUE"""),"None")</f>
        <v>None</v>
      </c>
    </row>
    <row r="116" spans="1:8">
      <c r="A116" s="5" t="str">
        <f ca="1">IFERROR(__xludf.DUMMYFUNCTION("""COMPUTED_VALUE"""),"20220406ORROP")</f>
        <v>20220406ORROP</v>
      </c>
      <c r="B116" s="5"/>
      <c r="C116" s="5"/>
      <c r="D116" s="5"/>
      <c r="E116" s="5"/>
      <c r="F116" s="5" t="str">
        <f ca="1">IFERROR(__xludf.DUMMYFUNCTION("""COMPUTED_VALUE"""),"Fled/Escaped")</f>
        <v>Fled/Escaped</v>
      </c>
      <c r="G116" s="5" t="str">
        <f ca="1">IFERROR(__xludf.DUMMYFUNCTION("""COMPUTED_VALUE"""),"No")</f>
        <v>No</v>
      </c>
      <c r="H116" s="5" t="str">
        <f ca="1">IFERROR(__xludf.DUMMYFUNCTION("""COMPUTED_VALUE"""),"None")</f>
        <v>None</v>
      </c>
    </row>
    <row r="117" spans="1:8">
      <c r="A117" s="5" t="str">
        <f ca="1">IFERROR(__xludf.DUMMYFUNCTION("""COMPUTED_VALUE"""),"20220405PAERE")</f>
        <v>20220405PAERE</v>
      </c>
      <c r="B117" s="5" t="str">
        <f ca="1">IFERROR(__xludf.DUMMYFUNCTION("""COMPUTED_VALUE"""),"Minor")</f>
        <v>Minor</v>
      </c>
      <c r="C117" s="5" t="str">
        <f ca="1">IFERROR(__xludf.DUMMYFUNCTION("""COMPUTED_VALUE"""),"Male")</f>
        <v>Male</v>
      </c>
      <c r="D117" s="5"/>
      <c r="E117" s="5" t="str">
        <f ca="1">IFERROR(__xludf.DUMMYFUNCTION("""COMPUTED_VALUE"""),"Student")</f>
        <v>Student</v>
      </c>
      <c r="F117" s="5" t="str">
        <f ca="1">IFERROR(__xludf.DUMMYFUNCTION("""COMPUTED_VALUE"""),"Fled/Apprehended")</f>
        <v>Fled/Apprehended</v>
      </c>
      <c r="G117" s="5" t="str">
        <f ca="1">IFERROR(__xludf.DUMMYFUNCTION("""COMPUTED_VALUE"""),"No")</f>
        <v>No</v>
      </c>
      <c r="H117" s="5" t="str">
        <f ca="1">IFERROR(__xludf.DUMMYFUNCTION("""COMPUTED_VALUE"""),"None")</f>
        <v>None</v>
      </c>
    </row>
    <row r="118" spans="1:8">
      <c r="A118" s="5" t="str">
        <f ca="1">IFERROR(__xludf.DUMMYFUNCTION("""COMPUTED_VALUE"""),"20220403INBLB")</f>
        <v>20220403INBLB</v>
      </c>
      <c r="B118" s="5">
        <f ca="1">IFERROR(__xludf.DUMMYFUNCTION("""COMPUTED_VALUE"""),18)</f>
        <v>18</v>
      </c>
      <c r="C118" s="5" t="str">
        <f ca="1">IFERROR(__xludf.DUMMYFUNCTION("""COMPUTED_VALUE"""),"Male")</f>
        <v>Male</v>
      </c>
      <c r="D118" s="5"/>
      <c r="E118" s="5"/>
      <c r="F118" s="5" t="str">
        <f ca="1">IFERROR(__xludf.DUMMYFUNCTION("""COMPUTED_VALUE"""),"Fled/Apprehended")</f>
        <v>Fled/Apprehended</v>
      </c>
      <c r="G118" s="5" t="str">
        <f ca="1">IFERROR(__xludf.DUMMYFUNCTION("""COMPUTED_VALUE"""),"No")</f>
        <v>No</v>
      </c>
      <c r="H118" s="5" t="str">
        <f ca="1">IFERROR(__xludf.DUMMYFUNCTION("""COMPUTED_VALUE"""),"None")</f>
        <v>None</v>
      </c>
    </row>
    <row r="119" spans="1:8">
      <c r="A119" s="5" t="str">
        <f ca="1">IFERROR(__xludf.DUMMYFUNCTION("""COMPUTED_VALUE"""),"20220403INBLB")</f>
        <v>20220403INBLB</v>
      </c>
      <c r="B119" s="5">
        <f ca="1">IFERROR(__xludf.DUMMYFUNCTION("""COMPUTED_VALUE"""),15)</f>
        <v>15</v>
      </c>
      <c r="C119" s="5"/>
      <c r="D119" s="5"/>
      <c r="E119" s="5"/>
      <c r="F119" s="5" t="str">
        <f ca="1">IFERROR(__xludf.DUMMYFUNCTION("""COMPUTED_VALUE"""),"Fled/Apprehended")</f>
        <v>Fled/Apprehended</v>
      </c>
      <c r="G119" s="5" t="str">
        <f ca="1">IFERROR(__xludf.DUMMYFUNCTION("""COMPUTED_VALUE"""),"No")</f>
        <v>No</v>
      </c>
      <c r="H119" s="5" t="str">
        <f ca="1">IFERROR(__xludf.DUMMYFUNCTION("""COMPUTED_VALUE"""),"None")</f>
        <v>None</v>
      </c>
    </row>
    <row r="120" spans="1:8">
      <c r="A120" s="5" t="str">
        <f ca="1">IFERROR(__xludf.DUMMYFUNCTION("""COMPUTED_VALUE"""),"20220331SCTAG")</f>
        <v>20220331SCTAG</v>
      </c>
      <c r="B120" s="5">
        <f ca="1">IFERROR(__xludf.DUMMYFUNCTION("""COMPUTED_VALUE"""),12)</f>
        <v>12</v>
      </c>
      <c r="C120" s="5" t="str">
        <f ca="1">IFERROR(__xludf.DUMMYFUNCTION("""COMPUTED_VALUE"""),"Male")</f>
        <v>Male</v>
      </c>
      <c r="D120" s="5"/>
      <c r="E120" s="5" t="str">
        <f ca="1">IFERROR(__xludf.DUMMYFUNCTION("""COMPUTED_VALUE"""),"Student")</f>
        <v>Student</v>
      </c>
      <c r="F120" s="5" t="str">
        <f ca="1">IFERROR(__xludf.DUMMYFUNCTION("""COMPUTED_VALUE"""),"Fled/Apprehended")</f>
        <v>Fled/Apprehended</v>
      </c>
      <c r="G120" s="5" t="str">
        <f ca="1">IFERROR(__xludf.DUMMYFUNCTION("""COMPUTED_VALUE"""),"No")</f>
        <v>No</v>
      </c>
      <c r="H120" s="5" t="str">
        <f ca="1">IFERROR(__xludf.DUMMYFUNCTION("""COMPUTED_VALUE"""),"None")</f>
        <v>None</v>
      </c>
    </row>
    <row r="121" spans="1:8">
      <c r="A121" s="5" t="str">
        <f ca="1">IFERROR(__xludf.DUMMYFUNCTION("""COMPUTED_VALUE"""),"20220331PAACP")</f>
        <v>20220331PAACP</v>
      </c>
      <c r="B121" s="5">
        <f ca="1">IFERROR(__xludf.DUMMYFUNCTION("""COMPUTED_VALUE"""),8)</f>
        <v>8</v>
      </c>
      <c r="C121" s="5" t="str">
        <f ca="1">IFERROR(__xludf.DUMMYFUNCTION("""COMPUTED_VALUE"""),"Male")</f>
        <v>Male</v>
      </c>
      <c r="D121" s="5"/>
      <c r="E121" s="5" t="str">
        <f ca="1">IFERROR(__xludf.DUMMYFUNCTION("""COMPUTED_VALUE"""),"Student")</f>
        <v>Student</v>
      </c>
      <c r="F121" s="5" t="str">
        <f ca="1">IFERROR(__xludf.DUMMYFUNCTION("""COMPUTED_VALUE"""),"Subdued by Students/Staff/Other")</f>
        <v>Subdued by Students/Staff/Other</v>
      </c>
      <c r="G121" s="5" t="str">
        <f ca="1">IFERROR(__xludf.DUMMYFUNCTION("""COMPUTED_VALUE"""),"No")</f>
        <v>No</v>
      </c>
      <c r="H121" s="5" t="str">
        <f ca="1">IFERROR(__xludf.DUMMYFUNCTION("""COMPUTED_VALUE"""),"None")</f>
        <v>None</v>
      </c>
    </row>
    <row r="122" spans="1:8">
      <c r="A122" s="5" t="str">
        <f ca="1">IFERROR(__xludf.DUMMYFUNCTION("""COMPUTED_VALUE"""),"20220330GABOA")</f>
        <v>20220330GABOA</v>
      </c>
      <c r="B122" s="5">
        <f ca="1">IFERROR(__xludf.DUMMYFUNCTION("""COMPUTED_VALUE"""),31)</f>
        <v>31</v>
      </c>
      <c r="C122" s="5" t="str">
        <f ca="1">IFERROR(__xludf.DUMMYFUNCTION("""COMPUTED_VALUE"""),"Female")</f>
        <v>Female</v>
      </c>
      <c r="D122" s="5" t="str">
        <f ca="1">IFERROR(__xludf.DUMMYFUNCTION("""COMPUTED_VALUE"""),"Black")</f>
        <v>Black</v>
      </c>
      <c r="E122" s="5" t="str">
        <f ca="1">IFERROR(__xludf.DUMMYFUNCTION("""COMPUTED_VALUE"""),"Parent")</f>
        <v>Parent</v>
      </c>
      <c r="F122" s="5" t="str">
        <f ca="1">IFERROR(__xludf.DUMMYFUNCTION("""COMPUTED_VALUE"""),"Apprehended/Killed by SRO")</f>
        <v>Apprehended/Killed by SRO</v>
      </c>
      <c r="G122" s="5" t="str">
        <f ca="1">IFERROR(__xludf.DUMMYFUNCTION("""COMPUTED_VALUE"""),"No")</f>
        <v>No</v>
      </c>
      <c r="H122" s="5" t="str">
        <f ca="1">IFERROR(__xludf.DUMMYFUNCTION("""COMPUTED_VALUE"""),"Wounded")</f>
        <v>Wounded</v>
      </c>
    </row>
    <row r="123" spans="1:8">
      <c r="A123" s="5" t="str">
        <f ca="1">IFERROR(__xludf.DUMMYFUNCTION("""COMPUTED_VALUE"""),"20220330AZKIK")</f>
        <v>20220330AZKIK</v>
      </c>
      <c r="B123" s="5">
        <f ca="1">IFERROR(__xludf.DUMMYFUNCTION("""COMPUTED_VALUE"""),14)</f>
        <v>14</v>
      </c>
      <c r="C123" s="5" t="str">
        <f ca="1">IFERROR(__xludf.DUMMYFUNCTION("""COMPUTED_VALUE"""),"Male")</f>
        <v>Male</v>
      </c>
      <c r="D123" s="5"/>
      <c r="E123" s="5" t="str">
        <f ca="1">IFERROR(__xludf.DUMMYFUNCTION("""COMPUTED_VALUE"""),"Student")</f>
        <v>Student</v>
      </c>
      <c r="F123" s="5" t="str">
        <f ca="1">IFERROR(__xludf.DUMMYFUNCTION("""COMPUTED_VALUE"""),"Fled/Apprehended")</f>
        <v>Fled/Apprehended</v>
      </c>
      <c r="G123" s="5" t="str">
        <f ca="1">IFERROR(__xludf.DUMMYFUNCTION("""COMPUTED_VALUE"""),"No")</f>
        <v>No</v>
      </c>
      <c r="H123" s="5" t="str">
        <f ca="1">IFERROR(__xludf.DUMMYFUNCTION("""COMPUTED_VALUE"""),"None")</f>
        <v>None</v>
      </c>
    </row>
    <row r="124" spans="1:8">
      <c r="A124" s="5" t="str">
        <f ca="1">IFERROR(__xludf.DUMMYFUNCTION("""COMPUTED_VALUE"""),"20220329VALUR")</f>
        <v>20220329VALUR</v>
      </c>
      <c r="B124" s="5" t="str">
        <f ca="1">IFERROR(__xludf.DUMMYFUNCTION("""COMPUTED_VALUE"""),"Teen")</f>
        <v>Teen</v>
      </c>
      <c r="C124" s="5"/>
      <c r="D124" s="5"/>
      <c r="E124" s="5" t="str">
        <f ca="1">IFERROR(__xludf.DUMMYFUNCTION("""COMPUTED_VALUE"""),"Student")</f>
        <v>Student</v>
      </c>
      <c r="F124" s="5" t="str">
        <f ca="1">IFERROR(__xludf.DUMMYFUNCTION("""COMPUTED_VALUE"""),"Apprehended/Killed by SRO")</f>
        <v>Apprehended/Killed by SRO</v>
      </c>
      <c r="G124" s="5" t="str">
        <f ca="1">IFERROR(__xludf.DUMMYFUNCTION("""COMPUTED_VALUE"""),"No")</f>
        <v>No</v>
      </c>
      <c r="H124" s="5" t="str">
        <f ca="1">IFERROR(__xludf.DUMMYFUNCTION("""COMPUTED_VALUE"""),"None")</f>
        <v>None</v>
      </c>
    </row>
    <row r="125" spans="1:8">
      <c r="A125" s="5" t="str">
        <f ca="1">IFERROR(__xludf.DUMMYFUNCTION("""COMPUTED_VALUE"""),"20220329NVWEL")</f>
        <v>20220329NVWEL</v>
      </c>
      <c r="B125" s="5" t="str">
        <f ca="1">IFERROR(__xludf.DUMMYFUNCTION("""COMPUTED_VALUE"""),"Adult")</f>
        <v>Adult</v>
      </c>
      <c r="C125" s="5"/>
      <c r="D125" s="5"/>
      <c r="E125" s="5" t="str">
        <f ca="1">IFERROR(__xludf.DUMMYFUNCTION("""COMPUTED_VALUE"""),"Police Officer/SRO")</f>
        <v>Police Officer/SRO</v>
      </c>
      <c r="F125" s="5"/>
      <c r="G125" s="5" t="str">
        <f ca="1">IFERROR(__xludf.DUMMYFUNCTION("""COMPUTED_VALUE"""),"No")</f>
        <v>No</v>
      </c>
      <c r="H125" s="5" t="str">
        <f ca="1">IFERROR(__xludf.DUMMYFUNCTION("""COMPUTED_VALUE"""),"None")</f>
        <v>None</v>
      </c>
    </row>
    <row r="126" spans="1:8">
      <c r="A126" s="5" t="str">
        <f ca="1">IFERROR(__xludf.DUMMYFUNCTION("""COMPUTED_VALUE"""),"20220328TXNOF")</f>
        <v>20220328TXNOF</v>
      </c>
      <c r="B126" s="5"/>
      <c r="C126" s="5"/>
      <c r="D126" s="5"/>
      <c r="E126" s="5"/>
      <c r="F126" s="5" t="str">
        <f ca="1">IFERROR(__xludf.DUMMYFUNCTION("""COMPUTED_VALUE"""),"Fled/Escaped")</f>
        <v>Fled/Escaped</v>
      </c>
      <c r="G126" s="5" t="str">
        <f ca="1">IFERROR(__xludf.DUMMYFUNCTION("""COMPUTED_VALUE"""),"No")</f>
        <v>No</v>
      </c>
      <c r="H126" s="5" t="str">
        <f ca="1">IFERROR(__xludf.DUMMYFUNCTION("""COMPUTED_VALUE"""),"None")</f>
        <v>None</v>
      </c>
    </row>
    <row r="127" spans="1:8">
      <c r="A127" s="5" t="str">
        <f ca="1">IFERROR(__xludf.DUMMYFUNCTION("""COMPUTED_VALUE"""),"20220328NCOAC")</f>
        <v>20220328NCOAC</v>
      </c>
      <c r="B127" s="5">
        <f ca="1">IFERROR(__xludf.DUMMYFUNCTION("""COMPUTED_VALUE"""),18)</f>
        <v>18</v>
      </c>
      <c r="C127" s="5" t="str">
        <f ca="1">IFERROR(__xludf.DUMMYFUNCTION("""COMPUTED_VALUE"""),"Male")</f>
        <v>Male</v>
      </c>
      <c r="D127" s="5" t="str">
        <f ca="1">IFERROR(__xludf.DUMMYFUNCTION("""COMPUTED_VALUE"""),"Black")</f>
        <v>Black</v>
      </c>
      <c r="E127" s="5" t="str">
        <f ca="1">IFERROR(__xludf.DUMMYFUNCTION("""COMPUTED_VALUE"""),"No Relation")</f>
        <v>No Relation</v>
      </c>
      <c r="F127" s="5" t="str">
        <f ca="1">IFERROR(__xludf.DUMMYFUNCTION("""COMPUTED_VALUE"""),"Fled/Apprehended")</f>
        <v>Fled/Apprehended</v>
      </c>
      <c r="G127" s="5" t="str">
        <f ca="1">IFERROR(__xludf.DUMMYFUNCTION("""COMPUTED_VALUE"""),"No")</f>
        <v>No</v>
      </c>
      <c r="H127" s="5" t="str">
        <f ca="1">IFERROR(__xludf.DUMMYFUNCTION("""COMPUTED_VALUE"""),"None")</f>
        <v>None</v>
      </c>
    </row>
    <row r="128" spans="1:8">
      <c r="A128" s="5" t="str">
        <f ca="1">IFERROR(__xludf.DUMMYFUNCTION("""COMPUTED_VALUE"""),"20220325UTHIS")</f>
        <v>20220325UTHIS</v>
      </c>
      <c r="B128" s="5" t="str">
        <f ca="1">IFERROR(__xludf.DUMMYFUNCTION("""COMPUTED_VALUE"""),"Teen")</f>
        <v>Teen</v>
      </c>
      <c r="C128" s="5" t="str">
        <f ca="1">IFERROR(__xludf.DUMMYFUNCTION("""COMPUTED_VALUE"""),"Male")</f>
        <v>Male</v>
      </c>
      <c r="D128" s="5"/>
      <c r="E128" s="5" t="str">
        <f ca="1">IFERROR(__xludf.DUMMYFUNCTION("""COMPUTED_VALUE"""),"Student")</f>
        <v>Student</v>
      </c>
      <c r="F128" s="5" t="str">
        <f ca="1">IFERROR(__xludf.DUMMYFUNCTION("""COMPUTED_VALUE"""),"Fled/Escaped")</f>
        <v>Fled/Escaped</v>
      </c>
      <c r="G128" s="5" t="str">
        <f ca="1">IFERROR(__xludf.DUMMYFUNCTION("""COMPUTED_VALUE"""),"No")</f>
        <v>No</v>
      </c>
      <c r="H128" s="5" t="str">
        <f ca="1">IFERROR(__xludf.DUMMYFUNCTION("""COMPUTED_VALUE"""),"None")</f>
        <v>None</v>
      </c>
    </row>
    <row r="129" spans="1:8">
      <c r="A129" s="5" t="str">
        <f ca="1">IFERROR(__xludf.DUMMYFUNCTION("""COMPUTED_VALUE"""),"20220325UTHIS")</f>
        <v>20220325UTHIS</v>
      </c>
      <c r="B129" s="5" t="str">
        <f ca="1">IFERROR(__xludf.DUMMYFUNCTION("""COMPUTED_VALUE"""),"Adult")</f>
        <v>Adult</v>
      </c>
      <c r="C129" s="5" t="str">
        <f ca="1">IFERROR(__xludf.DUMMYFUNCTION("""COMPUTED_VALUE"""),"Male")</f>
        <v>Male</v>
      </c>
      <c r="D129" s="5"/>
      <c r="E129" s="5" t="str">
        <f ca="1">IFERROR(__xludf.DUMMYFUNCTION("""COMPUTED_VALUE"""),"No Relation")</f>
        <v>No Relation</v>
      </c>
      <c r="F129" s="5" t="str">
        <f ca="1">IFERROR(__xludf.DUMMYFUNCTION("""COMPUTED_VALUE"""),"Fled/Escaped")</f>
        <v>Fled/Escaped</v>
      </c>
      <c r="G129" s="5" t="str">
        <f ca="1">IFERROR(__xludf.DUMMYFUNCTION("""COMPUTED_VALUE"""),"No")</f>
        <v>No</v>
      </c>
      <c r="H129" s="5" t="str">
        <f ca="1">IFERROR(__xludf.DUMMYFUNCTION("""COMPUTED_VALUE"""),"None")</f>
        <v>None</v>
      </c>
    </row>
    <row r="130" spans="1:8">
      <c r="A130" s="5" t="str">
        <f ca="1">IFERROR(__xludf.DUMMYFUNCTION("""COMPUTED_VALUE"""),"20220325TXROR")</f>
        <v>20220325TXROR</v>
      </c>
      <c r="B130" s="5" t="str">
        <f ca="1">IFERROR(__xludf.DUMMYFUNCTION("""COMPUTED_VALUE"""),"Teen")</f>
        <v>Teen</v>
      </c>
      <c r="C130" s="5"/>
      <c r="D130" s="5"/>
      <c r="E130" s="5" t="str">
        <f ca="1">IFERROR(__xludf.DUMMYFUNCTION("""COMPUTED_VALUE"""),"Student")</f>
        <v>Student</v>
      </c>
      <c r="F130" s="5" t="str">
        <f ca="1">IFERROR(__xludf.DUMMYFUNCTION("""COMPUTED_VALUE"""),"Apprehended/Killed by LE")</f>
        <v>Apprehended/Killed by LE</v>
      </c>
      <c r="G130" s="5" t="str">
        <f ca="1">IFERROR(__xludf.DUMMYFUNCTION("""COMPUTED_VALUE"""),"No")</f>
        <v>No</v>
      </c>
      <c r="H130" s="5" t="str">
        <f ca="1">IFERROR(__xludf.DUMMYFUNCTION("""COMPUTED_VALUE"""),"None")</f>
        <v>None</v>
      </c>
    </row>
    <row r="131" spans="1:8">
      <c r="A131" s="5" t="str">
        <f ca="1">IFERROR(__xludf.DUMMYFUNCTION("""COMPUTED_VALUE"""),"20220325TXROR")</f>
        <v>20220325TXROR</v>
      </c>
      <c r="B131" s="5" t="str">
        <f ca="1">IFERROR(__xludf.DUMMYFUNCTION("""COMPUTED_VALUE"""),"Teen")</f>
        <v>Teen</v>
      </c>
      <c r="C131" s="5"/>
      <c r="D131" s="5"/>
      <c r="E131" s="5" t="str">
        <f ca="1">IFERROR(__xludf.DUMMYFUNCTION("""COMPUTED_VALUE"""),"Student")</f>
        <v>Student</v>
      </c>
      <c r="F131" s="5" t="str">
        <f ca="1">IFERROR(__xludf.DUMMYFUNCTION("""COMPUTED_VALUE"""),"Apprehended/Killed by LE")</f>
        <v>Apprehended/Killed by LE</v>
      </c>
      <c r="G131" s="5" t="str">
        <f ca="1">IFERROR(__xludf.DUMMYFUNCTION("""COMPUTED_VALUE"""),"No")</f>
        <v>No</v>
      </c>
      <c r="H131" s="5" t="str">
        <f ca="1">IFERROR(__xludf.DUMMYFUNCTION("""COMPUTED_VALUE"""),"None")</f>
        <v>None</v>
      </c>
    </row>
    <row r="132" spans="1:8">
      <c r="A132" s="5" t="str">
        <f ca="1">IFERROR(__xludf.DUMMYFUNCTION("""COMPUTED_VALUE"""),"20220325TXROR")</f>
        <v>20220325TXROR</v>
      </c>
      <c r="B132" s="5" t="str">
        <f ca="1">IFERROR(__xludf.DUMMYFUNCTION("""COMPUTED_VALUE"""),"Teen")</f>
        <v>Teen</v>
      </c>
      <c r="C132" s="5"/>
      <c r="D132" s="5"/>
      <c r="E132" s="5" t="str">
        <f ca="1">IFERROR(__xludf.DUMMYFUNCTION("""COMPUTED_VALUE"""),"Student")</f>
        <v>Student</v>
      </c>
      <c r="F132" s="5" t="str">
        <f ca="1">IFERROR(__xludf.DUMMYFUNCTION("""COMPUTED_VALUE"""),"Apprehended/Killed by LE")</f>
        <v>Apprehended/Killed by LE</v>
      </c>
      <c r="G132" s="5" t="str">
        <f ca="1">IFERROR(__xludf.DUMMYFUNCTION("""COMPUTED_VALUE"""),"No")</f>
        <v>No</v>
      </c>
      <c r="H132" s="5" t="str">
        <f ca="1">IFERROR(__xludf.DUMMYFUNCTION("""COMPUTED_VALUE"""),"None")</f>
        <v>None</v>
      </c>
    </row>
    <row r="133" spans="1:8">
      <c r="A133" s="5" t="str">
        <f ca="1">IFERROR(__xludf.DUMMYFUNCTION("""COMPUTED_VALUE"""),"20220325TXROR")</f>
        <v>20220325TXROR</v>
      </c>
      <c r="B133" s="5" t="str">
        <f ca="1">IFERROR(__xludf.DUMMYFUNCTION("""COMPUTED_VALUE"""),"Teen")</f>
        <v>Teen</v>
      </c>
      <c r="C133" s="5"/>
      <c r="D133" s="5"/>
      <c r="E133" s="5" t="str">
        <f ca="1">IFERROR(__xludf.DUMMYFUNCTION("""COMPUTED_VALUE"""),"Student")</f>
        <v>Student</v>
      </c>
      <c r="F133" s="5" t="str">
        <f ca="1">IFERROR(__xludf.DUMMYFUNCTION("""COMPUTED_VALUE"""),"Apprehended/Killed by LE")</f>
        <v>Apprehended/Killed by LE</v>
      </c>
      <c r="G133" s="5" t="str">
        <f ca="1">IFERROR(__xludf.DUMMYFUNCTION("""COMPUTED_VALUE"""),"No")</f>
        <v>No</v>
      </c>
      <c r="H133" s="5" t="str">
        <f ca="1">IFERROR(__xludf.DUMMYFUNCTION("""COMPUTED_VALUE"""),"None")</f>
        <v>None</v>
      </c>
    </row>
    <row r="134" spans="1:8">
      <c r="A134" s="5" t="str">
        <f ca="1">IFERROR(__xludf.DUMMYFUNCTION("""COMPUTED_VALUE"""),"20220325TXROR")</f>
        <v>20220325TXROR</v>
      </c>
      <c r="B134" s="5" t="str">
        <f ca="1">IFERROR(__xludf.DUMMYFUNCTION("""COMPUTED_VALUE"""),"Teen")</f>
        <v>Teen</v>
      </c>
      <c r="C134" s="5"/>
      <c r="D134" s="5"/>
      <c r="E134" s="5" t="str">
        <f ca="1">IFERROR(__xludf.DUMMYFUNCTION("""COMPUTED_VALUE"""),"Student")</f>
        <v>Student</v>
      </c>
      <c r="F134" s="5" t="str">
        <f ca="1">IFERROR(__xludf.DUMMYFUNCTION("""COMPUTED_VALUE"""),"Apprehended/Killed by LE")</f>
        <v>Apprehended/Killed by LE</v>
      </c>
      <c r="G134" s="5" t="str">
        <f ca="1">IFERROR(__xludf.DUMMYFUNCTION("""COMPUTED_VALUE"""),"No")</f>
        <v>No</v>
      </c>
      <c r="H134" s="5" t="str">
        <f ca="1">IFERROR(__xludf.DUMMYFUNCTION("""COMPUTED_VALUE"""),"None")</f>
        <v>None</v>
      </c>
    </row>
    <row r="135" spans="1:8">
      <c r="A135" s="5" t="str">
        <f ca="1">IFERROR(__xludf.DUMMYFUNCTION("""COMPUTED_VALUE"""),"20220325TNBRM")</f>
        <v>20220325TNBRM</v>
      </c>
      <c r="B135" s="5" t="str">
        <f ca="1">IFERROR(__xludf.DUMMYFUNCTION("""COMPUTED_VALUE"""),"Adult")</f>
        <v>Adult</v>
      </c>
      <c r="C135" s="5" t="str">
        <f ca="1">IFERROR(__xludf.DUMMYFUNCTION("""COMPUTED_VALUE"""),"Male")</f>
        <v>Male</v>
      </c>
      <c r="D135" s="5"/>
      <c r="E135" s="5" t="str">
        <f ca="1">IFERROR(__xludf.DUMMYFUNCTION("""COMPUTED_VALUE"""),"No Relation")</f>
        <v>No Relation</v>
      </c>
      <c r="F135" s="5" t="str">
        <f ca="1">IFERROR(__xludf.DUMMYFUNCTION("""COMPUTED_VALUE"""),"Fled/Apprehended")</f>
        <v>Fled/Apprehended</v>
      </c>
      <c r="G135" s="5" t="str">
        <f ca="1">IFERROR(__xludf.DUMMYFUNCTION("""COMPUTED_VALUE"""),"No")</f>
        <v>No</v>
      </c>
      <c r="H135" s="5" t="str">
        <f ca="1">IFERROR(__xludf.DUMMYFUNCTION("""COMPUTED_VALUE"""),"None")</f>
        <v>None</v>
      </c>
    </row>
    <row r="136" spans="1:8">
      <c r="A136" s="5" t="str">
        <f ca="1">IFERROR(__xludf.DUMMYFUNCTION("""COMPUTED_VALUE"""),"20220324VARIW")</f>
        <v>20220324VARIW</v>
      </c>
      <c r="B136" s="5">
        <f ca="1">IFERROR(__xludf.DUMMYFUNCTION("""COMPUTED_VALUE"""),20)</f>
        <v>20</v>
      </c>
      <c r="C136" s="5" t="str">
        <f ca="1">IFERROR(__xludf.DUMMYFUNCTION("""COMPUTED_VALUE"""),"Male")</f>
        <v>Male</v>
      </c>
      <c r="D136" s="5" t="str">
        <f ca="1">IFERROR(__xludf.DUMMYFUNCTION("""COMPUTED_VALUE"""),"Black")</f>
        <v>Black</v>
      </c>
      <c r="E136" s="5" t="str">
        <f ca="1">IFERROR(__xludf.DUMMYFUNCTION("""COMPUTED_VALUE"""),"No Relation")</f>
        <v>No Relation</v>
      </c>
      <c r="F136" s="5" t="str">
        <f ca="1">IFERROR(__xludf.DUMMYFUNCTION("""COMPUTED_VALUE"""),"Apprehended/Killed by SRO")</f>
        <v>Apprehended/Killed by SRO</v>
      </c>
      <c r="G136" s="5" t="str">
        <f ca="1">IFERROR(__xludf.DUMMYFUNCTION("""COMPUTED_VALUE"""),"No")</f>
        <v>No</v>
      </c>
      <c r="H136" s="5" t="str">
        <f ca="1">IFERROR(__xludf.DUMMYFUNCTION("""COMPUTED_VALUE"""),"None")</f>
        <v>None</v>
      </c>
    </row>
    <row r="137" spans="1:8">
      <c r="A137" s="5" t="str">
        <f ca="1">IFERROR(__xludf.DUMMYFUNCTION("""COMPUTED_VALUE"""),"20220322VAJAR")</f>
        <v>20220322VAJAR</v>
      </c>
      <c r="B137" s="5" t="str">
        <f ca="1">IFERROR(__xludf.DUMMYFUNCTION("""COMPUTED_VALUE"""),"Adult")</f>
        <v>Adult</v>
      </c>
      <c r="C137" s="5"/>
      <c r="D137" s="5"/>
      <c r="E137" s="5" t="str">
        <f ca="1">IFERROR(__xludf.DUMMYFUNCTION("""COMPUTED_VALUE"""),"No Relation")</f>
        <v>No Relation</v>
      </c>
      <c r="F137" s="5" t="str">
        <f ca="1">IFERROR(__xludf.DUMMYFUNCTION("""COMPUTED_VALUE"""),"Fled/Escaped")</f>
        <v>Fled/Escaped</v>
      </c>
      <c r="G137" s="5" t="str">
        <f ca="1">IFERROR(__xludf.DUMMYFUNCTION("""COMPUTED_VALUE"""),"No")</f>
        <v>No</v>
      </c>
      <c r="H137" s="5" t="str">
        <f ca="1">IFERROR(__xludf.DUMMYFUNCTION("""COMPUTED_VALUE"""),"None")</f>
        <v>None</v>
      </c>
    </row>
    <row r="138" spans="1:8">
      <c r="A138" s="5" t="str">
        <f ca="1">IFERROR(__xludf.DUMMYFUNCTION("""COMPUTED_VALUE"""),"20220322TXWOD")</f>
        <v>20220322TXWOD</v>
      </c>
      <c r="B138" s="5" t="str">
        <f ca="1">IFERROR(__xludf.DUMMYFUNCTION("""COMPUTED_VALUE"""),"Teen")</f>
        <v>Teen</v>
      </c>
      <c r="C138" s="5"/>
      <c r="D138" s="5"/>
      <c r="E138" s="5" t="str">
        <f ca="1">IFERROR(__xludf.DUMMYFUNCTION("""COMPUTED_VALUE"""),"Student")</f>
        <v>Student</v>
      </c>
      <c r="F138" s="5" t="str">
        <f ca="1">IFERROR(__xludf.DUMMYFUNCTION("""COMPUTED_VALUE"""),"Fled/Escaped")</f>
        <v>Fled/Escaped</v>
      </c>
      <c r="G138" s="5" t="str">
        <f ca="1">IFERROR(__xludf.DUMMYFUNCTION("""COMPUTED_VALUE"""),"No")</f>
        <v>No</v>
      </c>
      <c r="H138" s="5" t="str">
        <f ca="1">IFERROR(__xludf.DUMMYFUNCTION("""COMPUTED_VALUE"""),"None")</f>
        <v>None</v>
      </c>
    </row>
    <row r="139" spans="1:8">
      <c r="A139" s="5" t="str">
        <f ca="1">IFERROR(__xludf.DUMMYFUNCTION("""COMPUTED_VALUE"""),"20220322FLNEN")</f>
        <v>20220322FLNEN</v>
      </c>
      <c r="B139" s="5">
        <f ca="1">IFERROR(__xludf.DUMMYFUNCTION("""COMPUTED_VALUE"""),17)</f>
        <v>17</v>
      </c>
      <c r="C139" s="5" t="str">
        <f ca="1">IFERROR(__xludf.DUMMYFUNCTION("""COMPUTED_VALUE"""),"Male")</f>
        <v>Male</v>
      </c>
      <c r="D139" s="5" t="str">
        <f ca="1">IFERROR(__xludf.DUMMYFUNCTION("""COMPUTED_VALUE"""),"White")</f>
        <v>White</v>
      </c>
      <c r="E139" s="5" t="str">
        <f ca="1">IFERROR(__xludf.DUMMYFUNCTION("""COMPUTED_VALUE"""),"Student")</f>
        <v>Student</v>
      </c>
      <c r="F139" s="5" t="str">
        <f ca="1">IFERROR(__xludf.DUMMYFUNCTION("""COMPUTED_VALUE"""),"Fled/Apprehended")</f>
        <v>Fled/Apprehended</v>
      </c>
      <c r="G139" s="5" t="str">
        <f ca="1">IFERROR(__xludf.DUMMYFUNCTION("""COMPUTED_VALUE"""),"No")</f>
        <v>No</v>
      </c>
      <c r="H139" s="5" t="str">
        <f ca="1">IFERROR(__xludf.DUMMYFUNCTION("""COMPUTED_VALUE"""),"None")</f>
        <v>None</v>
      </c>
    </row>
    <row r="140" spans="1:8">
      <c r="A140" s="5" t="str">
        <f ca="1">IFERROR(__xludf.DUMMYFUNCTION("""COMPUTED_VALUE"""),"20220321MSLEP")</f>
        <v>20220321MSLEP</v>
      </c>
      <c r="B140" s="5" t="str">
        <f ca="1">IFERROR(__xludf.DUMMYFUNCTION("""COMPUTED_VALUE"""),"Adult")</f>
        <v>Adult</v>
      </c>
      <c r="C140" s="5" t="str">
        <f ca="1">IFERROR(__xludf.DUMMYFUNCTION("""COMPUTED_VALUE"""),"Male")</f>
        <v>Male</v>
      </c>
      <c r="D140" s="5"/>
      <c r="E140" s="5" t="str">
        <f ca="1">IFERROR(__xludf.DUMMYFUNCTION("""COMPUTED_VALUE"""),"No Relation")</f>
        <v>No Relation</v>
      </c>
      <c r="F140" s="5" t="str">
        <f ca="1">IFERROR(__xludf.DUMMYFUNCTION("""COMPUTED_VALUE"""),"Apprehended/Killed by LE")</f>
        <v>Apprehended/Killed by LE</v>
      </c>
      <c r="G140" s="5" t="str">
        <f ca="1">IFERROR(__xludf.DUMMYFUNCTION("""COMPUTED_VALUE"""),"No")</f>
        <v>No</v>
      </c>
      <c r="H140" s="5" t="str">
        <f ca="1">IFERROR(__xludf.DUMMYFUNCTION("""COMPUTED_VALUE"""),"None")</f>
        <v>None</v>
      </c>
    </row>
    <row r="141" spans="1:8">
      <c r="A141" s="5" t="str">
        <f ca="1">IFERROR(__xludf.DUMMYFUNCTION("""COMPUTED_VALUE"""),"20220321MIMAK")</f>
        <v>20220321MIMAK</v>
      </c>
      <c r="B141" s="5">
        <f ca="1">IFERROR(__xludf.DUMMYFUNCTION("""COMPUTED_VALUE"""),36)</f>
        <v>36</v>
      </c>
      <c r="C141" s="5" t="str">
        <f ca="1">IFERROR(__xludf.DUMMYFUNCTION("""COMPUTED_VALUE"""),"Female")</f>
        <v>Female</v>
      </c>
      <c r="D141" s="5" t="str">
        <f ca="1">IFERROR(__xludf.DUMMYFUNCTION("""COMPUTED_VALUE"""),"Black")</f>
        <v>Black</v>
      </c>
      <c r="E141" s="5" t="str">
        <f ca="1">IFERROR(__xludf.DUMMYFUNCTION("""COMPUTED_VALUE"""),"Parent")</f>
        <v>Parent</v>
      </c>
      <c r="F141" s="5" t="str">
        <f ca="1">IFERROR(__xludf.DUMMYFUNCTION("""COMPUTED_VALUE"""),"Fled/Apprehended")</f>
        <v>Fled/Apprehended</v>
      </c>
      <c r="G141" s="5" t="str">
        <f ca="1">IFERROR(__xludf.DUMMYFUNCTION("""COMPUTED_VALUE"""),"No")</f>
        <v>No</v>
      </c>
      <c r="H141" s="5" t="str">
        <f ca="1">IFERROR(__xludf.DUMMYFUNCTION("""COMPUTED_VALUE"""),"None")</f>
        <v>None</v>
      </c>
    </row>
    <row r="142" spans="1:8">
      <c r="A142" s="5" t="str">
        <f ca="1">IFERROR(__xludf.DUMMYFUNCTION("""COMPUTED_VALUE"""),"20220321AZDES")</f>
        <v>20220321AZDES</v>
      </c>
      <c r="B142" s="5">
        <f ca="1">IFERROR(__xludf.DUMMYFUNCTION("""COMPUTED_VALUE"""),31)</f>
        <v>31</v>
      </c>
      <c r="C142" s="5" t="str">
        <f ca="1">IFERROR(__xludf.DUMMYFUNCTION("""COMPUTED_VALUE"""),"Male")</f>
        <v>Male</v>
      </c>
      <c r="D142" s="5"/>
      <c r="E142" s="5" t="str">
        <f ca="1">IFERROR(__xludf.DUMMYFUNCTION("""COMPUTED_VALUE"""),"No Relation")</f>
        <v>No Relation</v>
      </c>
      <c r="F142" s="5" t="str">
        <f ca="1">IFERROR(__xludf.DUMMYFUNCTION("""COMPUTED_VALUE"""),"Apprehended/Killed by LE")</f>
        <v>Apprehended/Killed by LE</v>
      </c>
      <c r="G142" s="5" t="str">
        <f ca="1">IFERROR(__xludf.DUMMYFUNCTION("""COMPUTED_VALUE"""),"No")</f>
        <v>No</v>
      </c>
      <c r="H142" s="5" t="str">
        <f ca="1">IFERROR(__xludf.DUMMYFUNCTION("""COMPUTED_VALUE"""),"None")</f>
        <v>None</v>
      </c>
    </row>
    <row r="143" spans="1:8">
      <c r="A143" s="5" t="str">
        <f ca="1">IFERROR(__xludf.DUMMYFUNCTION("""COMPUTED_VALUE"""),"20220319ALCEL")</f>
        <v>20220319ALCEL</v>
      </c>
      <c r="B143" s="5" t="str">
        <f ca="1">IFERROR(__xludf.DUMMYFUNCTION("""COMPUTED_VALUE"""),"Adult")</f>
        <v>Adult</v>
      </c>
      <c r="C143" s="5" t="str">
        <f ca="1">IFERROR(__xludf.DUMMYFUNCTION("""COMPUTED_VALUE"""),"Male")</f>
        <v>Male</v>
      </c>
      <c r="D143" s="5" t="str">
        <f ca="1">IFERROR(__xludf.DUMMYFUNCTION("""COMPUTED_VALUE"""),"Black")</f>
        <v>Black</v>
      </c>
      <c r="E143" s="5" t="str">
        <f ca="1">IFERROR(__xludf.DUMMYFUNCTION("""COMPUTED_VALUE"""),"No Relation")</f>
        <v>No Relation</v>
      </c>
      <c r="F143" s="5" t="str">
        <f ca="1">IFERROR(__xludf.DUMMYFUNCTION("""COMPUTED_VALUE"""),"Fled/Apprehended")</f>
        <v>Fled/Apprehended</v>
      </c>
      <c r="G143" s="5" t="str">
        <f ca="1">IFERROR(__xludf.DUMMYFUNCTION("""COMPUTED_VALUE"""),"No")</f>
        <v>No</v>
      </c>
      <c r="H143" s="5" t="str">
        <f ca="1">IFERROR(__xludf.DUMMYFUNCTION("""COMPUTED_VALUE"""),"None")</f>
        <v>None</v>
      </c>
    </row>
    <row r="144" spans="1:8">
      <c r="A144" s="5" t="str">
        <f ca="1">IFERROR(__xludf.DUMMYFUNCTION("""COMPUTED_VALUE"""),"20220318RICEP")</f>
        <v>20220318RICEP</v>
      </c>
      <c r="B144" s="5">
        <f ca="1">IFERROR(__xludf.DUMMYFUNCTION("""COMPUTED_VALUE"""),17)</f>
        <v>17</v>
      </c>
      <c r="C144" s="5" t="str">
        <f ca="1">IFERROR(__xludf.DUMMYFUNCTION("""COMPUTED_VALUE"""),"Male")</f>
        <v>Male</v>
      </c>
      <c r="D144" s="5"/>
      <c r="E144" s="5" t="str">
        <f ca="1">IFERROR(__xludf.DUMMYFUNCTION("""COMPUTED_VALUE"""),"Student")</f>
        <v>Student</v>
      </c>
      <c r="F144" s="5" t="str">
        <f ca="1">IFERROR(__xludf.DUMMYFUNCTION("""COMPUTED_VALUE"""),"Fled/Apprehended")</f>
        <v>Fled/Apprehended</v>
      </c>
      <c r="G144" s="5" t="str">
        <f ca="1">IFERROR(__xludf.DUMMYFUNCTION("""COMPUTED_VALUE"""),"No")</f>
        <v>No</v>
      </c>
      <c r="H144" s="5" t="str">
        <f ca="1">IFERROR(__xludf.DUMMYFUNCTION("""COMPUTED_VALUE"""),"None")</f>
        <v>None</v>
      </c>
    </row>
    <row r="145" spans="1:8">
      <c r="A145" s="5" t="str">
        <f ca="1">IFERROR(__xludf.DUMMYFUNCTION("""COMPUTED_VALUE"""),"20220318RICEP")</f>
        <v>20220318RICEP</v>
      </c>
      <c r="B145" s="5">
        <f ca="1">IFERROR(__xludf.DUMMYFUNCTION("""COMPUTED_VALUE"""),18)</f>
        <v>18</v>
      </c>
      <c r="C145" s="5" t="str">
        <f ca="1">IFERROR(__xludf.DUMMYFUNCTION("""COMPUTED_VALUE"""),"Male")</f>
        <v>Male</v>
      </c>
      <c r="D145" s="5"/>
      <c r="E145" s="5" t="str">
        <f ca="1">IFERROR(__xludf.DUMMYFUNCTION("""COMPUTED_VALUE"""),"Student")</f>
        <v>Student</v>
      </c>
      <c r="F145" s="5" t="str">
        <f ca="1">IFERROR(__xludf.DUMMYFUNCTION("""COMPUTED_VALUE"""),"Fled/Apprehended")</f>
        <v>Fled/Apprehended</v>
      </c>
      <c r="G145" s="5" t="str">
        <f ca="1">IFERROR(__xludf.DUMMYFUNCTION("""COMPUTED_VALUE"""),"No")</f>
        <v>No</v>
      </c>
      <c r="H145" s="5" t="str">
        <f ca="1">IFERROR(__xludf.DUMMYFUNCTION("""COMPUTED_VALUE"""),"None")</f>
        <v>None</v>
      </c>
    </row>
    <row r="146" spans="1:8">
      <c r="A146" s="5" t="str">
        <f ca="1">IFERROR(__xludf.DUMMYFUNCTION("""COMPUTED_VALUE"""),"20220318ILBAB")</f>
        <v>20220318ILBAB</v>
      </c>
      <c r="B146" s="5" t="str">
        <f ca="1">IFERROR(__xludf.DUMMYFUNCTION("""COMPUTED_VALUE"""),"Teen")</f>
        <v>Teen</v>
      </c>
      <c r="C146" s="5" t="str">
        <f ca="1">IFERROR(__xludf.DUMMYFUNCTION("""COMPUTED_VALUE"""),"Male")</f>
        <v>Male</v>
      </c>
      <c r="D146" s="5"/>
      <c r="E146" s="5" t="str">
        <f ca="1">IFERROR(__xludf.DUMMYFUNCTION("""COMPUTED_VALUE"""),"Student")</f>
        <v>Student</v>
      </c>
      <c r="F146" s="5" t="str">
        <f ca="1">IFERROR(__xludf.DUMMYFUNCTION("""COMPUTED_VALUE"""),"Fled/Apprehended")</f>
        <v>Fled/Apprehended</v>
      </c>
      <c r="G146" s="5" t="str">
        <f ca="1">IFERROR(__xludf.DUMMYFUNCTION("""COMPUTED_VALUE"""),"No")</f>
        <v>No</v>
      </c>
      <c r="H146" s="5" t="str">
        <f ca="1">IFERROR(__xludf.DUMMYFUNCTION("""COMPUTED_VALUE"""),"None")</f>
        <v>None</v>
      </c>
    </row>
    <row r="147" spans="1:8">
      <c r="A147" s="5" t="str">
        <f ca="1">IFERROR(__xludf.DUMMYFUNCTION("""COMPUTED_VALUE"""),"20220317AKREW")</f>
        <v>20220317AKREW</v>
      </c>
      <c r="B147" s="5" t="str">
        <f ca="1">IFERROR(__xludf.DUMMYFUNCTION("""COMPUTED_VALUE"""),"Teen")</f>
        <v>Teen</v>
      </c>
      <c r="C147" s="5" t="str">
        <f ca="1">IFERROR(__xludf.DUMMYFUNCTION("""COMPUTED_VALUE"""),"Male")</f>
        <v>Male</v>
      </c>
      <c r="D147" s="5"/>
      <c r="E147" s="5" t="str">
        <f ca="1">IFERROR(__xludf.DUMMYFUNCTION("""COMPUTED_VALUE"""),"Student")</f>
        <v>Student</v>
      </c>
      <c r="F147" s="5" t="str">
        <f ca="1">IFERROR(__xludf.DUMMYFUNCTION("""COMPUTED_VALUE"""),"Fled/Escaped")</f>
        <v>Fled/Escaped</v>
      </c>
      <c r="G147" s="5" t="str">
        <f ca="1">IFERROR(__xludf.DUMMYFUNCTION("""COMPUTED_VALUE"""),"No")</f>
        <v>No</v>
      </c>
      <c r="H147" s="5" t="str">
        <f ca="1">IFERROR(__xludf.DUMMYFUNCTION("""COMPUTED_VALUE"""),"None")</f>
        <v>None</v>
      </c>
    </row>
    <row r="148" spans="1:8">
      <c r="A148" s="5" t="str">
        <f ca="1">IFERROR(__xludf.DUMMYFUNCTION("""COMPUTED_VALUE"""),"20220316CALOR")</f>
        <v>20220316CALOR</v>
      </c>
      <c r="B148" s="5">
        <f ca="1">IFERROR(__xludf.DUMMYFUNCTION("""COMPUTED_VALUE"""),12)</f>
        <v>12</v>
      </c>
      <c r="C148" s="5" t="str">
        <f ca="1">IFERROR(__xludf.DUMMYFUNCTION("""COMPUTED_VALUE"""),"Male")</f>
        <v>Male</v>
      </c>
      <c r="D148" s="5"/>
      <c r="E148" s="5" t="str">
        <f ca="1">IFERROR(__xludf.DUMMYFUNCTION("""COMPUTED_VALUE"""),"Student")</f>
        <v>Student</v>
      </c>
      <c r="F148" s="5" t="str">
        <f ca="1">IFERROR(__xludf.DUMMYFUNCTION("""COMPUTED_VALUE"""),"Fled/Apprehended")</f>
        <v>Fled/Apprehended</v>
      </c>
      <c r="G148" s="5" t="str">
        <f ca="1">IFERROR(__xludf.DUMMYFUNCTION("""COMPUTED_VALUE"""),"No")</f>
        <v>No</v>
      </c>
      <c r="H148" s="5" t="str">
        <f ca="1">IFERROR(__xludf.DUMMYFUNCTION("""COMPUTED_VALUE"""),"None")</f>
        <v>None</v>
      </c>
    </row>
    <row r="149" spans="1:8">
      <c r="A149" s="5" t="str">
        <f ca="1">IFERROR(__xludf.DUMMYFUNCTION("""COMPUTED_VALUE"""),"20220315WAEIY")</f>
        <v>20220315WAEIY</v>
      </c>
      <c r="B149" s="5">
        <f ca="1">IFERROR(__xludf.DUMMYFUNCTION("""COMPUTED_VALUE"""),15)</f>
        <v>15</v>
      </c>
      <c r="C149" s="5" t="str">
        <f ca="1">IFERROR(__xludf.DUMMYFUNCTION("""COMPUTED_VALUE"""),"Male")</f>
        <v>Male</v>
      </c>
      <c r="D149" s="5"/>
      <c r="E149" s="5" t="str">
        <f ca="1">IFERROR(__xludf.DUMMYFUNCTION("""COMPUTED_VALUE"""),"Student")</f>
        <v>Student</v>
      </c>
      <c r="F149" s="5" t="str">
        <f ca="1">IFERROR(__xludf.DUMMYFUNCTION("""COMPUTED_VALUE"""),"Fled/Apprehended")</f>
        <v>Fled/Apprehended</v>
      </c>
      <c r="G149" s="5" t="str">
        <f ca="1">IFERROR(__xludf.DUMMYFUNCTION("""COMPUTED_VALUE"""),"No")</f>
        <v>No</v>
      </c>
      <c r="H149" s="5" t="str">
        <f ca="1">IFERROR(__xludf.DUMMYFUNCTION("""COMPUTED_VALUE"""),"None")</f>
        <v>None</v>
      </c>
    </row>
    <row r="150" spans="1:8">
      <c r="A150" s="5" t="str">
        <f ca="1">IFERROR(__xludf.DUMMYFUNCTION("""COMPUTED_VALUE"""),"20220315MDPAB")</f>
        <v>20220315MDPAB</v>
      </c>
      <c r="B150" s="5"/>
      <c r="C150" s="5"/>
      <c r="D150" s="5"/>
      <c r="E150" s="5"/>
      <c r="F150" s="5" t="str">
        <f ca="1">IFERROR(__xludf.DUMMYFUNCTION("""COMPUTED_VALUE"""),"Fled/Escaped")</f>
        <v>Fled/Escaped</v>
      </c>
      <c r="G150" s="5" t="str">
        <f ca="1">IFERROR(__xludf.DUMMYFUNCTION("""COMPUTED_VALUE"""),"No")</f>
        <v>No</v>
      </c>
      <c r="H150" s="5" t="str">
        <f ca="1">IFERROR(__xludf.DUMMYFUNCTION("""COMPUTED_VALUE"""),"None")</f>
        <v>None</v>
      </c>
    </row>
    <row r="151" spans="1:8">
      <c r="A151" s="5" t="str">
        <f ca="1">IFERROR(__xludf.DUMMYFUNCTION("""COMPUTED_VALUE"""),"20220315MATEB")</f>
        <v>20220315MATEB</v>
      </c>
      <c r="B151" s="5">
        <f ca="1">IFERROR(__xludf.DUMMYFUNCTION("""COMPUTED_VALUE"""),16)</f>
        <v>16</v>
      </c>
      <c r="C151" s="5" t="str">
        <f ca="1">IFERROR(__xludf.DUMMYFUNCTION("""COMPUTED_VALUE"""),"Male")</f>
        <v>Male</v>
      </c>
      <c r="D151" s="5"/>
      <c r="E151" s="5"/>
      <c r="F151" s="5" t="str">
        <f ca="1">IFERROR(__xludf.DUMMYFUNCTION("""COMPUTED_VALUE"""),"Fled/Apprehended")</f>
        <v>Fled/Apprehended</v>
      </c>
      <c r="G151" s="5" t="str">
        <f ca="1">IFERROR(__xludf.DUMMYFUNCTION("""COMPUTED_VALUE"""),"No")</f>
        <v>No</v>
      </c>
      <c r="H151" s="5" t="str">
        <f ca="1">IFERROR(__xludf.DUMMYFUNCTION("""COMPUTED_VALUE"""),"None")</f>
        <v>None</v>
      </c>
    </row>
    <row r="152" spans="1:8">
      <c r="A152" s="5" t="str">
        <f ca="1">IFERROR(__xludf.DUMMYFUNCTION("""COMPUTED_VALUE"""),"20220315MATEB")</f>
        <v>20220315MATEB</v>
      </c>
      <c r="B152" s="5">
        <f ca="1">IFERROR(__xludf.DUMMYFUNCTION("""COMPUTED_VALUE"""),17)</f>
        <v>17</v>
      </c>
      <c r="C152" s="5" t="str">
        <f ca="1">IFERROR(__xludf.DUMMYFUNCTION("""COMPUTED_VALUE"""),"Male")</f>
        <v>Male</v>
      </c>
      <c r="D152" s="5"/>
      <c r="E152" s="5"/>
      <c r="F152" s="5" t="str">
        <f ca="1">IFERROR(__xludf.DUMMYFUNCTION("""COMPUTED_VALUE"""),"Fled/Apprehended")</f>
        <v>Fled/Apprehended</v>
      </c>
      <c r="G152" s="5" t="str">
        <f ca="1">IFERROR(__xludf.DUMMYFUNCTION("""COMPUTED_VALUE"""),"No")</f>
        <v>No</v>
      </c>
      <c r="H152" s="5" t="str">
        <f ca="1">IFERROR(__xludf.DUMMYFUNCTION("""COMPUTED_VALUE"""),"None")</f>
        <v>None</v>
      </c>
    </row>
    <row r="153" spans="1:8">
      <c r="A153" s="5" t="str">
        <f ca="1">IFERROR(__xludf.DUMMYFUNCTION("""COMPUTED_VALUE"""),"20220315GAFOF")</f>
        <v>20220315GAFOF</v>
      </c>
      <c r="B153" s="5" t="str">
        <f ca="1">IFERROR(__xludf.DUMMYFUNCTION("""COMPUTED_VALUE"""),"Adult")</f>
        <v>Adult</v>
      </c>
      <c r="C153" s="5"/>
      <c r="D153" s="5"/>
      <c r="E153" s="5" t="str">
        <f ca="1">IFERROR(__xludf.DUMMYFUNCTION("""COMPUTED_VALUE"""),"No Relation")</f>
        <v>No Relation</v>
      </c>
      <c r="F153" s="5" t="str">
        <f ca="1">IFERROR(__xludf.DUMMYFUNCTION("""COMPUTED_VALUE"""),"Apprehended/Killed by SRO")</f>
        <v>Apprehended/Killed by SRO</v>
      </c>
      <c r="G153" s="5" t="str">
        <f ca="1">IFERROR(__xludf.DUMMYFUNCTION("""COMPUTED_VALUE"""),"No")</f>
        <v>No</v>
      </c>
      <c r="H153" s="5" t="str">
        <f ca="1">IFERROR(__xludf.DUMMYFUNCTION("""COMPUTED_VALUE"""),"None")</f>
        <v>None</v>
      </c>
    </row>
    <row r="154" spans="1:8">
      <c r="A154" s="5" t="str">
        <f ca="1">IFERROR(__xludf.DUMMYFUNCTION("""COMPUTED_VALUE"""),"20220314CAKRP")</f>
        <v>20220314CAKRP</v>
      </c>
      <c r="B154" s="5" t="str">
        <f ca="1">IFERROR(__xludf.DUMMYFUNCTION("""COMPUTED_VALUE"""),"Adult")</f>
        <v>Adult</v>
      </c>
      <c r="C154" s="5" t="str">
        <f ca="1">IFERROR(__xludf.DUMMYFUNCTION("""COMPUTED_VALUE"""),"Male")</f>
        <v>Male</v>
      </c>
      <c r="D154" s="5"/>
      <c r="E154" s="5" t="str">
        <f ca="1">IFERROR(__xludf.DUMMYFUNCTION("""COMPUTED_VALUE"""),"Principal/Vice-Principal")</f>
        <v>Principal/Vice-Principal</v>
      </c>
      <c r="F154" s="5" t="str">
        <f ca="1">IFERROR(__xludf.DUMMYFUNCTION("""COMPUTED_VALUE"""),"Suicide")</f>
        <v>Suicide</v>
      </c>
      <c r="G154" s="5" t="str">
        <f ca="1">IFERROR(__xludf.DUMMYFUNCTION("""COMPUTED_VALUE"""),"Yes")</f>
        <v>Yes</v>
      </c>
      <c r="H154" s="5" t="str">
        <f ca="1">IFERROR(__xludf.DUMMYFUNCTION("""COMPUTED_VALUE"""),"Fatal")</f>
        <v>Fatal</v>
      </c>
    </row>
    <row r="155" spans="1:8">
      <c r="A155" s="5" t="str">
        <f ca="1">IFERROR(__xludf.DUMMYFUNCTION("""COMPUTED_VALUE"""),"20220313PANEP")</f>
        <v>20220313PANEP</v>
      </c>
      <c r="B155" s="5"/>
      <c r="C155" s="5"/>
      <c r="D155" s="5"/>
      <c r="E155" s="5"/>
      <c r="F155" s="5" t="str">
        <f ca="1">IFERROR(__xludf.DUMMYFUNCTION("""COMPUTED_VALUE"""),"Fled/Escaped")</f>
        <v>Fled/Escaped</v>
      </c>
      <c r="G155" s="5" t="str">
        <f ca="1">IFERROR(__xludf.DUMMYFUNCTION("""COMPUTED_VALUE"""),"No")</f>
        <v>No</v>
      </c>
      <c r="H155" s="5" t="str">
        <f ca="1">IFERROR(__xludf.DUMMYFUNCTION("""COMPUTED_VALUE"""),"None")</f>
        <v>None</v>
      </c>
    </row>
    <row r="156" spans="1:8">
      <c r="A156" s="5" t="str">
        <f ca="1">IFERROR(__xludf.DUMMYFUNCTION("""COMPUTED_VALUE"""),"20220311WIJER")</f>
        <v>20220311WIJER</v>
      </c>
      <c r="B156" s="5" t="str">
        <f ca="1">IFERROR(__xludf.DUMMYFUNCTION("""COMPUTED_VALUE"""),"Child")</f>
        <v>Child</v>
      </c>
      <c r="C156" s="5"/>
      <c r="D156" s="5"/>
      <c r="E156" s="5" t="str">
        <f ca="1">IFERROR(__xludf.DUMMYFUNCTION("""COMPUTED_VALUE"""),"Student")</f>
        <v>Student</v>
      </c>
      <c r="F156" s="5" t="str">
        <f ca="1">IFERROR(__xludf.DUMMYFUNCTION("""COMPUTED_VALUE"""),"Apprehended/Killed by LE")</f>
        <v>Apprehended/Killed by LE</v>
      </c>
      <c r="G156" s="5" t="str">
        <f ca="1">IFERROR(__xludf.DUMMYFUNCTION("""COMPUTED_VALUE"""),"No")</f>
        <v>No</v>
      </c>
      <c r="H156" s="5" t="str">
        <f ca="1">IFERROR(__xludf.DUMMYFUNCTION("""COMPUTED_VALUE"""),"None")</f>
        <v>None</v>
      </c>
    </row>
    <row r="157" spans="1:8">
      <c r="A157" s="5" t="str">
        <f ca="1">IFERROR(__xludf.DUMMYFUNCTION("""COMPUTED_VALUE"""),"20220311OHMAM")</f>
        <v>20220311OHMAM</v>
      </c>
      <c r="B157" s="5"/>
      <c r="C157" s="5"/>
      <c r="D157" s="5"/>
      <c r="E157" s="5"/>
      <c r="F157" s="5" t="str">
        <f ca="1">IFERROR(__xludf.DUMMYFUNCTION("""COMPUTED_VALUE"""),"Fled/Escaped")</f>
        <v>Fled/Escaped</v>
      </c>
      <c r="G157" s="5" t="str">
        <f ca="1">IFERROR(__xludf.DUMMYFUNCTION("""COMPUTED_VALUE"""),"No")</f>
        <v>No</v>
      </c>
      <c r="H157" s="5" t="str">
        <f ca="1">IFERROR(__xludf.DUMMYFUNCTION("""COMPUTED_VALUE"""),"None")</f>
        <v>None</v>
      </c>
    </row>
    <row r="158" spans="1:8">
      <c r="A158" s="5" t="str">
        <f ca="1">IFERROR(__xludf.DUMMYFUNCTION("""COMPUTED_VALUE"""),"20220311OHFAP")</f>
        <v>20220311OHFAP</v>
      </c>
      <c r="B158" s="5">
        <f ca="1">IFERROR(__xludf.DUMMYFUNCTION("""COMPUTED_VALUE"""),43)</f>
        <v>43</v>
      </c>
      <c r="C158" s="5" t="str">
        <f ca="1">IFERROR(__xludf.DUMMYFUNCTION("""COMPUTED_VALUE"""),"Male")</f>
        <v>Male</v>
      </c>
      <c r="D158" s="5"/>
      <c r="E158" s="5" t="str">
        <f ca="1">IFERROR(__xludf.DUMMYFUNCTION("""COMPUTED_VALUE"""),"No Relation")</f>
        <v>No Relation</v>
      </c>
      <c r="F158" s="5" t="str">
        <f ca="1">IFERROR(__xludf.DUMMYFUNCTION("""COMPUTED_VALUE"""),"Surrendered")</f>
        <v>Surrendered</v>
      </c>
      <c r="G158" s="5" t="str">
        <f ca="1">IFERROR(__xludf.DUMMYFUNCTION("""COMPUTED_VALUE"""),"No")</f>
        <v>No</v>
      </c>
      <c r="H158" s="5" t="str">
        <f ca="1">IFERROR(__xludf.DUMMYFUNCTION("""COMPUTED_VALUE"""),"None")</f>
        <v>None</v>
      </c>
    </row>
    <row r="159" spans="1:8">
      <c r="A159" s="5" t="str">
        <f ca="1">IFERROR(__xludf.DUMMYFUNCTION("""COMPUTED_VALUE"""),"20220311CADER")</f>
        <v>20220311CADER</v>
      </c>
      <c r="B159" s="5" t="str">
        <f ca="1">IFERROR(__xludf.DUMMYFUNCTION("""COMPUTED_VALUE"""),"Teen")</f>
        <v>Teen</v>
      </c>
      <c r="C159" s="5" t="str">
        <f ca="1">IFERROR(__xludf.DUMMYFUNCTION("""COMPUTED_VALUE"""),"Male")</f>
        <v>Male</v>
      </c>
      <c r="D159" s="5"/>
      <c r="E159" s="5" t="str">
        <f ca="1">IFERROR(__xludf.DUMMYFUNCTION("""COMPUTED_VALUE"""),"Student")</f>
        <v>Student</v>
      </c>
      <c r="F159" s="5" t="str">
        <f ca="1">IFERROR(__xludf.DUMMYFUNCTION("""COMPUTED_VALUE"""),"Fled/Escaped")</f>
        <v>Fled/Escaped</v>
      </c>
      <c r="G159" s="5" t="str">
        <f ca="1">IFERROR(__xludf.DUMMYFUNCTION("""COMPUTED_VALUE"""),"No")</f>
        <v>No</v>
      </c>
      <c r="H159" s="5" t="str">
        <f ca="1">IFERROR(__xludf.DUMMYFUNCTION("""COMPUTED_VALUE"""),"None")</f>
        <v>None</v>
      </c>
    </row>
    <row r="160" spans="1:8">
      <c r="A160" s="5" t="str">
        <f ca="1">IFERROR(__xludf.DUMMYFUNCTION("""COMPUTED_VALUE"""),"20220310TNHAM")</f>
        <v>20220310TNHAM</v>
      </c>
      <c r="B160" s="5" t="str">
        <f ca="1">IFERROR(__xludf.DUMMYFUNCTION("""COMPUTED_VALUE"""),"Adult")</f>
        <v>Adult</v>
      </c>
      <c r="C160" s="5" t="str">
        <f ca="1">IFERROR(__xludf.DUMMYFUNCTION("""COMPUTED_VALUE"""),"Female")</f>
        <v>Female</v>
      </c>
      <c r="D160" s="5" t="str">
        <f ca="1">IFERROR(__xludf.DUMMYFUNCTION("""COMPUTED_VALUE"""),"Black")</f>
        <v>Black</v>
      </c>
      <c r="E160" s="5" t="str">
        <f ca="1">IFERROR(__xludf.DUMMYFUNCTION("""COMPUTED_VALUE"""),"Parent")</f>
        <v>Parent</v>
      </c>
      <c r="F160" s="5" t="str">
        <f ca="1">IFERROR(__xludf.DUMMYFUNCTION("""COMPUTED_VALUE"""),"Fled/Apprehended")</f>
        <v>Fled/Apprehended</v>
      </c>
      <c r="G160" s="5" t="str">
        <f ca="1">IFERROR(__xludf.DUMMYFUNCTION("""COMPUTED_VALUE"""),"No")</f>
        <v>No</v>
      </c>
      <c r="H160" s="5" t="str">
        <f ca="1">IFERROR(__xludf.DUMMYFUNCTION("""COMPUTED_VALUE"""),"None")</f>
        <v>None</v>
      </c>
    </row>
    <row r="161" spans="1:8">
      <c r="A161" s="5" t="str">
        <f ca="1">IFERROR(__xludf.DUMMYFUNCTION("""COMPUTED_VALUE"""),"20220310MDCOL")</f>
        <v>20220310MDCOL</v>
      </c>
      <c r="B161" s="5" t="str">
        <f ca="1">IFERROR(__xludf.DUMMYFUNCTION("""COMPUTED_VALUE"""),"Adult")</f>
        <v>Adult</v>
      </c>
      <c r="C161" s="5" t="str">
        <f ca="1">IFERROR(__xludf.DUMMYFUNCTION("""COMPUTED_VALUE"""),"Male")</f>
        <v>Male</v>
      </c>
      <c r="D161" s="5"/>
      <c r="E161" s="5"/>
      <c r="F161" s="5" t="str">
        <f ca="1">IFERROR(__xludf.DUMMYFUNCTION("""COMPUTED_VALUE"""),"Fled/Escaped")</f>
        <v>Fled/Escaped</v>
      </c>
      <c r="G161" s="5" t="str">
        <f ca="1">IFERROR(__xludf.DUMMYFUNCTION("""COMPUTED_VALUE"""),"No")</f>
        <v>No</v>
      </c>
      <c r="H161" s="5" t="str">
        <f ca="1">IFERROR(__xludf.DUMMYFUNCTION("""COMPUTED_VALUE"""),"None")</f>
        <v>None</v>
      </c>
    </row>
    <row r="162" spans="1:8">
      <c r="A162" s="5" t="str">
        <f ca="1">IFERROR(__xludf.DUMMYFUNCTION("""COMPUTED_VALUE"""),"20220310COROH")</f>
        <v>20220310COROH</v>
      </c>
      <c r="B162" s="5">
        <f ca="1">IFERROR(__xludf.DUMMYFUNCTION("""COMPUTED_VALUE"""),17)</f>
        <v>17</v>
      </c>
      <c r="C162" s="5" t="str">
        <f ca="1">IFERROR(__xludf.DUMMYFUNCTION("""COMPUTED_VALUE"""),"Male")</f>
        <v>Male</v>
      </c>
      <c r="D162" s="5"/>
      <c r="E162" s="5" t="str">
        <f ca="1">IFERROR(__xludf.DUMMYFUNCTION("""COMPUTED_VALUE"""),"Student")</f>
        <v>Student</v>
      </c>
      <c r="F162" s="5" t="str">
        <f ca="1">IFERROR(__xludf.DUMMYFUNCTION("""COMPUTED_VALUE"""),"Surrendered")</f>
        <v>Surrendered</v>
      </c>
      <c r="G162" s="5" t="str">
        <f ca="1">IFERROR(__xludf.DUMMYFUNCTION("""COMPUTED_VALUE"""),"No")</f>
        <v>No</v>
      </c>
      <c r="H162" s="5" t="str">
        <f ca="1">IFERROR(__xludf.DUMMYFUNCTION("""COMPUTED_VALUE"""),"None")</f>
        <v>None</v>
      </c>
    </row>
    <row r="163" spans="1:8">
      <c r="A163" s="5" t="str">
        <f ca="1">IFERROR(__xludf.DUMMYFUNCTION("""COMPUTED_VALUE"""),"20220309TXNOH")</f>
        <v>20220309TXNOH</v>
      </c>
      <c r="B163" s="5">
        <f ca="1">IFERROR(__xludf.DUMMYFUNCTION("""COMPUTED_VALUE"""),18)</f>
        <v>18</v>
      </c>
      <c r="C163" s="5" t="str">
        <f ca="1">IFERROR(__xludf.DUMMYFUNCTION("""COMPUTED_VALUE"""),"Male")</f>
        <v>Male</v>
      </c>
      <c r="D163" s="5" t="str">
        <f ca="1">IFERROR(__xludf.DUMMYFUNCTION("""COMPUTED_VALUE"""),"Black")</f>
        <v>Black</v>
      </c>
      <c r="E163" s="5" t="str">
        <f ca="1">IFERROR(__xludf.DUMMYFUNCTION("""COMPUTED_VALUE"""),"Student")</f>
        <v>Student</v>
      </c>
      <c r="F163" s="5" t="str">
        <f ca="1">IFERROR(__xludf.DUMMYFUNCTION("""COMPUTED_VALUE"""),"Surrendered")</f>
        <v>Surrendered</v>
      </c>
      <c r="G163" s="5" t="str">
        <f ca="1">IFERROR(__xludf.DUMMYFUNCTION("""COMPUTED_VALUE"""),"No")</f>
        <v>No</v>
      </c>
      <c r="H163" s="5" t="str">
        <f ca="1">IFERROR(__xludf.DUMMYFUNCTION("""COMPUTED_VALUE"""),"None")</f>
        <v>None</v>
      </c>
    </row>
    <row r="164" spans="1:8">
      <c r="A164" s="5" t="str">
        <f ca="1">IFERROR(__xludf.DUMMYFUNCTION("""COMPUTED_VALUE"""),"20220309NMESE")</f>
        <v>20220309NMESE</v>
      </c>
      <c r="B164" s="5"/>
      <c r="C164" s="5"/>
      <c r="D164" s="5"/>
      <c r="E164" s="5"/>
      <c r="F164" s="5" t="str">
        <f ca="1">IFERROR(__xludf.DUMMYFUNCTION("""COMPUTED_VALUE"""),"Fled/Escaped")</f>
        <v>Fled/Escaped</v>
      </c>
      <c r="G164" s="5" t="str">
        <f ca="1">IFERROR(__xludf.DUMMYFUNCTION("""COMPUTED_VALUE"""),"No")</f>
        <v>No</v>
      </c>
      <c r="H164" s="5" t="str">
        <f ca="1">IFERROR(__xludf.DUMMYFUNCTION("""COMPUTED_VALUE"""),"None")</f>
        <v>None</v>
      </c>
    </row>
    <row r="165" spans="1:8">
      <c r="A165" s="5" t="str">
        <f ca="1">IFERROR(__xludf.DUMMYFUNCTION("""COMPUTED_VALUE"""),"20220309FLNOM")</f>
        <v>20220309FLNOM</v>
      </c>
      <c r="B165" s="5">
        <f ca="1">IFERROR(__xludf.DUMMYFUNCTION("""COMPUTED_VALUE"""),18)</f>
        <v>18</v>
      </c>
      <c r="C165" s="5" t="str">
        <f ca="1">IFERROR(__xludf.DUMMYFUNCTION("""COMPUTED_VALUE"""),"Male")</f>
        <v>Male</v>
      </c>
      <c r="D165" s="5" t="str">
        <f ca="1">IFERROR(__xludf.DUMMYFUNCTION("""COMPUTED_VALUE"""),"Black")</f>
        <v>Black</v>
      </c>
      <c r="E165" s="5"/>
      <c r="F165" s="5" t="str">
        <f ca="1">IFERROR(__xludf.DUMMYFUNCTION("""COMPUTED_VALUE"""),"Fled/Apprehended")</f>
        <v>Fled/Apprehended</v>
      </c>
      <c r="G165" s="5" t="str">
        <f ca="1">IFERROR(__xludf.DUMMYFUNCTION("""COMPUTED_VALUE"""),"No")</f>
        <v>No</v>
      </c>
      <c r="H165" s="5" t="str">
        <f ca="1">IFERROR(__xludf.DUMMYFUNCTION("""COMPUTED_VALUE"""),"None")</f>
        <v>None</v>
      </c>
    </row>
    <row r="166" spans="1:8">
      <c r="A166" s="5" t="str">
        <f ca="1">IFERROR(__xludf.DUMMYFUNCTION("""COMPUTED_VALUE"""),"20220309FLNOM")</f>
        <v>20220309FLNOM</v>
      </c>
      <c r="B166" s="5">
        <f ca="1">IFERROR(__xludf.DUMMYFUNCTION("""COMPUTED_VALUE"""),17)</f>
        <v>17</v>
      </c>
      <c r="C166" s="5" t="str">
        <f ca="1">IFERROR(__xludf.DUMMYFUNCTION("""COMPUTED_VALUE"""),"Male")</f>
        <v>Male</v>
      </c>
      <c r="D166" s="5" t="str">
        <f ca="1">IFERROR(__xludf.DUMMYFUNCTION("""COMPUTED_VALUE"""),"Black")</f>
        <v>Black</v>
      </c>
      <c r="E166" s="5"/>
      <c r="F166" s="5" t="str">
        <f ca="1">IFERROR(__xludf.DUMMYFUNCTION("""COMPUTED_VALUE"""),"Fled/Apprehended")</f>
        <v>Fled/Apprehended</v>
      </c>
      <c r="G166" s="5" t="str">
        <f ca="1">IFERROR(__xludf.DUMMYFUNCTION("""COMPUTED_VALUE"""),"No")</f>
        <v>No</v>
      </c>
      <c r="H166" s="5" t="str">
        <f ca="1">IFERROR(__xludf.DUMMYFUNCTION("""COMPUTED_VALUE"""),"None")</f>
        <v>None</v>
      </c>
    </row>
    <row r="167" spans="1:8">
      <c r="A167" s="5" t="str">
        <f ca="1">IFERROR(__xludf.DUMMYFUNCTION("""COMPUTED_VALUE"""),"20220307IAEAD")</f>
        <v>20220307IAEAD</v>
      </c>
      <c r="B167" s="5">
        <f ca="1">IFERROR(__xludf.DUMMYFUNCTION("""COMPUTED_VALUE"""),17)</f>
        <v>17</v>
      </c>
      <c r="C167" s="5" t="str">
        <f ca="1">IFERROR(__xludf.DUMMYFUNCTION("""COMPUTED_VALUE"""),"Male")</f>
        <v>Male</v>
      </c>
      <c r="D167" s="5"/>
      <c r="E167" s="5"/>
      <c r="F167" s="5" t="str">
        <f ca="1">IFERROR(__xludf.DUMMYFUNCTION("""COMPUTED_VALUE"""),"Fled/Apprehended")</f>
        <v>Fled/Apprehended</v>
      </c>
      <c r="G167" s="5" t="str">
        <f ca="1">IFERROR(__xludf.DUMMYFUNCTION("""COMPUTED_VALUE"""),"No")</f>
        <v>No</v>
      </c>
      <c r="H167" s="5" t="str">
        <f ca="1">IFERROR(__xludf.DUMMYFUNCTION("""COMPUTED_VALUE"""),"None")</f>
        <v>None</v>
      </c>
    </row>
    <row r="168" spans="1:8">
      <c r="A168" s="5" t="str">
        <f ca="1">IFERROR(__xludf.DUMMYFUNCTION("""COMPUTED_VALUE"""),"20220307IAEAD")</f>
        <v>20220307IAEAD</v>
      </c>
      <c r="B168" s="5">
        <f ca="1">IFERROR(__xludf.DUMMYFUNCTION("""COMPUTED_VALUE"""),14)</f>
        <v>14</v>
      </c>
      <c r="C168" s="5" t="str">
        <f ca="1">IFERROR(__xludf.DUMMYFUNCTION("""COMPUTED_VALUE"""),"Male")</f>
        <v>Male</v>
      </c>
      <c r="D168" s="5"/>
      <c r="E168" s="5"/>
      <c r="F168" s="5" t="str">
        <f ca="1">IFERROR(__xludf.DUMMYFUNCTION("""COMPUTED_VALUE"""),"Fled/Apprehended")</f>
        <v>Fled/Apprehended</v>
      </c>
      <c r="G168" s="5" t="str">
        <f ca="1">IFERROR(__xludf.DUMMYFUNCTION("""COMPUTED_VALUE"""),"No")</f>
        <v>No</v>
      </c>
      <c r="H168" s="5" t="str">
        <f ca="1">IFERROR(__xludf.DUMMYFUNCTION("""COMPUTED_VALUE"""),"None")</f>
        <v>None</v>
      </c>
    </row>
    <row r="169" spans="1:8">
      <c r="A169" s="5" t="str">
        <f ca="1">IFERROR(__xludf.DUMMYFUNCTION("""COMPUTED_VALUE"""),"20220307IAEAD")</f>
        <v>20220307IAEAD</v>
      </c>
      <c r="B169" s="5" t="str">
        <f ca="1">IFERROR(__xludf.DUMMYFUNCTION("""COMPUTED_VALUE"""),"Teen")</f>
        <v>Teen</v>
      </c>
      <c r="C169" s="5" t="str">
        <f ca="1">IFERROR(__xludf.DUMMYFUNCTION("""COMPUTED_VALUE"""),"Male")</f>
        <v>Male</v>
      </c>
      <c r="D169" s="5"/>
      <c r="E169" s="5"/>
      <c r="F169" s="5" t="str">
        <f ca="1">IFERROR(__xludf.DUMMYFUNCTION("""COMPUTED_VALUE"""),"Fled/Apprehended")</f>
        <v>Fled/Apprehended</v>
      </c>
      <c r="G169" s="5" t="str">
        <f ca="1">IFERROR(__xludf.DUMMYFUNCTION("""COMPUTED_VALUE"""),"No")</f>
        <v>No</v>
      </c>
      <c r="H169" s="5" t="str">
        <f ca="1">IFERROR(__xludf.DUMMYFUNCTION("""COMPUTED_VALUE"""),"None")</f>
        <v>None</v>
      </c>
    </row>
    <row r="170" spans="1:8">
      <c r="A170" s="5" t="str">
        <f ca="1">IFERROR(__xludf.DUMMYFUNCTION("""COMPUTED_VALUE"""),"20220307IAEAD")</f>
        <v>20220307IAEAD</v>
      </c>
      <c r="B170" s="5" t="str">
        <f ca="1">IFERROR(__xludf.DUMMYFUNCTION("""COMPUTED_VALUE"""),"Teen")</f>
        <v>Teen</v>
      </c>
      <c r="C170" s="5" t="str">
        <f ca="1">IFERROR(__xludf.DUMMYFUNCTION("""COMPUTED_VALUE"""),"Male")</f>
        <v>Male</v>
      </c>
      <c r="D170" s="5"/>
      <c r="E170" s="5"/>
      <c r="F170" s="5" t="str">
        <f ca="1">IFERROR(__xludf.DUMMYFUNCTION("""COMPUTED_VALUE"""),"Fled/Apprehended")</f>
        <v>Fled/Apprehended</v>
      </c>
      <c r="G170" s="5" t="str">
        <f ca="1">IFERROR(__xludf.DUMMYFUNCTION("""COMPUTED_VALUE"""),"No")</f>
        <v>No</v>
      </c>
      <c r="H170" s="5" t="str">
        <f ca="1">IFERROR(__xludf.DUMMYFUNCTION("""COMPUTED_VALUE"""),"None")</f>
        <v>None</v>
      </c>
    </row>
    <row r="171" spans="1:8">
      <c r="A171" s="5" t="str">
        <f ca="1">IFERROR(__xludf.DUMMYFUNCTION("""COMPUTED_VALUE"""),"20220307IAEAD")</f>
        <v>20220307IAEAD</v>
      </c>
      <c r="B171" s="5"/>
      <c r="C171" s="5" t="str">
        <f ca="1">IFERROR(__xludf.DUMMYFUNCTION("""COMPUTED_VALUE"""),"Male")</f>
        <v>Male</v>
      </c>
      <c r="D171" s="5"/>
      <c r="E171" s="5"/>
      <c r="F171" s="5" t="str">
        <f ca="1">IFERROR(__xludf.DUMMYFUNCTION("""COMPUTED_VALUE"""),"Fled/Apprehended")</f>
        <v>Fled/Apprehended</v>
      </c>
      <c r="G171" s="5" t="str">
        <f ca="1">IFERROR(__xludf.DUMMYFUNCTION("""COMPUTED_VALUE"""),"No")</f>
        <v>No</v>
      </c>
      <c r="H171" s="5" t="str">
        <f ca="1">IFERROR(__xludf.DUMMYFUNCTION("""COMPUTED_VALUE"""),"None")</f>
        <v>None</v>
      </c>
    </row>
    <row r="172" spans="1:8">
      <c r="A172" s="5" t="str">
        <f ca="1">IFERROR(__xludf.DUMMYFUNCTION("""COMPUTED_VALUE"""),"20220307IAEAD")</f>
        <v>20220307IAEAD</v>
      </c>
      <c r="B172" s="5" t="str">
        <f ca="1">IFERROR(__xludf.DUMMYFUNCTION("""COMPUTED_VALUE"""),"Teen")</f>
        <v>Teen</v>
      </c>
      <c r="C172" s="5" t="str">
        <f ca="1">IFERROR(__xludf.DUMMYFUNCTION("""COMPUTED_VALUE"""),"Male")</f>
        <v>Male</v>
      </c>
      <c r="D172" s="5"/>
      <c r="E172" s="5"/>
      <c r="F172" s="5" t="str">
        <f ca="1">IFERROR(__xludf.DUMMYFUNCTION("""COMPUTED_VALUE"""),"Fled/Apprehended")</f>
        <v>Fled/Apprehended</v>
      </c>
      <c r="G172" s="5" t="str">
        <f ca="1">IFERROR(__xludf.DUMMYFUNCTION("""COMPUTED_VALUE"""),"No")</f>
        <v>No</v>
      </c>
      <c r="H172" s="5" t="str">
        <f ca="1">IFERROR(__xludf.DUMMYFUNCTION("""COMPUTED_VALUE"""),"None")</f>
        <v>None</v>
      </c>
    </row>
    <row r="173" spans="1:8">
      <c r="A173" s="5" t="str">
        <f ca="1">IFERROR(__xludf.DUMMYFUNCTION("""COMPUTED_VALUE"""),"20220304KSOLO")</f>
        <v>20220304KSOLO</v>
      </c>
      <c r="B173" s="5">
        <f ca="1">IFERROR(__xludf.DUMMYFUNCTION("""COMPUTED_VALUE"""),18)</f>
        <v>18</v>
      </c>
      <c r="C173" s="5" t="str">
        <f ca="1">IFERROR(__xludf.DUMMYFUNCTION("""COMPUTED_VALUE"""),"Male")</f>
        <v>Male</v>
      </c>
      <c r="D173" s="5" t="str">
        <f ca="1">IFERROR(__xludf.DUMMYFUNCTION("""COMPUTED_VALUE"""),"Black")</f>
        <v>Black</v>
      </c>
      <c r="E173" s="5" t="str">
        <f ca="1">IFERROR(__xludf.DUMMYFUNCTION("""COMPUTED_VALUE"""),"Student")</f>
        <v>Student</v>
      </c>
      <c r="F173" s="5" t="str">
        <f ca="1">IFERROR(__xludf.DUMMYFUNCTION("""COMPUTED_VALUE"""),"Apprehended/Killed by SRO")</f>
        <v>Apprehended/Killed by SRO</v>
      </c>
      <c r="G173" s="5" t="str">
        <f ca="1">IFERROR(__xludf.DUMMYFUNCTION("""COMPUTED_VALUE"""),"No")</f>
        <v>No</v>
      </c>
      <c r="H173" s="5" t="str">
        <f ca="1">IFERROR(__xludf.DUMMYFUNCTION("""COMPUTED_VALUE"""),"Wounded")</f>
        <v>Wounded</v>
      </c>
    </row>
    <row r="174" spans="1:8">
      <c r="A174" s="5" t="str">
        <f ca="1">IFERROR(__xludf.DUMMYFUNCTION("""COMPUTED_VALUE"""),"20220303MIJWL")</f>
        <v>20220303MIJWL</v>
      </c>
      <c r="B174" s="5"/>
      <c r="C174" s="5" t="str">
        <f ca="1">IFERROR(__xludf.DUMMYFUNCTION("""COMPUTED_VALUE"""),"Male")</f>
        <v>Male</v>
      </c>
      <c r="D174" s="5"/>
      <c r="E174" s="5"/>
      <c r="F174" s="5" t="str">
        <f ca="1">IFERROR(__xludf.DUMMYFUNCTION("""COMPUTED_VALUE"""),"Fled/Escaped")</f>
        <v>Fled/Escaped</v>
      </c>
      <c r="G174" s="5" t="str">
        <f ca="1">IFERROR(__xludf.DUMMYFUNCTION("""COMPUTED_VALUE"""),"No")</f>
        <v>No</v>
      </c>
      <c r="H174" s="5" t="str">
        <f ca="1">IFERROR(__xludf.DUMMYFUNCTION("""COMPUTED_VALUE"""),"None")</f>
        <v>None</v>
      </c>
    </row>
    <row r="175" spans="1:8">
      <c r="A175" s="5" t="str">
        <f ca="1">IFERROR(__xludf.DUMMYFUNCTION("""COMPUTED_VALUE"""),"20220228NYBOB")</f>
        <v>20220228NYBOB</v>
      </c>
      <c r="B175" s="5" t="str">
        <f ca="1">IFERROR(__xludf.DUMMYFUNCTION("""COMPUTED_VALUE"""),"Teen")</f>
        <v>Teen</v>
      </c>
      <c r="C175" s="5" t="str">
        <f ca="1">IFERROR(__xludf.DUMMYFUNCTION("""COMPUTED_VALUE"""),"Male")</f>
        <v>Male</v>
      </c>
      <c r="D175" s="5"/>
      <c r="E175" s="5" t="str">
        <f ca="1">IFERROR(__xludf.DUMMYFUNCTION("""COMPUTED_VALUE"""),"Student")</f>
        <v>Student</v>
      </c>
      <c r="F175" s="5" t="str">
        <f ca="1">IFERROR(__xludf.DUMMYFUNCTION("""COMPUTED_VALUE"""),"Fled/Escaped")</f>
        <v>Fled/Escaped</v>
      </c>
      <c r="G175" s="5" t="str">
        <f ca="1">IFERROR(__xludf.DUMMYFUNCTION("""COMPUTED_VALUE"""),"No")</f>
        <v>No</v>
      </c>
      <c r="H175" s="5" t="str">
        <f ca="1">IFERROR(__xludf.DUMMYFUNCTION("""COMPUTED_VALUE"""),"None")</f>
        <v>None</v>
      </c>
    </row>
    <row r="176" spans="1:8">
      <c r="A176" s="5" t="str">
        <f ca="1">IFERROR(__xludf.DUMMYFUNCTION("""COMPUTED_VALUE"""),"20220227DCDUW")</f>
        <v>20220227DCDUW</v>
      </c>
      <c r="B176" s="5"/>
      <c r="C176" s="5"/>
      <c r="D176" s="5"/>
      <c r="E176" s="5"/>
      <c r="F176" s="5" t="str">
        <f ca="1">IFERROR(__xludf.DUMMYFUNCTION("""COMPUTED_VALUE"""),"Fled/Escaped")</f>
        <v>Fled/Escaped</v>
      </c>
      <c r="G176" s="5" t="str">
        <f ca="1">IFERROR(__xludf.DUMMYFUNCTION("""COMPUTED_VALUE"""),"No")</f>
        <v>No</v>
      </c>
      <c r="H176" s="5" t="str">
        <f ca="1">IFERROR(__xludf.DUMMYFUNCTION("""COMPUTED_VALUE"""),"None")</f>
        <v>None</v>
      </c>
    </row>
    <row r="177" spans="1:8">
      <c r="A177" s="5" t="str">
        <f ca="1">IFERROR(__xludf.DUMMYFUNCTION("""COMPUTED_VALUE"""),"20220225NMWEA")</f>
        <v>20220225NMWEA</v>
      </c>
      <c r="B177" s="5">
        <f ca="1">IFERROR(__xludf.DUMMYFUNCTION("""COMPUTED_VALUE"""),14)</f>
        <v>14</v>
      </c>
      <c r="C177" s="5" t="str">
        <f ca="1">IFERROR(__xludf.DUMMYFUNCTION("""COMPUTED_VALUE"""),"Male")</f>
        <v>Male</v>
      </c>
      <c r="D177" s="5" t="str">
        <f ca="1">IFERROR(__xludf.DUMMYFUNCTION("""COMPUTED_VALUE"""),"Hispanic")</f>
        <v>Hispanic</v>
      </c>
      <c r="E177" s="5" t="str">
        <f ca="1">IFERROR(__xludf.DUMMYFUNCTION("""COMPUTED_VALUE"""),"Student")</f>
        <v>Student</v>
      </c>
      <c r="F177" s="5" t="str">
        <f ca="1">IFERROR(__xludf.DUMMYFUNCTION("""COMPUTED_VALUE"""),"Fled/Apprehended")</f>
        <v>Fled/Apprehended</v>
      </c>
      <c r="G177" s="5" t="str">
        <f ca="1">IFERROR(__xludf.DUMMYFUNCTION("""COMPUTED_VALUE"""),"No")</f>
        <v>No</v>
      </c>
      <c r="H177" s="5" t="str">
        <f ca="1">IFERROR(__xludf.DUMMYFUNCTION("""COMPUTED_VALUE"""),"None")</f>
        <v>None</v>
      </c>
    </row>
    <row r="178" spans="1:8">
      <c r="A178" s="5" t="str">
        <f ca="1">IFERROR(__xludf.DUMMYFUNCTION("""COMPUTED_VALUE"""),"20220225ALSOH")</f>
        <v>20220225ALSOH</v>
      </c>
      <c r="B178" s="5">
        <f ca="1">IFERROR(__xludf.DUMMYFUNCTION("""COMPUTED_VALUE"""),10)</f>
        <v>10</v>
      </c>
      <c r="C178" s="5"/>
      <c r="D178" s="5"/>
      <c r="E178" s="5" t="str">
        <f ca="1">IFERROR(__xludf.DUMMYFUNCTION("""COMPUTED_VALUE"""),"Student")</f>
        <v>Student</v>
      </c>
      <c r="F178" s="5" t="str">
        <f ca="1">IFERROR(__xludf.DUMMYFUNCTION("""COMPUTED_VALUE"""),"Surrendered")</f>
        <v>Surrendered</v>
      </c>
      <c r="G178" s="5" t="str">
        <f ca="1">IFERROR(__xludf.DUMMYFUNCTION("""COMPUTED_VALUE"""),"No")</f>
        <v>No</v>
      </c>
      <c r="H178" s="5" t="str">
        <f ca="1">IFERROR(__xludf.DUMMYFUNCTION("""COMPUTED_VALUE"""),"Wounded")</f>
        <v>Wounded</v>
      </c>
    </row>
    <row r="179" spans="1:8">
      <c r="A179" s="5" t="str">
        <f ca="1">IFERROR(__xludf.DUMMYFUNCTION("""COMPUTED_VALUE"""),"20220223VAWOW")</f>
        <v>20220223VAWOW</v>
      </c>
      <c r="B179" s="5"/>
      <c r="C179" s="5"/>
      <c r="D179" s="5"/>
      <c r="E179" s="5"/>
      <c r="F179" s="5" t="str">
        <f ca="1">IFERROR(__xludf.DUMMYFUNCTION("""COMPUTED_VALUE"""),"Fled/Escaped")</f>
        <v>Fled/Escaped</v>
      </c>
      <c r="G179" s="5" t="str">
        <f ca="1">IFERROR(__xludf.DUMMYFUNCTION("""COMPUTED_VALUE"""),"No")</f>
        <v>No</v>
      </c>
      <c r="H179" s="5" t="str">
        <f ca="1">IFERROR(__xludf.DUMMYFUNCTION("""COMPUTED_VALUE"""),"None")</f>
        <v>None</v>
      </c>
    </row>
    <row r="180" spans="1:8">
      <c r="A180" s="5" t="str">
        <f ca="1">IFERROR(__xludf.DUMMYFUNCTION("""COMPUTED_VALUE"""),"20220222TXALH")</f>
        <v>20220222TXALH</v>
      </c>
      <c r="B180" s="5" t="str">
        <f ca="1">IFERROR(__xludf.DUMMYFUNCTION("""COMPUTED_VALUE"""),"Adult")</f>
        <v>Adult</v>
      </c>
      <c r="C180" s="5" t="str">
        <f ca="1">IFERROR(__xludf.DUMMYFUNCTION("""COMPUTED_VALUE"""),"Male")</f>
        <v>Male</v>
      </c>
      <c r="D180" s="5"/>
      <c r="E180" s="5" t="str">
        <f ca="1">IFERROR(__xludf.DUMMYFUNCTION("""COMPUTED_VALUE"""),"No Relation")</f>
        <v>No Relation</v>
      </c>
      <c r="F180" s="5" t="str">
        <f ca="1">IFERROR(__xludf.DUMMYFUNCTION("""COMPUTED_VALUE"""),"Fled/Escaped")</f>
        <v>Fled/Escaped</v>
      </c>
      <c r="G180" s="5" t="str">
        <f ca="1">IFERROR(__xludf.DUMMYFUNCTION("""COMPUTED_VALUE"""),"No")</f>
        <v>No</v>
      </c>
      <c r="H180" s="5" t="str">
        <f ca="1">IFERROR(__xludf.DUMMYFUNCTION("""COMPUTED_VALUE"""),"None")</f>
        <v>None</v>
      </c>
    </row>
    <row r="181" spans="1:8">
      <c r="A181" s="5" t="str">
        <f ca="1">IFERROR(__xludf.DUMMYFUNCTION("""COMPUTED_VALUE"""),"20220222COLIP")</f>
        <v>20220222COLIP</v>
      </c>
      <c r="B181" s="5"/>
      <c r="C181" s="5"/>
      <c r="D181" s="5"/>
      <c r="E181" s="5" t="str">
        <f ca="1">IFERROR(__xludf.DUMMYFUNCTION("""COMPUTED_VALUE"""),"Police Officer/SRO")</f>
        <v>Police Officer/SRO</v>
      </c>
      <c r="F181" s="5" t="str">
        <f ca="1">IFERROR(__xludf.DUMMYFUNCTION("""COMPUTED_VALUE"""),"Law Enforcement")</f>
        <v>Law Enforcement</v>
      </c>
      <c r="G181" s="5"/>
      <c r="H181" s="5"/>
    </row>
    <row r="182" spans="1:8">
      <c r="A182" s="5" t="str">
        <f ca="1">IFERROR(__xludf.DUMMYFUNCTION("""COMPUTED_VALUE"""),"20220221MDJOH")</f>
        <v>20220221MDJOH</v>
      </c>
      <c r="B182" s="5" t="str">
        <f ca="1">IFERROR(__xludf.DUMMYFUNCTION("""COMPUTED_VALUE"""),"Adult")</f>
        <v>Adult</v>
      </c>
      <c r="C182" s="5" t="str">
        <f ca="1">IFERROR(__xludf.DUMMYFUNCTION("""COMPUTED_VALUE"""),"Male")</f>
        <v>Male</v>
      </c>
      <c r="D182" s="5"/>
      <c r="E182" s="5" t="str">
        <f ca="1">IFERROR(__xludf.DUMMYFUNCTION("""COMPUTED_VALUE"""),"No Relation")</f>
        <v>No Relation</v>
      </c>
      <c r="F182" s="5" t="str">
        <f ca="1">IFERROR(__xludf.DUMMYFUNCTION("""COMPUTED_VALUE"""),"Fled/Escaped")</f>
        <v>Fled/Escaped</v>
      </c>
      <c r="G182" s="5" t="str">
        <f ca="1">IFERROR(__xludf.DUMMYFUNCTION("""COMPUTED_VALUE"""),"No")</f>
        <v>No</v>
      </c>
      <c r="H182" s="5" t="str">
        <f ca="1">IFERROR(__xludf.DUMMYFUNCTION("""COMPUTED_VALUE"""),"None")</f>
        <v>None</v>
      </c>
    </row>
    <row r="183" spans="1:8">
      <c r="A183" s="5" t="str">
        <f ca="1">IFERROR(__xludf.DUMMYFUNCTION("""COMPUTED_VALUE"""),"20220220OKWIW")</f>
        <v>20220220OKWIW</v>
      </c>
      <c r="B183" s="5" t="str">
        <f ca="1">IFERROR(__xludf.DUMMYFUNCTION("""COMPUTED_VALUE"""),"Adult")</f>
        <v>Adult</v>
      </c>
      <c r="C183" s="5" t="str">
        <f ca="1">IFERROR(__xludf.DUMMYFUNCTION("""COMPUTED_VALUE"""),"Male")</f>
        <v>Male</v>
      </c>
      <c r="D183" s="5"/>
      <c r="E183" s="5"/>
      <c r="F183" s="5" t="str">
        <f ca="1">IFERROR(__xludf.DUMMYFUNCTION("""COMPUTED_VALUE"""),"Fled/Escaped")</f>
        <v>Fled/Escaped</v>
      </c>
      <c r="G183" s="5" t="str">
        <f ca="1">IFERROR(__xludf.DUMMYFUNCTION("""COMPUTED_VALUE"""),"No")</f>
        <v>No</v>
      </c>
      <c r="H183" s="5" t="str">
        <f ca="1">IFERROR(__xludf.DUMMYFUNCTION("""COMPUTED_VALUE"""),"None")</f>
        <v>None</v>
      </c>
    </row>
    <row r="184" spans="1:8">
      <c r="A184" s="5" t="str">
        <f ca="1">IFERROR(__xludf.DUMMYFUNCTION("""COMPUTED_VALUE"""),"20220220MSMCM")</f>
        <v>20220220MSMCM</v>
      </c>
      <c r="B184" s="5" t="str">
        <f ca="1">IFERROR(__xludf.DUMMYFUNCTION("""COMPUTED_VALUE"""),"Teen")</f>
        <v>Teen</v>
      </c>
      <c r="C184" s="5" t="str">
        <f ca="1">IFERROR(__xludf.DUMMYFUNCTION("""COMPUTED_VALUE"""),"Male")</f>
        <v>Male</v>
      </c>
      <c r="D184" s="5"/>
      <c r="E184" s="5"/>
      <c r="F184" s="5" t="str">
        <f ca="1">IFERROR(__xludf.DUMMYFUNCTION("""COMPUTED_VALUE"""),"Fled/Apprehended")</f>
        <v>Fled/Apprehended</v>
      </c>
      <c r="G184" s="5" t="str">
        <f ca="1">IFERROR(__xludf.DUMMYFUNCTION("""COMPUTED_VALUE"""),"No")</f>
        <v>No</v>
      </c>
      <c r="H184" s="5" t="str">
        <f ca="1">IFERROR(__xludf.DUMMYFUNCTION("""COMPUTED_VALUE"""),"None")</f>
        <v>None</v>
      </c>
    </row>
    <row r="185" spans="1:8">
      <c r="A185" s="5" t="str">
        <f ca="1">IFERROR(__xludf.DUMMYFUNCTION("""COMPUTED_VALUE"""),"20220219VACAC")</f>
        <v>20220219VACAC</v>
      </c>
      <c r="B185" s="5"/>
      <c r="C185" s="5"/>
      <c r="D185" s="5"/>
      <c r="E185" s="5"/>
      <c r="F185" s="5" t="str">
        <f ca="1">IFERROR(__xludf.DUMMYFUNCTION("""COMPUTED_VALUE"""),"Fled/Escaped")</f>
        <v>Fled/Escaped</v>
      </c>
      <c r="G185" s="5" t="str">
        <f ca="1">IFERROR(__xludf.DUMMYFUNCTION("""COMPUTED_VALUE"""),"No")</f>
        <v>No</v>
      </c>
      <c r="H185" s="5" t="str">
        <f ca="1">IFERROR(__xludf.DUMMYFUNCTION("""COMPUTED_VALUE"""),"None")</f>
        <v>None</v>
      </c>
    </row>
    <row r="186" spans="1:8">
      <c r="A186" s="5" t="str">
        <f ca="1">IFERROR(__xludf.DUMMYFUNCTION("""COMPUTED_VALUE"""),"20220218MATET")</f>
        <v>20220218MATET</v>
      </c>
      <c r="B186" s="5">
        <f ca="1">IFERROR(__xludf.DUMMYFUNCTION("""COMPUTED_VALUE"""),18)</f>
        <v>18</v>
      </c>
      <c r="C186" s="5" t="str">
        <f ca="1">IFERROR(__xludf.DUMMYFUNCTION("""COMPUTED_VALUE"""),"Male")</f>
        <v>Male</v>
      </c>
      <c r="D186" s="5"/>
      <c r="E186" s="5" t="str">
        <f ca="1">IFERROR(__xludf.DUMMYFUNCTION("""COMPUTED_VALUE"""),"Rival School Student")</f>
        <v>Rival School Student</v>
      </c>
      <c r="F186" s="5" t="str">
        <f ca="1">IFERROR(__xludf.DUMMYFUNCTION("""COMPUTED_VALUE"""),"Fled/Apprehended")</f>
        <v>Fled/Apprehended</v>
      </c>
      <c r="G186" s="5" t="str">
        <f ca="1">IFERROR(__xludf.DUMMYFUNCTION("""COMPUTED_VALUE"""),"No")</f>
        <v>No</v>
      </c>
      <c r="H186" s="5" t="str">
        <f ca="1">IFERROR(__xludf.DUMMYFUNCTION("""COMPUTED_VALUE"""),"None")</f>
        <v>None</v>
      </c>
    </row>
    <row r="187" spans="1:8">
      <c r="A187" s="5" t="str">
        <f ca="1">IFERROR(__xludf.DUMMYFUNCTION("""COMPUTED_VALUE"""),"20220218MATET")</f>
        <v>20220218MATET</v>
      </c>
      <c r="B187" s="5">
        <f ca="1">IFERROR(__xludf.DUMMYFUNCTION("""COMPUTED_VALUE"""),17)</f>
        <v>17</v>
      </c>
      <c r="C187" s="5" t="str">
        <f ca="1">IFERROR(__xludf.DUMMYFUNCTION("""COMPUTED_VALUE"""),"Male")</f>
        <v>Male</v>
      </c>
      <c r="D187" s="5"/>
      <c r="E187" s="5" t="str">
        <f ca="1">IFERROR(__xludf.DUMMYFUNCTION("""COMPUTED_VALUE"""),"Rival School Student")</f>
        <v>Rival School Student</v>
      </c>
      <c r="F187" s="5" t="str">
        <f ca="1">IFERROR(__xludf.DUMMYFUNCTION("""COMPUTED_VALUE"""),"Fled/Apprehended")</f>
        <v>Fled/Apprehended</v>
      </c>
      <c r="G187" s="5" t="str">
        <f ca="1">IFERROR(__xludf.DUMMYFUNCTION("""COMPUTED_VALUE"""),"No")</f>
        <v>No</v>
      </c>
      <c r="H187" s="5" t="str">
        <f ca="1">IFERROR(__xludf.DUMMYFUNCTION("""COMPUTED_VALUE"""),"None")</f>
        <v>None</v>
      </c>
    </row>
    <row r="188" spans="1:8">
      <c r="A188" s="5" t="str">
        <f ca="1">IFERROR(__xludf.DUMMYFUNCTION("""COMPUTED_VALUE"""),"20220218MATET")</f>
        <v>20220218MATET</v>
      </c>
      <c r="B188" s="5">
        <f ca="1">IFERROR(__xludf.DUMMYFUNCTION("""COMPUTED_VALUE"""),17)</f>
        <v>17</v>
      </c>
      <c r="C188" s="5" t="str">
        <f ca="1">IFERROR(__xludf.DUMMYFUNCTION("""COMPUTED_VALUE"""),"Male")</f>
        <v>Male</v>
      </c>
      <c r="D188" s="5"/>
      <c r="E188" s="5" t="str">
        <f ca="1">IFERROR(__xludf.DUMMYFUNCTION("""COMPUTED_VALUE"""),"Rival School Student")</f>
        <v>Rival School Student</v>
      </c>
      <c r="F188" s="5" t="str">
        <f ca="1">IFERROR(__xludf.DUMMYFUNCTION("""COMPUTED_VALUE"""),"Fled/Apprehended")</f>
        <v>Fled/Apprehended</v>
      </c>
      <c r="G188" s="5" t="str">
        <f ca="1">IFERROR(__xludf.DUMMYFUNCTION("""COMPUTED_VALUE"""),"No")</f>
        <v>No</v>
      </c>
      <c r="H188" s="5" t="str">
        <f ca="1">IFERROR(__xludf.DUMMYFUNCTION("""COMPUTED_VALUE"""),"None")</f>
        <v>None</v>
      </c>
    </row>
    <row r="189" spans="1:8">
      <c r="A189" s="5" t="str">
        <f ca="1">IFERROR(__xludf.DUMMYFUNCTION("""COMPUTED_VALUE"""),"20220218MATET")</f>
        <v>20220218MATET</v>
      </c>
      <c r="B189" s="5">
        <f ca="1">IFERROR(__xludf.DUMMYFUNCTION("""COMPUTED_VALUE"""),16)</f>
        <v>16</v>
      </c>
      <c r="C189" s="5" t="str">
        <f ca="1">IFERROR(__xludf.DUMMYFUNCTION("""COMPUTED_VALUE"""),"Male")</f>
        <v>Male</v>
      </c>
      <c r="D189" s="5"/>
      <c r="E189" s="5" t="str">
        <f ca="1">IFERROR(__xludf.DUMMYFUNCTION("""COMPUTED_VALUE"""),"Rival School Student")</f>
        <v>Rival School Student</v>
      </c>
      <c r="F189" s="5" t="str">
        <f ca="1">IFERROR(__xludf.DUMMYFUNCTION("""COMPUTED_VALUE"""),"Fled/Apprehended")</f>
        <v>Fled/Apprehended</v>
      </c>
      <c r="G189" s="5" t="str">
        <f ca="1">IFERROR(__xludf.DUMMYFUNCTION("""COMPUTED_VALUE"""),"No")</f>
        <v>No</v>
      </c>
      <c r="H189" s="5" t="str">
        <f ca="1">IFERROR(__xludf.DUMMYFUNCTION("""COMPUTED_VALUE"""),"None")</f>
        <v>None</v>
      </c>
    </row>
    <row r="190" spans="1:8">
      <c r="A190" s="5" t="str">
        <f ca="1">IFERROR(__xludf.DUMMYFUNCTION("""COMPUTED_VALUE"""),"20220217WAMCG")</f>
        <v>20220217WAMCG</v>
      </c>
      <c r="B190" s="5" t="str">
        <f ca="1">IFERROR(__xludf.DUMMYFUNCTION("""COMPUTED_VALUE"""),"Adult")</f>
        <v>Adult</v>
      </c>
      <c r="C190" s="5" t="str">
        <f ca="1">IFERROR(__xludf.DUMMYFUNCTION("""COMPUTED_VALUE"""),"Male")</f>
        <v>Male</v>
      </c>
      <c r="D190" s="5"/>
      <c r="E190" s="5" t="str">
        <f ca="1">IFERROR(__xludf.DUMMYFUNCTION("""COMPUTED_VALUE"""),"Gang Member")</f>
        <v>Gang Member</v>
      </c>
      <c r="F190" s="5" t="str">
        <f ca="1">IFERROR(__xludf.DUMMYFUNCTION("""COMPUTED_VALUE"""),"Fled/Escaped")</f>
        <v>Fled/Escaped</v>
      </c>
      <c r="G190" s="5" t="str">
        <f ca="1">IFERROR(__xludf.DUMMYFUNCTION("""COMPUTED_VALUE"""),"No")</f>
        <v>No</v>
      </c>
      <c r="H190" s="5" t="str">
        <f ca="1">IFERROR(__xludf.DUMMYFUNCTION("""COMPUTED_VALUE"""),"None")</f>
        <v>None</v>
      </c>
    </row>
    <row r="191" spans="1:8">
      <c r="A191" s="5" t="str">
        <f ca="1">IFERROR(__xludf.DUMMYFUNCTION("""COMPUTED_VALUE"""),"20220214FLLAL")</f>
        <v>20220214FLLAL</v>
      </c>
      <c r="B191" s="5">
        <f ca="1">IFERROR(__xludf.DUMMYFUNCTION("""COMPUTED_VALUE"""),39)</f>
        <v>39</v>
      </c>
      <c r="C191" s="5" t="str">
        <f ca="1">IFERROR(__xludf.DUMMYFUNCTION("""COMPUTED_VALUE"""),"Male")</f>
        <v>Male</v>
      </c>
      <c r="D191" s="5" t="str">
        <f ca="1">IFERROR(__xludf.DUMMYFUNCTION("""COMPUTED_VALUE"""),"Black")</f>
        <v>Black</v>
      </c>
      <c r="E191" s="5"/>
      <c r="F191" s="5" t="str">
        <f ca="1">IFERROR(__xludf.DUMMYFUNCTION("""COMPUTED_VALUE"""),"Fled/Apprehended")</f>
        <v>Fled/Apprehended</v>
      </c>
      <c r="G191" s="5" t="str">
        <f ca="1">IFERROR(__xludf.DUMMYFUNCTION("""COMPUTED_VALUE"""),"No")</f>
        <v>No</v>
      </c>
      <c r="H191" s="5" t="str">
        <f ca="1">IFERROR(__xludf.DUMMYFUNCTION("""COMPUTED_VALUE"""),"None")</f>
        <v>None</v>
      </c>
    </row>
    <row r="192" spans="1:8">
      <c r="A192" s="5" t="str">
        <f ca="1">IFERROR(__xludf.DUMMYFUNCTION("""COMPUTED_VALUE"""),"20220211DCEAW")</f>
        <v>20220211DCEAW</v>
      </c>
      <c r="B192" s="5"/>
      <c r="C192" s="5"/>
      <c r="D192" s="5"/>
      <c r="E192" s="5"/>
      <c r="F192" s="5" t="str">
        <f ca="1">IFERROR(__xludf.DUMMYFUNCTION("""COMPUTED_VALUE"""),"Fled/Escaped")</f>
        <v>Fled/Escaped</v>
      </c>
      <c r="G192" s="5" t="str">
        <f ca="1">IFERROR(__xludf.DUMMYFUNCTION("""COMPUTED_VALUE"""),"No")</f>
        <v>No</v>
      </c>
      <c r="H192" s="5" t="str">
        <f ca="1">IFERROR(__xludf.DUMMYFUNCTION("""COMPUTED_VALUE"""),"None")</f>
        <v>None</v>
      </c>
    </row>
    <row r="193" spans="1:8">
      <c r="A193" s="5" t="str">
        <f ca="1">IFERROR(__xludf.DUMMYFUNCTION("""COMPUTED_VALUE"""),"20220209NYMCB")</f>
        <v>20220209NYMCB</v>
      </c>
      <c r="B193" s="5">
        <f ca="1">IFERROR(__xludf.DUMMYFUNCTION("""COMPUTED_VALUE"""),17)</f>
        <v>17</v>
      </c>
      <c r="C193" s="5" t="str">
        <f ca="1">IFERROR(__xludf.DUMMYFUNCTION("""COMPUTED_VALUE"""),"Male")</f>
        <v>Male</v>
      </c>
      <c r="D193" s="5"/>
      <c r="E193" s="5" t="str">
        <f ca="1">IFERROR(__xludf.DUMMYFUNCTION("""COMPUTED_VALUE"""),"Student")</f>
        <v>Student</v>
      </c>
      <c r="F193" s="5" t="str">
        <f ca="1">IFERROR(__xludf.DUMMYFUNCTION("""COMPUTED_VALUE"""),"Fled/Apprehended")</f>
        <v>Fled/Apprehended</v>
      </c>
      <c r="G193" s="5" t="str">
        <f ca="1">IFERROR(__xludf.DUMMYFUNCTION("""COMPUTED_VALUE"""),"No")</f>
        <v>No</v>
      </c>
      <c r="H193" s="5" t="str">
        <f ca="1">IFERROR(__xludf.DUMMYFUNCTION("""COMPUTED_VALUE"""),"None")</f>
        <v>None</v>
      </c>
    </row>
    <row r="194" spans="1:8">
      <c r="A194" s="5" t="str">
        <f ca="1">IFERROR(__xludf.DUMMYFUNCTION("""COMPUTED_VALUE"""),"20220209MNMIM")</f>
        <v>20220209MNMIM</v>
      </c>
      <c r="B194" s="5" t="str">
        <f ca="1">IFERROR(__xludf.DUMMYFUNCTION("""COMPUTED_VALUE"""),"Adult")</f>
        <v>Adult</v>
      </c>
      <c r="C194" s="5" t="str">
        <f ca="1">IFERROR(__xludf.DUMMYFUNCTION("""COMPUTED_VALUE"""),"Male")</f>
        <v>Male</v>
      </c>
      <c r="D194" s="5"/>
      <c r="E194" s="5" t="str">
        <f ca="1">IFERROR(__xludf.DUMMYFUNCTION("""COMPUTED_VALUE"""),"No Relation")</f>
        <v>No Relation</v>
      </c>
      <c r="F194" s="5" t="str">
        <f ca="1">IFERROR(__xludf.DUMMYFUNCTION("""COMPUTED_VALUE"""),"Fled/Escaped")</f>
        <v>Fled/Escaped</v>
      </c>
      <c r="G194" s="5" t="str">
        <f ca="1">IFERROR(__xludf.DUMMYFUNCTION("""COMPUTED_VALUE"""),"No")</f>
        <v>No</v>
      </c>
      <c r="H194" s="5" t="str">
        <f ca="1">IFERROR(__xludf.DUMMYFUNCTION("""COMPUTED_VALUE"""),"None")</f>
        <v>None</v>
      </c>
    </row>
    <row r="195" spans="1:8">
      <c r="A195" s="5" t="str">
        <f ca="1">IFERROR(__xludf.DUMMYFUNCTION("""COMPUTED_VALUE"""),"20220208NYMOM")</f>
        <v>20220208NYMOM</v>
      </c>
      <c r="B195" s="5"/>
      <c r="C195" s="5"/>
      <c r="D195" s="5"/>
      <c r="E195" s="5"/>
      <c r="F195" s="5" t="str">
        <f ca="1">IFERROR(__xludf.DUMMYFUNCTION("""COMPUTED_VALUE"""),"Fled/Escaped")</f>
        <v>Fled/Escaped</v>
      </c>
      <c r="G195" s="5" t="str">
        <f ca="1">IFERROR(__xludf.DUMMYFUNCTION("""COMPUTED_VALUE"""),"No")</f>
        <v>No</v>
      </c>
      <c r="H195" s="5" t="str">
        <f ca="1">IFERROR(__xludf.DUMMYFUNCTION("""COMPUTED_VALUE"""),"None")</f>
        <v>None</v>
      </c>
    </row>
    <row r="196" spans="1:8">
      <c r="A196" s="5" t="str">
        <f ca="1">IFERROR(__xludf.DUMMYFUNCTION("""COMPUTED_VALUE"""),"20220208MDCAC")</f>
        <v>20220208MDCAC</v>
      </c>
      <c r="B196" s="5">
        <f ca="1">IFERROR(__xludf.DUMMYFUNCTION("""COMPUTED_VALUE"""),16)</f>
        <v>16</v>
      </c>
      <c r="C196" s="5" t="str">
        <f ca="1">IFERROR(__xludf.DUMMYFUNCTION("""COMPUTED_VALUE"""),"Male")</f>
        <v>Male</v>
      </c>
      <c r="D196" s="5"/>
      <c r="E196" s="5" t="str">
        <f ca="1">IFERROR(__xludf.DUMMYFUNCTION("""COMPUTED_VALUE"""),"Student")</f>
        <v>Student</v>
      </c>
      <c r="F196" s="5" t="str">
        <f ca="1">IFERROR(__xludf.DUMMYFUNCTION("""COMPUTED_VALUE"""),"Fled/Apprehended")</f>
        <v>Fled/Apprehended</v>
      </c>
      <c r="G196" s="5" t="str">
        <f ca="1">IFERROR(__xludf.DUMMYFUNCTION("""COMPUTED_VALUE"""),"No")</f>
        <v>No</v>
      </c>
      <c r="H196" s="5" t="str">
        <f ca="1">IFERROR(__xludf.DUMMYFUNCTION("""COMPUTED_VALUE"""),"None")</f>
        <v>None</v>
      </c>
    </row>
    <row r="197" spans="1:8">
      <c r="A197" s="5" t="str">
        <f ca="1">IFERROR(__xludf.DUMMYFUNCTION("""COMPUTED_VALUE"""),"20220204GASOD")</f>
        <v>20220204GASOD</v>
      </c>
      <c r="B197" s="5" t="str">
        <f ca="1">IFERROR(__xludf.DUMMYFUNCTION("""COMPUTED_VALUE"""),"Teen")</f>
        <v>Teen</v>
      </c>
      <c r="C197" s="5" t="str">
        <f ca="1">IFERROR(__xludf.DUMMYFUNCTION("""COMPUTED_VALUE"""),"Male")</f>
        <v>Male</v>
      </c>
      <c r="D197" s="5"/>
      <c r="E197" s="5" t="str">
        <f ca="1">IFERROR(__xludf.DUMMYFUNCTION("""COMPUTED_VALUE"""),"Student")</f>
        <v>Student</v>
      </c>
      <c r="F197" s="5"/>
      <c r="G197" s="5" t="str">
        <f ca="1">IFERROR(__xludf.DUMMYFUNCTION("""COMPUTED_VALUE"""),"No")</f>
        <v>No</v>
      </c>
      <c r="H197" s="5" t="str">
        <f ca="1">IFERROR(__xludf.DUMMYFUNCTION("""COMPUTED_VALUE"""),"Wounded")</f>
        <v>Wounded</v>
      </c>
    </row>
    <row r="198" spans="1:8">
      <c r="A198" s="5" t="str">
        <f ca="1">IFERROR(__xludf.DUMMYFUNCTION("""COMPUTED_VALUE"""),"20220204ALWEB")</f>
        <v>20220204ALWEB</v>
      </c>
      <c r="B198" s="5"/>
      <c r="C198" s="5"/>
      <c r="D198" s="5"/>
      <c r="E198" s="5"/>
      <c r="F198" s="5" t="str">
        <f ca="1">IFERROR(__xludf.DUMMYFUNCTION("""COMPUTED_VALUE"""),"Fled/Escaped")</f>
        <v>Fled/Escaped</v>
      </c>
      <c r="G198" s="5" t="str">
        <f ca="1">IFERROR(__xludf.DUMMYFUNCTION("""COMPUTED_VALUE"""),"No")</f>
        <v>No</v>
      </c>
      <c r="H198" s="5" t="str">
        <f ca="1">IFERROR(__xludf.DUMMYFUNCTION("""COMPUTED_VALUE"""),"None")</f>
        <v>None</v>
      </c>
    </row>
    <row r="199" spans="1:8">
      <c r="A199" s="5" t="str">
        <f ca="1">IFERROR(__xludf.DUMMYFUNCTION("""COMPUTED_VALUE"""),"20220203NCSPS")</f>
        <v>20220203NCSPS</v>
      </c>
      <c r="B199" s="5"/>
      <c r="C199" s="5"/>
      <c r="D199" s="5"/>
      <c r="E199" s="5"/>
      <c r="F199" s="5" t="str">
        <f ca="1">IFERROR(__xludf.DUMMYFUNCTION("""COMPUTED_VALUE"""),"Fled/Escaped")</f>
        <v>Fled/Escaped</v>
      </c>
      <c r="G199" s="5" t="str">
        <f ca="1">IFERROR(__xludf.DUMMYFUNCTION("""COMPUTED_VALUE"""),"No")</f>
        <v>No</v>
      </c>
      <c r="H199" s="5" t="str">
        <f ca="1">IFERROR(__xludf.DUMMYFUNCTION("""COMPUTED_VALUE"""),"None")</f>
        <v>None</v>
      </c>
    </row>
    <row r="200" spans="1:8">
      <c r="A200" s="5" t="str">
        <f ca="1">IFERROR(__xludf.DUMMYFUNCTION("""COMPUTED_VALUE"""),"20220202KYLOR")</f>
        <v>20220202KYLOR</v>
      </c>
      <c r="B200" s="5"/>
      <c r="C200" s="5"/>
      <c r="D200" s="5"/>
      <c r="E200" s="5"/>
      <c r="F200" s="5" t="str">
        <f ca="1">IFERROR(__xludf.DUMMYFUNCTION("""COMPUTED_VALUE"""),"Fled/Escaped")</f>
        <v>Fled/Escaped</v>
      </c>
      <c r="G200" s="5" t="str">
        <f ca="1">IFERROR(__xludf.DUMMYFUNCTION("""COMPUTED_VALUE"""),"No")</f>
        <v>No</v>
      </c>
      <c r="H200" s="5" t="str">
        <f ca="1">IFERROR(__xludf.DUMMYFUNCTION("""COMPUTED_VALUE"""),"None")</f>
        <v>None</v>
      </c>
    </row>
    <row r="201" spans="1:8">
      <c r="A201" s="5" t="str">
        <f ca="1">IFERROR(__xludf.DUMMYFUNCTION("""COMPUTED_VALUE"""),"20220201WIRUM")</f>
        <v>20220201WIRUM</v>
      </c>
      <c r="B201" s="5">
        <f ca="1">IFERROR(__xludf.DUMMYFUNCTION("""COMPUTED_VALUE"""),34)</f>
        <v>34</v>
      </c>
      <c r="C201" s="5" t="str">
        <f ca="1">IFERROR(__xludf.DUMMYFUNCTION("""COMPUTED_VALUE"""),"Male")</f>
        <v>Male</v>
      </c>
      <c r="D201" s="5"/>
      <c r="E201" s="5" t="str">
        <f ca="1">IFERROR(__xludf.DUMMYFUNCTION("""COMPUTED_VALUE"""),"Nonstudent Using Athletic Facilities/Attending Game")</f>
        <v>Nonstudent Using Athletic Facilities/Attending Game</v>
      </c>
      <c r="F201" s="5" t="str">
        <f ca="1">IFERROR(__xludf.DUMMYFUNCTION("""COMPUTED_VALUE"""),"Fled/Escaped")</f>
        <v>Fled/Escaped</v>
      </c>
      <c r="G201" s="5" t="str">
        <f ca="1">IFERROR(__xludf.DUMMYFUNCTION("""COMPUTED_VALUE"""),"No")</f>
        <v>No</v>
      </c>
      <c r="H201" s="5" t="str">
        <f ca="1">IFERROR(__xludf.DUMMYFUNCTION("""COMPUTED_VALUE"""),"None")</f>
        <v>None</v>
      </c>
    </row>
    <row r="202" spans="1:8">
      <c r="A202" s="5" t="str">
        <f ca="1">IFERROR(__xludf.DUMMYFUNCTION("""COMPUTED_VALUE"""),"20220201MNSOR")</f>
        <v>20220201MNSOR</v>
      </c>
      <c r="B202" s="5">
        <f ca="1">IFERROR(__xludf.DUMMYFUNCTION("""COMPUTED_VALUE"""),18)</f>
        <v>18</v>
      </c>
      <c r="C202" s="5" t="str">
        <f ca="1">IFERROR(__xludf.DUMMYFUNCTION("""COMPUTED_VALUE"""),"Male")</f>
        <v>Male</v>
      </c>
      <c r="D202" s="5" t="str">
        <f ca="1">IFERROR(__xludf.DUMMYFUNCTION("""COMPUTED_VALUE"""),"Hispanic")</f>
        <v>Hispanic</v>
      </c>
      <c r="E202" s="5" t="str">
        <f ca="1">IFERROR(__xludf.DUMMYFUNCTION("""COMPUTED_VALUE"""),"Student")</f>
        <v>Student</v>
      </c>
      <c r="F202" s="5" t="str">
        <f ca="1">IFERROR(__xludf.DUMMYFUNCTION("""COMPUTED_VALUE"""),"Fled/Apprehended")</f>
        <v>Fled/Apprehended</v>
      </c>
      <c r="G202" s="5" t="str">
        <f ca="1">IFERROR(__xludf.DUMMYFUNCTION("""COMPUTED_VALUE"""),"No")</f>
        <v>No</v>
      </c>
      <c r="H202" s="5" t="str">
        <f ca="1">IFERROR(__xludf.DUMMYFUNCTION("""COMPUTED_VALUE"""),"None")</f>
        <v>None</v>
      </c>
    </row>
    <row r="203" spans="1:8">
      <c r="A203" s="5" t="str">
        <f ca="1">IFERROR(__xludf.DUMMYFUNCTION("""COMPUTED_VALUE"""),"20220201MNSOR")</f>
        <v>20220201MNSOR</v>
      </c>
      <c r="B203" s="5">
        <f ca="1">IFERROR(__xludf.DUMMYFUNCTION("""COMPUTED_VALUE"""),19)</f>
        <v>19</v>
      </c>
      <c r="C203" s="5" t="str">
        <f ca="1">IFERROR(__xludf.DUMMYFUNCTION("""COMPUTED_VALUE"""),"Male")</f>
        <v>Male</v>
      </c>
      <c r="D203" s="5" t="str">
        <f ca="1">IFERROR(__xludf.DUMMYFUNCTION("""COMPUTED_VALUE"""),"Hispanic")</f>
        <v>Hispanic</v>
      </c>
      <c r="E203" s="5" t="str">
        <f ca="1">IFERROR(__xludf.DUMMYFUNCTION("""COMPUTED_VALUE"""),"Student")</f>
        <v>Student</v>
      </c>
      <c r="F203" s="5" t="str">
        <f ca="1">IFERROR(__xludf.DUMMYFUNCTION("""COMPUTED_VALUE"""),"Fled/Apprehended")</f>
        <v>Fled/Apprehended</v>
      </c>
      <c r="G203" s="5" t="str">
        <f ca="1">IFERROR(__xludf.DUMMYFUNCTION("""COMPUTED_VALUE"""),"No")</f>
        <v>No</v>
      </c>
      <c r="H203" s="5" t="str">
        <f ca="1">IFERROR(__xludf.DUMMYFUNCTION("""COMPUTED_VALUE"""),"None")</f>
        <v>None</v>
      </c>
    </row>
    <row r="204" spans="1:8">
      <c r="A204" s="5" t="str">
        <f ca="1">IFERROR(__xludf.DUMMYFUNCTION("""COMPUTED_VALUE"""),"20220201ILALC")</f>
        <v>20220201ILALC</v>
      </c>
      <c r="B204" s="5" t="str">
        <f ca="1">IFERROR(__xludf.DUMMYFUNCTION("""COMPUTED_VALUE"""),"Adult")</f>
        <v>Adult</v>
      </c>
      <c r="C204" s="5" t="str">
        <f ca="1">IFERROR(__xludf.DUMMYFUNCTION("""COMPUTED_VALUE"""),"Male")</f>
        <v>Male</v>
      </c>
      <c r="D204" s="5"/>
      <c r="E204" s="5" t="str">
        <f ca="1">IFERROR(__xludf.DUMMYFUNCTION("""COMPUTED_VALUE"""),"No Relation")</f>
        <v>No Relation</v>
      </c>
      <c r="F204" s="5" t="str">
        <f ca="1">IFERROR(__xludf.DUMMYFUNCTION("""COMPUTED_VALUE"""),"Fled/Escaped")</f>
        <v>Fled/Escaped</v>
      </c>
      <c r="G204" s="5" t="str">
        <f ca="1">IFERROR(__xludf.DUMMYFUNCTION("""COMPUTED_VALUE"""),"No")</f>
        <v>No</v>
      </c>
      <c r="H204" s="5" t="str">
        <f ca="1">IFERROR(__xludf.DUMMYFUNCTION("""COMPUTED_VALUE"""),"None")</f>
        <v>None</v>
      </c>
    </row>
    <row r="205" spans="1:8">
      <c r="A205" s="5" t="str">
        <f ca="1">IFERROR(__xludf.DUMMYFUNCTION("""COMPUTED_VALUE"""),"20220129WIBEB")</f>
        <v>20220129WIBEB</v>
      </c>
      <c r="B205" s="5" t="str">
        <f ca="1">IFERROR(__xludf.DUMMYFUNCTION("""COMPUTED_VALUE"""),"Adult")</f>
        <v>Adult</v>
      </c>
      <c r="C205" s="5" t="str">
        <f ca="1">IFERROR(__xludf.DUMMYFUNCTION("""COMPUTED_VALUE"""),"Male")</f>
        <v>Male</v>
      </c>
      <c r="D205" s="5"/>
      <c r="E205" s="5"/>
      <c r="F205" s="5" t="str">
        <f ca="1">IFERROR(__xludf.DUMMYFUNCTION("""COMPUTED_VALUE"""),"Fled/Escaped")</f>
        <v>Fled/Escaped</v>
      </c>
      <c r="G205" s="5" t="str">
        <f ca="1">IFERROR(__xludf.DUMMYFUNCTION("""COMPUTED_VALUE"""),"No")</f>
        <v>No</v>
      </c>
      <c r="H205" s="5" t="str">
        <f ca="1">IFERROR(__xludf.DUMMYFUNCTION("""COMPUTED_VALUE"""),"None")</f>
        <v>None</v>
      </c>
    </row>
    <row r="206" spans="1:8">
      <c r="A206" s="5" t="str">
        <f ca="1">IFERROR(__xludf.DUMMYFUNCTION("""COMPUTED_VALUE"""),"20220128LACAM")</f>
        <v>20220128LACAM</v>
      </c>
      <c r="B206" s="5" t="str">
        <f ca="1">IFERROR(__xludf.DUMMYFUNCTION("""COMPUTED_VALUE"""),"Adult")</f>
        <v>Adult</v>
      </c>
      <c r="C206" s="5" t="str">
        <f ca="1">IFERROR(__xludf.DUMMYFUNCTION("""COMPUTED_VALUE"""),"Male")</f>
        <v>Male</v>
      </c>
      <c r="D206" s="5"/>
      <c r="E206" s="5" t="str">
        <f ca="1">IFERROR(__xludf.DUMMYFUNCTION("""COMPUTED_VALUE"""),"No Relation")</f>
        <v>No Relation</v>
      </c>
      <c r="F206" s="5" t="str">
        <f ca="1">IFERROR(__xludf.DUMMYFUNCTION("""COMPUTED_VALUE"""),"Fled/Escaped")</f>
        <v>Fled/Escaped</v>
      </c>
      <c r="G206" s="5" t="str">
        <f ca="1">IFERROR(__xludf.DUMMYFUNCTION("""COMPUTED_VALUE"""),"No")</f>
        <v>No</v>
      </c>
      <c r="H206" s="5" t="str">
        <f ca="1">IFERROR(__xludf.DUMMYFUNCTION("""COMPUTED_VALUE"""),"None")</f>
        <v>None</v>
      </c>
    </row>
    <row r="207" spans="1:8">
      <c r="A207" s="5" t="str">
        <f ca="1">IFERROR(__xludf.DUMMYFUNCTION("""COMPUTED_VALUE"""),"20220127TXMOH")</f>
        <v>20220127TXMOH</v>
      </c>
      <c r="B207" s="5" t="str">
        <f ca="1">IFERROR(__xludf.DUMMYFUNCTION("""COMPUTED_VALUE"""),"Adult")</f>
        <v>Adult</v>
      </c>
      <c r="C207" s="5" t="str">
        <f ca="1">IFERROR(__xludf.DUMMYFUNCTION("""COMPUTED_VALUE"""),"Male")</f>
        <v>Male</v>
      </c>
      <c r="D207" s="5"/>
      <c r="E207" s="5" t="str">
        <f ca="1">IFERROR(__xludf.DUMMYFUNCTION("""COMPUTED_VALUE"""),"No Relation")</f>
        <v>No Relation</v>
      </c>
      <c r="F207" s="5" t="str">
        <f ca="1">IFERROR(__xludf.DUMMYFUNCTION("""COMPUTED_VALUE"""),"Fled/Escaped")</f>
        <v>Fled/Escaped</v>
      </c>
      <c r="G207" s="5" t="str">
        <f ca="1">IFERROR(__xludf.DUMMYFUNCTION("""COMPUTED_VALUE"""),"No")</f>
        <v>No</v>
      </c>
      <c r="H207" s="5" t="str">
        <f ca="1">IFERROR(__xludf.DUMMYFUNCTION("""COMPUTED_VALUE"""),"None")</f>
        <v>None</v>
      </c>
    </row>
    <row r="208" spans="1:8">
      <c r="A208" s="5" t="str">
        <f ca="1">IFERROR(__xludf.DUMMYFUNCTION("""COMPUTED_VALUE"""),"20220126PABAP")</f>
        <v>20220126PABAP</v>
      </c>
      <c r="B208" s="5"/>
      <c r="C208" s="5"/>
      <c r="D208" s="5"/>
      <c r="E208" s="5"/>
      <c r="F208" s="5" t="str">
        <f ca="1">IFERROR(__xludf.DUMMYFUNCTION("""COMPUTED_VALUE"""),"Fled/Escaped")</f>
        <v>Fled/Escaped</v>
      </c>
      <c r="G208" s="5" t="str">
        <f ca="1">IFERROR(__xludf.DUMMYFUNCTION("""COMPUTED_VALUE"""),"No")</f>
        <v>No</v>
      </c>
      <c r="H208" s="5" t="str">
        <f ca="1">IFERROR(__xludf.DUMMYFUNCTION("""COMPUTED_VALUE"""),"None")</f>
        <v>None</v>
      </c>
    </row>
    <row r="209" spans="1:8">
      <c r="A209" s="5" t="str">
        <f ca="1">IFERROR(__xludf.DUMMYFUNCTION("""COMPUTED_VALUE"""),"20220124NVSUL")</f>
        <v>20220124NVSUL</v>
      </c>
      <c r="B209" s="5"/>
      <c r="C209" s="5"/>
      <c r="D209" s="5"/>
      <c r="E209" s="5"/>
      <c r="F209" s="5" t="str">
        <f ca="1">IFERROR(__xludf.DUMMYFUNCTION("""COMPUTED_VALUE"""),"Fled/Escaped")</f>
        <v>Fled/Escaped</v>
      </c>
      <c r="G209" s="5" t="str">
        <f ca="1">IFERROR(__xludf.DUMMYFUNCTION("""COMPUTED_VALUE"""),"No")</f>
        <v>No</v>
      </c>
      <c r="H209" s="5" t="str">
        <f ca="1">IFERROR(__xludf.DUMMYFUNCTION("""COMPUTED_VALUE"""),"None")</f>
        <v>None</v>
      </c>
    </row>
    <row r="210" spans="1:8">
      <c r="A210" s="5" t="str">
        <f ca="1">IFERROR(__xludf.DUMMYFUNCTION("""COMPUTED_VALUE"""),"20220121MDMAR")</f>
        <v>20220121MDMAR</v>
      </c>
      <c r="B210" s="5">
        <f ca="1">IFERROR(__xludf.DUMMYFUNCTION("""COMPUTED_VALUE"""),17)</f>
        <v>17</v>
      </c>
      <c r="C210" s="5" t="str">
        <f ca="1">IFERROR(__xludf.DUMMYFUNCTION("""COMPUTED_VALUE"""),"Male")</f>
        <v>Male</v>
      </c>
      <c r="D210" s="5"/>
      <c r="E210" s="5" t="str">
        <f ca="1">IFERROR(__xludf.DUMMYFUNCTION("""COMPUTED_VALUE"""),"Student")</f>
        <v>Student</v>
      </c>
      <c r="F210" s="5" t="str">
        <f ca="1">IFERROR(__xludf.DUMMYFUNCTION("""COMPUTED_VALUE"""),"Fled/Apprehended")</f>
        <v>Fled/Apprehended</v>
      </c>
      <c r="G210" s="5" t="str">
        <f ca="1">IFERROR(__xludf.DUMMYFUNCTION("""COMPUTED_VALUE"""),"No")</f>
        <v>No</v>
      </c>
      <c r="H210" s="5" t="str">
        <f ca="1">IFERROR(__xludf.DUMMYFUNCTION("""COMPUTED_VALUE"""),"None")</f>
        <v>None</v>
      </c>
    </row>
    <row r="211" spans="1:8">
      <c r="A211" s="5" t="str">
        <f ca="1">IFERROR(__xludf.DUMMYFUNCTION("""COMPUTED_VALUE"""),"20220121GAMCA")</f>
        <v>20220121GAMCA</v>
      </c>
      <c r="B211" s="5">
        <f ca="1">IFERROR(__xludf.DUMMYFUNCTION("""COMPUTED_VALUE"""),19)</f>
        <v>19</v>
      </c>
      <c r="C211" s="5" t="str">
        <f ca="1">IFERROR(__xludf.DUMMYFUNCTION("""COMPUTED_VALUE"""),"Male")</f>
        <v>Male</v>
      </c>
      <c r="D211" s="5" t="str">
        <f ca="1">IFERROR(__xludf.DUMMYFUNCTION("""COMPUTED_VALUE"""),"Black")</f>
        <v>Black</v>
      </c>
      <c r="E211" s="5" t="str">
        <f ca="1">IFERROR(__xludf.DUMMYFUNCTION("""COMPUTED_VALUE"""),"Student")</f>
        <v>Student</v>
      </c>
      <c r="F211" s="5" t="str">
        <f ca="1">IFERROR(__xludf.DUMMYFUNCTION("""COMPUTED_VALUE"""),"Fled/Apprehended")</f>
        <v>Fled/Apprehended</v>
      </c>
      <c r="G211" s="5" t="str">
        <f ca="1">IFERROR(__xludf.DUMMYFUNCTION("""COMPUTED_VALUE"""),"No")</f>
        <v>No</v>
      </c>
      <c r="H211" s="5" t="str">
        <f ca="1">IFERROR(__xludf.DUMMYFUNCTION("""COMPUTED_VALUE"""),"None")</f>
        <v>None</v>
      </c>
    </row>
    <row r="212" spans="1:8">
      <c r="A212" s="5" t="str">
        <f ca="1">IFERROR(__xludf.DUMMYFUNCTION("""COMPUTED_VALUE"""),"20220119VAMAP")</f>
        <v>20220119VAMAP</v>
      </c>
      <c r="B212" s="5">
        <f ca="1">IFERROR(__xludf.DUMMYFUNCTION("""COMPUTED_VALUE"""),19)</f>
        <v>19</v>
      </c>
      <c r="C212" s="5" t="str">
        <f ca="1">IFERROR(__xludf.DUMMYFUNCTION("""COMPUTED_VALUE"""),"Male")</f>
        <v>Male</v>
      </c>
      <c r="D212" s="5"/>
      <c r="E212" s="5"/>
      <c r="F212" s="5" t="str">
        <f ca="1">IFERROR(__xludf.DUMMYFUNCTION("""COMPUTED_VALUE"""),"Fled/Apprehended")</f>
        <v>Fled/Apprehended</v>
      </c>
      <c r="G212" s="5" t="str">
        <f ca="1">IFERROR(__xludf.DUMMYFUNCTION("""COMPUTED_VALUE"""),"No")</f>
        <v>No</v>
      </c>
      <c r="H212" s="5" t="str">
        <f ca="1">IFERROR(__xludf.DUMMYFUNCTION("""COMPUTED_VALUE"""),"None")</f>
        <v>None</v>
      </c>
    </row>
    <row r="213" spans="1:8">
      <c r="A213" s="5" t="str">
        <f ca="1">IFERROR(__xludf.DUMMYFUNCTION("""COMPUTED_VALUE"""),"20220119VAMAP")</f>
        <v>20220119VAMAP</v>
      </c>
      <c r="B213" s="5">
        <f ca="1">IFERROR(__xludf.DUMMYFUNCTION("""COMPUTED_VALUE"""),18)</f>
        <v>18</v>
      </c>
      <c r="C213" s="5" t="str">
        <f ca="1">IFERROR(__xludf.DUMMYFUNCTION("""COMPUTED_VALUE"""),"Male")</f>
        <v>Male</v>
      </c>
      <c r="D213" s="5"/>
      <c r="E213" s="5"/>
      <c r="F213" s="5" t="str">
        <f ca="1">IFERROR(__xludf.DUMMYFUNCTION("""COMPUTED_VALUE"""),"Fled/Apprehended")</f>
        <v>Fled/Apprehended</v>
      </c>
      <c r="G213" s="5" t="str">
        <f ca="1">IFERROR(__xludf.DUMMYFUNCTION("""COMPUTED_VALUE"""),"No")</f>
        <v>No</v>
      </c>
      <c r="H213" s="5" t="str">
        <f ca="1">IFERROR(__xludf.DUMMYFUNCTION("""COMPUTED_VALUE"""),"None")</f>
        <v>None</v>
      </c>
    </row>
    <row r="214" spans="1:8">
      <c r="A214" s="5" t="str">
        <f ca="1">IFERROR(__xludf.DUMMYFUNCTION("""COMPUTED_VALUE"""),"20220119VAMAP")</f>
        <v>20220119VAMAP</v>
      </c>
      <c r="B214" s="5" t="str">
        <f ca="1">IFERROR(__xludf.DUMMYFUNCTION("""COMPUTED_VALUE"""),"Teen")</f>
        <v>Teen</v>
      </c>
      <c r="C214" s="5" t="str">
        <f ca="1">IFERROR(__xludf.DUMMYFUNCTION("""COMPUTED_VALUE"""),"Male")</f>
        <v>Male</v>
      </c>
      <c r="D214" s="5"/>
      <c r="E214" s="5"/>
      <c r="F214" s="5" t="str">
        <f ca="1">IFERROR(__xludf.DUMMYFUNCTION("""COMPUTED_VALUE"""),"Fled/Apprehended")</f>
        <v>Fled/Apprehended</v>
      </c>
      <c r="G214" s="5" t="str">
        <f ca="1">IFERROR(__xludf.DUMMYFUNCTION("""COMPUTED_VALUE"""),"No")</f>
        <v>No</v>
      </c>
      <c r="H214" s="5" t="str">
        <f ca="1">IFERROR(__xludf.DUMMYFUNCTION("""COMPUTED_VALUE"""),"None")</f>
        <v>None</v>
      </c>
    </row>
    <row r="215" spans="1:8">
      <c r="A215" s="5" t="str">
        <f ca="1">IFERROR(__xludf.DUMMYFUNCTION("""COMPUTED_VALUE"""),"20220119PAPIP")</f>
        <v>20220119PAPIP</v>
      </c>
      <c r="B215" s="5"/>
      <c r="C215" s="5" t="str">
        <f ca="1">IFERROR(__xludf.DUMMYFUNCTION("""COMPUTED_VALUE"""),"Male")</f>
        <v>Male</v>
      </c>
      <c r="D215" s="5"/>
      <c r="E215" s="5"/>
      <c r="F215" s="5" t="str">
        <f ca="1">IFERROR(__xludf.DUMMYFUNCTION("""COMPUTED_VALUE"""),"Fled/Escaped")</f>
        <v>Fled/Escaped</v>
      </c>
      <c r="G215" s="5" t="str">
        <f ca="1">IFERROR(__xludf.DUMMYFUNCTION("""COMPUTED_VALUE"""),"No")</f>
        <v>No</v>
      </c>
      <c r="H215" s="5" t="str">
        <f ca="1">IFERROR(__xludf.DUMMYFUNCTION("""COMPUTED_VALUE"""),"None")</f>
        <v>None</v>
      </c>
    </row>
    <row r="216" spans="1:8">
      <c r="A216" s="5" t="str">
        <f ca="1">IFERROR(__xludf.DUMMYFUNCTION("""COMPUTED_VALUE"""),"20220119PAPIP")</f>
        <v>20220119PAPIP</v>
      </c>
      <c r="B216" s="5"/>
      <c r="C216" s="5" t="str">
        <f ca="1">IFERROR(__xludf.DUMMYFUNCTION("""COMPUTED_VALUE"""),"Male")</f>
        <v>Male</v>
      </c>
      <c r="D216" s="5"/>
      <c r="E216" s="5"/>
      <c r="F216" s="5" t="str">
        <f ca="1">IFERROR(__xludf.DUMMYFUNCTION("""COMPUTED_VALUE"""),"Fled/Escaped")</f>
        <v>Fled/Escaped</v>
      </c>
      <c r="G216" s="5" t="str">
        <f ca="1">IFERROR(__xludf.DUMMYFUNCTION("""COMPUTED_VALUE"""),"No")</f>
        <v>No</v>
      </c>
      <c r="H216" s="5" t="str">
        <f ca="1">IFERROR(__xludf.DUMMYFUNCTION("""COMPUTED_VALUE"""),"None")</f>
        <v>None</v>
      </c>
    </row>
    <row r="217" spans="1:8">
      <c r="A217" s="5" t="str">
        <f ca="1">IFERROR(__xludf.DUMMYFUNCTION("""COMPUTED_VALUE"""),"20220119FLSES")</f>
        <v>20220119FLSES</v>
      </c>
      <c r="B217" s="5">
        <f ca="1">IFERROR(__xludf.DUMMYFUNCTION("""COMPUTED_VALUE"""),16)</f>
        <v>16</v>
      </c>
      <c r="C217" s="5" t="str">
        <f ca="1">IFERROR(__xludf.DUMMYFUNCTION("""COMPUTED_VALUE"""),"Male")</f>
        <v>Male</v>
      </c>
      <c r="D217" s="5" t="str">
        <f ca="1">IFERROR(__xludf.DUMMYFUNCTION("""COMPUTED_VALUE"""),"Black")</f>
        <v>Black</v>
      </c>
      <c r="E217" s="5" t="str">
        <f ca="1">IFERROR(__xludf.DUMMYFUNCTION("""COMPUTED_VALUE"""),"Student")</f>
        <v>Student</v>
      </c>
      <c r="F217" s="5" t="str">
        <f ca="1">IFERROR(__xludf.DUMMYFUNCTION("""COMPUTED_VALUE"""),"Fled/Apprehended")</f>
        <v>Fled/Apprehended</v>
      </c>
      <c r="G217" s="5" t="str">
        <f ca="1">IFERROR(__xludf.DUMMYFUNCTION("""COMPUTED_VALUE"""),"No")</f>
        <v>No</v>
      </c>
      <c r="H217" s="5" t="str">
        <f ca="1">IFERROR(__xludf.DUMMYFUNCTION("""COMPUTED_VALUE"""),"None")</f>
        <v>None</v>
      </c>
    </row>
    <row r="218" spans="1:8">
      <c r="A218" s="5" t="str">
        <f ca="1">IFERROR(__xludf.DUMMYFUNCTION("""COMPUTED_VALUE"""),"20220119DCANW")</f>
        <v>20220119DCANW</v>
      </c>
      <c r="B218" s="5" t="str">
        <f ca="1">IFERROR(__xludf.DUMMYFUNCTION("""COMPUTED_VALUE"""),"Adult")</f>
        <v>Adult</v>
      </c>
      <c r="C218" s="5" t="str">
        <f ca="1">IFERROR(__xludf.DUMMYFUNCTION("""COMPUTED_VALUE"""),"Male")</f>
        <v>Male</v>
      </c>
      <c r="D218" s="5"/>
      <c r="E218" s="5" t="str">
        <f ca="1">IFERROR(__xludf.DUMMYFUNCTION("""COMPUTED_VALUE"""),"No Relation")</f>
        <v>No Relation</v>
      </c>
      <c r="F218" s="5" t="str">
        <f ca="1">IFERROR(__xludf.DUMMYFUNCTION("""COMPUTED_VALUE"""),"Fled/Escaped")</f>
        <v>Fled/Escaped</v>
      </c>
      <c r="G218" s="5" t="str">
        <f ca="1">IFERROR(__xludf.DUMMYFUNCTION("""COMPUTED_VALUE"""),"No")</f>
        <v>No</v>
      </c>
      <c r="H218" s="5" t="str">
        <f ca="1">IFERROR(__xludf.DUMMYFUNCTION("""COMPUTED_VALUE"""),"None")</f>
        <v>None</v>
      </c>
    </row>
    <row r="219" spans="1:8">
      <c r="A219" s="5" t="str">
        <f ca="1">IFERROR(__xludf.DUMMYFUNCTION("""COMPUTED_VALUE"""),"20220117TXPYH")</f>
        <v>20220117TXPYH</v>
      </c>
      <c r="B219" s="5" t="str">
        <f ca="1">IFERROR(__xludf.DUMMYFUNCTION("""COMPUTED_VALUE"""),"Adult")</f>
        <v>Adult</v>
      </c>
      <c r="C219" s="5" t="str">
        <f ca="1">IFERROR(__xludf.DUMMYFUNCTION("""COMPUTED_VALUE"""),"Male")</f>
        <v>Male</v>
      </c>
      <c r="D219" s="5"/>
      <c r="E219" s="5" t="str">
        <f ca="1">IFERROR(__xludf.DUMMYFUNCTION("""COMPUTED_VALUE"""),"No Relation")</f>
        <v>No Relation</v>
      </c>
      <c r="F219" s="5" t="str">
        <f ca="1">IFERROR(__xludf.DUMMYFUNCTION("""COMPUTED_VALUE"""),"Fled/Escaped")</f>
        <v>Fled/Escaped</v>
      </c>
      <c r="G219" s="5" t="str">
        <f ca="1">IFERROR(__xludf.DUMMYFUNCTION("""COMPUTED_VALUE"""),"No")</f>
        <v>No</v>
      </c>
      <c r="H219" s="5" t="str">
        <f ca="1">IFERROR(__xludf.DUMMYFUNCTION("""COMPUTED_VALUE"""),"None")</f>
        <v>None</v>
      </c>
    </row>
    <row r="220" spans="1:8">
      <c r="A220" s="5" t="str">
        <f ca="1">IFERROR(__xludf.DUMMYFUNCTION("""COMPUTED_VALUE"""),"20220117TXPYH")</f>
        <v>20220117TXPYH</v>
      </c>
      <c r="B220" s="5" t="str">
        <f ca="1">IFERROR(__xludf.DUMMYFUNCTION("""COMPUTED_VALUE"""),"Adult")</f>
        <v>Adult</v>
      </c>
      <c r="C220" s="5" t="str">
        <f ca="1">IFERROR(__xludf.DUMMYFUNCTION("""COMPUTED_VALUE"""),"Male")</f>
        <v>Male</v>
      </c>
      <c r="D220" s="5"/>
      <c r="E220" s="5" t="str">
        <f ca="1">IFERROR(__xludf.DUMMYFUNCTION("""COMPUTED_VALUE"""),"No Relation")</f>
        <v>No Relation</v>
      </c>
      <c r="F220" s="5" t="str">
        <f ca="1">IFERROR(__xludf.DUMMYFUNCTION("""COMPUTED_VALUE"""),"Fled/Escaped")</f>
        <v>Fled/Escaped</v>
      </c>
      <c r="G220" s="5" t="str">
        <f ca="1">IFERROR(__xludf.DUMMYFUNCTION("""COMPUTED_VALUE"""),"No")</f>
        <v>No</v>
      </c>
      <c r="H220" s="5" t="str">
        <f ca="1">IFERROR(__xludf.DUMMYFUNCTION("""COMPUTED_VALUE"""),"None")</f>
        <v>None</v>
      </c>
    </row>
    <row r="221" spans="1:8">
      <c r="A221" s="5" t="str">
        <f ca="1">IFERROR(__xludf.DUMMYFUNCTION("""COMPUTED_VALUE"""),"20220117TXPYH")</f>
        <v>20220117TXPYH</v>
      </c>
      <c r="B221" s="5" t="str">
        <f ca="1">IFERROR(__xludf.DUMMYFUNCTION("""COMPUTED_VALUE"""),"Adult")</f>
        <v>Adult</v>
      </c>
      <c r="C221" s="5" t="str">
        <f ca="1">IFERROR(__xludf.DUMMYFUNCTION("""COMPUTED_VALUE"""),"Male")</f>
        <v>Male</v>
      </c>
      <c r="D221" s="5"/>
      <c r="E221" s="5" t="str">
        <f ca="1">IFERROR(__xludf.DUMMYFUNCTION("""COMPUTED_VALUE"""),"No Relation")</f>
        <v>No Relation</v>
      </c>
      <c r="F221" s="5" t="str">
        <f ca="1">IFERROR(__xludf.DUMMYFUNCTION("""COMPUTED_VALUE"""),"Fled/Escaped")</f>
        <v>Fled/Escaped</v>
      </c>
      <c r="G221" s="5" t="str">
        <f ca="1">IFERROR(__xludf.DUMMYFUNCTION("""COMPUTED_VALUE"""),"No")</f>
        <v>No</v>
      </c>
      <c r="H221" s="5" t="str">
        <f ca="1">IFERROR(__xludf.DUMMYFUNCTION("""COMPUTED_VALUE"""),"None")</f>
        <v>None</v>
      </c>
    </row>
    <row r="222" spans="1:8">
      <c r="A222" s="5" t="str">
        <f ca="1">IFERROR(__xludf.DUMMYFUNCTION("""COMPUTED_VALUE"""),"20220114MDGAG")</f>
        <v>20220114MDGAG</v>
      </c>
      <c r="B222" s="5">
        <f ca="1">IFERROR(__xludf.DUMMYFUNCTION("""COMPUTED_VALUE"""),27)</f>
        <v>27</v>
      </c>
      <c r="C222" s="5" t="str">
        <f ca="1">IFERROR(__xludf.DUMMYFUNCTION("""COMPUTED_VALUE"""),"Male")</f>
        <v>Male</v>
      </c>
      <c r="D222" s="5" t="str">
        <f ca="1">IFERROR(__xludf.DUMMYFUNCTION("""COMPUTED_VALUE"""),"Hispanic")</f>
        <v>Hispanic</v>
      </c>
      <c r="E222" s="5" t="str">
        <f ca="1">IFERROR(__xludf.DUMMYFUNCTION("""COMPUTED_VALUE"""),"No Relation")</f>
        <v>No Relation</v>
      </c>
      <c r="F222" s="5" t="str">
        <f ca="1">IFERROR(__xludf.DUMMYFUNCTION("""COMPUTED_VALUE"""),"Apprehended/Killed by LE")</f>
        <v>Apprehended/Killed by LE</v>
      </c>
      <c r="G222" s="5" t="str">
        <f ca="1">IFERROR(__xludf.DUMMYFUNCTION("""COMPUTED_VALUE"""),"No")</f>
        <v>No</v>
      </c>
      <c r="H222" s="5" t="str">
        <f ca="1">IFERROR(__xludf.DUMMYFUNCTION("""COMPUTED_VALUE"""),"None")</f>
        <v>None</v>
      </c>
    </row>
    <row r="223" spans="1:8">
      <c r="A223" s="5" t="str">
        <f ca="1">IFERROR(__xludf.DUMMYFUNCTION("""COMPUTED_VALUE"""),"20220111NMVAA")</f>
        <v>20220111NMVAA</v>
      </c>
      <c r="B223" s="5"/>
      <c r="C223" s="5"/>
      <c r="D223" s="5"/>
      <c r="E223" s="5"/>
      <c r="F223" s="5" t="str">
        <f ca="1">IFERROR(__xludf.DUMMYFUNCTION("""COMPUTED_VALUE"""),"Fled/Escaped")</f>
        <v>Fled/Escaped</v>
      </c>
      <c r="G223" s="5" t="str">
        <f ca="1">IFERROR(__xludf.DUMMYFUNCTION("""COMPUTED_VALUE"""),"No")</f>
        <v>No</v>
      </c>
      <c r="H223" s="5" t="str">
        <f ca="1">IFERROR(__xludf.DUMMYFUNCTION("""COMPUTED_VALUE"""),"None")</f>
        <v>None</v>
      </c>
    </row>
    <row r="224" spans="1:8">
      <c r="A224" s="5" t="str">
        <f ca="1">IFERROR(__xludf.DUMMYFUNCTION("""COMPUTED_VALUE"""),"20220106CAFLS")</f>
        <v>20220106CAFLS</v>
      </c>
      <c r="B224" s="5" t="str">
        <f ca="1">IFERROR(__xludf.DUMMYFUNCTION("""COMPUTED_VALUE"""),"Teen")</f>
        <v>Teen</v>
      </c>
      <c r="C224" s="5" t="str">
        <f ca="1">IFERROR(__xludf.DUMMYFUNCTION("""COMPUTED_VALUE"""),"Male")</f>
        <v>Male</v>
      </c>
      <c r="D224" s="5"/>
      <c r="E224" s="5" t="str">
        <f ca="1">IFERROR(__xludf.DUMMYFUNCTION("""COMPUTED_VALUE"""),"Student")</f>
        <v>Student</v>
      </c>
      <c r="F224" s="5" t="str">
        <f ca="1">IFERROR(__xludf.DUMMYFUNCTION("""COMPUTED_VALUE"""),"Fled/Escaped")</f>
        <v>Fled/Escaped</v>
      </c>
      <c r="G224" s="5" t="str">
        <f ca="1">IFERROR(__xludf.DUMMYFUNCTION("""COMPUTED_VALUE"""),"No")</f>
        <v>No</v>
      </c>
      <c r="H224" s="5" t="str">
        <f ca="1">IFERROR(__xludf.DUMMYFUNCTION("""COMPUTED_VALUE"""),"None")</f>
        <v>None</v>
      </c>
    </row>
    <row r="225" spans="1:8">
      <c r="A225" s="5" t="str">
        <f ca="1">IFERROR(__xludf.DUMMYFUNCTION("""COMPUTED_VALUE"""),"20220104ILAUR")</f>
        <v>20220104ILAUR</v>
      </c>
      <c r="B225" s="5">
        <f ca="1">IFERROR(__xludf.DUMMYFUNCTION("""COMPUTED_VALUE"""),16)</f>
        <v>16</v>
      </c>
      <c r="C225" s="5" t="str">
        <f ca="1">IFERROR(__xludf.DUMMYFUNCTION("""COMPUTED_VALUE"""),"Male")</f>
        <v>Male</v>
      </c>
      <c r="D225" s="5"/>
      <c r="E225" s="5" t="str">
        <f ca="1">IFERROR(__xludf.DUMMYFUNCTION("""COMPUTED_VALUE"""),"Student")</f>
        <v>Student</v>
      </c>
      <c r="F225" s="5" t="str">
        <f ca="1">IFERROR(__xludf.DUMMYFUNCTION("""COMPUTED_VALUE"""),"Fled/Apprehended")</f>
        <v>Fled/Apprehended</v>
      </c>
      <c r="G225" s="5" t="str">
        <f ca="1">IFERROR(__xludf.DUMMYFUNCTION("""COMPUTED_VALUE"""),"No")</f>
        <v>No</v>
      </c>
      <c r="H225" s="5" t="str">
        <f ca="1">IFERROR(__xludf.DUMMYFUNCTION("""COMPUTED_VALUE"""),"None")</f>
        <v>None</v>
      </c>
    </row>
    <row r="226" spans="1:8">
      <c r="A226" s="5" t="str">
        <f ca="1">IFERROR(__xludf.DUMMYFUNCTION("""COMPUTED_VALUE"""),"20220104ILAUR")</f>
        <v>20220104ILAUR</v>
      </c>
      <c r="B226" s="5">
        <f ca="1">IFERROR(__xludf.DUMMYFUNCTION("""COMPUTED_VALUE"""),17)</f>
        <v>17</v>
      </c>
      <c r="C226" s="5" t="str">
        <f ca="1">IFERROR(__xludf.DUMMYFUNCTION("""COMPUTED_VALUE"""),"Male")</f>
        <v>Male</v>
      </c>
      <c r="D226" s="5"/>
      <c r="E226" s="5" t="str">
        <f ca="1">IFERROR(__xludf.DUMMYFUNCTION("""COMPUTED_VALUE"""),"Student")</f>
        <v>Student</v>
      </c>
      <c r="F226" s="5" t="str">
        <f ca="1">IFERROR(__xludf.DUMMYFUNCTION("""COMPUTED_VALUE"""),"Fled/Apprehended")</f>
        <v>Fled/Apprehended</v>
      </c>
      <c r="G226" s="5" t="str">
        <f ca="1">IFERROR(__xludf.DUMMYFUNCTION("""COMPUTED_VALUE"""),"No")</f>
        <v>No</v>
      </c>
      <c r="H226" s="5" t="str">
        <f ca="1">IFERROR(__xludf.DUMMYFUNCTION("""COMPUTED_VALUE"""),"None")</f>
        <v>None</v>
      </c>
    </row>
    <row r="227" spans="1:8">
      <c r="A227" s="5" t="str">
        <f ca="1">IFERROR(__xludf.DUMMYFUNCTION("""COMPUTED_VALUE"""),"20220103WACHP")</f>
        <v>20220103WACHP</v>
      </c>
      <c r="B227" s="5" t="str">
        <f ca="1">IFERROR(__xludf.DUMMYFUNCTION("""COMPUTED_VALUE"""),"Adult")</f>
        <v>Adult</v>
      </c>
      <c r="C227" s="5" t="str">
        <f ca="1">IFERROR(__xludf.DUMMYFUNCTION("""COMPUTED_VALUE"""),"Female")</f>
        <v>Female</v>
      </c>
      <c r="D227" s="5"/>
      <c r="E227" s="5" t="str">
        <f ca="1">IFERROR(__xludf.DUMMYFUNCTION("""COMPUTED_VALUE"""),"No Relation")</f>
        <v>No Relation</v>
      </c>
      <c r="F227" s="5" t="str">
        <f ca="1">IFERROR(__xludf.DUMMYFUNCTION("""COMPUTED_VALUE"""),"Fled/Apprehended")</f>
        <v>Fled/Apprehended</v>
      </c>
      <c r="G227" s="5" t="str">
        <f ca="1">IFERROR(__xludf.DUMMYFUNCTION("""COMPUTED_VALUE"""),"No")</f>
        <v>No</v>
      </c>
      <c r="H227" s="5" t="str">
        <f ca="1">IFERROR(__xludf.DUMMYFUNCTION("""COMPUTED_VALUE"""),"None")</f>
        <v>None</v>
      </c>
    </row>
    <row r="228" spans="1:8">
      <c r="A228" s="5" t="str">
        <f ca="1">IFERROR(__xludf.DUMMYFUNCTION("""COMPUTED_VALUE"""),"20220103OHCOC")</f>
        <v>20220103OHCOC</v>
      </c>
      <c r="B228" s="5"/>
      <c r="C228" s="5"/>
      <c r="D228" s="5"/>
      <c r="E228" s="5" t="str">
        <f ca="1">IFERROR(__xludf.DUMMYFUNCTION("""COMPUTED_VALUE"""),"No Relation")</f>
        <v>No Relation</v>
      </c>
      <c r="F228" s="5" t="str">
        <f ca="1">IFERROR(__xludf.DUMMYFUNCTION("""COMPUTED_VALUE"""),"Fled/Escaped")</f>
        <v>Fled/Escaped</v>
      </c>
      <c r="G228" s="5" t="str">
        <f ca="1">IFERROR(__xludf.DUMMYFUNCTION("""COMPUTED_VALUE"""),"No")</f>
        <v>No</v>
      </c>
      <c r="H228" s="5" t="str">
        <f ca="1">IFERROR(__xludf.DUMMYFUNCTION("""COMPUTED_VALUE"""),"None")</f>
        <v>None</v>
      </c>
    </row>
    <row r="229" spans="1:8">
      <c r="A229" s="5" t="str">
        <f ca="1">IFERROR(__xludf.DUMMYFUNCTION("""COMPUTED_VALUE"""),"20211229NCCAS")</f>
        <v>20211229NCCAS</v>
      </c>
      <c r="B229" s="5" t="str">
        <f ca="1">IFERROR(__xludf.DUMMYFUNCTION("""COMPUTED_VALUE"""),"Teen")</f>
        <v>Teen</v>
      </c>
      <c r="C229" s="5" t="str">
        <f ca="1">IFERROR(__xludf.DUMMYFUNCTION("""COMPUTED_VALUE"""),"Male")</f>
        <v>Male</v>
      </c>
      <c r="D229" s="5"/>
      <c r="E229" s="5" t="str">
        <f ca="1">IFERROR(__xludf.DUMMYFUNCTION("""COMPUTED_VALUE"""),"Student")</f>
        <v>Student</v>
      </c>
      <c r="F229" s="5" t="str">
        <f ca="1">IFERROR(__xludf.DUMMYFUNCTION("""COMPUTED_VALUE"""),"Fled/Apprehended")</f>
        <v>Fled/Apprehended</v>
      </c>
      <c r="G229" s="5" t="str">
        <f ca="1">IFERROR(__xludf.DUMMYFUNCTION("""COMPUTED_VALUE"""),"No")</f>
        <v>No</v>
      </c>
      <c r="H229" s="5" t="str">
        <f ca="1">IFERROR(__xludf.DUMMYFUNCTION("""COMPUTED_VALUE"""),"None")</f>
        <v>None</v>
      </c>
    </row>
    <row r="230" spans="1:8">
      <c r="A230" s="5" t="str">
        <f ca="1">IFERROR(__xludf.DUMMYFUNCTION("""COMPUTED_VALUE"""),"20211229NCCAS")</f>
        <v>20211229NCCAS</v>
      </c>
      <c r="B230" s="5" t="str">
        <f ca="1">IFERROR(__xludf.DUMMYFUNCTION("""COMPUTED_VALUE"""),"Teen")</f>
        <v>Teen</v>
      </c>
      <c r="C230" s="5" t="str">
        <f ca="1">IFERROR(__xludf.DUMMYFUNCTION("""COMPUTED_VALUE"""),"Male")</f>
        <v>Male</v>
      </c>
      <c r="D230" s="5"/>
      <c r="E230" s="5" t="str">
        <f ca="1">IFERROR(__xludf.DUMMYFUNCTION("""COMPUTED_VALUE"""),"Student")</f>
        <v>Student</v>
      </c>
      <c r="F230" s="5" t="str">
        <f ca="1">IFERROR(__xludf.DUMMYFUNCTION("""COMPUTED_VALUE"""),"Fled/Apprehended")</f>
        <v>Fled/Apprehended</v>
      </c>
      <c r="G230" s="5" t="str">
        <f ca="1">IFERROR(__xludf.DUMMYFUNCTION("""COMPUTED_VALUE"""),"No")</f>
        <v>No</v>
      </c>
      <c r="H230" s="5" t="str">
        <f ca="1">IFERROR(__xludf.DUMMYFUNCTION("""COMPUTED_VALUE"""),"None")</f>
        <v>None</v>
      </c>
    </row>
    <row r="231" spans="1:8">
      <c r="A231" s="5" t="str">
        <f ca="1">IFERROR(__xludf.DUMMYFUNCTION("""COMPUTED_VALUE"""),"20211217TXWOD")</f>
        <v>20211217TXWOD</v>
      </c>
      <c r="B231" s="5" t="str">
        <f ca="1">IFERROR(__xludf.DUMMYFUNCTION("""COMPUTED_VALUE"""),"Teen")</f>
        <v>Teen</v>
      </c>
      <c r="C231" s="5" t="str">
        <f ca="1">IFERROR(__xludf.DUMMYFUNCTION("""COMPUTED_VALUE"""),"Male")</f>
        <v>Male</v>
      </c>
      <c r="D231" s="5" t="str">
        <f ca="1">IFERROR(__xludf.DUMMYFUNCTION("""COMPUTED_VALUE"""),"White")</f>
        <v>White</v>
      </c>
      <c r="E231" s="5" t="str">
        <f ca="1">IFERROR(__xludf.DUMMYFUNCTION("""COMPUTED_VALUE"""),"Student")</f>
        <v>Student</v>
      </c>
      <c r="F231" s="5" t="str">
        <f ca="1">IFERROR(__xludf.DUMMYFUNCTION("""COMPUTED_VALUE"""),"Fled/Apprehended")</f>
        <v>Fled/Apprehended</v>
      </c>
      <c r="G231" s="5" t="str">
        <f ca="1">IFERROR(__xludf.DUMMYFUNCTION("""COMPUTED_VALUE"""),"No")</f>
        <v>No</v>
      </c>
      <c r="H231" s="5" t="str">
        <f ca="1">IFERROR(__xludf.DUMMYFUNCTION("""COMPUTED_VALUE"""),"None")</f>
        <v>None</v>
      </c>
    </row>
    <row r="232" spans="1:8">
      <c r="A232" s="5" t="str">
        <f ca="1">IFERROR(__xludf.DUMMYFUNCTION("""COMPUTED_VALUE"""),"20211216SCEAC")</f>
        <v>20211216SCEAC</v>
      </c>
      <c r="B232" s="5">
        <f ca="1">IFERROR(__xludf.DUMMYFUNCTION("""COMPUTED_VALUE"""),15)</f>
        <v>15</v>
      </c>
      <c r="C232" s="5" t="str">
        <f ca="1">IFERROR(__xludf.DUMMYFUNCTION("""COMPUTED_VALUE"""),"Male")</f>
        <v>Male</v>
      </c>
      <c r="D232" s="5"/>
      <c r="E232" s="5" t="str">
        <f ca="1">IFERROR(__xludf.DUMMYFUNCTION("""COMPUTED_VALUE"""),"Student")</f>
        <v>Student</v>
      </c>
      <c r="F232" s="5" t="str">
        <f ca="1">IFERROR(__xludf.DUMMYFUNCTION("""COMPUTED_VALUE"""),"Fled/Apprehended")</f>
        <v>Fled/Apprehended</v>
      </c>
      <c r="G232" s="5" t="str">
        <f ca="1">IFERROR(__xludf.DUMMYFUNCTION("""COMPUTED_VALUE"""),"No")</f>
        <v>No</v>
      </c>
      <c r="H232" s="5" t="str">
        <f ca="1">IFERROR(__xludf.DUMMYFUNCTION("""COMPUTED_VALUE"""),"None")</f>
        <v>None</v>
      </c>
    </row>
    <row r="233" spans="1:8">
      <c r="A233" s="5" t="str">
        <f ca="1">IFERROR(__xludf.DUMMYFUNCTION("""COMPUTED_VALUE"""),"20211216NYPSB")</f>
        <v>20211216NYPSB</v>
      </c>
      <c r="B233" s="5" t="str">
        <f ca="1">IFERROR(__xludf.DUMMYFUNCTION("""COMPUTED_VALUE"""),"Adult")</f>
        <v>Adult</v>
      </c>
      <c r="C233" s="5" t="str">
        <f ca="1">IFERROR(__xludf.DUMMYFUNCTION("""COMPUTED_VALUE"""),"Male")</f>
        <v>Male</v>
      </c>
      <c r="D233" s="5"/>
      <c r="E233" s="5" t="str">
        <f ca="1">IFERROR(__xludf.DUMMYFUNCTION("""COMPUTED_VALUE"""),"No Relation")</f>
        <v>No Relation</v>
      </c>
      <c r="F233" s="5" t="str">
        <f ca="1">IFERROR(__xludf.DUMMYFUNCTION("""COMPUTED_VALUE"""),"Fled/Escaped")</f>
        <v>Fled/Escaped</v>
      </c>
      <c r="G233" s="5" t="str">
        <f ca="1">IFERROR(__xludf.DUMMYFUNCTION("""COMPUTED_VALUE"""),"No")</f>
        <v>No</v>
      </c>
      <c r="H233" s="5" t="str">
        <f ca="1">IFERROR(__xludf.DUMMYFUNCTION("""COMPUTED_VALUE"""),"None")</f>
        <v>None</v>
      </c>
    </row>
    <row r="234" spans="1:8">
      <c r="A234" s="5" t="str">
        <f ca="1">IFERROR(__xludf.DUMMYFUNCTION("""COMPUTED_VALUE"""),"20211214WISOM")</f>
        <v>20211214WISOM</v>
      </c>
      <c r="B234" s="5">
        <f ca="1">IFERROR(__xludf.DUMMYFUNCTION("""COMPUTED_VALUE"""),18)</f>
        <v>18</v>
      </c>
      <c r="C234" s="5" t="str">
        <f ca="1">IFERROR(__xludf.DUMMYFUNCTION("""COMPUTED_VALUE"""),"Male")</f>
        <v>Male</v>
      </c>
      <c r="D234" s="5" t="str">
        <f ca="1">IFERROR(__xludf.DUMMYFUNCTION("""COMPUTED_VALUE"""),"Black")</f>
        <v>Black</v>
      </c>
      <c r="E234" s="5" t="str">
        <f ca="1">IFERROR(__xludf.DUMMYFUNCTION("""COMPUTED_VALUE"""),"Student")</f>
        <v>Student</v>
      </c>
      <c r="F234" s="5" t="str">
        <f ca="1">IFERROR(__xludf.DUMMYFUNCTION("""COMPUTED_VALUE"""),"Fled/Escaped")</f>
        <v>Fled/Escaped</v>
      </c>
      <c r="G234" s="5" t="str">
        <f ca="1">IFERROR(__xludf.DUMMYFUNCTION("""COMPUTED_VALUE"""),"No")</f>
        <v>No</v>
      </c>
      <c r="H234" s="5" t="str">
        <f ca="1">IFERROR(__xludf.DUMMYFUNCTION("""COMPUTED_VALUE"""),"None")</f>
        <v>None</v>
      </c>
    </row>
    <row r="235" spans="1:8">
      <c r="A235" s="5" t="str">
        <f ca="1">IFERROR(__xludf.DUMMYFUNCTION("""COMPUTED_VALUE"""),"20211214VAMEN")</f>
        <v>20211214VAMEN</v>
      </c>
      <c r="B235" s="5">
        <f ca="1">IFERROR(__xludf.DUMMYFUNCTION("""COMPUTED_VALUE"""),18)</f>
        <v>18</v>
      </c>
      <c r="C235" s="5" t="str">
        <f ca="1">IFERROR(__xludf.DUMMYFUNCTION("""COMPUTED_VALUE"""),"Male")</f>
        <v>Male</v>
      </c>
      <c r="D235" s="5" t="str">
        <f ca="1">IFERROR(__xludf.DUMMYFUNCTION("""COMPUTED_VALUE"""),"Black")</f>
        <v>Black</v>
      </c>
      <c r="E235" s="5" t="str">
        <f ca="1">IFERROR(__xludf.DUMMYFUNCTION("""COMPUTED_VALUE"""),"Rival School Student")</f>
        <v>Rival School Student</v>
      </c>
      <c r="F235" s="5" t="str">
        <f ca="1">IFERROR(__xludf.DUMMYFUNCTION("""COMPUTED_VALUE"""),"Fled/Apprehended")</f>
        <v>Fled/Apprehended</v>
      </c>
      <c r="G235" s="5" t="str">
        <f ca="1">IFERROR(__xludf.DUMMYFUNCTION("""COMPUTED_VALUE"""),"No")</f>
        <v>No</v>
      </c>
      <c r="H235" s="5" t="str">
        <f ca="1">IFERROR(__xludf.DUMMYFUNCTION("""COMPUTED_VALUE"""),"None")</f>
        <v>None</v>
      </c>
    </row>
    <row r="236" spans="1:8">
      <c r="A236" s="5" t="str">
        <f ca="1">IFERROR(__xludf.DUMMYFUNCTION("""COMPUTED_VALUE"""),"20211213NCWEC")</f>
        <v>20211213NCWEC</v>
      </c>
      <c r="B236" s="5" t="str">
        <f ca="1">IFERROR(__xludf.DUMMYFUNCTION("""COMPUTED_VALUE"""),"Teen")</f>
        <v>Teen</v>
      </c>
      <c r="C236" s="5" t="str">
        <f ca="1">IFERROR(__xludf.DUMMYFUNCTION("""COMPUTED_VALUE"""),"Male")</f>
        <v>Male</v>
      </c>
      <c r="D236" s="5"/>
      <c r="E236" s="5" t="str">
        <f ca="1">IFERROR(__xludf.DUMMYFUNCTION("""COMPUTED_VALUE"""),"Student")</f>
        <v>Student</v>
      </c>
      <c r="F236" s="5" t="str">
        <f ca="1">IFERROR(__xludf.DUMMYFUNCTION("""COMPUTED_VALUE"""),"Fled/Apprehended")</f>
        <v>Fled/Apprehended</v>
      </c>
      <c r="G236" s="5" t="str">
        <f ca="1">IFERROR(__xludf.DUMMYFUNCTION("""COMPUTED_VALUE"""),"No")</f>
        <v>No</v>
      </c>
      <c r="H236" s="5" t="str">
        <f ca="1">IFERROR(__xludf.DUMMYFUNCTION("""COMPUTED_VALUE"""),"None")</f>
        <v>None</v>
      </c>
    </row>
    <row r="237" spans="1:8">
      <c r="A237" s="5" t="str">
        <f ca="1">IFERROR(__xludf.DUMMYFUNCTION("""COMPUTED_VALUE"""),"20211213FLEAO")</f>
        <v>20211213FLEAO</v>
      </c>
      <c r="B237" s="5" t="str">
        <f ca="1">IFERROR(__xludf.DUMMYFUNCTION("""COMPUTED_VALUE"""),"Teen")</f>
        <v>Teen</v>
      </c>
      <c r="C237" s="5"/>
      <c r="D237" s="5"/>
      <c r="E237" s="5" t="str">
        <f ca="1">IFERROR(__xludf.DUMMYFUNCTION("""COMPUTED_VALUE"""),"Student")</f>
        <v>Student</v>
      </c>
      <c r="F237" s="5" t="str">
        <f ca="1">IFERROR(__xludf.DUMMYFUNCTION("""COMPUTED_VALUE"""),"Fled/Escaped")</f>
        <v>Fled/Escaped</v>
      </c>
      <c r="G237" s="5" t="str">
        <f ca="1">IFERROR(__xludf.DUMMYFUNCTION("""COMPUTED_VALUE"""),"No")</f>
        <v>No</v>
      </c>
      <c r="H237" s="5" t="str">
        <f ca="1">IFERROR(__xludf.DUMMYFUNCTION("""COMPUTED_VALUE"""),"None")</f>
        <v>None</v>
      </c>
    </row>
    <row r="238" spans="1:8">
      <c r="A238" s="5" t="str">
        <f ca="1">IFERROR(__xludf.DUMMYFUNCTION("""COMPUTED_VALUE"""),"20211212NYSCR")</f>
        <v>20211212NYSCR</v>
      </c>
      <c r="B238" s="5">
        <f ca="1">IFERROR(__xludf.DUMMYFUNCTION("""COMPUTED_VALUE"""),21)</f>
        <v>21</v>
      </c>
      <c r="C238" s="5" t="str">
        <f ca="1">IFERROR(__xludf.DUMMYFUNCTION("""COMPUTED_VALUE"""),"Male")</f>
        <v>Male</v>
      </c>
      <c r="D238" s="5"/>
      <c r="E238" s="5" t="str">
        <f ca="1">IFERROR(__xludf.DUMMYFUNCTION("""COMPUTED_VALUE"""),"No Relation")</f>
        <v>No Relation</v>
      </c>
      <c r="F238" s="5" t="str">
        <f ca="1">IFERROR(__xludf.DUMMYFUNCTION("""COMPUTED_VALUE"""),"Fled/Escaped")</f>
        <v>Fled/Escaped</v>
      </c>
      <c r="G238" s="5" t="str">
        <f ca="1">IFERROR(__xludf.DUMMYFUNCTION("""COMPUTED_VALUE"""),"No")</f>
        <v>No</v>
      </c>
      <c r="H238" s="5" t="str">
        <f ca="1">IFERROR(__xludf.DUMMYFUNCTION("""COMPUTED_VALUE"""),"None")</f>
        <v>None</v>
      </c>
    </row>
    <row r="239" spans="1:8">
      <c r="A239" s="5" t="str">
        <f ca="1">IFERROR(__xludf.DUMMYFUNCTION("""COMPUTED_VALUE"""),"20211211GAJOG")</f>
        <v>20211211GAJOG</v>
      </c>
      <c r="B239" s="5">
        <f ca="1">IFERROR(__xludf.DUMMYFUNCTION("""COMPUTED_VALUE"""),17)</f>
        <v>17</v>
      </c>
      <c r="C239" s="5" t="str">
        <f ca="1">IFERROR(__xludf.DUMMYFUNCTION("""COMPUTED_VALUE"""),"Male")</f>
        <v>Male</v>
      </c>
      <c r="D239" s="5"/>
      <c r="E239" s="5" t="str">
        <f ca="1">IFERROR(__xludf.DUMMYFUNCTION("""COMPUTED_VALUE"""),"Student")</f>
        <v>Student</v>
      </c>
      <c r="F239" s="5" t="str">
        <f ca="1">IFERROR(__xludf.DUMMYFUNCTION("""COMPUTED_VALUE"""),"Fled/Apprehended")</f>
        <v>Fled/Apprehended</v>
      </c>
      <c r="G239" s="5" t="str">
        <f ca="1">IFERROR(__xludf.DUMMYFUNCTION("""COMPUTED_VALUE"""),"No")</f>
        <v>No</v>
      </c>
      <c r="H239" s="5" t="str">
        <f ca="1">IFERROR(__xludf.DUMMYFUNCTION("""COMPUTED_VALUE"""),"None")</f>
        <v>None</v>
      </c>
    </row>
    <row r="240" spans="1:8">
      <c r="A240" s="5" t="str">
        <f ca="1">IFERROR(__xludf.DUMMYFUNCTION("""COMPUTED_VALUE"""),"20211211FLEDL")</f>
        <v>20211211FLEDL</v>
      </c>
      <c r="B240" s="5" t="str">
        <f ca="1">IFERROR(__xludf.DUMMYFUNCTION("""COMPUTED_VALUE"""),"Adult")</f>
        <v>Adult</v>
      </c>
      <c r="C240" s="5" t="str">
        <f ca="1">IFERROR(__xludf.DUMMYFUNCTION("""COMPUTED_VALUE"""),"Male")</f>
        <v>Male</v>
      </c>
      <c r="D240" s="5"/>
      <c r="E240" s="5" t="str">
        <f ca="1">IFERROR(__xludf.DUMMYFUNCTION("""COMPUTED_VALUE"""),"Nonstudent Using Athletic Facilities/Attending Game")</f>
        <v>Nonstudent Using Athletic Facilities/Attending Game</v>
      </c>
      <c r="F240" s="5" t="str">
        <f ca="1">IFERROR(__xludf.DUMMYFUNCTION("""COMPUTED_VALUE"""),"Fled/Escaped")</f>
        <v>Fled/Escaped</v>
      </c>
      <c r="G240" s="5" t="str">
        <f ca="1">IFERROR(__xludf.DUMMYFUNCTION("""COMPUTED_VALUE"""),"No")</f>
        <v>No</v>
      </c>
      <c r="H240" s="5" t="str">
        <f ca="1">IFERROR(__xludf.DUMMYFUNCTION("""COMPUTED_VALUE"""),"None")</f>
        <v>None</v>
      </c>
    </row>
    <row r="241" spans="1:8">
      <c r="A241" s="5" t="str">
        <f ca="1">IFERROR(__xludf.DUMMYFUNCTION("""COMPUTED_VALUE"""),"20211210OHCAC")</f>
        <v>20211210OHCAC</v>
      </c>
      <c r="B241" s="5" t="str">
        <f ca="1">IFERROR(__xludf.DUMMYFUNCTION("""COMPUTED_VALUE"""),"Adult")</f>
        <v>Adult</v>
      </c>
      <c r="C241" s="5" t="str">
        <f ca="1">IFERROR(__xludf.DUMMYFUNCTION("""COMPUTED_VALUE"""),"Male")</f>
        <v>Male</v>
      </c>
      <c r="D241" s="5"/>
      <c r="E241" s="5" t="str">
        <f ca="1">IFERROR(__xludf.DUMMYFUNCTION("""COMPUTED_VALUE"""),"No Relation")</f>
        <v>No Relation</v>
      </c>
      <c r="F241" s="5" t="str">
        <f ca="1">IFERROR(__xludf.DUMMYFUNCTION("""COMPUTED_VALUE"""),"Apprehended/Killed by LE")</f>
        <v>Apprehended/Killed by LE</v>
      </c>
      <c r="G241" s="5" t="str">
        <f ca="1">IFERROR(__xludf.DUMMYFUNCTION("""COMPUTED_VALUE"""),"No")</f>
        <v>No</v>
      </c>
      <c r="H241" s="5" t="str">
        <f ca="1">IFERROR(__xludf.DUMMYFUNCTION("""COMPUTED_VALUE"""),"None")</f>
        <v>None</v>
      </c>
    </row>
    <row r="242" spans="1:8">
      <c r="A242" s="5" t="str">
        <f ca="1">IFERROR(__xludf.DUMMYFUNCTION("""COMPUTED_VALUE"""),"20211210NCJEC")</f>
        <v>20211210NCJEC</v>
      </c>
      <c r="B242" s="5"/>
      <c r="C242" s="5"/>
      <c r="D242" s="5"/>
      <c r="E242" s="5" t="str">
        <f ca="1">IFERROR(__xludf.DUMMYFUNCTION("""COMPUTED_VALUE"""),"No Relation")</f>
        <v>No Relation</v>
      </c>
      <c r="F242" s="5" t="str">
        <f ca="1">IFERROR(__xludf.DUMMYFUNCTION("""COMPUTED_VALUE"""),"Fled/Apprehended")</f>
        <v>Fled/Apprehended</v>
      </c>
      <c r="G242" s="5" t="str">
        <f ca="1">IFERROR(__xludf.DUMMYFUNCTION("""COMPUTED_VALUE"""),"No")</f>
        <v>No</v>
      </c>
      <c r="H242" s="5" t="str">
        <f ca="1">IFERROR(__xludf.DUMMYFUNCTION("""COMPUTED_VALUE"""),"None")</f>
        <v>None</v>
      </c>
    </row>
    <row r="243" spans="1:8">
      <c r="A243" s="5" t="str">
        <f ca="1">IFERROR(__xludf.DUMMYFUNCTION("""COMPUTED_VALUE"""),"20211210NCJEC")</f>
        <v>20211210NCJEC</v>
      </c>
      <c r="B243" s="5"/>
      <c r="C243" s="5"/>
      <c r="D243" s="5"/>
      <c r="E243" s="5" t="str">
        <f ca="1">IFERROR(__xludf.DUMMYFUNCTION("""COMPUTED_VALUE"""),"No Relation")</f>
        <v>No Relation</v>
      </c>
      <c r="F243" s="5" t="str">
        <f ca="1">IFERROR(__xludf.DUMMYFUNCTION("""COMPUTED_VALUE"""),"Fled/Escaped")</f>
        <v>Fled/Escaped</v>
      </c>
      <c r="G243" s="5" t="str">
        <f ca="1">IFERROR(__xludf.DUMMYFUNCTION("""COMPUTED_VALUE"""),"No")</f>
        <v>No</v>
      </c>
      <c r="H243" s="5" t="str">
        <f ca="1">IFERROR(__xludf.DUMMYFUNCTION("""COMPUTED_VALUE"""),"None")</f>
        <v>None</v>
      </c>
    </row>
    <row r="244" spans="1:8">
      <c r="A244" s="5" t="str">
        <f ca="1">IFERROR(__xludf.DUMMYFUNCTION("""COMPUTED_VALUE"""),"20211209NYGRN")</f>
        <v>20211209NYGRN</v>
      </c>
      <c r="B244" s="5" t="str">
        <f ca="1">IFERROR(__xludf.DUMMYFUNCTION("""COMPUTED_VALUE"""),"Adult")</f>
        <v>Adult</v>
      </c>
      <c r="C244" s="5" t="str">
        <f ca="1">IFERROR(__xludf.DUMMYFUNCTION("""COMPUTED_VALUE"""),"Male")</f>
        <v>Male</v>
      </c>
      <c r="D244" s="5"/>
      <c r="E244" s="5" t="str">
        <f ca="1">IFERROR(__xludf.DUMMYFUNCTION("""COMPUTED_VALUE"""),"No Relation")</f>
        <v>No Relation</v>
      </c>
      <c r="F244" s="5" t="str">
        <f ca="1">IFERROR(__xludf.DUMMYFUNCTION("""COMPUTED_VALUE"""),"Fled/Escaped")</f>
        <v>Fled/Escaped</v>
      </c>
      <c r="G244" s="5" t="str">
        <f ca="1">IFERROR(__xludf.DUMMYFUNCTION("""COMPUTED_VALUE"""),"No")</f>
        <v>No</v>
      </c>
      <c r="H244" s="5" t="str">
        <f ca="1">IFERROR(__xludf.DUMMYFUNCTION("""COMPUTED_VALUE"""),"None")</f>
        <v>None</v>
      </c>
    </row>
    <row r="245" spans="1:8">
      <c r="A245" s="5" t="str">
        <f ca="1">IFERROR(__xludf.DUMMYFUNCTION("""COMPUTED_VALUE"""),"20211208MOEWK")</f>
        <v>20211208MOEWK</v>
      </c>
      <c r="B245" s="5"/>
      <c r="C245" s="5" t="str">
        <f ca="1">IFERROR(__xludf.DUMMYFUNCTION("""COMPUTED_VALUE"""),"Male")</f>
        <v>Male</v>
      </c>
      <c r="D245" s="5"/>
      <c r="E245" s="5"/>
      <c r="F245" s="5" t="str">
        <f ca="1">IFERROR(__xludf.DUMMYFUNCTION("""COMPUTED_VALUE"""),"Fled/Escaped")</f>
        <v>Fled/Escaped</v>
      </c>
      <c r="G245" s="5" t="str">
        <f ca="1">IFERROR(__xludf.DUMMYFUNCTION("""COMPUTED_VALUE"""),"No")</f>
        <v>No</v>
      </c>
      <c r="H245" s="5" t="str">
        <f ca="1">IFERROR(__xludf.DUMMYFUNCTION("""COMPUTED_VALUE"""),"None")</f>
        <v>None</v>
      </c>
    </row>
    <row r="246" spans="1:8">
      <c r="A246" s="5" t="str">
        <f ca="1">IFERROR(__xludf.DUMMYFUNCTION("""COMPUTED_VALUE"""),"20211208KYSTL")</f>
        <v>20211208KYSTL</v>
      </c>
      <c r="B246" s="5"/>
      <c r="C246" s="5"/>
      <c r="D246" s="5"/>
      <c r="E246" s="5" t="str">
        <f ca="1">IFERROR(__xludf.DUMMYFUNCTION("""COMPUTED_VALUE"""),"No Relation")</f>
        <v>No Relation</v>
      </c>
      <c r="F246" s="5" t="str">
        <f ca="1">IFERROR(__xludf.DUMMYFUNCTION("""COMPUTED_VALUE"""),"Fled/Escaped")</f>
        <v>Fled/Escaped</v>
      </c>
      <c r="G246" s="5" t="str">
        <f ca="1">IFERROR(__xludf.DUMMYFUNCTION("""COMPUTED_VALUE"""),"No")</f>
        <v>No</v>
      </c>
      <c r="H246" s="5" t="str">
        <f ca="1">IFERROR(__xludf.DUMMYFUNCTION("""COMPUTED_VALUE"""),"None")</f>
        <v>None</v>
      </c>
    </row>
    <row r="247" spans="1:8">
      <c r="A247" s="5" t="str">
        <f ca="1">IFERROR(__xludf.DUMMYFUNCTION("""COMPUTED_VALUE"""),"20211207ILHAC")</f>
        <v>20211207ILHAC</v>
      </c>
      <c r="B247" s="5">
        <f ca="1">IFERROR(__xludf.DUMMYFUNCTION("""COMPUTED_VALUE"""),23)</f>
        <v>23</v>
      </c>
      <c r="C247" s="5" t="str">
        <f ca="1">IFERROR(__xludf.DUMMYFUNCTION("""COMPUTED_VALUE"""),"Male")</f>
        <v>Male</v>
      </c>
      <c r="D247" s="5" t="str">
        <f ca="1">IFERROR(__xludf.DUMMYFUNCTION("""COMPUTED_VALUE"""),"Black")</f>
        <v>Black</v>
      </c>
      <c r="E247" s="5" t="str">
        <f ca="1">IFERROR(__xludf.DUMMYFUNCTION("""COMPUTED_VALUE"""),"No Relation")</f>
        <v>No Relation</v>
      </c>
      <c r="F247" s="5" t="str">
        <f ca="1">IFERROR(__xludf.DUMMYFUNCTION("""COMPUTED_VALUE"""),"Fled/Apprehended")</f>
        <v>Fled/Apprehended</v>
      </c>
      <c r="G247" s="5" t="str">
        <f ca="1">IFERROR(__xludf.DUMMYFUNCTION("""COMPUTED_VALUE"""),"No")</f>
        <v>No</v>
      </c>
      <c r="H247" s="5" t="str">
        <f ca="1">IFERROR(__xludf.DUMMYFUNCTION("""COMPUTED_VALUE"""),"None")</f>
        <v>None</v>
      </c>
    </row>
    <row r="248" spans="1:8">
      <c r="A248" s="5" t="str">
        <f ca="1">IFERROR(__xludf.DUMMYFUNCTION("""COMPUTED_VALUE"""),"20211206NYSUS")</f>
        <v>20211206NYSUS</v>
      </c>
      <c r="B248" s="5">
        <f ca="1">IFERROR(__xludf.DUMMYFUNCTION("""COMPUTED_VALUE"""),16)</f>
        <v>16</v>
      </c>
      <c r="C248" s="5" t="str">
        <f ca="1">IFERROR(__xludf.DUMMYFUNCTION("""COMPUTED_VALUE"""),"Male")</f>
        <v>Male</v>
      </c>
      <c r="D248" s="5"/>
      <c r="E248" s="5" t="str">
        <f ca="1">IFERROR(__xludf.DUMMYFUNCTION("""COMPUTED_VALUE"""),"Student")</f>
        <v>Student</v>
      </c>
      <c r="F248" s="5" t="str">
        <f ca="1">IFERROR(__xludf.DUMMYFUNCTION("""COMPUTED_VALUE"""),"Fled/Apprehended")</f>
        <v>Fled/Apprehended</v>
      </c>
      <c r="G248" s="5" t="str">
        <f ca="1">IFERROR(__xludf.DUMMYFUNCTION("""COMPUTED_VALUE"""),"No")</f>
        <v>No</v>
      </c>
      <c r="H248" s="5" t="str">
        <f ca="1">IFERROR(__xludf.DUMMYFUNCTION("""COMPUTED_VALUE"""),"None")</f>
        <v>None</v>
      </c>
    </row>
    <row r="249" spans="1:8">
      <c r="A249" s="5" t="str">
        <f ca="1">IFERROR(__xludf.DUMMYFUNCTION("""COMPUTED_VALUE"""),"20211206CAWIW")</f>
        <v>20211206CAWIW</v>
      </c>
      <c r="B249" s="5" t="str">
        <f ca="1">IFERROR(__xludf.DUMMYFUNCTION("""COMPUTED_VALUE"""),"Adult")</f>
        <v>Adult</v>
      </c>
      <c r="C249" s="5" t="str">
        <f ca="1">IFERROR(__xludf.DUMMYFUNCTION("""COMPUTED_VALUE"""),"Male")</f>
        <v>Male</v>
      </c>
      <c r="D249" s="5"/>
      <c r="E249" s="5" t="str">
        <f ca="1">IFERROR(__xludf.DUMMYFUNCTION("""COMPUTED_VALUE"""),"No Relation")</f>
        <v>No Relation</v>
      </c>
      <c r="F249" s="5" t="str">
        <f ca="1">IFERROR(__xludf.DUMMYFUNCTION("""COMPUTED_VALUE"""),"Fled/Escaped")</f>
        <v>Fled/Escaped</v>
      </c>
      <c r="G249" s="5" t="str">
        <f ca="1">IFERROR(__xludf.DUMMYFUNCTION("""COMPUTED_VALUE"""),"No")</f>
        <v>No</v>
      </c>
      <c r="H249" s="5" t="str">
        <f ca="1">IFERROR(__xludf.DUMMYFUNCTION("""COMPUTED_VALUE"""),"None")</f>
        <v>None</v>
      </c>
    </row>
    <row r="250" spans="1:8">
      <c r="A250" s="5" t="str">
        <f ca="1">IFERROR(__xludf.DUMMYFUNCTION("""COMPUTED_VALUE"""),"20211206CAWIW")</f>
        <v>20211206CAWIW</v>
      </c>
      <c r="B250" s="5" t="str">
        <f ca="1">IFERROR(__xludf.DUMMYFUNCTION("""COMPUTED_VALUE"""),"Adult")</f>
        <v>Adult</v>
      </c>
      <c r="C250" s="5" t="str">
        <f ca="1">IFERROR(__xludf.DUMMYFUNCTION("""COMPUTED_VALUE"""),"Male")</f>
        <v>Male</v>
      </c>
      <c r="D250" s="5"/>
      <c r="E250" s="5" t="str">
        <f ca="1">IFERROR(__xludf.DUMMYFUNCTION("""COMPUTED_VALUE"""),"No Relation")</f>
        <v>No Relation</v>
      </c>
      <c r="F250" s="5" t="str">
        <f ca="1">IFERROR(__xludf.DUMMYFUNCTION("""COMPUTED_VALUE"""),"Fled/Escaped")</f>
        <v>Fled/Escaped</v>
      </c>
      <c r="G250" s="5" t="str">
        <f ca="1">IFERROR(__xludf.DUMMYFUNCTION("""COMPUTED_VALUE"""),"No")</f>
        <v>No</v>
      </c>
      <c r="H250" s="5" t="str">
        <f ca="1">IFERROR(__xludf.DUMMYFUNCTION("""COMPUTED_VALUE"""),"None")</f>
        <v>None</v>
      </c>
    </row>
    <row r="251" spans="1:8">
      <c r="A251" s="5" t="str">
        <f ca="1">IFERROR(__xludf.DUMMYFUNCTION("""COMPUTED_VALUE"""),"20211203ARBLB")</f>
        <v>20211203ARBLB</v>
      </c>
      <c r="B251" s="5">
        <f ca="1">IFERROR(__xludf.DUMMYFUNCTION("""COMPUTED_VALUE"""),19)</f>
        <v>19</v>
      </c>
      <c r="C251" s="5" t="str">
        <f ca="1">IFERROR(__xludf.DUMMYFUNCTION("""COMPUTED_VALUE"""),"Male")</f>
        <v>Male</v>
      </c>
      <c r="D251" s="5"/>
      <c r="E251" s="5" t="str">
        <f ca="1">IFERROR(__xludf.DUMMYFUNCTION("""COMPUTED_VALUE"""),"No Relation")</f>
        <v>No Relation</v>
      </c>
      <c r="F251" s="5" t="str">
        <f ca="1">IFERROR(__xludf.DUMMYFUNCTION("""COMPUTED_VALUE"""),"Fled/Apprehended")</f>
        <v>Fled/Apprehended</v>
      </c>
      <c r="G251" s="5" t="str">
        <f ca="1">IFERROR(__xludf.DUMMYFUNCTION("""COMPUTED_VALUE"""),"No")</f>
        <v>No</v>
      </c>
      <c r="H251" s="5" t="str">
        <f ca="1">IFERROR(__xludf.DUMMYFUNCTION("""COMPUTED_VALUE"""),"None")</f>
        <v>None</v>
      </c>
    </row>
    <row r="252" spans="1:8">
      <c r="A252" s="5" t="str">
        <f ca="1">IFERROR(__xludf.DUMMYFUNCTION("""COMPUTED_VALUE"""),"20211202WAGAS")</f>
        <v>20211202WAGAS</v>
      </c>
      <c r="B252" s="5" t="str">
        <f ca="1">IFERROR(__xludf.DUMMYFUNCTION("""COMPUTED_VALUE"""),"Teen")</f>
        <v>Teen</v>
      </c>
      <c r="C252" s="5" t="str">
        <f ca="1">IFERROR(__xludf.DUMMYFUNCTION("""COMPUTED_VALUE"""),"Male")</f>
        <v>Male</v>
      </c>
      <c r="D252" s="5"/>
      <c r="E252" s="5"/>
      <c r="F252" s="5" t="str">
        <f ca="1">IFERROR(__xludf.DUMMYFUNCTION("""COMPUTED_VALUE"""),"Fled/Escaped")</f>
        <v>Fled/Escaped</v>
      </c>
      <c r="G252" s="5" t="str">
        <f ca="1">IFERROR(__xludf.DUMMYFUNCTION("""COMPUTED_VALUE"""),"No")</f>
        <v>No</v>
      </c>
      <c r="H252" s="5" t="str">
        <f ca="1">IFERROR(__xludf.DUMMYFUNCTION("""COMPUTED_VALUE"""),"None")</f>
        <v>None</v>
      </c>
    </row>
    <row r="253" spans="1:8">
      <c r="A253" s="5" t="str">
        <f ca="1">IFERROR(__xludf.DUMMYFUNCTION("""COMPUTED_VALUE"""),"20211201TXSAP")</f>
        <v>20211201TXSAP</v>
      </c>
      <c r="B253" s="5">
        <f ca="1">IFERROR(__xludf.DUMMYFUNCTION("""COMPUTED_VALUE"""),21)</f>
        <v>21</v>
      </c>
      <c r="C253" s="5" t="str">
        <f ca="1">IFERROR(__xludf.DUMMYFUNCTION("""COMPUTED_VALUE"""),"Male")</f>
        <v>Male</v>
      </c>
      <c r="D253" s="5"/>
      <c r="E253" s="5" t="str">
        <f ca="1">IFERROR(__xludf.DUMMYFUNCTION("""COMPUTED_VALUE"""),"No Relation")</f>
        <v>No Relation</v>
      </c>
      <c r="F253" s="5" t="str">
        <f ca="1">IFERROR(__xludf.DUMMYFUNCTION("""COMPUTED_VALUE"""),"Apprehended/Killed by SRO")</f>
        <v>Apprehended/Killed by SRO</v>
      </c>
      <c r="G253" s="5" t="str">
        <f ca="1">IFERROR(__xludf.DUMMYFUNCTION("""COMPUTED_VALUE"""),"No")</f>
        <v>No</v>
      </c>
      <c r="H253" s="5" t="str">
        <f ca="1">IFERROR(__xludf.DUMMYFUNCTION("""COMPUTED_VALUE"""),"None")</f>
        <v>None</v>
      </c>
    </row>
    <row r="254" spans="1:8">
      <c r="A254" s="5" t="str">
        <f ca="1">IFERROR(__xludf.DUMMYFUNCTION("""COMPUTED_VALUE"""),"20211130TNHUH")</f>
        <v>20211130TNHUH</v>
      </c>
      <c r="B254" s="5">
        <f ca="1">IFERROR(__xludf.DUMMYFUNCTION("""COMPUTED_VALUE"""),21)</f>
        <v>21</v>
      </c>
      <c r="C254" s="5" t="str">
        <f ca="1">IFERROR(__xludf.DUMMYFUNCTION("""COMPUTED_VALUE"""),"Male")</f>
        <v>Male</v>
      </c>
      <c r="D254" s="5" t="str">
        <f ca="1">IFERROR(__xludf.DUMMYFUNCTION("""COMPUTED_VALUE"""),"Black")</f>
        <v>Black</v>
      </c>
      <c r="E254" s="5" t="str">
        <f ca="1">IFERROR(__xludf.DUMMYFUNCTION("""COMPUTED_VALUE"""),"Nonstudent Using Athletic Facilities/Attending Game")</f>
        <v>Nonstudent Using Athletic Facilities/Attending Game</v>
      </c>
      <c r="F254" s="5" t="str">
        <f ca="1">IFERROR(__xludf.DUMMYFUNCTION("""COMPUTED_VALUE"""),"Fled/Apprehended")</f>
        <v>Fled/Apprehended</v>
      </c>
      <c r="G254" s="5" t="str">
        <f ca="1">IFERROR(__xludf.DUMMYFUNCTION("""COMPUTED_VALUE"""),"No")</f>
        <v>No</v>
      </c>
      <c r="H254" s="5" t="str">
        <f ca="1">IFERROR(__xludf.DUMMYFUNCTION("""COMPUTED_VALUE"""),"None")</f>
        <v>None</v>
      </c>
    </row>
    <row r="255" spans="1:8">
      <c r="A255" s="5" t="str">
        <f ca="1">IFERROR(__xludf.DUMMYFUNCTION("""COMPUTED_VALUE"""),"20211130OHWHW")</f>
        <v>20211130OHWHW</v>
      </c>
      <c r="B255" s="5">
        <f ca="1">IFERROR(__xludf.DUMMYFUNCTION("""COMPUTED_VALUE"""),18)</f>
        <v>18</v>
      </c>
      <c r="C255" s="5" t="str">
        <f ca="1">IFERROR(__xludf.DUMMYFUNCTION("""COMPUTED_VALUE"""),"Male")</f>
        <v>Male</v>
      </c>
      <c r="D255" s="5"/>
      <c r="E255" s="5"/>
      <c r="F255" s="5" t="str">
        <f ca="1">IFERROR(__xludf.DUMMYFUNCTION("""COMPUTED_VALUE"""),"Surrendered")</f>
        <v>Surrendered</v>
      </c>
      <c r="G255" s="5" t="str">
        <f ca="1">IFERROR(__xludf.DUMMYFUNCTION("""COMPUTED_VALUE"""),"No")</f>
        <v>No</v>
      </c>
      <c r="H255" s="5" t="str">
        <f ca="1">IFERROR(__xludf.DUMMYFUNCTION("""COMPUTED_VALUE"""),"Wounded")</f>
        <v>Wounded</v>
      </c>
    </row>
    <row r="256" spans="1:8">
      <c r="A256" s="5" t="str">
        <f ca="1">IFERROR(__xludf.DUMMYFUNCTION("""COMPUTED_VALUE"""),"20211130MIOXO")</f>
        <v>20211130MIOXO</v>
      </c>
      <c r="B256" s="5">
        <f ca="1">IFERROR(__xludf.DUMMYFUNCTION("""COMPUTED_VALUE"""),15)</f>
        <v>15</v>
      </c>
      <c r="C256" s="5" t="str">
        <f ca="1">IFERROR(__xludf.DUMMYFUNCTION("""COMPUTED_VALUE"""),"Male")</f>
        <v>Male</v>
      </c>
      <c r="D256" s="5"/>
      <c r="E256" s="5" t="str">
        <f ca="1">IFERROR(__xludf.DUMMYFUNCTION("""COMPUTED_VALUE"""),"Student")</f>
        <v>Student</v>
      </c>
      <c r="F256" s="5" t="str">
        <f ca="1">IFERROR(__xludf.DUMMYFUNCTION("""COMPUTED_VALUE"""),"Apprehended/Killed by SRO")</f>
        <v>Apprehended/Killed by SRO</v>
      </c>
      <c r="G256" s="5" t="str">
        <f ca="1">IFERROR(__xludf.DUMMYFUNCTION("""COMPUTED_VALUE"""),"No")</f>
        <v>No</v>
      </c>
      <c r="H256" s="5" t="str">
        <f ca="1">IFERROR(__xludf.DUMMYFUNCTION("""COMPUTED_VALUE"""),"None")</f>
        <v>None</v>
      </c>
    </row>
    <row r="257" spans="1:8">
      <c r="A257" s="5" t="str">
        <f ca="1">IFERROR(__xludf.DUMMYFUNCTION("""COMPUTED_VALUE"""),"20211130CALOL")</f>
        <v>20211130CALOL</v>
      </c>
      <c r="B257" s="5"/>
      <c r="C257" s="5"/>
      <c r="D257" s="5"/>
      <c r="E257" s="5" t="str">
        <f ca="1">IFERROR(__xludf.DUMMYFUNCTION("""COMPUTED_VALUE"""),"No Relation")</f>
        <v>No Relation</v>
      </c>
      <c r="F257" s="5" t="str">
        <f ca="1">IFERROR(__xludf.DUMMYFUNCTION("""COMPUTED_VALUE"""),"Fled/Escaped")</f>
        <v>Fled/Escaped</v>
      </c>
      <c r="G257" s="5" t="str">
        <f ca="1">IFERROR(__xludf.DUMMYFUNCTION("""COMPUTED_VALUE"""),"No")</f>
        <v>No</v>
      </c>
      <c r="H257" s="5" t="str">
        <f ca="1">IFERROR(__xludf.DUMMYFUNCTION("""COMPUTED_VALUE"""),"None")</f>
        <v>None</v>
      </c>
    </row>
    <row r="258" spans="1:8">
      <c r="A258" s="5" t="str">
        <f ca="1">IFERROR(__xludf.DUMMYFUNCTION("""COMPUTED_VALUE"""),"20211129ILWER")</f>
        <v>20211129ILWER</v>
      </c>
      <c r="B258" s="5" t="str">
        <f ca="1">IFERROR(__xludf.DUMMYFUNCTION("""COMPUTED_VALUE"""),"Teen")</f>
        <v>Teen</v>
      </c>
      <c r="C258" s="5" t="str">
        <f ca="1">IFERROR(__xludf.DUMMYFUNCTION("""COMPUTED_VALUE"""),"Male")</f>
        <v>Male</v>
      </c>
      <c r="D258" s="5"/>
      <c r="E258" s="5" t="str">
        <f ca="1">IFERROR(__xludf.DUMMYFUNCTION("""COMPUTED_VALUE"""),"Student")</f>
        <v>Student</v>
      </c>
      <c r="F258" s="5" t="str">
        <f ca="1">IFERROR(__xludf.DUMMYFUNCTION("""COMPUTED_VALUE"""),"Fled/Escaped")</f>
        <v>Fled/Escaped</v>
      </c>
      <c r="G258" s="5" t="str">
        <f ca="1">IFERROR(__xludf.DUMMYFUNCTION("""COMPUTED_VALUE"""),"No")</f>
        <v>No</v>
      </c>
      <c r="H258" s="5" t="str">
        <f ca="1">IFERROR(__xludf.DUMMYFUNCTION("""COMPUTED_VALUE"""),"None")</f>
        <v>None</v>
      </c>
    </row>
    <row r="259" spans="1:8">
      <c r="A259" s="5" t="str">
        <f ca="1">IFERROR(__xludf.DUMMYFUNCTION("""COMPUTED_VALUE"""),"20211129AZCHP")</f>
        <v>20211129AZCHP</v>
      </c>
      <c r="B259" s="5" t="str">
        <f ca="1">IFERROR(__xludf.DUMMYFUNCTION("""COMPUTED_VALUE"""),"Teen")</f>
        <v>Teen</v>
      </c>
      <c r="C259" s="5" t="str">
        <f ca="1">IFERROR(__xludf.DUMMYFUNCTION("""COMPUTED_VALUE"""),"Male")</f>
        <v>Male</v>
      </c>
      <c r="D259" s="5"/>
      <c r="E259" s="5" t="str">
        <f ca="1">IFERROR(__xludf.DUMMYFUNCTION("""COMPUTED_VALUE"""),"Student")</f>
        <v>Student</v>
      </c>
      <c r="F259" s="5" t="str">
        <f ca="1">IFERROR(__xludf.DUMMYFUNCTION("""COMPUTED_VALUE"""),"Fled/Escaped")</f>
        <v>Fled/Escaped</v>
      </c>
      <c r="G259" s="5" t="str">
        <f ca="1">IFERROR(__xludf.DUMMYFUNCTION("""COMPUTED_VALUE"""),"No")</f>
        <v>No</v>
      </c>
      <c r="H259" s="5" t="str">
        <f ca="1">IFERROR(__xludf.DUMMYFUNCTION("""COMPUTED_VALUE"""),"None")</f>
        <v>None</v>
      </c>
    </row>
    <row r="260" spans="1:8">
      <c r="A260" s="5" t="str">
        <f ca="1">IFERROR(__xludf.DUMMYFUNCTION("""COMPUTED_VALUE"""),"20211126CAWES")</f>
        <v>20211126CAWES</v>
      </c>
      <c r="B260" s="5" t="str">
        <f ca="1">IFERROR(__xludf.DUMMYFUNCTION("""COMPUTED_VALUE"""),"Adult")</f>
        <v>Adult</v>
      </c>
      <c r="C260" s="5" t="str">
        <f ca="1">IFERROR(__xludf.DUMMYFUNCTION("""COMPUTED_VALUE"""),"Male")</f>
        <v>Male</v>
      </c>
      <c r="D260" s="5"/>
      <c r="E260" s="5" t="str">
        <f ca="1">IFERROR(__xludf.DUMMYFUNCTION("""COMPUTED_VALUE"""),"Nonstudent Using Athletic Facilities/Attending Game")</f>
        <v>Nonstudent Using Athletic Facilities/Attending Game</v>
      </c>
      <c r="F260" s="5" t="str">
        <f ca="1">IFERROR(__xludf.DUMMYFUNCTION("""COMPUTED_VALUE"""),"Fled/Escaped")</f>
        <v>Fled/Escaped</v>
      </c>
      <c r="G260" s="5" t="str">
        <f ca="1">IFERROR(__xludf.DUMMYFUNCTION("""COMPUTED_VALUE"""),"No")</f>
        <v>No</v>
      </c>
      <c r="H260" s="5" t="str">
        <f ca="1">IFERROR(__xludf.DUMMYFUNCTION("""COMPUTED_VALUE"""),"None")</f>
        <v>None</v>
      </c>
    </row>
    <row r="261" spans="1:8">
      <c r="A261" s="5" t="str">
        <f ca="1">IFERROR(__xludf.DUMMYFUNCTION("""COMPUTED_VALUE"""),"20211125SCCEP")</f>
        <v>20211125SCCEP</v>
      </c>
      <c r="B261" s="5"/>
      <c r="C261" s="5"/>
      <c r="D261" s="5"/>
      <c r="E261" s="5"/>
      <c r="F261" s="5" t="str">
        <f ca="1">IFERROR(__xludf.DUMMYFUNCTION("""COMPUTED_VALUE"""),"Fled/Escaped")</f>
        <v>Fled/Escaped</v>
      </c>
      <c r="G261" s="5" t="str">
        <f ca="1">IFERROR(__xludf.DUMMYFUNCTION("""COMPUTED_VALUE"""),"No")</f>
        <v>No</v>
      </c>
      <c r="H261" s="5" t="str">
        <f ca="1">IFERROR(__xludf.DUMMYFUNCTION("""COMPUTED_VALUE"""),"None")</f>
        <v>None</v>
      </c>
    </row>
    <row r="262" spans="1:8">
      <c r="A262" s="5" t="str">
        <f ca="1">IFERROR(__xludf.DUMMYFUNCTION("""COMPUTED_VALUE"""),"20211124ILTHH")</f>
        <v>20211124ILTHH</v>
      </c>
      <c r="B262" s="5"/>
      <c r="C262" s="5"/>
      <c r="D262" s="5"/>
      <c r="E262" s="5"/>
      <c r="F262" s="5" t="str">
        <f ca="1">IFERROR(__xludf.DUMMYFUNCTION("""COMPUTED_VALUE"""),"Fled/Escaped")</f>
        <v>Fled/Escaped</v>
      </c>
      <c r="G262" s="5" t="str">
        <f ca="1">IFERROR(__xludf.DUMMYFUNCTION("""COMPUTED_VALUE"""),"No")</f>
        <v>No</v>
      </c>
      <c r="H262" s="5" t="str">
        <f ca="1">IFERROR(__xludf.DUMMYFUNCTION("""COMPUTED_VALUE"""),"None")</f>
        <v>None</v>
      </c>
    </row>
    <row r="263" spans="1:8">
      <c r="A263" s="5" t="str">
        <f ca="1">IFERROR(__xludf.DUMMYFUNCTION("""COMPUTED_VALUE"""),"20211123OHCLC")</f>
        <v>20211123OHCLC</v>
      </c>
      <c r="B263" s="5" t="str">
        <f ca="1">IFERROR(__xludf.DUMMYFUNCTION("""COMPUTED_VALUE"""),"Adult")</f>
        <v>Adult</v>
      </c>
      <c r="C263" s="5" t="str">
        <f ca="1">IFERROR(__xludf.DUMMYFUNCTION("""COMPUTED_VALUE"""),"Male")</f>
        <v>Male</v>
      </c>
      <c r="D263" s="5"/>
      <c r="E263" s="5" t="str">
        <f ca="1">IFERROR(__xludf.DUMMYFUNCTION("""COMPUTED_VALUE"""),"No Relation")</f>
        <v>No Relation</v>
      </c>
      <c r="F263" s="5" t="str">
        <f ca="1">IFERROR(__xludf.DUMMYFUNCTION("""COMPUTED_VALUE"""),"Fled/Escaped")</f>
        <v>Fled/Escaped</v>
      </c>
      <c r="G263" s="5" t="str">
        <f ca="1">IFERROR(__xludf.DUMMYFUNCTION("""COMPUTED_VALUE"""),"No")</f>
        <v>No</v>
      </c>
      <c r="H263" s="5" t="str">
        <f ca="1">IFERROR(__xludf.DUMMYFUNCTION("""COMPUTED_VALUE"""),"None")</f>
        <v>None</v>
      </c>
    </row>
    <row r="264" spans="1:8">
      <c r="A264" s="5" t="str">
        <f ca="1">IFERROR(__xludf.DUMMYFUNCTION("""COMPUTED_VALUE"""),"20211119MDGIB")</f>
        <v>20211119MDGIB</v>
      </c>
      <c r="B264" s="5"/>
      <c r="C264" s="5"/>
      <c r="D264" s="5"/>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c r="A265" s="5" t="str">
        <f ca="1">IFERROR(__xludf.DUMMYFUNCTION("""COMPUTED_VALUE"""),"20211119COHIA")</f>
        <v>20211119COHIA</v>
      </c>
      <c r="B265" s="5">
        <f ca="1">IFERROR(__xludf.DUMMYFUNCTION("""COMPUTED_VALUE"""),16)</f>
        <v>16</v>
      </c>
      <c r="C265" s="5" t="str">
        <f ca="1">IFERROR(__xludf.DUMMYFUNCTION("""COMPUTED_VALUE"""),"Male")</f>
        <v>Male</v>
      </c>
      <c r="D265" s="5"/>
      <c r="E265" s="5" t="str">
        <f ca="1">IFERROR(__xludf.DUMMYFUNCTION("""COMPUTED_VALUE"""),"Student")</f>
        <v>Student</v>
      </c>
      <c r="F265" s="5" t="str">
        <f ca="1">IFERROR(__xludf.DUMMYFUNCTION("""COMPUTED_VALUE"""),"Fled/Apprehended")</f>
        <v>Fled/Apprehended</v>
      </c>
      <c r="G265" s="5" t="str">
        <f ca="1">IFERROR(__xludf.DUMMYFUNCTION("""COMPUTED_VALUE"""),"No")</f>
        <v>No</v>
      </c>
      <c r="H265" s="5" t="str">
        <f ca="1">IFERROR(__xludf.DUMMYFUNCTION("""COMPUTED_VALUE"""),"None")</f>
        <v>None</v>
      </c>
    </row>
    <row r="266" spans="1:8">
      <c r="A266" s="5" t="str">
        <f ca="1">IFERROR(__xludf.DUMMYFUNCTION("""COMPUTED_VALUE"""),"20211119COHIA")</f>
        <v>20211119COHIA</v>
      </c>
      <c r="B266" s="5">
        <f ca="1">IFERROR(__xludf.DUMMYFUNCTION("""COMPUTED_VALUE"""),16)</f>
        <v>16</v>
      </c>
      <c r="C266" s="5" t="str">
        <f ca="1">IFERROR(__xludf.DUMMYFUNCTION("""COMPUTED_VALUE"""),"Male")</f>
        <v>Male</v>
      </c>
      <c r="D266" s="5"/>
      <c r="E266" s="5" t="str">
        <f ca="1">IFERROR(__xludf.DUMMYFUNCTION("""COMPUTED_VALUE"""),"Student")</f>
        <v>Student</v>
      </c>
      <c r="F266" s="5" t="str">
        <f ca="1">IFERROR(__xludf.DUMMYFUNCTION("""COMPUTED_VALUE"""),"Fled/Apprehended")</f>
        <v>Fled/Apprehended</v>
      </c>
      <c r="G266" s="5" t="str">
        <f ca="1">IFERROR(__xludf.DUMMYFUNCTION("""COMPUTED_VALUE"""),"No")</f>
        <v>No</v>
      </c>
      <c r="H266" s="5" t="str">
        <f ca="1">IFERROR(__xludf.DUMMYFUNCTION("""COMPUTED_VALUE"""),"None")</f>
        <v>None</v>
      </c>
    </row>
    <row r="267" spans="1:8">
      <c r="A267" s="5" t="str">
        <f ca="1">IFERROR(__xludf.DUMMYFUNCTION("""COMPUTED_VALUE"""),"20211119COHIA")</f>
        <v>20211119COHIA</v>
      </c>
      <c r="B267" s="5">
        <f ca="1">IFERROR(__xludf.DUMMYFUNCTION("""COMPUTED_VALUE"""),16)</f>
        <v>16</v>
      </c>
      <c r="C267" s="5" t="str">
        <f ca="1">IFERROR(__xludf.DUMMYFUNCTION("""COMPUTED_VALUE"""),"Male")</f>
        <v>Male</v>
      </c>
      <c r="D267" s="5"/>
      <c r="E267" s="5" t="str">
        <f ca="1">IFERROR(__xludf.DUMMYFUNCTION("""COMPUTED_VALUE"""),"Student")</f>
        <v>Student</v>
      </c>
      <c r="F267" s="5" t="str">
        <f ca="1">IFERROR(__xludf.DUMMYFUNCTION("""COMPUTED_VALUE"""),"Fled/Apprehended")</f>
        <v>Fled/Apprehended</v>
      </c>
      <c r="G267" s="5" t="str">
        <f ca="1">IFERROR(__xludf.DUMMYFUNCTION("""COMPUTED_VALUE"""),"No")</f>
        <v>No</v>
      </c>
      <c r="H267" s="5" t="str">
        <f ca="1">IFERROR(__xludf.DUMMYFUNCTION("""COMPUTED_VALUE"""),"None")</f>
        <v>None</v>
      </c>
    </row>
    <row r="268" spans="1:8">
      <c r="A268" s="5" t="str">
        <f ca="1">IFERROR(__xludf.DUMMYFUNCTION("""COMPUTED_VALUE"""),"20211119COHIA")</f>
        <v>20211119COHIA</v>
      </c>
      <c r="B268" s="5">
        <f ca="1">IFERROR(__xludf.DUMMYFUNCTION("""COMPUTED_VALUE"""),17)</f>
        <v>17</v>
      </c>
      <c r="C268" s="5" t="str">
        <f ca="1">IFERROR(__xludf.DUMMYFUNCTION("""COMPUTED_VALUE"""),"Male")</f>
        <v>Male</v>
      </c>
      <c r="D268" s="5"/>
      <c r="E268" s="5" t="str">
        <f ca="1">IFERROR(__xludf.DUMMYFUNCTION("""COMPUTED_VALUE"""),"Student")</f>
        <v>Student</v>
      </c>
      <c r="F268" s="5" t="str">
        <f ca="1">IFERROR(__xludf.DUMMYFUNCTION("""COMPUTED_VALUE"""),"Fled/Apprehended")</f>
        <v>Fled/Apprehended</v>
      </c>
      <c r="G268" s="5" t="str">
        <f ca="1">IFERROR(__xludf.DUMMYFUNCTION("""COMPUTED_VALUE"""),"No")</f>
        <v>No</v>
      </c>
      <c r="H268" s="5" t="str">
        <f ca="1">IFERROR(__xludf.DUMMYFUNCTION("""COMPUTED_VALUE"""),"None")</f>
        <v>None</v>
      </c>
    </row>
    <row r="269" spans="1:8">
      <c r="A269" s="5" t="str">
        <f ca="1">IFERROR(__xludf.DUMMYFUNCTION("""COMPUTED_VALUE"""),"20211116NYPSB")</f>
        <v>20211116NYPSB</v>
      </c>
      <c r="B269" s="5">
        <f ca="1">IFERROR(__xludf.DUMMYFUNCTION("""COMPUTED_VALUE"""),45)</f>
        <v>45</v>
      </c>
      <c r="C269" s="5" t="str">
        <f ca="1">IFERROR(__xludf.DUMMYFUNCTION("""COMPUTED_VALUE"""),"Male")</f>
        <v>Male</v>
      </c>
      <c r="D269" s="5"/>
      <c r="E269" s="5" t="str">
        <f ca="1">IFERROR(__xludf.DUMMYFUNCTION("""COMPUTED_VALUE"""),"No Relation")</f>
        <v>No Relation</v>
      </c>
      <c r="F269" s="5" t="str">
        <f ca="1">IFERROR(__xludf.DUMMYFUNCTION("""COMPUTED_VALUE"""),"Apprehended/Killed by SRO")</f>
        <v>Apprehended/Killed by SRO</v>
      </c>
      <c r="G269" s="5" t="str">
        <f ca="1">IFERROR(__xludf.DUMMYFUNCTION("""COMPUTED_VALUE"""),"No")</f>
        <v>No</v>
      </c>
      <c r="H269" s="5" t="str">
        <f ca="1">IFERROR(__xludf.DUMMYFUNCTION("""COMPUTED_VALUE"""),"None")</f>
        <v>None</v>
      </c>
    </row>
    <row r="270" spans="1:8">
      <c r="A270" s="5" t="str">
        <f ca="1">IFERROR(__xludf.DUMMYFUNCTION("""COMPUTED_VALUE"""),"20211116FLJAJ")</f>
        <v>20211116FLJAJ</v>
      </c>
      <c r="B270" s="5" t="str">
        <f ca="1">IFERROR(__xludf.DUMMYFUNCTION("""COMPUTED_VALUE"""),"Adult")</f>
        <v>Adult</v>
      </c>
      <c r="C270" s="5"/>
      <c r="D270" s="5"/>
      <c r="E270" s="5" t="str">
        <f ca="1">IFERROR(__xludf.DUMMYFUNCTION("""COMPUTED_VALUE"""),"No Relation")</f>
        <v>No Relation</v>
      </c>
      <c r="F270" s="5" t="str">
        <f ca="1">IFERROR(__xludf.DUMMYFUNCTION("""COMPUTED_VALUE"""),"Fled/Escaped")</f>
        <v>Fled/Escaped</v>
      </c>
      <c r="G270" s="5" t="str">
        <f ca="1">IFERROR(__xludf.DUMMYFUNCTION("""COMPUTED_VALUE"""),"No")</f>
        <v>No</v>
      </c>
      <c r="H270" s="5" t="str">
        <f ca="1">IFERROR(__xludf.DUMMYFUNCTION("""COMPUTED_VALUE"""),"None")</f>
        <v>None</v>
      </c>
    </row>
    <row r="271" spans="1:8">
      <c r="A271" s="5" t="str">
        <f ca="1">IFERROR(__xludf.DUMMYFUNCTION("""COMPUTED_VALUE"""),"20211115NYPOP")</f>
        <v>20211115NYPOP</v>
      </c>
      <c r="B271" s="5">
        <f ca="1">IFERROR(__xludf.DUMMYFUNCTION("""COMPUTED_VALUE"""),13)</f>
        <v>13</v>
      </c>
      <c r="C271" s="5" t="str">
        <f ca="1">IFERROR(__xludf.DUMMYFUNCTION("""COMPUTED_VALUE"""),"Male")</f>
        <v>Male</v>
      </c>
      <c r="D271" s="5"/>
      <c r="E271" s="5" t="str">
        <f ca="1">IFERROR(__xludf.DUMMYFUNCTION("""COMPUTED_VALUE"""),"Student")</f>
        <v>Student</v>
      </c>
      <c r="F271" s="5" t="str">
        <f ca="1">IFERROR(__xludf.DUMMYFUNCTION("""COMPUTED_VALUE"""),"Fled/Apprehended")</f>
        <v>Fled/Apprehended</v>
      </c>
      <c r="G271" s="5" t="str">
        <f ca="1">IFERROR(__xludf.DUMMYFUNCTION("""COMPUTED_VALUE"""),"No")</f>
        <v>No</v>
      </c>
      <c r="H271" s="5" t="str">
        <f ca="1">IFERROR(__xludf.DUMMYFUNCTION("""COMPUTED_VALUE"""),"None")</f>
        <v>None</v>
      </c>
    </row>
    <row r="272" spans="1:8">
      <c r="A272" s="5" t="str">
        <f ca="1">IFERROR(__xludf.DUMMYFUNCTION("""COMPUTED_VALUE"""),"20211110NYITI")</f>
        <v>20211110NYITI</v>
      </c>
      <c r="B272" s="5"/>
      <c r="C272" s="5"/>
      <c r="D272" s="5"/>
      <c r="E272" s="5" t="str">
        <f ca="1">IFERROR(__xludf.DUMMYFUNCTION("""COMPUTED_VALUE"""),"No Relation")</f>
        <v>No Relation</v>
      </c>
      <c r="F272" s="5" t="str">
        <f ca="1">IFERROR(__xludf.DUMMYFUNCTION("""COMPUTED_VALUE"""),"Fled/Escaped")</f>
        <v>Fled/Escaped</v>
      </c>
      <c r="G272" s="5" t="str">
        <f ca="1">IFERROR(__xludf.DUMMYFUNCTION("""COMPUTED_VALUE"""),"No")</f>
        <v>No</v>
      </c>
      <c r="H272" s="5" t="str">
        <f ca="1">IFERROR(__xludf.DUMMYFUNCTION("""COMPUTED_VALUE"""),"None")</f>
        <v>None</v>
      </c>
    </row>
    <row r="273" spans="1:8">
      <c r="A273" s="5" t="str">
        <f ca="1">IFERROR(__xludf.DUMMYFUNCTION("""COMPUTED_VALUE"""),"20211109NMMEL")</f>
        <v>20211109NMMEL</v>
      </c>
      <c r="B273" s="5" t="str">
        <f ca="1">IFERROR(__xludf.DUMMYFUNCTION("""COMPUTED_VALUE"""),"Adult")</f>
        <v>Adult</v>
      </c>
      <c r="C273" s="5" t="str">
        <f ca="1">IFERROR(__xludf.DUMMYFUNCTION("""COMPUTED_VALUE"""),"Male")</f>
        <v>Male</v>
      </c>
      <c r="D273" s="5"/>
      <c r="E273" s="5" t="str">
        <f ca="1">IFERROR(__xludf.DUMMYFUNCTION("""COMPUTED_VALUE"""),"No Relation")</f>
        <v>No Relation</v>
      </c>
      <c r="F273" s="5" t="str">
        <f ca="1">IFERROR(__xludf.DUMMYFUNCTION("""COMPUTED_VALUE"""),"Suicide")</f>
        <v>Suicide</v>
      </c>
      <c r="G273" s="5" t="str">
        <f ca="1">IFERROR(__xludf.DUMMYFUNCTION("""COMPUTED_VALUE"""),"Yes")</f>
        <v>Yes</v>
      </c>
      <c r="H273" s="5" t="str">
        <f ca="1">IFERROR(__xludf.DUMMYFUNCTION("""COMPUTED_VALUE"""),"Suicide")</f>
        <v>Suicide</v>
      </c>
    </row>
    <row r="274" spans="1:8">
      <c r="A274" s="5" t="str">
        <f ca="1">IFERROR(__xludf.DUMMYFUNCTION("""COMPUTED_VALUE"""),"20211108NYTHB")</f>
        <v>20211108NYTHB</v>
      </c>
      <c r="B274" s="5" t="str">
        <f ca="1">IFERROR(__xludf.DUMMYFUNCTION("""COMPUTED_VALUE"""),"Teen")</f>
        <v>Teen</v>
      </c>
      <c r="C274" s="5" t="str">
        <f ca="1">IFERROR(__xludf.DUMMYFUNCTION("""COMPUTED_VALUE"""),"Male")</f>
        <v>Male</v>
      </c>
      <c r="D274" s="5"/>
      <c r="E274" s="5" t="str">
        <f ca="1">IFERROR(__xludf.DUMMYFUNCTION("""COMPUTED_VALUE"""),"Student")</f>
        <v>Student</v>
      </c>
      <c r="F274" s="5" t="str">
        <f ca="1">IFERROR(__xludf.DUMMYFUNCTION("""COMPUTED_VALUE"""),"Fled/Escaped")</f>
        <v>Fled/Escaped</v>
      </c>
      <c r="G274" s="5" t="str">
        <f ca="1">IFERROR(__xludf.DUMMYFUNCTION("""COMPUTED_VALUE"""),"No")</f>
        <v>No</v>
      </c>
      <c r="H274" s="5" t="str">
        <f ca="1">IFERROR(__xludf.DUMMYFUNCTION("""COMPUTED_VALUE"""),"None")</f>
        <v>None</v>
      </c>
    </row>
    <row r="275" spans="1:8">
      <c r="A275" s="5" t="str">
        <f ca="1">IFERROR(__xludf.DUMMYFUNCTION("""COMPUTED_VALUE"""),"20211106FLOVO")</f>
        <v>20211106FLOVO</v>
      </c>
      <c r="B275" s="5" t="str">
        <f ca="1">IFERROR(__xludf.DUMMYFUNCTION("""COMPUTED_VALUE"""),"Teen")</f>
        <v>Teen</v>
      </c>
      <c r="C275" s="5" t="str">
        <f ca="1">IFERROR(__xludf.DUMMYFUNCTION("""COMPUTED_VALUE"""),"Male")</f>
        <v>Male</v>
      </c>
      <c r="D275" s="5"/>
      <c r="E275" s="5" t="str">
        <f ca="1">IFERROR(__xludf.DUMMYFUNCTION("""COMPUTED_VALUE"""),"Student")</f>
        <v>Student</v>
      </c>
      <c r="F275" s="5" t="str">
        <f ca="1">IFERROR(__xludf.DUMMYFUNCTION("""COMPUTED_VALUE"""),"Fled/Apprehended")</f>
        <v>Fled/Apprehended</v>
      </c>
      <c r="G275" s="5" t="str">
        <f ca="1">IFERROR(__xludf.DUMMYFUNCTION("""COMPUTED_VALUE"""),"No")</f>
        <v>No</v>
      </c>
      <c r="H275" s="5" t="str">
        <f ca="1">IFERROR(__xludf.DUMMYFUNCTION("""COMPUTED_VALUE"""),"None")</f>
        <v>None</v>
      </c>
    </row>
    <row r="276" spans="1:8">
      <c r="A276" s="5" t="str">
        <f ca="1">IFERROR(__xludf.DUMMYFUNCTION("""COMPUTED_VALUE"""),"20211102NMHIH")</f>
        <v>20211102NMHIH</v>
      </c>
      <c r="B276" s="5">
        <f ca="1">IFERROR(__xludf.DUMMYFUNCTION("""COMPUTED_VALUE"""),12)</f>
        <v>12</v>
      </c>
      <c r="C276" s="5" t="str">
        <f ca="1">IFERROR(__xludf.DUMMYFUNCTION("""COMPUTED_VALUE"""),"Male")</f>
        <v>Male</v>
      </c>
      <c r="D276" s="5" t="str">
        <f ca="1">IFERROR(__xludf.DUMMYFUNCTION("""COMPUTED_VALUE"""),"Hispanic")</f>
        <v>Hispanic</v>
      </c>
      <c r="E276" s="5" t="str">
        <f ca="1">IFERROR(__xludf.DUMMYFUNCTION("""COMPUTED_VALUE"""),"Student")</f>
        <v>Student</v>
      </c>
      <c r="F276" s="5" t="str">
        <f ca="1">IFERROR(__xludf.DUMMYFUNCTION("""COMPUTED_VALUE"""),"Fled/Apprehended")</f>
        <v>Fled/Apprehended</v>
      </c>
      <c r="G276" s="5" t="str">
        <f ca="1">IFERROR(__xludf.DUMMYFUNCTION("""COMPUTED_VALUE"""),"No")</f>
        <v>No</v>
      </c>
      <c r="H276" s="5" t="str">
        <f ca="1">IFERROR(__xludf.DUMMYFUNCTION("""COMPUTED_VALUE"""),"None")</f>
        <v>None</v>
      </c>
    </row>
    <row r="277" spans="1:8">
      <c r="A277" s="5" t="str">
        <f ca="1">IFERROR(__xludf.DUMMYFUNCTION("""COMPUTED_VALUE"""),"20211102NMHIH")</f>
        <v>20211102NMHIH</v>
      </c>
      <c r="B277" s="5">
        <f ca="1">IFERROR(__xludf.DUMMYFUNCTION("""COMPUTED_VALUE"""),12)</f>
        <v>12</v>
      </c>
      <c r="C277" s="5" t="str">
        <f ca="1">IFERROR(__xludf.DUMMYFUNCTION("""COMPUTED_VALUE"""),"Male")</f>
        <v>Male</v>
      </c>
      <c r="D277" s="5"/>
      <c r="E277" s="5" t="str">
        <f ca="1">IFERROR(__xludf.DUMMYFUNCTION("""COMPUTED_VALUE"""),"Student")</f>
        <v>Student</v>
      </c>
      <c r="F277" s="5" t="str">
        <f ca="1">IFERROR(__xludf.DUMMYFUNCTION("""COMPUTED_VALUE"""),"Fled/Apprehended")</f>
        <v>Fled/Apprehended</v>
      </c>
      <c r="G277" s="5" t="str">
        <f ca="1">IFERROR(__xludf.DUMMYFUNCTION("""COMPUTED_VALUE"""),"No")</f>
        <v>No</v>
      </c>
      <c r="H277" s="5" t="str">
        <f ca="1">IFERROR(__xludf.DUMMYFUNCTION("""COMPUTED_VALUE"""),"None")</f>
        <v>None</v>
      </c>
    </row>
    <row r="278" spans="1:8">
      <c r="A278" s="5" t="str">
        <f ca="1">IFERROR(__xludf.DUMMYFUNCTION("""COMPUTED_VALUE"""),"20211030PASTM")</f>
        <v>20211030PASTM</v>
      </c>
      <c r="B278" s="5" t="str">
        <f ca="1">IFERROR(__xludf.DUMMYFUNCTION("""COMPUTED_VALUE"""),"Adult")</f>
        <v>Adult</v>
      </c>
      <c r="C278" s="5" t="str">
        <f ca="1">IFERROR(__xludf.DUMMYFUNCTION("""COMPUTED_VALUE"""),"Male")</f>
        <v>Male</v>
      </c>
      <c r="D278" s="5"/>
      <c r="E278" s="5" t="str">
        <f ca="1">IFERROR(__xludf.DUMMYFUNCTION("""COMPUTED_VALUE"""),"Nonstudent Using Athletic Facilities/Attending Game")</f>
        <v>Nonstudent Using Athletic Facilities/Attending Game</v>
      </c>
      <c r="F278" s="5" t="str">
        <f ca="1">IFERROR(__xludf.DUMMYFUNCTION("""COMPUTED_VALUE"""),"Fled/Escaped")</f>
        <v>Fled/Escaped</v>
      </c>
      <c r="G278" s="5" t="str">
        <f ca="1">IFERROR(__xludf.DUMMYFUNCTION("""COMPUTED_VALUE"""),"No")</f>
        <v>No</v>
      </c>
      <c r="H278" s="5" t="str">
        <f ca="1">IFERROR(__xludf.DUMMYFUNCTION("""COMPUTED_VALUE"""),"None")</f>
        <v>None</v>
      </c>
    </row>
    <row r="279" spans="1:8">
      <c r="A279" s="5" t="str">
        <f ca="1">IFERROR(__xludf.DUMMYFUNCTION("""COMPUTED_VALUE"""),"20211027SCCAS")</f>
        <v>20211027SCCAS</v>
      </c>
      <c r="B279" s="5">
        <f ca="1">IFERROR(__xludf.DUMMYFUNCTION("""COMPUTED_VALUE"""),17)</f>
        <v>17</v>
      </c>
      <c r="C279" s="5" t="str">
        <f ca="1">IFERROR(__xludf.DUMMYFUNCTION("""COMPUTED_VALUE"""),"Male")</f>
        <v>Male</v>
      </c>
      <c r="D279" s="5"/>
      <c r="E279" s="5" t="str">
        <f ca="1">IFERROR(__xludf.DUMMYFUNCTION("""COMPUTED_VALUE"""),"Student")</f>
        <v>Student</v>
      </c>
      <c r="F279" s="5" t="str">
        <f ca="1">IFERROR(__xludf.DUMMYFUNCTION("""COMPUTED_VALUE"""),"Fled/Apprehended")</f>
        <v>Fled/Apprehended</v>
      </c>
      <c r="G279" s="5" t="str">
        <f ca="1">IFERROR(__xludf.DUMMYFUNCTION("""COMPUTED_VALUE"""),"No")</f>
        <v>No</v>
      </c>
      <c r="H279" s="5" t="str">
        <f ca="1">IFERROR(__xludf.DUMMYFUNCTION("""COMPUTED_VALUE"""),"None")</f>
        <v>None</v>
      </c>
    </row>
    <row r="280" spans="1:8">
      <c r="A280" s="5" t="str">
        <f ca="1">IFERROR(__xludf.DUMMYFUNCTION("""COMPUTED_VALUE"""),"20211026MSCAN")</f>
        <v>20211026MSCAN</v>
      </c>
      <c r="B280" s="5"/>
      <c r="C280" s="5"/>
      <c r="D280" s="5"/>
      <c r="E280" s="5"/>
      <c r="F280" s="5" t="str">
        <f ca="1">IFERROR(__xludf.DUMMYFUNCTION("""COMPUTED_VALUE"""),"Fled/Escaped")</f>
        <v>Fled/Escaped</v>
      </c>
      <c r="G280" s="5" t="str">
        <f ca="1">IFERROR(__xludf.DUMMYFUNCTION("""COMPUTED_VALUE"""),"No")</f>
        <v>No</v>
      </c>
      <c r="H280" s="5" t="str">
        <f ca="1">IFERROR(__xludf.DUMMYFUNCTION("""COMPUTED_VALUE"""),"None")</f>
        <v>None</v>
      </c>
    </row>
    <row r="281" spans="1:8">
      <c r="A281" s="5" t="str">
        <f ca="1">IFERROR(__xludf.DUMMYFUNCTION("""COMPUTED_VALUE"""),"20211026ILWIC")</f>
        <v>20211026ILWIC</v>
      </c>
      <c r="B281" s="5" t="str">
        <f ca="1">IFERROR(__xludf.DUMMYFUNCTION("""COMPUTED_VALUE"""),"Adult")</f>
        <v>Adult</v>
      </c>
      <c r="C281" s="5" t="str">
        <f ca="1">IFERROR(__xludf.DUMMYFUNCTION("""COMPUTED_VALUE"""),"Male")</f>
        <v>Male</v>
      </c>
      <c r="D281" s="5"/>
      <c r="E281" s="5" t="str">
        <f ca="1">IFERROR(__xludf.DUMMYFUNCTION("""COMPUTED_VALUE"""),"No Relation")</f>
        <v>No Relation</v>
      </c>
      <c r="F281" s="5" t="str">
        <f ca="1">IFERROR(__xludf.DUMMYFUNCTION("""COMPUTED_VALUE"""),"Fled/Escaped")</f>
        <v>Fled/Escaped</v>
      </c>
      <c r="G281" s="5" t="str">
        <f ca="1">IFERROR(__xludf.DUMMYFUNCTION("""COMPUTED_VALUE"""),"No")</f>
        <v>No</v>
      </c>
      <c r="H281" s="5" t="str">
        <f ca="1">IFERROR(__xludf.DUMMYFUNCTION("""COMPUTED_VALUE"""),"None")</f>
        <v>None</v>
      </c>
    </row>
    <row r="282" spans="1:8">
      <c r="A282" s="5" t="str">
        <f ca="1">IFERROR(__xludf.DUMMYFUNCTION("""COMPUTED_VALUE"""),"20211022PAPHP")</f>
        <v>20211022PAPHP</v>
      </c>
      <c r="B282" s="5">
        <f ca="1">IFERROR(__xludf.DUMMYFUNCTION("""COMPUTED_VALUE"""),18)</f>
        <v>18</v>
      </c>
      <c r="C282" s="5" t="str">
        <f ca="1">IFERROR(__xludf.DUMMYFUNCTION("""COMPUTED_VALUE"""),"Male")</f>
        <v>Male</v>
      </c>
      <c r="D282" s="5"/>
      <c r="E282" s="5" t="str">
        <f ca="1">IFERROR(__xludf.DUMMYFUNCTION("""COMPUTED_VALUE"""),"Student")</f>
        <v>Student</v>
      </c>
      <c r="F282" s="5" t="str">
        <f ca="1">IFERROR(__xludf.DUMMYFUNCTION("""COMPUTED_VALUE"""),"Apprehended/Killed by LE")</f>
        <v>Apprehended/Killed by LE</v>
      </c>
      <c r="G282" s="5" t="str">
        <f ca="1">IFERROR(__xludf.DUMMYFUNCTION("""COMPUTED_VALUE"""),"No")</f>
        <v>No</v>
      </c>
      <c r="H282" s="5" t="str">
        <f ca="1">IFERROR(__xludf.DUMMYFUNCTION("""COMPUTED_VALUE"""),"Wounded")</f>
        <v>Wounded</v>
      </c>
    </row>
    <row r="283" spans="1:8">
      <c r="A283" s="5" t="str">
        <f ca="1">IFERROR(__xludf.DUMMYFUNCTION("""COMPUTED_VALUE"""),"20211021NYPSB")</f>
        <v>20211021NYPSB</v>
      </c>
      <c r="B283" s="5" t="str">
        <f ca="1">IFERROR(__xludf.DUMMYFUNCTION("""COMPUTED_VALUE"""),"Adult")</f>
        <v>Adult</v>
      </c>
      <c r="C283" s="5" t="str">
        <f ca="1">IFERROR(__xludf.DUMMYFUNCTION("""COMPUTED_VALUE"""),"Male")</f>
        <v>Male</v>
      </c>
      <c r="D283" s="5"/>
      <c r="E283" s="5" t="str">
        <f ca="1">IFERROR(__xludf.DUMMYFUNCTION("""COMPUTED_VALUE"""),"No Relation")</f>
        <v>No Relation</v>
      </c>
      <c r="F283" s="5" t="str">
        <f ca="1">IFERROR(__xludf.DUMMYFUNCTION("""COMPUTED_VALUE"""),"Fled/Apprehended")</f>
        <v>Fled/Apprehended</v>
      </c>
      <c r="G283" s="5" t="str">
        <f ca="1">IFERROR(__xludf.DUMMYFUNCTION("""COMPUTED_VALUE"""),"No")</f>
        <v>No</v>
      </c>
      <c r="H283" s="5" t="str">
        <f ca="1">IFERROR(__xludf.DUMMYFUNCTION("""COMPUTED_VALUE"""),"None")</f>
        <v>None</v>
      </c>
    </row>
    <row r="284" spans="1:8">
      <c r="A284" s="5" t="str">
        <f ca="1">IFERROR(__xludf.DUMMYFUNCTION("""COMPUTED_VALUE"""),"20211021GABES")</f>
        <v>20211021GABES</v>
      </c>
      <c r="B284" s="5">
        <f ca="1">IFERROR(__xludf.DUMMYFUNCTION("""COMPUTED_VALUE"""),33)</f>
        <v>33</v>
      </c>
      <c r="C284" s="5" t="str">
        <f ca="1">IFERROR(__xludf.DUMMYFUNCTION("""COMPUTED_VALUE"""),"Male")</f>
        <v>Male</v>
      </c>
      <c r="D284" s="5" t="str">
        <f ca="1">IFERROR(__xludf.DUMMYFUNCTION("""COMPUTED_VALUE"""),"White")</f>
        <v>White</v>
      </c>
      <c r="E284" s="5" t="str">
        <f ca="1">IFERROR(__xludf.DUMMYFUNCTION("""COMPUTED_VALUE"""),"No Relation")</f>
        <v>No Relation</v>
      </c>
      <c r="F284" s="5" t="str">
        <f ca="1">IFERROR(__xludf.DUMMYFUNCTION("""COMPUTED_VALUE"""),"Apprehended/Killed by LE")</f>
        <v>Apprehended/Killed by LE</v>
      </c>
      <c r="G284" s="5" t="str">
        <f ca="1">IFERROR(__xludf.DUMMYFUNCTION("""COMPUTED_VALUE"""),"No")</f>
        <v>No</v>
      </c>
      <c r="H284" s="5" t="str">
        <f ca="1">IFERROR(__xludf.DUMMYFUNCTION("""COMPUTED_VALUE"""),"None")</f>
        <v>None</v>
      </c>
    </row>
    <row r="285" spans="1:8">
      <c r="A285" s="5" t="str">
        <f ca="1">IFERROR(__xludf.DUMMYFUNCTION("""COMPUTED_VALUE"""),"20211018PALIP")</f>
        <v>20211018PALIP</v>
      </c>
      <c r="B285" s="5">
        <f ca="1">IFERROR(__xludf.DUMMYFUNCTION("""COMPUTED_VALUE"""),21)</f>
        <v>21</v>
      </c>
      <c r="C285" s="5" t="str">
        <f ca="1">IFERROR(__xludf.DUMMYFUNCTION("""COMPUTED_VALUE"""),"Male")</f>
        <v>Male</v>
      </c>
      <c r="D285" s="5"/>
      <c r="E285" s="5" t="str">
        <f ca="1">IFERROR(__xludf.DUMMYFUNCTION("""COMPUTED_VALUE"""),"Relative")</f>
        <v>Relative</v>
      </c>
      <c r="F285" s="5" t="str">
        <f ca="1">IFERROR(__xludf.DUMMYFUNCTION("""COMPUTED_VALUE"""),"Apprehended/Killed by LE")</f>
        <v>Apprehended/Killed by LE</v>
      </c>
      <c r="G285" s="5" t="str">
        <f ca="1">IFERROR(__xludf.DUMMYFUNCTION("""COMPUTED_VALUE"""),"No")</f>
        <v>No</v>
      </c>
      <c r="H285" s="5" t="str">
        <f ca="1">IFERROR(__xludf.DUMMYFUNCTION("""COMPUTED_VALUE"""),"None")</f>
        <v>None</v>
      </c>
    </row>
    <row r="286" spans="1:8">
      <c r="A286" s="5" t="str">
        <f ca="1">IFERROR(__xludf.DUMMYFUNCTION("""COMPUTED_VALUE"""),"20211017ARROR")</f>
        <v>20211017ARROR</v>
      </c>
      <c r="B286" s="5">
        <f ca="1">IFERROR(__xludf.DUMMYFUNCTION("""COMPUTED_VALUE"""),28)</f>
        <v>28</v>
      </c>
      <c r="C286" s="5" t="str">
        <f ca="1">IFERROR(__xludf.DUMMYFUNCTION("""COMPUTED_VALUE"""),"Male")</f>
        <v>Male</v>
      </c>
      <c r="D286" s="5"/>
      <c r="E286" s="5" t="str">
        <f ca="1">IFERROR(__xludf.DUMMYFUNCTION("""COMPUTED_VALUE"""),"No Relation")</f>
        <v>No Relation</v>
      </c>
      <c r="F286" s="5" t="str">
        <f ca="1">IFERROR(__xludf.DUMMYFUNCTION("""COMPUTED_VALUE"""),"Fled/Apprehended")</f>
        <v>Fled/Apprehended</v>
      </c>
      <c r="G286" s="5" t="str">
        <f ca="1">IFERROR(__xludf.DUMMYFUNCTION("""COMPUTED_VALUE"""),"No")</f>
        <v>No</v>
      </c>
      <c r="H286" s="5" t="str">
        <f ca="1">IFERROR(__xludf.DUMMYFUNCTION("""COMPUTED_VALUE"""),"None")</f>
        <v>None</v>
      </c>
    </row>
    <row r="287" spans="1:8">
      <c r="A287" s="5" t="str">
        <f ca="1">IFERROR(__xludf.DUMMYFUNCTION("""COMPUTED_VALUE"""),"20211015CAKEF")</f>
        <v>20211015CAKEF</v>
      </c>
      <c r="B287" s="5">
        <f ca="1">IFERROR(__xludf.DUMMYFUNCTION("""COMPUTED_VALUE"""),33)</f>
        <v>33</v>
      </c>
      <c r="C287" s="5" t="str">
        <f ca="1">IFERROR(__xludf.DUMMYFUNCTION("""COMPUTED_VALUE"""),"Male")</f>
        <v>Male</v>
      </c>
      <c r="D287" s="5" t="str">
        <f ca="1">IFERROR(__xludf.DUMMYFUNCTION("""COMPUTED_VALUE"""),"Black")</f>
        <v>Black</v>
      </c>
      <c r="E287" s="5" t="str">
        <f ca="1">IFERROR(__xludf.DUMMYFUNCTION("""COMPUTED_VALUE"""),"No Relation")</f>
        <v>No Relation</v>
      </c>
      <c r="F287" s="5" t="str">
        <f ca="1">IFERROR(__xludf.DUMMYFUNCTION("""COMPUTED_VALUE"""),"Surrendered")</f>
        <v>Surrendered</v>
      </c>
      <c r="G287" s="5" t="str">
        <f ca="1">IFERROR(__xludf.DUMMYFUNCTION("""COMPUTED_VALUE"""),"No")</f>
        <v>No</v>
      </c>
      <c r="H287" s="5" t="str">
        <f ca="1">IFERROR(__xludf.DUMMYFUNCTION("""COMPUTED_VALUE"""),"None")</f>
        <v>None</v>
      </c>
    </row>
    <row r="288" spans="1:8">
      <c r="A288" s="5" t="str">
        <f ca="1">IFERROR(__xludf.DUMMYFUNCTION("""COMPUTED_VALUE"""),"20211015ALWIM")</f>
        <v>20211015ALWIM</v>
      </c>
      <c r="B288" s="5">
        <f ca="1">IFERROR(__xludf.DUMMYFUNCTION("""COMPUTED_VALUE"""),19)</f>
        <v>19</v>
      </c>
      <c r="C288" s="5" t="str">
        <f ca="1">IFERROR(__xludf.DUMMYFUNCTION("""COMPUTED_VALUE"""),"Male")</f>
        <v>Male</v>
      </c>
      <c r="D288" s="5" t="str">
        <f ca="1">IFERROR(__xludf.DUMMYFUNCTION("""COMPUTED_VALUE"""),"Black")</f>
        <v>Black</v>
      </c>
      <c r="E288" s="5" t="str">
        <f ca="1">IFERROR(__xludf.DUMMYFUNCTION("""COMPUTED_VALUE"""),"Nonstudent Using Athletic Facilities/Attending Game")</f>
        <v>Nonstudent Using Athletic Facilities/Attending Game</v>
      </c>
      <c r="F288" s="5" t="str">
        <f ca="1">IFERROR(__xludf.DUMMYFUNCTION("""COMPUTED_VALUE"""),"Fled/Escaped")</f>
        <v>Fled/Escaped</v>
      </c>
      <c r="G288" s="5" t="str">
        <f ca="1">IFERROR(__xludf.DUMMYFUNCTION("""COMPUTED_VALUE"""),"No")</f>
        <v>No</v>
      </c>
      <c r="H288" s="5" t="str">
        <f ca="1">IFERROR(__xludf.DUMMYFUNCTION("""COMPUTED_VALUE"""),"None")</f>
        <v>None</v>
      </c>
    </row>
    <row r="289" spans="1:8">
      <c r="A289" s="5" t="str">
        <f ca="1">IFERROR(__xludf.DUMMYFUNCTION("""COMPUTED_VALUE"""),"20211014MEREP")</f>
        <v>20211014MEREP</v>
      </c>
      <c r="B289" s="5"/>
      <c r="C289" s="5"/>
      <c r="D289" s="5"/>
      <c r="E289" s="5" t="str">
        <f ca="1">IFERROR(__xludf.DUMMYFUNCTION("""COMPUTED_VALUE"""),"No Relation")</f>
        <v>No Relation</v>
      </c>
      <c r="F289" s="5" t="str">
        <f ca="1">IFERROR(__xludf.DUMMYFUNCTION("""COMPUTED_VALUE"""),"Fled/Escaped")</f>
        <v>Fled/Escaped</v>
      </c>
      <c r="G289" s="5" t="str">
        <f ca="1">IFERROR(__xludf.DUMMYFUNCTION("""COMPUTED_VALUE"""),"No")</f>
        <v>No</v>
      </c>
      <c r="H289" s="5" t="str">
        <f ca="1">IFERROR(__xludf.DUMMYFUNCTION("""COMPUTED_VALUE"""),"None")</f>
        <v>None</v>
      </c>
    </row>
    <row r="290" spans="1:8">
      <c r="A290" s="5" t="str">
        <f ca="1">IFERROR(__xludf.DUMMYFUNCTION("""COMPUTED_VALUE"""),"20211013PACHD")</f>
        <v>20211013PACHD</v>
      </c>
      <c r="B290" s="5">
        <f ca="1">IFERROR(__xludf.DUMMYFUNCTION("""COMPUTED_VALUE"""),10)</f>
        <v>10</v>
      </c>
      <c r="C290" s="5" t="str">
        <f ca="1">IFERROR(__xludf.DUMMYFUNCTION("""COMPUTED_VALUE"""),"Male")</f>
        <v>Male</v>
      </c>
      <c r="D290" s="5"/>
      <c r="E290" s="5" t="str">
        <f ca="1">IFERROR(__xludf.DUMMYFUNCTION("""COMPUTED_VALUE"""),"Student")</f>
        <v>Student</v>
      </c>
      <c r="F290" s="5" t="str">
        <f ca="1">IFERROR(__xludf.DUMMYFUNCTION("""COMPUTED_VALUE"""),"Subdued by Students/Staff/Other")</f>
        <v>Subdued by Students/Staff/Other</v>
      </c>
      <c r="G290" s="5" t="str">
        <f ca="1">IFERROR(__xludf.DUMMYFUNCTION("""COMPUTED_VALUE"""),"No")</f>
        <v>No</v>
      </c>
      <c r="H290" s="5" t="str">
        <f ca="1">IFERROR(__xludf.DUMMYFUNCTION("""COMPUTED_VALUE"""),"None")</f>
        <v>None</v>
      </c>
    </row>
    <row r="291" spans="1:8">
      <c r="A291" s="5" t="str">
        <f ca="1">IFERROR(__xludf.DUMMYFUNCTION("""COMPUTED_VALUE"""),"20211013PACHD")</f>
        <v>20211013PACHD</v>
      </c>
      <c r="B291" s="5">
        <f ca="1">IFERROR(__xludf.DUMMYFUNCTION("""COMPUTED_VALUE"""),10)</f>
        <v>10</v>
      </c>
      <c r="C291" s="5" t="str">
        <f ca="1">IFERROR(__xludf.DUMMYFUNCTION("""COMPUTED_VALUE"""),"Male")</f>
        <v>Male</v>
      </c>
      <c r="D291" s="5"/>
      <c r="E291" s="5" t="str">
        <f ca="1">IFERROR(__xludf.DUMMYFUNCTION("""COMPUTED_VALUE"""),"Student")</f>
        <v>Student</v>
      </c>
      <c r="F291" s="5" t="str">
        <f ca="1">IFERROR(__xludf.DUMMYFUNCTION("""COMPUTED_VALUE"""),"Subdued by Students/Staff/Other")</f>
        <v>Subdued by Students/Staff/Other</v>
      </c>
      <c r="G291" s="5" t="str">
        <f ca="1">IFERROR(__xludf.DUMMYFUNCTION("""COMPUTED_VALUE"""),"No")</f>
        <v>No</v>
      </c>
      <c r="H291" s="5" t="str">
        <f ca="1">IFERROR(__xludf.DUMMYFUNCTION("""COMPUTED_VALUE"""),"None")</f>
        <v>None</v>
      </c>
    </row>
    <row r="292" spans="1:8">
      <c r="A292" s="5" t="str">
        <f ca="1">IFERROR(__xludf.DUMMYFUNCTION("""COMPUTED_VALUE"""),"20211013ILMCC")</f>
        <v>20211013ILMCC</v>
      </c>
      <c r="B292" s="5"/>
      <c r="C292" s="5"/>
      <c r="D292" s="5"/>
      <c r="E292" s="5" t="str">
        <f ca="1">IFERROR(__xludf.DUMMYFUNCTION("""COMPUTED_VALUE"""),"No Relation")</f>
        <v>No Relation</v>
      </c>
      <c r="F292" s="5" t="str">
        <f ca="1">IFERROR(__xludf.DUMMYFUNCTION("""COMPUTED_VALUE"""),"Fled/Escaped")</f>
        <v>Fled/Escaped</v>
      </c>
      <c r="G292" s="5" t="str">
        <f ca="1">IFERROR(__xludf.DUMMYFUNCTION("""COMPUTED_VALUE"""),"No")</f>
        <v>No</v>
      </c>
      <c r="H292" s="5" t="str">
        <f ca="1">IFERROR(__xludf.DUMMYFUNCTION("""COMPUTED_VALUE"""),"None")</f>
        <v>None</v>
      </c>
    </row>
    <row r="293" spans="1:8">
      <c r="A293" s="5" t="str">
        <f ca="1">IFERROR(__xludf.DUMMYFUNCTION("""COMPUTED_VALUE"""),"20211012OKUNT")</f>
        <v>20211012OKUNT</v>
      </c>
      <c r="B293" s="5" t="str">
        <f ca="1">IFERROR(__xludf.DUMMYFUNCTION("""COMPUTED_VALUE"""),"Teen")</f>
        <v>Teen</v>
      </c>
      <c r="C293" s="5" t="str">
        <f ca="1">IFERROR(__xludf.DUMMYFUNCTION("""COMPUTED_VALUE"""),"Male")</f>
        <v>Male</v>
      </c>
      <c r="D293" s="5"/>
      <c r="E293" s="5" t="str">
        <f ca="1">IFERROR(__xludf.DUMMYFUNCTION("""COMPUTED_VALUE"""),"Student")</f>
        <v>Student</v>
      </c>
      <c r="F293" s="5" t="str">
        <f ca="1">IFERROR(__xludf.DUMMYFUNCTION("""COMPUTED_VALUE"""),"Fled/Apprehended")</f>
        <v>Fled/Apprehended</v>
      </c>
      <c r="G293" s="5" t="str">
        <f ca="1">IFERROR(__xludf.DUMMYFUNCTION("""COMPUTED_VALUE"""),"No")</f>
        <v>No</v>
      </c>
      <c r="H293" s="5" t="str">
        <f ca="1">IFERROR(__xludf.DUMMYFUNCTION("""COMPUTED_VALUE"""),"None")</f>
        <v>None</v>
      </c>
    </row>
    <row r="294" spans="1:8">
      <c r="A294" s="5" t="str">
        <f ca="1">IFERROR(__xludf.DUMMYFUNCTION("""COMPUTED_VALUE"""),"20211012MIELK")</f>
        <v>20211012MIELK</v>
      </c>
      <c r="B294" s="5"/>
      <c r="C294" s="5" t="str">
        <f ca="1">IFERROR(__xludf.DUMMYFUNCTION("""COMPUTED_VALUE"""),"Male")</f>
        <v>Male</v>
      </c>
      <c r="D294" s="5"/>
      <c r="E294" s="5" t="str">
        <f ca="1">IFERROR(__xludf.DUMMYFUNCTION("""COMPUTED_VALUE"""),"No Relation")</f>
        <v>No Relation</v>
      </c>
      <c r="F294" s="5" t="str">
        <f ca="1">IFERROR(__xludf.DUMMYFUNCTION("""COMPUTED_VALUE"""),"Fled/Escaped")</f>
        <v>Fled/Escaped</v>
      </c>
      <c r="G294" s="5" t="str">
        <f ca="1">IFERROR(__xludf.DUMMYFUNCTION("""COMPUTED_VALUE"""),"No")</f>
        <v>No</v>
      </c>
      <c r="H294" s="5" t="str">
        <f ca="1">IFERROR(__xludf.DUMMYFUNCTION("""COMPUTED_VALUE"""),"None")</f>
        <v>None</v>
      </c>
    </row>
    <row r="295" spans="1:8">
      <c r="A295" s="5" t="str">
        <f ca="1">IFERROR(__xludf.DUMMYFUNCTION("""COMPUTED_VALUE"""),"20211012ILWEC")</f>
        <v>20211012ILWEC</v>
      </c>
      <c r="B295" s="5"/>
      <c r="C295" s="5"/>
      <c r="D295" s="5"/>
      <c r="E295" s="5"/>
      <c r="F295" s="5" t="str">
        <f ca="1">IFERROR(__xludf.DUMMYFUNCTION("""COMPUTED_VALUE"""),"Fled/Escaped")</f>
        <v>Fled/Escaped</v>
      </c>
      <c r="G295" s="5" t="str">
        <f ca="1">IFERROR(__xludf.DUMMYFUNCTION("""COMPUTED_VALUE"""),"No")</f>
        <v>No</v>
      </c>
      <c r="H295" s="5" t="str">
        <f ca="1">IFERROR(__xludf.DUMMYFUNCTION("""COMPUTED_VALUE"""),"None")</f>
        <v>None</v>
      </c>
    </row>
    <row r="296" spans="1:8">
      <c r="A296" s="5" t="str">
        <f ca="1">IFERROR(__xludf.DUMMYFUNCTION("""COMPUTED_VALUE"""),"20211012ARLIL")</f>
        <v>20211012ARLIL</v>
      </c>
      <c r="B296" s="5"/>
      <c r="C296" s="5"/>
      <c r="D296" s="5"/>
      <c r="E296" s="5" t="str">
        <f ca="1">IFERROR(__xludf.DUMMYFUNCTION("""COMPUTED_VALUE"""),"No Relation")</f>
        <v>No Relation</v>
      </c>
      <c r="F296" s="5" t="str">
        <f ca="1">IFERROR(__xludf.DUMMYFUNCTION("""COMPUTED_VALUE"""),"Fled/Escaped")</f>
        <v>Fled/Escaped</v>
      </c>
      <c r="G296" s="5" t="str">
        <f ca="1">IFERROR(__xludf.DUMMYFUNCTION("""COMPUTED_VALUE"""),"No")</f>
        <v>No</v>
      </c>
      <c r="H296" s="5" t="str">
        <f ca="1">IFERROR(__xludf.DUMMYFUNCTION("""COMPUTED_VALUE"""),"None")</f>
        <v>None</v>
      </c>
    </row>
    <row r="297" spans="1:8">
      <c r="A297" s="5" t="str">
        <f ca="1">IFERROR(__xludf.DUMMYFUNCTION("""COMPUTED_VALUE"""),"20211011ORROP")</f>
        <v>20211011ORROP</v>
      </c>
      <c r="B297" s="5"/>
      <c r="C297" s="5"/>
      <c r="D297" s="5"/>
      <c r="E297" s="5"/>
      <c r="F297" s="5" t="str">
        <f ca="1">IFERROR(__xludf.DUMMYFUNCTION("""COMPUTED_VALUE"""),"Fled/Escaped")</f>
        <v>Fled/Escaped</v>
      </c>
      <c r="G297" s="5" t="str">
        <f ca="1">IFERROR(__xludf.DUMMYFUNCTION("""COMPUTED_VALUE"""),"No")</f>
        <v>No</v>
      </c>
      <c r="H297" s="5" t="str">
        <f ca="1">IFERROR(__xludf.DUMMYFUNCTION("""COMPUTED_VALUE"""),"None")</f>
        <v>None</v>
      </c>
    </row>
    <row r="298" spans="1:8">
      <c r="A298" s="5" t="str">
        <f ca="1">IFERROR(__xludf.DUMMYFUNCTION("""COMPUTED_VALUE"""),"20211008OKCOC")</f>
        <v>20211008OKCOC</v>
      </c>
      <c r="B298" s="5" t="str">
        <f ca="1">IFERROR(__xludf.DUMMYFUNCTION("""COMPUTED_VALUE"""),"Teen")</f>
        <v>Teen</v>
      </c>
      <c r="C298" s="5"/>
      <c r="D298" s="5"/>
      <c r="E298" s="5" t="str">
        <f ca="1">IFERROR(__xludf.DUMMYFUNCTION("""COMPUTED_VALUE"""),"Student")</f>
        <v>Student</v>
      </c>
      <c r="F298" s="5" t="str">
        <f ca="1">IFERROR(__xludf.DUMMYFUNCTION("""COMPUTED_VALUE"""),"Apprehended/Killed by LE")</f>
        <v>Apprehended/Killed by LE</v>
      </c>
      <c r="G298" s="5" t="str">
        <f ca="1">IFERROR(__xludf.DUMMYFUNCTION("""COMPUTED_VALUE"""),"No")</f>
        <v>No</v>
      </c>
      <c r="H298" s="5" t="str">
        <f ca="1">IFERROR(__xludf.DUMMYFUNCTION("""COMPUTED_VALUE"""),"None")</f>
        <v>None</v>
      </c>
    </row>
    <row r="299" spans="1:8">
      <c r="A299" s="5" t="str">
        <f ca="1">IFERROR(__xludf.DUMMYFUNCTION("""COMPUTED_VALUE"""),"20211007TXEAW")</f>
        <v>20211007TXEAW</v>
      </c>
      <c r="B299" s="5"/>
      <c r="C299" s="5"/>
      <c r="D299" s="5"/>
      <c r="E299" s="5" t="str">
        <f ca="1">IFERROR(__xludf.DUMMYFUNCTION("""COMPUTED_VALUE"""),"No Relation")</f>
        <v>No Relation</v>
      </c>
      <c r="F299" s="5" t="str">
        <f ca="1">IFERROR(__xludf.DUMMYFUNCTION("""COMPUTED_VALUE"""),"Fled/Escaped")</f>
        <v>Fled/Escaped</v>
      </c>
      <c r="G299" s="5" t="str">
        <f ca="1">IFERROR(__xludf.DUMMYFUNCTION("""COMPUTED_VALUE"""),"No")</f>
        <v>No</v>
      </c>
      <c r="H299" s="5" t="str">
        <f ca="1">IFERROR(__xludf.DUMMYFUNCTION("""COMPUTED_VALUE"""),"None")</f>
        <v>None</v>
      </c>
    </row>
    <row r="300" spans="1:8">
      <c r="A300" s="5" t="str">
        <f ca="1">IFERROR(__xludf.DUMMYFUNCTION("""COMPUTED_VALUE"""),"20211007PAANP")</f>
        <v>20211007PAANP</v>
      </c>
      <c r="B300" s="5"/>
      <c r="C300" s="5"/>
      <c r="D300" s="5"/>
      <c r="E300" s="5"/>
      <c r="F300" s="5" t="str">
        <f ca="1">IFERROR(__xludf.DUMMYFUNCTION("""COMPUTED_VALUE"""),"Fled/Escaped")</f>
        <v>Fled/Escaped</v>
      </c>
      <c r="G300" s="5" t="str">
        <f ca="1">IFERROR(__xludf.DUMMYFUNCTION("""COMPUTED_VALUE"""),"No")</f>
        <v>No</v>
      </c>
      <c r="H300" s="5" t="str">
        <f ca="1">IFERROR(__xludf.DUMMYFUNCTION("""COMPUTED_VALUE"""),"None")</f>
        <v>None</v>
      </c>
    </row>
    <row r="301" spans="1:8">
      <c r="A301" s="5" t="str">
        <f ca="1">IFERROR(__xludf.DUMMYFUNCTION("""COMPUTED_VALUE"""),"20211007NCEAD")</f>
        <v>20211007NCEAD</v>
      </c>
      <c r="B301" s="5">
        <f ca="1">IFERROR(__xludf.DUMMYFUNCTION("""COMPUTED_VALUE"""),39)</f>
        <v>39</v>
      </c>
      <c r="C301" s="5" t="str">
        <f ca="1">IFERROR(__xludf.DUMMYFUNCTION("""COMPUTED_VALUE"""),"Male")</f>
        <v>Male</v>
      </c>
      <c r="D301" s="5"/>
      <c r="E301" s="5" t="str">
        <f ca="1">IFERROR(__xludf.DUMMYFUNCTION("""COMPUTED_VALUE"""),"No Relation")</f>
        <v>No Relation</v>
      </c>
      <c r="F301" s="5" t="str">
        <f ca="1">IFERROR(__xludf.DUMMYFUNCTION("""COMPUTED_VALUE"""),"Suicide")</f>
        <v>Suicide</v>
      </c>
      <c r="G301" s="5" t="str">
        <f ca="1">IFERROR(__xludf.DUMMYFUNCTION("""COMPUTED_VALUE"""),"Yes")</f>
        <v>Yes</v>
      </c>
      <c r="H301" s="5" t="str">
        <f ca="1">IFERROR(__xludf.DUMMYFUNCTION("""COMPUTED_VALUE"""),"Suicide")</f>
        <v>Suicide</v>
      </c>
    </row>
    <row r="302" spans="1:8">
      <c r="A302" s="5" t="str">
        <f ca="1">IFERROR(__xludf.DUMMYFUNCTION("""COMPUTED_VALUE"""),"20211007DCWAW")</f>
        <v>20211007DCWAW</v>
      </c>
      <c r="B302" s="5">
        <f ca="1">IFERROR(__xludf.DUMMYFUNCTION("""COMPUTED_VALUE"""),18)</f>
        <v>18</v>
      </c>
      <c r="C302" s="5" t="str">
        <f ca="1">IFERROR(__xludf.DUMMYFUNCTION("""COMPUTED_VALUE"""),"Male")</f>
        <v>Male</v>
      </c>
      <c r="D302" s="5" t="str">
        <f ca="1">IFERROR(__xludf.DUMMYFUNCTION("""COMPUTED_VALUE"""),"Black")</f>
        <v>Black</v>
      </c>
      <c r="E302" s="5" t="str">
        <f ca="1">IFERROR(__xludf.DUMMYFUNCTION("""COMPUTED_VALUE"""),"Nonstudent Using Athletic Facilities/Attending Game")</f>
        <v>Nonstudent Using Athletic Facilities/Attending Game</v>
      </c>
      <c r="F302" s="5" t="str">
        <f ca="1">IFERROR(__xludf.DUMMYFUNCTION("""COMPUTED_VALUE"""),"Fled/Apprehended")</f>
        <v>Fled/Apprehended</v>
      </c>
      <c r="G302" s="5" t="str">
        <f ca="1">IFERROR(__xludf.DUMMYFUNCTION("""COMPUTED_VALUE"""),"No")</f>
        <v>No</v>
      </c>
      <c r="H302" s="5" t="str">
        <f ca="1">IFERROR(__xludf.DUMMYFUNCTION("""COMPUTED_VALUE"""),"None")</f>
        <v>None</v>
      </c>
    </row>
    <row r="303" spans="1:8">
      <c r="A303" s="5" t="str">
        <f ca="1">IFERROR(__xludf.DUMMYFUNCTION("""COMPUTED_VALUE"""),"20211006TXTIA")</f>
        <v>20211006TXTIA</v>
      </c>
      <c r="B303" s="5">
        <f ca="1">IFERROR(__xludf.DUMMYFUNCTION("""COMPUTED_VALUE"""),18)</f>
        <v>18</v>
      </c>
      <c r="C303" s="5" t="str">
        <f ca="1">IFERROR(__xludf.DUMMYFUNCTION("""COMPUTED_VALUE"""),"Male")</f>
        <v>Male</v>
      </c>
      <c r="D303" s="5" t="str">
        <f ca="1">IFERROR(__xludf.DUMMYFUNCTION("""COMPUTED_VALUE"""),"Black")</f>
        <v>Black</v>
      </c>
      <c r="E303" s="5" t="str">
        <f ca="1">IFERROR(__xludf.DUMMYFUNCTION("""COMPUTED_VALUE"""),"Student")</f>
        <v>Student</v>
      </c>
      <c r="F303" s="5" t="str">
        <f ca="1">IFERROR(__xludf.DUMMYFUNCTION("""COMPUTED_VALUE"""),"Fled/Apprehended")</f>
        <v>Fled/Apprehended</v>
      </c>
      <c r="G303" s="5" t="str">
        <f ca="1">IFERROR(__xludf.DUMMYFUNCTION("""COMPUTED_VALUE"""),"No")</f>
        <v>No</v>
      </c>
      <c r="H303" s="5" t="str">
        <f ca="1">IFERROR(__xludf.DUMMYFUNCTION("""COMPUTED_VALUE"""),"None")</f>
        <v>None</v>
      </c>
    </row>
    <row r="304" spans="1:8">
      <c r="A304" s="5" t="str">
        <f ca="1">IFERROR(__xludf.DUMMYFUNCTION("""COMPUTED_VALUE"""),"20211005NDHEH")</f>
        <v>20211005NDHEH</v>
      </c>
      <c r="B304" s="5" t="str">
        <f ca="1">IFERROR(__xludf.DUMMYFUNCTION("""COMPUTED_VALUE"""),"Teen")</f>
        <v>Teen</v>
      </c>
      <c r="C304" s="5"/>
      <c r="D304" s="5"/>
      <c r="E304" s="5" t="str">
        <f ca="1">IFERROR(__xludf.DUMMYFUNCTION("""COMPUTED_VALUE"""),"Student")</f>
        <v>Student</v>
      </c>
      <c r="F304" s="5" t="str">
        <f ca="1">IFERROR(__xludf.DUMMYFUNCTION("""COMPUTED_VALUE"""),"Suicide")</f>
        <v>Suicide</v>
      </c>
      <c r="G304" s="5"/>
      <c r="H304" s="5" t="str">
        <f ca="1">IFERROR(__xludf.DUMMYFUNCTION("""COMPUTED_VALUE"""),"Suicide")</f>
        <v>Suicide</v>
      </c>
    </row>
    <row r="305" spans="1:8">
      <c r="A305" s="5" t="str">
        <f ca="1">IFERROR(__xludf.DUMMYFUNCTION("""COMPUTED_VALUE"""),"20211005NCGAC")</f>
        <v>20211005NCGAC</v>
      </c>
      <c r="B305" s="5" t="str">
        <f ca="1">IFERROR(__xludf.DUMMYFUNCTION("""COMPUTED_VALUE"""),"Teen")</f>
        <v>Teen</v>
      </c>
      <c r="C305" s="5" t="str">
        <f ca="1">IFERROR(__xludf.DUMMYFUNCTION("""COMPUTED_VALUE"""),"Male")</f>
        <v>Male</v>
      </c>
      <c r="D305" s="5"/>
      <c r="E305" s="5" t="str">
        <f ca="1">IFERROR(__xludf.DUMMYFUNCTION("""COMPUTED_VALUE"""),"Student")</f>
        <v>Student</v>
      </c>
      <c r="F305" s="5" t="str">
        <f ca="1">IFERROR(__xludf.DUMMYFUNCTION("""COMPUTED_VALUE"""),"Apprehended/Killed by LE")</f>
        <v>Apprehended/Killed by LE</v>
      </c>
      <c r="G305" s="5" t="str">
        <f ca="1">IFERROR(__xludf.DUMMYFUNCTION("""COMPUTED_VALUE"""),"No")</f>
        <v>No</v>
      </c>
      <c r="H305" s="5" t="str">
        <f ca="1">IFERROR(__xludf.DUMMYFUNCTION("""COMPUTED_VALUE"""),"None")</f>
        <v>None</v>
      </c>
    </row>
    <row r="306" spans="1:8">
      <c r="A306" s="5" t="str">
        <f ca="1">IFERROR(__xludf.DUMMYFUNCTION("""COMPUTED_VALUE"""),"20211004PASCP")</f>
        <v>20211004PASCP</v>
      </c>
      <c r="B306" s="5" t="str">
        <f ca="1">IFERROR(__xludf.DUMMYFUNCTION("""COMPUTED_VALUE"""),"Adult")</f>
        <v>Adult</v>
      </c>
      <c r="C306" s="5" t="str">
        <f ca="1">IFERROR(__xludf.DUMMYFUNCTION("""COMPUTED_VALUE"""),"Male")</f>
        <v>Male</v>
      </c>
      <c r="D306" s="5"/>
      <c r="E306" s="5" t="str">
        <f ca="1">IFERROR(__xludf.DUMMYFUNCTION("""COMPUTED_VALUE"""),"No Relation")</f>
        <v>No Relation</v>
      </c>
      <c r="F306" s="5" t="str">
        <f ca="1">IFERROR(__xludf.DUMMYFUNCTION("""COMPUTED_VALUE"""),"Apprehended/Killed by LE")</f>
        <v>Apprehended/Killed by LE</v>
      </c>
      <c r="G306" s="5" t="str">
        <f ca="1">IFERROR(__xludf.DUMMYFUNCTION("""COMPUTED_VALUE"""),"No")</f>
        <v>No</v>
      </c>
      <c r="H306" s="5" t="str">
        <f ca="1">IFERROR(__xludf.DUMMYFUNCTION("""COMPUTED_VALUE"""),"Wounded")</f>
        <v>Wounded</v>
      </c>
    </row>
    <row r="307" spans="1:8">
      <c r="A307" s="5" t="str">
        <f ca="1">IFERROR(__xludf.DUMMYFUNCTION("""COMPUTED_VALUE"""),"20211004OHWOT")</f>
        <v>20211004OHWOT</v>
      </c>
      <c r="B307" s="5"/>
      <c r="C307" s="5" t="str">
        <f ca="1">IFERROR(__xludf.DUMMYFUNCTION("""COMPUTED_VALUE"""),"Male")</f>
        <v>Male</v>
      </c>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c r="A308" s="5" t="str">
        <f ca="1">IFERROR(__xludf.DUMMYFUNCTION("""COMPUTED_VALUE"""),"20211004ILLAC")</f>
        <v>20211004ILLAC</v>
      </c>
      <c r="B308" s="5"/>
      <c r="C308" s="5"/>
      <c r="D308" s="5"/>
      <c r="E308" s="5"/>
      <c r="F308" s="5" t="str">
        <f ca="1">IFERROR(__xludf.DUMMYFUNCTION("""COMPUTED_VALUE"""),"Fled/Escaped")</f>
        <v>Fled/Escaped</v>
      </c>
      <c r="G308" s="5" t="str">
        <f ca="1">IFERROR(__xludf.DUMMYFUNCTION("""COMPUTED_VALUE"""),"No")</f>
        <v>No</v>
      </c>
      <c r="H308" s="5" t="str">
        <f ca="1">IFERROR(__xludf.DUMMYFUNCTION("""COMPUTED_VALUE"""),"None")</f>
        <v>None</v>
      </c>
    </row>
    <row r="309" spans="1:8">
      <c r="A309" s="5" t="str">
        <f ca="1">IFERROR(__xludf.DUMMYFUNCTION("""COMPUTED_VALUE"""),"20211001TXYEH")</f>
        <v>20211001TXYEH</v>
      </c>
      <c r="B309" s="5">
        <f ca="1">IFERROR(__xludf.DUMMYFUNCTION("""COMPUTED_VALUE"""),25)</f>
        <v>25</v>
      </c>
      <c r="C309" s="5" t="str">
        <f ca="1">IFERROR(__xludf.DUMMYFUNCTION("""COMPUTED_VALUE"""),"Male")</f>
        <v>Male</v>
      </c>
      <c r="D309" s="5" t="str">
        <f ca="1">IFERROR(__xludf.DUMMYFUNCTION("""COMPUTED_VALUE"""),"Black")</f>
        <v>Black</v>
      </c>
      <c r="E309" s="5" t="str">
        <f ca="1">IFERROR(__xludf.DUMMYFUNCTION("""COMPUTED_VALUE"""),"Former Student")</f>
        <v>Former Student</v>
      </c>
      <c r="F309" s="5" t="str">
        <f ca="1">IFERROR(__xludf.DUMMYFUNCTION("""COMPUTED_VALUE"""),"Surrendered")</f>
        <v>Surrendered</v>
      </c>
      <c r="G309" s="5" t="str">
        <f ca="1">IFERROR(__xludf.DUMMYFUNCTION("""COMPUTED_VALUE"""),"No")</f>
        <v>No</v>
      </c>
      <c r="H309" s="5" t="str">
        <f ca="1">IFERROR(__xludf.DUMMYFUNCTION("""COMPUTED_VALUE"""),"None")</f>
        <v>None</v>
      </c>
    </row>
    <row r="310" spans="1:8">
      <c r="A310" s="5" t="str">
        <f ca="1">IFERROR(__xludf.DUMMYFUNCTION("""COMPUTED_VALUE"""),"20211001NCSEF")</f>
        <v>20211001NCSEF</v>
      </c>
      <c r="B310" s="5"/>
      <c r="C310" s="5"/>
      <c r="D310" s="5"/>
      <c r="E310" s="5"/>
      <c r="F310" s="5" t="str">
        <f ca="1">IFERROR(__xludf.DUMMYFUNCTION("""COMPUTED_VALUE"""),"Fled/Escaped")</f>
        <v>Fled/Escaped</v>
      </c>
      <c r="G310" s="5" t="str">
        <f ca="1">IFERROR(__xludf.DUMMYFUNCTION("""COMPUTED_VALUE"""),"No")</f>
        <v>No</v>
      </c>
      <c r="H310" s="5" t="str">
        <f ca="1">IFERROR(__xludf.DUMMYFUNCTION("""COMPUTED_VALUE"""),"None")</f>
        <v>None</v>
      </c>
    </row>
    <row r="311" spans="1:8">
      <c r="A311" s="5" t="str">
        <f ca="1">IFERROR(__xludf.DUMMYFUNCTION("""COMPUTED_VALUE"""),"20211001NCNOD")</f>
        <v>20211001NCNOD</v>
      </c>
      <c r="B311" s="5"/>
      <c r="C311" s="5"/>
      <c r="D311" s="5"/>
      <c r="E311" s="5"/>
      <c r="F311" s="5" t="str">
        <f ca="1">IFERROR(__xludf.DUMMYFUNCTION("""COMPUTED_VALUE"""),"Fled/Escaped")</f>
        <v>Fled/Escaped</v>
      </c>
      <c r="G311" s="5" t="str">
        <f ca="1">IFERROR(__xludf.DUMMYFUNCTION("""COMPUTED_VALUE"""),"No")</f>
        <v>No</v>
      </c>
      <c r="H311" s="5" t="str">
        <f ca="1">IFERROR(__xludf.DUMMYFUNCTION("""COMPUTED_VALUE"""),"None")</f>
        <v>None</v>
      </c>
    </row>
    <row r="312" spans="1:8">
      <c r="A312" s="5" t="str">
        <f ca="1">IFERROR(__xludf.DUMMYFUNCTION("""COMPUTED_VALUE"""),"20211001INBEI")</f>
        <v>20211001INBEI</v>
      </c>
      <c r="B312" s="5">
        <f ca="1">IFERROR(__xludf.DUMMYFUNCTION("""COMPUTED_VALUE"""),16)</f>
        <v>16</v>
      </c>
      <c r="C312" s="5" t="str">
        <f ca="1">IFERROR(__xludf.DUMMYFUNCTION("""COMPUTED_VALUE"""),"Male")</f>
        <v>Male</v>
      </c>
      <c r="D312" s="5" t="str">
        <f ca="1">IFERROR(__xludf.DUMMYFUNCTION("""COMPUTED_VALUE"""),"Black")</f>
        <v>Black</v>
      </c>
      <c r="E312" s="5" t="str">
        <f ca="1">IFERROR(__xludf.DUMMYFUNCTION("""COMPUTED_VALUE"""),"Nonstudent Using Athletic Facilities/Attending Game")</f>
        <v>Nonstudent Using Athletic Facilities/Attending Game</v>
      </c>
      <c r="F312" s="5" t="str">
        <f ca="1">IFERROR(__xludf.DUMMYFUNCTION("""COMPUTED_VALUE"""),"Fled/Apprehended")</f>
        <v>Fled/Apprehended</v>
      </c>
      <c r="G312" s="5" t="str">
        <f ca="1">IFERROR(__xludf.DUMMYFUNCTION("""COMPUTED_VALUE"""),"No")</f>
        <v>No</v>
      </c>
      <c r="H312" s="5" t="str">
        <f ca="1">IFERROR(__xludf.DUMMYFUNCTION("""COMPUTED_VALUE"""),"None")</f>
        <v>None</v>
      </c>
    </row>
    <row r="313" spans="1:8">
      <c r="A313" s="5" t="str">
        <f ca="1">IFERROR(__xludf.DUMMYFUNCTION("""COMPUTED_VALUE"""),"20211001INBEI")</f>
        <v>20211001INBEI</v>
      </c>
      <c r="B313" s="5">
        <f ca="1">IFERROR(__xludf.DUMMYFUNCTION("""COMPUTED_VALUE"""),14)</f>
        <v>14</v>
      </c>
      <c r="C313" s="5" t="str">
        <f ca="1">IFERROR(__xludf.DUMMYFUNCTION("""COMPUTED_VALUE"""),"Male")</f>
        <v>Male</v>
      </c>
      <c r="D313" s="5"/>
      <c r="E313" s="5" t="str">
        <f ca="1">IFERROR(__xludf.DUMMYFUNCTION("""COMPUTED_VALUE"""),"Nonstudent Using Athletic Facilities/Attending Game")</f>
        <v>Nonstudent Using Athletic Facilities/Attending Game</v>
      </c>
      <c r="F313" s="5" t="str">
        <f ca="1">IFERROR(__xludf.DUMMYFUNCTION("""COMPUTED_VALUE"""),"Apprehended/Killed by LE")</f>
        <v>Apprehended/Killed by LE</v>
      </c>
      <c r="G313" s="5" t="str">
        <f ca="1">IFERROR(__xludf.DUMMYFUNCTION("""COMPUTED_VALUE"""),"No")</f>
        <v>No</v>
      </c>
      <c r="H313" s="5" t="str">
        <f ca="1">IFERROR(__xludf.DUMMYFUNCTION("""COMPUTED_VALUE"""),"None")</f>
        <v>None</v>
      </c>
    </row>
    <row r="314" spans="1:8">
      <c r="A314" s="5" t="str">
        <f ca="1">IFERROR(__xludf.DUMMYFUNCTION("""COMPUTED_VALUE"""),"20210930TNCUM")</f>
        <v>20210930TNCUM</v>
      </c>
      <c r="B314" s="5">
        <f ca="1">IFERROR(__xludf.DUMMYFUNCTION("""COMPUTED_VALUE"""),13)</f>
        <v>13</v>
      </c>
      <c r="C314" s="5" t="str">
        <f ca="1">IFERROR(__xludf.DUMMYFUNCTION("""COMPUTED_VALUE"""),"Male")</f>
        <v>Male</v>
      </c>
      <c r="D314" s="5"/>
      <c r="E314" s="5" t="str">
        <f ca="1">IFERROR(__xludf.DUMMYFUNCTION("""COMPUTED_VALUE"""),"Student")</f>
        <v>Student</v>
      </c>
      <c r="F314" s="5" t="str">
        <f ca="1">IFERROR(__xludf.DUMMYFUNCTION("""COMPUTED_VALUE"""),"Fled/Apprehended")</f>
        <v>Fled/Apprehended</v>
      </c>
      <c r="G314" s="5" t="str">
        <f ca="1">IFERROR(__xludf.DUMMYFUNCTION("""COMPUTED_VALUE"""),"No")</f>
        <v>No</v>
      </c>
      <c r="H314" s="5" t="str">
        <f ca="1">IFERROR(__xludf.DUMMYFUNCTION("""COMPUTED_VALUE"""),"None")</f>
        <v>None</v>
      </c>
    </row>
    <row r="315" spans="1:8">
      <c r="A315" s="5" t="str">
        <f ca="1">IFERROR(__xludf.DUMMYFUNCTION("""COMPUTED_VALUE"""),"20210930MSNEN")</f>
        <v>20210930MSNEN</v>
      </c>
      <c r="B315" s="5">
        <f ca="1">IFERROR(__xludf.DUMMYFUNCTION("""COMPUTED_VALUE"""),6)</f>
        <v>6</v>
      </c>
      <c r="C315" s="5" t="str">
        <f ca="1">IFERROR(__xludf.DUMMYFUNCTION("""COMPUTED_VALUE"""),"Male")</f>
        <v>Male</v>
      </c>
      <c r="D315" s="5"/>
      <c r="E315" s="5" t="str">
        <f ca="1">IFERROR(__xludf.DUMMYFUNCTION("""COMPUTED_VALUE"""),"Student")</f>
        <v>Student</v>
      </c>
      <c r="F315" s="5" t="str">
        <f ca="1">IFERROR(__xludf.DUMMYFUNCTION("""COMPUTED_VALUE"""),"Apprehended/Killed by LE")</f>
        <v>Apprehended/Killed by LE</v>
      </c>
      <c r="G315" s="5" t="str">
        <f ca="1">IFERROR(__xludf.DUMMYFUNCTION("""COMPUTED_VALUE"""),"No")</f>
        <v>No</v>
      </c>
      <c r="H315" s="5" t="str">
        <f ca="1">IFERROR(__xludf.DUMMYFUNCTION("""COMPUTED_VALUE"""),"None")</f>
        <v>None</v>
      </c>
    </row>
    <row r="316" spans="1:8">
      <c r="A316" s="5" t="str">
        <f ca="1">IFERROR(__xludf.DUMMYFUNCTION("""COMPUTED_VALUE"""),"20210929OHSHS")</f>
        <v>20210929OHSHS</v>
      </c>
      <c r="B316" s="5" t="str">
        <f ca="1">IFERROR(__xludf.DUMMYFUNCTION("""COMPUTED_VALUE"""),"Adult")</f>
        <v>Adult</v>
      </c>
      <c r="C316" s="5" t="str">
        <f ca="1">IFERROR(__xludf.DUMMYFUNCTION("""COMPUTED_VALUE"""),"Female")</f>
        <v>Female</v>
      </c>
      <c r="D316" s="5"/>
      <c r="E316" s="5" t="str">
        <f ca="1">IFERROR(__xludf.DUMMYFUNCTION("""COMPUTED_VALUE"""),"Parent")</f>
        <v>Parent</v>
      </c>
      <c r="F316" s="5" t="str">
        <f ca="1">IFERROR(__xludf.DUMMYFUNCTION("""COMPUTED_VALUE"""),"Fled/Apprehended")</f>
        <v>Fled/Apprehended</v>
      </c>
      <c r="G316" s="5" t="str">
        <f ca="1">IFERROR(__xludf.DUMMYFUNCTION("""COMPUTED_VALUE"""),"No")</f>
        <v>No</v>
      </c>
      <c r="H316" s="5" t="str">
        <f ca="1">IFERROR(__xludf.DUMMYFUNCTION("""COMPUTED_VALUE"""),"None")</f>
        <v>None</v>
      </c>
    </row>
    <row r="317" spans="1:8">
      <c r="A317" s="5" t="str">
        <f ca="1">IFERROR(__xludf.DUMMYFUNCTION("""COMPUTED_VALUE"""),"20210928MESOS")</f>
        <v>20210928MESOS</v>
      </c>
      <c r="B317" s="5"/>
      <c r="C317" s="5"/>
      <c r="D317" s="5"/>
      <c r="E317" s="5"/>
      <c r="F317" s="5" t="str">
        <f ca="1">IFERROR(__xludf.DUMMYFUNCTION("""COMPUTED_VALUE"""),"Fled/Escaped")</f>
        <v>Fled/Escaped</v>
      </c>
      <c r="G317" s="5" t="str">
        <f ca="1">IFERROR(__xludf.DUMMYFUNCTION("""COMPUTED_VALUE"""),"No")</f>
        <v>No</v>
      </c>
      <c r="H317" s="5" t="str">
        <f ca="1">IFERROR(__xludf.DUMMYFUNCTION("""COMPUTED_VALUE"""),"None")</f>
        <v>None</v>
      </c>
    </row>
    <row r="318" spans="1:8">
      <c r="A318" s="5" t="str">
        <f ca="1">IFERROR(__xludf.DUMMYFUNCTION("""COMPUTED_VALUE"""),"20210927ILCAC")</f>
        <v>20210927ILCAC</v>
      </c>
      <c r="B318" s="5" t="str">
        <f ca="1">IFERROR(__xludf.DUMMYFUNCTION("""COMPUTED_VALUE"""),"Child")</f>
        <v>Child</v>
      </c>
      <c r="C318" s="5"/>
      <c r="D318" s="5"/>
      <c r="E318" s="5" t="str">
        <f ca="1">IFERROR(__xludf.DUMMYFUNCTION("""COMPUTED_VALUE"""),"Student")</f>
        <v>Student</v>
      </c>
      <c r="F318" s="5" t="str">
        <f ca="1">IFERROR(__xludf.DUMMYFUNCTION("""COMPUTED_VALUE"""),"Apprehended/Killed by LE")</f>
        <v>Apprehended/Killed by LE</v>
      </c>
      <c r="G318" s="5" t="str">
        <f ca="1">IFERROR(__xludf.DUMMYFUNCTION("""COMPUTED_VALUE"""),"No")</f>
        <v>No</v>
      </c>
      <c r="H318" s="5" t="str">
        <f ca="1">IFERROR(__xludf.DUMMYFUNCTION("""COMPUTED_VALUE"""),"None")</f>
        <v>None</v>
      </c>
    </row>
    <row r="319" spans="1:8">
      <c r="A319" s="5" t="str">
        <f ca="1">IFERROR(__xludf.DUMMYFUNCTION("""COMPUTED_VALUE"""),"20210924VAESE")</f>
        <v>20210924VAESE</v>
      </c>
      <c r="B319" s="5"/>
      <c r="C319" s="5"/>
      <c r="D319" s="5"/>
      <c r="E319" s="5"/>
      <c r="F319" s="5" t="str">
        <f ca="1">IFERROR(__xludf.DUMMYFUNCTION("""COMPUTED_VALUE"""),"Fled/Escaped")</f>
        <v>Fled/Escaped</v>
      </c>
      <c r="G319" s="5" t="str">
        <f ca="1">IFERROR(__xludf.DUMMYFUNCTION("""COMPUTED_VALUE"""),"No")</f>
        <v>No</v>
      </c>
      <c r="H319" s="5" t="str">
        <f ca="1">IFERROR(__xludf.DUMMYFUNCTION("""COMPUTED_VALUE"""),"None")</f>
        <v>None</v>
      </c>
    </row>
    <row r="320" spans="1:8">
      <c r="A320" s="5" t="str">
        <f ca="1">IFERROR(__xludf.DUMMYFUNCTION("""COMPUTED_VALUE"""),"20210924TNSTS")</f>
        <v>20210924TNSTS</v>
      </c>
      <c r="B320" s="5">
        <f ca="1">IFERROR(__xludf.DUMMYFUNCTION("""COMPUTED_VALUE"""),18)</f>
        <v>18</v>
      </c>
      <c r="C320" s="5" t="str">
        <f ca="1">IFERROR(__xludf.DUMMYFUNCTION("""COMPUTED_VALUE"""),"Male")</f>
        <v>Male</v>
      </c>
      <c r="D320" s="5" t="str">
        <f ca="1">IFERROR(__xludf.DUMMYFUNCTION("""COMPUTED_VALUE"""),"Black")</f>
        <v>Black</v>
      </c>
      <c r="E320" s="5" t="str">
        <f ca="1">IFERROR(__xludf.DUMMYFUNCTION("""COMPUTED_VALUE"""),"Student")</f>
        <v>Student</v>
      </c>
      <c r="F320" s="5" t="str">
        <f ca="1">IFERROR(__xludf.DUMMYFUNCTION("""COMPUTED_VALUE"""),"Fled/Apprehended")</f>
        <v>Fled/Apprehended</v>
      </c>
      <c r="G320" s="5" t="str">
        <f ca="1">IFERROR(__xludf.DUMMYFUNCTION("""COMPUTED_VALUE"""),"No")</f>
        <v>No</v>
      </c>
      <c r="H320" s="5" t="str">
        <f ca="1">IFERROR(__xludf.DUMMYFUNCTION("""COMPUTED_VALUE"""),"None")</f>
        <v>None</v>
      </c>
    </row>
    <row r="321" spans="1:8">
      <c r="A321" s="5" t="str">
        <f ca="1">IFERROR(__xludf.DUMMYFUNCTION("""COMPUTED_VALUE"""),"20210924TNSTS")</f>
        <v>20210924TNSTS</v>
      </c>
      <c r="B321" s="5">
        <f ca="1">IFERROR(__xludf.DUMMYFUNCTION("""COMPUTED_VALUE"""),17)</f>
        <v>17</v>
      </c>
      <c r="C321" s="5" t="str">
        <f ca="1">IFERROR(__xludf.DUMMYFUNCTION("""COMPUTED_VALUE"""),"Male")</f>
        <v>Male</v>
      </c>
      <c r="D321" s="5" t="str">
        <f ca="1">IFERROR(__xludf.DUMMYFUNCTION("""COMPUTED_VALUE"""),"Black")</f>
        <v>Black</v>
      </c>
      <c r="E321" s="5" t="str">
        <f ca="1">IFERROR(__xludf.DUMMYFUNCTION("""COMPUTED_VALUE"""),"Student")</f>
        <v>Student</v>
      </c>
      <c r="F321" s="5" t="str">
        <f ca="1">IFERROR(__xludf.DUMMYFUNCTION("""COMPUTED_VALUE"""),"Fled/Apprehended")</f>
        <v>Fled/Apprehended</v>
      </c>
      <c r="G321" s="5" t="str">
        <f ca="1">IFERROR(__xludf.DUMMYFUNCTION("""COMPUTED_VALUE"""),"No")</f>
        <v>No</v>
      </c>
      <c r="H321" s="5" t="str">
        <f ca="1">IFERROR(__xludf.DUMMYFUNCTION("""COMPUTED_VALUE"""),"None")</f>
        <v>None</v>
      </c>
    </row>
    <row r="322" spans="1:8">
      <c r="A322" s="5" t="str">
        <f ca="1">IFERROR(__xludf.DUMMYFUNCTION("""COMPUTED_VALUE"""),"20210924MDWIB")</f>
        <v>20210924MDWIB</v>
      </c>
      <c r="B322" s="5"/>
      <c r="C322" s="5"/>
      <c r="D322" s="5"/>
      <c r="E322" s="5" t="str">
        <f ca="1">IFERROR(__xludf.DUMMYFUNCTION("""COMPUTED_VALUE"""),"No Relation")</f>
        <v>No Relation</v>
      </c>
      <c r="F322" s="5" t="str">
        <f ca="1">IFERROR(__xludf.DUMMYFUNCTION("""COMPUTED_VALUE"""),"Fled/Escaped")</f>
        <v>Fled/Escaped</v>
      </c>
      <c r="G322" s="5" t="str">
        <f ca="1">IFERROR(__xludf.DUMMYFUNCTION("""COMPUTED_VALUE"""),"No")</f>
        <v>No</v>
      </c>
      <c r="H322" s="5" t="str">
        <f ca="1">IFERROR(__xludf.DUMMYFUNCTION("""COMPUTED_VALUE"""),"None")</f>
        <v>None</v>
      </c>
    </row>
    <row r="323" spans="1:8">
      <c r="A323" s="5" t="str">
        <f ca="1">IFERROR(__xludf.DUMMYFUNCTION("""COMPUTED_VALUE"""),"20210924ALFAF")</f>
        <v>20210924ALFAF</v>
      </c>
      <c r="B323" s="5"/>
      <c r="C323" s="5"/>
      <c r="D323" s="5"/>
      <c r="E323" s="5"/>
      <c r="F323" s="5" t="str">
        <f ca="1">IFERROR(__xludf.DUMMYFUNCTION("""COMPUTED_VALUE"""),"Fled/Escaped")</f>
        <v>Fled/Escaped</v>
      </c>
      <c r="G323" s="5" t="str">
        <f ca="1">IFERROR(__xludf.DUMMYFUNCTION("""COMPUTED_VALUE"""),"No")</f>
        <v>No</v>
      </c>
      <c r="H323" s="5" t="str">
        <f ca="1">IFERROR(__xludf.DUMMYFUNCTION("""COMPUTED_VALUE"""),"None")</f>
        <v>None</v>
      </c>
    </row>
    <row r="324" spans="1:8">
      <c r="A324" s="5" t="str">
        <f ca="1">IFERROR(__xludf.DUMMYFUNCTION("""COMPUTED_VALUE"""),"20210923IDRIR")</f>
        <v>20210923IDRIR</v>
      </c>
      <c r="B324" s="5">
        <f ca="1">IFERROR(__xludf.DUMMYFUNCTION("""COMPUTED_VALUE"""),13)</f>
        <v>13</v>
      </c>
      <c r="C324" s="5" t="str">
        <f ca="1">IFERROR(__xludf.DUMMYFUNCTION("""COMPUTED_VALUE"""),"Female")</f>
        <v>Female</v>
      </c>
      <c r="D324" s="5"/>
      <c r="E324" s="5" t="str">
        <f ca="1">IFERROR(__xludf.DUMMYFUNCTION("""COMPUTED_VALUE"""),"Student")</f>
        <v>Student</v>
      </c>
      <c r="F324" s="5" t="str">
        <f ca="1">IFERROR(__xludf.DUMMYFUNCTION("""COMPUTED_VALUE"""),"Apprehended/Killed by SRO")</f>
        <v>Apprehended/Killed by SRO</v>
      </c>
      <c r="G324" s="5" t="str">
        <f ca="1">IFERROR(__xludf.DUMMYFUNCTION("""COMPUTED_VALUE"""),"No")</f>
        <v>No</v>
      </c>
      <c r="H324" s="5" t="str">
        <f ca="1">IFERROR(__xludf.DUMMYFUNCTION("""COMPUTED_VALUE"""),"None")</f>
        <v>None</v>
      </c>
    </row>
    <row r="325" spans="1:8">
      <c r="A325" s="5" t="str">
        <f ca="1">IFERROR(__xludf.DUMMYFUNCTION("""COMPUTED_VALUE"""),"20210922NYSOB")</f>
        <v>20210922NYSOB</v>
      </c>
      <c r="B325" s="5"/>
      <c r="C325" s="5"/>
      <c r="D325" s="5"/>
      <c r="E325" s="5"/>
      <c r="F325" s="5" t="str">
        <f ca="1">IFERROR(__xludf.DUMMYFUNCTION("""COMPUTED_VALUE"""),"Fled/Escaped")</f>
        <v>Fled/Escaped</v>
      </c>
      <c r="G325" s="5" t="str">
        <f ca="1">IFERROR(__xludf.DUMMYFUNCTION("""COMPUTED_VALUE"""),"No")</f>
        <v>No</v>
      </c>
      <c r="H325" s="5" t="str">
        <f ca="1">IFERROR(__xludf.DUMMYFUNCTION("""COMPUTED_VALUE"""),"None")</f>
        <v>None</v>
      </c>
    </row>
    <row r="326" spans="1:8">
      <c r="A326" s="5" t="str">
        <f ca="1">IFERROR(__xludf.DUMMYFUNCTION("""COMPUTED_VALUE"""),"20210922CTLIN")</f>
        <v>20210922CTLIN</v>
      </c>
      <c r="B326" s="5"/>
      <c r="C326" s="5"/>
      <c r="D326" s="5"/>
      <c r="E326" s="5" t="str">
        <f ca="1">IFERROR(__xludf.DUMMYFUNCTION("""COMPUTED_VALUE"""),"No Relation")</f>
        <v>No Relation</v>
      </c>
      <c r="F326" s="5" t="str">
        <f ca="1">IFERROR(__xludf.DUMMYFUNCTION("""COMPUTED_VALUE"""),"Fled/Escaped")</f>
        <v>Fled/Escaped</v>
      </c>
      <c r="G326" s="5" t="str">
        <f ca="1">IFERROR(__xludf.DUMMYFUNCTION("""COMPUTED_VALUE"""),"No")</f>
        <v>No</v>
      </c>
      <c r="H326" s="5" t="str">
        <f ca="1">IFERROR(__xludf.DUMMYFUNCTION("""COMPUTED_VALUE"""),"None")</f>
        <v>None</v>
      </c>
    </row>
    <row r="327" spans="1:8">
      <c r="A327" s="5" t="str">
        <f ca="1">IFERROR(__xludf.DUMMYFUNCTION("""COMPUTED_VALUE"""),"20210921PAVAP")</f>
        <v>20210921PAVAP</v>
      </c>
      <c r="B327" s="5"/>
      <c r="C327" s="5"/>
      <c r="D327" s="5"/>
      <c r="E327" s="5"/>
      <c r="F327" s="5" t="str">
        <f ca="1">IFERROR(__xludf.DUMMYFUNCTION("""COMPUTED_VALUE"""),"Fled/Escaped")</f>
        <v>Fled/Escaped</v>
      </c>
      <c r="G327" s="5" t="str">
        <f ca="1">IFERROR(__xludf.DUMMYFUNCTION("""COMPUTED_VALUE"""),"No")</f>
        <v>No</v>
      </c>
      <c r="H327" s="5" t="str">
        <f ca="1">IFERROR(__xludf.DUMMYFUNCTION("""COMPUTED_VALUE"""),"None")</f>
        <v>None</v>
      </c>
    </row>
    <row r="328" spans="1:8">
      <c r="A328" s="5" t="str">
        <f ca="1">IFERROR(__xludf.DUMMYFUNCTION("""COMPUTED_VALUE"""),"20210921OHMIM")</f>
        <v>20210921OHMIM</v>
      </c>
      <c r="B328" s="5"/>
      <c r="C328" s="5"/>
      <c r="D328" s="5"/>
      <c r="E328" s="5"/>
      <c r="F328" s="5" t="str">
        <f ca="1">IFERROR(__xludf.DUMMYFUNCTION("""COMPUTED_VALUE"""),"Fled/Escaped")</f>
        <v>Fled/Escaped</v>
      </c>
      <c r="G328" s="5" t="str">
        <f ca="1">IFERROR(__xludf.DUMMYFUNCTION("""COMPUTED_VALUE"""),"No")</f>
        <v>No</v>
      </c>
      <c r="H328" s="5" t="str">
        <f ca="1">IFERROR(__xludf.DUMMYFUNCTION("""COMPUTED_VALUE"""),"None")</f>
        <v>None</v>
      </c>
    </row>
    <row r="329" spans="1:8">
      <c r="A329" s="5" t="str">
        <f ca="1">IFERROR(__xludf.DUMMYFUNCTION("""COMPUTED_VALUE"""),"20210921KSEAW")</f>
        <v>20210921KSEAW</v>
      </c>
      <c r="B329" s="5">
        <f ca="1">IFERROR(__xludf.DUMMYFUNCTION("""COMPUTED_VALUE"""),17)</f>
        <v>17</v>
      </c>
      <c r="C329" s="5" t="str">
        <f ca="1">IFERROR(__xludf.DUMMYFUNCTION("""COMPUTED_VALUE"""),"Male")</f>
        <v>Male</v>
      </c>
      <c r="D329" s="5"/>
      <c r="E329" s="5" t="str">
        <f ca="1">IFERROR(__xludf.DUMMYFUNCTION("""COMPUTED_VALUE"""),"Student")</f>
        <v>Student</v>
      </c>
      <c r="F329" s="5" t="str">
        <f ca="1">IFERROR(__xludf.DUMMYFUNCTION("""COMPUTED_VALUE"""),"Fled/Apprehended")</f>
        <v>Fled/Apprehended</v>
      </c>
      <c r="G329" s="5" t="str">
        <f ca="1">IFERROR(__xludf.DUMMYFUNCTION("""COMPUTED_VALUE"""),"No")</f>
        <v>No</v>
      </c>
      <c r="H329" s="5" t="str">
        <f ca="1">IFERROR(__xludf.DUMMYFUNCTION("""COMPUTED_VALUE"""),"None")</f>
        <v>None</v>
      </c>
    </row>
    <row r="330" spans="1:8">
      <c r="A330" s="5" t="str">
        <f ca="1">IFERROR(__xludf.DUMMYFUNCTION("""COMPUTED_VALUE"""),"20210921GAFRA")</f>
        <v>20210921GAFRA</v>
      </c>
      <c r="B330" s="5" t="str">
        <f ca="1">IFERROR(__xludf.DUMMYFUNCTION("""COMPUTED_VALUE"""),"Adult")</f>
        <v>Adult</v>
      </c>
      <c r="C330" s="5"/>
      <c r="D330" s="5"/>
      <c r="E330" s="5" t="str">
        <f ca="1">IFERROR(__xludf.DUMMYFUNCTION("""COMPUTED_VALUE"""),"Parent")</f>
        <v>Parent</v>
      </c>
      <c r="F330" s="5" t="str">
        <f ca="1">IFERROR(__xludf.DUMMYFUNCTION("""COMPUTED_VALUE"""),"Fled/Escaped")</f>
        <v>Fled/Escaped</v>
      </c>
      <c r="G330" s="5" t="str">
        <f ca="1">IFERROR(__xludf.DUMMYFUNCTION("""COMPUTED_VALUE"""),"No")</f>
        <v>No</v>
      </c>
      <c r="H330" s="5" t="str">
        <f ca="1">IFERROR(__xludf.DUMMYFUNCTION("""COMPUTED_VALUE"""),"None")</f>
        <v>None</v>
      </c>
    </row>
    <row r="331" spans="1:8">
      <c r="A331" s="5" t="str">
        <f ca="1">IFERROR(__xludf.DUMMYFUNCTION("""COMPUTED_VALUE"""),"20210921FLLAL")</f>
        <v>20210921FLLAL</v>
      </c>
      <c r="B331" s="5" t="str">
        <f ca="1">IFERROR(__xludf.DUMMYFUNCTION("""COMPUTED_VALUE"""),"Minor")</f>
        <v>Minor</v>
      </c>
      <c r="C331" s="5"/>
      <c r="D331" s="5"/>
      <c r="E331" s="5"/>
      <c r="F331" s="5" t="str">
        <f ca="1">IFERROR(__xludf.DUMMYFUNCTION("""COMPUTED_VALUE"""),"Fled/Apprehended")</f>
        <v>Fled/Apprehended</v>
      </c>
      <c r="G331" s="5" t="str">
        <f ca="1">IFERROR(__xludf.DUMMYFUNCTION("""COMPUTED_VALUE"""),"No")</f>
        <v>No</v>
      </c>
      <c r="H331" s="5" t="str">
        <f ca="1">IFERROR(__xludf.DUMMYFUNCTION("""COMPUTED_VALUE"""),"None")</f>
        <v>None</v>
      </c>
    </row>
    <row r="332" spans="1:8">
      <c r="A332" s="5" t="str">
        <f ca="1">IFERROR(__xludf.DUMMYFUNCTION("""COMPUTED_VALUE"""),"20210920VAHEN")</f>
        <v>20210920VAHEN</v>
      </c>
      <c r="B332" s="5">
        <f ca="1">IFERROR(__xludf.DUMMYFUNCTION("""COMPUTED_VALUE"""),15)</f>
        <v>15</v>
      </c>
      <c r="C332" s="5" t="str">
        <f ca="1">IFERROR(__xludf.DUMMYFUNCTION("""COMPUTED_VALUE"""),"Male")</f>
        <v>Male</v>
      </c>
      <c r="D332" s="5"/>
      <c r="E332" s="5" t="str">
        <f ca="1">IFERROR(__xludf.DUMMYFUNCTION("""COMPUTED_VALUE"""),"Student")</f>
        <v>Student</v>
      </c>
      <c r="F332" s="5" t="str">
        <f ca="1">IFERROR(__xludf.DUMMYFUNCTION("""COMPUTED_VALUE"""),"Fled/Apprehended")</f>
        <v>Fled/Apprehended</v>
      </c>
      <c r="G332" s="5" t="str">
        <f ca="1">IFERROR(__xludf.DUMMYFUNCTION("""COMPUTED_VALUE"""),"No")</f>
        <v>No</v>
      </c>
      <c r="H332" s="5" t="str">
        <f ca="1">IFERROR(__xludf.DUMMYFUNCTION("""COMPUTED_VALUE"""),"None")</f>
        <v>None</v>
      </c>
    </row>
    <row r="333" spans="1:8">
      <c r="A333" s="5" t="str">
        <f ca="1">IFERROR(__xludf.DUMMYFUNCTION("""COMPUTED_VALUE"""),"20210920OHEAC")</f>
        <v>20210920OHEAC</v>
      </c>
      <c r="B333" s="5"/>
      <c r="C333" s="5" t="str">
        <f ca="1">IFERROR(__xludf.DUMMYFUNCTION("""COMPUTED_VALUE"""),"Male")</f>
        <v>Male</v>
      </c>
      <c r="D333" s="5"/>
      <c r="E333" s="5" t="str">
        <f ca="1">IFERROR(__xludf.DUMMYFUNCTION("""COMPUTED_VALUE"""),"No Relation")</f>
        <v>No Relation</v>
      </c>
      <c r="F333" s="5" t="str">
        <f ca="1">IFERROR(__xludf.DUMMYFUNCTION("""COMPUTED_VALUE"""),"Fled/Escaped")</f>
        <v>Fled/Escaped</v>
      </c>
      <c r="G333" s="5" t="str">
        <f ca="1">IFERROR(__xludf.DUMMYFUNCTION("""COMPUTED_VALUE"""),"No")</f>
        <v>No</v>
      </c>
      <c r="H333" s="5" t="str">
        <f ca="1">IFERROR(__xludf.DUMMYFUNCTION("""COMPUTED_VALUE"""),"None")</f>
        <v>None</v>
      </c>
    </row>
    <row r="334" spans="1:8">
      <c r="A334" s="5" t="str">
        <f ca="1">IFERROR(__xludf.DUMMYFUNCTION("""COMPUTED_VALUE"""),"20210920OHEAC")</f>
        <v>20210920OHEAC</v>
      </c>
      <c r="B334" s="5"/>
      <c r="C334" s="5" t="str">
        <f ca="1">IFERROR(__xludf.DUMMYFUNCTION("""COMPUTED_VALUE"""),"Male")</f>
        <v>Male</v>
      </c>
      <c r="D334" s="5"/>
      <c r="E334" s="5" t="str">
        <f ca="1">IFERROR(__xludf.DUMMYFUNCTION("""COMPUTED_VALUE"""),"No Relation")</f>
        <v>No Relation</v>
      </c>
      <c r="F334" s="5" t="str">
        <f ca="1">IFERROR(__xludf.DUMMYFUNCTION("""COMPUTED_VALUE"""),"Fled/Escaped")</f>
        <v>Fled/Escaped</v>
      </c>
      <c r="G334" s="5" t="str">
        <f ca="1">IFERROR(__xludf.DUMMYFUNCTION("""COMPUTED_VALUE"""),"No")</f>
        <v>No</v>
      </c>
      <c r="H334" s="5" t="str">
        <f ca="1">IFERROR(__xludf.DUMMYFUNCTION("""COMPUTED_VALUE"""),"None")</f>
        <v>None</v>
      </c>
    </row>
    <row r="335" spans="1:8">
      <c r="A335" s="5" t="str">
        <f ca="1">IFERROR(__xludf.DUMMYFUNCTION("""COMPUTED_VALUE"""),"20210918COWIC")</f>
        <v>20210918COWIC</v>
      </c>
      <c r="B335" s="5"/>
      <c r="C335" s="5"/>
      <c r="D335" s="5"/>
      <c r="E335" s="5"/>
      <c r="F335" s="5" t="str">
        <f ca="1">IFERROR(__xludf.DUMMYFUNCTION("""COMPUTED_VALUE"""),"Fled/Escaped")</f>
        <v>Fled/Escaped</v>
      </c>
      <c r="G335" s="5" t="str">
        <f ca="1">IFERROR(__xludf.DUMMYFUNCTION("""COMPUTED_VALUE"""),"No")</f>
        <v>No</v>
      </c>
      <c r="H335" s="5" t="str">
        <f ca="1">IFERROR(__xludf.DUMMYFUNCTION("""COMPUTED_VALUE"""),"None")</f>
        <v>None</v>
      </c>
    </row>
    <row r="336" spans="1:8">
      <c r="A336" s="5" t="str">
        <f ca="1">IFERROR(__xludf.DUMMYFUNCTION("""COMPUTED_VALUE"""),"20210917VAHEH")</f>
        <v>20210917VAHEH</v>
      </c>
      <c r="B336" s="5"/>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c r="A337" s="5" t="str">
        <f ca="1">IFERROR(__xludf.DUMMYFUNCTION("""COMPUTED_VALUE"""),"20210917TNAUK")</f>
        <v>20210917TNAUK</v>
      </c>
      <c r="B337" s="5"/>
      <c r="C337" s="5"/>
      <c r="D337" s="5"/>
      <c r="E337" s="5"/>
      <c r="F337" s="5" t="str">
        <f ca="1">IFERROR(__xludf.DUMMYFUNCTION("""COMPUTED_VALUE"""),"Fled/Escaped")</f>
        <v>Fled/Escaped</v>
      </c>
      <c r="G337" s="5" t="str">
        <f ca="1">IFERROR(__xludf.DUMMYFUNCTION("""COMPUTED_VALUE"""),"No")</f>
        <v>No</v>
      </c>
      <c r="H337" s="5" t="str">
        <f ca="1">IFERROR(__xludf.DUMMYFUNCTION("""COMPUTED_VALUE"""),"None")</f>
        <v>None</v>
      </c>
    </row>
    <row r="338" spans="1:8">
      <c r="A338" s="5" t="str">
        <f ca="1">IFERROR(__xludf.DUMMYFUNCTION("""COMPUTED_VALUE"""),"20210917PAWEP")</f>
        <v>20210917PAWEP</v>
      </c>
      <c r="B338" s="5" t="str">
        <f ca="1">IFERROR(__xludf.DUMMYFUNCTION("""COMPUTED_VALUE"""),"Teen")</f>
        <v>Teen</v>
      </c>
      <c r="C338" s="5"/>
      <c r="D338" s="5"/>
      <c r="E338" s="5"/>
      <c r="F338" s="5" t="str">
        <f ca="1">IFERROR(__xludf.DUMMYFUNCTION("""COMPUTED_VALUE"""),"Fled/Escaped")</f>
        <v>Fled/Escaped</v>
      </c>
      <c r="G338" s="5" t="str">
        <f ca="1">IFERROR(__xludf.DUMMYFUNCTION("""COMPUTED_VALUE"""),"No")</f>
        <v>No</v>
      </c>
      <c r="H338" s="5" t="str">
        <f ca="1">IFERROR(__xludf.DUMMYFUNCTION("""COMPUTED_VALUE"""),"None")</f>
        <v>None</v>
      </c>
    </row>
    <row r="339" spans="1:8">
      <c r="A339" s="5" t="str">
        <f ca="1">IFERROR(__xludf.DUMMYFUNCTION("""COMPUTED_VALUE"""),"20210917NCPAW")</f>
        <v>20210917NCPAW</v>
      </c>
      <c r="B339" s="5" t="str">
        <f ca="1">IFERROR(__xludf.DUMMYFUNCTION("""COMPUTED_VALUE"""),"Teen")</f>
        <v>Teen</v>
      </c>
      <c r="C339" s="5" t="str">
        <f ca="1">IFERROR(__xludf.DUMMYFUNCTION("""COMPUTED_VALUE"""),"Male")</f>
        <v>Male</v>
      </c>
      <c r="D339" s="5"/>
      <c r="E339" s="5"/>
      <c r="F339" s="5" t="str">
        <f ca="1">IFERROR(__xludf.DUMMYFUNCTION("""COMPUTED_VALUE"""),"Fled/Escaped")</f>
        <v>Fled/Escaped</v>
      </c>
      <c r="G339" s="5" t="str">
        <f ca="1">IFERROR(__xludf.DUMMYFUNCTION("""COMPUTED_VALUE"""),"No")</f>
        <v>No</v>
      </c>
      <c r="H339" s="5" t="str">
        <f ca="1">IFERROR(__xludf.DUMMYFUNCTION("""COMPUTED_VALUE"""),"None")</f>
        <v>None</v>
      </c>
    </row>
    <row r="340" spans="1:8">
      <c r="A340" s="5" t="str">
        <f ca="1">IFERROR(__xludf.DUMMYFUNCTION("""COMPUTED_VALUE"""),"20210917GASWS")</f>
        <v>20210917GASWS</v>
      </c>
      <c r="B340" s="5"/>
      <c r="C340" s="5"/>
      <c r="D340" s="5"/>
      <c r="E340" s="5"/>
      <c r="F340" s="5" t="str">
        <f ca="1">IFERROR(__xludf.DUMMYFUNCTION("""COMPUTED_VALUE"""),"Fled/Escaped")</f>
        <v>Fled/Escaped</v>
      </c>
      <c r="G340" s="5" t="str">
        <f ca="1">IFERROR(__xludf.DUMMYFUNCTION("""COMPUTED_VALUE"""),"No")</f>
        <v>No</v>
      </c>
      <c r="H340" s="5" t="str">
        <f ca="1">IFERROR(__xludf.DUMMYFUNCTION("""COMPUTED_VALUE"""),"None")</f>
        <v>None</v>
      </c>
    </row>
    <row r="341" spans="1:8">
      <c r="A341" s="5" t="str">
        <f ca="1">IFERROR(__xludf.DUMMYFUNCTION("""COMPUTED_VALUE"""),"20210916WIORM")</f>
        <v>20210916WIORM</v>
      </c>
      <c r="B341" s="5" t="str">
        <f ca="1">IFERROR(__xludf.DUMMYFUNCTION("""COMPUTED_VALUE"""),"Adult")</f>
        <v>Adult</v>
      </c>
      <c r="C341" s="5" t="str">
        <f ca="1">IFERROR(__xludf.DUMMYFUNCTION("""COMPUTED_VALUE"""),"Male")</f>
        <v>Male</v>
      </c>
      <c r="D341" s="5"/>
      <c r="E341" s="5" t="str">
        <f ca="1">IFERROR(__xludf.DUMMYFUNCTION("""COMPUTED_VALUE"""),"No Relation")</f>
        <v>No Relation</v>
      </c>
      <c r="F341" s="5" t="str">
        <f ca="1">IFERROR(__xludf.DUMMYFUNCTION("""COMPUTED_VALUE"""),"Fled/Escaped")</f>
        <v>Fled/Escaped</v>
      </c>
      <c r="G341" s="5" t="str">
        <f ca="1">IFERROR(__xludf.DUMMYFUNCTION("""COMPUTED_VALUE"""),"No")</f>
        <v>No</v>
      </c>
      <c r="H341" s="5" t="str">
        <f ca="1">IFERROR(__xludf.DUMMYFUNCTION("""COMPUTED_VALUE"""),"None")</f>
        <v>None</v>
      </c>
    </row>
    <row r="342" spans="1:8">
      <c r="A342" s="5" t="str">
        <f ca="1">IFERROR(__xludf.DUMMYFUNCTION("""COMPUTED_VALUE"""),"20210916UTPRP")</f>
        <v>20210916UTPRP</v>
      </c>
      <c r="B342" s="5" t="str">
        <f ca="1">IFERROR(__xludf.DUMMYFUNCTION("""COMPUTED_VALUE"""),"Teen")</f>
        <v>Teen</v>
      </c>
      <c r="C342" s="5" t="str">
        <f ca="1">IFERROR(__xludf.DUMMYFUNCTION("""COMPUTED_VALUE"""),"Male")</f>
        <v>Male</v>
      </c>
      <c r="D342" s="5"/>
      <c r="E342" s="5" t="str">
        <f ca="1">IFERROR(__xludf.DUMMYFUNCTION("""COMPUTED_VALUE"""),"Student")</f>
        <v>Student</v>
      </c>
      <c r="F342" s="5" t="str">
        <f ca="1">IFERROR(__xludf.DUMMYFUNCTION("""COMPUTED_VALUE"""),"Apprehended/Killed by LE")</f>
        <v>Apprehended/Killed by LE</v>
      </c>
      <c r="G342" s="5" t="str">
        <f ca="1">IFERROR(__xludf.DUMMYFUNCTION("""COMPUTED_VALUE"""),"No")</f>
        <v>No</v>
      </c>
      <c r="H342" s="5" t="str">
        <f ca="1">IFERROR(__xludf.DUMMYFUNCTION("""COMPUTED_VALUE"""),"None")</f>
        <v>None</v>
      </c>
    </row>
    <row r="343" spans="1:8">
      <c r="A343" s="5" t="str">
        <f ca="1">IFERROR(__xludf.DUMMYFUNCTION("""COMPUTED_VALUE"""),"20210916OHBEC")</f>
        <v>20210916OHBEC</v>
      </c>
      <c r="B343" s="5"/>
      <c r="C343" s="5"/>
      <c r="D343" s="5"/>
      <c r="E343" s="5"/>
      <c r="F343" s="5" t="str">
        <f ca="1">IFERROR(__xludf.DUMMYFUNCTION("""COMPUTED_VALUE"""),"Fled/Escaped")</f>
        <v>Fled/Escaped</v>
      </c>
      <c r="G343" s="5" t="str">
        <f ca="1">IFERROR(__xludf.DUMMYFUNCTION("""COMPUTED_VALUE"""),"No")</f>
        <v>No</v>
      </c>
      <c r="H343" s="5" t="str">
        <f ca="1">IFERROR(__xludf.DUMMYFUNCTION("""COMPUTED_VALUE"""),"None")</f>
        <v>None</v>
      </c>
    </row>
    <row r="344" spans="1:8">
      <c r="A344" s="5" t="str">
        <f ca="1">IFERROR(__xludf.DUMMYFUNCTION("""COMPUTED_VALUE"""),"20210915VASPS")</f>
        <v>20210915VASPS</v>
      </c>
      <c r="B344" s="5" t="str">
        <f ca="1">IFERROR(__xludf.DUMMYFUNCTION("""COMPUTED_VALUE"""),"Child")</f>
        <v>Child</v>
      </c>
      <c r="C344" s="5"/>
      <c r="D344" s="5"/>
      <c r="E344" s="5" t="str">
        <f ca="1">IFERROR(__xludf.DUMMYFUNCTION("""COMPUTED_VALUE"""),"Student")</f>
        <v>Student</v>
      </c>
      <c r="F344" s="5" t="str">
        <f ca="1">IFERROR(__xludf.DUMMYFUNCTION("""COMPUTED_VALUE"""),"Apprehended/Killed by LE")</f>
        <v>Apprehended/Killed by LE</v>
      </c>
      <c r="G344" s="5" t="str">
        <f ca="1">IFERROR(__xludf.DUMMYFUNCTION("""COMPUTED_VALUE"""),"No")</f>
        <v>No</v>
      </c>
      <c r="H344" s="5" t="str">
        <f ca="1">IFERROR(__xludf.DUMMYFUNCTION("""COMPUTED_VALUE"""),"None")</f>
        <v>None</v>
      </c>
    </row>
    <row r="345" spans="1:8">
      <c r="A345" s="5" t="str">
        <f ca="1">IFERROR(__xludf.DUMMYFUNCTION("""COMPUTED_VALUE"""),"20210915KYMAL")</f>
        <v>20210915KYMAL</v>
      </c>
      <c r="B345" s="5" t="str">
        <f ca="1">IFERROR(__xludf.DUMMYFUNCTION("""COMPUTED_VALUE"""),"Adult")</f>
        <v>Adult</v>
      </c>
      <c r="C345" s="5"/>
      <c r="D345" s="5"/>
      <c r="E345" s="5" t="str">
        <f ca="1">IFERROR(__xludf.DUMMYFUNCTION("""COMPUTED_VALUE"""),"No Relation")</f>
        <v>No Relation</v>
      </c>
      <c r="F345" s="5" t="str">
        <f ca="1">IFERROR(__xludf.DUMMYFUNCTION("""COMPUTED_VALUE"""),"Fled/Escaped")</f>
        <v>Fled/Escaped</v>
      </c>
      <c r="G345" s="5" t="str">
        <f ca="1">IFERROR(__xludf.DUMMYFUNCTION("""COMPUTED_VALUE"""),"No")</f>
        <v>No</v>
      </c>
      <c r="H345" s="5" t="str">
        <f ca="1">IFERROR(__xludf.DUMMYFUNCTION("""COMPUTED_VALUE"""),"None")</f>
        <v>None</v>
      </c>
    </row>
    <row r="346" spans="1:8">
      <c r="A346" s="5" t="str">
        <f ca="1">IFERROR(__xludf.DUMMYFUNCTION("""COMPUTED_VALUE"""),"20210915ILCEC")</f>
        <v>20210915ILCEC</v>
      </c>
      <c r="B346" s="5">
        <f ca="1">IFERROR(__xludf.DUMMYFUNCTION("""COMPUTED_VALUE"""),15)</f>
        <v>15</v>
      </c>
      <c r="C346" s="5" t="str">
        <f ca="1">IFERROR(__xludf.DUMMYFUNCTION("""COMPUTED_VALUE"""),"Male")</f>
        <v>Male</v>
      </c>
      <c r="D346" s="5" t="str">
        <f ca="1">IFERROR(__xludf.DUMMYFUNCTION("""COMPUTED_VALUE"""),"Black")</f>
        <v>Black</v>
      </c>
      <c r="E346" s="5" t="str">
        <f ca="1">IFERROR(__xludf.DUMMYFUNCTION("""COMPUTED_VALUE"""),"Student")</f>
        <v>Student</v>
      </c>
      <c r="F346" s="5" t="str">
        <f ca="1">IFERROR(__xludf.DUMMYFUNCTION("""COMPUTED_VALUE"""),"Fled/Apprehended")</f>
        <v>Fled/Apprehended</v>
      </c>
      <c r="G346" s="5" t="str">
        <f ca="1">IFERROR(__xludf.DUMMYFUNCTION("""COMPUTED_VALUE"""),"No")</f>
        <v>No</v>
      </c>
      <c r="H346" s="5" t="str">
        <f ca="1">IFERROR(__xludf.DUMMYFUNCTION("""COMPUTED_VALUE"""),"None")</f>
        <v>None</v>
      </c>
    </row>
    <row r="347" spans="1:8">
      <c r="A347" s="5" t="str">
        <f ca="1">IFERROR(__xludf.DUMMYFUNCTION("""COMPUTED_VALUE"""),"20210915ILCEC")</f>
        <v>20210915ILCEC</v>
      </c>
      <c r="B347" s="5">
        <f ca="1">IFERROR(__xludf.DUMMYFUNCTION("""COMPUTED_VALUE"""),17)</f>
        <v>17</v>
      </c>
      <c r="C347" s="5" t="str">
        <f ca="1">IFERROR(__xludf.DUMMYFUNCTION("""COMPUTED_VALUE"""),"Male")</f>
        <v>Male</v>
      </c>
      <c r="D347" s="5"/>
      <c r="E347" s="5" t="str">
        <f ca="1">IFERROR(__xludf.DUMMYFUNCTION("""COMPUTED_VALUE"""),"Student")</f>
        <v>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c r="A348" s="5" t="str">
        <f ca="1">IFERROR(__xludf.DUMMYFUNCTION("""COMPUTED_VALUE"""),"20210914TNLAL")</f>
        <v>20210914TNLAL</v>
      </c>
      <c r="B348" s="5">
        <f ca="1">IFERROR(__xludf.DUMMYFUNCTION("""COMPUTED_VALUE"""),15)</f>
        <v>15</v>
      </c>
      <c r="C348" s="5" t="str">
        <f ca="1">IFERROR(__xludf.DUMMYFUNCTION("""COMPUTED_VALUE"""),"Male")</f>
        <v>Male</v>
      </c>
      <c r="D348" s="5"/>
      <c r="E348" s="5" t="str">
        <f ca="1">IFERROR(__xludf.DUMMYFUNCTION("""COMPUTED_VALUE"""),"Student")</f>
        <v>Student</v>
      </c>
      <c r="F348" s="5" t="str">
        <f ca="1">IFERROR(__xludf.DUMMYFUNCTION("""COMPUTED_VALUE"""),"Fled/Apprehended")</f>
        <v>Fled/Apprehended</v>
      </c>
      <c r="G348" s="5" t="str">
        <f ca="1">IFERROR(__xludf.DUMMYFUNCTION("""COMPUTED_VALUE"""),"No")</f>
        <v>No</v>
      </c>
      <c r="H348" s="5" t="str">
        <f ca="1">IFERROR(__xludf.DUMMYFUNCTION("""COMPUTED_VALUE"""),"None")</f>
        <v>None</v>
      </c>
    </row>
    <row r="349" spans="1:8">
      <c r="A349" s="5" t="str">
        <f ca="1">IFERROR(__xludf.DUMMYFUNCTION("""COMPUTED_VALUE"""),"20210914MOMCH")</f>
        <v>20210914MOMCH</v>
      </c>
      <c r="B349" s="5" t="str">
        <f ca="1">IFERROR(__xludf.DUMMYFUNCTION("""COMPUTED_VALUE"""),"Adult")</f>
        <v>Adult</v>
      </c>
      <c r="C349" s="5" t="str">
        <f ca="1">IFERROR(__xludf.DUMMYFUNCTION("""COMPUTED_VALUE"""),"Female")</f>
        <v>Female</v>
      </c>
      <c r="D349" s="5"/>
      <c r="E349" s="5" t="str">
        <f ca="1">IFERROR(__xludf.DUMMYFUNCTION("""COMPUTED_VALUE"""),"Parent")</f>
        <v>Parent</v>
      </c>
      <c r="F349" s="5" t="str">
        <f ca="1">IFERROR(__xludf.DUMMYFUNCTION("""COMPUTED_VALUE"""),"Fled/Escaped")</f>
        <v>Fled/Escaped</v>
      </c>
      <c r="G349" s="5" t="str">
        <f ca="1">IFERROR(__xludf.DUMMYFUNCTION("""COMPUTED_VALUE"""),"No")</f>
        <v>No</v>
      </c>
      <c r="H349" s="5" t="str">
        <f ca="1">IFERROR(__xludf.DUMMYFUNCTION("""COMPUTED_VALUE"""),"None")</f>
        <v>None</v>
      </c>
    </row>
    <row r="350" spans="1:8">
      <c r="A350" s="5" t="str">
        <f ca="1">IFERROR(__xludf.DUMMYFUNCTION("""COMPUTED_VALUE"""),"20210914MOMCH")</f>
        <v>20210914MOMCH</v>
      </c>
      <c r="B350" s="5" t="str">
        <f ca="1">IFERROR(__xludf.DUMMYFUNCTION("""COMPUTED_VALUE"""),"Adult")</f>
        <v>Adult</v>
      </c>
      <c r="C350" s="5" t="str">
        <f ca="1">IFERROR(__xludf.DUMMYFUNCTION("""COMPUTED_VALUE"""),"Female")</f>
        <v>Female</v>
      </c>
      <c r="D350" s="5"/>
      <c r="E350" s="5" t="str">
        <f ca="1">IFERROR(__xludf.DUMMYFUNCTION("""COMPUTED_VALUE"""),"Parent")</f>
        <v>Parent</v>
      </c>
      <c r="F350" s="5" t="str">
        <f ca="1">IFERROR(__xludf.DUMMYFUNCTION("""COMPUTED_VALUE"""),"Fled/Escaped")</f>
        <v>Fled/Escaped</v>
      </c>
      <c r="G350" s="5" t="str">
        <f ca="1">IFERROR(__xludf.DUMMYFUNCTION("""COMPUTED_VALUE"""),"No")</f>
        <v>No</v>
      </c>
      <c r="H350" s="5" t="str">
        <f ca="1">IFERROR(__xludf.DUMMYFUNCTION("""COMPUTED_VALUE"""),"None")</f>
        <v>None</v>
      </c>
    </row>
    <row r="351" spans="1:8">
      <c r="A351" s="5" t="str">
        <f ca="1">IFERROR(__xludf.DUMMYFUNCTION("""COMPUTED_VALUE"""),"20210913SCEDC")</f>
        <v>20210913SCEDC</v>
      </c>
      <c r="B351" s="5">
        <f ca="1">IFERROR(__xludf.DUMMYFUNCTION("""COMPUTED_VALUE"""),54)</f>
        <v>54</v>
      </c>
      <c r="C351" s="5" t="str">
        <f ca="1">IFERROR(__xludf.DUMMYFUNCTION("""COMPUTED_VALUE"""),"Female")</f>
        <v>Female</v>
      </c>
      <c r="D351" s="5" t="str">
        <f ca="1">IFERROR(__xludf.DUMMYFUNCTION("""COMPUTED_VALUE"""),"Black")</f>
        <v>Black</v>
      </c>
      <c r="E351" s="5" t="str">
        <f ca="1">IFERROR(__xludf.DUMMYFUNCTION("""COMPUTED_VALUE"""),"Relative")</f>
        <v>Relative</v>
      </c>
      <c r="F351" s="5" t="str">
        <f ca="1">IFERROR(__xludf.DUMMYFUNCTION("""COMPUTED_VALUE"""),"Fled/Apprehended")</f>
        <v>Fled/Apprehended</v>
      </c>
      <c r="G351" s="5" t="str">
        <f ca="1">IFERROR(__xludf.DUMMYFUNCTION("""COMPUTED_VALUE"""),"No")</f>
        <v>No</v>
      </c>
      <c r="H351" s="5" t="str">
        <f ca="1">IFERROR(__xludf.DUMMYFUNCTION("""COMPUTED_VALUE"""),"None")</f>
        <v>None</v>
      </c>
    </row>
    <row r="352" spans="1:8">
      <c r="A352" s="5" t="str">
        <f ca="1">IFERROR(__xludf.DUMMYFUNCTION("""COMPUTED_VALUE"""),"20210910CONOA")</f>
        <v>20210910CONOA</v>
      </c>
      <c r="B352" s="5"/>
      <c r="C352" s="5" t="str">
        <f ca="1">IFERROR(__xludf.DUMMYFUNCTION("""COMPUTED_VALUE"""),"Male")</f>
        <v>Male</v>
      </c>
      <c r="D352" s="5"/>
      <c r="E352" s="5" t="str">
        <f ca="1">IFERROR(__xludf.DUMMYFUNCTION("""COMPUTED_VALUE"""),"Nonstudent Using Athletic Facilities/Attending Game")</f>
        <v>Nonstudent Using Athletic Facilities/Attending Game</v>
      </c>
      <c r="F352" s="5" t="str">
        <f ca="1">IFERROR(__xludf.DUMMYFUNCTION("""COMPUTED_VALUE"""),"Fled/Escaped")</f>
        <v>Fled/Escaped</v>
      </c>
      <c r="G352" s="5" t="str">
        <f ca="1">IFERROR(__xludf.DUMMYFUNCTION("""COMPUTED_VALUE"""),"No")</f>
        <v>No</v>
      </c>
      <c r="H352" s="5" t="str">
        <f ca="1">IFERROR(__xludf.DUMMYFUNCTION("""COMPUTED_VALUE"""),"None")</f>
        <v>None</v>
      </c>
    </row>
    <row r="353" spans="1:8">
      <c r="A353" s="5" t="str">
        <f ca="1">IFERROR(__xludf.DUMMYFUNCTION("""COMPUTED_VALUE"""),"20210910CASTP")</f>
        <v>20210910CASTP</v>
      </c>
      <c r="B353" s="5">
        <f ca="1">IFERROR(__xludf.DUMMYFUNCTION("""COMPUTED_VALUE"""),62)</f>
        <v>62</v>
      </c>
      <c r="C353" s="5" t="str">
        <f ca="1">IFERROR(__xludf.DUMMYFUNCTION("""COMPUTED_VALUE"""),"Male")</f>
        <v>Male</v>
      </c>
      <c r="D353" s="5" t="str">
        <f ca="1">IFERROR(__xludf.DUMMYFUNCTION("""COMPUTED_VALUE"""),"White")</f>
        <v>White</v>
      </c>
      <c r="E353" s="5" t="str">
        <f ca="1">IFERROR(__xludf.DUMMYFUNCTION("""COMPUTED_VALUE"""),"No Relation")</f>
        <v>No Relation</v>
      </c>
      <c r="F353" s="5" t="str">
        <f ca="1">IFERROR(__xludf.DUMMYFUNCTION("""COMPUTED_VALUE"""),"Apprehended/Killed by LE")</f>
        <v>Apprehended/Killed by LE</v>
      </c>
      <c r="G353" s="5" t="str">
        <f ca="1">IFERROR(__xludf.DUMMYFUNCTION("""COMPUTED_VALUE"""),"No")</f>
        <v>No</v>
      </c>
      <c r="H353" s="5" t="str">
        <f ca="1">IFERROR(__xludf.DUMMYFUNCTION("""COMPUTED_VALUE"""),"None")</f>
        <v>None</v>
      </c>
    </row>
    <row r="354" spans="1:8">
      <c r="A354" s="5" t="str">
        <f ca="1">IFERROR(__xludf.DUMMYFUNCTION("""COMPUTED_VALUE"""),"20210909NCSHE")</f>
        <v>20210909NCSHE</v>
      </c>
      <c r="B354" s="5"/>
      <c r="C354" s="5"/>
      <c r="D354" s="5"/>
      <c r="E354" s="5"/>
      <c r="F354" s="5" t="str">
        <f ca="1">IFERROR(__xludf.DUMMYFUNCTION("""COMPUTED_VALUE"""),"Fled/Escaped")</f>
        <v>Fled/Escaped</v>
      </c>
      <c r="G354" s="5" t="str">
        <f ca="1">IFERROR(__xludf.DUMMYFUNCTION("""COMPUTED_VALUE"""),"No")</f>
        <v>No</v>
      </c>
      <c r="H354" s="5" t="str">
        <f ca="1">IFERROR(__xludf.DUMMYFUNCTION("""COMPUTED_VALUE"""),"None")</f>
        <v>None</v>
      </c>
    </row>
    <row r="355" spans="1:8">
      <c r="A355" s="5" t="str">
        <f ca="1">IFERROR(__xludf.DUMMYFUNCTION("""COMPUTED_VALUE"""),"20210909MITRF")</f>
        <v>20210909MITRF</v>
      </c>
      <c r="B355" s="5" t="str">
        <f ca="1">IFERROR(__xludf.DUMMYFUNCTION("""COMPUTED_VALUE"""),"Teen")</f>
        <v>Teen</v>
      </c>
      <c r="C355" s="5" t="str">
        <f ca="1">IFERROR(__xludf.DUMMYFUNCTION("""COMPUTED_VALUE"""),"Male")</f>
        <v>Male</v>
      </c>
      <c r="D355" s="5"/>
      <c r="E355" s="5" t="str">
        <f ca="1">IFERROR(__xludf.DUMMYFUNCTION("""COMPUTED_VALUE"""),"Student")</f>
        <v>Student</v>
      </c>
      <c r="F355" s="5" t="str">
        <f ca="1">IFERROR(__xludf.DUMMYFUNCTION("""COMPUTED_VALUE"""),"Apprehended/Killed by LE")</f>
        <v>Apprehended/Killed by LE</v>
      </c>
      <c r="G355" s="5" t="str">
        <f ca="1">IFERROR(__xludf.DUMMYFUNCTION("""COMPUTED_VALUE"""),"No")</f>
        <v>No</v>
      </c>
      <c r="H355" s="5" t="str">
        <f ca="1">IFERROR(__xludf.DUMMYFUNCTION("""COMPUTED_VALUE"""),"None")</f>
        <v>None</v>
      </c>
    </row>
    <row r="356" spans="1:8">
      <c r="A356" s="5" t="str">
        <f ca="1">IFERROR(__xludf.DUMMYFUNCTION("""COMPUTED_VALUE"""),"20210909ILCHC")</f>
        <v>20210909ILCHC</v>
      </c>
      <c r="B356" s="5" t="str">
        <f ca="1">IFERROR(__xludf.DUMMYFUNCTION("""COMPUTED_VALUE"""),"Adult")</f>
        <v>Adult</v>
      </c>
      <c r="C356" s="5"/>
      <c r="D356" s="5"/>
      <c r="E356" s="5" t="str">
        <f ca="1">IFERROR(__xludf.DUMMYFUNCTION("""COMPUTED_VALUE"""),"No Relation")</f>
        <v>No Relation</v>
      </c>
      <c r="F356" s="5" t="str">
        <f ca="1">IFERROR(__xludf.DUMMYFUNCTION("""COMPUTED_VALUE"""),"Fled/Escaped")</f>
        <v>Fled/Escaped</v>
      </c>
      <c r="G356" s="5" t="str">
        <f ca="1">IFERROR(__xludf.DUMMYFUNCTION("""COMPUTED_VALUE"""),"No")</f>
        <v>No</v>
      </c>
      <c r="H356" s="5" t="str">
        <f ca="1">IFERROR(__xludf.DUMMYFUNCTION("""COMPUTED_VALUE"""),"None")</f>
        <v>None</v>
      </c>
    </row>
    <row r="357" spans="1:8">
      <c r="A357" s="5" t="str">
        <f ca="1">IFERROR(__xludf.DUMMYFUNCTION("""COMPUTED_VALUE"""),"20210908MNPRB")</f>
        <v>20210908MNPRB</v>
      </c>
      <c r="B357" s="5"/>
      <c r="C357" s="5"/>
      <c r="D357" s="5"/>
      <c r="E357" s="5" t="str">
        <f ca="1">IFERROR(__xludf.DUMMYFUNCTION("""COMPUTED_VALUE"""),"No Relation")</f>
        <v>No Relation</v>
      </c>
      <c r="F357" s="5" t="str">
        <f ca="1">IFERROR(__xludf.DUMMYFUNCTION("""COMPUTED_VALUE"""),"Fled/Escaped")</f>
        <v>Fled/Escaped</v>
      </c>
      <c r="G357" s="5" t="str">
        <f ca="1">IFERROR(__xludf.DUMMYFUNCTION("""COMPUTED_VALUE"""),"No")</f>
        <v>No</v>
      </c>
      <c r="H357" s="5" t="str">
        <f ca="1">IFERROR(__xludf.DUMMYFUNCTION("""COMPUTED_VALUE"""),"None")</f>
        <v>None</v>
      </c>
    </row>
    <row r="358" spans="1:8">
      <c r="A358" s="5" t="str">
        <f ca="1">IFERROR(__xludf.DUMMYFUNCTION("""COMPUTED_VALUE"""),"20210908MNPRB")</f>
        <v>20210908MNPRB</v>
      </c>
      <c r="B358" s="5"/>
      <c r="C358" s="5"/>
      <c r="D358" s="5"/>
      <c r="E358" s="5" t="str">
        <f ca="1">IFERROR(__xludf.DUMMYFUNCTION("""COMPUTED_VALUE"""),"No Relation")</f>
        <v>No Relation</v>
      </c>
      <c r="F358" s="5" t="str">
        <f ca="1">IFERROR(__xludf.DUMMYFUNCTION("""COMPUTED_VALUE"""),"Fled/Escaped")</f>
        <v>Fled/Escaped</v>
      </c>
      <c r="G358" s="5" t="str">
        <f ca="1">IFERROR(__xludf.DUMMYFUNCTION("""COMPUTED_VALUE"""),"No")</f>
        <v>No</v>
      </c>
      <c r="H358" s="5" t="str">
        <f ca="1">IFERROR(__xludf.DUMMYFUNCTION("""COMPUTED_VALUE"""),"None")</f>
        <v>None</v>
      </c>
    </row>
    <row r="359" spans="1:8">
      <c r="A359" s="5" t="str">
        <f ca="1">IFERROR(__xludf.DUMMYFUNCTION("""COMPUTED_VALUE"""),"20210908MNPRB")</f>
        <v>20210908MNPRB</v>
      </c>
      <c r="B359" s="5"/>
      <c r="C359" s="5"/>
      <c r="D359" s="5"/>
      <c r="E359" s="5" t="str">
        <f ca="1">IFERROR(__xludf.DUMMYFUNCTION("""COMPUTED_VALUE"""),"No Relation")</f>
        <v>No Relation</v>
      </c>
      <c r="F359" s="5" t="str">
        <f ca="1">IFERROR(__xludf.DUMMYFUNCTION("""COMPUTED_VALUE"""),"Fled/Escaped")</f>
        <v>Fled/Escaped</v>
      </c>
      <c r="G359" s="5" t="str">
        <f ca="1">IFERROR(__xludf.DUMMYFUNCTION("""COMPUTED_VALUE"""),"No")</f>
        <v>No</v>
      </c>
      <c r="H359" s="5" t="str">
        <f ca="1">IFERROR(__xludf.DUMMYFUNCTION("""COMPUTED_VALUE"""),"None")</f>
        <v>None</v>
      </c>
    </row>
    <row r="360" spans="1:8">
      <c r="A360" s="5" t="str">
        <f ca="1">IFERROR(__xludf.DUMMYFUNCTION("""COMPUTED_VALUE"""),"20210908ILCEC")</f>
        <v>20210908ILCEC</v>
      </c>
      <c r="B360" s="5">
        <f ca="1">IFERROR(__xludf.DUMMYFUNCTION("""COMPUTED_VALUE"""),18)</f>
        <v>18</v>
      </c>
      <c r="C360" s="5" t="str">
        <f ca="1">IFERROR(__xludf.DUMMYFUNCTION("""COMPUTED_VALUE"""),"Male")</f>
        <v>Male</v>
      </c>
      <c r="D360" s="5"/>
      <c r="E360" s="5" t="str">
        <f ca="1">IFERROR(__xludf.DUMMYFUNCTION("""COMPUTED_VALUE"""),"Student")</f>
        <v>Student</v>
      </c>
      <c r="F360" s="5" t="str">
        <f ca="1">IFERROR(__xludf.DUMMYFUNCTION("""COMPUTED_VALUE"""),"Fled/Escaped")</f>
        <v>Fled/Escaped</v>
      </c>
      <c r="G360" s="5" t="str">
        <f ca="1">IFERROR(__xludf.DUMMYFUNCTION("""COMPUTED_VALUE"""),"No")</f>
        <v>No</v>
      </c>
      <c r="H360" s="5" t="str">
        <f ca="1">IFERROR(__xludf.DUMMYFUNCTION("""COMPUTED_VALUE"""),"None")</f>
        <v>None</v>
      </c>
    </row>
    <row r="361" spans="1:8">
      <c r="A361" s="5" t="str">
        <f ca="1">IFERROR(__xludf.DUMMYFUNCTION("""COMPUTED_VALUE"""),"20210907TNLAL")</f>
        <v>20210907TNLAL</v>
      </c>
      <c r="B361" s="5">
        <f ca="1">IFERROR(__xludf.DUMMYFUNCTION("""COMPUTED_VALUE"""),15)</f>
        <v>15</v>
      </c>
      <c r="C361" s="5" t="str">
        <f ca="1">IFERROR(__xludf.DUMMYFUNCTION("""COMPUTED_VALUE"""),"Male")</f>
        <v>Male</v>
      </c>
      <c r="D361" s="5"/>
      <c r="E361" s="5" t="str">
        <f ca="1">IFERROR(__xludf.DUMMYFUNCTION("""COMPUTED_VALUE"""),"Student")</f>
        <v>Student</v>
      </c>
      <c r="F361" s="5" t="str">
        <f ca="1">IFERROR(__xludf.DUMMYFUNCTION("""COMPUTED_VALUE"""),"Fled/Apprehended")</f>
        <v>Fled/Apprehended</v>
      </c>
      <c r="G361" s="5" t="str">
        <f ca="1">IFERROR(__xludf.DUMMYFUNCTION("""COMPUTED_VALUE"""),"No")</f>
        <v>No</v>
      </c>
      <c r="H361" s="5" t="str">
        <f ca="1">IFERROR(__xludf.DUMMYFUNCTION("""COMPUTED_VALUE"""),"None")</f>
        <v>None</v>
      </c>
    </row>
    <row r="362" spans="1:8">
      <c r="A362" s="5" t="str">
        <f ca="1">IFERROR(__xludf.DUMMYFUNCTION("""COMPUTED_VALUE"""),"20210907PAHAH")</f>
        <v>20210907PAHAH</v>
      </c>
      <c r="B362" s="5" t="str">
        <f ca="1">IFERROR(__xludf.DUMMYFUNCTION("""COMPUTED_VALUE"""),"Teen")</f>
        <v>Teen</v>
      </c>
      <c r="C362" s="5" t="str">
        <f ca="1">IFERROR(__xludf.DUMMYFUNCTION("""COMPUTED_VALUE"""),"Male")</f>
        <v>Male</v>
      </c>
      <c r="D362" s="5"/>
      <c r="E362" s="5" t="str">
        <f ca="1">IFERROR(__xludf.DUMMYFUNCTION("""COMPUTED_VALUE"""),"Student")</f>
        <v>Student</v>
      </c>
      <c r="F362" s="5" t="str">
        <f ca="1">IFERROR(__xludf.DUMMYFUNCTION("""COMPUTED_VALUE"""),"Fled/Escaped")</f>
        <v>Fled/Escaped</v>
      </c>
      <c r="G362" s="5" t="str">
        <f ca="1">IFERROR(__xludf.DUMMYFUNCTION("""COMPUTED_VALUE"""),"No")</f>
        <v>No</v>
      </c>
      <c r="H362" s="5" t="str">
        <f ca="1">IFERROR(__xludf.DUMMYFUNCTION("""COMPUTED_VALUE"""),"None")</f>
        <v>None</v>
      </c>
    </row>
    <row r="363" spans="1:8">
      <c r="A363" s="5" t="str">
        <f ca="1">IFERROR(__xludf.DUMMYFUNCTION("""COMPUTED_VALUE"""),"20210907MAOMG")</f>
        <v>20210907MAOMG</v>
      </c>
      <c r="B363" s="5">
        <f ca="1">IFERROR(__xludf.DUMMYFUNCTION("""COMPUTED_VALUE"""),18)</f>
        <v>18</v>
      </c>
      <c r="C363" s="5" t="str">
        <f ca="1">IFERROR(__xludf.DUMMYFUNCTION("""COMPUTED_VALUE"""),"Male")</f>
        <v>Male</v>
      </c>
      <c r="D363" s="5"/>
      <c r="E363" s="5" t="str">
        <f ca="1">IFERROR(__xludf.DUMMYFUNCTION("""COMPUTED_VALUE"""),"No Relation")</f>
        <v>No Relation</v>
      </c>
      <c r="F363" s="5" t="str">
        <f ca="1">IFERROR(__xludf.DUMMYFUNCTION("""COMPUTED_VALUE"""),"Fled/Apprehended")</f>
        <v>Fled/Apprehended</v>
      </c>
      <c r="G363" s="5" t="str">
        <f ca="1">IFERROR(__xludf.DUMMYFUNCTION("""COMPUTED_VALUE"""),"No")</f>
        <v>No</v>
      </c>
      <c r="H363" s="5" t="str">
        <f ca="1">IFERROR(__xludf.DUMMYFUNCTION("""COMPUTED_VALUE"""),"None")</f>
        <v>None</v>
      </c>
    </row>
    <row r="364" spans="1:8">
      <c r="A364" s="5" t="str">
        <f ca="1">IFERROR(__xludf.DUMMYFUNCTION("""COMPUTED_VALUE"""),"20210907MAOMG")</f>
        <v>20210907MAOMG</v>
      </c>
      <c r="B364" s="5">
        <f ca="1">IFERROR(__xludf.DUMMYFUNCTION("""COMPUTED_VALUE"""),18)</f>
        <v>18</v>
      </c>
      <c r="C364" s="5" t="str">
        <f ca="1">IFERROR(__xludf.DUMMYFUNCTION("""COMPUTED_VALUE"""),"Male")</f>
        <v>Male</v>
      </c>
      <c r="D364" s="5"/>
      <c r="E364" s="5" t="str">
        <f ca="1">IFERROR(__xludf.DUMMYFUNCTION("""COMPUTED_VALUE"""),"No Relation")</f>
        <v>No Relation</v>
      </c>
      <c r="F364" s="5" t="str">
        <f ca="1">IFERROR(__xludf.DUMMYFUNCTION("""COMPUTED_VALUE"""),"Fled/Apprehended")</f>
        <v>Fled/Apprehended</v>
      </c>
      <c r="G364" s="5" t="str">
        <f ca="1">IFERROR(__xludf.DUMMYFUNCTION("""COMPUTED_VALUE"""),"No")</f>
        <v>No</v>
      </c>
      <c r="H364" s="5" t="str">
        <f ca="1">IFERROR(__xludf.DUMMYFUNCTION("""COMPUTED_VALUE"""),"None")</f>
        <v>None</v>
      </c>
    </row>
    <row r="365" spans="1:8">
      <c r="A365" s="5" t="str">
        <f ca="1">IFERROR(__xludf.DUMMYFUNCTION("""COMPUTED_VALUE"""),"20210903NVDEL")</f>
        <v>20210903NVDEL</v>
      </c>
      <c r="B365" s="5" t="str">
        <f ca="1">IFERROR(__xludf.DUMMYFUNCTION("""COMPUTED_VALUE"""),"Adult")</f>
        <v>Adult</v>
      </c>
      <c r="C365" s="5"/>
      <c r="D365" s="5"/>
      <c r="E365" s="5" t="str">
        <f ca="1">IFERROR(__xludf.DUMMYFUNCTION("""COMPUTED_VALUE"""),"Nonstudent Using Athletic Facilities/Attending Game")</f>
        <v>Nonstudent Using Athletic Facilities/Attending Game</v>
      </c>
      <c r="F365" s="5" t="str">
        <f ca="1">IFERROR(__xludf.DUMMYFUNCTION("""COMPUTED_VALUE"""),"Fled/Escaped")</f>
        <v>Fled/Escaped</v>
      </c>
      <c r="G365" s="5" t="str">
        <f ca="1">IFERROR(__xludf.DUMMYFUNCTION("""COMPUTED_VALUE"""),"No")</f>
        <v>No</v>
      </c>
      <c r="H365" s="5" t="str">
        <f ca="1">IFERROR(__xludf.DUMMYFUNCTION("""COMPUTED_VALUE"""),"None")</f>
        <v>None</v>
      </c>
    </row>
    <row r="366" spans="1:8">
      <c r="A366" s="5" t="str">
        <f ca="1">IFERROR(__xludf.DUMMYFUNCTION("""COMPUTED_VALUE"""),"20210903NCJUC")</f>
        <v>20210903NCJUC</v>
      </c>
      <c r="B366" s="5"/>
      <c r="C366" s="5"/>
      <c r="D366" s="5"/>
      <c r="E366" s="5" t="str">
        <f ca="1">IFERROR(__xludf.DUMMYFUNCTION("""COMPUTED_VALUE"""),"Nonstudent Using Athletic Facilities/Attending Game")</f>
        <v>Nonstudent Using Athletic Facilities/Attending Game</v>
      </c>
      <c r="F366" s="5" t="str">
        <f ca="1">IFERROR(__xludf.DUMMYFUNCTION("""COMPUTED_VALUE"""),"Fled/Escaped")</f>
        <v>Fled/Escaped</v>
      </c>
      <c r="G366" s="5" t="str">
        <f ca="1">IFERROR(__xludf.DUMMYFUNCTION("""COMPUTED_VALUE"""),"No")</f>
        <v>No</v>
      </c>
      <c r="H366" s="5" t="str">
        <f ca="1">IFERROR(__xludf.DUMMYFUNCTION("""COMPUTED_VALUE"""),"None")</f>
        <v>None</v>
      </c>
    </row>
    <row r="367" spans="1:8">
      <c r="A367" s="5" t="str">
        <f ca="1">IFERROR(__xludf.DUMMYFUNCTION("""COMPUTED_VALUE"""),"20210903CAMTH")</f>
        <v>20210903CAMTH</v>
      </c>
      <c r="B367" s="5">
        <f ca="1">IFERROR(__xludf.DUMMYFUNCTION("""COMPUTED_VALUE"""),16)</f>
        <v>16</v>
      </c>
      <c r="C367" s="5" t="str">
        <f ca="1">IFERROR(__xludf.DUMMYFUNCTION("""COMPUTED_VALUE"""),"Male")</f>
        <v>Male</v>
      </c>
      <c r="D367" s="5"/>
      <c r="E367" s="5" t="str">
        <f ca="1">IFERROR(__xludf.DUMMYFUNCTION("""COMPUTED_VALUE"""),"Student")</f>
        <v>Student</v>
      </c>
      <c r="F367" s="5" t="str">
        <f ca="1">IFERROR(__xludf.DUMMYFUNCTION("""COMPUTED_VALUE"""),"Apprehended/Killed by LE")</f>
        <v>Apprehended/Killed by LE</v>
      </c>
      <c r="G367" s="5" t="str">
        <f ca="1">IFERROR(__xludf.DUMMYFUNCTION("""COMPUTED_VALUE"""),"No")</f>
        <v>No</v>
      </c>
      <c r="H367" s="5" t="str">
        <f ca="1">IFERROR(__xludf.DUMMYFUNCTION("""COMPUTED_VALUE"""),"None")</f>
        <v>None</v>
      </c>
    </row>
    <row r="368" spans="1:8">
      <c r="A368" s="5" t="str">
        <f ca="1">IFERROR(__xludf.DUMMYFUNCTION("""COMPUTED_VALUE"""),"20210903CAMTH")</f>
        <v>20210903CAMTH</v>
      </c>
      <c r="B368" s="5" t="str">
        <f ca="1">IFERROR(__xludf.DUMMYFUNCTION("""COMPUTED_VALUE"""),"Teen")</f>
        <v>Teen</v>
      </c>
      <c r="C368" s="5" t="str">
        <f ca="1">IFERROR(__xludf.DUMMYFUNCTION("""COMPUTED_VALUE"""),"Male")</f>
        <v>Male</v>
      </c>
      <c r="D368" s="5"/>
      <c r="E368" s="5" t="str">
        <f ca="1">IFERROR(__xludf.DUMMYFUNCTION("""COMPUTED_VALUE"""),"Student")</f>
        <v>Student</v>
      </c>
      <c r="F368" s="5" t="str">
        <f ca="1">IFERROR(__xludf.DUMMYFUNCTION("""COMPUTED_VALUE"""),"Fled/Apprehended")</f>
        <v>Fled/Apprehended</v>
      </c>
      <c r="G368" s="5" t="str">
        <f ca="1">IFERROR(__xludf.DUMMYFUNCTION("""COMPUTED_VALUE"""),"No")</f>
        <v>No</v>
      </c>
      <c r="H368" s="5" t="str">
        <f ca="1">IFERROR(__xludf.DUMMYFUNCTION("""COMPUTED_VALUE"""),"None")</f>
        <v>None</v>
      </c>
    </row>
    <row r="369" spans="1:8">
      <c r="A369" s="5" t="str">
        <f ca="1">IFERROR(__xludf.DUMMYFUNCTION("""COMPUTED_VALUE"""),"20210903CABUB")</f>
        <v>20210903CABUB</v>
      </c>
      <c r="B369" s="5" t="str">
        <f ca="1">IFERROR(__xludf.DUMMYFUNCTION("""COMPUTED_VALUE"""),"Adult")</f>
        <v>Adult</v>
      </c>
      <c r="C369" s="5" t="str">
        <f ca="1">IFERROR(__xludf.DUMMYFUNCTION("""COMPUTED_VALUE"""),"Male")</f>
        <v>Male</v>
      </c>
      <c r="D369" s="5"/>
      <c r="E369" s="5" t="str">
        <f ca="1">IFERROR(__xludf.DUMMYFUNCTION("""COMPUTED_VALUE"""),"Intimate Relationship")</f>
        <v>Intimate Relationship</v>
      </c>
      <c r="F369" s="5" t="str">
        <f ca="1">IFERROR(__xludf.DUMMYFUNCTION("""COMPUTED_VALUE"""),"Apprehended/Killed by LE")</f>
        <v>Apprehended/Killed by LE</v>
      </c>
      <c r="G369" s="5" t="str">
        <f ca="1">IFERROR(__xludf.DUMMYFUNCTION("""COMPUTED_VALUE"""),"Yes")</f>
        <v>Yes</v>
      </c>
      <c r="H369" s="5" t="str">
        <f ca="1">IFERROR(__xludf.DUMMYFUNCTION("""COMPUTED_VALUE"""),"Fatal")</f>
        <v>Fatal</v>
      </c>
    </row>
    <row r="370" spans="1:8">
      <c r="A370" s="5" t="str">
        <f ca="1">IFERROR(__xludf.DUMMYFUNCTION("""COMPUTED_VALUE"""),"20210902NMALA")</f>
        <v>20210902NMALA</v>
      </c>
      <c r="B370" s="5">
        <f ca="1">IFERROR(__xludf.DUMMYFUNCTION("""COMPUTED_VALUE"""),16)</f>
        <v>16</v>
      </c>
      <c r="C370" s="5" t="str">
        <f ca="1">IFERROR(__xludf.DUMMYFUNCTION("""COMPUTED_VALUE"""),"Male")</f>
        <v>Male</v>
      </c>
      <c r="D370" s="5"/>
      <c r="E370" s="5" t="str">
        <f ca="1">IFERROR(__xludf.DUMMYFUNCTION("""COMPUTED_VALUE"""),"Student")</f>
        <v>Student</v>
      </c>
      <c r="F370" s="5" t="str">
        <f ca="1">IFERROR(__xludf.DUMMYFUNCTION("""COMPUTED_VALUE"""),"Fled/Apprehended")</f>
        <v>Fled/Apprehended</v>
      </c>
      <c r="G370" s="5" t="str">
        <f ca="1">IFERROR(__xludf.DUMMYFUNCTION("""COMPUTED_VALUE"""),"No")</f>
        <v>No</v>
      </c>
      <c r="H370" s="5" t="str">
        <f ca="1">IFERROR(__xludf.DUMMYFUNCTION("""COMPUTED_VALUE"""),"Wounded")</f>
        <v>Wounded</v>
      </c>
    </row>
    <row r="371" spans="1:8">
      <c r="A371" s="5" t="str">
        <f ca="1">IFERROR(__xludf.DUMMYFUNCTION("""COMPUTED_VALUE"""),"20210902NMALA")</f>
        <v>20210902NMALA</v>
      </c>
      <c r="B371" s="5" t="str">
        <f ca="1">IFERROR(__xludf.DUMMYFUNCTION("""COMPUTED_VALUE"""),"Teen")</f>
        <v>Teen</v>
      </c>
      <c r="C371" s="5"/>
      <c r="D371" s="5"/>
      <c r="E371" s="5" t="str">
        <f ca="1">IFERROR(__xludf.DUMMYFUNCTION("""COMPUTED_VALUE"""),"Other Student")</f>
        <v>Other Student</v>
      </c>
      <c r="F371" s="5" t="str">
        <f ca="1">IFERROR(__xludf.DUMMYFUNCTION("""COMPUTED_VALUE"""),"Fled/Escaped")</f>
        <v>Fled/Escaped</v>
      </c>
      <c r="G371" s="5" t="str">
        <f ca="1">IFERROR(__xludf.DUMMYFUNCTION("""COMPUTED_VALUE"""),"No")</f>
        <v>No</v>
      </c>
      <c r="H371" s="5" t="str">
        <f ca="1">IFERROR(__xludf.DUMMYFUNCTION("""COMPUTED_VALUE"""),"None")</f>
        <v>None</v>
      </c>
    </row>
    <row r="372" spans="1:8">
      <c r="A372" s="5" t="str">
        <f ca="1">IFERROR(__xludf.DUMMYFUNCTION("""COMPUTED_VALUE"""),"20210902INWEG")</f>
        <v>20210902INWEG</v>
      </c>
      <c r="B372" s="5" t="str">
        <f ca="1">IFERROR(__xludf.DUMMYFUNCTION("""COMPUTED_VALUE"""),"Teen")</f>
        <v>Teen</v>
      </c>
      <c r="C372" s="5" t="str">
        <f ca="1">IFERROR(__xludf.DUMMYFUNCTION("""COMPUTED_VALUE"""),"Male")</f>
        <v>Male</v>
      </c>
      <c r="D372" s="5"/>
      <c r="E372" s="5"/>
      <c r="F372" s="5" t="str">
        <f ca="1">IFERROR(__xludf.DUMMYFUNCTION("""COMPUTED_VALUE"""),"Fled/Escaped")</f>
        <v>Fled/Escaped</v>
      </c>
      <c r="G372" s="5" t="str">
        <f ca="1">IFERROR(__xludf.DUMMYFUNCTION("""COMPUTED_VALUE"""),"No")</f>
        <v>No</v>
      </c>
      <c r="H372" s="5" t="str">
        <f ca="1">IFERROR(__xludf.DUMMYFUNCTION("""COMPUTED_VALUE"""),"None")</f>
        <v>None</v>
      </c>
    </row>
    <row r="373" spans="1:8">
      <c r="A373" s="5" t="str">
        <f ca="1">IFERROR(__xludf.DUMMYFUNCTION("""COMPUTED_VALUE"""),"20210902GAWOS")</f>
        <v>20210902GAWOS</v>
      </c>
      <c r="B373" s="5">
        <f ca="1">IFERROR(__xludf.DUMMYFUNCTION("""COMPUTED_VALUE"""),24)</f>
        <v>24</v>
      </c>
      <c r="C373" s="5" t="str">
        <f ca="1">IFERROR(__xludf.DUMMYFUNCTION("""COMPUTED_VALUE"""),"Male")</f>
        <v>Male</v>
      </c>
      <c r="D373" s="5"/>
      <c r="E373" s="5" t="str">
        <f ca="1">IFERROR(__xludf.DUMMYFUNCTION("""COMPUTED_VALUE"""),"No Relation")</f>
        <v>No Relation</v>
      </c>
      <c r="F373" s="5" t="str">
        <f ca="1">IFERROR(__xludf.DUMMYFUNCTION("""COMPUTED_VALUE"""),"Apprehended/Killed by LE")</f>
        <v>Apprehended/Killed by LE</v>
      </c>
      <c r="G373" s="5" t="str">
        <f ca="1">IFERROR(__xludf.DUMMYFUNCTION("""COMPUTED_VALUE"""),"No")</f>
        <v>No</v>
      </c>
      <c r="H373" s="5" t="str">
        <f ca="1">IFERROR(__xludf.DUMMYFUNCTION("""COMPUTED_VALUE"""),"None")</f>
        <v>None</v>
      </c>
    </row>
    <row r="374" spans="1:8">
      <c r="A374" s="5" t="str">
        <f ca="1">IFERROR(__xludf.DUMMYFUNCTION("""COMPUTED_VALUE"""),"20210902CASAL")</f>
        <v>20210902CASAL</v>
      </c>
      <c r="B374" s="5">
        <f ca="1">IFERROR(__xludf.DUMMYFUNCTION("""COMPUTED_VALUE"""),17)</f>
        <v>17</v>
      </c>
      <c r="C374" s="5" t="str">
        <f ca="1">IFERROR(__xludf.DUMMYFUNCTION("""COMPUTED_VALUE"""),"Male")</f>
        <v>Male</v>
      </c>
      <c r="D374" s="5"/>
      <c r="E374" s="5" t="str">
        <f ca="1">IFERROR(__xludf.DUMMYFUNCTION("""COMPUTED_VALUE"""),"Student")</f>
        <v>Student</v>
      </c>
      <c r="F374" s="5" t="str">
        <f ca="1">IFERROR(__xludf.DUMMYFUNCTION("""COMPUTED_VALUE"""),"Fled/Apprehended")</f>
        <v>Fled/Apprehended</v>
      </c>
      <c r="G374" s="5" t="str">
        <f ca="1">IFERROR(__xludf.DUMMYFUNCTION("""COMPUTED_VALUE"""),"No")</f>
        <v>No</v>
      </c>
      <c r="H374" s="5" t="str">
        <f ca="1">IFERROR(__xludf.DUMMYFUNCTION("""COMPUTED_VALUE"""),"None")</f>
        <v>None</v>
      </c>
    </row>
    <row r="375" spans="1:8">
      <c r="A375" s="5" t="str">
        <f ca="1">IFERROR(__xludf.DUMMYFUNCTION("""COMPUTED_VALUE"""),"20210902CASAL")</f>
        <v>20210902CASAL</v>
      </c>
      <c r="B375" s="5">
        <f ca="1">IFERROR(__xludf.DUMMYFUNCTION("""COMPUTED_VALUE"""),17)</f>
        <v>17</v>
      </c>
      <c r="C375" s="5" t="str">
        <f ca="1">IFERROR(__xludf.DUMMYFUNCTION("""COMPUTED_VALUE"""),"Male")</f>
        <v>Male</v>
      </c>
      <c r="D375" s="5"/>
      <c r="E375" s="5" t="str">
        <f ca="1">IFERROR(__xludf.DUMMYFUNCTION("""COMPUTED_VALUE"""),"Student")</f>
        <v>Student</v>
      </c>
      <c r="F375" s="5" t="str">
        <f ca="1">IFERROR(__xludf.DUMMYFUNCTION("""COMPUTED_VALUE"""),"Fled/Apprehended")</f>
        <v>Fled/Apprehended</v>
      </c>
      <c r="G375" s="5" t="str">
        <f ca="1">IFERROR(__xludf.DUMMYFUNCTION("""COMPUTED_VALUE"""),"No")</f>
        <v>No</v>
      </c>
      <c r="H375" s="5" t="str">
        <f ca="1">IFERROR(__xludf.DUMMYFUNCTION("""COMPUTED_VALUE"""),"None")</f>
        <v>None</v>
      </c>
    </row>
    <row r="376" spans="1:8">
      <c r="A376" s="5" t="str">
        <f ca="1">IFERROR(__xludf.DUMMYFUNCTION("""COMPUTED_VALUE"""),"20210902ARLIL")</f>
        <v>20210902ARLIL</v>
      </c>
      <c r="B376" s="5">
        <f ca="1">IFERROR(__xludf.DUMMYFUNCTION("""COMPUTED_VALUE"""),36)</f>
        <v>36</v>
      </c>
      <c r="C376" s="5" t="str">
        <f ca="1">IFERROR(__xludf.DUMMYFUNCTION("""COMPUTED_VALUE"""),"Female")</f>
        <v>Female</v>
      </c>
      <c r="D376" s="5" t="str">
        <f ca="1">IFERROR(__xludf.DUMMYFUNCTION("""COMPUTED_VALUE"""),"Black")</f>
        <v>Black</v>
      </c>
      <c r="E376" s="5" t="str">
        <f ca="1">IFERROR(__xludf.DUMMYFUNCTION("""COMPUTED_VALUE"""),"Parent")</f>
        <v>Parent</v>
      </c>
      <c r="F376" s="5" t="str">
        <f ca="1">IFERROR(__xludf.DUMMYFUNCTION("""COMPUTED_VALUE"""),"Apprehended/Killed by SRO")</f>
        <v>Apprehended/Killed by SRO</v>
      </c>
      <c r="G376" s="5" t="str">
        <f ca="1">IFERROR(__xludf.DUMMYFUNCTION("""COMPUTED_VALUE"""),"No")</f>
        <v>No</v>
      </c>
      <c r="H376" s="5" t="str">
        <f ca="1">IFERROR(__xludf.DUMMYFUNCTION("""COMPUTED_VALUE"""),"None")</f>
        <v>None</v>
      </c>
    </row>
    <row r="377" spans="1:8">
      <c r="A377" s="5" t="str">
        <f ca="1">IFERROR(__xludf.DUMMYFUNCTION("""COMPUTED_VALUE"""),"20210901NCMTW")</f>
        <v>20210901NCMTW</v>
      </c>
      <c r="B377" s="5">
        <f ca="1">IFERROR(__xludf.DUMMYFUNCTION("""COMPUTED_VALUE"""),15)</f>
        <v>15</v>
      </c>
      <c r="C377" s="5" t="str">
        <f ca="1">IFERROR(__xludf.DUMMYFUNCTION("""COMPUTED_VALUE"""),"Male")</f>
        <v>Male</v>
      </c>
      <c r="D377" s="5" t="str">
        <f ca="1">IFERROR(__xludf.DUMMYFUNCTION("""COMPUTED_VALUE"""),"Black")</f>
        <v>Black</v>
      </c>
      <c r="E377" s="5" t="str">
        <f ca="1">IFERROR(__xludf.DUMMYFUNCTION("""COMPUTED_VALUE"""),"Student")</f>
        <v>Student</v>
      </c>
      <c r="F377" s="5" t="str">
        <f ca="1">IFERROR(__xludf.DUMMYFUNCTION("""COMPUTED_VALUE"""),"Fled/Apprehended")</f>
        <v>Fled/Apprehended</v>
      </c>
      <c r="G377" s="5" t="str">
        <f ca="1">IFERROR(__xludf.DUMMYFUNCTION("""COMPUTED_VALUE"""),"No")</f>
        <v>No</v>
      </c>
      <c r="H377" s="5" t="str">
        <f ca="1">IFERROR(__xludf.DUMMYFUNCTION("""COMPUTED_VALUE"""),"None")</f>
        <v>None</v>
      </c>
    </row>
    <row r="378" spans="1:8">
      <c r="A378" s="5" t="str">
        <f ca="1">IFERROR(__xludf.DUMMYFUNCTION("""COMPUTED_VALUE"""),"20210901ILFRC")</f>
        <v>20210901ILFRC</v>
      </c>
      <c r="B378" s="5"/>
      <c r="C378" s="5"/>
      <c r="D378" s="5"/>
      <c r="E378" s="5" t="str">
        <f ca="1">IFERROR(__xludf.DUMMYFUNCTION("""COMPUTED_VALUE"""),"No Relation")</f>
        <v>No Relation</v>
      </c>
      <c r="F378" s="5" t="str">
        <f ca="1">IFERROR(__xludf.DUMMYFUNCTION("""COMPUTED_VALUE"""),"Fled/Escaped")</f>
        <v>Fled/Escaped</v>
      </c>
      <c r="G378" s="5" t="str">
        <f ca="1">IFERROR(__xludf.DUMMYFUNCTION("""COMPUTED_VALUE"""),"No")</f>
        <v>No</v>
      </c>
      <c r="H378" s="5" t="str">
        <f ca="1">IFERROR(__xludf.DUMMYFUNCTION("""COMPUTED_VALUE"""),"None")</f>
        <v>None</v>
      </c>
    </row>
    <row r="379" spans="1:8">
      <c r="A379" s="5" t="str">
        <f ca="1">IFERROR(__xludf.DUMMYFUNCTION("""COMPUTED_VALUE"""),"20210830NJWEN")</f>
        <v>20210830NJWEN</v>
      </c>
      <c r="B379" s="5"/>
      <c r="C379" s="5"/>
      <c r="D379" s="5"/>
      <c r="E379" s="5"/>
      <c r="F379" s="5" t="str">
        <f ca="1">IFERROR(__xludf.DUMMYFUNCTION("""COMPUTED_VALUE"""),"Fled/Escaped")</f>
        <v>Fled/Escaped</v>
      </c>
      <c r="G379" s="5" t="str">
        <f ca="1">IFERROR(__xludf.DUMMYFUNCTION("""COMPUTED_VALUE"""),"No")</f>
        <v>No</v>
      </c>
      <c r="H379" s="5" t="str">
        <f ca="1">IFERROR(__xludf.DUMMYFUNCTION("""COMPUTED_VALUE"""),"None")</f>
        <v>None</v>
      </c>
    </row>
    <row r="380" spans="1:8">
      <c r="A380" s="5" t="str">
        <f ca="1">IFERROR(__xludf.DUMMYFUNCTION("""COMPUTED_VALUE"""),"20210830NCNEW")</f>
        <v>20210830NCNEW</v>
      </c>
      <c r="B380" s="5">
        <f ca="1">IFERROR(__xludf.DUMMYFUNCTION("""COMPUTED_VALUE"""),15)</f>
        <v>15</v>
      </c>
      <c r="C380" s="5" t="str">
        <f ca="1">IFERROR(__xludf.DUMMYFUNCTION("""COMPUTED_VALUE"""),"Male")</f>
        <v>Male</v>
      </c>
      <c r="D380" s="5" t="str">
        <f ca="1">IFERROR(__xludf.DUMMYFUNCTION("""COMPUTED_VALUE"""),"Black")</f>
        <v>Black</v>
      </c>
      <c r="E380" s="5" t="str">
        <f ca="1">IFERROR(__xludf.DUMMYFUNCTION("""COMPUTED_VALUE"""),"Student")</f>
        <v>Student</v>
      </c>
      <c r="F380" s="5" t="str">
        <f ca="1">IFERROR(__xludf.DUMMYFUNCTION("""COMPUTED_VALUE"""),"Fled/Apprehended")</f>
        <v>Fled/Apprehended</v>
      </c>
      <c r="G380" s="5" t="str">
        <f ca="1">IFERROR(__xludf.DUMMYFUNCTION("""COMPUTED_VALUE"""),"No")</f>
        <v>No</v>
      </c>
      <c r="H380" s="5" t="str">
        <f ca="1">IFERROR(__xludf.DUMMYFUNCTION("""COMPUTED_VALUE"""),"None")</f>
        <v>None</v>
      </c>
    </row>
    <row r="381" spans="1:8">
      <c r="A381" s="5" t="str">
        <f ca="1">IFERROR(__xludf.DUMMYFUNCTION("""COMPUTED_VALUE"""),"20210830MDNEO")</f>
        <v>20210830MDNEO</v>
      </c>
      <c r="B381" s="5">
        <f ca="1">IFERROR(__xludf.DUMMYFUNCTION("""COMPUTED_VALUE"""),34)</f>
        <v>34</v>
      </c>
      <c r="C381" s="5" t="str">
        <f ca="1">IFERROR(__xludf.DUMMYFUNCTION("""COMPUTED_VALUE"""),"Male")</f>
        <v>Male</v>
      </c>
      <c r="D381" s="5"/>
      <c r="E381" s="5" t="str">
        <f ca="1">IFERROR(__xludf.DUMMYFUNCTION("""COMPUTED_VALUE"""),"No Relation")</f>
        <v>No Relation</v>
      </c>
      <c r="F381" s="5" t="str">
        <f ca="1">IFERROR(__xludf.DUMMYFUNCTION("""COMPUTED_VALUE"""),"Fled/Apprehended")</f>
        <v>Fled/Apprehended</v>
      </c>
      <c r="G381" s="5" t="str">
        <f ca="1">IFERROR(__xludf.DUMMYFUNCTION("""COMPUTED_VALUE"""),"No")</f>
        <v>No</v>
      </c>
      <c r="H381" s="5" t="str">
        <f ca="1">IFERROR(__xludf.DUMMYFUNCTION("""COMPUTED_VALUE"""),"None")</f>
        <v>None</v>
      </c>
    </row>
    <row r="382" spans="1:8">
      <c r="A382" s="5" t="str">
        <f ca="1">IFERROR(__xludf.DUMMYFUNCTION("""COMPUTED_VALUE"""),"20210830FLOKW")</f>
        <v>20210830FLOKW</v>
      </c>
      <c r="B382" s="5" t="str">
        <f ca="1">IFERROR(__xludf.DUMMYFUNCTION("""COMPUTED_VALUE"""),"Teen")</f>
        <v>Teen</v>
      </c>
      <c r="C382" s="5" t="str">
        <f ca="1">IFERROR(__xludf.DUMMYFUNCTION("""COMPUTED_VALUE"""),"Male")</f>
        <v>Male</v>
      </c>
      <c r="D382" s="5"/>
      <c r="E382" s="5" t="str">
        <f ca="1">IFERROR(__xludf.DUMMYFUNCTION("""COMPUTED_VALUE"""),"Student")</f>
        <v>Student</v>
      </c>
      <c r="F382" s="5" t="str">
        <f ca="1">IFERROR(__xludf.DUMMYFUNCTION("""COMPUTED_VALUE"""),"Fled/Apprehended")</f>
        <v>Fled/Apprehended</v>
      </c>
      <c r="G382" s="5" t="str">
        <f ca="1">IFERROR(__xludf.DUMMYFUNCTION("""COMPUTED_VALUE"""),"No")</f>
        <v>No</v>
      </c>
      <c r="H382" s="5" t="str">
        <f ca="1">IFERROR(__xludf.DUMMYFUNCTION("""COMPUTED_VALUE"""),"None")</f>
        <v>None</v>
      </c>
    </row>
    <row r="383" spans="1:8">
      <c r="A383" s="5" t="str">
        <f ca="1">IFERROR(__xludf.DUMMYFUNCTION("""COMPUTED_VALUE"""),"20210828CASAS")</f>
        <v>20210828CASAS</v>
      </c>
      <c r="B383" s="5"/>
      <c r="C383" s="5"/>
      <c r="D383" s="5"/>
      <c r="E383" s="5"/>
      <c r="F383" s="5" t="str">
        <f ca="1">IFERROR(__xludf.DUMMYFUNCTION("""COMPUTED_VALUE"""),"Fled/Escaped")</f>
        <v>Fled/Escaped</v>
      </c>
      <c r="G383" s="5" t="str">
        <f ca="1">IFERROR(__xludf.DUMMYFUNCTION("""COMPUTED_VALUE"""),"No")</f>
        <v>No</v>
      </c>
      <c r="H383" s="5" t="str">
        <f ca="1">IFERROR(__xludf.DUMMYFUNCTION("""COMPUTED_VALUE"""),"None")</f>
        <v>None</v>
      </c>
    </row>
    <row r="384" spans="1:8">
      <c r="A384" s="5" t="str">
        <f ca="1">IFERROR(__xludf.DUMMYFUNCTION("""COMPUTED_VALUE"""),"20210827VTEDB")</f>
        <v>20210827VTEDB</v>
      </c>
      <c r="B384" s="5"/>
      <c r="C384" s="5"/>
      <c r="D384" s="5"/>
      <c r="E384" s="5"/>
      <c r="F384" s="5" t="str">
        <f ca="1">IFERROR(__xludf.DUMMYFUNCTION("""COMPUTED_VALUE"""),"Fled/Escaped")</f>
        <v>Fled/Escaped</v>
      </c>
      <c r="G384" s="5" t="str">
        <f ca="1">IFERROR(__xludf.DUMMYFUNCTION("""COMPUTED_VALUE"""),"No")</f>
        <v>No</v>
      </c>
      <c r="H384" s="5" t="str">
        <f ca="1">IFERROR(__xludf.DUMMYFUNCTION("""COMPUTED_VALUE"""),"None")</f>
        <v>None</v>
      </c>
    </row>
    <row r="385" spans="1:8">
      <c r="A385" s="5" t="str">
        <f ca="1">IFERROR(__xludf.DUMMYFUNCTION("""COMPUTED_VALUE"""),"20210827VAFRW")</f>
        <v>20210827VAFRW</v>
      </c>
      <c r="B385" s="5">
        <f ca="1">IFERROR(__xludf.DUMMYFUNCTION("""COMPUTED_VALUE"""),17)</f>
        <v>17</v>
      </c>
      <c r="C385" s="5" t="str">
        <f ca="1">IFERROR(__xludf.DUMMYFUNCTION("""COMPUTED_VALUE"""),"Male")</f>
        <v>Male</v>
      </c>
      <c r="D385" s="5"/>
      <c r="E385" s="5" t="str">
        <f ca="1">IFERROR(__xludf.DUMMYFUNCTION("""COMPUTED_VALUE"""),"Student")</f>
        <v>Student</v>
      </c>
      <c r="F385" s="5" t="str">
        <f ca="1">IFERROR(__xludf.DUMMYFUNCTION("""COMPUTED_VALUE"""),"Fled/Apprehended")</f>
        <v>Fled/Apprehended</v>
      </c>
      <c r="G385" s="5" t="str">
        <f ca="1">IFERROR(__xludf.DUMMYFUNCTION("""COMPUTED_VALUE"""),"No")</f>
        <v>No</v>
      </c>
      <c r="H385" s="5" t="str">
        <f ca="1">IFERROR(__xludf.DUMMYFUNCTION("""COMPUTED_VALUE"""),"None")</f>
        <v>None</v>
      </c>
    </row>
    <row r="386" spans="1:8">
      <c r="A386" s="5" t="str">
        <f ca="1">IFERROR(__xludf.DUMMYFUNCTION("""COMPUTED_VALUE"""),"20210827PAACS")</f>
        <v>20210827PAACS</v>
      </c>
      <c r="B386" s="5"/>
      <c r="C386" s="5"/>
      <c r="D386" s="5"/>
      <c r="E386" s="5" t="str">
        <f ca="1">IFERROR(__xludf.DUMMYFUNCTION("""COMPUTED_VALUE"""),"Police Officer/SRO")</f>
        <v>Police Officer/SRO</v>
      </c>
      <c r="F386" s="5" t="str">
        <f ca="1">IFERROR(__xludf.DUMMYFUNCTION("""COMPUTED_VALUE"""),"Law Enforcement")</f>
        <v>Law Enforcement</v>
      </c>
      <c r="G386" s="5"/>
      <c r="H386" s="5"/>
    </row>
    <row r="387" spans="1:8">
      <c r="A387" s="5" t="str">
        <f ca="1">IFERROR(__xludf.DUMMYFUNCTION("""COMPUTED_VALUE"""),"20210827PAACS")</f>
        <v>20210827PAACS</v>
      </c>
      <c r="B387" s="5"/>
      <c r="C387" s="5"/>
      <c r="D387" s="5"/>
      <c r="E387" s="5" t="str">
        <f ca="1">IFERROR(__xludf.DUMMYFUNCTION("""COMPUTED_VALUE"""),"Police Officer/SRO")</f>
        <v>Police Officer/SRO</v>
      </c>
      <c r="F387" s="5" t="str">
        <f ca="1">IFERROR(__xludf.DUMMYFUNCTION("""COMPUTED_VALUE"""),"Law Enforcement")</f>
        <v>Law Enforcement</v>
      </c>
      <c r="G387" s="5"/>
      <c r="H387" s="5"/>
    </row>
    <row r="388" spans="1:8">
      <c r="A388" s="5" t="str">
        <f ca="1">IFERROR(__xludf.DUMMYFUNCTION("""COMPUTED_VALUE"""),"20210827PAACS")</f>
        <v>20210827PAACS</v>
      </c>
      <c r="B388" s="5"/>
      <c r="C388" s="5"/>
      <c r="D388" s="5"/>
      <c r="E388" s="5" t="str">
        <f ca="1">IFERROR(__xludf.DUMMYFUNCTION("""COMPUTED_VALUE"""),"Police Officer/SRO")</f>
        <v>Police Officer/SRO</v>
      </c>
      <c r="F388" s="5" t="str">
        <f ca="1">IFERROR(__xludf.DUMMYFUNCTION("""COMPUTED_VALUE"""),"Law Enforcement")</f>
        <v>Law Enforcement</v>
      </c>
      <c r="G388" s="5"/>
      <c r="H388" s="5"/>
    </row>
    <row r="389" spans="1:8">
      <c r="A389" s="5" t="str">
        <f ca="1">IFERROR(__xludf.DUMMYFUNCTION("""COMPUTED_VALUE"""),"20210827PAACS")</f>
        <v>20210827PAACS</v>
      </c>
      <c r="B389" s="5">
        <f ca="1">IFERROR(__xludf.DUMMYFUNCTION("""COMPUTED_VALUE"""),16)</f>
        <v>16</v>
      </c>
      <c r="C389" s="5" t="str">
        <f ca="1">IFERROR(__xludf.DUMMYFUNCTION("""COMPUTED_VALUE"""),"Male")</f>
        <v>Male</v>
      </c>
      <c r="D389" s="5"/>
      <c r="E389" s="5" t="str">
        <f ca="1">IFERROR(__xludf.DUMMYFUNCTION("""COMPUTED_VALUE"""),"Student")</f>
        <v>Student</v>
      </c>
      <c r="F389" s="5" t="str">
        <f ca="1">IFERROR(__xludf.DUMMYFUNCTION("""COMPUTED_VALUE"""),"Fled/Apprehended")</f>
        <v>Fled/Apprehended</v>
      </c>
      <c r="G389" s="5" t="str">
        <f ca="1">IFERROR(__xludf.DUMMYFUNCTION("""COMPUTED_VALUE"""),"No")</f>
        <v>No</v>
      </c>
      <c r="H389" s="5" t="str">
        <f ca="1">IFERROR(__xludf.DUMMYFUNCTION("""COMPUTED_VALUE"""),"None")</f>
        <v>None</v>
      </c>
    </row>
    <row r="390" spans="1:8">
      <c r="A390" s="5" t="str">
        <f ca="1">IFERROR(__xludf.DUMMYFUNCTION("""COMPUTED_VALUE"""),"20210827PAACS")</f>
        <v>20210827PAACS</v>
      </c>
      <c r="B390" s="5">
        <f ca="1">IFERROR(__xludf.DUMMYFUNCTION("""COMPUTED_VALUE"""),18)</f>
        <v>18</v>
      </c>
      <c r="C390" s="5" t="str">
        <f ca="1">IFERROR(__xludf.DUMMYFUNCTION("""COMPUTED_VALUE"""),"Male")</f>
        <v>Male</v>
      </c>
      <c r="D390" s="5"/>
      <c r="E390" s="5"/>
      <c r="F390" s="5" t="str">
        <f ca="1">IFERROR(__xludf.DUMMYFUNCTION("""COMPUTED_VALUE"""),"Fled/Escaped")</f>
        <v>Fled/Escaped</v>
      </c>
      <c r="G390" s="5" t="str">
        <f ca="1">IFERROR(__xludf.DUMMYFUNCTION("""COMPUTED_VALUE"""),"No")</f>
        <v>No</v>
      </c>
      <c r="H390" s="5" t="str">
        <f ca="1">IFERROR(__xludf.DUMMYFUNCTION("""COMPUTED_VALUE"""),"None")</f>
        <v>None</v>
      </c>
    </row>
    <row r="391" spans="1:8">
      <c r="A391" s="5" t="str">
        <f ca="1">IFERROR(__xludf.DUMMYFUNCTION("""COMPUTED_VALUE"""),"20210827KYAPO")</f>
        <v>20210827KYAPO</v>
      </c>
      <c r="B391" s="5" t="str">
        <f ca="1">IFERROR(__xludf.DUMMYFUNCTION("""COMPUTED_VALUE"""),"Adult")</f>
        <v>Adult</v>
      </c>
      <c r="C391" s="5" t="str">
        <f ca="1">IFERROR(__xludf.DUMMYFUNCTION("""COMPUTED_VALUE"""),"Male")</f>
        <v>Male</v>
      </c>
      <c r="D391" s="5"/>
      <c r="E391" s="5" t="str">
        <f ca="1">IFERROR(__xludf.DUMMYFUNCTION("""COMPUTED_VALUE"""),"Nonstudent Using Athletic Facilities/Attending Game")</f>
        <v>Nonstudent Using Athletic Facilities/Attending Game</v>
      </c>
      <c r="F391" s="5" t="str">
        <f ca="1">IFERROR(__xludf.DUMMYFUNCTION("""COMPUTED_VALUE"""),"Apprehended/Killed by LE")</f>
        <v>Apprehended/Killed by LE</v>
      </c>
      <c r="G391" s="5" t="str">
        <f ca="1">IFERROR(__xludf.DUMMYFUNCTION("""COMPUTED_VALUE"""),"No")</f>
        <v>No</v>
      </c>
      <c r="H391" s="5" t="str">
        <f ca="1">IFERROR(__xludf.DUMMYFUNCTION("""COMPUTED_VALUE"""),"None")</f>
        <v>None</v>
      </c>
    </row>
    <row r="392" spans="1:8">
      <c r="A392" s="5" t="str">
        <f ca="1">IFERROR(__xludf.DUMMYFUNCTION("""COMPUTED_VALUE"""),"20210827INHAH")</f>
        <v>20210827INHAH</v>
      </c>
      <c r="B392" s="5">
        <f ca="1">IFERROR(__xludf.DUMMYFUNCTION("""COMPUTED_VALUE"""),17)</f>
        <v>17</v>
      </c>
      <c r="C392" s="5" t="str">
        <f ca="1">IFERROR(__xludf.DUMMYFUNCTION("""COMPUTED_VALUE"""),"Male")</f>
        <v>Male</v>
      </c>
      <c r="D392" s="5" t="str">
        <f ca="1">IFERROR(__xludf.DUMMYFUNCTION("""COMPUTED_VALUE"""),"Black")</f>
        <v>Black</v>
      </c>
      <c r="E392" s="5" t="str">
        <f ca="1">IFERROR(__xludf.DUMMYFUNCTION("""COMPUTED_VALUE"""),"Former Student")</f>
        <v>Former Student</v>
      </c>
      <c r="F392" s="5" t="str">
        <f ca="1">IFERROR(__xludf.DUMMYFUNCTION("""COMPUTED_VALUE"""),"Fled/Apprehended")</f>
        <v>Fled/Apprehended</v>
      </c>
      <c r="G392" s="5" t="str">
        <f ca="1">IFERROR(__xludf.DUMMYFUNCTION("""COMPUTED_VALUE"""),"No")</f>
        <v>No</v>
      </c>
      <c r="H392" s="5" t="str">
        <f ca="1">IFERROR(__xludf.DUMMYFUNCTION("""COMPUTED_VALUE"""),"None")</f>
        <v>None</v>
      </c>
    </row>
    <row r="393" spans="1:8">
      <c r="A393" s="5" t="str">
        <f ca="1">IFERROR(__xludf.DUMMYFUNCTION("""COMPUTED_VALUE"""),"20210826WAAKS")</f>
        <v>20210826WAAKS</v>
      </c>
      <c r="B393" s="5">
        <f ca="1">IFERROR(__xludf.DUMMYFUNCTION("""COMPUTED_VALUE"""),14)</f>
        <v>14</v>
      </c>
      <c r="C393" s="5" t="str">
        <f ca="1">IFERROR(__xludf.DUMMYFUNCTION("""COMPUTED_VALUE"""),"Male")</f>
        <v>Male</v>
      </c>
      <c r="D393" s="5"/>
      <c r="E393" s="5" t="str">
        <f ca="1">IFERROR(__xludf.DUMMYFUNCTION("""COMPUTED_VALUE"""),"Former Student")</f>
        <v>Former Student</v>
      </c>
      <c r="F393" s="5" t="str">
        <f ca="1">IFERROR(__xludf.DUMMYFUNCTION("""COMPUTED_VALUE"""),"Fled/Apprehended")</f>
        <v>Fled/Apprehended</v>
      </c>
      <c r="G393" s="5" t="str">
        <f ca="1">IFERROR(__xludf.DUMMYFUNCTION("""COMPUTED_VALUE"""),"No")</f>
        <v>No</v>
      </c>
      <c r="H393" s="5" t="str">
        <f ca="1">IFERROR(__xludf.DUMMYFUNCTION("""COMPUTED_VALUE"""),"None")</f>
        <v>None</v>
      </c>
    </row>
    <row r="394" spans="1:8">
      <c r="A394" s="5" t="str">
        <f ca="1">IFERROR(__xludf.DUMMYFUNCTION("""COMPUTED_VALUE"""),"20210826WAAKS")</f>
        <v>20210826WAAKS</v>
      </c>
      <c r="B394" s="5">
        <f ca="1">IFERROR(__xludf.DUMMYFUNCTION("""COMPUTED_VALUE"""),17)</f>
        <v>17</v>
      </c>
      <c r="C394" s="5" t="str">
        <f ca="1">IFERROR(__xludf.DUMMYFUNCTION("""COMPUTED_VALUE"""),"Male")</f>
        <v>Male</v>
      </c>
      <c r="D394" s="5"/>
      <c r="E394" s="5" t="str">
        <f ca="1">IFERROR(__xludf.DUMMYFUNCTION("""COMPUTED_VALUE"""),"Former Student")</f>
        <v>Former Student</v>
      </c>
      <c r="F394" s="5" t="str">
        <f ca="1">IFERROR(__xludf.DUMMYFUNCTION("""COMPUTED_VALUE"""),"Apprehended/Killed by LE")</f>
        <v>Apprehended/Killed by LE</v>
      </c>
      <c r="G394" s="5" t="str">
        <f ca="1">IFERROR(__xludf.DUMMYFUNCTION("""COMPUTED_VALUE"""),"No")</f>
        <v>No</v>
      </c>
      <c r="H394" s="5" t="str">
        <f ca="1">IFERROR(__xludf.DUMMYFUNCTION("""COMPUTED_VALUE"""),"Wounded")</f>
        <v>Wounded</v>
      </c>
    </row>
    <row r="395" spans="1:8">
      <c r="A395" s="5" t="str">
        <f ca="1">IFERROR(__xludf.DUMMYFUNCTION("""COMPUTED_VALUE"""),"20210826OHNOT")</f>
        <v>20210826OHNOT</v>
      </c>
      <c r="B395" s="5" t="str">
        <f ca="1">IFERROR(__xludf.DUMMYFUNCTION("""COMPUTED_VALUE"""),"Adult")</f>
        <v>Adult</v>
      </c>
      <c r="C395" s="5" t="str">
        <f ca="1">IFERROR(__xludf.DUMMYFUNCTION("""COMPUTED_VALUE"""),"Male")</f>
        <v>Male</v>
      </c>
      <c r="D395" s="5"/>
      <c r="E395" s="5" t="str">
        <f ca="1">IFERROR(__xludf.DUMMYFUNCTION("""COMPUTED_VALUE"""),"Nonstudent Using Athletic Facilities/Attending Game")</f>
        <v>Nonstudent Using Athletic Facilities/Attending Game</v>
      </c>
      <c r="F395" s="5" t="str">
        <f ca="1">IFERROR(__xludf.DUMMYFUNCTION("""COMPUTED_VALUE"""),"Fled/Escaped")</f>
        <v>Fled/Escaped</v>
      </c>
      <c r="G395" s="5" t="str">
        <f ca="1">IFERROR(__xludf.DUMMYFUNCTION("""COMPUTED_VALUE"""),"No")</f>
        <v>No</v>
      </c>
      <c r="H395" s="5" t="str">
        <f ca="1">IFERROR(__xludf.DUMMYFUNCTION("""COMPUTED_VALUE"""),"None")</f>
        <v>None</v>
      </c>
    </row>
    <row r="396" spans="1:8">
      <c r="A396" s="5" t="str">
        <f ca="1">IFERROR(__xludf.DUMMYFUNCTION("""COMPUTED_VALUE"""),"20210826NYHAH")</f>
        <v>20210826NYHAH</v>
      </c>
      <c r="B396" s="5">
        <f ca="1">IFERROR(__xludf.DUMMYFUNCTION("""COMPUTED_VALUE"""),27)</f>
        <v>27</v>
      </c>
      <c r="C396" s="5" t="str">
        <f ca="1">IFERROR(__xludf.DUMMYFUNCTION("""COMPUTED_VALUE"""),"Male")</f>
        <v>Male</v>
      </c>
      <c r="D396" s="5"/>
      <c r="E396" s="5"/>
      <c r="F396" s="5" t="str">
        <f ca="1">IFERROR(__xludf.DUMMYFUNCTION("""COMPUTED_VALUE"""),"Fled/Apprehended")</f>
        <v>Fled/Apprehended</v>
      </c>
      <c r="G396" s="5" t="str">
        <f ca="1">IFERROR(__xludf.DUMMYFUNCTION("""COMPUTED_VALUE"""),"No")</f>
        <v>No</v>
      </c>
      <c r="H396" s="5" t="str">
        <f ca="1">IFERROR(__xludf.DUMMYFUNCTION("""COMPUTED_VALUE"""),"None")</f>
        <v>None</v>
      </c>
    </row>
    <row r="397" spans="1:8">
      <c r="A397" s="5" t="str">
        <f ca="1">IFERROR(__xludf.DUMMYFUNCTION("""COMPUTED_VALUE"""),"20210822ILWER")</f>
        <v>20210822ILWER</v>
      </c>
      <c r="B397" s="5">
        <f ca="1">IFERROR(__xludf.DUMMYFUNCTION("""COMPUTED_VALUE"""),17)</f>
        <v>17</v>
      </c>
      <c r="C397" s="5" t="str">
        <f ca="1">IFERROR(__xludf.DUMMYFUNCTION("""COMPUTED_VALUE"""),"Male")</f>
        <v>Male</v>
      </c>
      <c r="D397" s="5"/>
      <c r="E397" s="5" t="str">
        <f ca="1">IFERROR(__xludf.DUMMYFUNCTION("""COMPUTED_VALUE"""),"No Relation")</f>
        <v>No Relation</v>
      </c>
      <c r="F397" s="5" t="str">
        <f ca="1">IFERROR(__xludf.DUMMYFUNCTION("""COMPUTED_VALUE"""),"Fled/Apprehended")</f>
        <v>Fled/Apprehended</v>
      </c>
      <c r="G397" s="5" t="str">
        <f ca="1">IFERROR(__xludf.DUMMYFUNCTION("""COMPUTED_VALUE"""),"No")</f>
        <v>No</v>
      </c>
      <c r="H397" s="5" t="str">
        <f ca="1">IFERROR(__xludf.DUMMYFUNCTION("""COMPUTED_VALUE"""),"None")</f>
        <v>None</v>
      </c>
    </row>
    <row r="398" spans="1:8">
      <c r="A398" s="5" t="str">
        <f ca="1">IFERROR(__xludf.DUMMYFUNCTION("""COMPUTED_VALUE"""),"20210820NEMIO")</f>
        <v>20210820NEMIO</v>
      </c>
      <c r="B398" s="5" t="str">
        <f ca="1">IFERROR(__xludf.DUMMYFUNCTION("""COMPUTED_VALUE"""),"Adult")</f>
        <v>Adult</v>
      </c>
      <c r="C398" s="5"/>
      <c r="D398" s="5"/>
      <c r="E398" s="5" t="str">
        <f ca="1">IFERROR(__xludf.DUMMYFUNCTION("""COMPUTED_VALUE"""),"No Relation")</f>
        <v>No Relation</v>
      </c>
      <c r="F398" s="5" t="str">
        <f ca="1">IFERROR(__xludf.DUMMYFUNCTION("""COMPUTED_VALUE"""),"Fled/Escaped")</f>
        <v>Fled/Escaped</v>
      </c>
      <c r="G398" s="5" t="str">
        <f ca="1">IFERROR(__xludf.DUMMYFUNCTION("""COMPUTED_VALUE"""),"No")</f>
        <v>No</v>
      </c>
      <c r="H398" s="5" t="str">
        <f ca="1">IFERROR(__xludf.DUMMYFUNCTION("""COMPUTED_VALUE"""),"None")</f>
        <v>None</v>
      </c>
    </row>
    <row r="399" spans="1:8">
      <c r="A399" s="5" t="str">
        <f ca="1">IFERROR(__xludf.DUMMYFUNCTION("""COMPUTED_VALUE"""),"20210820CACEF")</f>
        <v>20210820CACEF</v>
      </c>
      <c r="B399" s="5">
        <f ca="1">IFERROR(__xludf.DUMMYFUNCTION("""COMPUTED_VALUE"""),19)</f>
        <v>19</v>
      </c>
      <c r="C399" s="5" t="str">
        <f ca="1">IFERROR(__xludf.DUMMYFUNCTION("""COMPUTED_VALUE"""),"Male")</f>
        <v>Male</v>
      </c>
      <c r="D399" s="5"/>
      <c r="E399" s="5" t="str">
        <f ca="1">IFERROR(__xludf.DUMMYFUNCTION("""COMPUTED_VALUE"""),"Nonstudent Using Athletic Facilities/Attending Game")</f>
        <v>Nonstudent Using Athletic Facilities/Attending Game</v>
      </c>
      <c r="F399" s="5" t="str">
        <f ca="1">IFERROR(__xludf.DUMMYFUNCTION("""COMPUTED_VALUE"""),"Apprehended/Killed by LE")</f>
        <v>Apprehended/Killed by LE</v>
      </c>
      <c r="G399" s="5" t="str">
        <f ca="1">IFERROR(__xludf.DUMMYFUNCTION("""COMPUTED_VALUE"""),"No")</f>
        <v>No</v>
      </c>
      <c r="H399" s="5" t="str">
        <f ca="1">IFERROR(__xludf.DUMMYFUNCTION("""COMPUTED_VALUE"""),"None")</f>
        <v>None</v>
      </c>
    </row>
    <row r="400" spans="1:8">
      <c r="A400" s="5" t="str">
        <f ca="1">IFERROR(__xludf.DUMMYFUNCTION("""COMPUTED_VALUE"""),"20210818SCORO")</f>
        <v>20210818SCORO</v>
      </c>
      <c r="B400" s="5">
        <f ca="1">IFERROR(__xludf.DUMMYFUNCTION("""COMPUTED_VALUE"""),14)</f>
        <v>14</v>
      </c>
      <c r="C400" s="5" t="str">
        <f ca="1">IFERROR(__xludf.DUMMYFUNCTION("""COMPUTED_VALUE"""),"Male")</f>
        <v>Male</v>
      </c>
      <c r="D400" s="5"/>
      <c r="E400" s="5" t="str">
        <f ca="1">IFERROR(__xludf.DUMMYFUNCTION("""COMPUTED_VALUE"""),"Student")</f>
        <v>Student</v>
      </c>
      <c r="F400" s="5" t="str">
        <f ca="1">IFERROR(__xludf.DUMMYFUNCTION("""COMPUTED_VALUE"""),"Fled/Apprehended")</f>
        <v>Fled/Apprehended</v>
      </c>
      <c r="G400" s="5" t="str">
        <f ca="1">IFERROR(__xludf.DUMMYFUNCTION("""COMPUTED_VALUE"""),"No")</f>
        <v>No</v>
      </c>
      <c r="H400" s="5" t="str">
        <f ca="1">IFERROR(__xludf.DUMMYFUNCTION("""COMPUTED_VALUE"""),"None")</f>
        <v>None</v>
      </c>
    </row>
    <row r="401" spans="1:8">
      <c r="A401" s="5" t="str">
        <f ca="1">IFERROR(__xludf.DUMMYFUNCTION("""COMPUTED_VALUE"""),"20210817COYED")</f>
        <v>20210817COYED</v>
      </c>
      <c r="B401" s="5">
        <f ca="1">IFERROR(__xludf.DUMMYFUNCTION("""COMPUTED_VALUE"""),18)</f>
        <v>18</v>
      </c>
      <c r="C401" s="5" t="str">
        <f ca="1">IFERROR(__xludf.DUMMYFUNCTION("""COMPUTED_VALUE"""),"Male")</f>
        <v>Male</v>
      </c>
      <c r="D401" s="5"/>
      <c r="E401" s="5" t="str">
        <f ca="1">IFERROR(__xludf.DUMMYFUNCTION("""COMPUTED_VALUE"""),"No Relation")</f>
        <v>No Relation</v>
      </c>
      <c r="F401" s="5" t="str">
        <f ca="1">IFERROR(__xludf.DUMMYFUNCTION("""COMPUTED_VALUE"""),"Fled/Apprehended")</f>
        <v>Fled/Apprehended</v>
      </c>
      <c r="G401" s="5" t="str">
        <f ca="1">IFERROR(__xludf.DUMMYFUNCTION("""COMPUTED_VALUE"""),"No")</f>
        <v>No</v>
      </c>
      <c r="H401" s="5" t="str">
        <f ca="1">IFERROR(__xludf.DUMMYFUNCTION("""COMPUTED_VALUE"""),"None")</f>
        <v>None</v>
      </c>
    </row>
    <row r="402" spans="1:8">
      <c r="A402" s="5" t="str">
        <f ca="1">IFERROR(__xludf.DUMMYFUNCTION("""COMPUTED_VALUE"""),"20210815VAROD")</f>
        <v>20210815VAROD</v>
      </c>
      <c r="B402" s="5"/>
      <c r="C402" s="5"/>
      <c r="D402" s="5"/>
      <c r="E402" s="5" t="str">
        <f ca="1">IFERROR(__xludf.DUMMYFUNCTION("""COMPUTED_VALUE"""),"No Relation")</f>
        <v>No Relation</v>
      </c>
      <c r="F402" s="5" t="str">
        <f ca="1">IFERROR(__xludf.DUMMYFUNCTION("""COMPUTED_VALUE"""),"Fled/Escaped")</f>
        <v>Fled/Escaped</v>
      </c>
      <c r="G402" s="5" t="str">
        <f ca="1">IFERROR(__xludf.DUMMYFUNCTION("""COMPUTED_VALUE"""),"No")</f>
        <v>No</v>
      </c>
      <c r="H402" s="5" t="str">
        <f ca="1">IFERROR(__xludf.DUMMYFUNCTION("""COMPUTED_VALUE"""),"None")</f>
        <v>None</v>
      </c>
    </row>
    <row r="403" spans="1:8">
      <c r="A403" s="5" t="str">
        <f ca="1">IFERROR(__xludf.DUMMYFUNCTION("""COMPUTED_VALUE"""),"20210814SCDAH")</f>
        <v>20210814SCDAH</v>
      </c>
      <c r="B403" s="5"/>
      <c r="C403" s="5"/>
      <c r="D403" s="5"/>
      <c r="E403" s="5"/>
      <c r="F403" s="5" t="str">
        <f ca="1">IFERROR(__xludf.DUMMYFUNCTION("""COMPUTED_VALUE"""),"Fled/Escaped")</f>
        <v>Fled/Escaped</v>
      </c>
      <c r="G403" s="5" t="str">
        <f ca="1">IFERROR(__xludf.DUMMYFUNCTION("""COMPUTED_VALUE"""),"No")</f>
        <v>No</v>
      </c>
      <c r="H403" s="5" t="str">
        <f ca="1">IFERROR(__xludf.DUMMYFUNCTION("""COMPUTED_VALUE"""),"None")</f>
        <v>None</v>
      </c>
    </row>
    <row r="404" spans="1:8">
      <c r="A404" s="5" t="str">
        <f ca="1">IFERROR(__xludf.DUMMYFUNCTION("""COMPUTED_VALUE"""),"20210814ILMAC")</f>
        <v>20210814ILMAC</v>
      </c>
      <c r="B404" s="5"/>
      <c r="C404" s="5"/>
      <c r="D404" s="5"/>
      <c r="E404" s="5" t="str">
        <f ca="1">IFERROR(__xludf.DUMMYFUNCTION("""COMPUTED_VALUE"""),"No Relation")</f>
        <v>No Relation</v>
      </c>
      <c r="F404" s="5" t="str">
        <f ca="1">IFERROR(__xludf.DUMMYFUNCTION("""COMPUTED_VALUE"""),"Fled/Escaped")</f>
        <v>Fled/Escaped</v>
      </c>
      <c r="G404" s="5" t="str">
        <f ca="1">IFERROR(__xludf.DUMMYFUNCTION("""COMPUTED_VALUE"""),"No")</f>
        <v>No</v>
      </c>
      <c r="H404" s="5" t="str">
        <f ca="1">IFERROR(__xludf.DUMMYFUNCTION("""COMPUTED_VALUE"""),"None")</f>
        <v>None</v>
      </c>
    </row>
    <row r="405" spans="1:8">
      <c r="A405" s="5" t="str">
        <f ca="1">IFERROR(__xludf.DUMMYFUNCTION("""COMPUTED_VALUE"""),"20210813NMWAA")</f>
        <v>20210813NMWAA</v>
      </c>
      <c r="B405" s="5">
        <f ca="1">IFERROR(__xludf.DUMMYFUNCTION("""COMPUTED_VALUE"""),13)</f>
        <v>13</v>
      </c>
      <c r="C405" s="5" t="str">
        <f ca="1">IFERROR(__xludf.DUMMYFUNCTION("""COMPUTED_VALUE"""),"Male")</f>
        <v>Male</v>
      </c>
      <c r="D405" s="5" t="str">
        <f ca="1">IFERROR(__xludf.DUMMYFUNCTION("""COMPUTED_VALUE"""),"Hispanic")</f>
        <v>Hispanic</v>
      </c>
      <c r="E405" s="5" t="str">
        <f ca="1">IFERROR(__xludf.DUMMYFUNCTION("""COMPUTED_VALUE"""),"Student")</f>
        <v>Student</v>
      </c>
      <c r="F405" s="5" t="str">
        <f ca="1">IFERROR(__xludf.DUMMYFUNCTION("""COMPUTED_VALUE"""),"Apprehended/Killed by SRO")</f>
        <v>Apprehended/Killed by SRO</v>
      </c>
      <c r="G405" s="5" t="str">
        <f ca="1">IFERROR(__xludf.DUMMYFUNCTION("""COMPUTED_VALUE"""),"No")</f>
        <v>No</v>
      </c>
      <c r="H405" s="5" t="str">
        <f ca="1">IFERROR(__xludf.DUMMYFUNCTION("""COMPUTED_VALUE"""),"None")</f>
        <v>None</v>
      </c>
    </row>
    <row r="406" spans="1:8">
      <c r="A406" s="5" t="str">
        <f ca="1">IFERROR(__xludf.DUMMYFUNCTION("""COMPUTED_VALUE"""),"20210813GACAS")</f>
        <v>20210813GACAS</v>
      </c>
      <c r="B406" s="5"/>
      <c r="C406" s="5"/>
      <c r="D406" s="5"/>
      <c r="E406" s="5"/>
      <c r="F406" s="5" t="str">
        <f ca="1">IFERROR(__xludf.DUMMYFUNCTION("""COMPUTED_VALUE"""),"Fled/Escaped")</f>
        <v>Fled/Escaped</v>
      </c>
      <c r="G406" s="5" t="str">
        <f ca="1">IFERROR(__xludf.DUMMYFUNCTION("""COMPUTED_VALUE"""),"No")</f>
        <v>No</v>
      </c>
      <c r="H406" s="5" t="str">
        <f ca="1">IFERROR(__xludf.DUMMYFUNCTION("""COMPUTED_VALUE"""),"None")</f>
        <v>None</v>
      </c>
    </row>
    <row r="407" spans="1:8">
      <c r="A407" s="5" t="str">
        <f ca="1">IFERROR(__xludf.DUMMYFUNCTION("""COMPUTED_VALUE"""),"20210812GALIL")</f>
        <v>20210812GALIL</v>
      </c>
      <c r="B407" s="5"/>
      <c r="C407" s="5"/>
      <c r="D407" s="5"/>
      <c r="E407" s="5" t="str">
        <f ca="1">IFERROR(__xludf.DUMMYFUNCTION("""COMPUTED_VALUE"""),"Police Officer/SRO")</f>
        <v>Police Officer/SRO</v>
      </c>
      <c r="F407" s="5"/>
      <c r="G407" s="5"/>
      <c r="H407" s="5"/>
    </row>
    <row r="408" spans="1:8">
      <c r="A408" s="5" t="str">
        <f ca="1">IFERROR(__xludf.DUMMYFUNCTION("""COMPUTED_VALUE"""),"20210812CANOS")</f>
        <v>20210812CANOS</v>
      </c>
      <c r="B408" s="5" t="str">
        <f ca="1">IFERROR(__xludf.DUMMYFUNCTION("""COMPUTED_VALUE"""),"Teen")</f>
        <v>Teen</v>
      </c>
      <c r="C408" s="5"/>
      <c r="D408" s="5"/>
      <c r="E408" s="5" t="str">
        <f ca="1">IFERROR(__xludf.DUMMYFUNCTION("""COMPUTED_VALUE"""),"Student")</f>
        <v>Student</v>
      </c>
      <c r="F408" s="5" t="str">
        <f ca="1">IFERROR(__xludf.DUMMYFUNCTION("""COMPUTED_VALUE"""),"Apprehended/Killed by LE")</f>
        <v>Apprehended/Killed by LE</v>
      </c>
      <c r="G408" s="5" t="str">
        <f ca="1">IFERROR(__xludf.DUMMYFUNCTION("""COMPUTED_VALUE"""),"No")</f>
        <v>No</v>
      </c>
      <c r="H408" s="5" t="str">
        <f ca="1">IFERROR(__xludf.DUMMYFUNCTION("""COMPUTED_VALUE"""),"None")</f>
        <v>None</v>
      </c>
    </row>
    <row r="409" spans="1:8">
      <c r="A409" s="5" t="str">
        <f ca="1">IFERROR(__xludf.DUMMYFUNCTION("""COMPUTED_VALUE"""),"20210811COMAC")</f>
        <v>20210811COMAC</v>
      </c>
      <c r="B409" s="5"/>
      <c r="C409" s="5"/>
      <c r="D409" s="5"/>
      <c r="E409" s="5" t="str">
        <f ca="1">IFERROR(__xludf.DUMMYFUNCTION("""COMPUTED_VALUE"""),"No Relation")</f>
        <v>No Relation</v>
      </c>
      <c r="F409" s="5" t="str">
        <f ca="1">IFERROR(__xludf.DUMMYFUNCTION("""COMPUTED_VALUE"""),"Fled/Escaped")</f>
        <v>Fled/Escaped</v>
      </c>
      <c r="G409" s="5" t="str">
        <f ca="1">IFERROR(__xludf.DUMMYFUNCTION("""COMPUTED_VALUE"""),"No")</f>
        <v>No</v>
      </c>
      <c r="H409" s="5" t="str">
        <f ca="1">IFERROR(__xludf.DUMMYFUNCTION("""COMPUTED_VALUE"""),"None")</f>
        <v>None</v>
      </c>
    </row>
    <row r="410" spans="1:8">
      <c r="A410" s="5" t="str">
        <f ca="1">IFERROR(__xludf.DUMMYFUNCTION("""COMPUTED_VALUE"""),"20210811CAOAO")</f>
        <v>20210811CAOAO</v>
      </c>
      <c r="B410" s="5"/>
      <c r="C410" s="5"/>
      <c r="D410" s="5"/>
      <c r="E410" s="5"/>
      <c r="F410" s="5" t="str">
        <f ca="1">IFERROR(__xludf.DUMMYFUNCTION("""COMPUTED_VALUE"""),"Fled/Escaped")</f>
        <v>Fled/Escaped</v>
      </c>
      <c r="G410" s="5" t="str">
        <f ca="1">IFERROR(__xludf.DUMMYFUNCTION("""COMPUTED_VALUE"""),"No")</f>
        <v>No</v>
      </c>
      <c r="H410" s="5" t="str">
        <f ca="1">IFERROR(__xludf.DUMMYFUNCTION("""COMPUTED_VALUE"""),"None")</f>
        <v>None</v>
      </c>
    </row>
    <row r="411" spans="1:8">
      <c r="A411" s="5" t="str">
        <f ca="1">IFERROR(__xludf.DUMMYFUNCTION("""COMPUTED_VALUE"""),"20210810OHEAC")</f>
        <v>20210810OHEAC</v>
      </c>
      <c r="B411" s="5">
        <f ca="1">IFERROR(__xludf.DUMMYFUNCTION("""COMPUTED_VALUE"""),12)</f>
        <v>12</v>
      </c>
      <c r="C411" s="5" t="str">
        <f ca="1">IFERROR(__xludf.DUMMYFUNCTION("""COMPUTED_VALUE"""),"Male")</f>
        <v>Male</v>
      </c>
      <c r="D411" s="5"/>
      <c r="E411" s="5" t="str">
        <f ca="1">IFERROR(__xludf.DUMMYFUNCTION("""COMPUTED_VALUE"""),"Former Student")</f>
        <v>Former Student</v>
      </c>
      <c r="F411" s="5" t="str">
        <f ca="1">IFERROR(__xludf.DUMMYFUNCTION("""COMPUTED_VALUE"""),"Surrendered")</f>
        <v>Surrendered</v>
      </c>
      <c r="G411" s="5" t="str">
        <f ca="1">IFERROR(__xludf.DUMMYFUNCTION("""COMPUTED_VALUE"""),"No")</f>
        <v>No</v>
      </c>
      <c r="H411" s="5" t="str">
        <f ca="1">IFERROR(__xludf.DUMMYFUNCTION("""COMPUTED_VALUE"""),"None")</f>
        <v>None</v>
      </c>
    </row>
    <row r="412" spans="1:8">
      <c r="A412" s="5" t="str">
        <f ca="1">IFERROR(__xludf.DUMMYFUNCTION("""COMPUTED_VALUE"""),"20210807ORGIP")</f>
        <v>20210807ORGIP</v>
      </c>
      <c r="B412" s="5"/>
      <c r="C412" s="5"/>
      <c r="D412" s="5"/>
      <c r="E412" s="5"/>
      <c r="F412" s="5" t="str">
        <f ca="1">IFERROR(__xludf.DUMMYFUNCTION("""COMPUTED_VALUE"""),"Fled/Escaped")</f>
        <v>Fled/Escaped</v>
      </c>
      <c r="G412" s="5" t="str">
        <f ca="1">IFERROR(__xludf.DUMMYFUNCTION("""COMPUTED_VALUE"""),"No")</f>
        <v>No</v>
      </c>
      <c r="H412" s="5" t="str">
        <f ca="1">IFERROR(__xludf.DUMMYFUNCTION("""COMPUTED_VALUE"""),"None")</f>
        <v>None</v>
      </c>
    </row>
    <row r="413" spans="1:8">
      <c r="A413" s="5" t="str">
        <f ca="1">IFERROR(__xludf.DUMMYFUNCTION("""COMPUTED_VALUE"""),"20210806LASTH")</f>
        <v>20210806LASTH</v>
      </c>
      <c r="B413" s="5">
        <f ca="1">IFERROR(__xludf.DUMMYFUNCTION("""COMPUTED_VALUE"""),17)</f>
        <v>17</v>
      </c>
      <c r="C413" s="5" t="str">
        <f ca="1">IFERROR(__xludf.DUMMYFUNCTION("""COMPUTED_VALUE"""),"Male")</f>
        <v>Male</v>
      </c>
      <c r="D413" s="5" t="str">
        <f ca="1">IFERROR(__xludf.DUMMYFUNCTION("""COMPUTED_VALUE"""),"Black")</f>
        <v>Black</v>
      </c>
      <c r="E413" s="5" t="str">
        <f ca="1">IFERROR(__xludf.DUMMYFUNCTION("""COMPUTED_VALUE"""),"No Relation")</f>
        <v>No Relation</v>
      </c>
      <c r="F413" s="5" t="str">
        <f ca="1">IFERROR(__xludf.DUMMYFUNCTION("""COMPUTED_VALUE"""),"Fled/Apprehended")</f>
        <v>Fled/Apprehended</v>
      </c>
      <c r="G413" s="5" t="str">
        <f ca="1">IFERROR(__xludf.DUMMYFUNCTION("""COMPUTED_VALUE"""),"No")</f>
        <v>No</v>
      </c>
      <c r="H413" s="5" t="str">
        <f ca="1">IFERROR(__xludf.DUMMYFUNCTION("""COMPUTED_VALUE"""),"None")</f>
        <v>None</v>
      </c>
    </row>
    <row r="414" spans="1:8">
      <c r="A414" s="5" t="str">
        <f ca="1">IFERROR(__xludf.DUMMYFUNCTION("""COMPUTED_VALUE"""),"20210805GACHD")</f>
        <v>20210805GACHD</v>
      </c>
      <c r="B414" s="5">
        <f ca="1">IFERROR(__xludf.DUMMYFUNCTION("""COMPUTED_VALUE"""),23)</f>
        <v>23</v>
      </c>
      <c r="C414" s="5" t="str">
        <f ca="1">IFERROR(__xludf.DUMMYFUNCTION("""COMPUTED_VALUE"""),"Male")</f>
        <v>Male</v>
      </c>
      <c r="D414" s="5" t="str">
        <f ca="1">IFERROR(__xludf.DUMMYFUNCTION("""COMPUTED_VALUE"""),"Black")</f>
        <v>Black</v>
      </c>
      <c r="E414" s="5" t="str">
        <f ca="1">IFERROR(__xludf.DUMMYFUNCTION("""COMPUTED_VALUE"""),"Teacher")</f>
        <v>Teacher</v>
      </c>
      <c r="F414" s="5" t="str">
        <f ca="1">IFERROR(__xludf.DUMMYFUNCTION("""COMPUTED_VALUE"""),"Fled/Apprehended")</f>
        <v>Fled/Apprehended</v>
      </c>
      <c r="G414" s="5" t="str">
        <f ca="1">IFERROR(__xludf.DUMMYFUNCTION("""COMPUTED_VALUE"""),"No")</f>
        <v>No</v>
      </c>
      <c r="H414" s="5" t="str">
        <f ca="1">IFERROR(__xludf.DUMMYFUNCTION("""COMPUTED_VALUE"""),"None")</f>
        <v>None</v>
      </c>
    </row>
    <row r="415" spans="1:8">
      <c r="A415" s="5" t="str">
        <f ca="1">IFERROR(__xludf.DUMMYFUNCTION("""COMPUTED_VALUE"""),"20210804ALBUM")</f>
        <v>20210804ALBUM</v>
      </c>
      <c r="B415" s="5"/>
      <c r="C415" s="5"/>
      <c r="D415" s="5"/>
      <c r="E415" s="5"/>
      <c r="F415" s="5" t="str">
        <f ca="1">IFERROR(__xludf.DUMMYFUNCTION("""COMPUTED_VALUE"""),"Fled/Escaped")</f>
        <v>Fled/Escaped</v>
      </c>
      <c r="G415" s="5" t="str">
        <f ca="1">IFERROR(__xludf.DUMMYFUNCTION("""COMPUTED_VALUE"""),"No")</f>
        <v>No</v>
      </c>
      <c r="H415" s="5" t="str">
        <f ca="1">IFERROR(__xludf.DUMMYFUNCTION("""COMPUTED_VALUE"""),"None")</f>
        <v>None</v>
      </c>
    </row>
    <row r="416" spans="1:8">
      <c r="A416" s="5" t="str">
        <f ca="1">IFERROR(__xludf.DUMMYFUNCTION("""COMPUTED_VALUE"""),"20210727WATYS")</f>
        <v>20210727WATYS</v>
      </c>
      <c r="B416" s="5" t="str">
        <f ca="1">IFERROR(__xludf.DUMMYFUNCTION("""COMPUTED_VALUE"""),"Adult")</f>
        <v>Adult</v>
      </c>
      <c r="C416" s="5" t="str">
        <f ca="1">IFERROR(__xludf.DUMMYFUNCTION("""COMPUTED_VALUE"""),"Male")</f>
        <v>Male</v>
      </c>
      <c r="D416" s="5"/>
      <c r="E416" s="5" t="str">
        <f ca="1">IFERROR(__xludf.DUMMYFUNCTION("""COMPUTED_VALUE"""),"Nonstudent Using Athletic Facilities/Attending Game")</f>
        <v>Nonstudent Using Athletic Facilities/Attending Game</v>
      </c>
      <c r="F416" s="5" t="str">
        <f ca="1">IFERROR(__xludf.DUMMYFUNCTION("""COMPUTED_VALUE"""),"Fled/Escaped")</f>
        <v>Fled/Escaped</v>
      </c>
      <c r="G416" s="5" t="str">
        <f ca="1">IFERROR(__xludf.DUMMYFUNCTION("""COMPUTED_VALUE"""),"No")</f>
        <v>No</v>
      </c>
      <c r="H416" s="5" t="str">
        <f ca="1">IFERROR(__xludf.DUMMYFUNCTION("""COMPUTED_VALUE"""),"None")</f>
        <v>None</v>
      </c>
    </row>
    <row r="417" spans="1:8">
      <c r="A417" s="5" t="str">
        <f ca="1">IFERROR(__xludf.DUMMYFUNCTION("""COMPUTED_VALUE"""),"20210721ILTHC")</f>
        <v>20210721ILTHC</v>
      </c>
      <c r="B417" s="5"/>
      <c r="C417" s="5"/>
      <c r="D417" s="5"/>
      <c r="E417" s="5" t="str">
        <f ca="1">IFERROR(__xludf.DUMMYFUNCTION("""COMPUTED_VALUE"""),"No Relation")</f>
        <v>No Relation</v>
      </c>
      <c r="F417" s="5" t="str">
        <f ca="1">IFERROR(__xludf.DUMMYFUNCTION("""COMPUTED_VALUE"""),"Fled/Escaped")</f>
        <v>Fled/Escaped</v>
      </c>
      <c r="G417" s="5" t="str">
        <f ca="1">IFERROR(__xludf.DUMMYFUNCTION("""COMPUTED_VALUE"""),"No")</f>
        <v>No</v>
      </c>
      <c r="H417" s="5" t="str">
        <f ca="1">IFERROR(__xludf.DUMMYFUNCTION("""COMPUTED_VALUE"""),"None")</f>
        <v>None</v>
      </c>
    </row>
    <row r="418" spans="1:8">
      <c r="A418" s="5" t="str">
        <f ca="1">IFERROR(__xludf.DUMMYFUNCTION("""COMPUTED_VALUE"""),"20210719TXCAC")</f>
        <v>20210719TXCAC</v>
      </c>
      <c r="B418" s="5" t="str">
        <f ca="1">IFERROR(__xludf.DUMMYFUNCTION("""COMPUTED_VALUE"""),"Teen")</f>
        <v>Teen</v>
      </c>
      <c r="C418" s="5"/>
      <c r="D418" s="5"/>
      <c r="E418" s="5" t="str">
        <f ca="1">IFERROR(__xludf.DUMMYFUNCTION("""COMPUTED_VALUE"""),"Student")</f>
        <v>Student</v>
      </c>
      <c r="F418" s="5" t="str">
        <f ca="1">IFERROR(__xludf.DUMMYFUNCTION("""COMPUTED_VALUE"""),"Fled/Apprehended")</f>
        <v>Fled/Apprehended</v>
      </c>
      <c r="G418" s="5" t="str">
        <f ca="1">IFERROR(__xludf.DUMMYFUNCTION("""COMPUTED_VALUE"""),"No")</f>
        <v>No</v>
      </c>
      <c r="H418" s="5" t="str">
        <f ca="1">IFERROR(__xludf.DUMMYFUNCTION("""COMPUTED_VALUE"""),"None")</f>
        <v>None</v>
      </c>
    </row>
    <row r="419" spans="1:8">
      <c r="A419" s="5" t="str">
        <f ca="1">IFERROR(__xludf.DUMMYFUNCTION("""COMPUTED_VALUE"""),"20210718ARFOL")</f>
        <v>20210718ARFOL</v>
      </c>
      <c r="B419" s="5" t="str">
        <f ca="1">IFERROR(__xludf.DUMMYFUNCTION("""COMPUTED_VALUE"""),"Adult")</f>
        <v>Adult</v>
      </c>
      <c r="C419" s="5"/>
      <c r="D419" s="5"/>
      <c r="E419" s="5" t="str">
        <f ca="1">IFERROR(__xludf.DUMMYFUNCTION("""COMPUTED_VALUE"""),"Nonstudent Using Athletic Facilities/Attending Game")</f>
        <v>Nonstudent Using Athletic Facilities/Attending Game</v>
      </c>
      <c r="F419" s="5" t="str">
        <f ca="1">IFERROR(__xludf.DUMMYFUNCTION("""COMPUTED_VALUE"""),"Fled/Escaped")</f>
        <v>Fled/Escaped</v>
      </c>
      <c r="G419" s="5" t="str">
        <f ca="1">IFERROR(__xludf.DUMMYFUNCTION("""COMPUTED_VALUE"""),"No")</f>
        <v>No</v>
      </c>
      <c r="H419" s="5" t="str">
        <f ca="1">IFERROR(__xludf.DUMMYFUNCTION("""COMPUTED_VALUE"""),"None")</f>
        <v>None</v>
      </c>
    </row>
    <row r="420" spans="1:8">
      <c r="A420" s="5" t="str">
        <f ca="1">IFERROR(__xludf.DUMMYFUNCTION("""COMPUTED_VALUE"""),"20210709KSCAW")</f>
        <v>20210709KSCAW</v>
      </c>
      <c r="B420" s="5" t="str">
        <f ca="1">IFERROR(__xludf.DUMMYFUNCTION("""COMPUTED_VALUE"""),"Adult")</f>
        <v>Adult</v>
      </c>
      <c r="C420" s="5" t="str">
        <f ca="1">IFERROR(__xludf.DUMMYFUNCTION("""COMPUTED_VALUE"""),"Male")</f>
        <v>Male</v>
      </c>
      <c r="D420" s="5"/>
      <c r="E420" s="5" t="str">
        <f ca="1">IFERROR(__xludf.DUMMYFUNCTION("""COMPUTED_VALUE"""),"No Relation")</f>
        <v>No Relation</v>
      </c>
      <c r="F420" s="5" t="str">
        <f ca="1">IFERROR(__xludf.DUMMYFUNCTION("""COMPUTED_VALUE"""),"Suicide")</f>
        <v>Suicide</v>
      </c>
      <c r="G420" s="5" t="str">
        <f ca="1">IFERROR(__xludf.DUMMYFUNCTION("""COMPUTED_VALUE"""),"Yes")</f>
        <v>Yes</v>
      </c>
      <c r="H420" s="5" t="str">
        <f ca="1">IFERROR(__xludf.DUMMYFUNCTION("""COMPUTED_VALUE"""),"Suicide")</f>
        <v>Suicide</v>
      </c>
    </row>
    <row r="421" spans="1:8">
      <c r="A421" s="5" t="str">
        <f ca="1">IFERROR(__xludf.DUMMYFUNCTION("""COMPUTED_VALUE"""),"20210708ILBEC")</f>
        <v>20210708ILBEC</v>
      </c>
      <c r="B421" s="5" t="str">
        <f ca="1">IFERROR(__xludf.DUMMYFUNCTION("""COMPUTED_VALUE"""),"Adult")</f>
        <v>Adult</v>
      </c>
      <c r="C421" s="5"/>
      <c r="D421" s="5"/>
      <c r="E421" s="5" t="str">
        <f ca="1">IFERROR(__xludf.DUMMYFUNCTION("""COMPUTED_VALUE"""),"No Relation")</f>
        <v>No Relation</v>
      </c>
      <c r="F421" s="5" t="str">
        <f ca="1">IFERROR(__xludf.DUMMYFUNCTION("""COMPUTED_VALUE"""),"Fled/Escaped")</f>
        <v>Fled/Escaped</v>
      </c>
      <c r="G421" s="5" t="str">
        <f ca="1">IFERROR(__xludf.DUMMYFUNCTION("""COMPUTED_VALUE"""),"No")</f>
        <v>No</v>
      </c>
      <c r="H421" s="5" t="str">
        <f ca="1">IFERROR(__xludf.DUMMYFUNCTION("""COMPUTED_VALUE"""),"None")</f>
        <v>None</v>
      </c>
    </row>
    <row r="422" spans="1:8">
      <c r="A422" s="5" t="str">
        <f ca="1">IFERROR(__xludf.DUMMYFUNCTION("""COMPUTED_VALUE"""),"20210704NYDRR")</f>
        <v>20210704NYDRR</v>
      </c>
      <c r="B422" s="5"/>
      <c r="C422" s="5"/>
      <c r="D422" s="5"/>
      <c r="E422" s="5"/>
      <c r="F422" s="5" t="str">
        <f ca="1">IFERROR(__xludf.DUMMYFUNCTION("""COMPUTED_VALUE"""),"Fled/Escaped")</f>
        <v>Fled/Escaped</v>
      </c>
      <c r="G422" s="5" t="str">
        <f ca="1">IFERROR(__xludf.DUMMYFUNCTION("""COMPUTED_VALUE"""),"No")</f>
        <v>No</v>
      </c>
      <c r="H422" s="5" t="str">
        <f ca="1">IFERROR(__xludf.DUMMYFUNCTION("""COMPUTED_VALUE"""),"None")</f>
        <v>None</v>
      </c>
    </row>
    <row r="423" spans="1:8">
      <c r="A423" s="5" t="str">
        <f ca="1">IFERROR(__xludf.DUMMYFUNCTION("""COMPUTED_VALUE"""),"20210628CASLF")</f>
        <v>20210628CASLF</v>
      </c>
      <c r="B423" s="5" t="str">
        <f ca="1">IFERROR(__xludf.DUMMYFUNCTION("""COMPUTED_VALUE"""),"Adult")</f>
        <v>Adult</v>
      </c>
      <c r="C423" s="5"/>
      <c r="D423" s="5"/>
      <c r="E423" s="5" t="str">
        <f ca="1">IFERROR(__xludf.DUMMYFUNCTION("""COMPUTED_VALUE"""),"No Relation")</f>
        <v>No Relation</v>
      </c>
      <c r="F423" s="5" t="str">
        <f ca="1">IFERROR(__xludf.DUMMYFUNCTION("""COMPUTED_VALUE"""),"Fled/Escaped")</f>
        <v>Fled/Escaped</v>
      </c>
      <c r="G423" s="5" t="str">
        <f ca="1">IFERROR(__xludf.DUMMYFUNCTION("""COMPUTED_VALUE"""),"No")</f>
        <v>No</v>
      </c>
      <c r="H423" s="5" t="str">
        <f ca="1">IFERROR(__xludf.DUMMYFUNCTION("""COMPUTED_VALUE"""),"None")</f>
        <v>None</v>
      </c>
    </row>
    <row r="424" spans="1:8">
      <c r="A424" s="5" t="str">
        <f ca="1">IFERROR(__xludf.DUMMYFUNCTION("""COMPUTED_VALUE"""),"20210624ILABR")</f>
        <v>20210624ILABR</v>
      </c>
      <c r="B424" s="5" t="str">
        <f ca="1">IFERROR(__xludf.DUMMYFUNCTION("""COMPUTED_VALUE"""),"Adult")</f>
        <v>Adult</v>
      </c>
      <c r="C424" s="5"/>
      <c r="D424" s="5"/>
      <c r="E424" s="5"/>
      <c r="F424" s="5" t="str">
        <f ca="1">IFERROR(__xludf.DUMMYFUNCTION("""COMPUTED_VALUE"""),"Fled/Escaped")</f>
        <v>Fled/Escaped</v>
      </c>
      <c r="G424" s="5" t="str">
        <f ca="1">IFERROR(__xludf.DUMMYFUNCTION("""COMPUTED_VALUE"""),"No")</f>
        <v>No</v>
      </c>
      <c r="H424" s="5" t="str">
        <f ca="1">IFERROR(__xludf.DUMMYFUNCTION("""COMPUTED_VALUE"""),"None")</f>
        <v>None</v>
      </c>
    </row>
    <row r="425" spans="1:8">
      <c r="A425" s="5" t="str">
        <f ca="1">IFERROR(__xludf.DUMMYFUNCTION("""COMPUTED_VALUE"""),"20210620CAGRM")</f>
        <v>20210620CAGRM</v>
      </c>
      <c r="B425" s="5" t="str">
        <f ca="1">IFERROR(__xludf.DUMMYFUNCTION("""COMPUTED_VALUE"""),"Adult")</f>
        <v>Adult</v>
      </c>
      <c r="C425" s="5"/>
      <c r="D425" s="5"/>
      <c r="E425" s="5" t="str">
        <f ca="1">IFERROR(__xludf.DUMMYFUNCTION("""COMPUTED_VALUE"""),"Security Guard")</f>
        <v>Security Guard</v>
      </c>
      <c r="F425" s="5" t="str">
        <f ca="1">IFERROR(__xludf.DUMMYFUNCTION("""COMPUTED_VALUE"""),"Law Enforcement")</f>
        <v>Law Enforcement</v>
      </c>
      <c r="G425" s="5" t="str">
        <f ca="1">IFERROR(__xludf.DUMMYFUNCTION("""COMPUTED_VALUE"""),"No")</f>
        <v>No</v>
      </c>
      <c r="H425" s="5" t="str">
        <f ca="1">IFERROR(__xludf.DUMMYFUNCTION("""COMPUTED_VALUE"""),"None")</f>
        <v>None</v>
      </c>
    </row>
    <row r="426" spans="1:8">
      <c r="A426" s="5" t="str">
        <f ca="1">IFERROR(__xludf.DUMMYFUNCTION("""COMPUTED_VALUE"""),"20210614TXEAF")</f>
        <v>20210614TXEAF</v>
      </c>
      <c r="B426" s="5"/>
      <c r="C426" s="5" t="str">
        <f ca="1">IFERROR(__xludf.DUMMYFUNCTION("""COMPUTED_VALUE"""),"Male")</f>
        <v>Male</v>
      </c>
      <c r="D426" s="5"/>
      <c r="E426" s="5"/>
      <c r="F426" s="5" t="str">
        <f ca="1">IFERROR(__xludf.DUMMYFUNCTION("""COMPUTED_VALUE"""),"Fled/Escaped")</f>
        <v>Fled/Escaped</v>
      </c>
      <c r="G426" s="5" t="str">
        <f ca="1">IFERROR(__xludf.DUMMYFUNCTION("""COMPUTED_VALUE"""),"No")</f>
        <v>No</v>
      </c>
      <c r="H426" s="5" t="str">
        <f ca="1">IFERROR(__xludf.DUMMYFUNCTION("""COMPUTED_VALUE"""),"None")</f>
        <v>None</v>
      </c>
    </row>
    <row r="427" spans="1:8">
      <c r="A427" s="5" t="str">
        <f ca="1">IFERROR(__xludf.DUMMYFUNCTION("""COMPUTED_VALUE"""),"20210614NCROR")</f>
        <v>20210614NCROR</v>
      </c>
      <c r="B427" s="5"/>
      <c r="C427" s="5"/>
      <c r="D427" s="5"/>
      <c r="E427" s="5"/>
      <c r="F427" s="5" t="str">
        <f ca="1">IFERROR(__xludf.DUMMYFUNCTION("""COMPUTED_VALUE"""),"Fled/Escaped")</f>
        <v>Fled/Escaped</v>
      </c>
      <c r="G427" s="5" t="str">
        <f ca="1">IFERROR(__xludf.DUMMYFUNCTION("""COMPUTED_VALUE"""),"No")</f>
        <v>No</v>
      </c>
      <c r="H427" s="5" t="str">
        <f ca="1">IFERROR(__xludf.DUMMYFUNCTION("""COMPUTED_VALUE"""),"None")</f>
        <v>None</v>
      </c>
    </row>
    <row r="428" spans="1:8">
      <c r="A428" s="5" t="str">
        <f ca="1">IFERROR(__xludf.DUMMYFUNCTION("""COMPUTED_VALUE"""),"20210614NCROR")</f>
        <v>20210614NCROR</v>
      </c>
      <c r="B428" s="5"/>
      <c r="C428" s="5"/>
      <c r="D428" s="5"/>
      <c r="E428" s="5"/>
      <c r="F428" s="5" t="str">
        <f ca="1">IFERROR(__xludf.DUMMYFUNCTION("""COMPUTED_VALUE"""),"Fled/Escaped")</f>
        <v>Fled/Escaped</v>
      </c>
      <c r="G428" s="5" t="str">
        <f ca="1">IFERROR(__xludf.DUMMYFUNCTION("""COMPUTED_VALUE"""),"No")</f>
        <v>No</v>
      </c>
      <c r="H428" s="5" t="str">
        <f ca="1">IFERROR(__xludf.DUMMYFUNCTION("""COMPUTED_VALUE"""),"None")</f>
        <v>None</v>
      </c>
    </row>
    <row r="429" spans="1:8">
      <c r="A429" s="5" t="str">
        <f ca="1">IFERROR(__xludf.DUMMYFUNCTION("""COMPUTED_VALUE"""),"20210614NCROR")</f>
        <v>20210614NCROR</v>
      </c>
      <c r="B429" s="5"/>
      <c r="C429" s="5"/>
      <c r="D429" s="5"/>
      <c r="E429" s="5"/>
      <c r="F429" s="5" t="str">
        <f ca="1">IFERROR(__xludf.DUMMYFUNCTION("""COMPUTED_VALUE"""),"Fled/Escaped")</f>
        <v>Fled/Escaped</v>
      </c>
      <c r="G429" s="5" t="str">
        <f ca="1">IFERROR(__xludf.DUMMYFUNCTION("""COMPUTED_VALUE"""),"No")</f>
        <v>No</v>
      </c>
      <c r="H429" s="5" t="str">
        <f ca="1">IFERROR(__xludf.DUMMYFUNCTION("""COMPUTED_VALUE"""),"None")</f>
        <v>None</v>
      </c>
    </row>
    <row r="430" spans="1:8">
      <c r="A430" s="5" t="str">
        <f ca="1">IFERROR(__xludf.DUMMYFUNCTION("""COMPUTED_VALUE"""),"20210614NCRJW")</f>
        <v>20210614NCRJW</v>
      </c>
      <c r="B430" s="5">
        <f ca="1">IFERROR(__xludf.DUMMYFUNCTION("""COMPUTED_VALUE"""),26)</f>
        <v>26</v>
      </c>
      <c r="C430" s="5" t="str">
        <f ca="1">IFERROR(__xludf.DUMMYFUNCTION("""COMPUTED_VALUE"""),"Male")</f>
        <v>Male</v>
      </c>
      <c r="D430" s="5" t="str">
        <f ca="1">IFERROR(__xludf.DUMMYFUNCTION("""COMPUTED_VALUE"""),"White")</f>
        <v>White</v>
      </c>
      <c r="E430" s="5" t="str">
        <f ca="1">IFERROR(__xludf.DUMMYFUNCTION("""COMPUTED_VALUE"""),"No Relation")</f>
        <v>No Relation</v>
      </c>
      <c r="F430" s="5" t="str">
        <f ca="1">IFERROR(__xludf.DUMMYFUNCTION("""COMPUTED_VALUE"""),"Apprehended/Killed by LE")</f>
        <v>Apprehended/Killed by LE</v>
      </c>
      <c r="G430" s="5" t="str">
        <f ca="1">IFERROR(__xludf.DUMMYFUNCTION("""COMPUTED_VALUE"""),"Yes")</f>
        <v>Yes</v>
      </c>
      <c r="H430" s="5" t="str">
        <f ca="1">IFERROR(__xludf.DUMMYFUNCTION("""COMPUTED_VALUE"""),"Fatal")</f>
        <v>Fatal</v>
      </c>
    </row>
    <row r="431" spans="1:8">
      <c r="A431" s="5" t="str">
        <f ca="1">IFERROR(__xludf.DUMMYFUNCTION("""COMPUTED_VALUE"""),"20210613PAWIP")</f>
        <v>20210613PAWIP</v>
      </c>
      <c r="B431" s="5"/>
      <c r="C431" s="5" t="str">
        <f ca="1">IFERROR(__xludf.DUMMYFUNCTION("""COMPUTED_VALUE"""),"Male")</f>
        <v>Male</v>
      </c>
      <c r="D431" s="5"/>
      <c r="E431" s="5" t="str">
        <f ca="1">IFERROR(__xludf.DUMMYFUNCTION("""COMPUTED_VALUE"""),"Nonstudent Using Athletic Facilities/Attending Game")</f>
        <v>Nonstudent Using Athletic Facilities/Attending Game</v>
      </c>
      <c r="F431" s="5" t="str">
        <f ca="1">IFERROR(__xludf.DUMMYFUNCTION("""COMPUTED_VALUE"""),"Fled/Escaped")</f>
        <v>Fled/Escaped</v>
      </c>
      <c r="G431" s="5" t="str">
        <f ca="1">IFERROR(__xludf.DUMMYFUNCTION("""COMPUTED_VALUE"""),"No")</f>
        <v>No</v>
      </c>
      <c r="H431" s="5" t="str">
        <f ca="1">IFERROR(__xludf.DUMMYFUNCTION("""COMPUTED_VALUE"""),"None")</f>
        <v>None</v>
      </c>
    </row>
    <row r="432" spans="1:8">
      <c r="A432" s="5" t="str">
        <f ca="1">IFERROR(__xludf.DUMMYFUNCTION("""COMPUTED_VALUE"""),"20210613PAPAC")</f>
        <v>20210613PAPAC</v>
      </c>
      <c r="B432" s="5">
        <f ca="1">IFERROR(__xludf.DUMMYFUNCTION("""COMPUTED_VALUE"""),78)</f>
        <v>78</v>
      </c>
      <c r="C432" s="5" t="str">
        <f ca="1">IFERROR(__xludf.DUMMYFUNCTION("""COMPUTED_VALUE"""),"Male")</f>
        <v>Male</v>
      </c>
      <c r="D432" s="5"/>
      <c r="E432" s="5" t="str">
        <f ca="1">IFERROR(__xludf.DUMMYFUNCTION("""COMPUTED_VALUE"""),"No Relation")</f>
        <v>No Relation</v>
      </c>
      <c r="F432" s="5" t="str">
        <f ca="1">IFERROR(__xludf.DUMMYFUNCTION("""COMPUTED_VALUE"""),"Suicide")</f>
        <v>Suicide</v>
      </c>
      <c r="G432" s="5" t="str">
        <f ca="1">IFERROR(__xludf.DUMMYFUNCTION("""COMPUTED_VALUE"""),"No")</f>
        <v>No</v>
      </c>
      <c r="H432" s="5" t="str">
        <f ca="1">IFERROR(__xludf.DUMMYFUNCTION("""COMPUTED_VALUE"""),"Suicide")</f>
        <v>Suicide</v>
      </c>
    </row>
    <row r="433" spans="1:8">
      <c r="A433" s="5" t="str">
        <f ca="1">IFERROR(__xludf.DUMMYFUNCTION("""COMPUTED_VALUE"""),"20210612MOMCF")</f>
        <v>20210612MOMCF</v>
      </c>
      <c r="B433" s="5">
        <f ca="1">IFERROR(__xludf.DUMMYFUNCTION("""COMPUTED_VALUE"""),18)</f>
        <v>18</v>
      </c>
      <c r="C433" s="5" t="str">
        <f ca="1">IFERROR(__xludf.DUMMYFUNCTION("""COMPUTED_VALUE"""),"Male")</f>
        <v>Male</v>
      </c>
      <c r="D433" s="5" t="str">
        <f ca="1">IFERROR(__xludf.DUMMYFUNCTION("""COMPUTED_VALUE"""),"Black")</f>
        <v>Black</v>
      </c>
      <c r="E433" s="5" t="str">
        <f ca="1">IFERROR(__xludf.DUMMYFUNCTION("""COMPUTED_VALUE"""),"Student")</f>
        <v>Student</v>
      </c>
      <c r="F433" s="5" t="str">
        <f ca="1">IFERROR(__xludf.DUMMYFUNCTION("""COMPUTED_VALUE"""),"Fled/Apprehended")</f>
        <v>Fled/Apprehended</v>
      </c>
      <c r="G433" s="5" t="str">
        <f ca="1">IFERROR(__xludf.DUMMYFUNCTION("""COMPUTED_VALUE"""),"No")</f>
        <v>No</v>
      </c>
      <c r="H433" s="5" t="str">
        <f ca="1">IFERROR(__xludf.DUMMYFUNCTION("""COMPUTED_VALUE"""),"None")</f>
        <v>None</v>
      </c>
    </row>
    <row r="434" spans="1:8">
      <c r="A434" s="5" t="str">
        <f ca="1">IFERROR(__xludf.DUMMYFUNCTION("""COMPUTED_VALUE"""),"20210610CTHOW")</f>
        <v>20210610CTHOW</v>
      </c>
      <c r="B434" s="5">
        <f ca="1">IFERROR(__xludf.DUMMYFUNCTION("""COMPUTED_VALUE"""),41)</f>
        <v>41</v>
      </c>
      <c r="C434" s="5" t="str">
        <f ca="1">IFERROR(__xludf.DUMMYFUNCTION("""COMPUTED_VALUE"""),"Male")</f>
        <v>Male</v>
      </c>
      <c r="D434" s="5" t="str">
        <f ca="1">IFERROR(__xludf.DUMMYFUNCTION("""COMPUTED_VALUE"""),"Hispanic")</f>
        <v>Hispanic</v>
      </c>
      <c r="E434" s="5" t="str">
        <f ca="1">IFERROR(__xludf.DUMMYFUNCTION("""COMPUTED_VALUE"""),"No Relation")</f>
        <v>No Relation</v>
      </c>
      <c r="F434" s="5" t="str">
        <f ca="1">IFERROR(__xludf.DUMMYFUNCTION("""COMPUTED_VALUE"""),"Apprehended/Killed by LE")</f>
        <v>Apprehended/Killed by LE</v>
      </c>
      <c r="G434" s="5" t="str">
        <f ca="1">IFERROR(__xludf.DUMMYFUNCTION("""COMPUTED_VALUE"""),"No")</f>
        <v>No</v>
      </c>
      <c r="H434" s="5" t="str">
        <f ca="1">IFERROR(__xludf.DUMMYFUNCTION("""COMPUTED_VALUE"""),"None")</f>
        <v>None</v>
      </c>
    </row>
    <row r="435" spans="1:8">
      <c r="A435" s="5" t="str">
        <f ca="1">IFERROR(__xludf.DUMMYFUNCTION("""COMPUTED_VALUE"""),"20210610CTHOW")</f>
        <v>20210610CTHOW</v>
      </c>
      <c r="B435" s="5">
        <f ca="1">IFERROR(__xludf.DUMMYFUNCTION("""COMPUTED_VALUE"""),45)</f>
        <v>45</v>
      </c>
      <c r="C435" s="5" t="str">
        <f ca="1">IFERROR(__xludf.DUMMYFUNCTION("""COMPUTED_VALUE"""),"Male")</f>
        <v>Male</v>
      </c>
      <c r="D435" s="5" t="str">
        <f ca="1">IFERROR(__xludf.DUMMYFUNCTION("""COMPUTED_VALUE"""),"White")</f>
        <v>White</v>
      </c>
      <c r="E435" s="5" t="str">
        <f ca="1">IFERROR(__xludf.DUMMYFUNCTION("""COMPUTED_VALUE"""),"No Relation")</f>
        <v>No Relation</v>
      </c>
      <c r="F435" s="5" t="str">
        <f ca="1">IFERROR(__xludf.DUMMYFUNCTION("""COMPUTED_VALUE"""),"Apprehended/Killed by LE")</f>
        <v>Apprehended/Killed by LE</v>
      </c>
      <c r="G435" s="5" t="str">
        <f ca="1">IFERROR(__xludf.DUMMYFUNCTION("""COMPUTED_VALUE"""),"No")</f>
        <v>No</v>
      </c>
      <c r="H435" s="5" t="str">
        <f ca="1">IFERROR(__xludf.DUMMYFUNCTION("""COMPUTED_VALUE"""),"None")</f>
        <v>None</v>
      </c>
    </row>
    <row r="436" spans="1:8">
      <c r="A436" s="5" t="str">
        <f ca="1">IFERROR(__xludf.DUMMYFUNCTION("""COMPUTED_VALUE"""),"20210609VAWIR")</f>
        <v>20210609VAWIR</v>
      </c>
      <c r="B436" s="5" t="str">
        <f ca="1">IFERROR(__xludf.DUMMYFUNCTION("""COMPUTED_VALUE"""),"Teen")</f>
        <v>Teen</v>
      </c>
      <c r="C436" s="5" t="str">
        <f ca="1">IFERROR(__xludf.DUMMYFUNCTION("""COMPUTED_VALUE"""),"Male")</f>
        <v>Male</v>
      </c>
      <c r="D436" s="5"/>
      <c r="E436" s="5" t="str">
        <f ca="1">IFERROR(__xludf.DUMMYFUNCTION("""COMPUTED_VALUE"""),"Student")</f>
        <v>Student</v>
      </c>
      <c r="F436" s="5" t="str">
        <f ca="1">IFERROR(__xludf.DUMMYFUNCTION("""COMPUTED_VALUE"""),"Fled/Apprehended")</f>
        <v>Fled/Apprehended</v>
      </c>
      <c r="G436" s="5" t="str">
        <f ca="1">IFERROR(__xludf.DUMMYFUNCTION("""COMPUTED_VALUE"""),"No")</f>
        <v>No</v>
      </c>
      <c r="H436" s="5" t="str">
        <f ca="1">IFERROR(__xludf.DUMMYFUNCTION("""COMPUTED_VALUE"""),"None")</f>
        <v>None</v>
      </c>
    </row>
    <row r="437" spans="1:8">
      <c r="A437" s="5" t="str">
        <f ca="1">IFERROR(__xludf.DUMMYFUNCTION("""COMPUTED_VALUE"""),"20210609TXNOH")</f>
        <v>20210609TXNOH</v>
      </c>
      <c r="B437" s="5">
        <f ca="1">IFERROR(__xludf.DUMMYFUNCTION("""COMPUTED_VALUE"""),18)</f>
        <v>18</v>
      </c>
      <c r="C437" s="5" t="str">
        <f ca="1">IFERROR(__xludf.DUMMYFUNCTION("""COMPUTED_VALUE"""),"Male")</f>
        <v>Male</v>
      </c>
      <c r="D437" s="5"/>
      <c r="E437" s="5" t="str">
        <f ca="1">IFERROR(__xludf.DUMMYFUNCTION("""COMPUTED_VALUE"""),"Student")</f>
        <v>Student</v>
      </c>
      <c r="F437" s="5" t="str">
        <f ca="1">IFERROR(__xludf.DUMMYFUNCTION("""COMPUTED_VALUE"""),"Fled/Apprehended")</f>
        <v>Fled/Apprehended</v>
      </c>
      <c r="G437" s="5" t="str">
        <f ca="1">IFERROR(__xludf.DUMMYFUNCTION("""COMPUTED_VALUE"""),"No")</f>
        <v>No</v>
      </c>
      <c r="H437" s="5" t="str">
        <f ca="1">IFERROR(__xludf.DUMMYFUNCTION("""COMPUTED_VALUE"""),"None")</f>
        <v>None</v>
      </c>
    </row>
    <row r="438" spans="1:8">
      <c r="A438" s="5" t="str">
        <f ca="1">IFERROR(__xludf.DUMMYFUNCTION("""COMPUTED_VALUE"""),"20210608PAMUS")</f>
        <v>20210608PAMUS</v>
      </c>
      <c r="B438" s="5">
        <f ca="1">IFERROR(__xludf.DUMMYFUNCTION("""COMPUTED_VALUE"""),17)</f>
        <v>17</v>
      </c>
      <c r="C438" s="5" t="str">
        <f ca="1">IFERROR(__xludf.DUMMYFUNCTION("""COMPUTED_VALUE"""),"Male")</f>
        <v>Male</v>
      </c>
      <c r="D438" s="5"/>
      <c r="E438" s="5" t="str">
        <f ca="1">IFERROR(__xludf.DUMMYFUNCTION("""COMPUTED_VALUE"""),"No Relation")</f>
        <v>No Relation</v>
      </c>
      <c r="F438" s="5" t="str">
        <f ca="1">IFERROR(__xludf.DUMMYFUNCTION("""COMPUTED_VALUE"""),"Fled/Apprehended")</f>
        <v>Fled/Apprehended</v>
      </c>
      <c r="G438" s="5" t="str">
        <f ca="1">IFERROR(__xludf.DUMMYFUNCTION("""COMPUTED_VALUE"""),"No")</f>
        <v>No</v>
      </c>
      <c r="H438" s="5" t="str">
        <f ca="1">IFERROR(__xludf.DUMMYFUNCTION("""COMPUTED_VALUE"""),"None")</f>
        <v>None</v>
      </c>
    </row>
    <row r="439" spans="1:8">
      <c r="A439" s="5" t="str">
        <f ca="1">IFERROR(__xludf.DUMMYFUNCTION("""COMPUTED_VALUE"""),"20210608KSHAK")</f>
        <v>20210608KSHAK</v>
      </c>
      <c r="B439" s="5">
        <f ca="1">IFERROR(__xludf.DUMMYFUNCTION("""COMPUTED_VALUE"""),16)</f>
        <v>16</v>
      </c>
      <c r="C439" s="5" t="str">
        <f ca="1">IFERROR(__xludf.DUMMYFUNCTION("""COMPUTED_VALUE"""),"Male")</f>
        <v>Male</v>
      </c>
      <c r="D439" s="5"/>
      <c r="E439" s="5" t="str">
        <f ca="1">IFERROR(__xludf.DUMMYFUNCTION("""COMPUTED_VALUE"""),"No Relation")</f>
        <v>No Relation</v>
      </c>
      <c r="F439" s="5" t="str">
        <f ca="1">IFERROR(__xludf.DUMMYFUNCTION("""COMPUTED_VALUE"""),"Fled/Apprehended")</f>
        <v>Fled/Apprehended</v>
      </c>
      <c r="G439" s="5" t="str">
        <f ca="1">IFERROR(__xludf.DUMMYFUNCTION("""COMPUTED_VALUE"""),"No")</f>
        <v>No</v>
      </c>
      <c r="H439" s="5" t="str">
        <f ca="1">IFERROR(__xludf.DUMMYFUNCTION("""COMPUTED_VALUE"""),"None")</f>
        <v>None</v>
      </c>
    </row>
    <row r="440" spans="1:8">
      <c r="A440" s="5" t="str">
        <f ca="1">IFERROR(__xludf.DUMMYFUNCTION("""COMPUTED_VALUE"""),"20210608KSHAK")</f>
        <v>20210608KSHAK</v>
      </c>
      <c r="B440" s="5">
        <f ca="1">IFERROR(__xludf.DUMMYFUNCTION("""COMPUTED_VALUE"""),17)</f>
        <v>17</v>
      </c>
      <c r="C440" s="5" t="str">
        <f ca="1">IFERROR(__xludf.DUMMYFUNCTION("""COMPUTED_VALUE"""),"Male")</f>
        <v>Male</v>
      </c>
      <c r="D440" s="5"/>
      <c r="E440" s="5"/>
      <c r="F440" s="5" t="str">
        <f ca="1">IFERROR(__xludf.DUMMYFUNCTION("""COMPUTED_VALUE"""),"Fled/Apprehended")</f>
        <v>Fled/Apprehended</v>
      </c>
      <c r="G440" s="5" t="str">
        <f ca="1">IFERROR(__xludf.DUMMYFUNCTION("""COMPUTED_VALUE"""),"No")</f>
        <v>No</v>
      </c>
      <c r="H440" s="5" t="str">
        <f ca="1">IFERROR(__xludf.DUMMYFUNCTION("""COMPUTED_VALUE"""),"None")</f>
        <v>None</v>
      </c>
    </row>
    <row r="441" spans="1:8">
      <c r="A441" s="5" t="str">
        <f ca="1">IFERROR(__xludf.DUMMYFUNCTION("""COMPUTED_VALUE"""),"20210607TXEAF")</f>
        <v>20210607TXEAF</v>
      </c>
      <c r="B441" s="5"/>
      <c r="C441" s="5"/>
      <c r="D441" s="5"/>
      <c r="E441" s="5"/>
      <c r="F441" s="5" t="str">
        <f ca="1">IFERROR(__xludf.DUMMYFUNCTION("""COMPUTED_VALUE"""),"Fled/Escaped")</f>
        <v>Fled/Escaped</v>
      </c>
      <c r="G441" s="5" t="str">
        <f ca="1">IFERROR(__xludf.DUMMYFUNCTION("""COMPUTED_VALUE"""),"No")</f>
        <v>No</v>
      </c>
      <c r="H441" s="5" t="str">
        <f ca="1">IFERROR(__xludf.DUMMYFUNCTION("""COMPUTED_VALUE"""),"None")</f>
        <v>None</v>
      </c>
    </row>
    <row r="442" spans="1:8">
      <c r="A442" s="5" t="str">
        <f ca="1">IFERROR(__xludf.DUMMYFUNCTION("""COMPUTED_VALUE"""),"20210606VADRA")</f>
        <v>20210606VADRA</v>
      </c>
      <c r="B442" s="5"/>
      <c r="C442" s="5"/>
      <c r="D442" s="5"/>
      <c r="E442" s="5" t="str">
        <f ca="1">IFERROR(__xludf.DUMMYFUNCTION("""COMPUTED_VALUE"""),"No Relation")</f>
        <v>No Relation</v>
      </c>
      <c r="F442" s="5" t="str">
        <f ca="1">IFERROR(__xludf.DUMMYFUNCTION("""COMPUTED_VALUE"""),"Fled/Escaped")</f>
        <v>Fled/Escaped</v>
      </c>
      <c r="G442" s="5" t="str">
        <f ca="1">IFERROR(__xludf.DUMMYFUNCTION("""COMPUTED_VALUE"""),"No")</f>
        <v>No</v>
      </c>
      <c r="H442" s="5" t="str">
        <f ca="1">IFERROR(__xludf.DUMMYFUNCTION("""COMPUTED_VALUE"""),"None")</f>
        <v>None</v>
      </c>
    </row>
    <row r="443" spans="1:8">
      <c r="A443" s="5" t="str">
        <f ca="1">IFERROR(__xludf.DUMMYFUNCTION("""COMPUTED_VALUE"""),"20210606VADRA")</f>
        <v>20210606VADRA</v>
      </c>
      <c r="B443" s="5"/>
      <c r="C443" s="5"/>
      <c r="D443" s="5"/>
      <c r="E443" s="5" t="str">
        <f ca="1">IFERROR(__xludf.DUMMYFUNCTION("""COMPUTED_VALUE"""),"No Relation")</f>
        <v>No Relation</v>
      </c>
      <c r="F443" s="5" t="str">
        <f ca="1">IFERROR(__xludf.DUMMYFUNCTION("""COMPUTED_VALUE"""),"Fled/Escaped")</f>
        <v>Fled/Escaped</v>
      </c>
      <c r="G443" s="5" t="str">
        <f ca="1">IFERROR(__xludf.DUMMYFUNCTION("""COMPUTED_VALUE"""),"No")</f>
        <v>No</v>
      </c>
      <c r="H443" s="5" t="str">
        <f ca="1">IFERROR(__xludf.DUMMYFUNCTION("""COMPUTED_VALUE"""),"None")</f>
        <v>None</v>
      </c>
    </row>
    <row r="444" spans="1:8">
      <c r="A444" s="5" t="str">
        <f ca="1">IFERROR(__xludf.DUMMYFUNCTION("""COMPUTED_VALUE"""),"20210601ILLIC")</f>
        <v>20210601ILLIC</v>
      </c>
      <c r="B444" s="5">
        <f ca="1">IFERROR(__xludf.DUMMYFUNCTION("""COMPUTED_VALUE"""),17)</f>
        <v>17</v>
      </c>
      <c r="C444" s="5" t="str">
        <f ca="1">IFERROR(__xludf.DUMMYFUNCTION("""COMPUTED_VALUE"""),"Male")</f>
        <v>Male</v>
      </c>
      <c r="D444" s="5"/>
      <c r="E444" s="5"/>
      <c r="F444" s="5" t="str">
        <f ca="1">IFERROR(__xludf.DUMMYFUNCTION("""COMPUTED_VALUE"""),"Fled/Escaped")</f>
        <v>Fled/Escaped</v>
      </c>
      <c r="G444" s="5" t="str">
        <f ca="1">IFERROR(__xludf.DUMMYFUNCTION("""COMPUTED_VALUE"""),"No")</f>
        <v>No</v>
      </c>
      <c r="H444" s="5" t="str">
        <f ca="1">IFERROR(__xludf.DUMMYFUNCTION("""COMPUTED_VALUE"""),"None")</f>
        <v>None</v>
      </c>
    </row>
    <row r="445" spans="1:8">
      <c r="A445" s="5" t="str">
        <f ca="1">IFERROR(__xludf.DUMMYFUNCTION("""COMPUTED_VALUE"""),"20210525NJPAP")</f>
        <v>20210525NJPAP</v>
      </c>
      <c r="B445" s="5">
        <f ca="1">IFERROR(__xludf.DUMMYFUNCTION("""COMPUTED_VALUE"""),15)</f>
        <v>15</v>
      </c>
      <c r="C445" s="5" t="str">
        <f ca="1">IFERROR(__xludf.DUMMYFUNCTION("""COMPUTED_VALUE"""),"Male")</f>
        <v>Male</v>
      </c>
      <c r="D445" s="5"/>
      <c r="E445" s="5" t="str">
        <f ca="1">IFERROR(__xludf.DUMMYFUNCTION("""COMPUTED_VALUE"""),"No Relation")</f>
        <v>No Relation</v>
      </c>
      <c r="F445" s="5" t="str">
        <f ca="1">IFERROR(__xludf.DUMMYFUNCTION("""COMPUTED_VALUE"""),"Apprehended/Killed by LE")</f>
        <v>Apprehended/Killed by LE</v>
      </c>
      <c r="G445" s="5" t="str">
        <f ca="1">IFERROR(__xludf.DUMMYFUNCTION("""COMPUTED_VALUE"""),"No")</f>
        <v>No</v>
      </c>
      <c r="H445" s="5" t="str">
        <f ca="1">IFERROR(__xludf.DUMMYFUNCTION("""COMPUTED_VALUE"""),"None")</f>
        <v>None</v>
      </c>
    </row>
    <row r="446" spans="1:8">
      <c r="A446" s="5" t="str">
        <f ca="1">IFERROR(__xludf.DUMMYFUNCTION("""COMPUTED_VALUE"""),"20210517TXBRE")</f>
        <v>20210517TXBRE</v>
      </c>
      <c r="B446" s="5">
        <f ca="1">IFERROR(__xludf.DUMMYFUNCTION("""COMPUTED_VALUE"""),13)</f>
        <v>13</v>
      </c>
      <c r="C446" s="5" t="str">
        <f ca="1">IFERROR(__xludf.DUMMYFUNCTION("""COMPUTED_VALUE"""),"Male")</f>
        <v>Male</v>
      </c>
      <c r="D446" s="5"/>
      <c r="E446" s="5" t="str">
        <f ca="1">IFERROR(__xludf.DUMMYFUNCTION("""COMPUTED_VALUE"""),"Student")</f>
        <v>Student</v>
      </c>
      <c r="F446" s="5" t="str">
        <f ca="1">IFERROR(__xludf.DUMMYFUNCTION("""COMPUTED_VALUE"""),"Fled/Escaped")</f>
        <v>Fled/Escaped</v>
      </c>
      <c r="G446" s="5" t="str">
        <f ca="1">IFERROR(__xludf.DUMMYFUNCTION("""COMPUTED_VALUE"""),"No")</f>
        <v>No</v>
      </c>
      <c r="H446" s="5" t="str">
        <f ca="1">IFERROR(__xludf.DUMMYFUNCTION("""COMPUTED_VALUE"""),"None")</f>
        <v>None</v>
      </c>
    </row>
    <row r="447" spans="1:8">
      <c r="A447" s="5" t="str">
        <f ca="1">IFERROR(__xludf.DUMMYFUNCTION("""COMPUTED_VALUE"""),"20210517TNAUM")</f>
        <v>20210517TNAUM</v>
      </c>
      <c r="B447" s="5">
        <f ca="1">IFERROR(__xludf.DUMMYFUNCTION("""COMPUTED_VALUE"""),51)</f>
        <v>51</v>
      </c>
      <c r="C447" s="5" t="str">
        <f ca="1">IFERROR(__xludf.DUMMYFUNCTION("""COMPUTED_VALUE"""),"Male")</f>
        <v>Male</v>
      </c>
      <c r="D447" s="5" t="str">
        <f ca="1">IFERROR(__xludf.DUMMYFUNCTION("""COMPUTED_VALUE"""),"White")</f>
        <v>White</v>
      </c>
      <c r="E447" s="5" t="str">
        <f ca="1">IFERROR(__xludf.DUMMYFUNCTION("""COMPUTED_VALUE"""),"No Relation")</f>
        <v>No Relation</v>
      </c>
      <c r="F447" s="5" t="str">
        <f ca="1">IFERROR(__xludf.DUMMYFUNCTION("""COMPUTED_VALUE"""),"Apprehended/Killed by LE")</f>
        <v>Apprehended/Killed by LE</v>
      </c>
      <c r="G447" s="5" t="str">
        <f ca="1">IFERROR(__xludf.DUMMYFUNCTION("""COMPUTED_VALUE"""),"No")</f>
        <v>No</v>
      </c>
      <c r="H447" s="5" t="str">
        <f ca="1">IFERROR(__xludf.DUMMYFUNCTION("""COMPUTED_VALUE"""),"None")</f>
        <v>None</v>
      </c>
    </row>
    <row r="448" spans="1:8">
      <c r="A448" s="5" t="str">
        <f ca="1">IFERROR(__xludf.DUMMYFUNCTION("""COMPUTED_VALUE"""),"20210517MDLOC")</f>
        <v>20210517MDLOC</v>
      </c>
      <c r="B448" s="5">
        <f ca="1">IFERROR(__xludf.DUMMYFUNCTION("""COMPUTED_VALUE"""),18)</f>
        <v>18</v>
      </c>
      <c r="C448" s="5" t="str">
        <f ca="1">IFERROR(__xludf.DUMMYFUNCTION("""COMPUTED_VALUE"""),"Male")</f>
        <v>Male</v>
      </c>
      <c r="D448" s="5"/>
      <c r="E448" s="5" t="str">
        <f ca="1">IFERROR(__xludf.DUMMYFUNCTION("""COMPUTED_VALUE"""),"Relative")</f>
        <v>Relative</v>
      </c>
      <c r="F448" s="5" t="str">
        <f ca="1">IFERROR(__xludf.DUMMYFUNCTION("""COMPUTED_VALUE"""),"Apprehended/Killed by LE")</f>
        <v>Apprehended/Killed by LE</v>
      </c>
      <c r="G448" s="5" t="str">
        <f ca="1">IFERROR(__xludf.DUMMYFUNCTION("""COMPUTED_VALUE"""),"No")</f>
        <v>No</v>
      </c>
      <c r="H448" s="5" t="str">
        <f ca="1">IFERROR(__xludf.DUMMYFUNCTION("""COMPUTED_VALUE"""),"None")</f>
        <v>None</v>
      </c>
    </row>
    <row r="449" spans="1:8">
      <c r="A449" s="5" t="str">
        <f ca="1">IFERROR(__xludf.DUMMYFUNCTION("""COMPUTED_VALUE"""),"20210517MDLOC")</f>
        <v>20210517MDLOC</v>
      </c>
      <c r="B449" s="5">
        <f ca="1">IFERROR(__xludf.DUMMYFUNCTION("""COMPUTED_VALUE"""),20)</f>
        <v>20</v>
      </c>
      <c r="C449" s="5" t="str">
        <f ca="1">IFERROR(__xludf.DUMMYFUNCTION("""COMPUTED_VALUE"""),"Female")</f>
        <v>Female</v>
      </c>
      <c r="D449" s="5" t="str">
        <f ca="1">IFERROR(__xludf.DUMMYFUNCTION("""COMPUTED_VALUE"""),"Hispanic")</f>
        <v>Hispanic</v>
      </c>
      <c r="E449" s="5" t="str">
        <f ca="1">IFERROR(__xludf.DUMMYFUNCTION("""COMPUTED_VALUE"""),"Relative")</f>
        <v>Relative</v>
      </c>
      <c r="F449" s="5" t="str">
        <f ca="1">IFERROR(__xludf.DUMMYFUNCTION("""COMPUTED_VALUE"""),"Apprehended/Killed by LE")</f>
        <v>Apprehended/Killed by LE</v>
      </c>
      <c r="G449" s="5" t="str">
        <f ca="1">IFERROR(__xludf.DUMMYFUNCTION("""COMPUTED_VALUE"""),"No")</f>
        <v>No</v>
      </c>
      <c r="H449" s="5" t="str">
        <f ca="1">IFERROR(__xludf.DUMMYFUNCTION("""COMPUTED_VALUE"""),"None")</f>
        <v>None</v>
      </c>
    </row>
    <row r="450" spans="1:8">
      <c r="A450" s="5" t="str">
        <f ca="1">IFERROR(__xludf.DUMMYFUNCTION("""COMPUTED_VALUE"""),"20210514CASAS")</f>
        <v>20210514CASAS</v>
      </c>
      <c r="B450" s="5">
        <f ca="1">IFERROR(__xludf.DUMMYFUNCTION("""COMPUTED_VALUE"""),16)</f>
        <v>16</v>
      </c>
      <c r="C450" s="5" t="str">
        <f ca="1">IFERROR(__xludf.DUMMYFUNCTION("""COMPUTED_VALUE"""),"Male")</f>
        <v>Male</v>
      </c>
      <c r="D450" s="5"/>
      <c r="E450" s="5" t="str">
        <f ca="1">IFERROR(__xludf.DUMMYFUNCTION("""COMPUTED_VALUE"""),"No Relation")</f>
        <v>No Relation</v>
      </c>
      <c r="F450" s="5" t="str">
        <f ca="1">IFERROR(__xludf.DUMMYFUNCTION("""COMPUTED_VALUE"""),"Fled/Escaped")</f>
        <v>Fled/Escaped</v>
      </c>
      <c r="G450" s="5" t="str">
        <f ca="1">IFERROR(__xludf.DUMMYFUNCTION("""COMPUTED_VALUE"""),"No")</f>
        <v>No</v>
      </c>
      <c r="H450" s="5" t="str">
        <f ca="1">IFERROR(__xludf.DUMMYFUNCTION("""COMPUTED_VALUE"""),"None")</f>
        <v>None</v>
      </c>
    </row>
    <row r="451" spans="1:8">
      <c r="A451" s="5" t="str">
        <f ca="1">IFERROR(__xludf.DUMMYFUNCTION("""COMPUTED_VALUE"""),"20210514CASAS")</f>
        <v>20210514CASAS</v>
      </c>
      <c r="B451" s="5">
        <f ca="1">IFERROR(__xludf.DUMMYFUNCTION("""COMPUTED_VALUE"""),16)</f>
        <v>16</v>
      </c>
      <c r="C451" s="5" t="str">
        <f ca="1">IFERROR(__xludf.DUMMYFUNCTION("""COMPUTED_VALUE"""),"Male")</f>
        <v>Male</v>
      </c>
      <c r="D451" s="5"/>
      <c r="E451" s="5" t="str">
        <f ca="1">IFERROR(__xludf.DUMMYFUNCTION("""COMPUTED_VALUE"""),"No Relation")</f>
        <v>No Relation</v>
      </c>
      <c r="F451" s="5" t="str">
        <f ca="1">IFERROR(__xludf.DUMMYFUNCTION("""COMPUTED_VALUE"""),"Fled/Escaped")</f>
        <v>Fled/Escaped</v>
      </c>
      <c r="G451" s="5" t="str">
        <f ca="1">IFERROR(__xludf.DUMMYFUNCTION("""COMPUTED_VALUE"""),"No")</f>
        <v>No</v>
      </c>
      <c r="H451" s="5" t="str">
        <f ca="1">IFERROR(__xludf.DUMMYFUNCTION("""COMPUTED_VALUE"""),"None")</f>
        <v>None</v>
      </c>
    </row>
    <row r="452" spans="1:8">
      <c r="A452" s="5" t="str">
        <f ca="1">IFERROR(__xludf.DUMMYFUNCTION("""COMPUTED_VALUE"""),"20210511NYPSB")</f>
        <v>20210511NYPSB</v>
      </c>
      <c r="B452" s="5" t="str">
        <f ca="1">IFERROR(__xludf.DUMMYFUNCTION("""COMPUTED_VALUE"""),"Teen")</f>
        <v>Teen</v>
      </c>
      <c r="C452" s="5" t="str">
        <f ca="1">IFERROR(__xludf.DUMMYFUNCTION("""COMPUTED_VALUE"""),"Male")</f>
        <v>Male</v>
      </c>
      <c r="D452" s="5" t="str">
        <f ca="1">IFERROR(__xludf.DUMMYFUNCTION("""COMPUTED_VALUE"""),"Black")</f>
        <v>Black</v>
      </c>
      <c r="E452" s="5" t="str">
        <f ca="1">IFERROR(__xludf.DUMMYFUNCTION("""COMPUTED_VALUE"""),"Student")</f>
        <v>Student</v>
      </c>
      <c r="F452" s="5" t="str">
        <f ca="1">IFERROR(__xludf.DUMMYFUNCTION("""COMPUTED_VALUE"""),"Fled/Escaped")</f>
        <v>Fled/Escaped</v>
      </c>
      <c r="G452" s="5" t="str">
        <f ca="1">IFERROR(__xludf.DUMMYFUNCTION("""COMPUTED_VALUE"""),"No")</f>
        <v>No</v>
      </c>
      <c r="H452" s="5" t="str">
        <f ca="1">IFERROR(__xludf.DUMMYFUNCTION("""COMPUTED_VALUE"""),"None")</f>
        <v>None</v>
      </c>
    </row>
    <row r="453" spans="1:8">
      <c r="A453" s="5" t="str">
        <f ca="1">IFERROR(__xludf.DUMMYFUNCTION("""COMPUTED_VALUE"""),"20210511CAVEL")</f>
        <v>20210511CAVEL</v>
      </c>
      <c r="B453" s="5"/>
      <c r="C453" s="5"/>
      <c r="D453" s="5"/>
      <c r="E453" s="5" t="str">
        <f ca="1">IFERROR(__xludf.DUMMYFUNCTION("""COMPUTED_VALUE"""),"No Relation")</f>
        <v>No Relation</v>
      </c>
      <c r="F453" s="5" t="str">
        <f ca="1">IFERROR(__xludf.DUMMYFUNCTION("""COMPUTED_VALUE"""),"Fled/Escaped")</f>
        <v>Fled/Escaped</v>
      </c>
      <c r="G453" s="5" t="str">
        <f ca="1">IFERROR(__xludf.DUMMYFUNCTION("""COMPUTED_VALUE"""),"No")</f>
        <v>No</v>
      </c>
      <c r="H453" s="5" t="str">
        <f ca="1">IFERROR(__xludf.DUMMYFUNCTION("""COMPUTED_VALUE"""),"None")</f>
        <v>None</v>
      </c>
    </row>
    <row r="454" spans="1:8">
      <c r="A454" s="5" t="str">
        <f ca="1">IFERROR(__xludf.DUMMYFUNCTION("""COMPUTED_VALUE"""),"20210506SCFOC")</f>
        <v>20210506SCFOC</v>
      </c>
      <c r="B454" s="5">
        <f ca="1">IFERROR(__xludf.DUMMYFUNCTION("""COMPUTED_VALUE"""),23)</f>
        <v>23</v>
      </c>
      <c r="C454" s="5" t="str">
        <f ca="1">IFERROR(__xludf.DUMMYFUNCTION("""COMPUTED_VALUE"""),"Male")</f>
        <v>Male</v>
      </c>
      <c r="D454" s="5"/>
      <c r="E454" s="5" t="str">
        <f ca="1">IFERROR(__xludf.DUMMYFUNCTION("""COMPUTED_VALUE"""),"No Relation")</f>
        <v>No Relation</v>
      </c>
      <c r="F454" s="5" t="str">
        <f ca="1">IFERROR(__xludf.DUMMYFUNCTION("""COMPUTED_VALUE"""),"Apprehended/Killed by LE")</f>
        <v>Apprehended/Killed by LE</v>
      </c>
      <c r="G454" s="5" t="str">
        <f ca="1">IFERROR(__xludf.DUMMYFUNCTION("""COMPUTED_VALUE"""),"No")</f>
        <v>No</v>
      </c>
      <c r="H454" s="5" t="str">
        <f ca="1">IFERROR(__xludf.DUMMYFUNCTION("""COMPUTED_VALUE"""),"None")</f>
        <v>None</v>
      </c>
    </row>
    <row r="455" spans="1:8">
      <c r="A455" s="5" t="str">
        <f ca="1">IFERROR(__xludf.DUMMYFUNCTION("""COMPUTED_VALUE"""),"20210506IDRIR")</f>
        <v>20210506IDRIR</v>
      </c>
      <c r="B455" s="5">
        <f ca="1">IFERROR(__xludf.DUMMYFUNCTION("""COMPUTED_VALUE"""),13)</f>
        <v>13</v>
      </c>
      <c r="C455" s="5" t="str">
        <f ca="1">IFERROR(__xludf.DUMMYFUNCTION("""COMPUTED_VALUE"""),"Female")</f>
        <v>Female</v>
      </c>
      <c r="D455" s="5"/>
      <c r="E455" s="5" t="str">
        <f ca="1">IFERROR(__xludf.DUMMYFUNCTION("""COMPUTED_VALUE"""),"Student")</f>
        <v>Student</v>
      </c>
      <c r="F455" s="5" t="str">
        <f ca="1">IFERROR(__xludf.DUMMYFUNCTION("""COMPUTED_VALUE"""),"Subdued by Students/Staff/Other")</f>
        <v>Subdued by Students/Staff/Other</v>
      </c>
      <c r="G455" s="5" t="str">
        <f ca="1">IFERROR(__xludf.DUMMYFUNCTION("""COMPUTED_VALUE"""),"No")</f>
        <v>No</v>
      </c>
      <c r="H455" s="5" t="str">
        <f ca="1">IFERROR(__xludf.DUMMYFUNCTION("""COMPUTED_VALUE"""),"None")</f>
        <v>None</v>
      </c>
    </row>
    <row r="456" spans="1:8">
      <c r="A456" s="5" t="str">
        <f ca="1">IFERROR(__xludf.DUMMYFUNCTION("""COMPUTED_VALUE"""),"20210505SCWAW")</f>
        <v>20210505SCWAW</v>
      </c>
      <c r="B456" s="5" t="str">
        <f ca="1">IFERROR(__xludf.DUMMYFUNCTION("""COMPUTED_VALUE"""),"Teen")</f>
        <v>Teen</v>
      </c>
      <c r="C456" s="5" t="str">
        <f ca="1">IFERROR(__xludf.DUMMYFUNCTION("""COMPUTED_VALUE"""),"Male")</f>
        <v>Male</v>
      </c>
      <c r="D456" s="5"/>
      <c r="E456" s="5" t="str">
        <f ca="1">IFERROR(__xludf.DUMMYFUNCTION("""COMPUTED_VALUE"""),"Student")</f>
        <v>Student</v>
      </c>
      <c r="F456" s="5" t="str">
        <f ca="1">IFERROR(__xludf.DUMMYFUNCTION("""COMPUTED_VALUE"""),"Suicide")</f>
        <v>Suicide</v>
      </c>
      <c r="G456" s="5" t="str">
        <f ca="1">IFERROR(__xludf.DUMMYFUNCTION("""COMPUTED_VALUE"""),"Yes")</f>
        <v>Yes</v>
      </c>
      <c r="H456" s="5" t="str">
        <f ca="1">IFERROR(__xludf.DUMMYFUNCTION("""COMPUTED_VALUE"""),"Suicide")</f>
        <v>Suicide</v>
      </c>
    </row>
    <row r="457" spans="1:8">
      <c r="A457" s="5" t="str">
        <f ca="1">IFERROR(__xludf.DUMMYFUNCTION("""COMPUTED_VALUE"""),"20210505MICRC")</f>
        <v>20210505MICRC</v>
      </c>
      <c r="B457" s="5" t="str">
        <f ca="1">IFERROR(__xludf.DUMMYFUNCTION("""COMPUTED_VALUE"""),"Adult")</f>
        <v>Adult</v>
      </c>
      <c r="C457" s="5" t="str">
        <f ca="1">IFERROR(__xludf.DUMMYFUNCTION("""COMPUTED_VALUE"""),"Male")</f>
        <v>Male</v>
      </c>
      <c r="D457" s="5"/>
      <c r="E457" s="5" t="str">
        <f ca="1">IFERROR(__xludf.DUMMYFUNCTION("""COMPUTED_VALUE"""),"No Relation")</f>
        <v>No Relation</v>
      </c>
      <c r="F457" s="5" t="str">
        <f ca="1">IFERROR(__xludf.DUMMYFUNCTION("""COMPUTED_VALUE"""),"Apprehended/Killed by LE")</f>
        <v>Apprehended/Killed by LE</v>
      </c>
      <c r="G457" s="5" t="str">
        <f ca="1">IFERROR(__xludf.DUMMYFUNCTION("""COMPUTED_VALUE"""),"No")</f>
        <v>No</v>
      </c>
      <c r="H457" s="5" t="str">
        <f ca="1">IFERROR(__xludf.DUMMYFUNCTION("""COMPUTED_VALUE"""),"Wounded")</f>
        <v>Wounded</v>
      </c>
    </row>
    <row r="458" spans="1:8">
      <c r="A458" s="5" t="str">
        <f ca="1">IFERROR(__xludf.DUMMYFUNCTION("""COMPUTED_VALUE"""),"20210502ILCHC")</f>
        <v>20210502ILCHC</v>
      </c>
      <c r="B458" s="5" t="str">
        <f ca="1">IFERROR(__xludf.DUMMYFUNCTION("""COMPUTED_VALUE"""),"Adult")</f>
        <v>Adult</v>
      </c>
      <c r="C458" s="5"/>
      <c r="D458" s="5"/>
      <c r="E458" s="5" t="str">
        <f ca="1">IFERROR(__xludf.DUMMYFUNCTION("""COMPUTED_VALUE"""),"No Relation")</f>
        <v>No Relation</v>
      </c>
      <c r="F458" s="5" t="str">
        <f ca="1">IFERROR(__xludf.DUMMYFUNCTION("""COMPUTED_VALUE"""),"Fled/Escaped")</f>
        <v>Fled/Escaped</v>
      </c>
      <c r="G458" s="5" t="str">
        <f ca="1">IFERROR(__xludf.DUMMYFUNCTION("""COMPUTED_VALUE"""),"No")</f>
        <v>No</v>
      </c>
      <c r="H458" s="5" t="str">
        <f ca="1">IFERROR(__xludf.DUMMYFUNCTION("""COMPUTED_VALUE"""),"None")</f>
        <v>None</v>
      </c>
    </row>
    <row r="459" spans="1:8">
      <c r="A459" s="5" t="str">
        <f ca="1">IFERROR(__xludf.DUMMYFUNCTION("""COMPUTED_VALUE"""),"20210502ILCHC")</f>
        <v>20210502ILCHC</v>
      </c>
      <c r="B459" s="5" t="str">
        <f ca="1">IFERROR(__xludf.DUMMYFUNCTION("""COMPUTED_VALUE"""),"Adult")</f>
        <v>Adult</v>
      </c>
      <c r="C459" s="5"/>
      <c r="D459" s="5"/>
      <c r="E459" s="5" t="str">
        <f ca="1">IFERROR(__xludf.DUMMYFUNCTION("""COMPUTED_VALUE"""),"No Relation")</f>
        <v>No Relation</v>
      </c>
      <c r="F459" s="5" t="str">
        <f ca="1">IFERROR(__xludf.DUMMYFUNCTION("""COMPUTED_VALUE"""),"Fled/Escaped")</f>
        <v>Fled/Escaped</v>
      </c>
      <c r="G459" s="5" t="str">
        <f ca="1">IFERROR(__xludf.DUMMYFUNCTION("""COMPUTED_VALUE"""),"No")</f>
        <v>No</v>
      </c>
      <c r="H459" s="5" t="str">
        <f ca="1">IFERROR(__xludf.DUMMYFUNCTION("""COMPUTED_VALUE"""),"None")</f>
        <v>None</v>
      </c>
    </row>
    <row r="460" spans="1:8">
      <c r="A460" s="5" t="str">
        <f ca="1">IFERROR(__xludf.DUMMYFUNCTION("""COMPUTED_VALUE"""),"20210501MNBES")</f>
        <v>20210501MNBES</v>
      </c>
      <c r="B460" s="5" t="str">
        <f ca="1">IFERROR(__xludf.DUMMYFUNCTION("""COMPUTED_VALUE"""),"Adult")</f>
        <v>Adult</v>
      </c>
      <c r="C460" s="5" t="str">
        <f ca="1">IFERROR(__xludf.DUMMYFUNCTION("""COMPUTED_VALUE"""),"Male")</f>
        <v>Male</v>
      </c>
      <c r="D460" s="5"/>
      <c r="E460" s="5" t="str">
        <f ca="1">IFERROR(__xludf.DUMMYFUNCTION("""COMPUTED_VALUE"""),"No Relation")</f>
        <v>No Relation</v>
      </c>
      <c r="F460" s="5" t="str">
        <f ca="1">IFERROR(__xludf.DUMMYFUNCTION("""COMPUTED_VALUE"""),"Fled/Escaped")</f>
        <v>Fled/Escaped</v>
      </c>
      <c r="G460" s="5" t="str">
        <f ca="1">IFERROR(__xludf.DUMMYFUNCTION("""COMPUTED_VALUE"""),"No")</f>
        <v>No</v>
      </c>
      <c r="H460" s="5" t="str">
        <f ca="1">IFERROR(__xludf.DUMMYFUNCTION("""COMPUTED_VALUE"""),"None")</f>
        <v>None</v>
      </c>
    </row>
    <row r="461" spans="1:8">
      <c r="A461" s="5" t="str">
        <f ca="1">IFERROR(__xludf.DUMMYFUNCTION("""COMPUTED_VALUE"""),"20210501MNBES")</f>
        <v>20210501MNBES</v>
      </c>
      <c r="B461" s="5" t="str">
        <f ca="1">IFERROR(__xludf.DUMMYFUNCTION("""COMPUTED_VALUE"""),"Adult")</f>
        <v>Adult</v>
      </c>
      <c r="C461" s="5" t="str">
        <f ca="1">IFERROR(__xludf.DUMMYFUNCTION("""COMPUTED_VALUE"""),"Male")</f>
        <v>Male</v>
      </c>
      <c r="D461" s="5"/>
      <c r="E461" s="5" t="str">
        <f ca="1">IFERROR(__xludf.DUMMYFUNCTION("""COMPUTED_VALUE"""),"No Relation")</f>
        <v>No Relation</v>
      </c>
      <c r="F461" s="5" t="str">
        <f ca="1">IFERROR(__xludf.DUMMYFUNCTION("""COMPUTED_VALUE"""),"Fled/Escaped")</f>
        <v>Fled/Escaped</v>
      </c>
      <c r="G461" s="5" t="str">
        <f ca="1">IFERROR(__xludf.DUMMYFUNCTION("""COMPUTED_VALUE"""),"No")</f>
        <v>No</v>
      </c>
      <c r="H461" s="5" t="str">
        <f ca="1">IFERROR(__xludf.DUMMYFUNCTION("""COMPUTED_VALUE"""),"None")</f>
        <v>None</v>
      </c>
    </row>
    <row r="462" spans="1:8">
      <c r="A462" s="5" t="str">
        <f ca="1">IFERROR(__xludf.DUMMYFUNCTION("""COMPUTED_VALUE"""),"20210501MNBES")</f>
        <v>20210501MNBES</v>
      </c>
      <c r="B462" s="5" t="str">
        <f ca="1">IFERROR(__xludf.DUMMYFUNCTION("""COMPUTED_VALUE"""),"Adult")</f>
        <v>Adult</v>
      </c>
      <c r="C462" s="5" t="str">
        <f ca="1">IFERROR(__xludf.DUMMYFUNCTION("""COMPUTED_VALUE"""),"Male")</f>
        <v>Male</v>
      </c>
      <c r="D462" s="5"/>
      <c r="E462" s="5" t="str">
        <f ca="1">IFERROR(__xludf.DUMMYFUNCTION("""COMPUTED_VALUE"""),"No Relation")</f>
        <v>No Relation</v>
      </c>
      <c r="F462" s="5" t="str">
        <f ca="1">IFERROR(__xludf.DUMMYFUNCTION("""COMPUTED_VALUE"""),"Fled/Escaped")</f>
        <v>Fled/Escaped</v>
      </c>
      <c r="G462" s="5" t="str">
        <f ca="1">IFERROR(__xludf.DUMMYFUNCTION("""COMPUTED_VALUE"""),"No")</f>
        <v>No</v>
      </c>
      <c r="H462" s="5" t="str">
        <f ca="1">IFERROR(__xludf.DUMMYFUNCTION("""COMPUTED_VALUE"""),"None")</f>
        <v>None</v>
      </c>
    </row>
    <row r="463" spans="1:8">
      <c r="A463" s="5" t="str">
        <f ca="1">IFERROR(__xludf.DUMMYFUNCTION("""COMPUTED_VALUE"""),"20210430INMAI")</f>
        <v>20210430INMAI</v>
      </c>
      <c r="B463" s="5" t="str">
        <f ca="1">IFERROR(__xludf.DUMMYFUNCTION("""COMPUTED_VALUE"""),"Adult")</f>
        <v>Adult</v>
      </c>
      <c r="C463" s="5" t="str">
        <f ca="1">IFERROR(__xludf.DUMMYFUNCTION("""COMPUTED_VALUE"""),"Male")</f>
        <v>Male</v>
      </c>
      <c r="D463" s="5"/>
      <c r="E463" s="5" t="str">
        <f ca="1">IFERROR(__xludf.DUMMYFUNCTION("""COMPUTED_VALUE"""),"Parent")</f>
        <v>Parent</v>
      </c>
      <c r="F463" s="5" t="str">
        <f ca="1">IFERROR(__xludf.DUMMYFUNCTION("""COMPUTED_VALUE"""),"Fled/Escaped")</f>
        <v>Fled/Escaped</v>
      </c>
      <c r="G463" s="5" t="str">
        <f ca="1">IFERROR(__xludf.DUMMYFUNCTION("""COMPUTED_VALUE"""),"No")</f>
        <v>No</v>
      </c>
      <c r="H463" s="5" t="str">
        <f ca="1">IFERROR(__xludf.DUMMYFUNCTION("""COMPUTED_VALUE"""),"None")</f>
        <v>None</v>
      </c>
    </row>
    <row r="464" spans="1:8">
      <c r="A464" s="5" t="str">
        <f ca="1">IFERROR(__xludf.DUMMYFUNCTION("""COMPUTED_VALUE"""),"20210429NYURB")</f>
        <v>20210429NYURB</v>
      </c>
      <c r="B464" s="5">
        <f ca="1">IFERROR(__xludf.DUMMYFUNCTION("""COMPUTED_VALUE"""),15)</f>
        <v>15</v>
      </c>
      <c r="C464" s="5" t="str">
        <f ca="1">IFERROR(__xludf.DUMMYFUNCTION("""COMPUTED_VALUE"""),"Male")</f>
        <v>Male</v>
      </c>
      <c r="D464" s="5"/>
      <c r="E464" s="5" t="str">
        <f ca="1">IFERROR(__xludf.DUMMYFUNCTION("""COMPUTED_VALUE"""),"Nonstudent")</f>
        <v>Nonstudent</v>
      </c>
      <c r="F464" s="5" t="str">
        <f ca="1">IFERROR(__xludf.DUMMYFUNCTION("""COMPUTED_VALUE"""),"Fled/Apprehended")</f>
        <v>Fled/Apprehended</v>
      </c>
      <c r="G464" s="5" t="str">
        <f ca="1">IFERROR(__xludf.DUMMYFUNCTION("""COMPUTED_VALUE"""),"No")</f>
        <v>No</v>
      </c>
      <c r="H464" s="5" t="str">
        <f ca="1">IFERROR(__xludf.DUMMYFUNCTION("""COMPUTED_VALUE"""),"None")</f>
        <v>None</v>
      </c>
    </row>
    <row r="465" spans="1:8">
      <c r="A465" s="5" t="str">
        <f ca="1">IFERROR(__xludf.DUMMYFUNCTION("""COMPUTED_VALUE"""),"20210429NYURB")</f>
        <v>20210429NYURB</v>
      </c>
      <c r="B465" s="5">
        <f ca="1">IFERROR(__xludf.DUMMYFUNCTION("""COMPUTED_VALUE"""),16)</f>
        <v>16</v>
      </c>
      <c r="C465" s="5" t="str">
        <f ca="1">IFERROR(__xludf.DUMMYFUNCTION("""COMPUTED_VALUE"""),"Male")</f>
        <v>Male</v>
      </c>
      <c r="D465" s="5"/>
      <c r="E465" s="5" t="str">
        <f ca="1">IFERROR(__xludf.DUMMYFUNCTION("""COMPUTED_VALUE"""),"Nonstudent")</f>
        <v>Nonstudent</v>
      </c>
      <c r="F465" s="5" t="str">
        <f ca="1">IFERROR(__xludf.DUMMYFUNCTION("""COMPUTED_VALUE"""),"Fled/Escaped")</f>
        <v>Fled/Escaped</v>
      </c>
      <c r="G465" s="5" t="str">
        <f ca="1">IFERROR(__xludf.DUMMYFUNCTION("""COMPUTED_VALUE"""),"No")</f>
        <v>No</v>
      </c>
      <c r="H465" s="5" t="str">
        <f ca="1">IFERROR(__xludf.DUMMYFUNCTION("""COMPUTED_VALUE"""),"None")</f>
        <v>None</v>
      </c>
    </row>
    <row r="466" spans="1:8">
      <c r="A466" s="5" t="str">
        <f ca="1">IFERROR(__xludf.DUMMYFUNCTION("""COMPUTED_VALUE"""),"20210429CAVIV")</f>
        <v>20210429CAVIV</v>
      </c>
      <c r="B466" s="5">
        <f ca="1">IFERROR(__xludf.DUMMYFUNCTION("""COMPUTED_VALUE"""),17)</f>
        <v>17</v>
      </c>
      <c r="C466" s="5" t="str">
        <f ca="1">IFERROR(__xludf.DUMMYFUNCTION("""COMPUTED_VALUE"""),"Male")</f>
        <v>Male</v>
      </c>
      <c r="D466" s="5"/>
      <c r="E466" s="5" t="str">
        <f ca="1">IFERROR(__xludf.DUMMYFUNCTION("""COMPUTED_VALUE"""),"Nonstudent")</f>
        <v>Nonstudent</v>
      </c>
      <c r="F466" s="5" t="str">
        <f ca="1">IFERROR(__xludf.DUMMYFUNCTION("""COMPUTED_VALUE"""),"Fled/Apprehended")</f>
        <v>Fled/Apprehended</v>
      </c>
      <c r="G466" s="5" t="str">
        <f ca="1">IFERROR(__xludf.DUMMYFUNCTION("""COMPUTED_VALUE"""),"No")</f>
        <v>No</v>
      </c>
      <c r="H466" s="5" t="str">
        <f ca="1">IFERROR(__xludf.DUMMYFUNCTION("""COMPUTED_VALUE"""),"None")</f>
        <v>None</v>
      </c>
    </row>
    <row r="467" spans="1:8">
      <c r="A467" s="5" t="str">
        <f ca="1">IFERROR(__xludf.DUMMYFUNCTION("""COMPUTED_VALUE"""),"20210427TNLAM")</f>
        <v>20210427TNLAM</v>
      </c>
      <c r="B467" s="5" t="str">
        <f ca="1">IFERROR(__xludf.DUMMYFUNCTION("""COMPUTED_VALUE"""),"Adult")</f>
        <v>Adult</v>
      </c>
      <c r="C467" s="5" t="str">
        <f ca="1">IFERROR(__xludf.DUMMYFUNCTION("""COMPUTED_VALUE"""),"Female")</f>
        <v>Female</v>
      </c>
      <c r="D467" s="5" t="str">
        <f ca="1">IFERROR(__xludf.DUMMYFUNCTION("""COMPUTED_VALUE"""),"Black")</f>
        <v>Black</v>
      </c>
      <c r="E467" s="5" t="str">
        <f ca="1">IFERROR(__xludf.DUMMYFUNCTION("""COMPUTED_VALUE"""),"Parent")</f>
        <v>Parent</v>
      </c>
      <c r="F467" s="5" t="str">
        <f ca="1">IFERROR(__xludf.DUMMYFUNCTION("""COMPUTED_VALUE"""),"Fled/Apprehended")</f>
        <v>Fled/Apprehended</v>
      </c>
      <c r="G467" s="5" t="str">
        <f ca="1">IFERROR(__xludf.DUMMYFUNCTION("""COMPUTED_VALUE"""),"No")</f>
        <v>No</v>
      </c>
      <c r="H467" s="5" t="str">
        <f ca="1">IFERROR(__xludf.DUMMYFUNCTION("""COMPUTED_VALUE"""),"None")</f>
        <v>None</v>
      </c>
    </row>
    <row r="468" spans="1:8">
      <c r="A468" s="5" t="str">
        <f ca="1">IFERROR(__xludf.DUMMYFUNCTION("""COMPUTED_VALUE"""),"20210427DESMS")</f>
        <v>20210427DESMS</v>
      </c>
      <c r="B468" s="5">
        <f ca="1">IFERROR(__xludf.DUMMYFUNCTION("""COMPUTED_VALUE"""),47)</f>
        <v>47</v>
      </c>
      <c r="C468" s="5" t="str">
        <f ca="1">IFERROR(__xludf.DUMMYFUNCTION("""COMPUTED_VALUE"""),"Male")</f>
        <v>Male</v>
      </c>
      <c r="D468" s="5"/>
      <c r="E468" s="5" t="str">
        <f ca="1">IFERROR(__xludf.DUMMYFUNCTION("""COMPUTED_VALUE"""),"Parent")</f>
        <v>Parent</v>
      </c>
      <c r="F468" s="5" t="str">
        <f ca="1">IFERROR(__xludf.DUMMYFUNCTION("""COMPUTED_VALUE"""),"Fled/Apprehended")</f>
        <v>Fled/Apprehended</v>
      </c>
      <c r="G468" s="5" t="str">
        <f ca="1">IFERROR(__xludf.DUMMYFUNCTION("""COMPUTED_VALUE"""),"Yes")</f>
        <v>Yes</v>
      </c>
      <c r="H468" s="5" t="str">
        <f ca="1">IFERROR(__xludf.DUMMYFUNCTION("""COMPUTED_VALUE"""),"Suicide")</f>
        <v>Suicide</v>
      </c>
    </row>
    <row r="469" spans="1:8">
      <c r="A469" s="5" t="str">
        <f ca="1">IFERROR(__xludf.DUMMYFUNCTION("""COMPUTED_VALUE"""),"20210426MNPLP")</f>
        <v>20210426MNPLP</v>
      </c>
      <c r="B469" s="5">
        <f ca="1">IFERROR(__xludf.DUMMYFUNCTION("""COMPUTED_VALUE"""),12)</f>
        <v>12</v>
      </c>
      <c r="C469" s="5" t="str">
        <f ca="1">IFERROR(__xludf.DUMMYFUNCTION("""COMPUTED_VALUE"""),"Male")</f>
        <v>Male</v>
      </c>
      <c r="D469" s="5"/>
      <c r="E469" s="5" t="str">
        <f ca="1">IFERROR(__xludf.DUMMYFUNCTION("""COMPUTED_VALUE"""),"Student")</f>
        <v>Student</v>
      </c>
      <c r="F469" s="5" t="str">
        <f ca="1">IFERROR(__xludf.DUMMYFUNCTION("""COMPUTED_VALUE"""),"Surrendered")</f>
        <v>Surrendered</v>
      </c>
      <c r="G469" s="5" t="str">
        <f ca="1">IFERROR(__xludf.DUMMYFUNCTION("""COMPUTED_VALUE"""),"No")</f>
        <v>No</v>
      </c>
      <c r="H469" s="5" t="str">
        <f ca="1">IFERROR(__xludf.DUMMYFUNCTION("""COMPUTED_VALUE"""),"None")</f>
        <v>None</v>
      </c>
    </row>
    <row r="470" spans="1:8">
      <c r="A470" s="5" t="str">
        <f ca="1">IFERROR(__xludf.DUMMYFUNCTION("""COMPUTED_VALUE"""),"20210420TXHAH")</f>
        <v>20210420TXHAH</v>
      </c>
      <c r="B470" s="5" t="str">
        <f ca="1">IFERROR(__xludf.DUMMYFUNCTION("""COMPUTED_VALUE"""),"Adult")</f>
        <v>Adult</v>
      </c>
      <c r="C470" s="5" t="str">
        <f ca="1">IFERROR(__xludf.DUMMYFUNCTION("""COMPUTED_VALUE"""),"Male")</f>
        <v>Male</v>
      </c>
      <c r="D470" s="5" t="str">
        <f ca="1">IFERROR(__xludf.DUMMYFUNCTION("""COMPUTED_VALUE"""),"Black")</f>
        <v>Black</v>
      </c>
      <c r="E470" s="5" t="str">
        <f ca="1">IFERROR(__xludf.DUMMYFUNCTION("""COMPUTED_VALUE"""),"No Relation")</f>
        <v>No Relation</v>
      </c>
      <c r="F470" s="5" t="str">
        <f ca="1">IFERROR(__xludf.DUMMYFUNCTION("""COMPUTED_VALUE"""),"Fled/Apprehended")</f>
        <v>Fled/Apprehended</v>
      </c>
      <c r="G470" s="5" t="str">
        <f ca="1">IFERROR(__xludf.DUMMYFUNCTION("""COMPUTED_VALUE"""),"No")</f>
        <v>No</v>
      </c>
      <c r="H470" s="5" t="str">
        <f ca="1">IFERROR(__xludf.DUMMYFUNCTION("""COMPUTED_VALUE"""),"None")</f>
        <v>None</v>
      </c>
    </row>
    <row r="471" spans="1:8">
      <c r="A471" s="5" t="str">
        <f ca="1">IFERROR(__xludf.DUMMYFUNCTION("""COMPUTED_VALUE"""),"20210420TXHAH")</f>
        <v>20210420TXHAH</v>
      </c>
      <c r="B471" s="5" t="str">
        <f ca="1">IFERROR(__xludf.DUMMYFUNCTION("""COMPUTED_VALUE"""),"Adult")</f>
        <v>Adult</v>
      </c>
      <c r="C471" s="5" t="str">
        <f ca="1">IFERROR(__xludf.DUMMYFUNCTION("""COMPUTED_VALUE"""),"Male")</f>
        <v>Male</v>
      </c>
      <c r="D471" s="5" t="str">
        <f ca="1">IFERROR(__xludf.DUMMYFUNCTION("""COMPUTED_VALUE"""),"Black")</f>
        <v>Black</v>
      </c>
      <c r="E471" s="5" t="str">
        <f ca="1">IFERROR(__xludf.DUMMYFUNCTION("""COMPUTED_VALUE"""),"No Relation")</f>
        <v>No Relation</v>
      </c>
      <c r="F471" s="5" t="str">
        <f ca="1">IFERROR(__xludf.DUMMYFUNCTION("""COMPUTED_VALUE"""),"Fled/Apprehended")</f>
        <v>Fled/Apprehended</v>
      </c>
      <c r="G471" s="5" t="str">
        <f ca="1">IFERROR(__xludf.DUMMYFUNCTION("""COMPUTED_VALUE"""),"No")</f>
        <v>No</v>
      </c>
      <c r="H471" s="5" t="str">
        <f ca="1">IFERROR(__xludf.DUMMYFUNCTION("""COMPUTED_VALUE"""),"None")</f>
        <v>None</v>
      </c>
    </row>
    <row r="472" spans="1:8">
      <c r="A472" s="5" t="str">
        <f ca="1">IFERROR(__xludf.DUMMYFUNCTION("""COMPUTED_VALUE"""),"20210418OHWED")</f>
        <v>20210418OHWED</v>
      </c>
      <c r="B472" s="5"/>
      <c r="C472" s="5"/>
      <c r="D472" s="5"/>
      <c r="E472" s="5" t="str">
        <f ca="1">IFERROR(__xludf.DUMMYFUNCTION("""COMPUTED_VALUE"""),"No Relation")</f>
        <v>No Relation</v>
      </c>
      <c r="F472" s="5" t="str">
        <f ca="1">IFERROR(__xludf.DUMMYFUNCTION("""COMPUTED_VALUE"""),"Fled/Escaped")</f>
        <v>Fled/Escaped</v>
      </c>
      <c r="G472" s="5" t="str">
        <f ca="1">IFERROR(__xludf.DUMMYFUNCTION("""COMPUTED_VALUE"""),"No")</f>
        <v>No</v>
      </c>
      <c r="H472" s="5" t="str">
        <f ca="1">IFERROR(__xludf.DUMMYFUNCTION("""COMPUTED_VALUE"""),"None")</f>
        <v>None</v>
      </c>
    </row>
    <row r="473" spans="1:8">
      <c r="A473" s="5" t="str">
        <f ca="1">IFERROR(__xludf.DUMMYFUNCTION("""COMPUTED_VALUE"""),"20210413TNMAC")</f>
        <v>20210413TNMAC</v>
      </c>
      <c r="B473" s="5">
        <f ca="1">IFERROR(__xludf.DUMMYFUNCTION("""COMPUTED_VALUE"""),32)</f>
        <v>32</v>
      </c>
      <c r="C473" s="5" t="str">
        <f ca="1">IFERROR(__xludf.DUMMYFUNCTION("""COMPUTED_VALUE"""),"Female")</f>
        <v>Female</v>
      </c>
      <c r="D473" s="5" t="str">
        <f ca="1">IFERROR(__xludf.DUMMYFUNCTION("""COMPUTED_VALUE"""),"White")</f>
        <v>White</v>
      </c>
      <c r="E473" s="5" t="str">
        <f ca="1">IFERROR(__xludf.DUMMYFUNCTION("""COMPUTED_VALUE"""),"Parent")</f>
        <v>Parent</v>
      </c>
      <c r="F473" s="5" t="str">
        <f ca="1">IFERROR(__xludf.DUMMYFUNCTION("""COMPUTED_VALUE"""),"Fled/Apprehended")</f>
        <v>Fled/Apprehended</v>
      </c>
      <c r="G473" s="5" t="str">
        <f ca="1">IFERROR(__xludf.DUMMYFUNCTION("""COMPUTED_VALUE"""),"No")</f>
        <v>No</v>
      </c>
      <c r="H473" s="5" t="str">
        <f ca="1">IFERROR(__xludf.DUMMYFUNCTION("""COMPUTED_VALUE"""),"None")</f>
        <v>None</v>
      </c>
    </row>
    <row r="474" spans="1:8">
      <c r="A474" s="5" t="str">
        <f ca="1">IFERROR(__xludf.DUMMYFUNCTION("""COMPUTED_VALUE"""),"20210412TNAUK")</f>
        <v>20210412TNAUK</v>
      </c>
      <c r="B474" s="5">
        <f ca="1">IFERROR(__xludf.DUMMYFUNCTION("""COMPUTED_VALUE"""),17)</f>
        <v>17</v>
      </c>
      <c r="C474" s="5" t="str">
        <f ca="1">IFERROR(__xludf.DUMMYFUNCTION("""COMPUTED_VALUE"""),"Male")</f>
        <v>Male</v>
      </c>
      <c r="D474" s="5" t="str">
        <f ca="1">IFERROR(__xludf.DUMMYFUNCTION("""COMPUTED_VALUE"""),"Black")</f>
        <v>Black</v>
      </c>
      <c r="E474" s="5" t="str">
        <f ca="1">IFERROR(__xludf.DUMMYFUNCTION("""COMPUTED_VALUE"""),"Student")</f>
        <v>Student</v>
      </c>
      <c r="F474" s="5" t="str">
        <f ca="1">IFERROR(__xludf.DUMMYFUNCTION("""COMPUTED_VALUE"""),"Apprehended/Killed by LE")</f>
        <v>Apprehended/Killed by LE</v>
      </c>
      <c r="G474" s="5" t="str">
        <f ca="1">IFERROR(__xludf.DUMMYFUNCTION("""COMPUTED_VALUE"""),"Yes")</f>
        <v>Yes</v>
      </c>
      <c r="H474" s="5" t="str">
        <f ca="1">IFERROR(__xludf.DUMMYFUNCTION("""COMPUTED_VALUE"""),"Fatal")</f>
        <v>Fatal</v>
      </c>
    </row>
    <row r="475" spans="1:8">
      <c r="A475" s="5" t="str">
        <f ca="1">IFERROR(__xludf.DUMMYFUNCTION("""COMPUTED_VALUE"""),"20210412CASAS")</f>
        <v>20210412CASAS</v>
      </c>
      <c r="B475" s="5">
        <f ca="1">IFERROR(__xludf.DUMMYFUNCTION("""COMPUTED_VALUE"""),36)</f>
        <v>36</v>
      </c>
      <c r="C475" s="5" t="str">
        <f ca="1">IFERROR(__xludf.DUMMYFUNCTION("""COMPUTED_VALUE"""),"Male")</f>
        <v>Male</v>
      </c>
      <c r="D475" s="5" t="str">
        <f ca="1">IFERROR(__xludf.DUMMYFUNCTION("""COMPUTED_VALUE"""),"Hispanic")</f>
        <v>Hispanic</v>
      </c>
      <c r="E475" s="5" t="str">
        <f ca="1">IFERROR(__xludf.DUMMYFUNCTION("""COMPUTED_VALUE"""),"No Relation")</f>
        <v>No Relation</v>
      </c>
      <c r="F475" s="5" t="str">
        <f ca="1">IFERROR(__xludf.DUMMYFUNCTION("""COMPUTED_VALUE"""),"Apprehended/Killed by LE")</f>
        <v>Apprehended/Killed by LE</v>
      </c>
      <c r="G475" s="5" t="str">
        <f ca="1">IFERROR(__xludf.DUMMYFUNCTION("""COMPUTED_VALUE"""),"Yes")</f>
        <v>Yes</v>
      </c>
      <c r="H475" s="5" t="str">
        <f ca="1">IFERROR(__xludf.DUMMYFUNCTION("""COMPUTED_VALUE"""),"None")</f>
        <v>None</v>
      </c>
    </row>
    <row r="476" spans="1:8">
      <c r="A476" s="5" t="str">
        <f ca="1">IFERROR(__xludf.DUMMYFUNCTION("""COMPUTED_VALUE"""),"20210411INBIH")</f>
        <v>20210411INBIH</v>
      </c>
      <c r="B476" s="5">
        <f ca="1">IFERROR(__xludf.DUMMYFUNCTION("""COMPUTED_VALUE"""),38)</f>
        <v>38</v>
      </c>
      <c r="C476" s="5" t="str">
        <f ca="1">IFERROR(__xludf.DUMMYFUNCTION("""COMPUTED_VALUE"""),"Male")</f>
        <v>Male</v>
      </c>
      <c r="D476" s="5" t="str">
        <f ca="1">IFERROR(__xludf.DUMMYFUNCTION("""COMPUTED_VALUE"""),"Black")</f>
        <v>Black</v>
      </c>
      <c r="E476" s="5" t="str">
        <f ca="1">IFERROR(__xludf.DUMMYFUNCTION("""COMPUTED_VALUE"""),"No Relation")</f>
        <v>No Relation</v>
      </c>
      <c r="F476" s="5" t="str">
        <f ca="1">IFERROR(__xludf.DUMMYFUNCTION("""COMPUTED_VALUE"""),"Fled/Apprehended")</f>
        <v>Fled/Apprehended</v>
      </c>
      <c r="G476" s="5" t="str">
        <f ca="1">IFERROR(__xludf.DUMMYFUNCTION("""COMPUTED_VALUE"""),"No")</f>
        <v>No</v>
      </c>
      <c r="H476" s="5" t="str">
        <f ca="1">IFERROR(__xludf.DUMMYFUNCTION("""COMPUTED_VALUE"""),"None")</f>
        <v>None</v>
      </c>
    </row>
    <row r="477" spans="1:8">
      <c r="A477" s="5" t="str">
        <f ca="1">IFERROR(__xludf.DUMMYFUNCTION("""COMPUTED_VALUE"""),"20210407ILPEP")</f>
        <v>20210407ILPEP</v>
      </c>
      <c r="B477" s="5">
        <f ca="1">IFERROR(__xludf.DUMMYFUNCTION("""COMPUTED_VALUE"""),14)</f>
        <v>14</v>
      </c>
      <c r="C477" s="5" t="str">
        <f ca="1">IFERROR(__xludf.DUMMYFUNCTION("""COMPUTED_VALUE"""),"Male")</f>
        <v>Male</v>
      </c>
      <c r="D477" s="5"/>
      <c r="E477" s="5" t="str">
        <f ca="1">IFERROR(__xludf.DUMMYFUNCTION("""COMPUTED_VALUE"""),"Student")</f>
        <v>Student</v>
      </c>
      <c r="F477" s="5" t="str">
        <f ca="1">IFERROR(__xludf.DUMMYFUNCTION("""COMPUTED_VALUE"""),"Subdued by Students/Staff/Other")</f>
        <v>Subdued by Students/Staff/Other</v>
      </c>
      <c r="G477" s="5" t="str">
        <f ca="1">IFERROR(__xludf.DUMMYFUNCTION("""COMPUTED_VALUE"""),"No")</f>
        <v>No</v>
      </c>
      <c r="H477" s="5" t="str">
        <f ca="1">IFERROR(__xludf.DUMMYFUNCTION("""COMPUTED_VALUE"""),"None")</f>
        <v>None</v>
      </c>
    </row>
    <row r="478" spans="1:8">
      <c r="A478" s="5" t="str">
        <f ca="1">IFERROR(__xludf.DUMMYFUNCTION("""COMPUTED_VALUE"""),"20210406ILBAC")</f>
        <v>20210406ILBAC</v>
      </c>
      <c r="B478" s="5">
        <f ca="1">IFERROR(__xludf.DUMMYFUNCTION("""COMPUTED_VALUE"""),19)</f>
        <v>19</v>
      </c>
      <c r="C478" s="5" t="str">
        <f ca="1">IFERROR(__xludf.DUMMYFUNCTION("""COMPUTED_VALUE"""),"Male")</f>
        <v>Male</v>
      </c>
      <c r="D478" s="5"/>
      <c r="E478" s="5" t="str">
        <f ca="1">IFERROR(__xludf.DUMMYFUNCTION("""COMPUTED_VALUE"""),"No Relation")</f>
        <v>No Relation</v>
      </c>
      <c r="F478" s="5" t="str">
        <f ca="1">IFERROR(__xludf.DUMMYFUNCTION("""COMPUTED_VALUE"""),"Fled/Apprehended")</f>
        <v>Fled/Apprehended</v>
      </c>
      <c r="G478" s="5" t="str">
        <f ca="1">IFERROR(__xludf.DUMMYFUNCTION("""COMPUTED_VALUE"""),"No")</f>
        <v>No</v>
      </c>
      <c r="H478" s="5" t="str">
        <f ca="1">IFERROR(__xludf.DUMMYFUNCTION("""COMPUTED_VALUE"""),"None")</f>
        <v>None</v>
      </c>
    </row>
    <row r="479" spans="1:8">
      <c r="A479" s="5" t="str">
        <f ca="1">IFERROR(__xludf.DUMMYFUNCTION("""COMPUTED_VALUE"""),"20210401OKCLC")</f>
        <v>20210401OKCLC</v>
      </c>
      <c r="B479" s="5"/>
      <c r="C479" s="5"/>
      <c r="D479" s="5"/>
      <c r="E479" s="5"/>
      <c r="F479" s="5" t="str">
        <f ca="1">IFERROR(__xludf.DUMMYFUNCTION("""COMPUTED_VALUE"""),"Fled/Escaped")</f>
        <v>Fled/Escaped</v>
      </c>
      <c r="G479" s="5" t="str">
        <f ca="1">IFERROR(__xludf.DUMMYFUNCTION("""COMPUTED_VALUE"""),"No")</f>
        <v>No</v>
      </c>
      <c r="H479" s="5" t="str">
        <f ca="1">IFERROR(__xludf.DUMMYFUNCTION("""COMPUTED_VALUE"""),"None")</f>
        <v>None</v>
      </c>
    </row>
    <row r="480" spans="1:8">
      <c r="A480" s="5" t="str">
        <f ca="1">IFERROR(__xludf.DUMMYFUNCTION("""COMPUTED_VALUE"""),"20210401ALSES")</f>
        <v>20210401ALSES</v>
      </c>
      <c r="B480" s="5">
        <f ca="1">IFERROR(__xludf.DUMMYFUNCTION("""COMPUTED_VALUE"""),15)</f>
        <v>15</v>
      </c>
      <c r="C480" s="5" t="str">
        <f ca="1">IFERROR(__xludf.DUMMYFUNCTION("""COMPUTED_VALUE"""),"Male")</f>
        <v>Male</v>
      </c>
      <c r="D480" s="5"/>
      <c r="E480" s="5" t="str">
        <f ca="1">IFERROR(__xludf.DUMMYFUNCTION("""COMPUTED_VALUE"""),"Student")</f>
        <v>Student</v>
      </c>
      <c r="F480" s="5" t="str">
        <f ca="1">IFERROR(__xludf.DUMMYFUNCTION("""COMPUTED_VALUE"""),"Fled/Apprehended")</f>
        <v>Fled/Apprehended</v>
      </c>
      <c r="G480" s="5" t="str">
        <f ca="1">IFERROR(__xludf.DUMMYFUNCTION("""COMPUTED_VALUE"""),"No")</f>
        <v>No</v>
      </c>
      <c r="H480" s="5" t="str">
        <f ca="1">IFERROR(__xludf.DUMMYFUNCTION("""COMPUTED_VALUE"""),"None")</f>
        <v>None</v>
      </c>
    </row>
    <row r="481" spans="1:8">
      <c r="A481" s="5" t="str">
        <f ca="1">IFERROR(__xludf.DUMMYFUNCTION("""COMPUTED_VALUE"""),"20210327MAPEC")</f>
        <v>20210327MAPEC</v>
      </c>
      <c r="B481" s="5"/>
      <c r="C481" s="5"/>
      <c r="D481" s="5"/>
      <c r="E481" s="5" t="str">
        <f ca="1">IFERROR(__xludf.DUMMYFUNCTION("""COMPUTED_VALUE"""),"Nonstudent Using Athletic Facilities/Attending Game")</f>
        <v>Nonstudent Using Athletic Facilities/Attending Game</v>
      </c>
      <c r="F481" s="5" t="str">
        <f ca="1">IFERROR(__xludf.DUMMYFUNCTION("""COMPUTED_VALUE"""),"Fled/Escaped")</f>
        <v>Fled/Escaped</v>
      </c>
      <c r="G481" s="5" t="str">
        <f ca="1">IFERROR(__xludf.DUMMYFUNCTION("""COMPUTED_VALUE"""),"No")</f>
        <v>No</v>
      </c>
      <c r="H481" s="5" t="str">
        <f ca="1">IFERROR(__xludf.DUMMYFUNCTION("""COMPUTED_VALUE"""),"None")</f>
        <v>None</v>
      </c>
    </row>
    <row r="482" spans="1:8">
      <c r="A482" s="5" t="str">
        <f ca="1">IFERROR(__xludf.DUMMYFUNCTION("""COMPUTED_VALUE"""),"20210326MOCAS")</f>
        <v>20210326MOCAS</v>
      </c>
      <c r="B482" s="5">
        <f ca="1">IFERROR(__xludf.DUMMYFUNCTION("""COMPUTED_VALUE"""),33)</f>
        <v>33</v>
      </c>
      <c r="C482" s="5" t="str">
        <f ca="1">IFERROR(__xludf.DUMMYFUNCTION("""COMPUTED_VALUE"""),"Male")</f>
        <v>Male</v>
      </c>
      <c r="D482" s="5"/>
      <c r="E482" s="5" t="str">
        <f ca="1">IFERROR(__xludf.DUMMYFUNCTION("""COMPUTED_VALUE"""),"No Relation")</f>
        <v>No Relation</v>
      </c>
      <c r="F482" s="5" t="str">
        <f ca="1">IFERROR(__xludf.DUMMYFUNCTION("""COMPUTED_VALUE"""),"Apprehended/Killed by LE")</f>
        <v>Apprehended/Killed by LE</v>
      </c>
      <c r="G482" s="5" t="str">
        <f ca="1">IFERROR(__xludf.DUMMYFUNCTION("""COMPUTED_VALUE"""),"Yes")</f>
        <v>Yes</v>
      </c>
      <c r="H482" s="5" t="str">
        <f ca="1">IFERROR(__xludf.DUMMYFUNCTION("""COMPUTED_VALUE"""),"Fatal")</f>
        <v>Fatal</v>
      </c>
    </row>
    <row r="483" spans="1:8">
      <c r="A483" s="5" t="str">
        <f ca="1">IFERROR(__xludf.DUMMYFUNCTION("""COMPUTED_VALUE"""),"20210324ORFOS")</f>
        <v>20210324ORFOS</v>
      </c>
      <c r="B483" s="5" t="str">
        <f ca="1">IFERROR(__xludf.DUMMYFUNCTION("""COMPUTED_VALUE"""),"Teen")</f>
        <v>Teen</v>
      </c>
      <c r="C483" s="5" t="str">
        <f ca="1">IFERROR(__xludf.DUMMYFUNCTION("""COMPUTED_VALUE"""),"Male")</f>
        <v>Male</v>
      </c>
      <c r="D483" s="5"/>
      <c r="E483" s="5" t="str">
        <f ca="1">IFERROR(__xludf.DUMMYFUNCTION("""COMPUTED_VALUE"""),"No Relation")</f>
        <v>No Relation</v>
      </c>
      <c r="F483" s="5" t="str">
        <f ca="1">IFERROR(__xludf.DUMMYFUNCTION("""COMPUTED_VALUE"""),"Fled/Apprehended")</f>
        <v>Fled/Apprehended</v>
      </c>
      <c r="G483" s="5" t="str">
        <f ca="1">IFERROR(__xludf.DUMMYFUNCTION("""COMPUTED_VALUE"""),"No")</f>
        <v>No</v>
      </c>
      <c r="H483" s="5" t="str">
        <f ca="1">IFERROR(__xludf.DUMMYFUNCTION("""COMPUTED_VALUE"""),"None")</f>
        <v>None</v>
      </c>
    </row>
    <row r="484" spans="1:8">
      <c r="A484" s="5" t="str">
        <f ca="1">IFERROR(__xludf.DUMMYFUNCTION("""COMPUTED_VALUE"""),"20210319WVSPM")</f>
        <v>20210319WVSPM</v>
      </c>
      <c r="B484" s="5" t="str">
        <f ca="1">IFERROR(__xludf.DUMMYFUNCTION("""COMPUTED_VALUE"""),"Teen")</f>
        <v>Teen</v>
      </c>
      <c r="C484" s="5" t="str">
        <f ca="1">IFERROR(__xludf.DUMMYFUNCTION("""COMPUTED_VALUE"""),"Male")</f>
        <v>Male</v>
      </c>
      <c r="D484" s="5"/>
      <c r="E484" s="5"/>
      <c r="F484" s="5" t="str">
        <f ca="1">IFERROR(__xludf.DUMMYFUNCTION("""COMPUTED_VALUE"""),"Fled/Apprehended")</f>
        <v>Fled/Apprehended</v>
      </c>
      <c r="G484" s="5" t="str">
        <f ca="1">IFERROR(__xludf.DUMMYFUNCTION("""COMPUTED_VALUE"""),"No")</f>
        <v>No</v>
      </c>
      <c r="H484" s="5" t="str">
        <f ca="1">IFERROR(__xludf.DUMMYFUNCTION("""COMPUTED_VALUE"""),"None")</f>
        <v>None</v>
      </c>
    </row>
    <row r="485" spans="1:8">
      <c r="A485" s="5" t="str">
        <f ca="1">IFERROR(__xludf.DUMMYFUNCTION("""COMPUTED_VALUE"""),"20210319WVSPM")</f>
        <v>20210319WVSPM</v>
      </c>
      <c r="B485" s="5" t="str">
        <f ca="1">IFERROR(__xludf.DUMMYFUNCTION("""COMPUTED_VALUE"""),"Teen")</f>
        <v>Teen</v>
      </c>
      <c r="C485" s="5" t="str">
        <f ca="1">IFERROR(__xludf.DUMMYFUNCTION("""COMPUTED_VALUE"""),"Male")</f>
        <v>Male</v>
      </c>
      <c r="D485" s="5"/>
      <c r="E485" s="5"/>
      <c r="F485" s="5" t="str">
        <f ca="1">IFERROR(__xludf.DUMMYFUNCTION("""COMPUTED_VALUE"""),"Fled/Apprehended")</f>
        <v>Fled/Apprehended</v>
      </c>
      <c r="G485" s="5" t="str">
        <f ca="1">IFERROR(__xludf.DUMMYFUNCTION("""COMPUTED_VALUE"""),"No")</f>
        <v>No</v>
      </c>
      <c r="H485" s="5" t="str">
        <f ca="1">IFERROR(__xludf.DUMMYFUNCTION("""COMPUTED_VALUE"""),"None")</f>
        <v>None</v>
      </c>
    </row>
    <row r="486" spans="1:8">
      <c r="A486" s="5" t="str">
        <f ca="1">IFERROR(__xludf.DUMMYFUNCTION("""COMPUTED_VALUE"""),"20210318KYGRL")</f>
        <v>20210318KYGRL</v>
      </c>
      <c r="B486" s="5">
        <f ca="1">IFERROR(__xludf.DUMMYFUNCTION("""COMPUTED_VALUE"""),36)</f>
        <v>36</v>
      </c>
      <c r="C486" s="5" t="str">
        <f ca="1">IFERROR(__xludf.DUMMYFUNCTION("""COMPUTED_VALUE"""),"Male")</f>
        <v>Male</v>
      </c>
      <c r="D486" s="5" t="str">
        <f ca="1">IFERROR(__xludf.DUMMYFUNCTION("""COMPUTED_VALUE"""),"White")</f>
        <v>White</v>
      </c>
      <c r="E486" s="5" t="str">
        <f ca="1">IFERROR(__xludf.DUMMYFUNCTION("""COMPUTED_VALUE"""),"Parent")</f>
        <v>Parent</v>
      </c>
      <c r="F486" s="5" t="str">
        <f ca="1">IFERROR(__xludf.DUMMYFUNCTION("""COMPUTED_VALUE"""),"Apprehended/Killed by LE")</f>
        <v>Apprehended/Killed by LE</v>
      </c>
      <c r="G486" s="5" t="str">
        <f ca="1">IFERROR(__xludf.DUMMYFUNCTION("""COMPUTED_VALUE"""),"No")</f>
        <v>No</v>
      </c>
      <c r="H486" s="5" t="str">
        <f ca="1">IFERROR(__xludf.DUMMYFUNCTION("""COMPUTED_VALUE"""),"None")</f>
        <v>None</v>
      </c>
    </row>
    <row r="487" spans="1:8">
      <c r="A487" s="5" t="str">
        <f ca="1">IFERROR(__xludf.DUMMYFUNCTION("""COMPUTED_VALUE"""),"20210315INMEM")</f>
        <v>20210315INMEM</v>
      </c>
      <c r="B487" s="5">
        <f ca="1">IFERROR(__xludf.DUMMYFUNCTION("""COMPUTED_VALUE"""),18)</f>
        <v>18</v>
      </c>
      <c r="C487" s="5" t="str">
        <f ca="1">IFERROR(__xludf.DUMMYFUNCTION("""COMPUTED_VALUE"""),"Male")</f>
        <v>Male</v>
      </c>
      <c r="D487" s="5"/>
      <c r="E487" s="5" t="str">
        <f ca="1">IFERROR(__xludf.DUMMYFUNCTION("""COMPUTED_VALUE"""),"No Relation")</f>
        <v>No Relation</v>
      </c>
      <c r="F487" s="5" t="str">
        <f ca="1">IFERROR(__xludf.DUMMYFUNCTION("""COMPUTED_VALUE"""),"Fled/Apprehended")</f>
        <v>Fled/Apprehended</v>
      </c>
      <c r="G487" s="5" t="str">
        <f ca="1">IFERROR(__xludf.DUMMYFUNCTION("""COMPUTED_VALUE"""),"No")</f>
        <v>No</v>
      </c>
      <c r="H487" s="5" t="str">
        <f ca="1">IFERROR(__xludf.DUMMYFUNCTION("""COMPUTED_VALUE"""),"None")</f>
        <v>None</v>
      </c>
    </row>
    <row r="488" spans="1:8">
      <c r="A488" s="5" t="str">
        <f ca="1">IFERROR(__xludf.DUMMYFUNCTION("""COMPUTED_VALUE"""),"20210315INMEM")</f>
        <v>20210315INMEM</v>
      </c>
      <c r="B488" s="5">
        <f ca="1">IFERROR(__xludf.DUMMYFUNCTION("""COMPUTED_VALUE"""),20)</f>
        <v>20</v>
      </c>
      <c r="C488" s="5" t="str">
        <f ca="1">IFERROR(__xludf.DUMMYFUNCTION("""COMPUTED_VALUE"""),"Male")</f>
        <v>Male</v>
      </c>
      <c r="D488" s="5" t="str">
        <f ca="1">IFERROR(__xludf.DUMMYFUNCTION("""COMPUTED_VALUE"""),"Black")</f>
        <v>Black</v>
      </c>
      <c r="E488" s="5" t="str">
        <f ca="1">IFERROR(__xludf.DUMMYFUNCTION("""COMPUTED_VALUE"""),"No Relation")</f>
        <v>No Relation</v>
      </c>
      <c r="F488" s="5" t="str">
        <f ca="1">IFERROR(__xludf.DUMMYFUNCTION("""COMPUTED_VALUE"""),"Fled/Apprehended")</f>
        <v>Fled/Apprehended</v>
      </c>
      <c r="G488" s="5" t="str">
        <f ca="1">IFERROR(__xludf.DUMMYFUNCTION("""COMPUTED_VALUE"""),"No")</f>
        <v>No</v>
      </c>
      <c r="H488" s="5" t="str">
        <f ca="1">IFERROR(__xludf.DUMMYFUNCTION("""COMPUTED_VALUE"""),"None")</f>
        <v>None</v>
      </c>
    </row>
    <row r="489" spans="1:8">
      <c r="A489" s="5" t="str">
        <f ca="1">IFERROR(__xludf.DUMMYFUNCTION("""COMPUTED_VALUE"""),"20210313TXLEA")</f>
        <v>20210313TXLEA</v>
      </c>
      <c r="B489" s="5">
        <f ca="1">IFERROR(__xludf.DUMMYFUNCTION("""COMPUTED_VALUE"""),66)</f>
        <v>66</v>
      </c>
      <c r="C489" s="5" t="str">
        <f ca="1">IFERROR(__xludf.DUMMYFUNCTION("""COMPUTED_VALUE"""),"Male")</f>
        <v>Male</v>
      </c>
      <c r="D489" s="5" t="str">
        <f ca="1">IFERROR(__xludf.DUMMYFUNCTION("""COMPUTED_VALUE"""),"Black")</f>
        <v>Black</v>
      </c>
      <c r="E489" s="5" t="str">
        <f ca="1">IFERROR(__xludf.DUMMYFUNCTION("""COMPUTED_VALUE"""),"Nonstudent Using Athletic Facilities/Attending Game")</f>
        <v>Nonstudent Using Athletic Facilities/Attending Game</v>
      </c>
      <c r="F489" s="5" t="str">
        <f ca="1">IFERROR(__xludf.DUMMYFUNCTION("""COMPUTED_VALUE"""),"Fled/Apprehended")</f>
        <v>Fled/Apprehended</v>
      </c>
      <c r="G489" s="5" t="str">
        <f ca="1">IFERROR(__xludf.DUMMYFUNCTION("""COMPUTED_VALUE"""),"No")</f>
        <v>No</v>
      </c>
      <c r="H489" s="5" t="str">
        <f ca="1">IFERROR(__xludf.DUMMYFUNCTION("""COMPUTED_VALUE"""),"None")</f>
        <v>None</v>
      </c>
    </row>
    <row r="490" spans="1:8">
      <c r="A490" s="5" t="str">
        <f ca="1">IFERROR(__xludf.DUMMYFUNCTION("""COMPUTED_VALUE"""),"20210311OHCIC")</f>
        <v>20210311OHCIC</v>
      </c>
      <c r="B490" s="5" t="str">
        <f ca="1">IFERROR(__xludf.DUMMYFUNCTION("""COMPUTED_VALUE"""),"Adult")</f>
        <v>Adult</v>
      </c>
      <c r="C490" s="5"/>
      <c r="D490" s="5"/>
      <c r="E490" s="5" t="str">
        <f ca="1">IFERROR(__xludf.DUMMYFUNCTION("""COMPUTED_VALUE"""),"No Relation")</f>
        <v>No Relation</v>
      </c>
      <c r="F490" s="5" t="str">
        <f ca="1">IFERROR(__xludf.DUMMYFUNCTION("""COMPUTED_VALUE"""),"Fled/Escaped")</f>
        <v>Fled/Escaped</v>
      </c>
      <c r="G490" s="5" t="str">
        <f ca="1">IFERROR(__xludf.DUMMYFUNCTION("""COMPUTED_VALUE"""),"No")</f>
        <v>No</v>
      </c>
      <c r="H490" s="5" t="str">
        <f ca="1">IFERROR(__xludf.DUMMYFUNCTION("""COMPUTED_VALUE"""),"None")</f>
        <v>None</v>
      </c>
    </row>
    <row r="491" spans="1:8">
      <c r="A491" s="5" t="str">
        <f ca="1">IFERROR(__xludf.DUMMYFUNCTION("""COMPUTED_VALUE"""),"20210309TNSAK")</f>
        <v>20210309TNSAK</v>
      </c>
      <c r="B491" s="5"/>
      <c r="C491" s="5"/>
      <c r="D491" s="5"/>
      <c r="E491" s="5" t="str">
        <f ca="1">IFERROR(__xludf.DUMMYFUNCTION("""COMPUTED_VALUE"""),"No Relation")</f>
        <v>No Relation</v>
      </c>
      <c r="F491" s="5" t="str">
        <f ca="1">IFERROR(__xludf.DUMMYFUNCTION("""COMPUTED_VALUE"""),"Fled/Escaped")</f>
        <v>Fled/Escaped</v>
      </c>
      <c r="G491" s="5" t="str">
        <f ca="1">IFERROR(__xludf.DUMMYFUNCTION("""COMPUTED_VALUE"""),"No")</f>
        <v>No</v>
      </c>
      <c r="H491" s="5" t="str">
        <f ca="1">IFERROR(__xludf.DUMMYFUNCTION("""COMPUTED_VALUE"""),"None")</f>
        <v>None</v>
      </c>
    </row>
    <row r="492" spans="1:8">
      <c r="A492" s="5" t="str">
        <f ca="1">IFERROR(__xludf.DUMMYFUNCTION("""COMPUTED_VALUE"""),"20210308SCEDC")</f>
        <v>20210308SCEDC</v>
      </c>
      <c r="B492" s="5">
        <f ca="1">IFERROR(__xludf.DUMMYFUNCTION("""COMPUTED_VALUE"""),54)</f>
        <v>54</v>
      </c>
      <c r="C492" s="5" t="str">
        <f ca="1">IFERROR(__xludf.DUMMYFUNCTION("""COMPUTED_VALUE"""),"Female")</f>
        <v>Female</v>
      </c>
      <c r="D492" s="5" t="str">
        <f ca="1">IFERROR(__xludf.DUMMYFUNCTION("""COMPUTED_VALUE"""),"Black")</f>
        <v>Black</v>
      </c>
      <c r="E492" s="5" t="str">
        <f ca="1">IFERROR(__xludf.DUMMYFUNCTION("""COMPUTED_VALUE"""),"Relative")</f>
        <v>Relative</v>
      </c>
      <c r="F492" s="5" t="str">
        <f ca="1">IFERROR(__xludf.DUMMYFUNCTION("""COMPUTED_VALUE"""),"Fled/Apprehended")</f>
        <v>Fled/Apprehended</v>
      </c>
      <c r="G492" s="5" t="str">
        <f ca="1">IFERROR(__xludf.DUMMYFUNCTION("""COMPUTED_VALUE"""),"No")</f>
        <v>No</v>
      </c>
      <c r="H492" s="5" t="str">
        <f ca="1">IFERROR(__xludf.DUMMYFUNCTION("""COMPUTED_VALUE"""),"None")</f>
        <v>None</v>
      </c>
    </row>
    <row r="493" spans="1:8">
      <c r="A493" s="5" t="str">
        <f ca="1">IFERROR(__xludf.DUMMYFUNCTION("""COMPUTED_VALUE"""),"20210301ARWAP")</f>
        <v>20210301ARWAP</v>
      </c>
      <c r="B493" s="5">
        <f ca="1">IFERROR(__xludf.DUMMYFUNCTION("""COMPUTED_VALUE"""),15)</f>
        <v>15</v>
      </c>
      <c r="C493" s="5" t="str">
        <f ca="1">IFERROR(__xludf.DUMMYFUNCTION("""COMPUTED_VALUE"""),"Male")</f>
        <v>Male</v>
      </c>
      <c r="D493" s="5"/>
      <c r="E493" s="5" t="str">
        <f ca="1">IFERROR(__xludf.DUMMYFUNCTION("""COMPUTED_VALUE"""),"Student")</f>
        <v>Student</v>
      </c>
      <c r="F493" s="5" t="str">
        <f ca="1">IFERROR(__xludf.DUMMYFUNCTION("""COMPUTED_VALUE"""),"Fled/Apprehended")</f>
        <v>Fled/Apprehended</v>
      </c>
      <c r="G493" s="5" t="str">
        <f ca="1">IFERROR(__xludf.DUMMYFUNCTION("""COMPUTED_VALUE"""),"No")</f>
        <v>No</v>
      </c>
      <c r="H493" s="5" t="str">
        <f ca="1">IFERROR(__xludf.DUMMYFUNCTION("""COMPUTED_VALUE"""),"None")</f>
        <v>None</v>
      </c>
    </row>
    <row r="494" spans="1:8">
      <c r="A494" s="5" t="str">
        <f ca="1">IFERROR(__xludf.DUMMYFUNCTION("""COMPUTED_VALUE"""),"20210226LAGEN")</f>
        <v>20210226LAGEN</v>
      </c>
      <c r="B494" s="5">
        <f ca="1">IFERROR(__xludf.DUMMYFUNCTION("""COMPUTED_VALUE"""),35)</f>
        <v>35</v>
      </c>
      <c r="C494" s="5" t="str">
        <f ca="1">IFERROR(__xludf.DUMMYFUNCTION("""COMPUTED_VALUE"""),"Male")</f>
        <v>Male</v>
      </c>
      <c r="D494" s="5" t="str">
        <f ca="1">IFERROR(__xludf.DUMMYFUNCTION("""COMPUTED_VALUE"""),"Black")</f>
        <v>Black</v>
      </c>
      <c r="E494" s="5" t="str">
        <f ca="1">IFERROR(__xludf.DUMMYFUNCTION("""COMPUTED_VALUE"""),"Nonstudent Using Athletic Facilities/Attending Game")</f>
        <v>Nonstudent Using Athletic Facilities/Attending Game</v>
      </c>
      <c r="F494" s="5" t="str">
        <f ca="1">IFERROR(__xludf.DUMMYFUNCTION("""COMPUTED_VALUE"""),"Surrendered")</f>
        <v>Surrendered</v>
      </c>
      <c r="G494" s="5" t="str">
        <f ca="1">IFERROR(__xludf.DUMMYFUNCTION("""COMPUTED_VALUE"""),"No")</f>
        <v>No</v>
      </c>
      <c r="H494" s="5" t="str">
        <f ca="1">IFERROR(__xludf.DUMMYFUNCTION("""COMPUTED_VALUE"""),"None")</f>
        <v>None</v>
      </c>
    </row>
    <row r="495" spans="1:8">
      <c r="A495" s="5" t="str">
        <f ca="1">IFERROR(__xludf.DUMMYFUNCTION("""COMPUTED_VALUE"""),"20210224WAGAY")</f>
        <v>20210224WAGAY</v>
      </c>
      <c r="B495" s="5" t="str">
        <f ca="1">IFERROR(__xludf.DUMMYFUNCTION("""COMPUTED_VALUE"""),"Teen")</f>
        <v>Teen</v>
      </c>
      <c r="C495" s="5" t="str">
        <f ca="1">IFERROR(__xludf.DUMMYFUNCTION("""COMPUTED_VALUE"""),"Male")</f>
        <v>Male</v>
      </c>
      <c r="D495" s="5"/>
      <c r="E495" s="5" t="str">
        <f ca="1">IFERROR(__xludf.DUMMYFUNCTION("""COMPUTED_VALUE"""),"No Relation")</f>
        <v>No Relation</v>
      </c>
      <c r="F495" s="5" t="str">
        <f ca="1">IFERROR(__xludf.DUMMYFUNCTION("""COMPUTED_VALUE"""),"Fled/Apprehended")</f>
        <v>Fled/Apprehended</v>
      </c>
      <c r="G495" s="5" t="str">
        <f ca="1">IFERROR(__xludf.DUMMYFUNCTION("""COMPUTED_VALUE"""),"No")</f>
        <v>No</v>
      </c>
      <c r="H495" s="5" t="str">
        <f ca="1">IFERROR(__xludf.DUMMYFUNCTION("""COMPUTED_VALUE"""),"None")</f>
        <v>None</v>
      </c>
    </row>
    <row r="496" spans="1:8">
      <c r="A496" s="5" t="str">
        <f ca="1">IFERROR(__xludf.DUMMYFUNCTION("""COMPUTED_VALUE"""),"20210222CAHOV")</f>
        <v>20210222CAHOV</v>
      </c>
      <c r="B496" s="5"/>
      <c r="C496" s="5"/>
      <c r="D496" s="5"/>
      <c r="E496" s="5" t="str">
        <f ca="1">IFERROR(__xludf.DUMMYFUNCTION("""COMPUTED_VALUE"""),"No Relation")</f>
        <v>No Relation</v>
      </c>
      <c r="F496" s="5" t="str">
        <f ca="1">IFERROR(__xludf.DUMMYFUNCTION("""COMPUTED_VALUE"""),"Fled/Escaped")</f>
        <v>Fled/Escaped</v>
      </c>
      <c r="G496" s="5" t="str">
        <f ca="1">IFERROR(__xludf.DUMMYFUNCTION("""COMPUTED_VALUE"""),"No")</f>
        <v>No</v>
      </c>
      <c r="H496" s="5" t="str">
        <f ca="1">IFERROR(__xludf.DUMMYFUNCTION("""COMPUTED_VALUE"""),"None")</f>
        <v>None</v>
      </c>
    </row>
    <row r="497" spans="1:8">
      <c r="A497" s="5" t="str">
        <f ca="1">IFERROR(__xludf.DUMMYFUNCTION("""COMPUTED_VALUE"""),"20210219ILLIR")</f>
        <v>20210219ILLIR</v>
      </c>
      <c r="B497" s="5"/>
      <c r="C497" s="5"/>
      <c r="D497" s="5"/>
      <c r="E497" s="5" t="str">
        <f ca="1">IFERROR(__xludf.DUMMYFUNCTION("""COMPUTED_VALUE"""),"No Relation")</f>
        <v>No Relation</v>
      </c>
      <c r="F497" s="5" t="str">
        <f ca="1">IFERROR(__xludf.DUMMYFUNCTION("""COMPUTED_VALUE"""),"Fled/Escaped")</f>
        <v>Fled/Escaped</v>
      </c>
      <c r="G497" s="5" t="str">
        <f ca="1">IFERROR(__xludf.DUMMYFUNCTION("""COMPUTED_VALUE"""),"No")</f>
        <v>No</v>
      </c>
      <c r="H497" s="5" t="str">
        <f ca="1">IFERROR(__xludf.DUMMYFUNCTION("""COMPUTED_VALUE"""),"None")</f>
        <v>None</v>
      </c>
    </row>
    <row r="498" spans="1:8">
      <c r="A498" s="5" t="str">
        <f ca="1">IFERROR(__xludf.DUMMYFUNCTION("""COMPUTED_VALUE"""),"20210217TNKNK")</f>
        <v>20210217TNKNK</v>
      </c>
      <c r="B498" s="5">
        <f ca="1">IFERROR(__xludf.DUMMYFUNCTION("""COMPUTED_VALUE"""),30)</f>
        <v>30</v>
      </c>
      <c r="C498" s="5" t="str">
        <f ca="1">IFERROR(__xludf.DUMMYFUNCTION("""COMPUTED_VALUE"""),"Male")</f>
        <v>Male</v>
      </c>
      <c r="D498" s="5" t="str">
        <f ca="1">IFERROR(__xludf.DUMMYFUNCTION("""COMPUTED_VALUE"""),"Black")</f>
        <v>Black</v>
      </c>
      <c r="E498" s="5" t="str">
        <f ca="1">IFERROR(__xludf.DUMMYFUNCTION("""COMPUTED_VALUE"""),"No Relation")</f>
        <v>No Relation</v>
      </c>
      <c r="F498" s="5" t="str">
        <f ca="1">IFERROR(__xludf.DUMMYFUNCTION("""COMPUTED_VALUE"""),"Fled/Apprehended")</f>
        <v>Fled/Apprehended</v>
      </c>
      <c r="G498" s="5" t="str">
        <f ca="1">IFERROR(__xludf.DUMMYFUNCTION("""COMPUTED_VALUE"""),"No")</f>
        <v>No</v>
      </c>
      <c r="H498" s="5" t="str">
        <f ca="1">IFERROR(__xludf.DUMMYFUNCTION("""COMPUTED_VALUE"""),"None")</f>
        <v>None</v>
      </c>
    </row>
    <row r="499" spans="1:8">
      <c r="A499" s="5" t="str">
        <f ca="1">IFERROR(__xludf.DUMMYFUNCTION("""COMPUTED_VALUE"""),"20210216NCTHS")</f>
        <v>20210216NCTHS</v>
      </c>
      <c r="B499" s="5" t="str">
        <f ca="1">IFERROR(__xludf.DUMMYFUNCTION("""COMPUTED_VALUE"""),"Child")</f>
        <v>Child</v>
      </c>
      <c r="C499" s="5" t="str">
        <f ca="1">IFERROR(__xludf.DUMMYFUNCTION("""COMPUTED_VALUE"""),"Male")</f>
        <v>Male</v>
      </c>
      <c r="D499" s="5"/>
      <c r="E499" s="5" t="str">
        <f ca="1">IFERROR(__xludf.DUMMYFUNCTION("""COMPUTED_VALUE"""),"Student")</f>
        <v>Student</v>
      </c>
      <c r="F499" s="5" t="str">
        <f ca="1">IFERROR(__xludf.DUMMYFUNCTION("""COMPUTED_VALUE"""),"Apprehended/Killed by SRO")</f>
        <v>Apprehended/Killed by SRO</v>
      </c>
      <c r="G499" s="5" t="str">
        <f ca="1">IFERROR(__xludf.DUMMYFUNCTION("""COMPUTED_VALUE"""),"No")</f>
        <v>No</v>
      </c>
      <c r="H499" s="5" t="str">
        <f ca="1">IFERROR(__xludf.DUMMYFUNCTION("""COMPUTED_VALUE"""),"None")</f>
        <v>None</v>
      </c>
    </row>
    <row r="500" spans="1:8">
      <c r="A500" s="5" t="str">
        <f ca="1">IFERROR(__xludf.DUMMYFUNCTION("""COMPUTED_VALUE"""),"20210216NCTHS")</f>
        <v>20210216NCTHS</v>
      </c>
      <c r="B500" s="5" t="str">
        <f ca="1">IFERROR(__xludf.DUMMYFUNCTION("""COMPUTED_VALUE"""),"Child")</f>
        <v>Child</v>
      </c>
      <c r="C500" s="5" t="str">
        <f ca="1">IFERROR(__xludf.DUMMYFUNCTION("""COMPUTED_VALUE"""),"Male")</f>
        <v>Male</v>
      </c>
      <c r="D500" s="5"/>
      <c r="E500" s="5" t="str">
        <f ca="1">IFERROR(__xludf.DUMMYFUNCTION("""COMPUTED_VALUE"""),"Student")</f>
        <v>Student</v>
      </c>
      <c r="F500" s="5" t="str">
        <f ca="1">IFERROR(__xludf.DUMMYFUNCTION("""COMPUTED_VALUE"""),"Apprehended/Killed by SRO")</f>
        <v>Apprehended/Killed by SRO</v>
      </c>
      <c r="G500" s="5" t="str">
        <f ca="1">IFERROR(__xludf.DUMMYFUNCTION("""COMPUTED_VALUE"""),"No")</f>
        <v>No</v>
      </c>
      <c r="H500" s="5" t="str">
        <f ca="1">IFERROR(__xludf.DUMMYFUNCTION("""COMPUTED_VALUE"""),"None")</f>
        <v>None</v>
      </c>
    </row>
    <row r="501" spans="1:8">
      <c r="A501" s="5" t="str">
        <f ca="1">IFERROR(__xludf.DUMMYFUNCTION("""COMPUTED_VALUE"""),"20210214MNROM")</f>
        <v>20210214MNROM</v>
      </c>
      <c r="B501" s="5"/>
      <c r="C501" s="5"/>
      <c r="D501" s="5"/>
      <c r="E501" s="5" t="str">
        <f ca="1">IFERROR(__xludf.DUMMYFUNCTION("""COMPUTED_VALUE"""),"No Relation")</f>
        <v>No Relation</v>
      </c>
      <c r="F501" s="5" t="str">
        <f ca="1">IFERROR(__xludf.DUMMYFUNCTION("""COMPUTED_VALUE"""),"Fled/Escaped")</f>
        <v>Fled/Escaped</v>
      </c>
      <c r="G501" s="5" t="str">
        <f ca="1">IFERROR(__xludf.DUMMYFUNCTION("""COMPUTED_VALUE"""),"No")</f>
        <v>No</v>
      </c>
      <c r="H501" s="5" t="str">
        <f ca="1">IFERROR(__xludf.DUMMYFUNCTION("""COMPUTED_VALUE"""),"None")</f>
        <v>None</v>
      </c>
    </row>
    <row r="502" spans="1:8">
      <c r="A502" s="5" t="str">
        <f ca="1">IFERROR(__xludf.DUMMYFUNCTION("""COMPUTED_VALUE"""),"20210210TXFOF")</f>
        <v>20210210TXFOF</v>
      </c>
      <c r="B502" s="5">
        <f ca="1">IFERROR(__xludf.DUMMYFUNCTION("""COMPUTED_VALUE"""),17)</f>
        <v>17</v>
      </c>
      <c r="C502" s="5" t="str">
        <f ca="1">IFERROR(__xludf.DUMMYFUNCTION("""COMPUTED_VALUE"""),"Male")</f>
        <v>Male</v>
      </c>
      <c r="D502" s="5"/>
      <c r="E502" s="5" t="str">
        <f ca="1">IFERROR(__xludf.DUMMYFUNCTION("""COMPUTED_VALUE"""),"No Relation")</f>
        <v>No Relation</v>
      </c>
      <c r="F502" s="5" t="str">
        <f ca="1">IFERROR(__xludf.DUMMYFUNCTION("""COMPUTED_VALUE"""),"Fled/Apprehended")</f>
        <v>Fled/Apprehended</v>
      </c>
      <c r="G502" s="5" t="str">
        <f ca="1">IFERROR(__xludf.DUMMYFUNCTION("""COMPUTED_VALUE"""),"No")</f>
        <v>No</v>
      </c>
      <c r="H502" s="5" t="str">
        <f ca="1">IFERROR(__xludf.DUMMYFUNCTION("""COMPUTED_VALUE"""),"None")</f>
        <v>None</v>
      </c>
    </row>
    <row r="503" spans="1:8">
      <c r="A503" s="5" t="str">
        <f ca="1">IFERROR(__xludf.DUMMYFUNCTION("""COMPUTED_VALUE"""),"20210210TXFOF")</f>
        <v>20210210TXFOF</v>
      </c>
      <c r="B503" s="5">
        <f ca="1">IFERROR(__xludf.DUMMYFUNCTION("""COMPUTED_VALUE"""),18)</f>
        <v>18</v>
      </c>
      <c r="C503" s="5" t="str">
        <f ca="1">IFERROR(__xludf.DUMMYFUNCTION("""COMPUTED_VALUE"""),"Male")</f>
        <v>Male</v>
      </c>
      <c r="D503" s="5" t="str">
        <f ca="1">IFERROR(__xludf.DUMMYFUNCTION("""COMPUTED_VALUE"""),"Hispanic")</f>
        <v>Hispanic</v>
      </c>
      <c r="E503" s="5" t="str">
        <f ca="1">IFERROR(__xludf.DUMMYFUNCTION("""COMPUTED_VALUE"""),"No Relation")</f>
        <v>No Relation</v>
      </c>
      <c r="F503" s="5" t="str">
        <f ca="1">IFERROR(__xludf.DUMMYFUNCTION("""COMPUTED_VALUE"""),"Fled/Apprehended")</f>
        <v>Fled/Apprehended</v>
      </c>
      <c r="G503" s="5" t="str">
        <f ca="1">IFERROR(__xludf.DUMMYFUNCTION("""COMPUTED_VALUE"""),"No")</f>
        <v>No</v>
      </c>
      <c r="H503" s="5" t="str">
        <f ca="1">IFERROR(__xludf.DUMMYFUNCTION("""COMPUTED_VALUE"""),"None")</f>
        <v>None</v>
      </c>
    </row>
    <row r="504" spans="1:8">
      <c r="A504" s="5" t="str">
        <f ca="1">IFERROR(__xludf.DUMMYFUNCTION("""COMPUTED_VALUE"""),"20210210NJSCP")</f>
        <v>20210210NJSCP</v>
      </c>
      <c r="B504" s="5"/>
      <c r="C504" s="5"/>
      <c r="D504" s="5"/>
      <c r="E504" s="5" t="str">
        <f ca="1">IFERROR(__xludf.DUMMYFUNCTION("""COMPUTED_VALUE"""),"No Relation")</f>
        <v>No Relation</v>
      </c>
      <c r="F504" s="5" t="str">
        <f ca="1">IFERROR(__xludf.DUMMYFUNCTION("""COMPUTED_VALUE"""),"Fled/Escaped")</f>
        <v>Fled/Escaped</v>
      </c>
      <c r="G504" s="5" t="str">
        <f ca="1">IFERROR(__xludf.DUMMYFUNCTION("""COMPUTED_VALUE"""),"No")</f>
        <v>No</v>
      </c>
      <c r="H504" s="5" t="str">
        <f ca="1">IFERROR(__xludf.DUMMYFUNCTION("""COMPUTED_VALUE"""),"None")</f>
        <v>None</v>
      </c>
    </row>
    <row r="505" spans="1:8">
      <c r="A505" s="5" t="str">
        <f ca="1">IFERROR(__xludf.DUMMYFUNCTION("""COMPUTED_VALUE"""),"20210210LASTS")</f>
        <v>20210210LASTS</v>
      </c>
      <c r="B505" s="5" t="str">
        <f ca="1">IFERROR(__xludf.DUMMYFUNCTION("""COMPUTED_VALUE"""),"Adult")</f>
        <v>Adult</v>
      </c>
      <c r="C505" s="5" t="str">
        <f ca="1">IFERROR(__xludf.DUMMYFUNCTION("""COMPUTED_VALUE"""),"Male")</f>
        <v>Male</v>
      </c>
      <c r="D505" s="5" t="str">
        <f ca="1">IFERROR(__xludf.DUMMYFUNCTION("""COMPUTED_VALUE"""),"Black")</f>
        <v>Black</v>
      </c>
      <c r="E505" s="5" t="str">
        <f ca="1">IFERROR(__xludf.DUMMYFUNCTION("""COMPUTED_VALUE"""),"No Relation")</f>
        <v>No Relation</v>
      </c>
      <c r="F505" s="5" t="str">
        <f ca="1">IFERROR(__xludf.DUMMYFUNCTION("""COMPUTED_VALUE"""),"Fled/Escaped")</f>
        <v>Fled/Escaped</v>
      </c>
      <c r="G505" s="5" t="str">
        <f ca="1">IFERROR(__xludf.DUMMYFUNCTION("""COMPUTED_VALUE"""),"No")</f>
        <v>No</v>
      </c>
      <c r="H505" s="5" t="str">
        <f ca="1">IFERROR(__xludf.DUMMYFUNCTION("""COMPUTED_VALUE"""),"None")</f>
        <v>None</v>
      </c>
    </row>
    <row r="506" spans="1:8">
      <c r="A506" s="5" t="str">
        <f ca="1">IFERROR(__xludf.DUMMYFUNCTION("""COMPUTED_VALUE"""),"20210208MISCG")</f>
        <v>20210208MISCG</v>
      </c>
      <c r="B506" s="5"/>
      <c r="C506" s="5" t="str">
        <f ca="1">IFERROR(__xludf.DUMMYFUNCTION("""COMPUTED_VALUE"""),"Male")</f>
        <v>Male</v>
      </c>
      <c r="D506" s="5"/>
      <c r="E506" s="5" t="str">
        <f ca="1">IFERROR(__xludf.DUMMYFUNCTION("""COMPUTED_VALUE"""),"No Relation")</f>
        <v>No Relation</v>
      </c>
      <c r="F506" s="5" t="str">
        <f ca="1">IFERROR(__xludf.DUMMYFUNCTION("""COMPUTED_VALUE"""),"Fled/Escaped")</f>
        <v>Fled/Escaped</v>
      </c>
      <c r="G506" s="5" t="str">
        <f ca="1">IFERROR(__xludf.DUMMYFUNCTION("""COMPUTED_VALUE"""),"No")</f>
        <v>No</v>
      </c>
      <c r="H506" s="5" t="str">
        <f ca="1">IFERROR(__xludf.DUMMYFUNCTION("""COMPUTED_VALUE"""),"None")</f>
        <v>None</v>
      </c>
    </row>
    <row r="507" spans="1:8">
      <c r="A507" s="5" t="str">
        <f ca="1">IFERROR(__xludf.DUMMYFUNCTION("""COMPUTED_VALUE"""),"20210205MDBEM")</f>
        <v>20210205MDBEM</v>
      </c>
      <c r="B507" s="5"/>
      <c r="C507" s="5"/>
      <c r="D507" s="5"/>
      <c r="E507" s="5" t="str">
        <f ca="1">IFERROR(__xludf.DUMMYFUNCTION("""COMPUTED_VALUE"""),"No Relation")</f>
        <v>No Relation</v>
      </c>
      <c r="F507" s="5" t="str">
        <f ca="1">IFERROR(__xludf.DUMMYFUNCTION("""COMPUTED_VALUE"""),"Fled/Escaped")</f>
        <v>Fled/Escaped</v>
      </c>
      <c r="G507" s="5" t="str">
        <f ca="1">IFERROR(__xludf.DUMMYFUNCTION("""COMPUTED_VALUE"""),"No")</f>
        <v>No</v>
      </c>
      <c r="H507" s="5" t="str">
        <f ca="1">IFERROR(__xludf.DUMMYFUNCTION("""COMPUTED_VALUE"""),"None")</f>
        <v>None</v>
      </c>
    </row>
    <row r="508" spans="1:8">
      <c r="A508" s="5" t="str">
        <f ca="1">IFERROR(__xludf.DUMMYFUNCTION("""COMPUTED_VALUE"""),"20210201MIMUD")</f>
        <v>20210201MIMUD</v>
      </c>
      <c r="B508" s="5" t="str">
        <f ca="1">IFERROR(__xludf.DUMMYFUNCTION("""COMPUTED_VALUE"""),"Teen")</f>
        <v>Teen</v>
      </c>
      <c r="C508" s="5" t="str">
        <f ca="1">IFERROR(__xludf.DUMMYFUNCTION("""COMPUTED_VALUE"""),"Male")</f>
        <v>Male</v>
      </c>
      <c r="D508" s="5" t="str">
        <f ca="1">IFERROR(__xludf.DUMMYFUNCTION("""COMPUTED_VALUE"""),"Black")</f>
        <v>Black</v>
      </c>
      <c r="E508" s="5" t="str">
        <f ca="1">IFERROR(__xludf.DUMMYFUNCTION("""COMPUTED_VALUE"""),"Nonstudent Using Athletic Facilities/Attending Game")</f>
        <v>Nonstudent Using Athletic Facilities/Attending Game</v>
      </c>
      <c r="F508" s="5" t="str">
        <f ca="1">IFERROR(__xludf.DUMMYFUNCTION("""COMPUTED_VALUE"""),"Fled/Escaped")</f>
        <v>Fled/Escaped</v>
      </c>
      <c r="G508" s="5" t="str">
        <f ca="1">IFERROR(__xludf.DUMMYFUNCTION("""COMPUTED_VALUE"""),"No")</f>
        <v>No</v>
      </c>
      <c r="H508" s="5" t="str">
        <f ca="1">IFERROR(__xludf.DUMMYFUNCTION("""COMPUTED_VALUE"""),"None")</f>
        <v>None</v>
      </c>
    </row>
    <row r="509" spans="1:8">
      <c r="A509" s="5" t="str">
        <f ca="1">IFERROR(__xludf.DUMMYFUNCTION("""COMPUTED_VALUE"""),"20210127MSHAH")</f>
        <v>20210127MSHAH</v>
      </c>
      <c r="B509" s="5">
        <f ca="1">IFERROR(__xludf.DUMMYFUNCTION("""COMPUTED_VALUE"""),14)</f>
        <v>14</v>
      </c>
      <c r="C509" s="5" t="str">
        <f ca="1">IFERROR(__xludf.DUMMYFUNCTION("""COMPUTED_VALUE"""),"Male")</f>
        <v>Male</v>
      </c>
      <c r="D509" s="5" t="str">
        <f ca="1">IFERROR(__xludf.DUMMYFUNCTION("""COMPUTED_VALUE"""),"Black")</f>
        <v>Black</v>
      </c>
      <c r="E509" s="5"/>
      <c r="F509" s="5" t="str">
        <f ca="1">IFERROR(__xludf.DUMMYFUNCTION("""COMPUTED_VALUE"""),"Apprehended/Killed by LE")</f>
        <v>Apprehended/Killed by LE</v>
      </c>
      <c r="G509" s="5" t="str">
        <f ca="1">IFERROR(__xludf.DUMMYFUNCTION("""COMPUTED_VALUE"""),"No")</f>
        <v>No</v>
      </c>
      <c r="H509" s="5" t="str">
        <f ca="1">IFERROR(__xludf.DUMMYFUNCTION("""COMPUTED_VALUE"""),"Wounded")</f>
        <v>Wounded</v>
      </c>
    </row>
    <row r="510" spans="1:8">
      <c r="A510" s="5" t="str">
        <f ca="1">IFERROR(__xludf.DUMMYFUNCTION("""COMPUTED_VALUE"""),"20210127FLHOH")</f>
        <v>20210127FLHOH</v>
      </c>
      <c r="B510" s="5" t="str">
        <f ca="1">IFERROR(__xludf.DUMMYFUNCTION("""COMPUTED_VALUE"""),"Teen")</f>
        <v>Teen</v>
      </c>
      <c r="C510" s="5"/>
      <c r="D510" s="5"/>
      <c r="E510" s="5" t="str">
        <f ca="1">IFERROR(__xludf.DUMMYFUNCTION("""COMPUTED_VALUE"""),"Student")</f>
        <v>Student</v>
      </c>
      <c r="F510" s="5" t="str">
        <f ca="1">IFERROR(__xludf.DUMMYFUNCTION("""COMPUTED_VALUE"""),"Apprehended/Killed by Other")</f>
        <v>Apprehended/Killed by Other</v>
      </c>
      <c r="G510" s="5" t="str">
        <f ca="1">IFERROR(__xludf.DUMMYFUNCTION("""COMPUTED_VALUE"""),"No")</f>
        <v>No</v>
      </c>
      <c r="H510" s="5" t="str">
        <f ca="1">IFERROR(__xludf.DUMMYFUNCTION("""COMPUTED_VALUE"""),"None")</f>
        <v>None</v>
      </c>
    </row>
    <row r="511" spans="1:8">
      <c r="A511" s="5" t="str">
        <f ca="1">IFERROR(__xludf.DUMMYFUNCTION("""COMPUTED_VALUE"""),"20210127FLHOH")</f>
        <v>20210127FLHOH</v>
      </c>
      <c r="B511" s="5" t="str">
        <f ca="1">IFERROR(__xludf.DUMMYFUNCTION("""COMPUTED_VALUE"""),"Teen")</f>
        <v>Teen</v>
      </c>
      <c r="C511" s="5"/>
      <c r="D511" s="5"/>
      <c r="E511" s="5" t="str">
        <f ca="1">IFERROR(__xludf.DUMMYFUNCTION("""COMPUTED_VALUE"""),"Student")</f>
        <v>Student</v>
      </c>
      <c r="F511" s="5" t="str">
        <f ca="1">IFERROR(__xludf.DUMMYFUNCTION("""COMPUTED_VALUE"""),"Apprehended/Killed by Other")</f>
        <v>Apprehended/Killed by Other</v>
      </c>
      <c r="G511" s="5" t="str">
        <f ca="1">IFERROR(__xludf.DUMMYFUNCTION("""COMPUTED_VALUE"""),"No")</f>
        <v>No</v>
      </c>
      <c r="H511" s="5" t="str">
        <f ca="1">IFERROR(__xludf.DUMMYFUNCTION("""COMPUTED_VALUE"""),"None")</f>
        <v>None</v>
      </c>
    </row>
    <row r="512" spans="1:8">
      <c r="A512" s="5" t="str">
        <f ca="1">IFERROR(__xludf.DUMMYFUNCTION("""COMPUTED_VALUE"""),"20210121OKLOG")</f>
        <v>20210121OKLOG</v>
      </c>
      <c r="B512" s="5" t="str">
        <f ca="1">IFERROR(__xludf.DUMMYFUNCTION("""COMPUTED_VALUE"""),"Adult")</f>
        <v>Adult</v>
      </c>
      <c r="C512" s="5" t="str">
        <f ca="1">IFERROR(__xludf.DUMMYFUNCTION("""COMPUTED_VALUE"""),"Male")</f>
        <v>Male</v>
      </c>
      <c r="D512" s="5"/>
      <c r="E512" s="5" t="str">
        <f ca="1">IFERROR(__xludf.DUMMYFUNCTION("""COMPUTED_VALUE"""),"Parent")</f>
        <v>Parent</v>
      </c>
      <c r="F512" s="5" t="str">
        <f ca="1">IFERROR(__xludf.DUMMYFUNCTION("""COMPUTED_VALUE"""),"Fled/Apprehended")</f>
        <v>Fled/Apprehended</v>
      </c>
      <c r="G512" s="5" t="str">
        <f ca="1">IFERROR(__xludf.DUMMYFUNCTION("""COMPUTED_VALUE"""),"No")</f>
        <v>No</v>
      </c>
      <c r="H512" s="5" t="str">
        <f ca="1">IFERROR(__xludf.DUMMYFUNCTION("""COMPUTED_VALUE"""),"Wounded")</f>
        <v>Wounded</v>
      </c>
    </row>
    <row r="513" spans="1:8">
      <c r="A513" s="5" t="str">
        <f ca="1">IFERROR(__xludf.DUMMYFUNCTION("""COMPUTED_VALUE"""),"20210121OHEAC")</f>
        <v>20210121OHEAC</v>
      </c>
      <c r="B513" s="5" t="str">
        <f ca="1">IFERROR(__xludf.DUMMYFUNCTION("""COMPUTED_VALUE"""),"Adult")</f>
        <v>Adult</v>
      </c>
      <c r="C513" s="5" t="str">
        <f ca="1">IFERROR(__xludf.DUMMYFUNCTION("""COMPUTED_VALUE"""),"Male")</f>
        <v>Male</v>
      </c>
      <c r="D513" s="5"/>
      <c r="E513" s="5" t="str">
        <f ca="1">IFERROR(__xludf.DUMMYFUNCTION("""COMPUTED_VALUE"""),"No Relation")</f>
        <v>No Relation</v>
      </c>
      <c r="F513" s="5" t="str">
        <f ca="1">IFERROR(__xludf.DUMMYFUNCTION("""COMPUTED_VALUE"""),"Fled/Escaped")</f>
        <v>Fled/Escaped</v>
      </c>
      <c r="G513" s="5" t="str">
        <f ca="1">IFERROR(__xludf.DUMMYFUNCTION("""COMPUTED_VALUE"""),"No")</f>
        <v>No</v>
      </c>
      <c r="H513" s="5" t="str">
        <f ca="1">IFERROR(__xludf.DUMMYFUNCTION("""COMPUTED_VALUE"""),"None")</f>
        <v>None</v>
      </c>
    </row>
    <row r="514" spans="1:8">
      <c r="A514" s="5" t="str">
        <f ca="1">IFERROR(__xludf.DUMMYFUNCTION("""COMPUTED_VALUE"""),"20210114MDHIW")</f>
        <v>20210114MDHIW</v>
      </c>
      <c r="B514" s="5"/>
      <c r="C514" s="5"/>
      <c r="D514" s="5"/>
      <c r="E514" s="5" t="str">
        <f ca="1">IFERROR(__xludf.DUMMYFUNCTION("""COMPUTED_VALUE"""),"No Relation")</f>
        <v>No Relation</v>
      </c>
      <c r="F514" s="5" t="str">
        <f ca="1">IFERROR(__xludf.DUMMYFUNCTION("""COMPUTED_VALUE"""),"Fled/Escaped")</f>
        <v>Fled/Escaped</v>
      </c>
      <c r="G514" s="5" t="str">
        <f ca="1">IFERROR(__xludf.DUMMYFUNCTION("""COMPUTED_VALUE"""),"No")</f>
        <v>No</v>
      </c>
      <c r="H514" s="5" t="str">
        <f ca="1">IFERROR(__xludf.DUMMYFUNCTION("""COMPUTED_VALUE"""),"None")</f>
        <v>None</v>
      </c>
    </row>
    <row r="515" spans="1:8">
      <c r="A515" s="5" t="str">
        <f ca="1">IFERROR(__xludf.DUMMYFUNCTION("""COMPUTED_VALUE"""),"20210110ILSOS")</f>
        <v>20210110ILSOS</v>
      </c>
      <c r="B515" s="5"/>
      <c r="C515" s="5"/>
      <c r="D515" s="5"/>
      <c r="E515" s="5"/>
      <c r="F515" s="5" t="str">
        <f ca="1">IFERROR(__xludf.DUMMYFUNCTION("""COMPUTED_VALUE"""),"Fled/Escaped")</f>
        <v>Fled/Escaped</v>
      </c>
      <c r="G515" s="5" t="str">
        <f ca="1">IFERROR(__xludf.DUMMYFUNCTION("""COMPUTED_VALUE"""),"No")</f>
        <v>No</v>
      </c>
      <c r="H515" s="5" t="str">
        <f ca="1">IFERROR(__xludf.DUMMYFUNCTION("""COMPUTED_VALUE"""),"None")</f>
        <v>None</v>
      </c>
    </row>
    <row r="516" spans="1:8">
      <c r="A516" s="5" t="str">
        <f ca="1">IFERROR(__xludf.DUMMYFUNCTION("""COMPUTED_VALUE"""),"20210104NYPEJ")</f>
        <v>20210104NYPEJ</v>
      </c>
      <c r="B516" s="5" t="str">
        <f ca="1">IFERROR(__xludf.DUMMYFUNCTION("""COMPUTED_VALUE"""),"Adult")</f>
        <v>Adult</v>
      </c>
      <c r="C516" s="5" t="str">
        <f ca="1">IFERROR(__xludf.DUMMYFUNCTION("""COMPUTED_VALUE"""),"Male")</f>
        <v>Male</v>
      </c>
      <c r="D516" s="5"/>
      <c r="E516" s="5" t="str">
        <f ca="1">IFERROR(__xludf.DUMMYFUNCTION("""COMPUTED_VALUE"""),"No Relation")</f>
        <v>No Relation</v>
      </c>
      <c r="F516" s="5" t="str">
        <f ca="1">IFERROR(__xludf.DUMMYFUNCTION("""COMPUTED_VALUE"""),"Fled/Apprehended")</f>
        <v>Fled/Apprehended</v>
      </c>
      <c r="G516" s="5" t="str">
        <f ca="1">IFERROR(__xludf.DUMMYFUNCTION("""COMPUTED_VALUE"""),"No")</f>
        <v>No</v>
      </c>
      <c r="H516" s="5" t="str">
        <f ca="1">IFERROR(__xludf.DUMMYFUNCTION("""COMPUTED_VALUE"""),"None")</f>
        <v>None</v>
      </c>
    </row>
    <row r="517" spans="1:8">
      <c r="A517" s="5" t="str">
        <f ca="1">IFERROR(__xludf.DUMMYFUNCTION("""COMPUTED_VALUE"""),"20201229WAROS")</f>
        <v>20201229WAROS</v>
      </c>
      <c r="B517" s="5"/>
      <c r="C517" s="5"/>
      <c r="D517" s="5"/>
      <c r="E517" s="5"/>
      <c r="F517" s="5" t="str">
        <f ca="1">IFERROR(__xludf.DUMMYFUNCTION("""COMPUTED_VALUE"""),"Fled/Escaped")</f>
        <v>Fled/Escaped</v>
      </c>
      <c r="G517" s="5" t="str">
        <f ca="1">IFERROR(__xludf.DUMMYFUNCTION("""COMPUTED_VALUE"""),"No")</f>
        <v>No</v>
      </c>
      <c r="H517" s="5" t="str">
        <f ca="1">IFERROR(__xludf.DUMMYFUNCTION("""COMPUTED_VALUE"""),"None")</f>
        <v>None</v>
      </c>
    </row>
    <row r="518" spans="1:8">
      <c r="A518" s="5" t="str">
        <f ca="1">IFERROR(__xludf.DUMMYFUNCTION("""COMPUTED_VALUE"""),"20201225FLYOP")</f>
        <v>20201225FLYOP</v>
      </c>
      <c r="B518" s="5"/>
      <c r="C518" s="5"/>
      <c r="D518" s="5"/>
      <c r="E518" s="5"/>
      <c r="F518" s="5" t="str">
        <f ca="1">IFERROR(__xludf.DUMMYFUNCTION("""COMPUTED_VALUE"""),"Fled/Escaped")</f>
        <v>Fled/Escaped</v>
      </c>
      <c r="G518" s="5" t="str">
        <f ca="1">IFERROR(__xludf.DUMMYFUNCTION("""COMPUTED_VALUE"""),"No")</f>
        <v>No</v>
      </c>
      <c r="H518" s="5" t="str">
        <f ca="1">IFERROR(__xludf.DUMMYFUNCTION("""COMPUTED_VALUE"""),"None")</f>
        <v>None</v>
      </c>
    </row>
    <row r="519" spans="1:8">
      <c r="A519" s="5" t="str">
        <f ca="1">IFERROR(__xludf.DUMMYFUNCTION("""COMPUTED_VALUE"""),"20201216ILDUC")</f>
        <v>20201216ILDUC</v>
      </c>
      <c r="B519" s="5"/>
      <c r="C519" s="5"/>
      <c r="D519" s="5"/>
      <c r="E519" s="5" t="str">
        <f ca="1">IFERROR(__xludf.DUMMYFUNCTION("""COMPUTED_VALUE"""),"No Relation")</f>
        <v>No Relation</v>
      </c>
      <c r="F519" s="5" t="str">
        <f ca="1">IFERROR(__xludf.DUMMYFUNCTION("""COMPUTED_VALUE"""),"Fled/Escaped")</f>
        <v>Fled/Escaped</v>
      </c>
      <c r="G519" s="5" t="str">
        <f ca="1">IFERROR(__xludf.DUMMYFUNCTION("""COMPUTED_VALUE"""),"No")</f>
        <v>No</v>
      </c>
      <c r="H519" s="5" t="str">
        <f ca="1">IFERROR(__xludf.DUMMYFUNCTION("""COMPUTED_VALUE"""),"None")</f>
        <v>None</v>
      </c>
    </row>
    <row r="520" spans="1:8">
      <c r="A520" s="5" t="str">
        <f ca="1">IFERROR(__xludf.DUMMYFUNCTION("""COMPUTED_VALUE"""),"20201211VATAY")</f>
        <v>20201211VATAY</v>
      </c>
      <c r="B520" s="5"/>
      <c r="C520" s="5"/>
      <c r="D520" s="5"/>
      <c r="E520" s="5" t="str">
        <f ca="1">IFERROR(__xludf.DUMMYFUNCTION("""COMPUTED_VALUE"""),"Nonstudent Using Athletic Facilities/Attending Game")</f>
        <v>Nonstudent Using Athletic Facilities/Attending Game</v>
      </c>
      <c r="F520" s="5" t="str">
        <f ca="1">IFERROR(__xludf.DUMMYFUNCTION("""COMPUTED_VALUE"""),"Fled/Escaped")</f>
        <v>Fled/Escaped</v>
      </c>
      <c r="G520" s="5" t="str">
        <f ca="1">IFERROR(__xludf.DUMMYFUNCTION("""COMPUTED_VALUE"""),"No")</f>
        <v>No</v>
      </c>
      <c r="H520" s="5" t="str">
        <f ca="1">IFERROR(__xludf.DUMMYFUNCTION("""COMPUTED_VALUE"""),"None")</f>
        <v>None</v>
      </c>
    </row>
    <row r="521" spans="1:8">
      <c r="A521" s="5" t="str">
        <f ca="1">IFERROR(__xludf.DUMMYFUNCTION("""COMPUTED_VALUE"""),"20201207ILEAC")</f>
        <v>20201207ILEAC</v>
      </c>
      <c r="B521" s="5"/>
      <c r="C521" s="5"/>
      <c r="D521" s="5"/>
      <c r="E521" s="5" t="str">
        <f ca="1">IFERROR(__xludf.DUMMYFUNCTION("""COMPUTED_VALUE"""),"No Relation")</f>
        <v>No Relation</v>
      </c>
      <c r="F521" s="5" t="str">
        <f ca="1">IFERROR(__xludf.DUMMYFUNCTION("""COMPUTED_VALUE"""),"Fled/Escaped")</f>
        <v>Fled/Escaped</v>
      </c>
      <c r="G521" s="5" t="str">
        <f ca="1">IFERROR(__xludf.DUMMYFUNCTION("""COMPUTED_VALUE"""),"No")</f>
        <v>No</v>
      </c>
      <c r="H521" s="5" t="str">
        <f ca="1">IFERROR(__xludf.DUMMYFUNCTION("""COMPUTED_VALUE"""),"None")</f>
        <v>None</v>
      </c>
    </row>
    <row r="522" spans="1:8">
      <c r="A522" s="5" t="str">
        <f ca="1">IFERROR(__xludf.DUMMYFUNCTION("""COMPUTED_VALUE"""),"20201125KSABG")</f>
        <v>20201125KSABG</v>
      </c>
      <c r="B522" s="5">
        <f ca="1">IFERROR(__xludf.DUMMYFUNCTION("""COMPUTED_VALUE"""),31)</f>
        <v>31</v>
      </c>
      <c r="C522" s="5" t="str">
        <f ca="1">IFERROR(__xludf.DUMMYFUNCTION("""COMPUTED_VALUE"""),"Male")</f>
        <v>Male</v>
      </c>
      <c r="D522" s="5"/>
      <c r="E522" s="5" t="str">
        <f ca="1">IFERROR(__xludf.DUMMYFUNCTION("""COMPUTED_VALUE"""),"No Relation")</f>
        <v>No Relation</v>
      </c>
      <c r="F522" s="5" t="str">
        <f ca="1">IFERROR(__xludf.DUMMYFUNCTION("""COMPUTED_VALUE"""),"Fled/Apprehended")</f>
        <v>Fled/Apprehended</v>
      </c>
      <c r="G522" s="5" t="str">
        <f ca="1">IFERROR(__xludf.DUMMYFUNCTION("""COMPUTED_VALUE"""),"No")</f>
        <v>No</v>
      </c>
      <c r="H522" s="5" t="str">
        <f ca="1">IFERROR(__xludf.DUMMYFUNCTION("""COMPUTED_VALUE"""),"None")</f>
        <v>None</v>
      </c>
    </row>
    <row r="523" spans="1:8">
      <c r="A523" s="5" t="str">
        <f ca="1">IFERROR(__xludf.DUMMYFUNCTION("""COMPUTED_VALUE"""),"20201124NCHEH")</f>
        <v>20201124NCHEH</v>
      </c>
      <c r="B523" s="5">
        <f ca="1">IFERROR(__xludf.DUMMYFUNCTION("""COMPUTED_VALUE"""),13)</f>
        <v>13</v>
      </c>
      <c r="C523" s="5" t="str">
        <f ca="1">IFERROR(__xludf.DUMMYFUNCTION("""COMPUTED_VALUE"""),"Male")</f>
        <v>Male</v>
      </c>
      <c r="D523" s="5"/>
      <c r="E523" s="5" t="str">
        <f ca="1">IFERROR(__xludf.DUMMYFUNCTION("""COMPUTED_VALUE"""),"Student")</f>
        <v>Student</v>
      </c>
      <c r="F523" s="5" t="str">
        <f ca="1">IFERROR(__xludf.DUMMYFUNCTION("""COMPUTED_VALUE"""),"Surrendered")</f>
        <v>Surrendered</v>
      </c>
      <c r="G523" s="5" t="str">
        <f ca="1">IFERROR(__xludf.DUMMYFUNCTION("""COMPUTED_VALUE"""),"No")</f>
        <v>No</v>
      </c>
      <c r="H523" s="5" t="str">
        <f ca="1">IFERROR(__xludf.DUMMYFUNCTION("""COMPUTED_VALUE"""),"None")</f>
        <v>None</v>
      </c>
    </row>
    <row r="524" spans="1:8">
      <c r="A524" s="5" t="str">
        <f ca="1">IFERROR(__xludf.DUMMYFUNCTION("""COMPUTED_VALUE"""),"20201117TXWEW")</f>
        <v>20201117TXWEW</v>
      </c>
      <c r="B524" s="5" t="str">
        <f ca="1">IFERROR(__xludf.DUMMYFUNCTION("""COMPUTED_VALUE"""),"Teen")</f>
        <v>Teen</v>
      </c>
      <c r="C524" s="5" t="str">
        <f ca="1">IFERROR(__xludf.DUMMYFUNCTION("""COMPUTED_VALUE"""),"Male")</f>
        <v>Male</v>
      </c>
      <c r="D524" s="5"/>
      <c r="E524" s="5" t="str">
        <f ca="1">IFERROR(__xludf.DUMMYFUNCTION("""COMPUTED_VALUE"""),"Nonstudent")</f>
        <v>Nonstudent</v>
      </c>
      <c r="F524" s="5" t="str">
        <f ca="1">IFERROR(__xludf.DUMMYFUNCTION("""COMPUTED_VALUE"""),"Attempted Suicide")</f>
        <v>Attempted Suicide</v>
      </c>
      <c r="G524" s="5" t="str">
        <f ca="1">IFERROR(__xludf.DUMMYFUNCTION("""COMPUTED_VALUE"""),"No")</f>
        <v>No</v>
      </c>
      <c r="H524" s="5" t="str">
        <f ca="1">IFERROR(__xludf.DUMMYFUNCTION("""COMPUTED_VALUE"""),"Wounded")</f>
        <v>Wounded</v>
      </c>
    </row>
    <row r="525" spans="1:8">
      <c r="A525" s="5" t="str">
        <f ca="1">IFERROR(__xludf.DUMMYFUNCTION("""COMPUTED_VALUE"""),"20201117MTGRG")</f>
        <v>20201117MTGRG</v>
      </c>
      <c r="B525" s="5">
        <f ca="1">IFERROR(__xludf.DUMMYFUNCTION("""COMPUTED_VALUE"""),19)</f>
        <v>19</v>
      </c>
      <c r="C525" s="5" t="str">
        <f ca="1">IFERROR(__xludf.DUMMYFUNCTION("""COMPUTED_VALUE"""),"Male")</f>
        <v>Male</v>
      </c>
      <c r="D525" s="5" t="str">
        <f ca="1">IFERROR(__xludf.DUMMYFUNCTION("""COMPUTED_VALUE"""),"White")</f>
        <v>White</v>
      </c>
      <c r="E525" s="5" t="str">
        <f ca="1">IFERROR(__xludf.DUMMYFUNCTION("""COMPUTED_VALUE"""),"No Relation")</f>
        <v>No Relation</v>
      </c>
      <c r="F525" s="5" t="str">
        <f ca="1">IFERROR(__xludf.DUMMYFUNCTION("""COMPUTED_VALUE"""),"Apprehended/Killed by LE")</f>
        <v>Apprehended/Killed by LE</v>
      </c>
      <c r="G525" s="5" t="str">
        <f ca="1">IFERROR(__xludf.DUMMYFUNCTION("""COMPUTED_VALUE"""),"No")</f>
        <v>No</v>
      </c>
      <c r="H525" s="5" t="str">
        <f ca="1">IFERROR(__xludf.DUMMYFUNCTION("""COMPUTED_VALUE"""),"None")</f>
        <v>None</v>
      </c>
    </row>
    <row r="526" spans="1:8">
      <c r="A526" s="5" t="str">
        <f ca="1">IFERROR(__xludf.DUMMYFUNCTION("""COMPUTED_VALUE"""),"20201116TNWIM")</f>
        <v>20201116TNWIM</v>
      </c>
      <c r="B526" s="5">
        <f ca="1">IFERROR(__xludf.DUMMYFUNCTION("""COMPUTED_VALUE"""),25)</f>
        <v>25</v>
      </c>
      <c r="C526" s="5" t="str">
        <f ca="1">IFERROR(__xludf.DUMMYFUNCTION("""COMPUTED_VALUE"""),"Male")</f>
        <v>Male</v>
      </c>
      <c r="D526" s="5" t="str">
        <f ca="1">IFERROR(__xludf.DUMMYFUNCTION("""COMPUTED_VALUE"""),"Black")</f>
        <v>Black</v>
      </c>
      <c r="E526" s="5" t="str">
        <f ca="1">IFERROR(__xludf.DUMMYFUNCTION("""COMPUTED_VALUE"""),"No Relation")</f>
        <v>No Relation</v>
      </c>
      <c r="F526" s="5" t="str">
        <f ca="1">IFERROR(__xludf.DUMMYFUNCTION("""COMPUTED_VALUE"""),"Fled/Apprehended")</f>
        <v>Fled/Apprehended</v>
      </c>
      <c r="G526" s="5" t="str">
        <f ca="1">IFERROR(__xludf.DUMMYFUNCTION("""COMPUTED_VALUE"""),"No")</f>
        <v>No</v>
      </c>
      <c r="H526" s="5" t="str">
        <f ca="1">IFERROR(__xludf.DUMMYFUNCTION("""COMPUTED_VALUE"""),"None")</f>
        <v>None</v>
      </c>
    </row>
    <row r="527" spans="1:8">
      <c r="A527" s="5" t="str">
        <f ca="1">IFERROR(__xludf.DUMMYFUNCTION("""COMPUTED_VALUE"""),"20201113NCLIL")</f>
        <v>20201113NCLIL</v>
      </c>
      <c r="B527" s="5"/>
      <c r="C527" s="5"/>
      <c r="D527" s="5"/>
      <c r="E527" s="5" t="str">
        <f ca="1">IFERROR(__xludf.DUMMYFUNCTION("""COMPUTED_VALUE"""),"No Relation")</f>
        <v>No Relation</v>
      </c>
      <c r="F527" s="5" t="str">
        <f ca="1">IFERROR(__xludf.DUMMYFUNCTION("""COMPUTED_VALUE"""),"Fled/Escaped")</f>
        <v>Fled/Escaped</v>
      </c>
      <c r="G527" s="5" t="str">
        <f ca="1">IFERROR(__xludf.DUMMYFUNCTION("""COMPUTED_VALUE"""),"No")</f>
        <v>No</v>
      </c>
      <c r="H527" s="5" t="str">
        <f ca="1">IFERROR(__xludf.DUMMYFUNCTION("""COMPUTED_VALUE"""),"None")</f>
        <v>None</v>
      </c>
    </row>
    <row r="528" spans="1:8">
      <c r="A528" s="5" t="str">
        <f ca="1">IFERROR(__xludf.DUMMYFUNCTION("""COMPUTED_VALUE"""),"20201112PANAH")</f>
        <v>20201112PANAH</v>
      </c>
      <c r="B528" s="5">
        <f ca="1">IFERROR(__xludf.DUMMYFUNCTION("""COMPUTED_VALUE"""),18)</f>
        <v>18</v>
      </c>
      <c r="C528" s="5" t="str">
        <f ca="1">IFERROR(__xludf.DUMMYFUNCTION("""COMPUTED_VALUE"""),"Male")</f>
        <v>Male</v>
      </c>
      <c r="D528" s="5"/>
      <c r="E528" s="5" t="str">
        <f ca="1">IFERROR(__xludf.DUMMYFUNCTION("""COMPUTED_VALUE"""),"No Relation")</f>
        <v>No Relation</v>
      </c>
      <c r="F528" s="5" t="str">
        <f ca="1">IFERROR(__xludf.DUMMYFUNCTION("""COMPUTED_VALUE"""),"Fled/Escaped")</f>
        <v>Fled/Escaped</v>
      </c>
      <c r="G528" s="5" t="str">
        <f ca="1">IFERROR(__xludf.DUMMYFUNCTION("""COMPUTED_VALUE"""),"No")</f>
        <v>No</v>
      </c>
      <c r="H528" s="5" t="str">
        <f ca="1">IFERROR(__xludf.DUMMYFUNCTION("""COMPUTED_VALUE"""),"None")</f>
        <v>None</v>
      </c>
    </row>
    <row r="529" spans="1:8">
      <c r="A529" s="5" t="str">
        <f ca="1">IFERROR(__xludf.DUMMYFUNCTION("""COMPUTED_VALUE"""),"20201112CACEU")</f>
        <v>20201112CACEU</v>
      </c>
      <c r="B529" s="5" t="str">
        <f ca="1">IFERROR(__xludf.DUMMYFUNCTION("""COMPUTED_VALUE"""),"Adult")</f>
        <v>Adult</v>
      </c>
      <c r="C529" s="5"/>
      <c r="D529" s="5"/>
      <c r="E529" s="5" t="str">
        <f ca="1">IFERROR(__xludf.DUMMYFUNCTION("""COMPUTED_VALUE"""),"No Relation")</f>
        <v>No Relation</v>
      </c>
      <c r="F529" s="5" t="str">
        <f ca="1">IFERROR(__xludf.DUMMYFUNCTION("""COMPUTED_VALUE"""),"Fled/Escaped")</f>
        <v>Fled/Escaped</v>
      </c>
      <c r="G529" s="5" t="str">
        <f ca="1">IFERROR(__xludf.DUMMYFUNCTION("""COMPUTED_VALUE"""),"No")</f>
        <v>No</v>
      </c>
      <c r="H529" s="5" t="str">
        <f ca="1">IFERROR(__xludf.DUMMYFUNCTION("""COMPUTED_VALUE"""),"None")</f>
        <v>None</v>
      </c>
    </row>
    <row r="530" spans="1:8">
      <c r="A530" s="5" t="str">
        <f ca="1">IFERROR(__xludf.DUMMYFUNCTION("""COMPUTED_VALUE"""),"20201109TXCOH")</f>
        <v>20201109TXCOH</v>
      </c>
      <c r="B530" s="5"/>
      <c r="C530" s="5"/>
      <c r="D530" s="5"/>
      <c r="E530" s="5" t="str">
        <f ca="1">IFERROR(__xludf.DUMMYFUNCTION("""COMPUTED_VALUE"""),"No Relation")</f>
        <v>No Relation</v>
      </c>
      <c r="F530" s="5" t="str">
        <f ca="1">IFERROR(__xludf.DUMMYFUNCTION("""COMPUTED_VALUE"""),"Fled/Escaped")</f>
        <v>Fled/Escaped</v>
      </c>
      <c r="G530" s="5" t="str">
        <f ca="1">IFERROR(__xludf.DUMMYFUNCTION("""COMPUTED_VALUE"""),"No")</f>
        <v>No</v>
      </c>
      <c r="H530" s="5" t="str">
        <f ca="1">IFERROR(__xludf.DUMMYFUNCTION("""COMPUTED_VALUE"""),"None")</f>
        <v>None</v>
      </c>
    </row>
    <row r="531" spans="1:8">
      <c r="A531" s="5" t="str">
        <f ca="1">IFERROR(__xludf.DUMMYFUNCTION("""COMPUTED_VALUE"""),"20201109CABAL")</f>
        <v>20201109CABAL</v>
      </c>
      <c r="B531" s="5" t="str">
        <f ca="1">IFERROR(__xludf.DUMMYFUNCTION("""COMPUTED_VALUE"""),"Adult")</f>
        <v>Adult</v>
      </c>
      <c r="C531" s="5" t="str">
        <f ca="1">IFERROR(__xludf.DUMMYFUNCTION("""COMPUTED_VALUE"""),"Male")</f>
        <v>Male</v>
      </c>
      <c r="D531" s="5"/>
      <c r="E531" s="5" t="str">
        <f ca="1">IFERROR(__xludf.DUMMYFUNCTION("""COMPUTED_VALUE"""),"No Relation")</f>
        <v>No Relation</v>
      </c>
      <c r="F531" s="5" t="str">
        <f ca="1">IFERROR(__xludf.DUMMYFUNCTION("""COMPUTED_VALUE"""),"Suicide")</f>
        <v>Suicide</v>
      </c>
      <c r="G531" s="5" t="str">
        <f ca="1">IFERROR(__xludf.DUMMYFUNCTION("""COMPUTED_VALUE"""),"Yes")</f>
        <v>Yes</v>
      </c>
      <c r="H531" s="5" t="str">
        <f ca="1">IFERROR(__xludf.DUMMYFUNCTION("""COMPUTED_VALUE"""),"Fatal")</f>
        <v>Fatal</v>
      </c>
    </row>
    <row r="532" spans="1:8">
      <c r="A532" s="5" t="str">
        <f ca="1">IFERROR(__xludf.DUMMYFUNCTION("""COMPUTED_VALUE"""),"20201108INTET")</f>
        <v>20201108INTET</v>
      </c>
      <c r="B532" s="5">
        <f ca="1">IFERROR(__xludf.DUMMYFUNCTION("""COMPUTED_VALUE"""),23)</f>
        <v>23</v>
      </c>
      <c r="C532" s="5" t="str">
        <f ca="1">IFERROR(__xludf.DUMMYFUNCTION("""COMPUTED_VALUE"""),"Male")</f>
        <v>Male</v>
      </c>
      <c r="D532" s="5" t="str">
        <f ca="1">IFERROR(__xludf.DUMMYFUNCTION("""COMPUTED_VALUE"""),"Black")</f>
        <v>Black</v>
      </c>
      <c r="E532" s="5" t="str">
        <f ca="1">IFERROR(__xludf.DUMMYFUNCTION("""COMPUTED_VALUE"""),"No Relation")</f>
        <v>No Relation</v>
      </c>
      <c r="F532" s="5" t="str">
        <f ca="1">IFERROR(__xludf.DUMMYFUNCTION("""COMPUTED_VALUE"""),"Fled/Apprehended")</f>
        <v>Fled/Apprehended</v>
      </c>
      <c r="G532" s="5" t="str">
        <f ca="1">IFERROR(__xludf.DUMMYFUNCTION("""COMPUTED_VALUE"""),"No")</f>
        <v>No</v>
      </c>
      <c r="H532" s="5" t="str">
        <f ca="1">IFERROR(__xludf.DUMMYFUNCTION("""COMPUTED_VALUE"""),"None")</f>
        <v>None</v>
      </c>
    </row>
    <row r="533" spans="1:8">
      <c r="A533" s="5" t="str">
        <f ca="1">IFERROR(__xludf.DUMMYFUNCTION("""COMPUTED_VALUE"""),"20201106AZKHT")</f>
        <v>20201106AZKHT</v>
      </c>
      <c r="B533" s="5">
        <f ca="1">IFERROR(__xludf.DUMMYFUNCTION("""COMPUTED_VALUE"""),74)</f>
        <v>74</v>
      </c>
      <c r="C533" s="5" t="str">
        <f ca="1">IFERROR(__xludf.DUMMYFUNCTION("""COMPUTED_VALUE"""),"Male")</f>
        <v>Male</v>
      </c>
      <c r="D533" s="5" t="str">
        <f ca="1">IFERROR(__xludf.DUMMYFUNCTION("""COMPUTED_VALUE"""),"White")</f>
        <v>White</v>
      </c>
      <c r="E533" s="5" t="str">
        <f ca="1">IFERROR(__xludf.DUMMYFUNCTION("""COMPUTED_VALUE"""),"No Relation")</f>
        <v>No Relation</v>
      </c>
      <c r="F533" s="5" t="str">
        <f ca="1">IFERROR(__xludf.DUMMYFUNCTION("""COMPUTED_VALUE"""),"Apprehended/Killed by LE")</f>
        <v>Apprehended/Killed by LE</v>
      </c>
      <c r="G533" s="5" t="str">
        <f ca="1">IFERROR(__xludf.DUMMYFUNCTION("""COMPUTED_VALUE"""),"No")</f>
        <v>No</v>
      </c>
      <c r="H533" s="5" t="str">
        <f ca="1">IFERROR(__xludf.DUMMYFUNCTION("""COMPUTED_VALUE"""),"None")</f>
        <v>None</v>
      </c>
    </row>
    <row r="534" spans="1:8">
      <c r="A534" s="5" t="str">
        <f ca="1">IFERROR(__xludf.DUMMYFUNCTION("""COMPUTED_VALUE"""),"20201102COERE")</f>
        <v>20201102COERE</v>
      </c>
      <c r="B534" s="5"/>
      <c r="C534" s="5"/>
      <c r="D534" s="5"/>
      <c r="E534" s="5"/>
      <c r="F534" s="5" t="str">
        <f ca="1">IFERROR(__xludf.DUMMYFUNCTION("""COMPUTED_VALUE"""),"Fled/Escaped")</f>
        <v>Fled/Escaped</v>
      </c>
      <c r="G534" s="5" t="str">
        <f ca="1">IFERROR(__xludf.DUMMYFUNCTION("""COMPUTED_VALUE"""),"No")</f>
        <v>No</v>
      </c>
      <c r="H534" s="5" t="str">
        <f ca="1">IFERROR(__xludf.DUMMYFUNCTION("""COMPUTED_VALUE"""),"None")</f>
        <v>None</v>
      </c>
    </row>
    <row r="535" spans="1:8">
      <c r="A535" s="5" t="str">
        <f ca="1">IFERROR(__xludf.DUMMYFUNCTION("""COMPUTED_VALUE"""),"20201029FLLAM")</f>
        <v>20201029FLLAM</v>
      </c>
      <c r="B535" s="5"/>
      <c r="C535" s="5"/>
      <c r="D535" s="5"/>
      <c r="E535" s="5" t="str">
        <f ca="1">IFERROR(__xludf.DUMMYFUNCTION("""COMPUTED_VALUE"""),"No Relation")</f>
        <v>No Relation</v>
      </c>
      <c r="F535" s="5" t="str">
        <f ca="1">IFERROR(__xludf.DUMMYFUNCTION("""COMPUTED_VALUE"""),"Fled/Escaped")</f>
        <v>Fled/Escaped</v>
      </c>
      <c r="G535" s="5" t="str">
        <f ca="1">IFERROR(__xludf.DUMMYFUNCTION("""COMPUTED_VALUE"""),"No")</f>
        <v>No</v>
      </c>
      <c r="H535" s="5" t="str">
        <f ca="1">IFERROR(__xludf.DUMMYFUNCTION("""COMPUTED_VALUE"""),"None")</f>
        <v>None</v>
      </c>
    </row>
    <row r="536" spans="1:8">
      <c r="A536" s="5" t="str">
        <f ca="1">IFERROR(__xludf.DUMMYFUNCTION("""COMPUTED_VALUE"""),"20201028NYROR")</f>
        <v>20201028NYROR</v>
      </c>
      <c r="B536" s="5"/>
      <c r="C536" s="5"/>
      <c r="D536" s="5"/>
      <c r="E536" s="5" t="str">
        <f ca="1">IFERROR(__xludf.DUMMYFUNCTION("""COMPUTED_VALUE"""),"No Relation")</f>
        <v>No Relation</v>
      </c>
      <c r="F536" s="5" t="str">
        <f ca="1">IFERROR(__xludf.DUMMYFUNCTION("""COMPUTED_VALUE"""),"Fled/Escaped")</f>
        <v>Fled/Escaped</v>
      </c>
      <c r="G536" s="5" t="str">
        <f ca="1">IFERROR(__xludf.DUMMYFUNCTION("""COMPUTED_VALUE"""),"No")</f>
        <v>No</v>
      </c>
      <c r="H536" s="5" t="str">
        <f ca="1">IFERROR(__xludf.DUMMYFUNCTION("""COMPUTED_VALUE"""),"None")</f>
        <v>None</v>
      </c>
    </row>
    <row r="537" spans="1:8">
      <c r="A537" s="5" t="str">
        <f ca="1">IFERROR(__xludf.DUMMYFUNCTION("""COMPUTED_VALUE"""),"20201026GARIR")</f>
        <v>20201026GARIR</v>
      </c>
      <c r="B537" s="5" t="str">
        <f ca="1">IFERROR(__xludf.DUMMYFUNCTION("""COMPUTED_VALUE"""),"Adult")</f>
        <v>Adult</v>
      </c>
      <c r="C537" s="5" t="str">
        <f ca="1">IFERROR(__xludf.DUMMYFUNCTION("""COMPUTED_VALUE"""),"Male")</f>
        <v>Male</v>
      </c>
      <c r="D537" s="5" t="str">
        <f ca="1">IFERROR(__xludf.DUMMYFUNCTION("""COMPUTED_VALUE"""),"Black")</f>
        <v>Black</v>
      </c>
      <c r="E537" s="5" t="str">
        <f ca="1">IFERROR(__xludf.DUMMYFUNCTION("""COMPUTED_VALUE"""),"No Relation")</f>
        <v>No Relation</v>
      </c>
      <c r="F537" s="5" t="str">
        <f ca="1">IFERROR(__xludf.DUMMYFUNCTION("""COMPUTED_VALUE"""),"Fled/Escaped")</f>
        <v>Fled/Escaped</v>
      </c>
      <c r="G537" s="5" t="str">
        <f ca="1">IFERROR(__xludf.DUMMYFUNCTION("""COMPUTED_VALUE"""),"No")</f>
        <v>No</v>
      </c>
      <c r="H537" s="5" t="str">
        <f ca="1">IFERROR(__xludf.DUMMYFUNCTION("""COMPUTED_VALUE"""),"None")</f>
        <v>None</v>
      </c>
    </row>
    <row r="538" spans="1:8">
      <c r="A538" s="5" t="str">
        <f ca="1">IFERROR(__xludf.DUMMYFUNCTION("""COMPUTED_VALUE"""),"20201024CTSTS")</f>
        <v>20201024CTSTS</v>
      </c>
      <c r="B538" s="5"/>
      <c r="C538" s="5"/>
      <c r="D538" s="5"/>
      <c r="E538" s="5"/>
      <c r="F538" s="5" t="str">
        <f ca="1">IFERROR(__xludf.DUMMYFUNCTION("""COMPUTED_VALUE"""),"Fled/Escaped")</f>
        <v>Fled/Escaped</v>
      </c>
      <c r="G538" s="5" t="str">
        <f ca="1">IFERROR(__xludf.DUMMYFUNCTION("""COMPUTED_VALUE"""),"No")</f>
        <v>No</v>
      </c>
      <c r="H538" s="5" t="str">
        <f ca="1">IFERROR(__xludf.DUMMYFUNCTION("""COMPUTED_VALUE"""),"None")</f>
        <v>None</v>
      </c>
    </row>
    <row r="539" spans="1:8">
      <c r="A539" s="5" t="str">
        <f ca="1">IFERROR(__xludf.DUMMYFUNCTION("""COMPUTED_VALUE"""),"20201020ARJAP")</f>
        <v>20201020ARJAP</v>
      </c>
      <c r="B539" s="5">
        <f ca="1">IFERROR(__xludf.DUMMYFUNCTION("""COMPUTED_VALUE"""),17)</f>
        <v>17</v>
      </c>
      <c r="C539" s="5" t="str">
        <f ca="1">IFERROR(__xludf.DUMMYFUNCTION("""COMPUTED_VALUE"""),"Male")</f>
        <v>Male</v>
      </c>
      <c r="D539" s="5"/>
      <c r="E539" s="5"/>
      <c r="F539" s="5" t="str">
        <f ca="1">IFERROR(__xludf.DUMMYFUNCTION("""COMPUTED_VALUE"""),"Fled/Apprehended")</f>
        <v>Fled/Apprehended</v>
      </c>
      <c r="G539" s="5" t="str">
        <f ca="1">IFERROR(__xludf.DUMMYFUNCTION("""COMPUTED_VALUE"""),"No")</f>
        <v>No</v>
      </c>
      <c r="H539" s="5" t="str">
        <f ca="1">IFERROR(__xludf.DUMMYFUNCTION("""COMPUTED_VALUE"""),"None")</f>
        <v>None</v>
      </c>
    </row>
    <row r="540" spans="1:8">
      <c r="A540" s="5" t="str">
        <f ca="1">IFERROR(__xludf.DUMMYFUNCTION("""COMPUTED_VALUE"""),"20201018KYSEL")</f>
        <v>20201018KYSEL</v>
      </c>
      <c r="B540" s="5"/>
      <c r="C540" s="5"/>
      <c r="D540" s="5"/>
      <c r="E540" s="5"/>
      <c r="F540" s="5" t="str">
        <f ca="1">IFERROR(__xludf.DUMMYFUNCTION("""COMPUTED_VALUE"""),"Fled/Escaped")</f>
        <v>Fled/Escaped</v>
      </c>
      <c r="G540" s="5" t="str">
        <f ca="1">IFERROR(__xludf.DUMMYFUNCTION("""COMPUTED_VALUE"""),"No")</f>
        <v>No</v>
      </c>
      <c r="H540" s="5" t="str">
        <f ca="1">IFERROR(__xludf.DUMMYFUNCTION("""COMPUTED_VALUE"""),"None")</f>
        <v>None</v>
      </c>
    </row>
    <row r="541" spans="1:8">
      <c r="A541" s="5" t="str">
        <f ca="1">IFERROR(__xludf.DUMMYFUNCTION("""COMPUTED_VALUE"""),"20201014WAWAS")</f>
        <v>20201014WAWAS</v>
      </c>
      <c r="B541" s="5">
        <f ca="1">IFERROR(__xludf.DUMMYFUNCTION("""COMPUTED_VALUE"""),23)</f>
        <v>23</v>
      </c>
      <c r="C541" s="5" t="str">
        <f ca="1">IFERROR(__xludf.DUMMYFUNCTION("""COMPUTED_VALUE"""),"Male")</f>
        <v>Male</v>
      </c>
      <c r="D541" s="5" t="str">
        <f ca="1">IFERROR(__xludf.DUMMYFUNCTION("""COMPUTED_VALUE"""),"Hispanic")</f>
        <v>Hispanic</v>
      </c>
      <c r="E541" s="5" t="str">
        <f ca="1">IFERROR(__xludf.DUMMYFUNCTION("""COMPUTED_VALUE"""),"No Relation")</f>
        <v>No Relation</v>
      </c>
      <c r="F541" s="5" t="str">
        <f ca="1">IFERROR(__xludf.DUMMYFUNCTION("""COMPUTED_VALUE"""),"Fled/Apprehended")</f>
        <v>Fled/Apprehended</v>
      </c>
      <c r="G541" s="5" t="str">
        <f ca="1">IFERROR(__xludf.DUMMYFUNCTION("""COMPUTED_VALUE"""),"No")</f>
        <v>No</v>
      </c>
      <c r="H541" s="5" t="str">
        <f ca="1">IFERROR(__xludf.DUMMYFUNCTION("""COMPUTED_VALUE"""),"None")</f>
        <v>None</v>
      </c>
    </row>
    <row r="542" spans="1:8">
      <c r="A542" s="5" t="str">
        <f ca="1">IFERROR(__xludf.DUMMYFUNCTION("""COMPUTED_VALUE"""),"20201014WAWAS")</f>
        <v>20201014WAWAS</v>
      </c>
      <c r="B542" s="5">
        <f ca="1">IFERROR(__xludf.DUMMYFUNCTION("""COMPUTED_VALUE"""),26)</f>
        <v>26</v>
      </c>
      <c r="C542" s="5" t="str">
        <f ca="1">IFERROR(__xludf.DUMMYFUNCTION("""COMPUTED_VALUE"""),"Male")</f>
        <v>Male</v>
      </c>
      <c r="D542" s="5" t="str">
        <f ca="1">IFERROR(__xludf.DUMMYFUNCTION("""COMPUTED_VALUE"""),"Hispanic")</f>
        <v>Hispanic</v>
      </c>
      <c r="E542" s="5" t="str">
        <f ca="1">IFERROR(__xludf.DUMMYFUNCTION("""COMPUTED_VALUE"""),"No Relation")</f>
        <v>No Relation</v>
      </c>
      <c r="F542" s="5" t="str">
        <f ca="1">IFERROR(__xludf.DUMMYFUNCTION("""COMPUTED_VALUE"""),"Fled/Apprehended")</f>
        <v>Fled/Apprehended</v>
      </c>
      <c r="G542" s="5" t="str">
        <f ca="1">IFERROR(__xludf.DUMMYFUNCTION("""COMPUTED_VALUE"""),"No")</f>
        <v>No</v>
      </c>
      <c r="H542" s="5" t="str">
        <f ca="1">IFERROR(__xludf.DUMMYFUNCTION("""COMPUTED_VALUE"""),"None")</f>
        <v>None</v>
      </c>
    </row>
    <row r="543" spans="1:8">
      <c r="A543" s="5" t="str">
        <f ca="1">IFERROR(__xludf.DUMMYFUNCTION("""COMPUTED_VALUE"""),"20201014PABRB")</f>
        <v>20201014PABRB</v>
      </c>
      <c r="B543" s="5">
        <f ca="1">IFERROR(__xludf.DUMMYFUNCTION("""COMPUTED_VALUE"""),11)</f>
        <v>11</v>
      </c>
      <c r="C543" s="5" t="str">
        <f ca="1">IFERROR(__xludf.DUMMYFUNCTION("""COMPUTED_VALUE"""),"Male")</f>
        <v>Male</v>
      </c>
      <c r="D543" s="5"/>
      <c r="E543" s="5" t="str">
        <f ca="1">IFERROR(__xludf.DUMMYFUNCTION("""COMPUTED_VALUE"""),"Student")</f>
        <v>Student</v>
      </c>
      <c r="F543" s="5" t="str">
        <f ca="1">IFERROR(__xludf.DUMMYFUNCTION("""COMPUTED_VALUE"""),"Apprehended/Killed by LE")</f>
        <v>Apprehended/Killed by LE</v>
      </c>
      <c r="G543" s="5" t="str">
        <f ca="1">IFERROR(__xludf.DUMMYFUNCTION("""COMPUTED_VALUE"""),"No")</f>
        <v>No</v>
      </c>
      <c r="H543" s="5" t="str">
        <f ca="1">IFERROR(__xludf.DUMMYFUNCTION("""COMPUTED_VALUE"""),"None")</f>
        <v>None</v>
      </c>
    </row>
    <row r="544" spans="1:8">
      <c r="A544" s="5" t="str">
        <f ca="1">IFERROR(__xludf.DUMMYFUNCTION("""COMPUTED_VALUE"""),"20201013RIRHP")</f>
        <v>20201013RIRHP</v>
      </c>
      <c r="B544" s="5"/>
      <c r="C544" s="5"/>
      <c r="D544" s="5"/>
      <c r="E544" s="5" t="str">
        <f ca="1">IFERROR(__xludf.DUMMYFUNCTION("""COMPUTED_VALUE"""),"No Relation")</f>
        <v>No Relation</v>
      </c>
      <c r="F544" s="5" t="str">
        <f ca="1">IFERROR(__xludf.DUMMYFUNCTION("""COMPUTED_VALUE"""),"Fled/Escaped")</f>
        <v>Fled/Escaped</v>
      </c>
      <c r="G544" s="5" t="str">
        <f ca="1">IFERROR(__xludf.DUMMYFUNCTION("""COMPUTED_VALUE"""),"No")</f>
        <v>No</v>
      </c>
      <c r="H544" s="5" t="str">
        <f ca="1">IFERROR(__xludf.DUMMYFUNCTION("""COMPUTED_VALUE"""),"None")</f>
        <v>None</v>
      </c>
    </row>
    <row r="545" spans="1:8">
      <c r="A545" s="5" t="str">
        <f ca="1">IFERROR(__xludf.DUMMYFUNCTION("""COMPUTED_VALUE"""),"20201012TXNOD")</f>
        <v>20201012TXNOD</v>
      </c>
      <c r="B545" s="5" t="str">
        <f ca="1">IFERROR(__xludf.DUMMYFUNCTION("""COMPUTED_VALUE"""),"Adult")</f>
        <v>Adult</v>
      </c>
      <c r="C545" s="5" t="str">
        <f ca="1">IFERROR(__xludf.DUMMYFUNCTION("""COMPUTED_VALUE"""),"Male")</f>
        <v>Male</v>
      </c>
      <c r="D545" s="5"/>
      <c r="E545" s="5" t="str">
        <f ca="1">IFERROR(__xludf.DUMMYFUNCTION("""COMPUTED_VALUE"""),"No Relation")</f>
        <v>No Relation</v>
      </c>
      <c r="F545" s="5" t="str">
        <f ca="1">IFERROR(__xludf.DUMMYFUNCTION("""COMPUTED_VALUE"""),"Apprehended/Killed by SRO")</f>
        <v>Apprehended/Killed by SRO</v>
      </c>
      <c r="G545" s="5" t="str">
        <f ca="1">IFERROR(__xludf.DUMMYFUNCTION("""COMPUTED_VALUE"""),"No")</f>
        <v>No</v>
      </c>
      <c r="H545" s="5" t="str">
        <f ca="1">IFERROR(__xludf.DUMMYFUNCTION("""COMPUTED_VALUE"""),"None")</f>
        <v>None</v>
      </c>
    </row>
    <row r="546" spans="1:8">
      <c r="A546" s="5" t="str">
        <f ca="1">IFERROR(__xludf.DUMMYFUNCTION("""COMPUTED_VALUE"""),"20201012MNSHS")</f>
        <v>20201012MNSHS</v>
      </c>
      <c r="B546" s="5"/>
      <c r="C546" s="5"/>
      <c r="D546" s="5"/>
      <c r="E546" s="5" t="str">
        <f ca="1">IFERROR(__xludf.DUMMYFUNCTION("""COMPUTED_VALUE"""),"No Relation")</f>
        <v>No Relation</v>
      </c>
      <c r="F546" s="5" t="str">
        <f ca="1">IFERROR(__xludf.DUMMYFUNCTION("""COMPUTED_VALUE"""),"Fled/Escaped")</f>
        <v>Fled/Escaped</v>
      </c>
      <c r="G546" s="5" t="str">
        <f ca="1">IFERROR(__xludf.DUMMYFUNCTION("""COMPUTED_VALUE"""),"No")</f>
        <v>No</v>
      </c>
      <c r="H546" s="5" t="str">
        <f ca="1">IFERROR(__xludf.DUMMYFUNCTION("""COMPUTED_VALUE"""),"None")</f>
        <v>None</v>
      </c>
    </row>
    <row r="547" spans="1:8">
      <c r="A547" s="5" t="str">
        <f ca="1">IFERROR(__xludf.DUMMYFUNCTION("""COMPUTED_VALUE"""),"20201009FLJEJ")</f>
        <v>20201009FLJEJ</v>
      </c>
      <c r="B547" s="5">
        <f ca="1">IFERROR(__xludf.DUMMYFUNCTION("""COMPUTED_VALUE"""),18)</f>
        <v>18</v>
      </c>
      <c r="C547" s="5" t="str">
        <f ca="1">IFERROR(__xludf.DUMMYFUNCTION("""COMPUTED_VALUE"""),"Male")</f>
        <v>Male</v>
      </c>
      <c r="D547" s="5"/>
      <c r="E547" s="5" t="str">
        <f ca="1">IFERROR(__xludf.DUMMYFUNCTION("""COMPUTED_VALUE"""),"Student")</f>
        <v>Student</v>
      </c>
      <c r="F547" s="5" t="str">
        <f ca="1">IFERROR(__xludf.DUMMYFUNCTION("""COMPUTED_VALUE"""),"Apprehended/Killed by SRO")</f>
        <v>Apprehended/Killed by SRO</v>
      </c>
      <c r="G547" s="5" t="str">
        <f ca="1">IFERROR(__xludf.DUMMYFUNCTION("""COMPUTED_VALUE"""),"No")</f>
        <v>No</v>
      </c>
      <c r="H547" s="5" t="str">
        <f ca="1">IFERROR(__xludf.DUMMYFUNCTION("""COMPUTED_VALUE"""),"None")</f>
        <v>None</v>
      </c>
    </row>
    <row r="548" spans="1:8">
      <c r="A548" s="5" t="str">
        <f ca="1">IFERROR(__xludf.DUMMYFUNCTION("""COMPUTED_VALUE"""),"20201005OKSOM")</f>
        <v>20201005OKSOM</v>
      </c>
      <c r="B548" s="5" t="str">
        <f ca="1">IFERROR(__xludf.DUMMYFUNCTION("""COMPUTED_VALUE"""),"Teen")</f>
        <v>Teen</v>
      </c>
      <c r="C548" s="5"/>
      <c r="D548" s="5"/>
      <c r="E548" s="5" t="str">
        <f ca="1">IFERROR(__xludf.DUMMYFUNCTION("""COMPUTED_VALUE"""),"Student")</f>
        <v>Student</v>
      </c>
      <c r="F548" s="5" t="str">
        <f ca="1">IFERROR(__xludf.DUMMYFUNCTION("""COMPUTED_VALUE"""),"Apprehended/Killed by LE")</f>
        <v>Apprehended/Killed by LE</v>
      </c>
      <c r="G548" s="5" t="str">
        <f ca="1">IFERROR(__xludf.DUMMYFUNCTION("""COMPUTED_VALUE"""),"No")</f>
        <v>No</v>
      </c>
      <c r="H548" s="5" t="str">
        <f ca="1">IFERROR(__xludf.DUMMYFUNCTION("""COMPUTED_VALUE"""),"None")</f>
        <v>None</v>
      </c>
    </row>
    <row r="549" spans="1:8">
      <c r="A549" s="5" t="str">
        <f ca="1">IFERROR(__xludf.DUMMYFUNCTION("""COMPUTED_VALUE"""),"20201005ARKIH")</f>
        <v>20201005ARKIH</v>
      </c>
      <c r="B549" s="5" t="str">
        <f ca="1">IFERROR(__xludf.DUMMYFUNCTION("""COMPUTED_VALUE"""),"Adult")</f>
        <v>Adult</v>
      </c>
      <c r="C549" s="5" t="str">
        <f ca="1">IFERROR(__xludf.DUMMYFUNCTION("""COMPUTED_VALUE"""),"Male")</f>
        <v>Male</v>
      </c>
      <c r="D549" s="5"/>
      <c r="E549" s="5"/>
      <c r="F549" s="5" t="str">
        <f ca="1">IFERROR(__xludf.DUMMYFUNCTION("""COMPUTED_VALUE"""),"Fled/Apprehended")</f>
        <v>Fled/Apprehended</v>
      </c>
      <c r="G549" s="5" t="str">
        <f ca="1">IFERROR(__xludf.DUMMYFUNCTION("""COMPUTED_VALUE"""),"No")</f>
        <v>No</v>
      </c>
      <c r="H549" s="5" t="str">
        <f ca="1">IFERROR(__xludf.DUMMYFUNCTION("""COMPUTED_VALUE"""),"None")</f>
        <v>None</v>
      </c>
    </row>
    <row r="550" spans="1:8">
      <c r="A550" s="5" t="str">
        <f ca="1">IFERROR(__xludf.DUMMYFUNCTION("""COMPUTED_VALUE"""),"20201005ARKIH")</f>
        <v>20201005ARKIH</v>
      </c>
      <c r="B550" s="5"/>
      <c r="C550" s="5"/>
      <c r="D550" s="5"/>
      <c r="E550" s="5"/>
      <c r="F550" s="5" t="str">
        <f ca="1">IFERROR(__xludf.DUMMYFUNCTION("""COMPUTED_VALUE"""),"Fled/Escaped")</f>
        <v>Fled/Escaped</v>
      </c>
      <c r="G550" s="5" t="str">
        <f ca="1">IFERROR(__xludf.DUMMYFUNCTION("""COMPUTED_VALUE"""),"No")</f>
        <v>No</v>
      </c>
      <c r="H550" s="5" t="str">
        <f ca="1">IFERROR(__xludf.DUMMYFUNCTION("""COMPUTED_VALUE"""),"None")</f>
        <v>None</v>
      </c>
    </row>
    <row r="551" spans="1:8">
      <c r="A551" s="5" t="str">
        <f ca="1">IFERROR(__xludf.DUMMYFUNCTION("""COMPUTED_VALUE"""),"20201002PAMAE")</f>
        <v>20201002PAMAE</v>
      </c>
      <c r="B551" s="5"/>
      <c r="C551" s="5"/>
      <c r="D551" s="5"/>
      <c r="E551" s="5"/>
      <c r="F551" s="5" t="str">
        <f ca="1">IFERROR(__xludf.DUMMYFUNCTION("""COMPUTED_VALUE"""),"Fled/Escaped")</f>
        <v>Fled/Escaped</v>
      </c>
      <c r="G551" s="5" t="str">
        <f ca="1">IFERROR(__xludf.DUMMYFUNCTION("""COMPUTED_VALUE"""),"No")</f>
        <v>No</v>
      </c>
      <c r="H551" s="5" t="str">
        <f ca="1">IFERROR(__xludf.DUMMYFUNCTION("""COMPUTED_VALUE"""),"None")</f>
        <v>None</v>
      </c>
    </row>
    <row r="552" spans="1:8">
      <c r="A552" s="5" t="str">
        <f ca="1">IFERROR(__xludf.DUMMYFUNCTION("""COMPUTED_VALUE"""),"20200930CADYL")</f>
        <v>20200930CADYL</v>
      </c>
      <c r="B552" s="5"/>
      <c r="C552" s="5"/>
      <c r="D552" s="5"/>
      <c r="E552" s="5" t="str">
        <f ca="1">IFERROR(__xludf.DUMMYFUNCTION("""COMPUTED_VALUE"""),"No Relation")</f>
        <v>No Relation</v>
      </c>
      <c r="F552" s="5" t="str">
        <f ca="1">IFERROR(__xludf.DUMMYFUNCTION("""COMPUTED_VALUE"""),"Fled/Escaped")</f>
        <v>Fled/Escaped</v>
      </c>
      <c r="G552" s="5" t="str">
        <f ca="1">IFERROR(__xludf.DUMMYFUNCTION("""COMPUTED_VALUE"""),"No")</f>
        <v>No</v>
      </c>
      <c r="H552" s="5" t="str">
        <f ca="1">IFERROR(__xludf.DUMMYFUNCTION("""COMPUTED_VALUE"""),"None")</f>
        <v>None</v>
      </c>
    </row>
    <row r="553" spans="1:8">
      <c r="A553" s="5" t="str">
        <f ca="1">IFERROR(__xludf.DUMMYFUNCTION("""COMPUTED_VALUE"""),"20200928CTEAN")</f>
        <v>20200928CTEAN</v>
      </c>
      <c r="B553" s="5" t="str">
        <f ca="1">IFERROR(__xludf.DUMMYFUNCTION("""COMPUTED_VALUE"""),"Adult")</f>
        <v>Adult</v>
      </c>
      <c r="C553" s="5"/>
      <c r="D553" s="5"/>
      <c r="E553" s="5" t="str">
        <f ca="1">IFERROR(__xludf.DUMMYFUNCTION("""COMPUTED_VALUE"""),"No Relation")</f>
        <v>No Relation</v>
      </c>
      <c r="F553" s="5" t="str">
        <f ca="1">IFERROR(__xludf.DUMMYFUNCTION("""COMPUTED_VALUE"""),"Fled/Escaped")</f>
        <v>Fled/Escaped</v>
      </c>
      <c r="G553" s="5" t="str">
        <f ca="1">IFERROR(__xludf.DUMMYFUNCTION("""COMPUTED_VALUE"""),"No")</f>
        <v>No</v>
      </c>
      <c r="H553" s="5" t="str">
        <f ca="1">IFERROR(__xludf.DUMMYFUNCTION("""COMPUTED_VALUE"""),"None")</f>
        <v>None</v>
      </c>
    </row>
    <row r="554" spans="1:8">
      <c r="A554" s="5" t="str">
        <f ca="1">IFERROR(__xludf.DUMMYFUNCTION("""COMPUTED_VALUE"""),"20200925NJHAH")</f>
        <v>20200925NJHAH</v>
      </c>
      <c r="B554" s="5"/>
      <c r="C554" s="5"/>
      <c r="D554" s="5"/>
      <c r="E554" s="5" t="str">
        <f ca="1">IFERROR(__xludf.DUMMYFUNCTION("""COMPUTED_VALUE"""),"No Relation")</f>
        <v>No Relation</v>
      </c>
      <c r="F554" s="5" t="str">
        <f ca="1">IFERROR(__xludf.DUMMYFUNCTION("""COMPUTED_VALUE"""),"Fled/Escaped")</f>
        <v>Fled/Escaped</v>
      </c>
      <c r="G554" s="5" t="str">
        <f ca="1">IFERROR(__xludf.DUMMYFUNCTION("""COMPUTED_VALUE"""),"No")</f>
        <v>No</v>
      </c>
      <c r="H554" s="5" t="str">
        <f ca="1">IFERROR(__xludf.DUMMYFUNCTION("""COMPUTED_VALUE"""),"None")</f>
        <v>None</v>
      </c>
    </row>
    <row r="555" spans="1:8">
      <c r="A555" s="5" t="str">
        <f ca="1">IFERROR(__xludf.DUMMYFUNCTION("""COMPUTED_VALUE"""),"20200925ILROR")</f>
        <v>20200925ILROR</v>
      </c>
      <c r="B555" s="5">
        <f ca="1">IFERROR(__xludf.DUMMYFUNCTION("""COMPUTED_VALUE"""),30)</f>
        <v>30</v>
      </c>
      <c r="C555" s="5" t="str">
        <f ca="1">IFERROR(__xludf.DUMMYFUNCTION("""COMPUTED_VALUE"""),"Male")</f>
        <v>Male</v>
      </c>
      <c r="D555" s="5"/>
      <c r="E555" s="5" t="str">
        <f ca="1">IFERROR(__xludf.DUMMYFUNCTION("""COMPUTED_VALUE"""),"No Relation")</f>
        <v>No Relation</v>
      </c>
      <c r="F555" s="5" t="str">
        <f ca="1">IFERROR(__xludf.DUMMYFUNCTION("""COMPUTED_VALUE"""),"Fled/Apprehended")</f>
        <v>Fled/Apprehended</v>
      </c>
      <c r="G555" s="5" t="str">
        <f ca="1">IFERROR(__xludf.DUMMYFUNCTION("""COMPUTED_VALUE"""),"No")</f>
        <v>No</v>
      </c>
      <c r="H555" s="5" t="str">
        <f ca="1">IFERROR(__xludf.DUMMYFUNCTION("""COMPUTED_VALUE"""),"None")</f>
        <v>None</v>
      </c>
    </row>
    <row r="556" spans="1:8">
      <c r="A556" s="5" t="str">
        <f ca="1">IFERROR(__xludf.DUMMYFUNCTION("""COMPUTED_VALUE"""),"20200924ILMCS")</f>
        <v>20200924ILMCS</v>
      </c>
      <c r="B556" s="5"/>
      <c r="C556" s="5" t="str">
        <f ca="1">IFERROR(__xludf.DUMMYFUNCTION("""COMPUTED_VALUE"""),"Male")</f>
        <v>Male</v>
      </c>
      <c r="D556" s="5"/>
      <c r="E556" s="5" t="str">
        <f ca="1">IFERROR(__xludf.DUMMYFUNCTION("""COMPUTED_VALUE"""),"No Relation")</f>
        <v>No Relation</v>
      </c>
      <c r="F556" s="5" t="str">
        <f ca="1">IFERROR(__xludf.DUMMYFUNCTION("""COMPUTED_VALUE"""),"Apprehended/Killed by LE")</f>
        <v>Apprehended/Killed by LE</v>
      </c>
      <c r="G556" s="5" t="str">
        <f ca="1">IFERROR(__xludf.DUMMYFUNCTION("""COMPUTED_VALUE"""),"No")</f>
        <v>No</v>
      </c>
      <c r="H556" s="5" t="str">
        <f ca="1">IFERROR(__xludf.DUMMYFUNCTION("""COMPUTED_VALUE"""),"None")</f>
        <v>None</v>
      </c>
    </row>
    <row r="557" spans="1:8">
      <c r="A557" s="5" t="str">
        <f ca="1">IFERROR(__xludf.DUMMYFUNCTION("""COMPUTED_VALUE"""),"20200924CAWAC")</f>
        <v>20200924CAWAC</v>
      </c>
      <c r="B557" s="5">
        <f ca="1">IFERROR(__xludf.DUMMYFUNCTION("""COMPUTED_VALUE"""),25)</f>
        <v>25</v>
      </c>
      <c r="C557" s="5" t="str">
        <f ca="1">IFERROR(__xludf.DUMMYFUNCTION("""COMPUTED_VALUE"""),"Male")</f>
        <v>Male</v>
      </c>
      <c r="D557" s="5" t="str">
        <f ca="1">IFERROR(__xludf.DUMMYFUNCTION("""COMPUTED_VALUE"""),"Hispanic")</f>
        <v>Hispanic</v>
      </c>
      <c r="E557" s="5" t="str">
        <f ca="1">IFERROR(__xludf.DUMMYFUNCTION("""COMPUTED_VALUE"""),"No Relation")</f>
        <v>No Relation</v>
      </c>
      <c r="F557" s="5" t="str">
        <f ca="1">IFERROR(__xludf.DUMMYFUNCTION("""COMPUTED_VALUE"""),"Apprehended/Killed by LE")</f>
        <v>Apprehended/Killed by LE</v>
      </c>
      <c r="G557" s="5" t="str">
        <f ca="1">IFERROR(__xludf.DUMMYFUNCTION("""COMPUTED_VALUE"""),"No")</f>
        <v>No</v>
      </c>
      <c r="H557" s="5" t="str">
        <f ca="1">IFERROR(__xludf.DUMMYFUNCTION("""COMPUTED_VALUE"""),"None")</f>
        <v>None</v>
      </c>
    </row>
    <row r="558" spans="1:8">
      <c r="A558" s="5" t="str">
        <f ca="1">IFERROR(__xludf.DUMMYFUNCTION("""COMPUTED_VALUE"""),"20200924CAWAC")</f>
        <v>20200924CAWAC</v>
      </c>
      <c r="B558" s="5">
        <f ca="1">IFERROR(__xludf.DUMMYFUNCTION("""COMPUTED_VALUE"""),27)</f>
        <v>27</v>
      </c>
      <c r="C558" s="5" t="str">
        <f ca="1">IFERROR(__xludf.DUMMYFUNCTION("""COMPUTED_VALUE"""),"Male")</f>
        <v>Male</v>
      </c>
      <c r="D558" s="5" t="str">
        <f ca="1">IFERROR(__xludf.DUMMYFUNCTION("""COMPUTED_VALUE"""),"Hispanic")</f>
        <v>Hispanic</v>
      </c>
      <c r="E558" s="5" t="str">
        <f ca="1">IFERROR(__xludf.DUMMYFUNCTION("""COMPUTED_VALUE"""),"No Relation")</f>
        <v>No Relation</v>
      </c>
      <c r="F558" s="5" t="str">
        <f ca="1">IFERROR(__xludf.DUMMYFUNCTION("""COMPUTED_VALUE"""),"Apprehended/Killed by LE")</f>
        <v>Apprehended/Killed by LE</v>
      </c>
      <c r="G558" s="5" t="str">
        <f ca="1">IFERROR(__xludf.DUMMYFUNCTION("""COMPUTED_VALUE"""),"No")</f>
        <v>No</v>
      </c>
      <c r="H558" s="5" t="str">
        <f ca="1">IFERROR(__xludf.DUMMYFUNCTION("""COMPUTED_VALUE"""),"None")</f>
        <v>None</v>
      </c>
    </row>
    <row r="559" spans="1:8">
      <c r="A559" s="5" t="str">
        <f ca="1">IFERROR(__xludf.DUMMYFUNCTION("""COMPUTED_VALUE"""),"20200924CAWAC")</f>
        <v>20200924CAWAC</v>
      </c>
      <c r="B559" s="5">
        <f ca="1">IFERROR(__xludf.DUMMYFUNCTION("""COMPUTED_VALUE"""),29)</f>
        <v>29</v>
      </c>
      <c r="C559" s="5" t="str">
        <f ca="1">IFERROR(__xludf.DUMMYFUNCTION("""COMPUTED_VALUE"""),"Male")</f>
        <v>Male</v>
      </c>
      <c r="D559" s="5" t="str">
        <f ca="1">IFERROR(__xludf.DUMMYFUNCTION("""COMPUTED_VALUE"""),"Hispanic")</f>
        <v>Hispanic</v>
      </c>
      <c r="E559" s="5" t="str">
        <f ca="1">IFERROR(__xludf.DUMMYFUNCTION("""COMPUTED_VALUE"""),"No Relation")</f>
        <v>No Relation</v>
      </c>
      <c r="F559" s="5" t="str">
        <f ca="1">IFERROR(__xludf.DUMMYFUNCTION("""COMPUTED_VALUE"""),"Apprehended/Killed by LE")</f>
        <v>Apprehended/Killed by LE</v>
      </c>
      <c r="G559" s="5" t="str">
        <f ca="1">IFERROR(__xludf.DUMMYFUNCTION("""COMPUTED_VALUE"""),"No")</f>
        <v>No</v>
      </c>
      <c r="H559" s="5" t="str">
        <f ca="1">IFERROR(__xludf.DUMMYFUNCTION("""COMPUTED_VALUE"""),"None")</f>
        <v>None</v>
      </c>
    </row>
    <row r="560" spans="1:8">
      <c r="A560" s="5" t="str">
        <f ca="1">IFERROR(__xludf.DUMMYFUNCTION("""COMPUTED_VALUE"""),"20200923PAWIW")</f>
        <v>20200923PAWIW</v>
      </c>
      <c r="B560" s="5">
        <f ca="1">IFERROR(__xludf.DUMMYFUNCTION("""COMPUTED_VALUE"""),22)</f>
        <v>22</v>
      </c>
      <c r="C560" s="5" t="str">
        <f ca="1">IFERROR(__xludf.DUMMYFUNCTION("""COMPUTED_VALUE"""),"Male")</f>
        <v>Male</v>
      </c>
      <c r="D560" s="5" t="str">
        <f ca="1">IFERROR(__xludf.DUMMYFUNCTION("""COMPUTED_VALUE"""),"Black")</f>
        <v>Black</v>
      </c>
      <c r="E560" s="5" t="str">
        <f ca="1">IFERROR(__xludf.DUMMYFUNCTION("""COMPUTED_VALUE"""),"No Relation")</f>
        <v>No Relation</v>
      </c>
      <c r="F560" s="5" t="str">
        <f ca="1">IFERROR(__xludf.DUMMYFUNCTION("""COMPUTED_VALUE"""),"Fled/Apprehended")</f>
        <v>Fled/Apprehended</v>
      </c>
      <c r="G560" s="5" t="str">
        <f ca="1">IFERROR(__xludf.DUMMYFUNCTION("""COMPUTED_VALUE"""),"No")</f>
        <v>No</v>
      </c>
      <c r="H560" s="5" t="str">
        <f ca="1">IFERROR(__xludf.DUMMYFUNCTION("""COMPUTED_VALUE"""),"None")</f>
        <v>None</v>
      </c>
    </row>
    <row r="561" spans="1:8">
      <c r="A561" s="5" t="str">
        <f ca="1">IFERROR(__xludf.DUMMYFUNCTION("""COMPUTED_VALUE"""),"20200923FLHIJ")</f>
        <v>20200923FLHIJ</v>
      </c>
      <c r="B561" s="5">
        <f ca="1">IFERROR(__xludf.DUMMYFUNCTION("""COMPUTED_VALUE"""),18)</f>
        <v>18</v>
      </c>
      <c r="C561" s="5" t="str">
        <f ca="1">IFERROR(__xludf.DUMMYFUNCTION("""COMPUTED_VALUE"""),"Male")</f>
        <v>Male</v>
      </c>
      <c r="D561" s="5" t="str">
        <f ca="1">IFERROR(__xludf.DUMMYFUNCTION("""COMPUTED_VALUE"""),"Black")</f>
        <v>Black</v>
      </c>
      <c r="E561" s="5" t="str">
        <f ca="1">IFERROR(__xludf.DUMMYFUNCTION("""COMPUTED_VALUE"""),"No Relation")</f>
        <v>No Relation</v>
      </c>
      <c r="F561" s="5" t="str">
        <f ca="1">IFERROR(__xludf.DUMMYFUNCTION("""COMPUTED_VALUE"""),"Fled/Apprehended")</f>
        <v>Fled/Apprehended</v>
      </c>
      <c r="G561" s="5" t="str">
        <f ca="1">IFERROR(__xludf.DUMMYFUNCTION("""COMPUTED_VALUE"""),"No")</f>
        <v>No</v>
      </c>
      <c r="H561" s="5" t="str">
        <f ca="1">IFERROR(__xludf.DUMMYFUNCTION("""COMPUTED_VALUE"""),"None")</f>
        <v>None</v>
      </c>
    </row>
    <row r="562" spans="1:8">
      <c r="A562" s="5" t="str">
        <f ca="1">IFERROR(__xludf.DUMMYFUNCTION("""COMPUTED_VALUE"""),"20200921CAPLP")</f>
        <v>20200921CAPLP</v>
      </c>
      <c r="B562" s="5">
        <f ca="1">IFERROR(__xludf.DUMMYFUNCTION("""COMPUTED_VALUE"""),46)</f>
        <v>46</v>
      </c>
      <c r="C562" s="5" t="str">
        <f ca="1">IFERROR(__xludf.DUMMYFUNCTION("""COMPUTED_VALUE"""),"Male")</f>
        <v>Male</v>
      </c>
      <c r="D562" s="5"/>
      <c r="E562" s="5" t="str">
        <f ca="1">IFERROR(__xludf.DUMMYFUNCTION("""COMPUTED_VALUE"""),"No Relation")</f>
        <v>No Relation</v>
      </c>
      <c r="F562" s="5" t="str">
        <f ca="1">IFERROR(__xludf.DUMMYFUNCTION("""COMPUTED_VALUE"""),"Attempted Suicide")</f>
        <v>Attempted Suicide</v>
      </c>
      <c r="G562" s="5" t="str">
        <f ca="1">IFERROR(__xludf.DUMMYFUNCTION("""COMPUTED_VALUE"""),"No")</f>
        <v>No</v>
      </c>
      <c r="H562" s="5" t="str">
        <f ca="1">IFERROR(__xludf.DUMMYFUNCTION("""COMPUTED_VALUE"""),"Wounded")</f>
        <v>Wounded</v>
      </c>
    </row>
    <row r="563" spans="1:8">
      <c r="A563" s="5" t="str">
        <f ca="1">IFERROR(__xludf.DUMMYFUNCTION("""COMPUTED_VALUE"""),"20200920UTLIS")</f>
        <v>20200920UTLIS</v>
      </c>
      <c r="B563" s="5"/>
      <c r="C563" s="5"/>
      <c r="D563" s="5"/>
      <c r="E563" s="5" t="str">
        <f ca="1">IFERROR(__xludf.DUMMYFUNCTION("""COMPUTED_VALUE"""),"No Relation")</f>
        <v>No Relation</v>
      </c>
      <c r="F563" s="5" t="str">
        <f ca="1">IFERROR(__xludf.DUMMYFUNCTION("""COMPUTED_VALUE"""),"Fled/Escaped")</f>
        <v>Fled/Escaped</v>
      </c>
      <c r="G563" s="5" t="str">
        <f ca="1">IFERROR(__xludf.DUMMYFUNCTION("""COMPUTED_VALUE"""),"No")</f>
        <v>No</v>
      </c>
      <c r="H563" s="5" t="str">
        <f ca="1">IFERROR(__xludf.DUMMYFUNCTION("""COMPUTED_VALUE"""),"None")</f>
        <v>None</v>
      </c>
    </row>
    <row r="564" spans="1:8">
      <c r="A564" s="5" t="str">
        <f ca="1">IFERROR(__xludf.DUMMYFUNCTION("""COMPUTED_VALUE"""),"20200919CAKRS")</f>
        <v>20200919CAKRS</v>
      </c>
      <c r="B564" s="5"/>
      <c r="C564" s="5"/>
      <c r="D564" s="5"/>
      <c r="E564" s="5"/>
      <c r="F564" s="5" t="str">
        <f ca="1">IFERROR(__xludf.DUMMYFUNCTION("""COMPUTED_VALUE"""),"Fled/Escaped")</f>
        <v>Fled/Escaped</v>
      </c>
      <c r="G564" s="5" t="str">
        <f ca="1">IFERROR(__xludf.DUMMYFUNCTION("""COMPUTED_VALUE"""),"No")</f>
        <v>No</v>
      </c>
      <c r="H564" s="5" t="str">
        <f ca="1">IFERROR(__xludf.DUMMYFUNCTION("""COMPUTED_VALUE"""),"None")</f>
        <v>None</v>
      </c>
    </row>
    <row r="565" spans="1:8">
      <c r="A565" s="5" t="str">
        <f ca="1">IFERROR(__xludf.DUMMYFUNCTION("""COMPUTED_VALUE"""),"20200918KYWIL")</f>
        <v>20200918KYWIL</v>
      </c>
      <c r="B565" s="5"/>
      <c r="C565" s="5"/>
      <c r="D565" s="5"/>
      <c r="E565" s="5" t="str">
        <f ca="1">IFERROR(__xludf.DUMMYFUNCTION("""COMPUTED_VALUE"""),"Nonstudent Using Athletic Facilities/Attending Game")</f>
        <v>Nonstudent Using Athletic Facilities/Attending Game</v>
      </c>
      <c r="F565" s="5" t="str">
        <f ca="1">IFERROR(__xludf.DUMMYFUNCTION("""COMPUTED_VALUE"""),"Fled/Escaped")</f>
        <v>Fled/Escaped</v>
      </c>
      <c r="G565" s="5" t="str">
        <f ca="1">IFERROR(__xludf.DUMMYFUNCTION("""COMPUTED_VALUE"""),"No")</f>
        <v>No</v>
      </c>
      <c r="H565" s="5" t="str">
        <f ca="1">IFERROR(__xludf.DUMMYFUNCTION("""COMPUTED_VALUE"""),"None")</f>
        <v>None</v>
      </c>
    </row>
    <row r="566" spans="1:8">
      <c r="A566" s="5" t="str">
        <f ca="1">IFERROR(__xludf.DUMMYFUNCTION("""COMPUTED_VALUE"""),"20200917ORDRP")</f>
        <v>20200917ORDRP</v>
      </c>
      <c r="B566" s="5"/>
      <c r="C566" s="5"/>
      <c r="D566" s="5"/>
      <c r="E566" s="5" t="str">
        <f ca="1">IFERROR(__xludf.DUMMYFUNCTION("""COMPUTED_VALUE"""),"No Relation")</f>
        <v>No Relation</v>
      </c>
      <c r="F566" s="5" t="str">
        <f ca="1">IFERROR(__xludf.DUMMYFUNCTION("""COMPUTED_VALUE"""),"Fled/Escaped")</f>
        <v>Fled/Escaped</v>
      </c>
      <c r="G566" s="5" t="str">
        <f ca="1">IFERROR(__xludf.DUMMYFUNCTION("""COMPUTED_VALUE"""),"No")</f>
        <v>No</v>
      </c>
      <c r="H566" s="5" t="str">
        <f ca="1">IFERROR(__xludf.DUMMYFUNCTION("""COMPUTED_VALUE"""),"None")</f>
        <v>None</v>
      </c>
    </row>
    <row r="567" spans="1:8">
      <c r="A567" s="5" t="str">
        <f ca="1">IFERROR(__xludf.DUMMYFUNCTION("""COMPUTED_VALUE"""),"20200917OHELA")</f>
        <v>20200917OHELA</v>
      </c>
      <c r="B567" s="5" t="str">
        <f ca="1">IFERROR(__xludf.DUMMYFUNCTION("""COMPUTED_VALUE"""),"Teen")</f>
        <v>Teen</v>
      </c>
      <c r="C567" s="5" t="str">
        <f ca="1">IFERROR(__xludf.DUMMYFUNCTION("""COMPUTED_VALUE"""),"Male")</f>
        <v>Male</v>
      </c>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c r="A568" s="5" t="str">
        <f ca="1">IFERROR(__xludf.DUMMYFUNCTION("""COMPUTED_VALUE"""),"20200916WAARG")</f>
        <v>20200916WAARG</v>
      </c>
      <c r="B568" s="5" t="str">
        <f ca="1">IFERROR(__xludf.DUMMYFUNCTION("""COMPUTED_VALUE"""),"Adult")</f>
        <v>Adult</v>
      </c>
      <c r="C568" s="5" t="str">
        <f ca="1">IFERROR(__xludf.DUMMYFUNCTION("""COMPUTED_VALUE"""),"Male")</f>
        <v>Male</v>
      </c>
      <c r="D568" s="5"/>
      <c r="E568" s="5" t="str">
        <f ca="1">IFERROR(__xludf.DUMMYFUNCTION("""COMPUTED_VALUE"""),"No Relation")</f>
        <v>No Relation</v>
      </c>
      <c r="F568" s="5" t="str">
        <f ca="1">IFERROR(__xludf.DUMMYFUNCTION("""COMPUTED_VALUE"""),"Surrendered")</f>
        <v>Surrendered</v>
      </c>
      <c r="G568" s="5" t="str">
        <f ca="1">IFERROR(__xludf.DUMMYFUNCTION("""COMPUTED_VALUE"""),"No")</f>
        <v>No</v>
      </c>
      <c r="H568" s="5" t="str">
        <f ca="1">IFERROR(__xludf.DUMMYFUNCTION("""COMPUTED_VALUE"""),"None")</f>
        <v>None</v>
      </c>
    </row>
    <row r="569" spans="1:8">
      <c r="A569" s="5" t="str">
        <f ca="1">IFERROR(__xludf.DUMMYFUNCTION("""COMPUTED_VALUE"""),"20200916CASOS")</f>
        <v>20200916CASOS</v>
      </c>
      <c r="B569" s="5">
        <f ca="1">IFERROR(__xludf.DUMMYFUNCTION("""COMPUTED_VALUE"""),20)</f>
        <v>20</v>
      </c>
      <c r="C569" s="5" t="str">
        <f ca="1">IFERROR(__xludf.DUMMYFUNCTION("""COMPUTED_VALUE"""),"Male")</f>
        <v>Male</v>
      </c>
      <c r="D569" s="5" t="str">
        <f ca="1">IFERROR(__xludf.DUMMYFUNCTION("""COMPUTED_VALUE"""),"Hispanic")</f>
        <v>Hispanic</v>
      </c>
      <c r="E569" s="5" t="str">
        <f ca="1">IFERROR(__xludf.DUMMYFUNCTION("""COMPUTED_VALUE"""),"No Relation")</f>
        <v>No Relation</v>
      </c>
      <c r="F569" s="5" t="str">
        <f ca="1">IFERROR(__xludf.DUMMYFUNCTION("""COMPUTED_VALUE"""),"Fled/Apprehended")</f>
        <v>Fled/Apprehended</v>
      </c>
      <c r="G569" s="5" t="str">
        <f ca="1">IFERROR(__xludf.DUMMYFUNCTION("""COMPUTED_VALUE"""),"No")</f>
        <v>No</v>
      </c>
      <c r="H569" s="5" t="str">
        <f ca="1">IFERROR(__xludf.DUMMYFUNCTION("""COMPUTED_VALUE"""),"None")</f>
        <v>None</v>
      </c>
    </row>
    <row r="570" spans="1:8">
      <c r="A570" s="5" t="str">
        <f ca="1">IFERROR(__xludf.DUMMYFUNCTION("""COMPUTED_VALUE"""),"20200915UTVIB")</f>
        <v>20200915UTVIB</v>
      </c>
      <c r="B570" s="5">
        <f ca="1">IFERROR(__xludf.DUMMYFUNCTION("""COMPUTED_VALUE"""),27)</f>
        <v>27</v>
      </c>
      <c r="C570" s="5" t="str">
        <f ca="1">IFERROR(__xludf.DUMMYFUNCTION("""COMPUTED_VALUE"""),"Male")</f>
        <v>Male</v>
      </c>
      <c r="D570" s="5"/>
      <c r="E570" s="5" t="str">
        <f ca="1">IFERROR(__xludf.DUMMYFUNCTION("""COMPUTED_VALUE"""),"No Relation")</f>
        <v>No Relation</v>
      </c>
      <c r="F570" s="5" t="str">
        <f ca="1">IFERROR(__xludf.DUMMYFUNCTION("""COMPUTED_VALUE"""),"Apprehended/Killed by LE")</f>
        <v>Apprehended/Killed by LE</v>
      </c>
      <c r="G570" s="5" t="str">
        <f ca="1">IFERROR(__xludf.DUMMYFUNCTION("""COMPUTED_VALUE"""),"Yes")</f>
        <v>Yes</v>
      </c>
      <c r="H570" s="5" t="str">
        <f ca="1">IFERROR(__xludf.DUMMYFUNCTION("""COMPUTED_VALUE"""),"Fatal")</f>
        <v>Fatal</v>
      </c>
    </row>
    <row r="571" spans="1:8">
      <c r="A571" s="5" t="str">
        <f ca="1">IFERROR(__xludf.DUMMYFUNCTION("""COMPUTED_VALUE"""),"20200915SCYOR")</f>
        <v>20200915SCYOR</v>
      </c>
      <c r="B571" s="5"/>
      <c r="C571" s="5"/>
      <c r="D571" s="5"/>
      <c r="E571" s="5"/>
      <c r="F571" s="5" t="str">
        <f ca="1">IFERROR(__xludf.DUMMYFUNCTION("""COMPUTED_VALUE"""),"Fled/Escaped")</f>
        <v>Fled/Escaped</v>
      </c>
      <c r="G571" s="5" t="str">
        <f ca="1">IFERROR(__xludf.DUMMYFUNCTION("""COMPUTED_VALUE"""),"No")</f>
        <v>No</v>
      </c>
      <c r="H571" s="5" t="str">
        <f ca="1">IFERROR(__xludf.DUMMYFUNCTION("""COMPUTED_VALUE"""),"None")</f>
        <v>None</v>
      </c>
    </row>
    <row r="572" spans="1:8">
      <c r="A572" s="5" t="str">
        <f ca="1">IFERROR(__xludf.DUMMYFUNCTION("""COMPUTED_VALUE"""),"20200910OHSAC")</f>
        <v>20200910OHSAC</v>
      </c>
      <c r="B572" s="5" t="str">
        <f ca="1">IFERROR(__xludf.DUMMYFUNCTION("""COMPUTED_VALUE"""),"Adult")</f>
        <v>Adult</v>
      </c>
      <c r="C572" s="5"/>
      <c r="D572" s="5"/>
      <c r="E572" s="5" t="str">
        <f ca="1">IFERROR(__xludf.DUMMYFUNCTION("""COMPUTED_VALUE"""),"No Relation")</f>
        <v>No Relation</v>
      </c>
      <c r="F572" s="5" t="str">
        <f ca="1">IFERROR(__xludf.DUMMYFUNCTION("""COMPUTED_VALUE"""),"Fled/Escaped")</f>
        <v>Fled/Escaped</v>
      </c>
      <c r="G572" s="5" t="str">
        <f ca="1">IFERROR(__xludf.DUMMYFUNCTION("""COMPUTED_VALUE"""),"No")</f>
        <v>No</v>
      </c>
      <c r="H572" s="5" t="str">
        <f ca="1">IFERROR(__xludf.DUMMYFUNCTION("""COMPUTED_VALUE"""),"None")</f>
        <v>None</v>
      </c>
    </row>
    <row r="573" spans="1:8">
      <c r="A573" s="5" t="str">
        <f ca="1">IFERROR(__xludf.DUMMYFUNCTION("""COMPUTED_VALUE"""),"20200910ILPEP")</f>
        <v>20200910ILPEP</v>
      </c>
      <c r="B573" s="5" t="str">
        <f ca="1">IFERROR(__xludf.DUMMYFUNCTION("""COMPUTED_VALUE"""),"Adult")</f>
        <v>Adult</v>
      </c>
      <c r="C573" s="5" t="str">
        <f ca="1">IFERROR(__xludf.DUMMYFUNCTION("""COMPUTED_VALUE"""),"Male")</f>
        <v>Male</v>
      </c>
      <c r="D573" s="5"/>
      <c r="E573" s="5" t="str">
        <f ca="1">IFERROR(__xludf.DUMMYFUNCTION("""COMPUTED_VALUE"""),"No Relation")</f>
        <v>No Relation</v>
      </c>
      <c r="F573" s="5" t="str">
        <f ca="1">IFERROR(__xludf.DUMMYFUNCTION("""COMPUTED_VALUE"""),"Fled/Escaped")</f>
        <v>Fled/Escaped</v>
      </c>
      <c r="G573" s="5" t="str">
        <f ca="1">IFERROR(__xludf.DUMMYFUNCTION("""COMPUTED_VALUE"""),"No")</f>
        <v>No</v>
      </c>
      <c r="H573" s="5" t="str">
        <f ca="1">IFERROR(__xludf.DUMMYFUNCTION("""COMPUTED_VALUE"""),"None")</f>
        <v>None</v>
      </c>
    </row>
    <row r="574" spans="1:8">
      <c r="A574" s="5" t="str">
        <f ca="1">IFERROR(__xludf.DUMMYFUNCTION("""COMPUTED_VALUE"""),"20200909TXSOH")</f>
        <v>20200909TXSOH</v>
      </c>
      <c r="B574" s="5" t="str">
        <f ca="1">IFERROR(__xludf.DUMMYFUNCTION("""COMPUTED_VALUE"""),"Adult")</f>
        <v>Adult</v>
      </c>
      <c r="C574" s="5" t="str">
        <f ca="1">IFERROR(__xludf.DUMMYFUNCTION("""COMPUTED_VALUE"""),"Male")</f>
        <v>Male</v>
      </c>
      <c r="D574" s="5"/>
      <c r="E574" s="5" t="str">
        <f ca="1">IFERROR(__xludf.DUMMYFUNCTION("""COMPUTED_VALUE"""),"No Relation")</f>
        <v>No Relation</v>
      </c>
      <c r="F574" s="5" t="str">
        <f ca="1">IFERROR(__xludf.DUMMYFUNCTION("""COMPUTED_VALUE"""),"Fled/Escaped")</f>
        <v>Fled/Escaped</v>
      </c>
      <c r="G574" s="5" t="str">
        <f ca="1">IFERROR(__xludf.DUMMYFUNCTION("""COMPUTED_VALUE"""),"No")</f>
        <v>No</v>
      </c>
      <c r="H574" s="5" t="str">
        <f ca="1">IFERROR(__xludf.DUMMYFUNCTION("""COMPUTED_VALUE"""),"None")</f>
        <v>None</v>
      </c>
    </row>
    <row r="575" spans="1:8">
      <c r="A575" s="5" t="str">
        <f ca="1">IFERROR(__xludf.DUMMYFUNCTION("""COMPUTED_VALUE"""),"20200909PAWEW")</f>
        <v>20200909PAWEW</v>
      </c>
      <c r="B575" s="5" t="str">
        <f ca="1">IFERROR(__xludf.DUMMYFUNCTION("""COMPUTED_VALUE"""),"Adult")</f>
        <v>Adult</v>
      </c>
      <c r="C575" s="5" t="str">
        <f ca="1">IFERROR(__xludf.DUMMYFUNCTION("""COMPUTED_VALUE"""),"Male")</f>
        <v>Male</v>
      </c>
      <c r="D575" s="5" t="str">
        <f ca="1">IFERROR(__xludf.DUMMYFUNCTION("""COMPUTED_VALUE"""),"White")</f>
        <v>White</v>
      </c>
      <c r="E575" s="5" t="str">
        <f ca="1">IFERROR(__xludf.DUMMYFUNCTION("""COMPUTED_VALUE"""),"No Relation")</f>
        <v>No Relation</v>
      </c>
      <c r="F575" s="5" t="str">
        <f ca="1">IFERROR(__xludf.DUMMYFUNCTION("""COMPUTED_VALUE"""),"Fled/Escaped")</f>
        <v>Fled/Escaped</v>
      </c>
      <c r="G575" s="5" t="str">
        <f ca="1">IFERROR(__xludf.DUMMYFUNCTION("""COMPUTED_VALUE"""),"No")</f>
        <v>No</v>
      </c>
      <c r="H575" s="5" t="str">
        <f ca="1">IFERROR(__xludf.DUMMYFUNCTION("""COMPUTED_VALUE"""),"None")</f>
        <v>None</v>
      </c>
    </row>
    <row r="576" spans="1:8">
      <c r="A576" s="5" t="str">
        <f ca="1">IFERROR(__xludf.DUMMYFUNCTION("""COMPUTED_VALUE"""),"20200904FLLOJ")</f>
        <v>20200904FLLOJ</v>
      </c>
      <c r="B576" s="5" t="str">
        <f ca="1">IFERROR(__xludf.DUMMYFUNCTION("""COMPUTED_VALUE"""),"Adult")</f>
        <v>Adult</v>
      </c>
      <c r="C576" s="5"/>
      <c r="D576" s="5"/>
      <c r="E576" s="5" t="str">
        <f ca="1">IFERROR(__xludf.DUMMYFUNCTION("""COMPUTED_VALUE"""),"No Relation")</f>
        <v>No Relation</v>
      </c>
      <c r="F576" s="5" t="str">
        <f ca="1">IFERROR(__xludf.DUMMYFUNCTION("""COMPUTED_VALUE"""),"Fled/Escaped")</f>
        <v>Fled/Escaped</v>
      </c>
      <c r="G576" s="5" t="str">
        <f ca="1">IFERROR(__xludf.DUMMYFUNCTION("""COMPUTED_VALUE"""),"No")</f>
        <v>No</v>
      </c>
      <c r="H576" s="5" t="str">
        <f ca="1">IFERROR(__xludf.DUMMYFUNCTION("""COMPUTED_VALUE"""),"None")</f>
        <v>None</v>
      </c>
    </row>
    <row r="577" spans="1:8">
      <c r="A577" s="5" t="str">
        <f ca="1">IFERROR(__xludf.DUMMYFUNCTION("""COMPUTED_VALUE"""),"20200903GADOA")</f>
        <v>20200903GADOA</v>
      </c>
      <c r="B577" s="5" t="str">
        <f ca="1">IFERROR(__xludf.DUMMYFUNCTION("""COMPUTED_VALUE"""),"Adult")</f>
        <v>Adult</v>
      </c>
      <c r="C577" s="5"/>
      <c r="D577" s="5"/>
      <c r="E577" s="5" t="str">
        <f ca="1">IFERROR(__xludf.DUMMYFUNCTION("""COMPUTED_VALUE"""),"No Relation")</f>
        <v>No Relation</v>
      </c>
      <c r="F577" s="5" t="str">
        <f ca="1">IFERROR(__xludf.DUMMYFUNCTION("""COMPUTED_VALUE"""),"Fled/Escaped")</f>
        <v>Fled/Escaped</v>
      </c>
      <c r="G577" s="5" t="str">
        <f ca="1">IFERROR(__xludf.DUMMYFUNCTION("""COMPUTED_VALUE"""),"No")</f>
        <v>No</v>
      </c>
      <c r="H577" s="5" t="str">
        <f ca="1">IFERROR(__xludf.DUMMYFUNCTION("""COMPUTED_VALUE"""),"None")</f>
        <v>None</v>
      </c>
    </row>
    <row r="578" spans="1:8">
      <c r="A578" s="5" t="str">
        <f ca="1">IFERROR(__xludf.DUMMYFUNCTION("""COMPUTED_VALUE"""),"20200830TXLOD")</f>
        <v>20200830TXLOD</v>
      </c>
      <c r="B578" s="5">
        <f ca="1">IFERROR(__xludf.DUMMYFUNCTION("""COMPUTED_VALUE"""),17)</f>
        <v>17</v>
      </c>
      <c r="C578" s="5" t="str">
        <f ca="1">IFERROR(__xludf.DUMMYFUNCTION("""COMPUTED_VALUE"""),"Male")</f>
        <v>Male</v>
      </c>
      <c r="D578" s="5" t="str">
        <f ca="1">IFERROR(__xludf.DUMMYFUNCTION("""COMPUTED_VALUE"""),"Hispanic")</f>
        <v>Hispanic</v>
      </c>
      <c r="E578" s="5" t="str">
        <f ca="1">IFERROR(__xludf.DUMMYFUNCTION("""COMPUTED_VALUE"""),"No Relation")</f>
        <v>No Relation</v>
      </c>
      <c r="F578" s="5" t="str">
        <f ca="1">IFERROR(__xludf.DUMMYFUNCTION("""COMPUTED_VALUE"""),"Fled/Apprehended")</f>
        <v>Fled/Apprehended</v>
      </c>
      <c r="G578" s="5" t="str">
        <f ca="1">IFERROR(__xludf.DUMMYFUNCTION("""COMPUTED_VALUE"""),"No")</f>
        <v>No</v>
      </c>
      <c r="H578" s="5" t="str">
        <f ca="1">IFERROR(__xludf.DUMMYFUNCTION("""COMPUTED_VALUE"""),"None")</f>
        <v>None</v>
      </c>
    </row>
    <row r="579" spans="1:8">
      <c r="A579" s="5" t="str">
        <f ca="1">IFERROR(__xludf.DUMMYFUNCTION("""COMPUTED_VALUE"""),"20200825MOWEC")</f>
        <v>20200825MOWEC</v>
      </c>
      <c r="B579" s="5" t="str">
        <f ca="1">IFERROR(__xludf.DUMMYFUNCTION("""COMPUTED_VALUE"""),"Adult")</f>
        <v>Adult</v>
      </c>
      <c r="C579" s="5"/>
      <c r="D579" s="5"/>
      <c r="E579" s="5" t="str">
        <f ca="1">IFERROR(__xludf.DUMMYFUNCTION("""COMPUTED_VALUE"""),"No Relation")</f>
        <v>No Relation</v>
      </c>
      <c r="F579" s="5" t="str">
        <f ca="1">IFERROR(__xludf.DUMMYFUNCTION("""COMPUTED_VALUE"""),"Fled/Escaped")</f>
        <v>Fled/Escaped</v>
      </c>
      <c r="G579" s="5" t="str">
        <f ca="1">IFERROR(__xludf.DUMMYFUNCTION("""COMPUTED_VALUE"""),"No")</f>
        <v>No</v>
      </c>
      <c r="H579" s="5" t="str">
        <f ca="1">IFERROR(__xludf.DUMMYFUNCTION("""COMPUTED_VALUE"""),"None")</f>
        <v>None</v>
      </c>
    </row>
    <row r="580" spans="1:8">
      <c r="A580" s="5" t="str">
        <f ca="1">IFERROR(__xludf.DUMMYFUNCTION("""COMPUTED_VALUE"""),"20200817MIABG")</f>
        <v>20200817MIABG</v>
      </c>
      <c r="B580" s="5" t="str">
        <f ca="1">IFERROR(__xludf.DUMMYFUNCTION("""COMPUTED_VALUE"""),"Adult")</f>
        <v>Adult</v>
      </c>
      <c r="C580" s="5" t="str">
        <f ca="1">IFERROR(__xludf.DUMMYFUNCTION("""COMPUTED_VALUE"""),"Male")</f>
        <v>Male</v>
      </c>
      <c r="D580" s="5"/>
      <c r="E580" s="5" t="str">
        <f ca="1">IFERROR(__xludf.DUMMYFUNCTION("""COMPUTED_VALUE"""),"No Relation")</f>
        <v>No Relation</v>
      </c>
      <c r="F580" s="5" t="str">
        <f ca="1">IFERROR(__xludf.DUMMYFUNCTION("""COMPUTED_VALUE"""),"Fled/Escaped")</f>
        <v>Fled/Escaped</v>
      </c>
      <c r="G580" s="5" t="str">
        <f ca="1">IFERROR(__xludf.DUMMYFUNCTION("""COMPUTED_VALUE"""),"No")</f>
        <v>No</v>
      </c>
      <c r="H580" s="5" t="str">
        <f ca="1">IFERROR(__xludf.DUMMYFUNCTION("""COMPUTED_VALUE"""),"None")</f>
        <v>None</v>
      </c>
    </row>
    <row r="581" spans="1:8">
      <c r="A581" s="5" t="str">
        <f ca="1">IFERROR(__xludf.DUMMYFUNCTION("""COMPUTED_VALUE"""),"20200804PAKEP")</f>
        <v>20200804PAKEP</v>
      </c>
      <c r="B581" s="5">
        <f ca="1">IFERROR(__xludf.DUMMYFUNCTION("""COMPUTED_VALUE"""),29)</f>
        <v>29</v>
      </c>
      <c r="C581" s="5" t="str">
        <f ca="1">IFERROR(__xludf.DUMMYFUNCTION("""COMPUTED_VALUE"""),"Male")</f>
        <v>Male</v>
      </c>
      <c r="D581" s="5"/>
      <c r="E581" s="5" t="str">
        <f ca="1">IFERROR(__xludf.DUMMYFUNCTION("""COMPUTED_VALUE"""),"No Relation")</f>
        <v>No Relation</v>
      </c>
      <c r="F581" s="5" t="str">
        <f ca="1">IFERROR(__xludf.DUMMYFUNCTION("""COMPUTED_VALUE"""),"Fled/Apprehended")</f>
        <v>Fled/Apprehended</v>
      </c>
      <c r="G581" s="5" t="str">
        <f ca="1">IFERROR(__xludf.DUMMYFUNCTION("""COMPUTED_VALUE"""),"No")</f>
        <v>No</v>
      </c>
      <c r="H581" s="5" t="str">
        <f ca="1">IFERROR(__xludf.DUMMYFUNCTION("""COMPUTED_VALUE"""),"None")</f>
        <v>None</v>
      </c>
    </row>
    <row r="582" spans="1:8">
      <c r="A582" s="5" t="str">
        <f ca="1">IFERROR(__xludf.DUMMYFUNCTION("""COMPUTED_VALUE"""),"20200729ILCOC")</f>
        <v>20200729ILCOC</v>
      </c>
      <c r="B582" s="5">
        <f ca="1">IFERROR(__xludf.DUMMYFUNCTION("""COMPUTED_VALUE"""),17)</f>
        <v>17</v>
      </c>
      <c r="C582" s="5" t="str">
        <f ca="1">IFERROR(__xludf.DUMMYFUNCTION("""COMPUTED_VALUE"""),"Male")</f>
        <v>Male</v>
      </c>
      <c r="D582" s="5"/>
      <c r="E582" s="5"/>
      <c r="F582" s="5" t="str">
        <f ca="1">IFERROR(__xludf.DUMMYFUNCTION("""COMPUTED_VALUE"""),"Apprehended/Killed by LE")</f>
        <v>Apprehended/Killed by LE</v>
      </c>
      <c r="G582" s="5" t="str">
        <f ca="1">IFERROR(__xludf.DUMMYFUNCTION("""COMPUTED_VALUE"""),"No")</f>
        <v>No</v>
      </c>
      <c r="H582" s="5" t="str">
        <f ca="1">IFERROR(__xludf.DUMMYFUNCTION("""COMPUTED_VALUE"""),"Wounded")</f>
        <v>Wounded</v>
      </c>
    </row>
    <row r="583" spans="1:8">
      <c r="A583" s="5" t="str">
        <f ca="1">IFERROR(__xludf.DUMMYFUNCTION("""COMPUTED_VALUE"""),"20200727AZCAO")</f>
        <v>20200727AZCAO</v>
      </c>
      <c r="B583" s="5">
        <f ca="1">IFERROR(__xludf.DUMMYFUNCTION("""COMPUTED_VALUE"""),40)</f>
        <v>40</v>
      </c>
      <c r="C583" s="5" t="str">
        <f ca="1">IFERROR(__xludf.DUMMYFUNCTION("""COMPUTED_VALUE"""),"Male")</f>
        <v>Male</v>
      </c>
      <c r="D583" s="5"/>
      <c r="E583" s="5" t="str">
        <f ca="1">IFERROR(__xludf.DUMMYFUNCTION("""COMPUTED_VALUE"""),"Other Staff")</f>
        <v>Other Staff</v>
      </c>
      <c r="F583" s="5" t="str">
        <f ca="1">IFERROR(__xludf.DUMMYFUNCTION("""COMPUTED_VALUE"""),"Apprehended/Killed by Other")</f>
        <v>Apprehended/Killed by Other</v>
      </c>
      <c r="G583" s="5" t="str">
        <f ca="1">IFERROR(__xludf.DUMMYFUNCTION("""COMPUTED_VALUE"""),"Yes")</f>
        <v>Yes</v>
      </c>
      <c r="H583" s="5" t="str">
        <f ca="1">IFERROR(__xludf.DUMMYFUNCTION("""COMPUTED_VALUE"""),"Fatal")</f>
        <v>Fatal</v>
      </c>
    </row>
    <row r="584" spans="1:8">
      <c r="A584" s="5" t="str">
        <f ca="1">IFERROR(__xludf.DUMMYFUNCTION("""COMPUTED_VALUE"""),"20200721SCBRO")</f>
        <v>20200721SCBRO</v>
      </c>
      <c r="B584" s="5">
        <f ca="1">IFERROR(__xludf.DUMMYFUNCTION("""COMPUTED_VALUE"""),21)</f>
        <v>21</v>
      </c>
      <c r="C584" s="5" t="str">
        <f ca="1">IFERROR(__xludf.DUMMYFUNCTION("""COMPUTED_VALUE"""),"Male")</f>
        <v>Male</v>
      </c>
      <c r="D584" s="5" t="str">
        <f ca="1">IFERROR(__xludf.DUMMYFUNCTION("""COMPUTED_VALUE"""),"Black")</f>
        <v>Black</v>
      </c>
      <c r="E584" s="5" t="str">
        <f ca="1">IFERROR(__xludf.DUMMYFUNCTION("""COMPUTED_VALUE"""),"Nonstudent Using Athletic Facilities/Attending Game")</f>
        <v>Nonstudent Using Athletic Facilities/Attending Game</v>
      </c>
      <c r="F584" s="5" t="str">
        <f ca="1">IFERROR(__xludf.DUMMYFUNCTION("""COMPUTED_VALUE"""),"Fled/Apprehended")</f>
        <v>Fled/Apprehended</v>
      </c>
      <c r="G584" s="5" t="str">
        <f ca="1">IFERROR(__xludf.DUMMYFUNCTION("""COMPUTED_VALUE"""),"No")</f>
        <v>No</v>
      </c>
      <c r="H584" s="5" t="str">
        <f ca="1">IFERROR(__xludf.DUMMYFUNCTION("""COMPUTED_VALUE"""),"None")</f>
        <v>None</v>
      </c>
    </row>
    <row r="585" spans="1:8">
      <c r="A585" s="5" t="str">
        <f ca="1">IFERROR(__xludf.DUMMYFUNCTION("""COMPUTED_VALUE"""),"20200714MIWID")</f>
        <v>20200714MIWID</v>
      </c>
      <c r="B585" s="5" t="str">
        <f ca="1">IFERROR(__xludf.DUMMYFUNCTION("""COMPUTED_VALUE"""),"Adult")</f>
        <v>Adult</v>
      </c>
      <c r="C585" s="5" t="str">
        <f ca="1">IFERROR(__xludf.DUMMYFUNCTION("""COMPUTED_VALUE"""),"Male")</f>
        <v>Male</v>
      </c>
      <c r="D585" s="5"/>
      <c r="E585" s="5" t="str">
        <f ca="1">IFERROR(__xludf.DUMMYFUNCTION("""COMPUTED_VALUE"""),"No Relation")</f>
        <v>No Relation</v>
      </c>
      <c r="F585" s="5" t="str">
        <f ca="1">IFERROR(__xludf.DUMMYFUNCTION("""COMPUTED_VALUE"""),"Fled/Escaped")</f>
        <v>Fled/Escaped</v>
      </c>
      <c r="G585" s="5" t="str">
        <f ca="1">IFERROR(__xludf.DUMMYFUNCTION("""COMPUTED_VALUE"""),"No")</f>
        <v>No</v>
      </c>
      <c r="H585" s="5" t="str">
        <f ca="1">IFERROR(__xludf.DUMMYFUNCTION("""COMPUTED_VALUE"""),"None")</f>
        <v>None</v>
      </c>
    </row>
    <row r="586" spans="1:8">
      <c r="A586" s="5" t="str">
        <f ca="1">IFERROR(__xludf.DUMMYFUNCTION("""COMPUTED_VALUE"""),"20200704INLAM")</f>
        <v>20200704INLAM</v>
      </c>
      <c r="B586" s="5">
        <f ca="1">IFERROR(__xludf.DUMMYFUNCTION("""COMPUTED_VALUE"""),22)</f>
        <v>22</v>
      </c>
      <c r="C586" s="5" t="str">
        <f ca="1">IFERROR(__xludf.DUMMYFUNCTION("""COMPUTED_VALUE"""),"Male")</f>
        <v>Male</v>
      </c>
      <c r="D586" s="5" t="str">
        <f ca="1">IFERROR(__xludf.DUMMYFUNCTION("""COMPUTED_VALUE"""),"White")</f>
        <v>White</v>
      </c>
      <c r="E586" s="5" t="str">
        <f ca="1">IFERROR(__xludf.DUMMYFUNCTION("""COMPUTED_VALUE"""),"No Relation")</f>
        <v>No Relation</v>
      </c>
      <c r="F586" s="5" t="str">
        <f ca="1">IFERROR(__xludf.DUMMYFUNCTION("""COMPUTED_VALUE"""),"Fled/Apprehended")</f>
        <v>Fled/Apprehended</v>
      </c>
      <c r="G586" s="5" t="str">
        <f ca="1">IFERROR(__xludf.DUMMYFUNCTION("""COMPUTED_VALUE"""),"No")</f>
        <v>No</v>
      </c>
      <c r="H586" s="5" t="str">
        <f ca="1">IFERROR(__xludf.DUMMYFUNCTION("""COMPUTED_VALUE"""),"None")</f>
        <v>None</v>
      </c>
    </row>
    <row r="587" spans="1:8">
      <c r="A587" s="5" t="str">
        <f ca="1">IFERROR(__xludf.DUMMYFUNCTION("""COMPUTED_VALUE"""),"20200701ILFRP")</f>
        <v>20200701ILFRP</v>
      </c>
      <c r="B587" s="5">
        <f ca="1">IFERROR(__xludf.DUMMYFUNCTION("""COMPUTED_VALUE"""),25)</f>
        <v>25</v>
      </c>
      <c r="C587" s="5" t="str">
        <f ca="1">IFERROR(__xludf.DUMMYFUNCTION("""COMPUTED_VALUE"""),"Male")</f>
        <v>Male</v>
      </c>
      <c r="D587" s="5" t="str">
        <f ca="1">IFERROR(__xludf.DUMMYFUNCTION("""COMPUTED_VALUE"""),"White")</f>
        <v>White</v>
      </c>
      <c r="E587" s="5" t="str">
        <f ca="1">IFERROR(__xludf.DUMMYFUNCTION("""COMPUTED_VALUE"""),"No Relation")</f>
        <v>No Relation</v>
      </c>
      <c r="F587" s="5" t="str">
        <f ca="1">IFERROR(__xludf.DUMMYFUNCTION("""COMPUTED_VALUE"""),"Fled/Apprehended")</f>
        <v>Fled/Apprehended</v>
      </c>
      <c r="G587" s="5" t="str">
        <f ca="1">IFERROR(__xludf.DUMMYFUNCTION("""COMPUTED_VALUE"""),"No")</f>
        <v>No</v>
      </c>
      <c r="H587" s="5" t="str">
        <f ca="1">IFERROR(__xludf.DUMMYFUNCTION("""COMPUTED_VALUE"""),"None")</f>
        <v>None</v>
      </c>
    </row>
    <row r="588" spans="1:8">
      <c r="A588" s="5" t="str">
        <f ca="1">IFERROR(__xludf.DUMMYFUNCTION("""COMPUTED_VALUE"""),"20200630OHLAW")</f>
        <v>20200630OHLAW</v>
      </c>
      <c r="B588" s="5">
        <f ca="1">IFERROR(__xludf.DUMMYFUNCTION("""COMPUTED_VALUE"""),19)</f>
        <v>19</v>
      </c>
      <c r="C588" s="5" t="str">
        <f ca="1">IFERROR(__xludf.DUMMYFUNCTION("""COMPUTED_VALUE"""),"Male")</f>
        <v>Male</v>
      </c>
      <c r="D588" s="5" t="str">
        <f ca="1">IFERROR(__xludf.DUMMYFUNCTION("""COMPUTED_VALUE"""),"White")</f>
        <v>White</v>
      </c>
      <c r="E588" s="5" t="str">
        <f ca="1">IFERROR(__xludf.DUMMYFUNCTION("""COMPUTED_VALUE"""),"No Relation")</f>
        <v>No Relation</v>
      </c>
      <c r="F588" s="5" t="str">
        <f ca="1">IFERROR(__xludf.DUMMYFUNCTION("""COMPUTED_VALUE"""),"Fled/Apprehended")</f>
        <v>Fled/Apprehended</v>
      </c>
      <c r="G588" s="5" t="str">
        <f ca="1">IFERROR(__xludf.DUMMYFUNCTION("""COMPUTED_VALUE"""),"No")</f>
        <v>No</v>
      </c>
      <c r="H588" s="5" t="str">
        <f ca="1">IFERROR(__xludf.DUMMYFUNCTION("""COMPUTED_VALUE"""),"None")</f>
        <v>None</v>
      </c>
    </row>
    <row r="589" spans="1:8">
      <c r="A589" s="5" t="str">
        <f ca="1">IFERROR(__xludf.DUMMYFUNCTION("""COMPUTED_VALUE"""),"20200627VAHAS")</f>
        <v>20200627VAHAS</v>
      </c>
      <c r="B589" s="5">
        <f ca="1">IFERROR(__xludf.DUMMYFUNCTION("""COMPUTED_VALUE"""),17)</f>
        <v>17</v>
      </c>
      <c r="C589" s="5" t="str">
        <f ca="1">IFERROR(__xludf.DUMMYFUNCTION("""COMPUTED_VALUE"""),"Male")</f>
        <v>Male</v>
      </c>
      <c r="D589" s="5"/>
      <c r="E589" s="5" t="str">
        <f ca="1">IFERROR(__xludf.DUMMYFUNCTION("""COMPUTED_VALUE"""),"Unknown")</f>
        <v>Unknown</v>
      </c>
      <c r="F589" s="5" t="str">
        <f ca="1">IFERROR(__xludf.DUMMYFUNCTION("""COMPUTED_VALUE"""),"Fled/Apprehended")</f>
        <v>Fled/Apprehended</v>
      </c>
      <c r="G589" s="5" t="str">
        <f ca="1">IFERROR(__xludf.DUMMYFUNCTION("""COMPUTED_VALUE"""),"No")</f>
        <v>No</v>
      </c>
      <c r="H589" s="5" t="str">
        <f ca="1">IFERROR(__xludf.DUMMYFUNCTION("""COMPUTED_VALUE"""),"None")</f>
        <v>None</v>
      </c>
    </row>
    <row r="590" spans="1:8">
      <c r="A590" s="5" t="str">
        <f ca="1">IFERROR(__xludf.DUMMYFUNCTION("""COMPUTED_VALUE"""),"20200621INCOC")</f>
        <v>20200621INCOC</v>
      </c>
      <c r="B590" s="5">
        <f ca="1">IFERROR(__xludf.DUMMYFUNCTION("""COMPUTED_VALUE"""),14)</f>
        <v>14</v>
      </c>
      <c r="C590" s="5" t="str">
        <f ca="1">IFERROR(__xludf.DUMMYFUNCTION("""COMPUTED_VALUE"""),"Male")</f>
        <v>Male</v>
      </c>
      <c r="D590" s="5"/>
      <c r="E590" s="5" t="str">
        <f ca="1">IFERROR(__xludf.DUMMYFUNCTION("""COMPUTED_VALUE"""),"Unknown")</f>
        <v>Unknown</v>
      </c>
      <c r="F590" s="5" t="str">
        <f ca="1">IFERROR(__xludf.DUMMYFUNCTION("""COMPUTED_VALUE"""),"Fled/Apprehended")</f>
        <v>Fled/Apprehended</v>
      </c>
      <c r="G590" s="5" t="str">
        <f ca="1">IFERROR(__xludf.DUMMYFUNCTION("""COMPUTED_VALUE"""),"No")</f>
        <v>No</v>
      </c>
      <c r="H590" s="5" t="str">
        <f ca="1">IFERROR(__xludf.DUMMYFUNCTION("""COMPUTED_VALUE"""),"None")</f>
        <v>None</v>
      </c>
    </row>
    <row r="591" spans="1:8">
      <c r="A591" s="5" t="str">
        <f ca="1">IFERROR(__xludf.DUMMYFUNCTION("""COMPUTED_VALUE"""),"20200621INCOC")</f>
        <v>20200621INCOC</v>
      </c>
      <c r="B591" s="5">
        <f ca="1">IFERROR(__xludf.DUMMYFUNCTION("""COMPUTED_VALUE"""),16)</f>
        <v>16</v>
      </c>
      <c r="C591" s="5" t="str">
        <f ca="1">IFERROR(__xludf.DUMMYFUNCTION("""COMPUTED_VALUE"""),"Male")</f>
        <v>Male</v>
      </c>
      <c r="D591" s="5"/>
      <c r="E591" s="5" t="str">
        <f ca="1">IFERROR(__xludf.DUMMYFUNCTION("""COMPUTED_VALUE"""),"Unknown")</f>
        <v>Unknown</v>
      </c>
      <c r="F591" s="5" t="str">
        <f ca="1">IFERROR(__xludf.DUMMYFUNCTION("""COMPUTED_VALUE"""),"Fled/Apprehended")</f>
        <v>Fled/Apprehended</v>
      </c>
      <c r="G591" s="5" t="str">
        <f ca="1">IFERROR(__xludf.DUMMYFUNCTION("""COMPUTED_VALUE"""),"No")</f>
        <v>No</v>
      </c>
      <c r="H591" s="5" t="str">
        <f ca="1">IFERROR(__xludf.DUMMYFUNCTION("""COMPUTED_VALUE"""),"None")</f>
        <v>None</v>
      </c>
    </row>
    <row r="592" spans="1:8">
      <c r="A592" s="5" t="str">
        <f ca="1">IFERROR(__xludf.DUMMYFUNCTION("""COMPUTED_VALUE"""),"20200621INCOC")</f>
        <v>20200621INCOC</v>
      </c>
      <c r="B592" s="5">
        <f ca="1">IFERROR(__xludf.DUMMYFUNCTION("""COMPUTED_VALUE"""),16)</f>
        <v>16</v>
      </c>
      <c r="C592" s="5" t="str">
        <f ca="1">IFERROR(__xludf.DUMMYFUNCTION("""COMPUTED_VALUE"""),"Male")</f>
        <v>Male</v>
      </c>
      <c r="D592" s="5"/>
      <c r="E592" s="5" t="str">
        <f ca="1">IFERROR(__xludf.DUMMYFUNCTION("""COMPUTED_VALUE"""),"Unknown")</f>
        <v>Unknown</v>
      </c>
      <c r="F592" s="5" t="str">
        <f ca="1">IFERROR(__xludf.DUMMYFUNCTION("""COMPUTED_VALUE"""),"Fled/Apprehended")</f>
        <v>Fled/Apprehended</v>
      </c>
      <c r="G592" s="5" t="str">
        <f ca="1">IFERROR(__xludf.DUMMYFUNCTION("""COMPUTED_VALUE"""),"No")</f>
        <v>No</v>
      </c>
      <c r="H592" s="5" t="str">
        <f ca="1">IFERROR(__xludf.DUMMYFUNCTION("""COMPUTED_VALUE"""),"None")</f>
        <v>None</v>
      </c>
    </row>
    <row r="593" spans="1:8">
      <c r="A593" s="5" t="str">
        <f ca="1">IFERROR(__xludf.DUMMYFUNCTION("""COMPUTED_VALUE"""),"20200618INJOI")</f>
        <v>20200618INJOI</v>
      </c>
      <c r="B593" s="5"/>
      <c r="C593" s="5"/>
      <c r="D593" s="5"/>
      <c r="E593" s="5" t="str">
        <f ca="1">IFERROR(__xludf.DUMMYFUNCTION("""COMPUTED_VALUE"""),"No Relation")</f>
        <v>No Relation</v>
      </c>
      <c r="F593" s="5" t="str">
        <f ca="1">IFERROR(__xludf.DUMMYFUNCTION("""COMPUTED_VALUE"""),"Fled/Escaped")</f>
        <v>Fled/Escaped</v>
      </c>
      <c r="G593" s="5"/>
      <c r="H593" s="5"/>
    </row>
    <row r="594" spans="1:8">
      <c r="A594" s="5" t="str">
        <f ca="1">IFERROR(__xludf.DUMMYFUNCTION("""COMPUTED_VALUE"""),"20200616FLTOM")</f>
        <v>20200616FLTOM</v>
      </c>
      <c r="B594" s="5"/>
      <c r="C594" s="5" t="str">
        <f ca="1">IFERROR(__xludf.DUMMYFUNCTION("""COMPUTED_VALUE"""),"Male")</f>
        <v>Male</v>
      </c>
      <c r="D594" s="5"/>
      <c r="E594" s="5" t="str">
        <f ca="1">IFERROR(__xludf.DUMMYFUNCTION("""COMPUTED_VALUE"""),"No Relation")</f>
        <v>No Relation</v>
      </c>
      <c r="F594" s="5" t="str">
        <f ca="1">IFERROR(__xludf.DUMMYFUNCTION("""COMPUTED_VALUE"""),"Fled/Escaped")</f>
        <v>Fled/Escaped</v>
      </c>
      <c r="G594" s="5" t="str">
        <f ca="1">IFERROR(__xludf.DUMMYFUNCTION("""COMPUTED_VALUE"""),"No")</f>
        <v>No</v>
      </c>
      <c r="H594" s="5" t="str">
        <f ca="1">IFERROR(__xludf.DUMMYFUNCTION("""COMPUTED_VALUE"""),"None")</f>
        <v>None</v>
      </c>
    </row>
    <row r="595" spans="1:8">
      <c r="A595" s="5" t="str">
        <f ca="1">IFERROR(__xludf.DUMMYFUNCTION("""COMPUTED_VALUE"""),"20200603IAGAD")</f>
        <v>20200603IAGAD</v>
      </c>
      <c r="B595" s="5" t="str">
        <f ca="1">IFERROR(__xludf.DUMMYFUNCTION("""COMPUTED_VALUE"""),"Adult")</f>
        <v>Adult</v>
      </c>
      <c r="C595" s="5" t="str">
        <f ca="1">IFERROR(__xludf.DUMMYFUNCTION("""COMPUTED_VALUE"""),"Male")</f>
        <v>Male</v>
      </c>
      <c r="D595" s="5"/>
      <c r="E595" s="5" t="str">
        <f ca="1">IFERROR(__xludf.DUMMYFUNCTION("""COMPUTED_VALUE"""),"No Relation")</f>
        <v>No Relation</v>
      </c>
      <c r="F595" s="5" t="str">
        <f ca="1">IFERROR(__xludf.DUMMYFUNCTION("""COMPUTED_VALUE"""),"Fled/Escaped")</f>
        <v>Fled/Escaped</v>
      </c>
      <c r="G595" s="5" t="str">
        <f ca="1">IFERROR(__xludf.DUMMYFUNCTION("""COMPUTED_VALUE"""),"No")</f>
        <v>No</v>
      </c>
      <c r="H595" s="5" t="str">
        <f ca="1">IFERROR(__xludf.DUMMYFUNCTION("""COMPUTED_VALUE"""),"None")</f>
        <v>None</v>
      </c>
    </row>
    <row r="596" spans="1:8">
      <c r="A596" s="5" t="str">
        <f ca="1">IFERROR(__xludf.DUMMYFUNCTION("""COMPUTED_VALUE"""),"20200527OHLUC")</f>
        <v>20200527OHLUC</v>
      </c>
      <c r="B596" s="5">
        <f ca="1">IFERROR(__xludf.DUMMYFUNCTION("""COMPUTED_VALUE"""),21)</f>
        <v>21</v>
      </c>
      <c r="C596" s="5" t="str">
        <f ca="1">IFERROR(__xludf.DUMMYFUNCTION("""COMPUTED_VALUE"""),"Male")</f>
        <v>Male</v>
      </c>
      <c r="D596" s="5"/>
      <c r="E596" s="5" t="str">
        <f ca="1">IFERROR(__xludf.DUMMYFUNCTION("""COMPUTED_VALUE"""),"No Relation")</f>
        <v>No Relation</v>
      </c>
      <c r="F596" s="5" t="str">
        <f ca="1">IFERROR(__xludf.DUMMYFUNCTION("""COMPUTED_VALUE"""),"Apprehended/Killed by Other")</f>
        <v>Apprehended/Killed by Other</v>
      </c>
      <c r="G596" s="5" t="str">
        <f ca="1">IFERROR(__xludf.DUMMYFUNCTION("""COMPUTED_VALUE"""),"Yes")</f>
        <v>Yes</v>
      </c>
      <c r="H596" s="5" t="str">
        <f ca="1">IFERROR(__xludf.DUMMYFUNCTION("""COMPUTED_VALUE"""),"Fatal")</f>
        <v>Fatal</v>
      </c>
    </row>
    <row r="597" spans="1:8">
      <c r="A597" s="5" t="str">
        <f ca="1">IFERROR(__xludf.DUMMYFUNCTION("""COMPUTED_VALUE"""),"20200527OHLUC")</f>
        <v>20200527OHLUC</v>
      </c>
      <c r="B597" s="5" t="str">
        <f ca="1">IFERROR(__xludf.DUMMYFUNCTION("""COMPUTED_VALUE"""),"Adult")</f>
        <v>Adult</v>
      </c>
      <c r="C597" s="5" t="str">
        <f ca="1">IFERROR(__xludf.DUMMYFUNCTION("""COMPUTED_VALUE"""),"Male")</f>
        <v>Male</v>
      </c>
      <c r="D597" s="5"/>
      <c r="E597" s="5" t="str">
        <f ca="1">IFERROR(__xludf.DUMMYFUNCTION("""COMPUTED_VALUE"""),"No Relation")</f>
        <v>No Relation</v>
      </c>
      <c r="F597" s="5" t="str">
        <f ca="1">IFERROR(__xludf.DUMMYFUNCTION("""COMPUTED_VALUE"""),"Surrendered")</f>
        <v>Surrendered</v>
      </c>
      <c r="G597" s="5" t="str">
        <f ca="1">IFERROR(__xludf.DUMMYFUNCTION("""COMPUTED_VALUE"""),"No")</f>
        <v>No</v>
      </c>
      <c r="H597" s="5" t="str">
        <f ca="1">IFERROR(__xludf.DUMMYFUNCTION("""COMPUTED_VALUE"""),"Wounded")</f>
        <v>Wounded</v>
      </c>
    </row>
    <row r="598" spans="1:8">
      <c r="A598" s="5" t="str">
        <f ca="1">IFERROR(__xludf.DUMMYFUNCTION("""COMPUTED_VALUE"""),"20200525ALORM")</f>
        <v>20200525ALORM</v>
      </c>
      <c r="B598" s="5"/>
      <c r="C598" s="5" t="str">
        <f ca="1">IFERROR(__xludf.DUMMYFUNCTION("""COMPUTED_VALUE"""),"Male")</f>
        <v>Male</v>
      </c>
      <c r="D598" s="5"/>
      <c r="E598" s="5" t="str">
        <f ca="1">IFERROR(__xludf.DUMMYFUNCTION("""COMPUTED_VALUE"""),"No Relation")</f>
        <v>No Relation</v>
      </c>
      <c r="F598" s="5" t="str">
        <f ca="1">IFERROR(__xludf.DUMMYFUNCTION("""COMPUTED_VALUE"""),"Fled/Escaped")</f>
        <v>Fled/Escaped</v>
      </c>
      <c r="G598" s="5" t="str">
        <f ca="1">IFERROR(__xludf.DUMMYFUNCTION("""COMPUTED_VALUE"""),"No")</f>
        <v>No</v>
      </c>
      <c r="H598" s="5" t="str">
        <f ca="1">IFERROR(__xludf.DUMMYFUNCTION("""COMPUTED_VALUE"""),"None")</f>
        <v>None</v>
      </c>
    </row>
    <row r="599" spans="1:8">
      <c r="A599" s="5" t="str">
        <f ca="1">IFERROR(__xludf.DUMMYFUNCTION("""COMPUTED_VALUE"""),"20200522OHMIC")</f>
        <v>20200522OHMIC</v>
      </c>
      <c r="B599" s="5"/>
      <c r="C599" s="5"/>
      <c r="D599" s="5"/>
      <c r="E599" s="5" t="str">
        <f ca="1">IFERROR(__xludf.DUMMYFUNCTION("""COMPUTED_VALUE"""),"Unknown")</f>
        <v>Unknown</v>
      </c>
      <c r="F599" s="5" t="str">
        <f ca="1">IFERROR(__xludf.DUMMYFUNCTION("""COMPUTED_VALUE"""),"Fled/Escaped")</f>
        <v>Fled/Escaped</v>
      </c>
      <c r="G599" s="5" t="str">
        <f ca="1">IFERROR(__xludf.DUMMYFUNCTION("""COMPUTED_VALUE"""),"No")</f>
        <v>No</v>
      </c>
      <c r="H599" s="5" t="str">
        <f ca="1">IFERROR(__xludf.DUMMYFUNCTION("""COMPUTED_VALUE"""),"None")</f>
        <v>None</v>
      </c>
    </row>
    <row r="600" spans="1:8">
      <c r="A600" s="5" t="str">
        <f ca="1">IFERROR(__xludf.DUMMYFUNCTION("""COMPUTED_VALUE"""),"20200519VAWEM")</f>
        <v>20200519VAWEM</v>
      </c>
      <c r="B600" s="5">
        <f ca="1">IFERROR(__xludf.DUMMYFUNCTION("""COMPUTED_VALUE"""),18)</f>
        <v>18</v>
      </c>
      <c r="C600" s="5" t="str">
        <f ca="1">IFERROR(__xludf.DUMMYFUNCTION("""COMPUTED_VALUE"""),"Male")</f>
        <v>Male</v>
      </c>
      <c r="D600" s="5"/>
      <c r="E600" s="5" t="str">
        <f ca="1">IFERROR(__xludf.DUMMYFUNCTION("""COMPUTED_VALUE"""),"No Relation")</f>
        <v>No Relation</v>
      </c>
      <c r="F600" s="5" t="str">
        <f ca="1">IFERROR(__xludf.DUMMYFUNCTION("""COMPUTED_VALUE"""),"Fled/Apprehended")</f>
        <v>Fled/Apprehended</v>
      </c>
      <c r="G600" s="5" t="str">
        <f ca="1">IFERROR(__xludf.DUMMYFUNCTION("""COMPUTED_VALUE"""),"No")</f>
        <v>No</v>
      </c>
      <c r="H600" s="5" t="str">
        <f ca="1">IFERROR(__xludf.DUMMYFUNCTION("""COMPUTED_VALUE"""),"None")</f>
        <v>None</v>
      </c>
    </row>
    <row r="601" spans="1:8">
      <c r="A601" s="5" t="str">
        <f ca="1">IFERROR(__xludf.DUMMYFUNCTION("""COMPUTED_VALUE"""),"20200515NCSTC")</f>
        <v>20200515NCSTC</v>
      </c>
      <c r="B601" s="5" t="str">
        <f ca="1">IFERROR(__xludf.DUMMYFUNCTION("""COMPUTED_VALUE"""),"Adult")</f>
        <v>Adult</v>
      </c>
      <c r="C601" s="5" t="str">
        <f ca="1">IFERROR(__xludf.DUMMYFUNCTION("""COMPUTED_VALUE"""),"Male")</f>
        <v>Male</v>
      </c>
      <c r="D601" s="5" t="str">
        <f ca="1">IFERROR(__xludf.DUMMYFUNCTION("""COMPUTED_VALUE"""),"White")</f>
        <v>White</v>
      </c>
      <c r="E601" s="5" t="str">
        <f ca="1">IFERROR(__xludf.DUMMYFUNCTION("""COMPUTED_VALUE"""),"No Relation")</f>
        <v>No Relation</v>
      </c>
      <c r="F601" s="5" t="str">
        <f ca="1">IFERROR(__xludf.DUMMYFUNCTION("""COMPUTED_VALUE"""),"Fled/Apprehended")</f>
        <v>Fled/Apprehended</v>
      </c>
      <c r="G601" s="5" t="str">
        <f ca="1">IFERROR(__xludf.DUMMYFUNCTION("""COMPUTED_VALUE"""),"No")</f>
        <v>No</v>
      </c>
      <c r="H601" s="5" t="str">
        <f ca="1">IFERROR(__xludf.DUMMYFUNCTION("""COMPUTED_VALUE"""),"None")</f>
        <v>None</v>
      </c>
    </row>
    <row r="602" spans="1:8">
      <c r="A602" s="5" t="str">
        <f ca="1">IFERROR(__xludf.DUMMYFUNCTION("""COMPUTED_VALUE"""),"20200505CAGOV")</f>
        <v>20200505CAGOV</v>
      </c>
      <c r="B602" s="5"/>
      <c r="C602" s="5"/>
      <c r="D602" s="5"/>
      <c r="E602" s="5" t="str">
        <f ca="1">IFERROR(__xludf.DUMMYFUNCTION("""COMPUTED_VALUE"""),"Unknown")</f>
        <v>Unknown</v>
      </c>
      <c r="F602" s="5" t="str">
        <f ca="1">IFERROR(__xludf.DUMMYFUNCTION("""COMPUTED_VALUE"""),"Fled/Escaped")</f>
        <v>Fled/Escaped</v>
      </c>
      <c r="G602" s="5" t="str">
        <f ca="1">IFERROR(__xludf.DUMMYFUNCTION("""COMPUTED_VALUE"""),"No")</f>
        <v>No</v>
      </c>
      <c r="H602" s="5" t="str">
        <f ca="1">IFERROR(__xludf.DUMMYFUNCTION("""COMPUTED_VALUE"""),"None")</f>
        <v>None</v>
      </c>
    </row>
    <row r="603" spans="1:8">
      <c r="A603" s="5" t="str">
        <f ca="1">IFERROR(__xludf.DUMMYFUNCTION("""COMPUTED_VALUE"""),"20200419NCABR")</f>
        <v>20200419NCABR</v>
      </c>
      <c r="B603" s="5">
        <f ca="1">IFERROR(__xludf.DUMMYFUNCTION("""COMPUTED_VALUE"""),24)</f>
        <v>24</v>
      </c>
      <c r="C603" s="5" t="str">
        <f ca="1">IFERROR(__xludf.DUMMYFUNCTION("""COMPUTED_VALUE"""),"Male")</f>
        <v>Male</v>
      </c>
      <c r="D603" s="5"/>
      <c r="E603" s="5" t="str">
        <f ca="1">IFERROR(__xludf.DUMMYFUNCTION("""COMPUTED_VALUE"""),"No Relation")</f>
        <v>No Relation</v>
      </c>
      <c r="F603" s="5" t="str">
        <f ca="1">IFERROR(__xludf.DUMMYFUNCTION("""COMPUTED_VALUE"""),"Fled/Apprehended")</f>
        <v>Fled/Apprehended</v>
      </c>
      <c r="G603" s="5" t="str">
        <f ca="1">IFERROR(__xludf.DUMMYFUNCTION("""COMPUTED_VALUE"""),"No")</f>
        <v>No</v>
      </c>
      <c r="H603" s="5" t="str">
        <f ca="1">IFERROR(__xludf.DUMMYFUNCTION("""COMPUTED_VALUE"""),"None")</f>
        <v>None</v>
      </c>
    </row>
    <row r="604" spans="1:8">
      <c r="A604" s="5" t="str">
        <f ca="1">IFERROR(__xludf.DUMMYFUNCTION("""COMPUTED_VALUE"""),"20200413NEMOO")</f>
        <v>20200413NEMOO</v>
      </c>
      <c r="B604" s="5"/>
      <c r="C604" s="5" t="str">
        <f ca="1">IFERROR(__xludf.DUMMYFUNCTION("""COMPUTED_VALUE"""),"Male")</f>
        <v>Male</v>
      </c>
      <c r="D604" s="5"/>
      <c r="E604" s="5" t="str">
        <f ca="1">IFERROR(__xludf.DUMMYFUNCTION("""COMPUTED_VALUE"""),"No Relation")</f>
        <v>No Relation</v>
      </c>
      <c r="F604" s="5" t="str">
        <f ca="1">IFERROR(__xludf.DUMMYFUNCTION("""COMPUTED_VALUE"""),"Fled/Escaped")</f>
        <v>Fled/Escaped</v>
      </c>
      <c r="G604" s="5" t="str">
        <f ca="1">IFERROR(__xludf.DUMMYFUNCTION("""COMPUTED_VALUE"""),"No")</f>
        <v>No</v>
      </c>
      <c r="H604" s="5" t="str">
        <f ca="1">IFERROR(__xludf.DUMMYFUNCTION("""COMPUTED_VALUE"""),"None")</f>
        <v>None</v>
      </c>
    </row>
    <row r="605" spans="1:8">
      <c r="A605" s="5" t="str">
        <f ca="1">IFERROR(__xludf.DUMMYFUNCTION("""COMPUTED_VALUE"""),"20200330GANAS")</f>
        <v>20200330GANAS</v>
      </c>
      <c r="B605" s="5"/>
      <c r="C605" s="5"/>
      <c r="D605" s="5"/>
      <c r="E605" s="5" t="str">
        <f ca="1">IFERROR(__xludf.DUMMYFUNCTION("""COMPUTED_VALUE"""),"No Relation")</f>
        <v>No Relation</v>
      </c>
      <c r="F605" s="5" t="str">
        <f ca="1">IFERROR(__xludf.DUMMYFUNCTION("""COMPUTED_VALUE"""),"Fled/Apprehended")</f>
        <v>Fled/Apprehended</v>
      </c>
      <c r="G605" s="5" t="str">
        <f ca="1">IFERROR(__xludf.DUMMYFUNCTION("""COMPUTED_VALUE"""),"No")</f>
        <v>No</v>
      </c>
      <c r="H605" s="5" t="str">
        <f ca="1">IFERROR(__xludf.DUMMYFUNCTION("""COMPUTED_VALUE"""),"None")</f>
        <v>None</v>
      </c>
    </row>
    <row r="606" spans="1:8">
      <c r="A606" s="5" t="str">
        <f ca="1">IFERROR(__xludf.DUMMYFUNCTION("""COMPUTED_VALUE"""),"20200330GANAS")</f>
        <v>20200330GANAS</v>
      </c>
      <c r="B606" s="5"/>
      <c r="C606" s="5"/>
      <c r="D606" s="5"/>
      <c r="E606" s="5" t="str">
        <f ca="1">IFERROR(__xludf.DUMMYFUNCTION("""COMPUTED_VALUE"""),"No Relation")</f>
        <v>No Relation</v>
      </c>
      <c r="F606" s="5" t="str">
        <f ca="1">IFERROR(__xludf.DUMMYFUNCTION("""COMPUTED_VALUE"""),"Fled/Apprehended")</f>
        <v>Fled/Apprehended</v>
      </c>
      <c r="G606" s="5" t="str">
        <f ca="1">IFERROR(__xludf.DUMMYFUNCTION("""COMPUTED_VALUE"""),"No")</f>
        <v>No</v>
      </c>
      <c r="H606" s="5" t="str">
        <f ca="1">IFERROR(__xludf.DUMMYFUNCTION("""COMPUTED_VALUE"""),"None")</f>
        <v>None</v>
      </c>
    </row>
    <row r="607" spans="1:8">
      <c r="A607" s="5" t="str">
        <f ca="1">IFERROR(__xludf.DUMMYFUNCTION("""COMPUTED_VALUE"""),"20200324LAROM")</f>
        <v>20200324LAROM</v>
      </c>
      <c r="B607" s="5" t="str">
        <f ca="1">IFERROR(__xludf.DUMMYFUNCTION("""COMPUTED_VALUE"""),"Adult")</f>
        <v>Adult</v>
      </c>
      <c r="C607" s="5" t="str">
        <f ca="1">IFERROR(__xludf.DUMMYFUNCTION("""COMPUTED_VALUE"""),"Male")</f>
        <v>Male</v>
      </c>
      <c r="D607" s="5"/>
      <c r="E607" s="5" t="str">
        <f ca="1">IFERROR(__xludf.DUMMYFUNCTION("""COMPUTED_VALUE"""),"No Relation")</f>
        <v>No Relation</v>
      </c>
      <c r="F607" s="5" t="str">
        <f ca="1">IFERROR(__xludf.DUMMYFUNCTION("""COMPUTED_VALUE"""),"Fled/Apprehended")</f>
        <v>Fled/Apprehended</v>
      </c>
      <c r="G607" s="5" t="str">
        <f ca="1">IFERROR(__xludf.DUMMYFUNCTION("""COMPUTED_VALUE"""),"No")</f>
        <v>No</v>
      </c>
      <c r="H607" s="5" t="str">
        <f ca="1">IFERROR(__xludf.DUMMYFUNCTION("""COMPUTED_VALUE"""),"None")</f>
        <v>None</v>
      </c>
    </row>
    <row r="608" spans="1:8">
      <c r="A608" s="5" t="str">
        <f ca="1">IFERROR(__xludf.DUMMYFUNCTION("""COMPUTED_VALUE"""),"20200324LAROM")</f>
        <v>20200324LAROM</v>
      </c>
      <c r="B608" s="5">
        <f ca="1">IFERROR(__xludf.DUMMYFUNCTION("""COMPUTED_VALUE"""),26)</f>
        <v>26</v>
      </c>
      <c r="C608" s="5" t="str">
        <f ca="1">IFERROR(__xludf.DUMMYFUNCTION("""COMPUTED_VALUE"""),"Male")</f>
        <v>Male</v>
      </c>
      <c r="D608" s="5"/>
      <c r="E608" s="5" t="str">
        <f ca="1">IFERROR(__xludf.DUMMYFUNCTION("""COMPUTED_VALUE"""),"No Relation")</f>
        <v>No Relation</v>
      </c>
      <c r="F608" s="5" t="str">
        <f ca="1">IFERROR(__xludf.DUMMYFUNCTION("""COMPUTED_VALUE"""),"Fled/Apprehended")</f>
        <v>Fled/Apprehended</v>
      </c>
      <c r="G608" s="5" t="str">
        <f ca="1">IFERROR(__xludf.DUMMYFUNCTION("""COMPUTED_VALUE"""),"No")</f>
        <v>No</v>
      </c>
      <c r="H608" s="5" t="str">
        <f ca="1">IFERROR(__xludf.DUMMYFUNCTION("""COMPUTED_VALUE"""),"None")</f>
        <v>None</v>
      </c>
    </row>
    <row r="609" spans="1:8">
      <c r="A609" s="5" t="str">
        <f ca="1">IFERROR(__xludf.DUMMYFUNCTION("""COMPUTED_VALUE"""),"20200324LAROM")</f>
        <v>20200324LAROM</v>
      </c>
      <c r="B609" s="5" t="str">
        <f ca="1">IFERROR(__xludf.DUMMYFUNCTION("""COMPUTED_VALUE"""),"Adult")</f>
        <v>Adult</v>
      </c>
      <c r="C609" s="5" t="str">
        <f ca="1">IFERROR(__xludf.DUMMYFUNCTION("""COMPUTED_VALUE"""),"Male")</f>
        <v>Male</v>
      </c>
      <c r="D609" s="5"/>
      <c r="E609" s="5" t="str">
        <f ca="1">IFERROR(__xludf.DUMMYFUNCTION("""COMPUTED_VALUE"""),"No Relation")</f>
        <v>No Relation</v>
      </c>
      <c r="F609" s="5" t="str">
        <f ca="1">IFERROR(__xludf.DUMMYFUNCTION("""COMPUTED_VALUE"""),"Fled/Apprehended")</f>
        <v>Fled/Apprehended</v>
      </c>
      <c r="G609" s="5" t="str">
        <f ca="1">IFERROR(__xludf.DUMMYFUNCTION("""COMPUTED_VALUE"""),"No")</f>
        <v>No</v>
      </c>
      <c r="H609" s="5" t="str">
        <f ca="1">IFERROR(__xludf.DUMMYFUNCTION("""COMPUTED_VALUE"""),"None")</f>
        <v>None</v>
      </c>
    </row>
    <row r="610" spans="1:8">
      <c r="A610" s="5" t="str">
        <f ca="1">IFERROR(__xludf.DUMMYFUNCTION("""COMPUTED_VALUE"""),"20200318LABOS")</f>
        <v>20200318LABOS</v>
      </c>
      <c r="B610" s="5" t="str">
        <f ca="1">IFERROR(__xludf.DUMMYFUNCTION("""COMPUTED_VALUE"""),"Teen")</f>
        <v>Teen</v>
      </c>
      <c r="C610" s="5" t="str">
        <f ca="1">IFERROR(__xludf.DUMMYFUNCTION("""COMPUTED_VALUE"""),"Male")</f>
        <v>Male</v>
      </c>
      <c r="D610" s="5"/>
      <c r="E610" s="5" t="str">
        <f ca="1">IFERROR(__xludf.DUMMYFUNCTION("""COMPUTED_VALUE"""),"Unknown")</f>
        <v>Unknown</v>
      </c>
      <c r="F610" s="5" t="str">
        <f ca="1">IFERROR(__xludf.DUMMYFUNCTION("""COMPUTED_VALUE"""),"Fled/Escaped")</f>
        <v>Fled/Escaped</v>
      </c>
      <c r="G610" s="5" t="str">
        <f ca="1">IFERROR(__xludf.DUMMYFUNCTION("""COMPUTED_VALUE"""),"No")</f>
        <v>No</v>
      </c>
      <c r="H610" s="5" t="str">
        <f ca="1">IFERROR(__xludf.DUMMYFUNCTION("""COMPUTED_VALUE"""),"None")</f>
        <v>None</v>
      </c>
    </row>
    <row r="611" spans="1:8">
      <c r="A611" s="5" t="str">
        <f ca="1">IFERROR(__xludf.DUMMYFUNCTION("""COMPUTED_VALUE"""),"20200315TXATH")</f>
        <v>20200315TXATH</v>
      </c>
      <c r="B611" s="5">
        <f ca="1">IFERROR(__xludf.DUMMYFUNCTION("""COMPUTED_VALUE"""),20)</f>
        <v>20</v>
      </c>
      <c r="C611" s="5" t="str">
        <f ca="1">IFERROR(__xludf.DUMMYFUNCTION("""COMPUTED_VALUE"""),"Male")</f>
        <v>Male</v>
      </c>
      <c r="D611" s="5" t="str">
        <f ca="1">IFERROR(__xludf.DUMMYFUNCTION("""COMPUTED_VALUE"""),"Black")</f>
        <v>Black</v>
      </c>
      <c r="E611" s="5" t="str">
        <f ca="1">IFERROR(__xludf.DUMMYFUNCTION("""COMPUTED_VALUE"""),"Former Student")</f>
        <v>Former Student</v>
      </c>
      <c r="F611" s="5" t="str">
        <f ca="1">IFERROR(__xludf.DUMMYFUNCTION("""COMPUTED_VALUE"""),"Fled/Apprehended")</f>
        <v>Fled/Apprehended</v>
      </c>
      <c r="G611" s="5" t="str">
        <f ca="1">IFERROR(__xludf.DUMMYFUNCTION("""COMPUTED_VALUE"""),"No")</f>
        <v>No</v>
      </c>
      <c r="H611" s="5" t="str">
        <f ca="1">IFERROR(__xludf.DUMMYFUNCTION("""COMPUTED_VALUE"""),"None")</f>
        <v>None</v>
      </c>
    </row>
    <row r="612" spans="1:8">
      <c r="A612" s="5" t="str">
        <f ca="1">IFERROR(__xludf.DUMMYFUNCTION("""COMPUTED_VALUE"""),"20200313TNPIR")</f>
        <v>20200313TNPIR</v>
      </c>
      <c r="B612" s="5" t="str">
        <f ca="1">IFERROR(__xludf.DUMMYFUNCTION("""COMPUTED_VALUE"""),"Adult")</f>
        <v>Adult</v>
      </c>
      <c r="C612" s="5" t="str">
        <f ca="1">IFERROR(__xludf.DUMMYFUNCTION("""COMPUTED_VALUE"""),"Male")</f>
        <v>Male</v>
      </c>
      <c r="D612" s="5"/>
      <c r="E612" s="5" t="str">
        <f ca="1">IFERROR(__xludf.DUMMYFUNCTION("""COMPUTED_VALUE"""),"Police Officer/SRO")</f>
        <v>Police Officer/SRO</v>
      </c>
      <c r="F612" s="5" t="str">
        <f ca="1">IFERROR(__xludf.DUMMYFUNCTION("""COMPUTED_VALUE"""),"Law Enforcement")</f>
        <v>Law Enforcement</v>
      </c>
      <c r="G612" s="5" t="str">
        <f ca="1">IFERROR(__xludf.DUMMYFUNCTION("""COMPUTED_VALUE"""),"No")</f>
        <v>No</v>
      </c>
      <c r="H612" s="5" t="str">
        <f ca="1">IFERROR(__xludf.DUMMYFUNCTION("""COMPUTED_VALUE"""),"None")</f>
        <v>None</v>
      </c>
    </row>
    <row r="613" spans="1:8">
      <c r="A613" s="5" t="str">
        <f ca="1">IFERROR(__xludf.DUMMYFUNCTION("""COMPUTED_VALUE"""),"20200310PASHN")</f>
        <v>20200310PASHN</v>
      </c>
      <c r="B613" s="5">
        <f ca="1">IFERROR(__xludf.DUMMYFUNCTION("""COMPUTED_VALUE"""),41)</f>
        <v>41</v>
      </c>
      <c r="C613" s="5" t="str">
        <f ca="1">IFERROR(__xludf.DUMMYFUNCTION("""COMPUTED_VALUE"""),"Male")</f>
        <v>Male</v>
      </c>
      <c r="D613" s="5"/>
      <c r="E613" s="5" t="str">
        <f ca="1">IFERROR(__xludf.DUMMYFUNCTION("""COMPUTED_VALUE"""),"Unknown")</f>
        <v>Unknown</v>
      </c>
      <c r="F613" s="5" t="str">
        <f ca="1">IFERROR(__xludf.DUMMYFUNCTION("""COMPUTED_VALUE"""),"Fled/Apprehended")</f>
        <v>Fled/Apprehended</v>
      </c>
      <c r="G613" s="5" t="str">
        <f ca="1">IFERROR(__xludf.DUMMYFUNCTION("""COMPUTED_VALUE"""),"No")</f>
        <v>No</v>
      </c>
      <c r="H613" s="5" t="str">
        <f ca="1">IFERROR(__xludf.DUMMYFUNCTION("""COMPUTED_VALUE"""),"None")</f>
        <v>None</v>
      </c>
    </row>
    <row r="614" spans="1:8">
      <c r="A614" s="5" t="str">
        <f ca="1">IFERROR(__xludf.DUMMYFUNCTION("""COMPUTED_VALUE"""),"20200305FLSAW")</f>
        <v>20200305FLSAW</v>
      </c>
      <c r="B614" s="5">
        <f ca="1">IFERROR(__xludf.DUMMYFUNCTION("""COMPUTED_VALUE"""),55)</f>
        <v>55</v>
      </c>
      <c r="C614" s="5" t="str">
        <f ca="1">IFERROR(__xludf.DUMMYFUNCTION("""COMPUTED_VALUE"""),"Male")</f>
        <v>Male</v>
      </c>
      <c r="D614" s="5" t="str">
        <f ca="1">IFERROR(__xludf.DUMMYFUNCTION("""COMPUTED_VALUE"""),"Hispanic")</f>
        <v>Hispanic</v>
      </c>
      <c r="E614" s="5" t="str">
        <f ca="1">IFERROR(__xludf.DUMMYFUNCTION("""COMPUTED_VALUE"""),"Security Guard")</f>
        <v>Security Guard</v>
      </c>
      <c r="F614" s="5" t="str">
        <f ca="1">IFERROR(__xludf.DUMMYFUNCTION("""COMPUTED_VALUE"""),"Fled/Apprehended")</f>
        <v>Fled/Apprehended</v>
      </c>
      <c r="G614" s="5" t="str">
        <f ca="1">IFERROR(__xludf.DUMMYFUNCTION("""COMPUTED_VALUE"""),"No")</f>
        <v>No</v>
      </c>
      <c r="H614" s="5" t="str">
        <f ca="1">IFERROR(__xludf.DUMMYFUNCTION("""COMPUTED_VALUE"""),"None")</f>
        <v>None</v>
      </c>
    </row>
    <row r="615" spans="1:8">
      <c r="A615" s="5" t="str">
        <f ca="1">IFERROR(__xludf.DUMMYFUNCTION("""COMPUTED_VALUE"""),"20200302TXNOF")</f>
        <v>20200302TXNOF</v>
      </c>
      <c r="B615" s="5" t="str">
        <f ca="1">IFERROR(__xludf.DUMMYFUNCTION("""COMPUTED_VALUE"""),"Teen")</f>
        <v>Teen</v>
      </c>
      <c r="C615" s="5" t="str">
        <f ca="1">IFERROR(__xludf.DUMMYFUNCTION("""COMPUTED_VALUE"""),"Male")</f>
        <v>Male</v>
      </c>
      <c r="D615" s="5"/>
      <c r="E615" s="5" t="str">
        <f ca="1">IFERROR(__xludf.DUMMYFUNCTION("""COMPUTED_VALUE"""),"Student")</f>
        <v>Student</v>
      </c>
      <c r="F615" s="5" t="str">
        <f ca="1">IFERROR(__xludf.DUMMYFUNCTION("""COMPUTED_VALUE"""),"Apprehended/Killed by LE")</f>
        <v>Apprehended/Killed by LE</v>
      </c>
      <c r="G615" s="5" t="str">
        <f ca="1">IFERROR(__xludf.DUMMYFUNCTION("""COMPUTED_VALUE"""),"No")</f>
        <v>No</v>
      </c>
      <c r="H615" s="5" t="str">
        <f ca="1">IFERROR(__xludf.DUMMYFUNCTION("""COMPUTED_VALUE"""),"None")</f>
        <v>None</v>
      </c>
    </row>
    <row r="616" spans="1:8">
      <c r="A616" s="5" t="str">
        <f ca="1">IFERROR(__xludf.DUMMYFUNCTION("""COMPUTED_VALUE"""),"20200221NMCEA")</f>
        <v>20200221NMCEA</v>
      </c>
      <c r="B616" s="5"/>
      <c r="C616" s="5"/>
      <c r="D616" s="5"/>
      <c r="E616" s="5" t="str">
        <f ca="1">IFERROR(__xludf.DUMMYFUNCTION("""COMPUTED_VALUE"""),"Unknown")</f>
        <v>Unknown</v>
      </c>
      <c r="F616" s="5" t="str">
        <f ca="1">IFERROR(__xludf.DUMMYFUNCTION("""COMPUTED_VALUE"""),"Fled/Escaped")</f>
        <v>Fled/Escaped</v>
      </c>
      <c r="G616" s="5" t="str">
        <f ca="1">IFERROR(__xludf.DUMMYFUNCTION("""COMPUTED_VALUE"""),"No")</f>
        <v>No</v>
      </c>
      <c r="H616" s="5" t="str">
        <f ca="1">IFERROR(__xludf.DUMMYFUNCTION("""COMPUTED_VALUE"""),"None")</f>
        <v>None</v>
      </c>
    </row>
    <row r="617" spans="1:8">
      <c r="A617" s="5" t="str">
        <f ca="1">IFERROR(__xludf.DUMMYFUNCTION("""COMPUTED_VALUE"""),"20200215DCDUW")</f>
        <v>20200215DCDUW</v>
      </c>
      <c r="B617" s="5"/>
      <c r="C617" s="5"/>
      <c r="D617" s="5"/>
      <c r="E617" s="5" t="str">
        <f ca="1">IFERROR(__xludf.DUMMYFUNCTION("""COMPUTED_VALUE"""),"Unknown")</f>
        <v>Unknown</v>
      </c>
      <c r="F617" s="5" t="str">
        <f ca="1">IFERROR(__xludf.DUMMYFUNCTION("""COMPUTED_VALUE"""),"Fled/Escaped")</f>
        <v>Fled/Escaped</v>
      </c>
      <c r="G617" s="5" t="str">
        <f ca="1">IFERROR(__xludf.DUMMYFUNCTION("""COMPUTED_VALUE"""),"No")</f>
        <v>No</v>
      </c>
      <c r="H617" s="5" t="str">
        <f ca="1">IFERROR(__xludf.DUMMYFUNCTION("""COMPUTED_VALUE"""),"None")</f>
        <v>None</v>
      </c>
    </row>
    <row r="618" spans="1:8">
      <c r="A618" s="5" t="str">
        <f ca="1">IFERROR(__xludf.DUMMYFUNCTION("""COMPUTED_VALUE"""),"20200212MOJOF")</f>
        <v>20200212MOJOF</v>
      </c>
      <c r="B618" s="5" t="str">
        <f ca="1">IFERROR(__xludf.DUMMYFUNCTION("""COMPUTED_VALUE"""),"Adult")</f>
        <v>Adult</v>
      </c>
      <c r="C618" s="5" t="str">
        <f ca="1">IFERROR(__xludf.DUMMYFUNCTION("""COMPUTED_VALUE"""),"Male")</f>
        <v>Male</v>
      </c>
      <c r="D618" s="5"/>
      <c r="E618" s="5" t="str">
        <f ca="1">IFERROR(__xludf.DUMMYFUNCTION("""COMPUTED_VALUE"""),"Parent")</f>
        <v>Parent</v>
      </c>
      <c r="F618" s="5" t="str">
        <f ca="1">IFERROR(__xludf.DUMMYFUNCTION("""COMPUTED_VALUE"""),"Fled/Escaped")</f>
        <v>Fled/Escaped</v>
      </c>
      <c r="G618" s="5" t="str">
        <f ca="1">IFERROR(__xludf.DUMMYFUNCTION("""COMPUTED_VALUE"""),"No")</f>
        <v>No</v>
      </c>
      <c r="H618" s="5" t="str">
        <f ca="1">IFERROR(__xludf.DUMMYFUNCTION("""COMPUTED_VALUE"""),"None")</f>
        <v>None</v>
      </c>
    </row>
    <row r="619" spans="1:8">
      <c r="A619" s="5" t="str">
        <f ca="1">IFERROR(__xludf.DUMMYFUNCTION("""COMPUTED_VALUE"""),"20200205NHSEC")</f>
        <v>20200205NHSEC</v>
      </c>
      <c r="B619" s="5">
        <f ca="1">IFERROR(__xludf.DUMMYFUNCTION("""COMPUTED_VALUE"""),17)</f>
        <v>17</v>
      </c>
      <c r="C619" s="5" t="str">
        <f ca="1">IFERROR(__xludf.DUMMYFUNCTION("""COMPUTED_VALUE"""),"Male")</f>
        <v>Male</v>
      </c>
      <c r="D619" s="5"/>
      <c r="E619" s="5" t="str">
        <f ca="1">IFERROR(__xludf.DUMMYFUNCTION("""COMPUTED_VALUE"""),"Student")</f>
        <v>Student</v>
      </c>
      <c r="F619" s="5" t="str">
        <f ca="1">IFERROR(__xludf.DUMMYFUNCTION("""COMPUTED_VALUE"""),"Suicide")</f>
        <v>Suicide</v>
      </c>
      <c r="G619" s="5" t="str">
        <f ca="1">IFERROR(__xludf.DUMMYFUNCTION("""COMPUTED_VALUE"""),"Yes")</f>
        <v>Yes</v>
      </c>
      <c r="H619" s="5" t="str">
        <f ca="1">IFERROR(__xludf.DUMMYFUNCTION("""COMPUTED_VALUE"""),"Suicide")</f>
        <v>Suicide</v>
      </c>
    </row>
    <row r="620" spans="1:8">
      <c r="A620" s="5" t="str">
        <f ca="1">IFERROR(__xludf.DUMMYFUNCTION("""COMPUTED_VALUE"""),"20200204LABEA")</f>
        <v>20200204LABEA</v>
      </c>
      <c r="B620" s="5">
        <f ca="1">IFERROR(__xludf.DUMMYFUNCTION("""COMPUTED_VALUE"""),17)</f>
        <v>17</v>
      </c>
      <c r="C620" s="5" t="str">
        <f ca="1">IFERROR(__xludf.DUMMYFUNCTION("""COMPUTED_VALUE"""),"Male")</f>
        <v>Male</v>
      </c>
      <c r="D620" s="5" t="str">
        <f ca="1">IFERROR(__xludf.DUMMYFUNCTION("""COMPUTED_VALUE"""),"Black")</f>
        <v>Black</v>
      </c>
      <c r="E620" s="5" t="str">
        <f ca="1">IFERROR(__xludf.DUMMYFUNCTION("""COMPUTED_VALUE"""),"Nonstudent Using Athletic Facilities/Attending Game")</f>
        <v>Nonstudent Using Athletic Facilities/Attending Game</v>
      </c>
      <c r="F620" s="5" t="str">
        <f ca="1">IFERROR(__xludf.DUMMYFUNCTION("""COMPUTED_VALUE"""),"Apprehended/Killed by SRO")</f>
        <v>Apprehended/Killed by SRO</v>
      </c>
      <c r="G620" s="5" t="str">
        <f ca="1">IFERROR(__xludf.DUMMYFUNCTION("""COMPUTED_VALUE"""),"No")</f>
        <v>No</v>
      </c>
      <c r="H620" s="5" t="str">
        <f ca="1">IFERROR(__xludf.DUMMYFUNCTION("""COMPUTED_VALUE"""),"None")</f>
        <v>None</v>
      </c>
    </row>
    <row r="621" spans="1:8">
      <c r="A621" s="5" t="str">
        <f ca="1">IFERROR(__xludf.DUMMYFUNCTION("""COMPUTED_VALUE"""),"20200203FLGEJ")</f>
        <v>20200203FLGEJ</v>
      </c>
      <c r="B621" s="5"/>
      <c r="C621" s="5"/>
      <c r="D621" s="5"/>
      <c r="E621" s="5" t="str">
        <f ca="1">IFERROR(__xludf.DUMMYFUNCTION("""COMPUTED_VALUE"""),"No Relation")</f>
        <v>No Relation</v>
      </c>
      <c r="F621" s="5" t="str">
        <f ca="1">IFERROR(__xludf.DUMMYFUNCTION("""COMPUTED_VALUE"""),"Fled/Escaped")</f>
        <v>Fled/Escaped</v>
      </c>
      <c r="G621" s="5" t="str">
        <f ca="1">IFERROR(__xludf.DUMMYFUNCTION("""COMPUTED_VALUE"""),"No")</f>
        <v>No</v>
      </c>
      <c r="H621" s="5" t="str">
        <f ca="1">IFERROR(__xludf.DUMMYFUNCTION("""COMPUTED_VALUE"""),"None")</f>
        <v>None</v>
      </c>
    </row>
    <row r="622" spans="1:8">
      <c r="A622" s="5" t="str">
        <f ca="1">IFERROR(__xludf.DUMMYFUNCTION("""COMPUTED_VALUE"""),"20200201TXHIH")</f>
        <v>20200201TXHIH</v>
      </c>
      <c r="B622" s="5" t="str">
        <f ca="1">IFERROR(__xludf.DUMMYFUNCTION("""COMPUTED_VALUE"""),"Adult")</f>
        <v>Adult</v>
      </c>
      <c r="C622" s="5" t="str">
        <f ca="1">IFERROR(__xludf.DUMMYFUNCTION("""COMPUTED_VALUE"""),"Male")</f>
        <v>Male</v>
      </c>
      <c r="D622" s="5"/>
      <c r="E622" s="5" t="str">
        <f ca="1">IFERROR(__xludf.DUMMYFUNCTION("""COMPUTED_VALUE"""),"No Relation")</f>
        <v>No Relation</v>
      </c>
      <c r="F622" s="5" t="str">
        <f ca="1">IFERROR(__xludf.DUMMYFUNCTION("""COMPUTED_VALUE"""),"Fled/Escaped")</f>
        <v>Fled/Escaped</v>
      </c>
      <c r="G622" s="5" t="str">
        <f ca="1">IFERROR(__xludf.DUMMYFUNCTION("""COMPUTED_VALUE"""),"No")</f>
        <v>No</v>
      </c>
      <c r="H622" s="5" t="str">
        <f ca="1">IFERROR(__xludf.DUMMYFUNCTION("""COMPUTED_VALUE"""),"None")</f>
        <v>None</v>
      </c>
    </row>
    <row r="623" spans="1:8">
      <c r="A623" s="5" t="str">
        <f ca="1">IFERROR(__xludf.DUMMYFUNCTION("""COMPUTED_VALUE"""),"20200131CADEA")</f>
        <v>20200131CADEA</v>
      </c>
      <c r="B623" s="5">
        <f ca="1">IFERROR(__xludf.DUMMYFUNCTION("""COMPUTED_VALUE"""),15)</f>
        <v>15</v>
      </c>
      <c r="C623" s="5" t="str">
        <f ca="1">IFERROR(__xludf.DUMMYFUNCTION("""COMPUTED_VALUE"""),"Male")</f>
        <v>Male</v>
      </c>
      <c r="D623" s="5"/>
      <c r="E623" s="5" t="str">
        <f ca="1">IFERROR(__xludf.DUMMYFUNCTION("""COMPUTED_VALUE"""),"Unknown")</f>
        <v>Unknown</v>
      </c>
      <c r="F623" s="5" t="str">
        <f ca="1">IFERROR(__xludf.DUMMYFUNCTION("""COMPUTED_VALUE"""),"Fled/Apprehended")</f>
        <v>Fled/Apprehended</v>
      </c>
      <c r="G623" s="5" t="str">
        <f ca="1">IFERROR(__xludf.DUMMYFUNCTION("""COMPUTED_VALUE"""),"No")</f>
        <v>No</v>
      </c>
      <c r="H623" s="5" t="str">
        <f ca="1">IFERROR(__xludf.DUMMYFUNCTION("""COMPUTED_VALUE"""),"None")</f>
        <v>None</v>
      </c>
    </row>
    <row r="624" spans="1:8">
      <c r="A624" s="5" t="str">
        <f ca="1">IFERROR(__xludf.DUMMYFUNCTION("""COMPUTED_VALUE"""),"20200128TXLUL")</f>
        <v>20200128TXLUL</v>
      </c>
      <c r="B624" s="5">
        <f ca="1">IFERROR(__xludf.DUMMYFUNCTION("""COMPUTED_VALUE"""),17)</f>
        <v>17</v>
      </c>
      <c r="C624" s="5" t="str">
        <f ca="1">IFERROR(__xludf.DUMMYFUNCTION("""COMPUTED_VALUE"""),"Male")</f>
        <v>Male</v>
      </c>
      <c r="D624" s="5" t="str">
        <f ca="1">IFERROR(__xludf.DUMMYFUNCTION("""COMPUTED_VALUE"""),"Black")</f>
        <v>Black</v>
      </c>
      <c r="E624" s="5" t="str">
        <f ca="1">IFERROR(__xludf.DUMMYFUNCTION("""COMPUTED_VALUE"""),"No Relation")</f>
        <v>No Relation</v>
      </c>
      <c r="F624" s="5" t="str">
        <f ca="1">IFERROR(__xludf.DUMMYFUNCTION("""COMPUTED_VALUE"""),"Fled/Apprehended")</f>
        <v>Fled/Apprehended</v>
      </c>
      <c r="G624" s="5" t="str">
        <f ca="1">IFERROR(__xludf.DUMMYFUNCTION("""COMPUTED_VALUE"""),"No")</f>
        <v>No</v>
      </c>
      <c r="H624" s="5" t="str">
        <f ca="1">IFERROR(__xludf.DUMMYFUNCTION("""COMPUTED_VALUE"""),"None")</f>
        <v>None</v>
      </c>
    </row>
    <row r="625" spans="1:8">
      <c r="A625" s="5" t="str">
        <f ca="1">IFERROR(__xludf.DUMMYFUNCTION("""COMPUTED_VALUE"""),"20200128TNWHM")</f>
        <v>20200128TNWHM</v>
      </c>
      <c r="B625" s="5">
        <f ca="1">IFERROR(__xludf.DUMMYFUNCTION("""COMPUTED_VALUE"""),18)</f>
        <v>18</v>
      </c>
      <c r="C625" s="5" t="str">
        <f ca="1">IFERROR(__xludf.DUMMYFUNCTION("""COMPUTED_VALUE"""),"Male")</f>
        <v>Male</v>
      </c>
      <c r="D625" s="5" t="str">
        <f ca="1">IFERROR(__xludf.DUMMYFUNCTION("""COMPUTED_VALUE"""),"Black")</f>
        <v>Black</v>
      </c>
      <c r="E625" s="5" t="str">
        <f ca="1">IFERROR(__xludf.DUMMYFUNCTION("""COMPUTED_VALUE"""),"Unknown")</f>
        <v>Unknown</v>
      </c>
      <c r="F625" s="5" t="str">
        <f ca="1">IFERROR(__xludf.DUMMYFUNCTION("""COMPUTED_VALUE"""),"Fled/Escaped")</f>
        <v>Fled/Escaped</v>
      </c>
      <c r="G625" s="5" t="str">
        <f ca="1">IFERROR(__xludf.DUMMYFUNCTION("""COMPUTED_VALUE"""),"No")</f>
        <v>No</v>
      </c>
      <c r="H625" s="5" t="str">
        <f ca="1">IFERROR(__xludf.DUMMYFUNCTION("""COMPUTED_VALUE"""),"None")</f>
        <v>None</v>
      </c>
    </row>
    <row r="626" spans="1:8">
      <c r="A626" s="5" t="str">
        <f ca="1">IFERROR(__xludf.DUMMYFUNCTION("""COMPUTED_VALUE"""),"20200128NYMAQ")</f>
        <v>20200128NYMAQ</v>
      </c>
      <c r="B626" s="5">
        <f ca="1">IFERROR(__xludf.DUMMYFUNCTION("""COMPUTED_VALUE"""),16)</f>
        <v>16</v>
      </c>
      <c r="C626" s="5" t="str">
        <f ca="1">IFERROR(__xludf.DUMMYFUNCTION("""COMPUTED_VALUE"""),"Male")</f>
        <v>Male</v>
      </c>
      <c r="D626" s="5"/>
      <c r="E626" s="5" t="str">
        <f ca="1">IFERROR(__xludf.DUMMYFUNCTION("""COMPUTED_VALUE"""),"Student")</f>
        <v>Student</v>
      </c>
      <c r="F626" s="5" t="str">
        <f ca="1">IFERROR(__xludf.DUMMYFUNCTION("""COMPUTED_VALUE"""),"Surrendered")</f>
        <v>Surrendered</v>
      </c>
      <c r="G626" s="5" t="str">
        <f ca="1">IFERROR(__xludf.DUMMYFUNCTION("""COMPUTED_VALUE"""),"No")</f>
        <v>No</v>
      </c>
      <c r="H626" s="5" t="str">
        <f ca="1">IFERROR(__xludf.DUMMYFUNCTION("""COMPUTED_VALUE"""),"Wounded")</f>
        <v>Wounded</v>
      </c>
    </row>
    <row r="627" spans="1:8">
      <c r="A627" s="5" t="str">
        <f ca="1">IFERROR(__xludf.DUMMYFUNCTION("""COMPUTED_VALUE"""),"20200127WAROY")</f>
        <v>20200127WAROY</v>
      </c>
      <c r="B627" s="5">
        <f ca="1">IFERROR(__xludf.DUMMYFUNCTION("""COMPUTED_VALUE"""),18)</f>
        <v>18</v>
      </c>
      <c r="C627" s="5" t="str">
        <f ca="1">IFERROR(__xludf.DUMMYFUNCTION("""COMPUTED_VALUE"""),"Male")</f>
        <v>Male</v>
      </c>
      <c r="D627" s="5" t="str">
        <f ca="1">IFERROR(__xludf.DUMMYFUNCTION("""COMPUTED_VALUE"""),"Hispanic")</f>
        <v>Hispanic</v>
      </c>
      <c r="E627" s="5" t="str">
        <f ca="1">IFERROR(__xludf.DUMMYFUNCTION("""COMPUTED_VALUE"""),"No Relation")</f>
        <v>No Relation</v>
      </c>
      <c r="F627" s="5" t="str">
        <f ca="1">IFERROR(__xludf.DUMMYFUNCTION("""COMPUTED_VALUE"""),"Fled/Apprehended")</f>
        <v>Fled/Apprehended</v>
      </c>
      <c r="G627" s="5" t="str">
        <f ca="1">IFERROR(__xludf.DUMMYFUNCTION("""COMPUTED_VALUE"""),"No")</f>
        <v>No</v>
      </c>
      <c r="H627" s="5" t="str">
        <f ca="1">IFERROR(__xludf.DUMMYFUNCTION("""COMPUTED_VALUE"""),"None")</f>
        <v>None</v>
      </c>
    </row>
    <row r="628" spans="1:8">
      <c r="A628" s="5" t="str">
        <f ca="1">IFERROR(__xludf.DUMMYFUNCTION("""COMPUTED_VALUE"""),"20200123CAOXO")</f>
        <v>20200123CAOXO</v>
      </c>
      <c r="B628" s="5"/>
      <c r="C628" s="5"/>
      <c r="D628" s="5"/>
      <c r="E628" s="5" t="str">
        <f ca="1">IFERROR(__xludf.DUMMYFUNCTION("""COMPUTED_VALUE"""),"No Relation")</f>
        <v>No Relation</v>
      </c>
      <c r="F628" s="5" t="str">
        <f ca="1">IFERROR(__xludf.DUMMYFUNCTION("""COMPUTED_VALUE"""),"Fled/Escaped")</f>
        <v>Fled/Escaped</v>
      </c>
      <c r="G628" s="5" t="str">
        <f ca="1">IFERROR(__xludf.DUMMYFUNCTION("""COMPUTED_VALUE"""),"No")</f>
        <v>No</v>
      </c>
      <c r="H628" s="5" t="str">
        <f ca="1">IFERROR(__xludf.DUMMYFUNCTION("""COMPUTED_VALUE"""),"None")</f>
        <v>None</v>
      </c>
    </row>
    <row r="629" spans="1:8">
      <c r="A629" s="5" t="str">
        <f ca="1">IFERROR(__xludf.DUMMYFUNCTION("""COMPUTED_VALUE"""),"20200121NEPAL")</f>
        <v>20200121NEPAL</v>
      </c>
      <c r="B629" s="5"/>
      <c r="C629" s="5"/>
      <c r="D629" s="5"/>
      <c r="E629" s="5" t="str">
        <f ca="1">IFERROR(__xludf.DUMMYFUNCTION("""COMPUTED_VALUE"""),"Unknown")</f>
        <v>Unknown</v>
      </c>
      <c r="F629" s="5" t="str">
        <f ca="1">IFERROR(__xludf.DUMMYFUNCTION("""COMPUTED_VALUE"""),"Fled/Escaped")</f>
        <v>Fled/Escaped</v>
      </c>
      <c r="G629" s="5" t="str">
        <f ca="1">IFERROR(__xludf.DUMMYFUNCTION("""COMPUTED_VALUE"""),"No")</f>
        <v>No</v>
      </c>
      <c r="H629" s="5" t="str">
        <f ca="1">IFERROR(__xludf.DUMMYFUNCTION("""COMPUTED_VALUE"""),"None")</f>
        <v>None</v>
      </c>
    </row>
    <row r="630" spans="1:8">
      <c r="A630" s="5" t="str">
        <f ca="1">IFERROR(__xludf.DUMMYFUNCTION("""COMPUTED_VALUE"""),"20200121ILLIC")</f>
        <v>20200121ILLIC</v>
      </c>
      <c r="B630" s="5"/>
      <c r="C630" s="5" t="str">
        <f ca="1">IFERROR(__xludf.DUMMYFUNCTION("""COMPUTED_VALUE"""),"Male")</f>
        <v>Male</v>
      </c>
      <c r="D630" s="5"/>
      <c r="E630" s="5" t="str">
        <f ca="1">IFERROR(__xludf.DUMMYFUNCTION("""COMPUTED_VALUE"""),"Unknown")</f>
        <v>Unknown</v>
      </c>
      <c r="F630" s="5" t="str">
        <f ca="1">IFERROR(__xludf.DUMMYFUNCTION("""COMPUTED_VALUE"""),"Fled/Escaped")</f>
        <v>Fled/Escaped</v>
      </c>
      <c r="G630" s="5" t="str">
        <f ca="1">IFERROR(__xludf.DUMMYFUNCTION("""COMPUTED_VALUE"""),"No")</f>
        <v>No</v>
      </c>
      <c r="H630" s="5" t="str">
        <f ca="1">IFERROR(__xludf.DUMMYFUNCTION("""COMPUTED_VALUE"""),"None")</f>
        <v>None</v>
      </c>
    </row>
    <row r="631" spans="1:8">
      <c r="A631" s="5" t="str">
        <f ca="1">IFERROR(__xludf.DUMMYFUNCTION("""COMPUTED_VALUE"""),"20200119TXNOF")</f>
        <v>20200119TXNOF</v>
      </c>
      <c r="B631" s="5" t="str">
        <f ca="1">IFERROR(__xludf.DUMMYFUNCTION("""COMPUTED_VALUE"""),"Adult")</f>
        <v>Adult</v>
      </c>
      <c r="C631" s="5" t="str">
        <f ca="1">IFERROR(__xludf.DUMMYFUNCTION("""COMPUTED_VALUE"""),"Male")</f>
        <v>Male</v>
      </c>
      <c r="D631" s="5"/>
      <c r="E631" s="5" t="str">
        <f ca="1">IFERROR(__xludf.DUMMYFUNCTION("""COMPUTED_VALUE"""),"No Relation")</f>
        <v>No Relation</v>
      </c>
      <c r="F631" s="5" t="str">
        <f ca="1">IFERROR(__xludf.DUMMYFUNCTION("""COMPUTED_VALUE"""),"Fled/Escaped")</f>
        <v>Fled/Escaped</v>
      </c>
      <c r="G631" s="5" t="str">
        <f ca="1">IFERROR(__xludf.DUMMYFUNCTION("""COMPUTED_VALUE"""),"No")</f>
        <v>No</v>
      </c>
      <c r="H631" s="5" t="str">
        <f ca="1">IFERROR(__xludf.DUMMYFUNCTION("""COMPUTED_VALUE"""),"None")</f>
        <v>None</v>
      </c>
    </row>
    <row r="632" spans="1:8">
      <c r="A632" s="5" t="str">
        <f ca="1">IFERROR(__xludf.DUMMYFUNCTION("""COMPUTED_VALUE"""),"20200119TXNOF")</f>
        <v>20200119TXNOF</v>
      </c>
      <c r="B632" s="5" t="str">
        <f ca="1">IFERROR(__xludf.DUMMYFUNCTION("""COMPUTED_VALUE"""),"Adult")</f>
        <v>Adult</v>
      </c>
      <c r="C632" s="5" t="str">
        <f ca="1">IFERROR(__xludf.DUMMYFUNCTION("""COMPUTED_VALUE"""),"Male")</f>
        <v>Male</v>
      </c>
      <c r="D632" s="5"/>
      <c r="E632" s="5" t="str">
        <f ca="1">IFERROR(__xludf.DUMMYFUNCTION("""COMPUTED_VALUE"""),"No Relation")</f>
        <v>No Relation</v>
      </c>
      <c r="F632" s="5" t="str">
        <f ca="1">IFERROR(__xludf.DUMMYFUNCTION("""COMPUTED_VALUE"""),"Fled/Escaped")</f>
        <v>Fled/Escaped</v>
      </c>
      <c r="G632" s="5" t="str">
        <f ca="1">IFERROR(__xludf.DUMMYFUNCTION("""COMPUTED_VALUE"""),"No")</f>
        <v>No</v>
      </c>
      <c r="H632" s="5" t="str">
        <f ca="1">IFERROR(__xludf.DUMMYFUNCTION("""COMPUTED_VALUE"""),"None")</f>
        <v>None</v>
      </c>
    </row>
    <row r="633" spans="1:8">
      <c r="A633" s="5" t="str">
        <f ca="1">IFERROR(__xludf.DUMMYFUNCTION("""COMPUTED_VALUE"""),"20200117SCCAS")</f>
        <v>20200117SCCAS</v>
      </c>
      <c r="B633" s="5">
        <f ca="1">IFERROR(__xludf.DUMMYFUNCTION("""COMPUTED_VALUE"""),16)</f>
        <v>16</v>
      </c>
      <c r="C633" s="5" t="str">
        <f ca="1">IFERROR(__xludf.DUMMYFUNCTION("""COMPUTED_VALUE"""),"Male")</f>
        <v>Male</v>
      </c>
      <c r="D633" s="5"/>
      <c r="E633" s="5" t="str">
        <f ca="1">IFERROR(__xludf.DUMMYFUNCTION("""COMPUTED_VALUE"""),"Student")</f>
        <v>Student</v>
      </c>
      <c r="F633" s="5" t="str">
        <f ca="1">IFERROR(__xludf.DUMMYFUNCTION("""COMPUTED_VALUE"""),"Suicide")</f>
        <v>Suicide</v>
      </c>
      <c r="G633" s="5" t="str">
        <f ca="1">IFERROR(__xludf.DUMMYFUNCTION("""COMPUTED_VALUE"""),"Yes")</f>
        <v>Yes</v>
      </c>
      <c r="H633" s="5" t="str">
        <f ca="1">IFERROR(__xludf.DUMMYFUNCTION("""COMPUTED_VALUE"""),"Suicide")</f>
        <v>Suicide</v>
      </c>
    </row>
    <row r="634" spans="1:8">
      <c r="A634" s="5" t="str">
        <f ca="1">IFERROR(__xludf.DUMMYFUNCTION("""COMPUTED_VALUE"""),"20200117MITHH")</f>
        <v>20200117MITHH</v>
      </c>
      <c r="B634" s="5">
        <f ca="1">IFERROR(__xludf.DUMMYFUNCTION("""COMPUTED_VALUE"""),25)</f>
        <v>25</v>
      </c>
      <c r="C634" s="5" t="str">
        <f ca="1">IFERROR(__xludf.DUMMYFUNCTION("""COMPUTED_VALUE"""),"Male")</f>
        <v>Male</v>
      </c>
      <c r="D634" s="5"/>
      <c r="E634" s="5" t="str">
        <f ca="1">IFERROR(__xludf.DUMMYFUNCTION("""COMPUTED_VALUE"""),"Parent")</f>
        <v>Parent</v>
      </c>
      <c r="F634" s="5" t="str">
        <f ca="1">IFERROR(__xludf.DUMMYFUNCTION("""COMPUTED_VALUE"""),"Surrendered")</f>
        <v>Surrendered</v>
      </c>
      <c r="G634" s="5" t="str">
        <f ca="1">IFERROR(__xludf.DUMMYFUNCTION("""COMPUTED_VALUE"""),"No")</f>
        <v>No</v>
      </c>
      <c r="H634" s="5" t="str">
        <f ca="1">IFERROR(__xludf.DUMMYFUNCTION("""COMPUTED_VALUE"""),"None")</f>
        <v>None</v>
      </c>
    </row>
    <row r="635" spans="1:8">
      <c r="A635" s="5" t="str">
        <f ca="1">IFERROR(__xludf.DUMMYFUNCTION("""COMPUTED_VALUE"""),"20200114TXPOM")</f>
        <v>20200114TXPOM</v>
      </c>
      <c r="B635" s="5">
        <f ca="1">IFERROR(__xludf.DUMMYFUNCTION("""COMPUTED_VALUE"""),17)</f>
        <v>17</v>
      </c>
      <c r="C635" s="5" t="str">
        <f ca="1">IFERROR(__xludf.DUMMYFUNCTION("""COMPUTED_VALUE"""),"Male")</f>
        <v>Male</v>
      </c>
      <c r="D635" s="5" t="str">
        <f ca="1">IFERROR(__xludf.DUMMYFUNCTION("""COMPUTED_VALUE"""),"Black")</f>
        <v>Black</v>
      </c>
      <c r="E635" s="5" t="str">
        <f ca="1">IFERROR(__xludf.DUMMYFUNCTION("""COMPUTED_VALUE"""),"Nonstudent Using Athletic Facilities/Attending Game")</f>
        <v>Nonstudent Using Athletic Facilities/Attending Game</v>
      </c>
      <c r="F635" s="5" t="str">
        <f ca="1">IFERROR(__xludf.DUMMYFUNCTION("""COMPUTED_VALUE"""),"Fled/Apprehended")</f>
        <v>Fled/Apprehended</v>
      </c>
      <c r="G635" s="5" t="str">
        <f ca="1">IFERROR(__xludf.DUMMYFUNCTION("""COMPUTED_VALUE"""),"No")</f>
        <v>No</v>
      </c>
      <c r="H635" s="5" t="str">
        <f ca="1">IFERROR(__xludf.DUMMYFUNCTION("""COMPUTED_VALUE"""),"None")</f>
        <v>None</v>
      </c>
    </row>
    <row r="636" spans="1:8">
      <c r="A636" s="5" t="str">
        <f ca="1">IFERROR(__xludf.DUMMYFUNCTION("""COMPUTED_VALUE"""),"20200114TXPOM")</f>
        <v>20200114TXPOM</v>
      </c>
      <c r="B636" s="5">
        <f ca="1">IFERROR(__xludf.DUMMYFUNCTION("""COMPUTED_VALUE"""),17)</f>
        <v>17</v>
      </c>
      <c r="C636" s="5" t="str">
        <f ca="1">IFERROR(__xludf.DUMMYFUNCTION("""COMPUTED_VALUE"""),"Male")</f>
        <v>Male</v>
      </c>
      <c r="D636" s="5" t="str">
        <f ca="1">IFERROR(__xludf.DUMMYFUNCTION("""COMPUTED_VALUE"""),"Black")</f>
        <v>Black</v>
      </c>
      <c r="E636" s="5" t="str">
        <f ca="1">IFERROR(__xludf.DUMMYFUNCTION("""COMPUTED_VALUE"""),"Nonstudent Using Athletic Facilities/Attending Game")</f>
        <v>Nonstudent Using Athletic Facilities/Attending Game</v>
      </c>
      <c r="F636" s="5" t="str">
        <f ca="1">IFERROR(__xludf.DUMMYFUNCTION("""COMPUTED_VALUE"""),"Fled/Apprehended")</f>
        <v>Fled/Apprehended</v>
      </c>
      <c r="G636" s="5" t="str">
        <f ca="1">IFERROR(__xludf.DUMMYFUNCTION("""COMPUTED_VALUE"""),"No")</f>
        <v>No</v>
      </c>
      <c r="H636" s="5" t="str">
        <f ca="1">IFERROR(__xludf.DUMMYFUNCTION("""COMPUTED_VALUE"""),"None")</f>
        <v>None</v>
      </c>
    </row>
    <row r="637" spans="1:8">
      <c r="A637" s="5" t="str">
        <f ca="1">IFERROR(__xludf.DUMMYFUNCTION("""COMPUTED_VALUE"""),"20200114TXBEH")</f>
        <v>20200114TXBEH</v>
      </c>
      <c r="B637" s="5">
        <f ca="1">IFERROR(__xludf.DUMMYFUNCTION("""COMPUTED_VALUE"""),16)</f>
        <v>16</v>
      </c>
      <c r="C637" s="5" t="str">
        <f ca="1">IFERROR(__xludf.DUMMYFUNCTION("""COMPUTED_VALUE"""),"Male")</f>
        <v>Male</v>
      </c>
      <c r="D637" s="5"/>
      <c r="E637" s="5" t="str">
        <f ca="1">IFERROR(__xludf.DUMMYFUNCTION("""COMPUTED_VALUE"""),"Student")</f>
        <v>Student</v>
      </c>
      <c r="F637" s="5" t="str">
        <f ca="1">IFERROR(__xludf.DUMMYFUNCTION("""COMPUTED_VALUE"""),"Fled/Apprehended")</f>
        <v>Fled/Apprehended</v>
      </c>
      <c r="G637" s="5" t="str">
        <f ca="1">IFERROR(__xludf.DUMMYFUNCTION("""COMPUTED_VALUE"""),"No")</f>
        <v>No</v>
      </c>
      <c r="H637" s="5" t="str">
        <f ca="1">IFERROR(__xludf.DUMMYFUNCTION("""COMPUTED_VALUE"""),"None")</f>
        <v>None</v>
      </c>
    </row>
    <row r="638" spans="1:8">
      <c r="A638" s="5" t="str">
        <f ca="1">IFERROR(__xludf.DUMMYFUNCTION("""COMPUTED_VALUE"""),"20200111TXELD")</f>
        <v>20200111TXELD</v>
      </c>
      <c r="B638" s="5">
        <f ca="1">IFERROR(__xludf.DUMMYFUNCTION("""COMPUTED_VALUE"""),15)</f>
        <v>15</v>
      </c>
      <c r="C638" s="5" t="str">
        <f ca="1">IFERROR(__xludf.DUMMYFUNCTION("""COMPUTED_VALUE"""),"Male")</f>
        <v>Male</v>
      </c>
      <c r="D638" s="5" t="str">
        <f ca="1">IFERROR(__xludf.DUMMYFUNCTION("""COMPUTED_VALUE"""),"Black")</f>
        <v>Black</v>
      </c>
      <c r="E638" s="5" t="str">
        <f ca="1">IFERROR(__xludf.DUMMYFUNCTION("""COMPUTED_VALUE"""),"Unknown")</f>
        <v>Unknown</v>
      </c>
      <c r="F638" s="5" t="str">
        <f ca="1">IFERROR(__xludf.DUMMYFUNCTION("""COMPUTED_VALUE"""),"Surrendered")</f>
        <v>Surrendered</v>
      </c>
      <c r="G638" s="5" t="str">
        <f ca="1">IFERROR(__xludf.DUMMYFUNCTION("""COMPUTED_VALUE"""),"No")</f>
        <v>No</v>
      </c>
      <c r="H638" s="5" t="str">
        <f ca="1">IFERROR(__xludf.DUMMYFUNCTION("""COMPUTED_VALUE"""),"None")</f>
        <v>None</v>
      </c>
    </row>
    <row r="639" spans="1:8">
      <c r="A639" s="5" t="str">
        <f ca="1">IFERROR(__xludf.DUMMYFUNCTION("""COMPUTED_VALUE"""),"20200110MSMCJ")</f>
        <v>20200110MSMCJ</v>
      </c>
      <c r="B639" s="5">
        <f ca="1">IFERROR(__xludf.DUMMYFUNCTION("""COMPUTED_VALUE"""),13)</f>
        <v>13</v>
      </c>
      <c r="C639" s="5" t="str">
        <f ca="1">IFERROR(__xludf.DUMMYFUNCTION("""COMPUTED_VALUE"""),"Male")</f>
        <v>Male</v>
      </c>
      <c r="D639" s="5"/>
      <c r="E639" s="5" t="str">
        <f ca="1">IFERROR(__xludf.DUMMYFUNCTION("""COMPUTED_VALUE"""),"Student")</f>
        <v>Student</v>
      </c>
      <c r="F639" s="5" t="str">
        <f ca="1">IFERROR(__xludf.DUMMYFUNCTION("""COMPUTED_VALUE"""),"Unknown")</f>
        <v>Unknown</v>
      </c>
      <c r="G639" s="5" t="str">
        <f ca="1">IFERROR(__xludf.DUMMYFUNCTION("""COMPUTED_VALUE"""),"No")</f>
        <v>No</v>
      </c>
      <c r="H639" s="5" t="str">
        <f ca="1">IFERROR(__xludf.DUMMYFUNCTION("""COMPUTED_VALUE"""),"None")</f>
        <v>None</v>
      </c>
    </row>
    <row r="640" spans="1:8">
      <c r="A640" s="5" t="str">
        <f ca="1">IFERROR(__xludf.DUMMYFUNCTION("""COMPUTED_VALUE"""),"20200108FLGLB")</f>
        <v>20200108FLGLB</v>
      </c>
      <c r="B640" s="5"/>
      <c r="C640" s="5"/>
      <c r="D640" s="5"/>
      <c r="E640" s="5" t="str">
        <f ca="1">IFERROR(__xludf.DUMMYFUNCTION("""COMPUTED_VALUE"""),"Unknown")</f>
        <v>Unknown</v>
      </c>
      <c r="F640" s="5" t="str">
        <f ca="1">IFERROR(__xludf.DUMMYFUNCTION("""COMPUTED_VALUE"""),"Surrendered")</f>
        <v>Surrendered</v>
      </c>
      <c r="G640" s="5" t="str">
        <f ca="1">IFERROR(__xludf.DUMMYFUNCTION("""COMPUTED_VALUE"""),"No")</f>
        <v>No</v>
      </c>
      <c r="H640" s="5" t="str">
        <f ca="1">IFERROR(__xludf.DUMMYFUNCTION("""COMPUTED_VALUE"""),"Wounded")</f>
        <v>Wounded</v>
      </c>
    </row>
    <row r="641" spans="1:8">
      <c r="A641" s="5" t="str">
        <f ca="1">IFERROR(__xludf.DUMMYFUNCTION("""COMPUTED_VALUE"""),"20200107WASOK")</f>
        <v>20200107WASOK</v>
      </c>
      <c r="B641" s="5">
        <f ca="1">IFERROR(__xludf.DUMMYFUNCTION("""COMPUTED_VALUE"""),16)</f>
        <v>16</v>
      </c>
      <c r="C641" s="5" t="str">
        <f ca="1">IFERROR(__xludf.DUMMYFUNCTION("""COMPUTED_VALUE"""),"Male")</f>
        <v>Male</v>
      </c>
      <c r="D641" s="5"/>
      <c r="E641" s="5" t="str">
        <f ca="1">IFERROR(__xludf.DUMMYFUNCTION("""COMPUTED_VALUE"""),"Student")</f>
        <v>Student</v>
      </c>
      <c r="F641" s="5" t="str">
        <f ca="1">IFERROR(__xludf.DUMMYFUNCTION("""COMPUTED_VALUE"""),"Fled/Apprehended")</f>
        <v>Fled/Apprehended</v>
      </c>
      <c r="G641" s="5" t="str">
        <f ca="1">IFERROR(__xludf.DUMMYFUNCTION("""COMPUTED_VALUE"""),"No")</f>
        <v>No</v>
      </c>
      <c r="H641" s="5" t="str">
        <f ca="1">IFERROR(__xludf.DUMMYFUNCTION("""COMPUTED_VALUE"""),"None")</f>
        <v>None</v>
      </c>
    </row>
    <row r="642" spans="1:8">
      <c r="A642" s="5" t="str">
        <f ca="1">IFERROR(__xludf.DUMMYFUNCTION("""COMPUTED_VALUE"""),"20200107WASOK")</f>
        <v>20200107WASOK</v>
      </c>
      <c r="B642" s="5">
        <f ca="1">IFERROR(__xludf.DUMMYFUNCTION("""COMPUTED_VALUE"""),16)</f>
        <v>16</v>
      </c>
      <c r="C642" s="5" t="str">
        <f ca="1">IFERROR(__xludf.DUMMYFUNCTION("""COMPUTED_VALUE"""),"Male")</f>
        <v>Male</v>
      </c>
      <c r="D642" s="5"/>
      <c r="E642" s="5" t="str">
        <f ca="1">IFERROR(__xludf.DUMMYFUNCTION("""COMPUTED_VALUE"""),"Student")</f>
        <v>Student</v>
      </c>
      <c r="F642" s="5" t="str">
        <f ca="1">IFERROR(__xludf.DUMMYFUNCTION("""COMPUTED_VALUE"""),"Fled/Apprehended")</f>
        <v>Fled/Apprehended</v>
      </c>
      <c r="G642" s="5" t="str">
        <f ca="1">IFERROR(__xludf.DUMMYFUNCTION("""COMPUTED_VALUE"""),"No")</f>
        <v>No</v>
      </c>
      <c r="H642" s="5" t="str">
        <f ca="1">IFERROR(__xludf.DUMMYFUNCTION("""COMPUTED_VALUE"""),"None")</f>
        <v>None</v>
      </c>
    </row>
    <row r="643" spans="1:8">
      <c r="A643" s="5" t="str">
        <f ca="1">IFERROR(__xludf.DUMMYFUNCTION("""COMPUTED_VALUE"""),"20191228MOMAS")</f>
        <v>20191228MOMAS</v>
      </c>
      <c r="B643" s="5">
        <f ca="1">IFERROR(__xludf.DUMMYFUNCTION("""COMPUTED_VALUE"""),17)</f>
        <v>17</v>
      </c>
      <c r="C643" s="5" t="str">
        <f ca="1">IFERROR(__xludf.DUMMYFUNCTION("""COMPUTED_VALUE"""),"Male")</f>
        <v>Male</v>
      </c>
      <c r="D643" s="5" t="str">
        <f ca="1">IFERROR(__xludf.DUMMYFUNCTION("""COMPUTED_VALUE"""),"Black")</f>
        <v>Black</v>
      </c>
      <c r="E643" s="5" t="str">
        <f ca="1">IFERROR(__xludf.DUMMYFUNCTION("""COMPUTED_VALUE"""),"No Relation")</f>
        <v>No Relation</v>
      </c>
      <c r="F643" s="5" t="str">
        <f ca="1">IFERROR(__xludf.DUMMYFUNCTION("""COMPUTED_VALUE"""),"Fled/Apprehended")</f>
        <v>Fled/Apprehended</v>
      </c>
      <c r="G643" s="5" t="str">
        <f ca="1">IFERROR(__xludf.DUMMYFUNCTION("""COMPUTED_VALUE"""),"No")</f>
        <v>No</v>
      </c>
      <c r="H643" s="5" t="str">
        <f ca="1">IFERROR(__xludf.DUMMYFUNCTION("""COMPUTED_VALUE"""),"None")</f>
        <v>None</v>
      </c>
    </row>
    <row r="644" spans="1:8">
      <c r="A644" s="5" t="str">
        <f ca="1">IFERROR(__xludf.DUMMYFUNCTION("""COMPUTED_VALUE"""),"20191221LAWES")</f>
        <v>20191221LAWES</v>
      </c>
      <c r="B644" s="5">
        <f ca="1">IFERROR(__xludf.DUMMYFUNCTION("""COMPUTED_VALUE"""),34)</f>
        <v>34</v>
      </c>
      <c r="C644" s="5" t="str">
        <f ca="1">IFERROR(__xludf.DUMMYFUNCTION("""COMPUTED_VALUE"""),"Male")</f>
        <v>Male</v>
      </c>
      <c r="D644" s="5" t="str">
        <f ca="1">IFERROR(__xludf.DUMMYFUNCTION("""COMPUTED_VALUE"""),"Black")</f>
        <v>Black</v>
      </c>
      <c r="E644" s="5" t="str">
        <f ca="1">IFERROR(__xludf.DUMMYFUNCTION("""COMPUTED_VALUE"""),"Nonstudent Using Athletic Facilities/Attending Game")</f>
        <v>Nonstudent Using Athletic Facilities/Attending Game</v>
      </c>
      <c r="F644" s="5" t="str">
        <f ca="1">IFERROR(__xludf.DUMMYFUNCTION("""COMPUTED_VALUE"""),"Fled/Apprehended")</f>
        <v>Fled/Apprehended</v>
      </c>
      <c r="G644" s="5" t="str">
        <f ca="1">IFERROR(__xludf.DUMMYFUNCTION("""COMPUTED_VALUE"""),"No")</f>
        <v>No</v>
      </c>
      <c r="H644" s="5" t="str">
        <f ca="1">IFERROR(__xludf.DUMMYFUNCTION("""COMPUTED_VALUE"""),"None")</f>
        <v>None</v>
      </c>
    </row>
    <row r="645" spans="1:8">
      <c r="A645" s="5" t="str">
        <f ca="1">IFERROR(__xludf.DUMMYFUNCTION("""COMPUTED_VALUE"""),"20191219FLLEN")</f>
        <v>20191219FLLEN</v>
      </c>
      <c r="B645" s="5">
        <f ca="1">IFERROR(__xludf.DUMMYFUNCTION("""COMPUTED_VALUE"""),50)</f>
        <v>50</v>
      </c>
      <c r="C645" s="5" t="str">
        <f ca="1">IFERROR(__xludf.DUMMYFUNCTION("""COMPUTED_VALUE"""),"Male")</f>
        <v>Male</v>
      </c>
      <c r="D645" s="5" t="str">
        <f ca="1">IFERROR(__xludf.DUMMYFUNCTION("""COMPUTED_VALUE"""),"Hispanic")</f>
        <v>Hispanic</v>
      </c>
      <c r="E645" s="5" t="str">
        <f ca="1">IFERROR(__xludf.DUMMYFUNCTION("""COMPUTED_VALUE"""),"No Relation")</f>
        <v>No Relation</v>
      </c>
      <c r="F645" s="5" t="str">
        <f ca="1">IFERROR(__xludf.DUMMYFUNCTION("""COMPUTED_VALUE"""),"Fled/Apprehended")</f>
        <v>Fled/Apprehended</v>
      </c>
      <c r="G645" s="5" t="str">
        <f ca="1">IFERROR(__xludf.DUMMYFUNCTION("""COMPUTED_VALUE"""),"No")</f>
        <v>No</v>
      </c>
      <c r="H645" s="5" t="str">
        <f ca="1">IFERROR(__xludf.DUMMYFUNCTION("""COMPUTED_VALUE"""),"None")</f>
        <v>None</v>
      </c>
    </row>
    <row r="646" spans="1:8">
      <c r="A646" s="5" t="str">
        <f ca="1">IFERROR(__xludf.DUMMYFUNCTION("""COMPUTED_VALUE"""),"20191216CTCAN")</f>
        <v>20191216CTCAN</v>
      </c>
      <c r="B646" s="5" t="str">
        <f ca="1">IFERROR(__xludf.DUMMYFUNCTION("""COMPUTED_VALUE"""),"Adult")</f>
        <v>Adult</v>
      </c>
      <c r="C646" s="5" t="str">
        <f ca="1">IFERROR(__xludf.DUMMYFUNCTION("""COMPUTED_VALUE"""),"Male")</f>
        <v>Male</v>
      </c>
      <c r="D646" s="5"/>
      <c r="E646" s="5" t="str">
        <f ca="1">IFERROR(__xludf.DUMMYFUNCTION("""COMPUTED_VALUE"""),"No Relation")</f>
        <v>No Relation</v>
      </c>
      <c r="F646" s="5" t="str">
        <f ca="1">IFERROR(__xludf.DUMMYFUNCTION("""COMPUTED_VALUE"""),"Fled/Escaped")</f>
        <v>Fled/Escaped</v>
      </c>
      <c r="G646" s="5" t="str">
        <f ca="1">IFERROR(__xludf.DUMMYFUNCTION("""COMPUTED_VALUE"""),"No")</f>
        <v>No</v>
      </c>
      <c r="H646" s="5" t="str">
        <f ca="1">IFERROR(__xludf.DUMMYFUNCTION("""COMPUTED_VALUE"""),"None")</f>
        <v>None</v>
      </c>
    </row>
    <row r="647" spans="1:8">
      <c r="A647" s="5" t="str">
        <f ca="1">IFERROR(__xludf.DUMMYFUNCTION("""COMPUTED_VALUE"""),"20191213VAMAN")</f>
        <v>20191213VAMAN</v>
      </c>
      <c r="B647" s="5">
        <f ca="1">IFERROR(__xludf.DUMMYFUNCTION("""COMPUTED_VALUE"""),17)</f>
        <v>17</v>
      </c>
      <c r="C647" s="5" t="str">
        <f ca="1">IFERROR(__xludf.DUMMYFUNCTION("""COMPUTED_VALUE"""),"Male")</f>
        <v>Male</v>
      </c>
      <c r="D647" s="5"/>
      <c r="E647" s="5" t="str">
        <f ca="1">IFERROR(__xludf.DUMMYFUNCTION("""COMPUTED_VALUE"""),"Student")</f>
        <v>Student</v>
      </c>
      <c r="F647" s="5" t="str">
        <f ca="1">IFERROR(__xludf.DUMMYFUNCTION("""COMPUTED_VALUE"""),"Surrendered")</f>
        <v>Surrendered</v>
      </c>
      <c r="G647" s="5" t="str">
        <f ca="1">IFERROR(__xludf.DUMMYFUNCTION("""COMPUTED_VALUE"""),"No")</f>
        <v>No</v>
      </c>
      <c r="H647" s="5" t="str">
        <f ca="1">IFERROR(__xludf.DUMMYFUNCTION("""COMPUTED_VALUE"""),"Wounded")</f>
        <v>Wounded</v>
      </c>
    </row>
    <row r="648" spans="1:8">
      <c r="A648" s="5" t="str">
        <f ca="1">IFERROR(__xludf.DUMMYFUNCTION("""COMPUTED_VALUE"""),"20191211KSCHT")</f>
        <v>20191211KSCHT</v>
      </c>
      <c r="B648" s="5"/>
      <c r="C648" s="5"/>
      <c r="D648" s="5"/>
      <c r="E648" s="5" t="str">
        <f ca="1">IFERROR(__xludf.DUMMYFUNCTION("""COMPUTED_VALUE"""),"Unknown")</f>
        <v>Unknown</v>
      </c>
      <c r="F648" s="5" t="str">
        <f ca="1">IFERROR(__xludf.DUMMYFUNCTION("""COMPUTED_VALUE"""),"Fled/Apprehended")</f>
        <v>Fled/Apprehended</v>
      </c>
      <c r="G648" s="5" t="str">
        <f ca="1">IFERROR(__xludf.DUMMYFUNCTION("""COMPUTED_VALUE"""),"No")</f>
        <v>No</v>
      </c>
      <c r="H648" s="5" t="str">
        <f ca="1">IFERROR(__xludf.DUMMYFUNCTION("""COMPUTED_VALUE"""),"None")</f>
        <v>None</v>
      </c>
    </row>
    <row r="649" spans="1:8">
      <c r="A649" s="5" t="str">
        <f ca="1">IFERROR(__xludf.DUMMYFUNCTION("""COMPUTED_VALUE"""),"20191211INEVE")</f>
        <v>20191211INEVE</v>
      </c>
      <c r="B649" s="5"/>
      <c r="C649" s="5"/>
      <c r="D649" s="5"/>
      <c r="E649" s="5" t="str">
        <f ca="1">IFERROR(__xludf.DUMMYFUNCTION("""COMPUTED_VALUE"""),"Unknown")</f>
        <v>Unknown</v>
      </c>
      <c r="F649" s="5" t="str">
        <f ca="1">IFERROR(__xludf.DUMMYFUNCTION("""COMPUTED_VALUE"""),"Fled/Escaped")</f>
        <v>Fled/Escaped</v>
      </c>
      <c r="G649" s="5" t="str">
        <f ca="1">IFERROR(__xludf.DUMMYFUNCTION("""COMPUTED_VALUE"""),"No")</f>
        <v>No</v>
      </c>
      <c r="H649" s="5" t="str">
        <f ca="1">IFERROR(__xludf.DUMMYFUNCTION("""COMPUTED_VALUE"""),"None")</f>
        <v>None</v>
      </c>
    </row>
    <row r="650" spans="1:8">
      <c r="A650" s="5" t="str">
        <f ca="1">IFERROR(__xludf.DUMMYFUNCTION("""COMPUTED_VALUE"""),"20191210NJSAJ")</f>
        <v>20191210NJSAJ</v>
      </c>
      <c r="B650" s="5">
        <f ca="1">IFERROR(__xludf.DUMMYFUNCTION("""COMPUTED_VALUE"""),47)</f>
        <v>47</v>
      </c>
      <c r="C650" s="5" t="str">
        <f ca="1">IFERROR(__xludf.DUMMYFUNCTION("""COMPUTED_VALUE"""),"Male")</f>
        <v>Male</v>
      </c>
      <c r="D650" s="5" t="str">
        <f ca="1">IFERROR(__xludf.DUMMYFUNCTION("""COMPUTED_VALUE"""),"White")</f>
        <v>White</v>
      </c>
      <c r="E650" s="5" t="str">
        <f ca="1">IFERROR(__xludf.DUMMYFUNCTION("""COMPUTED_VALUE"""),"No Relation")</f>
        <v>No Relation</v>
      </c>
      <c r="F650" s="5" t="str">
        <f ca="1">IFERROR(__xludf.DUMMYFUNCTION("""COMPUTED_VALUE"""),"Unknown")</f>
        <v>Unknown</v>
      </c>
      <c r="G650" s="5" t="str">
        <f ca="1">IFERROR(__xludf.DUMMYFUNCTION("""COMPUTED_VALUE"""),"No")</f>
        <v>No</v>
      </c>
      <c r="H650" s="5" t="str">
        <f ca="1">IFERROR(__xludf.DUMMYFUNCTION("""COMPUTED_VALUE"""),"None")</f>
        <v>None</v>
      </c>
    </row>
    <row r="651" spans="1:8">
      <c r="A651" s="5" t="str">
        <f ca="1">IFERROR(__xludf.DUMMYFUNCTION("""COMPUTED_VALUE"""),"20191210NJSAJ")</f>
        <v>20191210NJSAJ</v>
      </c>
      <c r="B651" s="5">
        <f ca="1">IFERROR(__xludf.DUMMYFUNCTION("""COMPUTED_VALUE"""),50)</f>
        <v>50</v>
      </c>
      <c r="C651" s="5" t="str">
        <f ca="1">IFERROR(__xludf.DUMMYFUNCTION("""COMPUTED_VALUE"""),"Female")</f>
        <v>Female</v>
      </c>
      <c r="D651" s="5" t="str">
        <f ca="1">IFERROR(__xludf.DUMMYFUNCTION("""COMPUTED_VALUE"""),"White")</f>
        <v>White</v>
      </c>
      <c r="E651" s="5" t="str">
        <f ca="1">IFERROR(__xludf.DUMMYFUNCTION("""COMPUTED_VALUE"""),"No Relation")</f>
        <v>No Relation</v>
      </c>
      <c r="F651" s="5" t="str">
        <f ca="1">IFERROR(__xludf.DUMMYFUNCTION("""COMPUTED_VALUE"""),"Unknown")</f>
        <v>Unknown</v>
      </c>
      <c r="G651" s="5" t="str">
        <f ca="1">IFERROR(__xludf.DUMMYFUNCTION("""COMPUTED_VALUE"""),"No")</f>
        <v>No</v>
      </c>
      <c r="H651" s="5" t="str">
        <f ca="1">IFERROR(__xludf.DUMMYFUNCTION("""COMPUTED_VALUE"""),"None")</f>
        <v>None</v>
      </c>
    </row>
    <row r="652" spans="1:8">
      <c r="A652" s="5" t="str">
        <f ca="1">IFERROR(__xludf.DUMMYFUNCTION("""COMPUTED_VALUE"""),"20191210KSJCK")</f>
        <v>20191210KSJCK</v>
      </c>
      <c r="B652" s="5"/>
      <c r="C652" s="5"/>
      <c r="D652" s="5"/>
      <c r="E652" s="5" t="str">
        <f ca="1">IFERROR(__xludf.DUMMYFUNCTION("""COMPUTED_VALUE"""),"Unknown")</f>
        <v>Unknown</v>
      </c>
      <c r="F652" s="5" t="str">
        <f ca="1">IFERROR(__xludf.DUMMYFUNCTION("""COMPUTED_VALUE"""),"Fled/Escaped")</f>
        <v>Fled/Escaped</v>
      </c>
      <c r="G652" s="5" t="str">
        <f ca="1">IFERROR(__xludf.DUMMYFUNCTION("""COMPUTED_VALUE"""),"No")</f>
        <v>No</v>
      </c>
      <c r="H652" s="5" t="str">
        <f ca="1">IFERROR(__xludf.DUMMYFUNCTION("""COMPUTED_VALUE"""),"None")</f>
        <v>None</v>
      </c>
    </row>
    <row r="653" spans="1:8">
      <c r="A653" s="5" t="str">
        <f ca="1">IFERROR(__xludf.DUMMYFUNCTION("""COMPUTED_VALUE"""),"20191210ALDED")</f>
        <v>20191210ALDED</v>
      </c>
      <c r="B653" s="5">
        <f ca="1">IFERROR(__xludf.DUMMYFUNCTION("""COMPUTED_VALUE"""),22)</f>
        <v>22</v>
      </c>
      <c r="C653" s="5" t="str">
        <f ca="1">IFERROR(__xludf.DUMMYFUNCTION("""COMPUTED_VALUE"""),"Male")</f>
        <v>Male</v>
      </c>
      <c r="D653" s="5" t="str">
        <f ca="1">IFERROR(__xludf.DUMMYFUNCTION("""COMPUTED_VALUE"""),"White")</f>
        <v>White</v>
      </c>
      <c r="E653" s="5" t="str">
        <f ca="1">IFERROR(__xludf.DUMMYFUNCTION("""COMPUTED_VALUE"""),"Intimate Relationship")</f>
        <v>Intimate Relationship</v>
      </c>
      <c r="F653" s="5" t="str">
        <f ca="1">IFERROR(__xludf.DUMMYFUNCTION("""COMPUTED_VALUE"""),"Fled/Apprehended")</f>
        <v>Fled/Apprehended</v>
      </c>
      <c r="G653" s="5" t="str">
        <f ca="1">IFERROR(__xludf.DUMMYFUNCTION("""COMPUTED_VALUE"""),"No")</f>
        <v>No</v>
      </c>
      <c r="H653" s="5" t="str">
        <f ca="1">IFERROR(__xludf.DUMMYFUNCTION("""COMPUTED_VALUE"""),"None")</f>
        <v>None</v>
      </c>
    </row>
    <row r="654" spans="1:8">
      <c r="A654" s="5" t="str">
        <f ca="1">IFERROR(__xludf.DUMMYFUNCTION("""COMPUTED_VALUE"""),"20191204NMPIL")</f>
        <v>20191204NMPIL</v>
      </c>
      <c r="B654" s="5" t="str">
        <f ca="1">IFERROR(__xludf.DUMMYFUNCTION("""COMPUTED_VALUE"""),"Adult")</f>
        <v>Adult</v>
      </c>
      <c r="C654" s="5" t="str">
        <f ca="1">IFERROR(__xludf.DUMMYFUNCTION("""COMPUTED_VALUE"""),"Male")</f>
        <v>Male</v>
      </c>
      <c r="D654" s="5" t="str">
        <f ca="1">IFERROR(__xludf.DUMMYFUNCTION("""COMPUTED_VALUE"""),"Hispanic")</f>
        <v>Hispanic</v>
      </c>
      <c r="E654" s="5" t="str">
        <f ca="1">IFERROR(__xludf.DUMMYFUNCTION("""COMPUTED_VALUE"""),"Police Officer/SRO")</f>
        <v>Police Officer/SRO</v>
      </c>
      <c r="F654" s="5" t="str">
        <f ca="1">IFERROR(__xludf.DUMMYFUNCTION("""COMPUTED_VALUE"""),"Law Enforcement")</f>
        <v>Law Enforcement</v>
      </c>
      <c r="G654" s="5" t="str">
        <f ca="1">IFERROR(__xludf.DUMMYFUNCTION("""COMPUTED_VALUE"""),"No")</f>
        <v>No</v>
      </c>
      <c r="H654" s="5" t="str">
        <f ca="1">IFERROR(__xludf.DUMMYFUNCTION("""COMPUTED_VALUE"""),"None")</f>
        <v>None</v>
      </c>
    </row>
    <row r="655" spans="1:8">
      <c r="A655" s="5" t="str">
        <f ca="1">IFERROR(__xludf.DUMMYFUNCTION("""COMPUTED_VALUE"""),"20191203WITHM")</f>
        <v>20191203WITHM</v>
      </c>
      <c r="B655" s="5">
        <f ca="1">IFERROR(__xludf.DUMMYFUNCTION("""COMPUTED_VALUE"""),13)</f>
        <v>13</v>
      </c>
      <c r="C655" s="5" t="str">
        <f ca="1">IFERROR(__xludf.DUMMYFUNCTION("""COMPUTED_VALUE"""),"Male")</f>
        <v>Male</v>
      </c>
      <c r="D655" s="5"/>
      <c r="E655" s="5" t="str">
        <f ca="1">IFERROR(__xludf.DUMMYFUNCTION("""COMPUTED_VALUE"""),"Student")</f>
        <v>Student</v>
      </c>
      <c r="F655" s="5" t="str">
        <f ca="1">IFERROR(__xludf.DUMMYFUNCTION("""COMPUTED_VALUE"""),"Fled/Apprehended")</f>
        <v>Fled/Apprehended</v>
      </c>
      <c r="G655" s="5" t="str">
        <f ca="1">IFERROR(__xludf.DUMMYFUNCTION("""COMPUTED_VALUE"""),"No")</f>
        <v>No</v>
      </c>
      <c r="H655" s="5" t="str">
        <f ca="1">IFERROR(__xludf.DUMMYFUNCTION("""COMPUTED_VALUE"""),"None")</f>
        <v>None</v>
      </c>
    </row>
    <row r="656" spans="1:8">
      <c r="A656" s="5" t="str">
        <f ca="1">IFERROR(__xludf.DUMMYFUNCTION("""COMPUTED_VALUE"""),"20191203WIOSO")</f>
        <v>20191203WIOSO</v>
      </c>
      <c r="B656" s="5" t="str">
        <f ca="1">IFERROR(__xludf.DUMMYFUNCTION("""COMPUTED_VALUE"""),"Adult")</f>
        <v>Adult</v>
      </c>
      <c r="C656" s="5" t="str">
        <f ca="1">IFERROR(__xludf.DUMMYFUNCTION("""COMPUTED_VALUE"""),"Male")</f>
        <v>Male</v>
      </c>
      <c r="D656" s="5"/>
      <c r="E656" s="5" t="str">
        <f ca="1">IFERROR(__xludf.DUMMYFUNCTION("""COMPUTED_VALUE"""),"Police Officer/SRO")</f>
        <v>Police Officer/SRO</v>
      </c>
      <c r="F656" s="5" t="str">
        <f ca="1">IFERROR(__xludf.DUMMYFUNCTION("""COMPUTED_VALUE"""),"Law Enforcement")</f>
        <v>Law Enforcement</v>
      </c>
      <c r="G656" s="5" t="str">
        <f ca="1">IFERROR(__xludf.DUMMYFUNCTION("""COMPUTED_VALUE"""),"No")</f>
        <v>No</v>
      </c>
      <c r="H656" s="5" t="str">
        <f ca="1">IFERROR(__xludf.DUMMYFUNCTION("""COMPUTED_VALUE"""),"Wounded")</f>
        <v>Wounded</v>
      </c>
    </row>
    <row r="657" spans="1:8">
      <c r="A657" s="5" t="str">
        <f ca="1">IFERROR(__xludf.DUMMYFUNCTION("""COMPUTED_VALUE"""),"20191202WIWAW")</f>
        <v>20191202WIWAW</v>
      </c>
      <c r="B657" s="5">
        <f ca="1">IFERROR(__xludf.DUMMYFUNCTION("""COMPUTED_VALUE"""),17)</f>
        <v>17</v>
      </c>
      <c r="C657" s="5" t="str">
        <f ca="1">IFERROR(__xludf.DUMMYFUNCTION("""COMPUTED_VALUE"""),"Male")</f>
        <v>Male</v>
      </c>
      <c r="D657" s="5"/>
      <c r="E657" s="5" t="str">
        <f ca="1">IFERROR(__xludf.DUMMYFUNCTION("""COMPUTED_VALUE"""),"Student")</f>
        <v>Student</v>
      </c>
      <c r="F657" s="5" t="str">
        <f ca="1">IFERROR(__xludf.DUMMYFUNCTION("""COMPUTED_VALUE"""),"Apprehended/Killed by SRO")</f>
        <v>Apprehended/Killed by SRO</v>
      </c>
      <c r="G657" s="5" t="str">
        <f ca="1">IFERROR(__xludf.DUMMYFUNCTION("""COMPUTED_VALUE"""),"No")</f>
        <v>No</v>
      </c>
      <c r="H657" s="5" t="str">
        <f ca="1">IFERROR(__xludf.DUMMYFUNCTION("""COMPUTED_VALUE"""),"Wounded")</f>
        <v>Wounded</v>
      </c>
    </row>
    <row r="658" spans="1:8">
      <c r="A658" s="5" t="str">
        <f ca="1">IFERROR(__xludf.DUMMYFUNCTION("""COMPUTED_VALUE"""),"20191201ALMOM")</f>
        <v>20191201ALMOM</v>
      </c>
      <c r="B658" s="5">
        <f ca="1">IFERROR(__xludf.DUMMYFUNCTION("""COMPUTED_VALUE"""),31)</f>
        <v>31</v>
      </c>
      <c r="C658" s="5" t="str">
        <f ca="1">IFERROR(__xludf.DUMMYFUNCTION("""COMPUTED_VALUE"""),"Male")</f>
        <v>Male</v>
      </c>
      <c r="D658" s="5" t="str">
        <f ca="1">IFERROR(__xludf.DUMMYFUNCTION("""COMPUTED_VALUE"""),"White")</f>
        <v>White</v>
      </c>
      <c r="E658" s="5" t="str">
        <f ca="1">IFERROR(__xludf.DUMMYFUNCTION("""COMPUTED_VALUE"""),"No Relation")</f>
        <v>No Relation</v>
      </c>
      <c r="F658" s="5" t="str">
        <f ca="1">IFERROR(__xludf.DUMMYFUNCTION("""COMPUTED_VALUE"""),"Fled/Apprehended")</f>
        <v>Fled/Apprehended</v>
      </c>
      <c r="G658" s="5" t="str">
        <f ca="1">IFERROR(__xludf.DUMMYFUNCTION("""COMPUTED_VALUE"""),"No")</f>
        <v>No</v>
      </c>
      <c r="H658" s="5" t="str">
        <f ca="1">IFERROR(__xludf.DUMMYFUNCTION("""COMPUTED_VALUE"""),"None")</f>
        <v>None</v>
      </c>
    </row>
    <row r="659" spans="1:8">
      <c r="A659" s="5" t="str">
        <f ca="1">IFERROR(__xludf.DUMMYFUNCTION("""COMPUTED_VALUE"""),"20191126WASAV")</f>
        <v>20191126WASAV</v>
      </c>
      <c r="B659" s="5">
        <f ca="1">IFERROR(__xludf.DUMMYFUNCTION("""COMPUTED_VALUE"""),38)</f>
        <v>38</v>
      </c>
      <c r="C659" s="5" t="str">
        <f ca="1">IFERROR(__xludf.DUMMYFUNCTION("""COMPUTED_VALUE"""),"Male")</f>
        <v>Male</v>
      </c>
      <c r="D659" s="5" t="str">
        <f ca="1">IFERROR(__xludf.DUMMYFUNCTION("""COMPUTED_VALUE"""),"Black")</f>
        <v>Black</v>
      </c>
      <c r="E659" s="5" t="str">
        <f ca="1">IFERROR(__xludf.DUMMYFUNCTION("""COMPUTED_VALUE"""),"Parent")</f>
        <v>Parent</v>
      </c>
      <c r="F659" s="5" t="str">
        <f ca="1">IFERROR(__xludf.DUMMYFUNCTION("""COMPUTED_VALUE"""),"Fled/Apprehended")</f>
        <v>Fled/Apprehended</v>
      </c>
      <c r="G659" s="5" t="str">
        <f ca="1">IFERROR(__xludf.DUMMYFUNCTION("""COMPUTED_VALUE"""),"Yes")</f>
        <v>Yes</v>
      </c>
      <c r="H659" s="5" t="str">
        <f ca="1">IFERROR(__xludf.DUMMYFUNCTION("""COMPUTED_VALUE"""),"Suicide")</f>
        <v>Suicide</v>
      </c>
    </row>
    <row r="660" spans="1:8">
      <c r="A660" s="5" t="str">
        <f ca="1">IFERROR(__xludf.DUMMYFUNCTION("""COMPUTED_VALUE"""),"20191125ILCAC")</f>
        <v>20191125ILCAC</v>
      </c>
      <c r="B660" s="5"/>
      <c r="C660" s="5" t="str">
        <f ca="1">IFERROR(__xludf.DUMMYFUNCTION("""COMPUTED_VALUE"""),"Male")</f>
        <v>Male</v>
      </c>
      <c r="D660" s="5"/>
      <c r="E660" s="5" t="str">
        <f ca="1">IFERROR(__xludf.DUMMYFUNCTION("""COMPUTED_VALUE"""),"No Relation")</f>
        <v>No Relation</v>
      </c>
      <c r="F660" s="5" t="str">
        <f ca="1">IFERROR(__xludf.DUMMYFUNCTION("""COMPUTED_VALUE"""),"Fled/Escaped")</f>
        <v>Fled/Escaped</v>
      </c>
      <c r="G660" s="5" t="str">
        <f ca="1">IFERROR(__xludf.DUMMYFUNCTION("""COMPUTED_VALUE"""),"No")</f>
        <v>No</v>
      </c>
      <c r="H660" s="5" t="str">
        <f ca="1">IFERROR(__xludf.DUMMYFUNCTION("""COMPUTED_VALUE"""),"None")</f>
        <v>None</v>
      </c>
    </row>
    <row r="661" spans="1:8">
      <c r="A661" s="5" t="str">
        <f ca="1">IFERROR(__xludf.DUMMYFUNCTION("""COMPUTED_VALUE"""),"20191124CASEU")</f>
        <v>20191124CASEU</v>
      </c>
      <c r="B661" s="5">
        <f ca="1">IFERROR(__xludf.DUMMYFUNCTION("""COMPUTED_VALUE"""),18)</f>
        <v>18</v>
      </c>
      <c r="C661" s="5" t="str">
        <f ca="1">IFERROR(__xludf.DUMMYFUNCTION("""COMPUTED_VALUE"""),"Male")</f>
        <v>Male</v>
      </c>
      <c r="D661" s="5" t="str">
        <f ca="1">IFERROR(__xludf.DUMMYFUNCTION("""COMPUTED_VALUE"""),"Hispanic")</f>
        <v>Hispanic</v>
      </c>
      <c r="E661" s="5" t="str">
        <f ca="1">IFERROR(__xludf.DUMMYFUNCTION("""COMPUTED_VALUE"""),"No Relation")</f>
        <v>No Relation</v>
      </c>
      <c r="F661" s="5" t="str">
        <f ca="1">IFERROR(__xludf.DUMMYFUNCTION("""COMPUTED_VALUE"""),"Fled/Apprehended")</f>
        <v>Fled/Apprehended</v>
      </c>
      <c r="G661" s="5" t="str">
        <f ca="1">IFERROR(__xludf.DUMMYFUNCTION("""COMPUTED_VALUE"""),"No")</f>
        <v>No</v>
      </c>
      <c r="H661" s="5" t="str">
        <f ca="1">IFERROR(__xludf.DUMMYFUNCTION("""COMPUTED_VALUE"""),"None")</f>
        <v>None</v>
      </c>
    </row>
    <row r="662" spans="1:8">
      <c r="A662" s="5" t="str">
        <f ca="1">IFERROR(__xludf.DUMMYFUNCTION("""COMPUTED_VALUE"""),"20191124CASEU")</f>
        <v>20191124CASEU</v>
      </c>
      <c r="B662" s="5">
        <f ca="1">IFERROR(__xludf.DUMMYFUNCTION("""COMPUTED_VALUE"""),17)</f>
        <v>17</v>
      </c>
      <c r="C662" s="5" t="str">
        <f ca="1">IFERROR(__xludf.DUMMYFUNCTION("""COMPUTED_VALUE"""),"Male")</f>
        <v>Male</v>
      </c>
      <c r="D662" s="5" t="str">
        <f ca="1">IFERROR(__xludf.DUMMYFUNCTION("""COMPUTED_VALUE"""),"Hispanic")</f>
        <v>Hispanic</v>
      </c>
      <c r="E662" s="5" t="str">
        <f ca="1">IFERROR(__xludf.DUMMYFUNCTION("""COMPUTED_VALUE"""),"No Relation")</f>
        <v>No Relation</v>
      </c>
      <c r="F662" s="5" t="str">
        <f ca="1">IFERROR(__xludf.DUMMYFUNCTION("""COMPUTED_VALUE"""),"Fled/Apprehended")</f>
        <v>Fled/Apprehended</v>
      </c>
      <c r="G662" s="5" t="str">
        <f ca="1">IFERROR(__xludf.DUMMYFUNCTION("""COMPUTED_VALUE"""),"No")</f>
        <v>No</v>
      </c>
      <c r="H662" s="5" t="str">
        <f ca="1">IFERROR(__xludf.DUMMYFUNCTION("""COMPUTED_VALUE"""),"None")</f>
        <v>None</v>
      </c>
    </row>
    <row r="663" spans="1:8">
      <c r="A663" s="5" t="str">
        <f ca="1">IFERROR(__xludf.DUMMYFUNCTION("""COMPUTED_VALUE"""),"20191124CASEU")</f>
        <v>20191124CASEU</v>
      </c>
      <c r="B663" s="5">
        <f ca="1">IFERROR(__xludf.DUMMYFUNCTION("""COMPUTED_VALUE"""),20)</f>
        <v>20</v>
      </c>
      <c r="C663" s="5" t="str">
        <f ca="1">IFERROR(__xludf.DUMMYFUNCTION("""COMPUTED_VALUE"""),"Male")</f>
        <v>Male</v>
      </c>
      <c r="D663" s="5" t="str">
        <f ca="1">IFERROR(__xludf.DUMMYFUNCTION("""COMPUTED_VALUE"""),"Hispanic")</f>
        <v>Hispanic</v>
      </c>
      <c r="E663" s="5" t="str">
        <f ca="1">IFERROR(__xludf.DUMMYFUNCTION("""COMPUTED_VALUE"""),"No Relation")</f>
        <v>No Relation</v>
      </c>
      <c r="F663" s="5" t="str">
        <f ca="1">IFERROR(__xludf.DUMMYFUNCTION("""COMPUTED_VALUE"""),"Fled/Apprehended")</f>
        <v>Fled/Apprehended</v>
      </c>
      <c r="G663" s="5" t="str">
        <f ca="1">IFERROR(__xludf.DUMMYFUNCTION("""COMPUTED_VALUE"""),"No")</f>
        <v>No</v>
      </c>
      <c r="H663" s="5" t="str">
        <f ca="1">IFERROR(__xludf.DUMMYFUNCTION("""COMPUTED_VALUE"""),"None")</f>
        <v>None</v>
      </c>
    </row>
    <row r="664" spans="1:8">
      <c r="A664" s="5" t="str">
        <f ca="1">IFERROR(__xludf.DUMMYFUNCTION("""COMPUTED_VALUE"""),"20191121ILRIO")</f>
        <v>20191121ILRIO</v>
      </c>
      <c r="B664" s="5">
        <f ca="1">IFERROR(__xludf.DUMMYFUNCTION("""COMPUTED_VALUE"""),19)</f>
        <v>19</v>
      </c>
      <c r="C664" s="5" t="str">
        <f ca="1">IFERROR(__xludf.DUMMYFUNCTION("""COMPUTED_VALUE"""),"Male")</f>
        <v>Male</v>
      </c>
      <c r="D664" s="5" t="str">
        <f ca="1">IFERROR(__xludf.DUMMYFUNCTION("""COMPUTED_VALUE"""),"Black")</f>
        <v>Black</v>
      </c>
      <c r="E664" s="5" t="str">
        <f ca="1">IFERROR(__xludf.DUMMYFUNCTION("""COMPUTED_VALUE"""),"Student")</f>
        <v>Student</v>
      </c>
      <c r="F664" s="5" t="str">
        <f ca="1">IFERROR(__xludf.DUMMYFUNCTION("""COMPUTED_VALUE"""),"Fled/Apprehended")</f>
        <v>Fled/Apprehended</v>
      </c>
      <c r="G664" s="5" t="str">
        <f ca="1">IFERROR(__xludf.DUMMYFUNCTION("""COMPUTED_VALUE"""),"No")</f>
        <v>No</v>
      </c>
      <c r="H664" s="5" t="str">
        <f ca="1">IFERROR(__xludf.DUMMYFUNCTION("""COMPUTED_VALUE"""),"None")</f>
        <v>None</v>
      </c>
    </row>
    <row r="665" spans="1:8">
      <c r="A665" s="5" t="str">
        <f ca="1">IFERROR(__xludf.DUMMYFUNCTION("""COMPUTED_VALUE"""),"20191115NJPLP")</f>
        <v>20191115NJPLP</v>
      </c>
      <c r="B665" s="5">
        <f ca="1">IFERROR(__xludf.DUMMYFUNCTION("""COMPUTED_VALUE"""),31)</f>
        <v>31</v>
      </c>
      <c r="C665" s="5" t="str">
        <f ca="1">IFERROR(__xludf.DUMMYFUNCTION("""COMPUTED_VALUE"""),"Male")</f>
        <v>Male</v>
      </c>
      <c r="D665" s="5" t="str">
        <f ca="1">IFERROR(__xludf.DUMMYFUNCTION("""COMPUTED_VALUE"""),"Black")</f>
        <v>Black</v>
      </c>
      <c r="E665" s="5" t="str">
        <f ca="1">IFERROR(__xludf.DUMMYFUNCTION("""COMPUTED_VALUE"""),"Nonstudent Using Athletic Facilities/Attending Game")</f>
        <v>Nonstudent Using Athletic Facilities/Attending Game</v>
      </c>
      <c r="F665" s="5" t="str">
        <f ca="1">IFERROR(__xludf.DUMMYFUNCTION("""COMPUTED_VALUE"""),"Fled/Apprehended")</f>
        <v>Fled/Apprehended</v>
      </c>
      <c r="G665" s="5" t="str">
        <f ca="1">IFERROR(__xludf.DUMMYFUNCTION("""COMPUTED_VALUE"""),"No")</f>
        <v>No</v>
      </c>
      <c r="H665" s="5" t="str">
        <f ca="1">IFERROR(__xludf.DUMMYFUNCTION("""COMPUTED_VALUE"""),"None")</f>
        <v>None</v>
      </c>
    </row>
    <row r="666" spans="1:8">
      <c r="A666" s="5" t="str">
        <f ca="1">IFERROR(__xludf.DUMMYFUNCTION("""COMPUTED_VALUE"""),"20191115NJPLP")</f>
        <v>20191115NJPLP</v>
      </c>
      <c r="B666" s="5">
        <f ca="1">IFERROR(__xludf.DUMMYFUNCTION("""COMPUTED_VALUE"""),28)</f>
        <v>28</v>
      </c>
      <c r="C666" s="5" t="str">
        <f ca="1">IFERROR(__xludf.DUMMYFUNCTION("""COMPUTED_VALUE"""),"Male")</f>
        <v>Male</v>
      </c>
      <c r="D666" s="5" t="str">
        <f ca="1">IFERROR(__xludf.DUMMYFUNCTION("""COMPUTED_VALUE"""),"Black")</f>
        <v>Black</v>
      </c>
      <c r="E666" s="5" t="str">
        <f ca="1">IFERROR(__xludf.DUMMYFUNCTION("""COMPUTED_VALUE"""),"Nonstudent Using Athletic Facilities/Attending Game")</f>
        <v>Nonstudent Using Athletic Facilities/Attending Game</v>
      </c>
      <c r="F666" s="5" t="str">
        <f ca="1">IFERROR(__xludf.DUMMYFUNCTION("""COMPUTED_VALUE"""),"Fled/Apprehended")</f>
        <v>Fled/Apprehended</v>
      </c>
      <c r="G666" s="5" t="str">
        <f ca="1">IFERROR(__xludf.DUMMYFUNCTION("""COMPUTED_VALUE"""),"No")</f>
        <v>No</v>
      </c>
      <c r="H666" s="5" t="str">
        <f ca="1">IFERROR(__xludf.DUMMYFUNCTION("""COMPUTED_VALUE"""),"None")</f>
        <v>None</v>
      </c>
    </row>
    <row r="667" spans="1:8">
      <c r="A667" s="5" t="str">
        <f ca="1">IFERROR(__xludf.DUMMYFUNCTION("""COMPUTED_VALUE"""),"20191114CASAS")</f>
        <v>20191114CASAS</v>
      </c>
      <c r="B667" s="5">
        <f ca="1">IFERROR(__xludf.DUMMYFUNCTION("""COMPUTED_VALUE"""),16)</f>
        <v>16</v>
      </c>
      <c r="C667" s="5" t="str">
        <f ca="1">IFERROR(__xludf.DUMMYFUNCTION("""COMPUTED_VALUE"""),"Male")</f>
        <v>Male</v>
      </c>
      <c r="D667" s="5" t="str">
        <f ca="1">IFERROR(__xludf.DUMMYFUNCTION("""COMPUTED_VALUE"""),"Asian")</f>
        <v>Asian</v>
      </c>
      <c r="E667" s="5" t="str">
        <f ca="1">IFERROR(__xludf.DUMMYFUNCTION("""COMPUTED_VALUE"""),"Student")</f>
        <v>Student</v>
      </c>
      <c r="F667" s="5" t="str">
        <f ca="1">IFERROR(__xludf.DUMMYFUNCTION("""COMPUTED_VALUE"""),"Suicide")</f>
        <v>Suicide</v>
      </c>
      <c r="G667" s="5" t="str">
        <f ca="1">IFERROR(__xludf.DUMMYFUNCTION("""COMPUTED_VALUE"""),"Yes")</f>
        <v>Yes</v>
      </c>
      <c r="H667" s="5" t="str">
        <f ca="1">IFERROR(__xludf.DUMMYFUNCTION("""COMPUTED_VALUE"""),"Suicide")</f>
        <v>Suicide</v>
      </c>
    </row>
    <row r="668" spans="1:8">
      <c r="A668" s="5" t="str">
        <f ca="1">IFERROR(__xludf.DUMMYFUNCTION("""COMPUTED_VALUE"""),"20191113CAESL")</f>
        <v>20191113CAESL</v>
      </c>
      <c r="B668" s="5" t="str">
        <f ca="1">IFERROR(__xludf.DUMMYFUNCTION("""COMPUTED_VALUE"""),"Adult")</f>
        <v>Adult</v>
      </c>
      <c r="C668" s="5"/>
      <c r="D668" s="5" t="str">
        <f ca="1">IFERROR(__xludf.DUMMYFUNCTION("""COMPUTED_VALUE"""),"N/A")</f>
        <v>N/A</v>
      </c>
      <c r="E668" s="5" t="str">
        <f ca="1">IFERROR(__xludf.DUMMYFUNCTION("""COMPUTED_VALUE"""),"Police Officer/SRO")</f>
        <v>Police Officer/SRO</v>
      </c>
      <c r="F668" s="5" t="str">
        <f ca="1">IFERROR(__xludf.DUMMYFUNCTION("""COMPUTED_VALUE"""),"Law Enforcement")</f>
        <v>Law Enforcement</v>
      </c>
      <c r="G668" s="5" t="str">
        <f ca="1">IFERROR(__xludf.DUMMYFUNCTION("""COMPUTED_VALUE"""),"No")</f>
        <v>No</v>
      </c>
      <c r="H668" s="5" t="str">
        <f ca="1">IFERROR(__xludf.DUMMYFUNCTION("""COMPUTED_VALUE"""),"None")</f>
        <v>None</v>
      </c>
    </row>
    <row r="669" spans="1:8">
      <c r="A669" s="5" t="str">
        <f ca="1">IFERROR(__xludf.DUMMYFUNCTION("""COMPUTED_VALUE"""),"20191111MDACB")</f>
        <v>20191111MDACB</v>
      </c>
      <c r="B669" s="5"/>
      <c r="C669" s="5" t="str">
        <f ca="1">IFERROR(__xludf.DUMMYFUNCTION("""COMPUTED_VALUE"""),"Male")</f>
        <v>Male</v>
      </c>
      <c r="D669" s="5"/>
      <c r="E669" s="5" t="str">
        <f ca="1">IFERROR(__xludf.DUMMYFUNCTION("""COMPUTED_VALUE"""),"Unknown")</f>
        <v>Unknown</v>
      </c>
      <c r="F669" s="5" t="str">
        <f ca="1">IFERROR(__xludf.DUMMYFUNCTION("""COMPUTED_VALUE"""),"Fled/Escaped")</f>
        <v>Fled/Escaped</v>
      </c>
      <c r="G669" s="5" t="str">
        <f ca="1">IFERROR(__xludf.DUMMYFUNCTION("""COMPUTED_VALUE"""),"No")</f>
        <v>No</v>
      </c>
      <c r="H669" s="5" t="str">
        <f ca="1">IFERROR(__xludf.DUMMYFUNCTION("""COMPUTED_VALUE"""),"None")</f>
        <v>None</v>
      </c>
    </row>
    <row r="670" spans="1:8">
      <c r="A670" s="5" t="str">
        <f ca="1">IFERROR(__xludf.DUMMYFUNCTION("""COMPUTED_VALUE"""),"20191108TXROD")</f>
        <v>20191108TXROD</v>
      </c>
      <c r="B670" s="5"/>
      <c r="C670" s="5" t="str">
        <f ca="1">IFERROR(__xludf.DUMMYFUNCTION("""COMPUTED_VALUE"""),"Male")</f>
        <v>Male</v>
      </c>
      <c r="D670" s="5"/>
      <c r="E670" s="5" t="str">
        <f ca="1">IFERROR(__xludf.DUMMYFUNCTION("""COMPUTED_VALUE"""),"Unknown")</f>
        <v>Unknown</v>
      </c>
      <c r="F670" s="5" t="str">
        <f ca="1">IFERROR(__xludf.DUMMYFUNCTION("""COMPUTED_VALUE"""),"Fled/Escaped")</f>
        <v>Fled/Escaped</v>
      </c>
      <c r="G670" s="5" t="str">
        <f ca="1">IFERROR(__xludf.DUMMYFUNCTION("""COMPUTED_VALUE"""),"No")</f>
        <v>No</v>
      </c>
      <c r="H670" s="5" t="str">
        <f ca="1">IFERROR(__xludf.DUMMYFUNCTION("""COMPUTED_VALUE"""),"None")</f>
        <v>None</v>
      </c>
    </row>
    <row r="671" spans="1:8">
      <c r="A671" s="5" t="str">
        <f ca="1">IFERROR(__xludf.DUMMYFUNCTION("""COMPUTED_VALUE"""),"20191108CAEDS")</f>
        <v>20191108CAEDS</v>
      </c>
      <c r="B671" s="5"/>
      <c r="C671" s="5"/>
      <c r="D671" s="5"/>
      <c r="E671" s="5" t="str">
        <f ca="1">IFERROR(__xludf.DUMMYFUNCTION("""COMPUTED_VALUE"""),"Unknown")</f>
        <v>Unknown</v>
      </c>
      <c r="F671" s="5" t="str">
        <f ca="1">IFERROR(__xludf.DUMMYFUNCTION("""COMPUTED_VALUE"""),"Fled/Escaped")</f>
        <v>Fled/Escaped</v>
      </c>
      <c r="G671" s="5" t="str">
        <f ca="1">IFERROR(__xludf.DUMMYFUNCTION("""COMPUTED_VALUE"""),"No")</f>
        <v>No</v>
      </c>
      <c r="H671" s="5" t="str">
        <f ca="1">IFERROR(__xludf.DUMMYFUNCTION("""COMPUTED_VALUE"""),"None")</f>
        <v>None</v>
      </c>
    </row>
    <row r="672" spans="1:8">
      <c r="A672" s="5" t="str">
        <f ca="1">IFERROR(__xludf.DUMMYFUNCTION("""COMPUTED_VALUE"""),"20191029NYNEN")</f>
        <v>20191029NYNEN</v>
      </c>
      <c r="B672" s="5"/>
      <c r="C672" s="5" t="str">
        <f ca="1">IFERROR(__xludf.DUMMYFUNCTION("""COMPUTED_VALUE"""),"Male")</f>
        <v>Male</v>
      </c>
      <c r="D672" s="5" t="str">
        <f ca="1">IFERROR(__xludf.DUMMYFUNCTION("""COMPUTED_VALUE"""),"Black")</f>
        <v>Black</v>
      </c>
      <c r="E672" s="5" t="str">
        <f ca="1">IFERROR(__xludf.DUMMYFUNCTION("""COMPUTED_VALUE"""),"Student")</f>
        <v>Student</v>
      </c>
      <c r="F672" s="5" t="str">
        <f ca="1">IFERROR(__xludf.DUMMYFUNCTION("""COMPUTED_VALUE"""),"Fled/Escaped")</f>
        <v>Fled/Escaped</v>
      </c>
      <c r="G672" s="5" t="str">
        <f ca="1">IFERROR(__xludf.DUMMYFUNCTION("""COMPUTED_VALUE"""),"No")</f>
        <v>No</v>
      </c>
      <c r="H672" s="5" t="str">
        <f ca="1">IFERROR(__xludf.DUMMYFUNCTION("""COMPUTED_VALUE"""),"None")</f>
        <v>None</v>
      </c>
    </row>
    <row r="673" spans="1:8">
      <c r="A673" s="5" t="str">
        <f ca="1">IFERROR(__xludf.DUMMYFUNCTION("""COMPUTED_VALUE"""),"20191027MDLAL")</f>
        <v>20191027MDLAL</v>
      </c>
      <c r="B673" s="5">
        <f ca="1">IFERROR(__xludf.DUMMYFUNCTION("""COMPUTED_VALUE"""),34)</f>
        <v>34</v>
      </c>
      <c r="C673" s="5" t="str">
        <f ca="1">IFERROR(__xludf.DUMMYFUNCTION("""COMPUTED_VALUE"""),"Male")</f>
        <v>Male</v>
      </c>
      <c r="D673" s="5" t="str">
        <f ca="1">IFERROR(__xludf.DUMMYFUNCTION("""COMPUTED_VALUE"""),"Hispanic")</f>
        <v>Hispanic</v>
      </c>
      <c r="E673" s="5" t="str">
        <f ca="1">IFERROR(__xludf.DUMMYFUNCTION("""COMPUTED_VALUE"""),"No Relation")</f>
        <v>No Relation</v>
      </c>
      <c r="F673" s="5" t="str">
        <f ca="1">IFERROR(__xludf.DUMMYFUNCTION("""COMPUTED_VALUE"""),"Fled/Apprehended")</f>
        <v>Fled/Apprehended</v>
      </c>
      <c r="G673" s="5" t="str">
        <f ca="1">IFERROR(__xludf.DUMMYFUNCTION("""COMPUTED_VALUE"""),"No")</f>
        <v>No</v>
      </c>
      <c r="H673" s="5" t="str">
        <f ca="1">IFERROR(__xludf.DUMMYFUNCTION("""COMPUTED_VALUE"""),"None")</f>
        <v>None</v>
      </c>
    </row>
    <row r="674" spans="1:8">
      <c r="A674" s="5" t="str">
        <f ca="1">IFERROR(__xludf.DUMMYFUNCTION("""COMPUTED_VALUE"""),"20191022NJBRB")</f>
        <v>20191022NJBRB</v>
      </c>
      <c r="B674" s="5">
        <f ca="1">IFERROR(__xludf.DUMMYFUNCTION("""COMPUTED_VALUE"""),17)</f>
        <v>17</v>
      </c>
      <c r="C674" s="5" t="str">
        <f ca="1">IFERROR(__xludf.DUMMYFUNCTION("""COMPUTED_VALUE"""),"Male")</f>
        <v>Male</v>
      </c>
      <c r="D674" s="5" t="str">
        <f ca="1">IFERROR(__xludf.DUMMYFUNCTION("""COMPUTED_VALUE"""),"Black")</f>
        <v>Black</v>
      </c>
      <c r="E674" s="5" t="str">
        <f ca="1">IFERROR(__xludf.DUMMYFUNCTION("""COMPUTED_VALUE"""),"Student")</f>
        <v>Student</v>
      </c>
      <c r="F674" s="5" t="str">
        <f ca="1">IFERROR(__xludf.DUMMYFUNCTION("""COMPUTED_VALUE"""),"Fled/Apprehended")</f>
        <v>Fled/Apprehended</v>
      </c>
      <c r="G674" s="5" t="str">
        <f ca="1">IFERROR(__xludf.DUMMYFUNCTION("""COMPUTED_VALUE"""),"No")</f>
        <v>No</v>
      </c>
      <c r="H674" s="5" t="str">
        <f ca="1">IFERROR(__xludf.DUMMYFUNCTION("""COMPUTED_VALUE"""),"None")</f>
        <v>None</v>
      </c>
    </row>
    <row r="675" spans="1:8">
      <c r="A675" s="5" t="str">
        <f ca="1">IFERROR(__xludf.DUMMYFUNCTION("""COMPUTED_VALUE"""),"20191022CARIS")</f>
        <v>20191022CARIS</v>
      </c>
      <c r="B675" s="5">
        <f ca="1">IFERROR(__xludf.DUMMYFUNCTION("""COMPUTED_VALUE"""),17)</f>
        <v>17</v>
      </c>
      <c r="C675" s="5" t="str">
        <f ca="1">IFERROR(__xludf.DUMMYFUNCTION("""COMPUTED_VALUE"""),"Male")</f>
        <v>Male</v>
      </c>
      <c r="D675" s="5" t="str">
        <f ca="1">IFERROR(__xludf.DUMMYFUNCTION("""COMPUTED_VALUE"""),"Black")</f>
        <v>Black</v>
      </c>
      <c r="E675" s="5" t="str">
        <f ca="1">IFERROR(__xludf.DUMMYFUNCTION("""COMPUTED_VALUE"""),"Student")</f>
        <v>Student</v>
      </c>
      <c r="F675" s="5" t="str">
        <f ca="1">IFERROR(__xludf.DUMMYFUNCTION("""COMPUTED_VALUE"""),"Fled/Apprehended")</f>
        <v>Fled/Apprehended</v>
      </c>
      <c r="G675" s="5" t="str">
        <f ca="1">IFERROR(__xludf.DUMMYFUNCTION("""COMPUTED_VALUE"""),"No")</f>
        <v>No</v>
      </c>
      <c r="H675" s="5" t="str">
        <f ca="1">IFERROR(__xludf.DUMMYFUNCTION("""COMPUTED_VALUE"""),"None")</f>
        <v>None</v>
      </c>
    </row>
    <row r="676" spans="1:8">
      <c r="A676" s="5" t="str">
        <f ca="1">IFERROR(__xludf.DUMMYFUNCTION("""COMPUTED_VALUE"""),"20191018OHWOT")</f>
        <v>20191018OHWOT</v>
      </c>
      <c r="B676" s="5"/>
      <c r="C676" s="5"/>
      <c r="D676" s="5"/>
      <c r="E676" s="5" t="str">
        <f ca="1">IFERROR(__xludf.DUMMYFUNCTION("""COMPUTED_VALUE"""),"Unknown")</f>
        <v>Unknown</v>
      </c>
      <c r="F676" s="5" t="str">
        <f ca="1">IFERROR(__xludf.DUMMYFUNCTION("""COMPUTED_VALUE"""),"Fled/Escaped")</f>
        <v>Fled/Escaped</v>
      </c>
      <c r="G676" s="5" t="str">
        <f ca="1">IFERROR(__xludf.DUMMYFUNCTION("""COMPUTED_VALUE"""),"No")</f>
        <v>No</v>
      </c>
      <c r="H676" s="5" t="str">
        <f ca="1">IFERROR(__xludf.DUMMYFUNCTION("""COMPUTED_VALUE"""),"None")</f>
        <v>None</v>
      </c>
    </row>
    <row r="677" spans="1:8">
      <c r="A677" s="5" t="str">
        <f ca="1">IFERROR(__xludf.DUMMYFUNCTION("""COMPUTED_VALUE"""),"20191018GACRS")</f>
        <v>20191018GACRS</v>
      </c>
      <c r="B677" s="5">
        <f ca="1">IFERROR(__xludf.DUMMYFUNCTION("""COMPUTED_VALUE"""),19)</f>
        <v>19</v>
      </c>
      <c r="C677" s="5"/>
      <c r="D677" s="5"/>
      <c r="E677" s="5" t="str">
        <f ca="1">IFERROR(__xludf.DUMMYFUNCTION("""COMPUTED_VALUE"""),"Unknown")</f>
        <v>Unknown</v>
      </c>
      <c r="F677" s="5" t="str">
        <f ca="1">IFERROR(__xludf.DUMMYFUNCTION("""COMPUTED_VALUE"""),"Fled/Escaped")</f>
        <v>Fled/Escaped</v>
      </c>
      <c r="G677" s="5" t="str">
        <f ca="1">IFERROR(__xludf.DUMMYFUNCTION("""COMPUTED_VALUE"""),"No")</f>
        <v>No</v>
      </c>
      <c r="H677" s="5" t="str">
        <f ca="1">IFERROR(__xludf.DUMMYFUNCTION("""COMPUTED_VALUE"""),"None")</f>
        <v>None</v>
      </c>
    </row>
    <row r="678" spans="1:8">
      <c r="A678" s="5" t="str">
        <f ca="1">IFERROR(__xludf.DUMMYFUNCTION("""COMPUTED_VALUE"""),"20191015LAGEN")</f>
        <v>20191015LAGEN</v>
      </c>
      <c r="B678" s="5"/>
      <c r="C678" s="5" t="str">
        <f ca="1">IFERROR(__xludf.DUMMYFUNCTION("""COMPUTED_VALUE"""),"Male")</f>
        <v>Male</v>
      </c>
      <c r="D678" s="5"/>
      <c r="E678" s="5" t="str">
        <f ca="1">IFERROR(__xludf.DUMMYFUNCTION("""COMPUTED_VALUE"""),"Unknown")</f>
        <v>Unknown</v>
      </c>
      <c r="F678" s="5" t="str">
        <f ca="1">IFERROR(__xludf.DUMMYFUNCTION("""COMPUTED_VALUE"""),"Fled/Escaped")</f>
        <v>Fled/Escaped</v>
      </c>
      <c r="G678" s="5" t="str">
        <f ca="1">IFERROR(__xludf.DUMMYFUNCTION("""COMPUTED_VALUE"""),"No")</f>
        <v>No</v>
      </c>
      <c r="H678" s="5" t="str">
        <f ca="1">IFERROR(__xludf.DUMMYFUNCTION("""COMPUTED_VALUE"""),"None")</f>
        <v>None</v>
      </c>
    </row>
    <row r="679" spans="1:8">
      <c r="A679" s="5" t="str">
        <f ca="1">IFERROR(__xludf.DUMMYFUNCTION("""COMPUTED_VALUE"""),"20191011LARAR")</f>
        <v>20191011LARAR</v>
      </c>
      <c r="B679" s="5">
        <f ca="1">IFERROR(__xludf.DUMMYFUNCTION("""COMPUTED_VALUE"""),15)</f>
        <v>15</v>
      </c>
      <c r="C679" s="5" t="str">
        <f ca="1">IFERROR(__xludf.DUMMYFUNCTION("""COMPUTED_VALUE"""),"Male")</f>
        <v>Male</v>
      </c>
      <c r="D679" s="5"/>
      <c r="E679" s="5" t="str">
        <f ca="1">IFERROR(__xludf.DUMMYFUNCTION("""COMPUTED_VALUE"""),"Unknown")</f>
        <v>Unknown</v>
      </c>
      <c r="F679" s="5" t="str">
        <f ca="1">IFERROR(__xludf.DUMMYFUNCTION("""COMPUTED_VALUE"""),"Fled/Apprehended")</f>
        <v>Fled/Apprehended</v>
      </c>
      <c r="G679" s="5" t="str">
        <f ca="1">IFERROR(__xludf.DUMMYFUNCTION("""COMPUTED_VALUE"""),"No")</f>
        <v>No</v>
      </c>
      <c r="H679" s="5" t="str">
        <f ca="1">IFERROR(__xludf.DUMMYFUNCTION("""COMPUTED_VALUE"""),"None")</f>
        <v>None</v>
      </c>
    </row>
    <row r="680" spans="1:8">
      <c r="A680" s="5" t="str">
        <f ca="1">IFERROR(__xludf.DUMMYFUNCTION("""COMPUTED_VALUE"""),"20191009MAGRL")</f>
        <v>20191009MAGRL</v>
      </c>
      <c r="B680" s="5"/>
      <c r="C680" s="5" t="str">
        <f ca="1">IFERROR(__xludf.DUMMYFUNCTION("""COMPUTED_VALUE"""),"Male")</f>
        <v>Male</v>
      </c>
      <c r="D680" s="5" t="str">
        <f ca="1">IFERROR(__xludf.DUMMYFUNCTION("""COMPUTED_VALUE"""),"Asian")</f>
        <v>Asian</v>
      </c>
      <c r="E680" s="5" t="str">
        <f ca="1">IFERROR(__xludf.DUMMYFUNCTION("""COMPUTED_VALUE"""),"Unknown")</f>
        <v>Unknown</v>
      </c>
      <c r="F680" s="5" t="str">
        <f ca="1">IFERROR(__xludf.DUMMYFUNCTION("""COMPUTED_VALUE"""),"Fled/Apprehended")</f>
        <v>Fled/Apprehended</v>
      </c>
      <c r="G680" s="5" t="str">
        <f ca="1">IFERROR(__xludf.DUMMYFUNCTION("""COMPUTED_VALUE"""),"No")</f>
        <v>No</v>
      </c>
      <c r="H680" s="5" t="str">
        <f ca="1">IFERROR(__xludf.DUMMYFUNCTION("""COMPUTED_VALUE"""),"None")</f>
        <v>None</v>
      </c>
    </row>
    <row r="681" spans="1:8">
      <c r="A681" s="5" t="str">
        <f ca="1">IFERROR(__xludf.DUMMYFUNCTION("""COMPUTED_VALUE"""),"20191009MAGRL")</f>
        <v>20191009MAGRL</v>
      </c>
      <c r="B681" s="5"/>
      <c r="C681" s="5" t="str">
        <f ca="1">IFERROR(__xludf.DUMMYFUNCTION("""COMPUTED_VALUE"""),"Male")</f>
        <v>Male</v>
      </c>
      <c r="D681" s="5" t="str">
        <f ca="1">IFERROR(__xludf.DUMMYFUNCTION("""COMPUTED_VALUE"""),"Asian")</f>
        <v>Asian</v>
      </c>
      <c r="E681" s="5" t="str">
        <f ca="1">IFERROR(__xludf.DUMMYFUNCTION("""COMPUTED_VALUE"""),"Unknown")</f>
        <v>Unknown</v>
      </c>
      <c r="F681" s="5" t="str">
        <f ca="1">IFERROR(__xludf.DUMMYFUNCTION("""COMPUTED_VALUE"""),"Fled/Apprehended")</f>
        <v>Fled/Apprehended</v>
      </c>
      <c r="G681" s="5" t="str">
        <f ca="1">IFERROR(__xludf.DUMMYFUNCTION("""COMPUTED_VALUE"""),"No")</f>
        <v>No</v>
      </c>
      <c r="H681" s="5" t="str">
        <f ca="1">IFERROR(__xludf.DUMMYFUNCTION("""COMPUTED_VALUE"""),"None")</f>
        <v>None</v>
      </c>
    </row>
    <row r="682" spans="1:8">
      <c r="A682" s="5" t="str">
        <f ca="1">IFERROR(__xludf.DUMMYFUNCTION("""COMPUTED_VALUE"""),"20191008TXWEH")</f>
        <v>20191008TXWEH</v>
      </c>
      <c r="B682" s="5"/>
      <c r="C682" s="5"/>
      <c r="D682" s="5"/>
      <c r="E682" s="5" t="str">
        <f ca="1">IFERROR(__xludf.DUMMYFUNCTION("""COMPUTED_VALUE"""),"Student")</f>
        <v>Student</v>
      </c>
      <c r="F682" s="5" t="str">
        <f ca="1">IFERROR(__xludf.DUMMYFUNCTION("""COMPUTED_VALUE"""),"Unknown")</f>
        <v>Unknown</v>
      </c>
      <c r="G682" s="5" t="str">
        <f ca="1">IFERROR(__xludf.DUMMYFUNCTION("""COMPUTED_VALUE"""),"No")</f>
        <v>No</v>
      </c>
      <c r="H682" s="5" t="str">
        <f ca="1">IFERROR(__xludf.DUMMYFUNCTION("""COMPUTED_VALUE"""),"None")</f>
        <v>None</v>
      </c>
    </row>
    <row r="683" spans="1:8">
      <c r="A683" s="5" t="str">
        <f ca="1">IFERROR(__xludf.DUMMYFUNCTION("""COMPUTED_VALUE"""),"20191008COSHS")</f>
        <v>20191008COSHS</v>
      </c>
      <c r="B683" s="5">
        <f ca="1">IFERROR(__xludf.DUMMYFUNCTION("""COMPUTED_VALUE"""),16)</f>
        <v>16</v>
      </c>
      <c r="C683" s="5" t="str">
        <f ca="1">IFERROR(__xludf.DUMMYFUNCTION("""COMPUTED_VALUE"""),"Male")</f>
        <v>Male</v>
      </c>
      <c r="D683" s="5"/>
      <c r="E683" s="5" t="str">
        <f ca="1">IFERROR(__xludf.DUMMYFUNCTION("""COMPUTED_VALUE"""),"Rival School Student")</f>
        <v>Rival School Student</v>
      </c>
      <c r="F683" s="5" t="str">
        <f ca="1">IFERROR(__xludf.DUMMYFUNCTION("""COMPUTED_VALUE"""),"Fled/Apprehended")</f>
        <v>Fled/Apprehended</v>
      </c>
      <c r="G683" s="5" t="str">
        <f ca="1">IFERROR(__xludf.DUMMYFUNCTION("""COMPUTED_VALUE"""),"No")</f>
        <v>No</v>
      </c>
      <c r="H683" s="5" t="str">
        <f ca="1">IFERROR(__xludf.DUMMYFUNCTION("""COMPUTED_VALUE"""),"None")</f>
        <v>None</v>
      </c>
    </row>
    <row r="684" spans="1:8">
      <c r="A684" s="5" t="str">
        <f ca="1">IFERROR(__xludf.DUMMYFUNCTION("""COMPUTED_VALUE"""),"20191002GASOA")</f>
        <v>20191002GASOA</v>
      </c>
      <c r="B684" s="5" t="str">
        <f ca="1">IFERROR(__xludf.DUMMYFUNCTION("""COMPUTED_VALUE"""),"Adult")</f>
        <v>Adult</v>
      </c>
      <c r="C684" s="5" t="str">
        <f ca="1">IFERROR(__xludf.DUMMYFUNCTION("""COMPUTED_VALUE"""),"Male")</f>
        <v>Male</v>
      </c>
      <c r="D684" s="5"/>
      <c r="E684" s="5" t="str">
        <f ca="1">IFERROR(__xludf.DUMMYFUNCTION("""COMPUTED_VALUE"""),"Nonstudent Using Athletic Facilities/Attending Game")</f>
        <v>Nonstudent Using Athletic Facilities/Attending Game</v>
      </c>
      <c r="F684" s="5" t="str">
        <f ca="1">IFERROR(__xludf.DUMMYFUNCTION("""COMPUTED_VALUE"""),"Subdued by Students/Staff/Other")</f>
        <v>Subdued by Students/Staff/Other</v>
      </c>
      <c r="G684" s="5" t="str">
        <f ca="1">IFERROR(__xludf.DUMMYFUNCTION("""COMPUTED_VALUE"""),"No")</f>
        <v>No</v>
      </c>
      <c r="H684" s="5" t="str">
        <f ca="1">IFERROR(__xludf.DUMMYFUNCTION("""COMPUTED_VALUE"""),"None")</f>
        <v>None</v>
      </c>
    </row>
    <row r="685" spans="1:8">
      <c r="A685" s="5" t="str">
        <f ca="1">IFERROR(__xludf.DUMMYFUNCTION("""COMPUTED_VALUE"""),"20190927NCZEC")</f>
        <v>20190927NCZEC</v>
      </c>
      <c r="B685" s="5"/>
      <c r="C685" s="5"/>
      <c r="D685" s="5"/>
      <c r="E685" s="5" t="str">
        <f ca="1">IFERROR(__xludf.DUMMYFUNCTION("""COMPUTED_VALUE"""),"Unknown")</f>
        <v>Unknown</v>
      </c>
      <c r="F685" s="5" t="str">
        <f ca="1">IFERROR(__xludf.DUMMYFUNCTION("""COMPUTED_VALUE"""),"Fled/Escaped")</f>
        <v>Fled/Escaped</v>
      </c>
      <c r="G685" s="5" t="str">
        <f ca="1">IFERROR(__xludf.DUMMYFUNCTION("""COMPUTED_VALUE"""),"No")</f>
        <v>No</v>
      </c>
      <c r="H685" s="5" t="str">
        <f ca="1">IFERROR(__xludf.DUMMYFUNCTION("""COMPUTED_VALUE"""),"None")</f>
        <v>None</v>
      </c>
    </row>
    <row r="686" spans="1:8">
      <c r="A686" s="5" t="str">
        <f ca="1">IFERROR(__xludf.DUMMYFUNCTION("""COMPUTED_VALUE"""),"20190927CADER")</f>
        <v>20190927CADER</v>
      </c>
      <c r="B686" s="5">
        <f ca="1">IFERROR(__xludf.DUMMYFUNCTION("""COMPUTED_VALUE"""),17)</f>
        <v>17</v>
      </c>
      <c r="C686" s="5" t="str">
        <f ca="1">IFERROR(__xludf.DUMMYFUNCTION("""COMPUTED_VALUE"""),"Male")</f>
        <v>Male</v>
      </c>
      <c r="D686" s="5"/>
      <c r="E686" s="5" t="str">
        <f ca="1">IFERROR(__xludf.DUMMYFUNCTION("""COMPUTED_VALUE"""),"Student")</f>
        <v>Student</v>
      </c>
      <c r="F686" s="5" t="str">
        <f ca="1">IFERROR(__xludf.DUMMYFUNCTION("""COMPUTED_VALUE"""),"Fled/Apprehended")</f>
        <v>Fled/Apprehended</v>
      </c>
      <c r="G686" s="5" t="str">
        <f ca="1">IFERROR(__xludf.DUMMYFUNCTION("""COMPUTED_VALUE"""),"No")</f>
        <v>No</v>
      </c>
      <c r="H686" s="5" t="str">
        <f ca="1">IFERROR(__xludf.DUMMYFUNCTION("""COMPUTED_VALUE"""),"None")</f>
        <v>None</v>
      </c>
    </row>
    <row r="687" spans="1:8">
      <c r="A687" s="5" t="str">
        <f ca="1">IFERROR(__xludf.DUMMYFUNCTION("""COMPUTED_VALUE"""),"20190927CADER")</f>
        <v>20190927CADER</v>
      </c>
      <c r="B687" s="5" t="str">
        <f ca="1">IFERROR(__xludf.DUMMYFUNCTION("""COMPUTED_VALUE"""),"Teen")</f>
        <v>Teen</v>
      </c>
      <c r="C687" s="5" t="str">
        <f ca="1">IFERROR(__xludf.DUMMYFUNCTION("""COMPUTED_VALUE"""),"Male")</f>
        <v>Male</v>
      </c>
      <c r="D687" s="5"/>
      <c r="E687" s="5" t="str">
        <f ca="1">IFERROR(__xludf.DUMMYFUNCTION("""COMPUTED_VALUE"""),"Student")</f>
        <v>Student</v>
      </c>
      <c r="F687" s="5" t="str">
        <f ca="1">IFERROR(__xludf.DUMMYFUNCTION("""COMPUTED_VALUE"""),"Fled/Apprehended")</f>
        <v>Fled/Apprehended</v>
      </c>
      <c r="G687" s="5" t="str">
        <f ca="1">IFERROR(__xludf.DUMMYFUNCTION("""COMPUTED_VALUE"""),"No")</f>
        <v>No</v>
      </c>
      <c r="H687" s="5" t="str">
        <f ca="1">IFERROR(__xludf.DUMMYFUNCTION("""COMPUTED_VALUE"""),"None")</f>
        <v>None</v>
      </c>
    </row>
    <row r="688" spans="1:8">
      <c r="A688" s="5" t="str">
        <f ca="1">IFERROR(__xludf.DUMMYFUNCTION("""COMPUTED_VALUE"""),"20190920PASIP")</f>
        <v>20190920PASIP</v>
      </c>
      <c r="B688" s="5"/>
      <c r="C688" s="5" t="str">
        <f ca="1">IFERROR(__xludf.DUMMYFUNCTION("""COMPUTED_VALUE"""),"Male")</f>
        <v>Male</v>
      </c>
      <c r="D688" s="5"/>
      <c r="E688" s="5" t="str">
        <f ca="1">IFERROR(__xludf.DUMMYFUNCTION("""COMPUTED_VALUE"""),"Unknown")</f>
        <v>Unknown</v>
      </c>
      <c r="F688" s="5" t="str">
        <f ca="1">IFERROR(__xludf.DUMMYFUNCTION("""COMPUTED_VALUE"""),"Fled/Escaped")</f>
        <v>Fled/Escaped</v>
      </c>
      <c r="G688" s="5" t="str">
        <f ca="1">IFERROR(__xludf.DUMMYFUNCTION("""COMPUTED_VALUE"""),"No")</f>
        <v>No</v>
      </c>
      <c r="H688" s="5" t="str">
        <f ca="1">IFERROR(__xludf.DUMMYFUNCTION("""COMPUTED_VALUE"""),"None")</f>
        <v>None</v>
      </c>
    </row>
    <row r="689" spans="1:8">
      <c r="A689" s="5" t="str">
        <f ca="1">IFERROR(__xludf.DUMMYFUNCTION("""COMPUTED_VALUE"""),"20190918MNFOC")</f>
        <v>20190918MNFOC</v>
      </c>
      <c r="B689" s="5">
        <f ca="1">IFERROR(__xludf.DUMMYFUNCTION("""COMPUTED_VALUE"""),28)</f>
        <v>28</v>
      </c>
      <c r="C689" s="5" t="str">
        <f ca="1">IFERROR(__xludf.DUMMYFUNCTION("""COMPUTED_VALUE"""),"Male")</f>
        <v>Male</v>
      </c>
      <c r="D689" s="5"/>
      <c r="E689" s="5" t="str">
        <f ca="1">IFERROR(__xludf.DUMMYFUNCTION("""COMPUTED_VALUE"""),"Nonstudent Using Athletic Facilities/Attending Game")</f>
        <v>Nonstudent Using Athletic Facilities/Attending Game</v>
      </c>
      <c r="F689" s="5" t="str">
        <f ca="1">IFERROR(__xludf.DUMMYFUNCTION("""COMPUTED_VALUE"""),"Apprehended/Killed by Other")</f>
        <v>Apprehended/Killed by Other</v>
      </c>
      <c r="G689" s="5" t="str">
        <f ca="1">IFERROR(__xludf.DUMMYFUNCTION("""COMPUTED_VALUE"""),"No")</f>
        <v>No</v>
      </c>
      <c r="H689" s="5" t="str">
        <f ca="1">IFERROR(__xludf.DUMMYFUNCTION("""COMPUTED_VALUE"""),"None")</f>
        <v>None</v>
      </c>
    </row>
    <row r="690" spans="1:8">
      <c r="A690" s="5" t="str">
        <f ca="1">IFERROR(__xludf.DUMMYFUNCTION("""COMPUTED_VALUE"""),"20190916VAPHH")</f>
        <v>20190916VAPHH</v>
      </c>
      <c r="B690" s="5"/>
      <c r="C690" s="5" t="str">
        <f ca="1">IFERROR(__xludf.DUMMYFUNCTION("""COMPUTED_VALUE"""),"Male")</f>
        <v>Male</v>
      </c>
      <c r="D690" s="5"/>
      <c r="E690" s="5" t="str">
        <f ca="1">IFERROR(__xludf.DUMMYFUNCTION("""COMPUTED_VALUE"""),"No Relation")</f>
        <v>No Relation</v>
      </c>
      <c r="F690" s="5" t="str">
        <f ca="1">IFERROR(__xludf.DUMMYFUNCTION("""COMPUTED_VALUE"""),"Fled/Apprehended")</f>
        <v>Fled/Apprehended</v>
      </c>
      <c r="G690" s="5" t="str">
        <f ca="1">IFERROR(__xludf.DUMMYFUNCTION("""COMPUTED_VALUE"""),"No")</f>
        <v>No</v>
      </c>
      <c r="H690" s="5" t="str">
        <f ca="1">IFERROR(__xludf.DUMMYFUNCTION("""COMPUTED_VALUE"""),"None")</f>
        <v>None</v>
      </c>
    </row>
    <row r="691" spans="1:8">
      <c r="A691" s="5" t="str">
        <f ca="1">IFERROR(__xludf.DUMMYFUNCTION("""COMPUTED_VALUE"""),"20190916ILILK")</f>
        <v>20190916ILILK</v>
      </c>
      <c r="B691" s="5"/>
      <c r="C691" s="5" t="str">
        <f ca="1">IFERROR(__xludf.DUMMYFUNCTION("""COMPUTED_VALUE"""),"Male")</f>
        <v>Male</v>
      </c>
      <c r="D691" s="5"/>
      <c r="E691" s="5" t="str">
        <f ca="1">IFERROR(__xludf.DUMMYFUNCTION("""COMPUTED_VALUE"""),"No Relation")</f>
        <v>No Relation</v>
      </c>
      <c r="F691" s="5" t="str">
        <f ca="1">IFERROR(__xludf.DUMMYFUNCTION("""COMPUTED_VALUE"""),"Fled/Escaped")</f>
        <v>Fled/Escaped</v>
      </c>
      <c r="G691" s="5" t="str">
        <f ca="1">IFERROR(__xludf.DUMMYFUNCTION("""COMPUTED_VALUE"""),"No")</f>
        <v>No</v>
      </c>
      <c r="H691" s="5" t="str">
        <f ca="1">IFERROR(__xludf.DUMMYFUNCTION("""COMPUTED_VALUE"""),"None")</f>
        <v>None</v>
      </c>
    </row>
    <row r="692" spans="1:8">
      <c r="A692" s="5" t="str">
        <f ca="1">IFERROR(__xludf.DUMMYFUNCTION("""COMPUTED_VALUE"""),"20190914TXEAF")</f>
        <v>20190914TXEAF</v>
      </c>
      <c r="B692" s="5" t="str">
        <f ca="1">IFERROR(__xludf.DUMMYFUNCTION("""COMPUTED_VALUE"""),"Adult")</f>
        <v>Adult</v>
      </c>
      <c r="C692" s="5" t="str">
        <f ca="1">IFERROR(__xludf.DUMMYFUNCTION("""COMPUTED_VALUE"""),"Male")</f>
        <v>Male</v>
      </c>
      <c r="D692" s="5"/>
      <c r="E692" s="5" t="str">
        <f ca="1">IFERROR(__xludf.DUMMYFUNCTION("""COMPUTED_VALUE"""),"Relative")</f>
        <v>Relative</v>
      </c>
      <c r="F692" s="5" t="str">
        <f ca="1">IFERROR(__xludf.DUMMYFUNCTION("""COMPUTED_VALUE"""),"Fled/Escaped")</f>
        <v>Fled/Escaped</v>
      </c>
      <c r="G692" s="5" t="str">
        <f ca="1">IFERROR(__xludf.DUMMYFUNCTION("""COMPUTED_VALUE"""),"No")</f>
        <v>No</v>
      </c>
      <c r="H692" s="5" t="str">
        <f ca="1">IFERROR(__xludf.DUMMYFUNCTION("""COMPUTED_VALUE"""),"None")</f>
        <v>None</v>
      </c>
    </row>
    <row r="693" spans="1:8">
      <c r="A693" s="5" t="str">
        <f ca="1">IFERROR(__xludf.DUMMYFUNCTION("""COMPUTED_VALUE"""),"20190913VAETN")</f>
        <v>20190913VAETN</v>
      </c>
      <c r="B693" s="5"/>
      <c r="C693" s="5"/>
      <c r="D693" s="5"/>
      <c r="E693" s="5" t="str">
        <f ca="1">IFERROR(__xludf.DUMMYFUNCTION("""COMPUTED_VALUE"""),"Unknown")</f>
        <v>Unknown</v>
      </c>
      <c r="F693" s="5" t="str">
        <f ca="1">IFERROR(__xludf.DUMMYFUNCTION("""COMPUTED_VALUE"""),"Fled/Escaped")</f>
        <v>Fled/Escaped</v>
      </c>
      <c r="G693" s="5" t="str">
        <f ca="1">IFERROR(__xludf.DUMMYFUNCTION("""COMPUTED_VALUE"""),"No")</f>
        <v>No</v>
      </c>
      <c r="H693" s="5" t="str">
        <f ca="1">IFERROR(__xludf.DUMMYFUNCTION("""COMPUTED_VALUE"""),"None")</f>
        <v>None</v>
      </c>
    </row>
    <row r="694" spans="1:8">
      <c r="A694" s="5" t="str">
        <f ca="1">IFERROR(__xludf.DUMMYFUNCTION("""COMPUTED_VALUE"""),"20190913UTGRW")</f>
        <v>20190913UTGRW</v>
      </c>
      <c r="B694" s="5"/>
      <c r="C694" s="5" t="str">
        <f ca="1">IFERROR(__xludf.DUMMYFUNCTION("""COMPUTED_VALUE"""),"Male")</f>
        <v>Male</v>
      </c>
      <c r="D694" s="5"/>
      <c r="E694" s="5" t="str">
        <f ca="1">IFERROR(__xludf.DUMMYFUNCTION("""COMPUTED_VALUE"""),"No Relation")</f>
        <v>No Relation</v>
      </c>
      <c r="F694" s="5" t="str">
        <f ca="1">IFERROR(__xludf.DUMMYFUNCTION("""COMPUTED_VALUE"""),"Fled/Apprehended")</f>
        <v>Fled/Apprehended</v>
      </c>
      <c r="G694" s="5" t="str">
        <f ca="1">IFERROR(__xludf.DUMMYFUNCTION("""COMPUTED_VALUE"""),"No")</f>
        <v>No</v>
      </c>
      <c r="H694" s="5" t="str">
        <f ca="1">IFERROR(__xludf.DUMMYFUNCTION("""COMPUTED_VALUE"""),"None")</f>
        <v>None</v>
      </c>
    </row>
    <row r="695" spans="1:8">
      <c r="A695" s="5" t="str">
        <f ca="1">IFERROR(__xludf.DUMMYFUNCTION("""COMPUTED_VALUE"""),"20190912KSMAM")</f>
        <v>20190912KSMAM</v>
      </c>
      <c r="B695" s="5" t="str">
        <f ca="1">IFERROR(__xludf.DUMMYFUNCTION("""COMPUTED_VALUE"""),"Adult")</f>
        <v>Adult</v>
      </c>
      <c r="C695" s="5" t="str">
        <f ca="1">IFERROR(__xludf.DUMMYFUNCTION("""COMPUTED_VALUE"""),"Male")</f>
        <v>Male</v>
      </c>
      <c r="D695" s="5"/>
      <c r="E695" s="5" t="str">
        <f ca="1">IFERROR(__xludf.DUMMYFUNCTION("""COMPUTED_VALUE"""),"No Relation")</f>
        <v>No Relation</v>
      </c>
      <c r="F695" s="5" t="str">
        <f ca="1">IFERROR(__xludf.DUMMYFUNCTION("""COMPUTED_VALUE"""),"Fled/Escaped")</f>
        <v>Fled/Escaped</v>
      </c>
      <c r="G695" s="5" t="str">
        <f ca="1">IFERROR(__xludf.DUMMYFUNCTION("""COMPUTED_VALUE"""),"No")</f>
        <v>No</v>
      </c>
      <c r="H695" s="5" t="str">
        <f ca="1">IFERROR(__xludf.DUMMYFUNCTION("""COMPUTED_VALUE"""),"None")</f>
        <v>None</v>
      </c>
    </row>
    <row r="696" spans="1:8">
      <c r="A696" s="5" t="str">
        <f ca="1">IFERROR(__xludf.DUMMYFUNCTION("""COMPUTED_VALUE"""),"20190910SCSOA")</f>
        <v>20190910SCSOA</v>
      </c>
      <c r="B696" s="5" t="str">
        <f ca="1">IFERROR(__xludf.DUMMYFUNCTION("""COMPUTED_VALUE"""),"Teen")</f>
        <v>Teen</v>
      </c>
      <c r="C696" s="5" t="str">
        <f ca="1">IFERROR(__xludf.DUMMYFUNCTION("""COMPUTED_VALUE"""),"Male")</f>
        <v>Male</v>
      </c>
      <c r="D696" s="5" t="str">
        <f ca="1">IFERROR(__xludf.DUMMYFUNCTION("""COMPUTED_VALUE"""),"Black")</f>
        <v>Black</v>
      </c>
      <c r="E696" s="5" t="str">
        <f ca="1">IFERROR(__xludf.DUMMYFUNCTION("""COMPUTED_VALUE"""),"Unknown")</f>
        <v>Unknown</v>
      </c>
      <c r="F696" s="5" t="str">
        <f ca="1">IFERROR(__xludf.DUMMYFUNCTION("""COMPUTED_VALUE"""),"Fled/Escaped")</f>
        <v>Fled/Escaped</v>
      </c>
      <c r="G696" s="5" t="str">
        <f ca="1">IFERROR(__xludf.DUMMYFUNCTION("""COMPUTED_VALUE"""),"No")</f>
        <v>No</v>
      </c>
      <c r="H696" s="5" t="str">
        <f ca="1">IFERROR(__xludf.DUMMYFUNCTION("""COMPUTED_VALUE"""),"None")</f>
        <v>None</v>
      </c>
    </row>
    <row r="697" spans="1:8">
      <c r="A697" s="5" t="str">
        <f ca="1">IFERROR(__xludf.DUMMYFUNCTION("""COMPUTED_VALUE"""),"20190906PAWEM")</f>
        <v>20190906PAWEM</v>
      </c>
      <c r="B697" s="5"/>
      <c r="C697" s="5"/>
      <c r="D697" s="5"/>
      <c r="E697" s="5" t="str">
        <f ca="1">IFERROR(__xludf.DUMMYFUNCTION("""COMPUTED_VALUE"""),"Unknown")</f>
        <v>Unknown</v>
      </c>
      <c r="F697" s="5" t="str">
        <f ca="1">IFERROR(__xludf.DUMMYFUNCTION("""COMPUTED_VALUE"""),"Fled/Escaped")</f>
        <v>Fled/Escaped</v>
      </c>
      <c r="G697" s="5" t="str">
        <f ca="1">IFERROR(__xludf.DUMMYFUNCTION("""COMPUTED_VALUE"""),"No")</f>
        <v>No</v>
      </c>
      <c r="H697" s="5" t="str">
        <f ca="1">IFERROR(__xludf.DUMMYFUNCTION("""COMPUTED_VALUE"""),"None")</f>
        <v>None</v>
      </c>
    </row>
    <row r="698" spans="1:8">
      <c r="A698" s="5" t="str">
        <f ca="1">IFERROR(__xludf.DUMMYFUNCTION("""COMPUTED_VALUE"""),"20190906PAMCJ")</f>
        <v>20190906PAMCJ</v>
      </c>
      <c r="B698" s="5">
        <f ca="1">IFERROR(__xludf.DUMMYFUNCTION("""COMPUTED_VALUE"""),40)</f>
        <v>40</v>
      </c>
      <c r="C698" s="5" t="str">
        <f ca="1">IFERROR(__xludf.DUMMYFUNCTION("""COMPUTED_VALUE"""),"Male")</f>
        <v>Male</v>
      </c>
      <c r="D698" s="5" t="str">
        <f ca="1">IFERROR(__xludf.DUMMYFUNCTION("""COMPUTED_VALUE"""),"Black")</f>
        <v>Black</v>
      </c>
      <c r="E698" s="5" t="str">
        <f ca="1">IFERROR(__xludf.DUMMYFUNCTION("""COMPUTED_VALUE"""),"Unknown")</f>
        <v>Unknown</v>
      </c>
      <c r="F698" s="5" t="str">
        <f ca="1">IFERROR(__xludf.DUMMYFUNCTION("""COMPUTED_VALUE"""),"Fled/Apprehended")</f>
        <v>Fled/Apprehended</v>
      </c>
      <c r="G698" s="5" t="str">
        <f ca="1">IFERROR(__xludf.DUMMYFUNCTION("""COMPUTED_VALUE"""),"No")</f>
        <v>No</v>
      </c>
      <c r="H698" s="5" t="str">
        <f ca="1">IFERROR(__xludf.DUMMYFUNCTION("""COMPUTED_VALUE"""),"None")</f>
        <v>None</v>
      </c>
    </row>
    <row r="699" spans="1:8">
      <c r="A699" s="5" t="str">
        <f ca="1">IFERROR(__xludf.DUMMYFUNCTION("""COMPUTED_VALUE"""),"20190906ALCEC")</f>
        <v>20190906ALCEC</v>
      </c>
      <c r="B699" s="5"/>
      <c r="C699" s="5"/>
      <c r="D699" s="5"/>
      <c r="E699" s="5" t="str">
        <f ca="1">IFERROR(__xludf.DUMMYFUNCTION("""COMPUTED_VALUE"""),"Unknown")</f>
        <v>Unknown</v>
      </c>
      <c r="F699" s="5" t="str">
        <f ca="1">IFERROR(__xludf.DUMMYFUNCTION("""COMPUTED_VALUE"""),"Fled/Escaped")</f>
        <v>Fled/Escaped</v>
      </c>
      <c r="G699" s="5" t="str">
        <f ca="1">IFERROR(__xludf.DUMMYFUNCTION("""COMPUTED_VALUE"""),"No")</f>
        <v>No</v>
      </c>
      <c r="H699" s="5" t="str">
        <f ca="1">IFERROR(__xludf.DUMMYFUNCTION("""COMPUTED_VALUE"""),"None")</f>
        <v>None</v>
      </c>
    </row>
    <row r="700" spans="1:8">
      <c r="A700" s="5" t="str">
        <f ca="1">IFERROR(__xludf.DUMMYFUNCTION("""COMPUTED_VALUE"""),"20190902MDNOB")</f>
        <v>20190902MDNOB</v>
      </c>
      <c r="B700" s="5"/>
      <c r="C700" s="5"/>
      <c r="D700" s="5"/>
      <c r="E700" s="5" t="str">
        <f ca="1">IFERROR(__xludf.DUMMYFUNCTION("""COMPUTED_VALUE"""),"No Relation")</f>
        <v>No Relation</v>
      </c>
      <c r="F700" s="5" t="str">
        <f ca="1">IFERROR(__xludf.DUMMYFUNCTION("""COMPUTED_VALUE"""),"Fled/Escaped")</f>
        <v>Fled/Escaped</v>
      </c>
      <c r="G700" s="5" t="str">
        <f ca="1">IFERROR(__xludf.DUMMYFUNCTION("""COMPUTED_VALUE"""),"No")</f>
        <v>No</v>
      </c>
      <c r="H700" s="5" t="str">
        <f ca="1">IFERROR(__xludf.DUMMYFUNCTION("""COMPUTED_VALUE"""),"None")</f>
        <v>None</v>
      </c>
    </row>
    <row r="701" spans="1:8">
      <c r="A701" s="5" t="str">
        <f ca="1">IFERROR(__xludf.DUMMYFUNCTION("""COMPUTED_VALUE"""),"20190830OHCET")</f>
        <v>20190830OHCET</v>
      </c>
      <c r="B701" s="5"/>
      <c r="C701" s="5" t="str">
        <f ca="1">IFERROR(__xludf.DUMMYFUNCTION("""COMPUTED_VALUE"""),"Male")</f>
        <v>Male</v>
      </c>
      <c r="D701" s="5"/>
      <c r="E701" s="5" t="str">
        <f ca="1">IFERROR(__xludf.DUMMYFUNCTION("""COMPUTED_VALUE"""),"Nonstudent Using Athletic Facilities/Attending Game")</f>
        <v>Nonstudent Using Athletic Facilities/Attending Game</v>
      </c>
      <c r="F701" s="5" t="str">
        <f ca="1">IFERROR(__xludf.DUMMYFUNCTION("""COMPUTED_VALUE"""),"Fled/Escaped")</f>
        <v>Fled/Escaped</v>
      </c>
      <c r="G701" s="5" t="str">
        <f ca="1">IFERROR(__xludf.DUMMYFUNCTION("""COMPUTED_VALUE"""),"No")</f>
        <v>No</v>
      </c>
      <c r="H701" s="5" t="str">
        <f ca="1">IFERROR(__xludf.DUMMYFUNCTION("""COMPUTED_VALUE"""),"None")</f>
        <v>None</v>
      </c>
    </row>
    <row r="702" spans="1:8">
      <c r="A702" s="5" t="str">
        <f ca="1">IFERROR(__xludf.DUMMYFUNCTION("""COMPUTED_VALUE"""),"20190830NCKIK")</f>
        <v>20190830NCKIK</v>
      </c>
      <c r="B702" s="5">
        <f ca="1">IFERROR(__xludf.DUMMYFUNCTION("""COMPUTED_VALUE"""),17)</f>
        <v>17</v>
      </c>
      <c r="C702" s="5" t="str">
        <f ca="1">IFERROR(__xludf.DUMMYFUNCTION("""COMPUTED_VALUE"""),"Male")</f>
        <v>Male</v>
      </c>
      <c r="D702" s="5" t="str">
        <f ca="1">IFERROR(__xludf.DUMMYFUNCTION("""COMPUTED_VALUE"""),"Black")</f>
        <v>Black</v>
      </c>
      <c r="E702" s="5" t="str">
        <f ca="1">IFERROR(__xludf.DUMMYFUNCTION("""COMPUTED_VALUE"""),"Nonstudent Using Athletic Facilities/Attending Game")</f>
        <v>Nonstudent Using Athletic Facilities/Attending Game</v>
      </c>
      <c r="F702" s="5" t="str">
        <f ca="1">IFERROR(__xludf.DUMMYFUNCTION("""COMPUTED_VALUE"""),"Fled/Apprehended")</f>
        <v>Fled/Apprehended</v>
      </c>
      <c r="G702" s="5" t="str">
        <f ca="1">IFERROR(__xludf.DUMMYFUNCTION("""COMPUTED_VALUE"""),"No")</f>
        <v>No</v>
      </c>
      <c r="H702" s="5" t="str">
        <f ca="1">IFERROR(__xludf.DUMMYFUNCTION("""COMPUTED_VALUE"""),"None")</f>
        <v>None</v>
      </c>
    </row>
    <row r="703" spans="1:8">
      <c r="A703" s="5" t="str">
        <f ca="1">IFERROR(__xludf.DUMMYFUNCTION("""COMPUTED_VALUE"""),"20190830ALLAM")</f>
        <v>20190830ALLAM</v>
      </c>
      <c r="B703" s="5">
        <f ca="1">IFERROR(__xludf.DUMMYFUNCTION("""COMPUTED_VALUE"""),17)</f>
        <v>17</v>
      </c>
      <c r="C703" s="5" t="str">
        <f ca="1">IFERROR(__xludf.DUMMYFUNCTION("""COMPUTED_VALUE"""),"Male")</f>
        <v>Male</v>
      </c>
      <c r="D703" s="5" t="str">
        <f ca="1">IFERROR(__xludf.DUMMYFUNCTION("""COMPUTED_VALUE"""),"Black")</f>
        <v>Black</v>
      </c>
      <c r="E703" s="5" t="str">
        <f ca="1">IFERROR(__xludf.DUMMYFUNCTION("""COMPUTED_VALUE"""),"Student")</f>
        <v>Student</v>
      </c>
      <c r="F703" s="5" t="str">
        <f ca="1">IFERROR(__xludf.DUMMYFUNCTION("""COMPUTED_VALUE"""),"Fled/Apprehended")</f>
        <v>Fled/Apprehended</v>
      </c>
      <c r="G703" s="5" t="str">
        <f ca="1">IFERROR(__xludf.DUMMYFUNCTION("""COMPUTED_VALUE"""),"No")</f>
        <v>No</v>
      </c>
      <c r="H703" s="5" t="str">
        <f ca="1">IFERROR(__xludf.DUMMYFUNCTION("""COMPUTED_VALUE"""),"None")</f>
        <v>None</v>
      </c>
    </row>
    <row r="704" spans="1:8">
      <c r="A704" s="5" t="str">
        <f ca="1">IFERROR(__xludf.DUMMYFUNCTION("""COMPUTED_VALUE"""),"20190827NYROR")</f>
        <v>20190827NYROR</v>
      </c>
      <c r="B704" s="5" t="str">
        <f ca="1">IFERROR(__xludf.DUMMYFUNCTION("""COMPUTED_VALUE"""),"Adult")</f>
        <v>Adult</v>
      </c>
      <c r="C704" s="5" t="str">
        <f ca="1">IFERROR(__xludf.DUMMYFUNCTION("""COMPUTED_VALUE"""),"Male")</f>
        <v>Male</v>
      </c>
      <c r="D704" s="5"/>
      <c r="E704" s="5" t="str">
        <f ca="1">IFERROR(__xludf.DUMMYFUNCTION("""COMPUTED_VALUE"""),"Unknown")</f>
        <v>Unknown</v>
      </c>
      <c r="F704" s="5" t="str">
        <f ca="1">IFERROR(__xludf.DUMMYFUNCTION("""COMPUTED_VALUE"""),"Fled/Escaped")</f>
        <v>Fled/Escaped</v>
      </c>
      <c r="G704" s="5" t="str">
        <f ca="1">IFERROR(__xludf.DUMMYFUNCTION("""COMPUTED_VALUE"""),"No")</f>
        <v>No</v>
      </c>
      <c r="H704" s="5" t="str">
        <f ca="1">IFERROR(__xludf.DUMMYFUNCTION("""COMPUTED_VALUE"""),"None")</f>
        <v>None</v>
      </c>
    </row>
    <row r="705" spans="1:8">
      <c r="A705" s="5" t="str">
        <f ca="1">IFERROR(__xludf.DUMMYFUNCTION("""COMPUTED_VALUE"""),"20190827CAHOL")</f>
        <v>20190827CAHOL</v>
      </c>
      <c r="B705" s="5"/>
      <c r="C705" s="5"/>
      <c r="D705" s="5"/>
      <c r="E705" s="5" t="str">
        <f ca="1">IFERROR(__xludf.DUMMYFUNCTION("""COMPUTED_VALUE"""),"Unknown")</f>
        <v>Unknown</v>
      </c>
      <c r="F705" s="5" t="str">
        <f ca="1">IFERROR(__xludf.DUMMYFUNCTION("""COMPUTED_VALUE"""),"Fled/Escaped")</f>
        <v>Fled/Escaped</v>
      </c>
      <c r="G705" s="5" t="str">
        <f ca="1">IFERROR(__xludf.DUMMYFUNCTION("""COMPUTED_VALUE"""),"No")</f>
        <v>No</v>
      </c>
      <c r="H705" s="5" t="str">
        <f ca="1">IFERROR(__xludf.DUMMYFUNCTION("""COMPUTED_VALUE"""),"None")</f>
        <v>None</v>
      </c>
    </row>
    <row r="706" spans="1:8">
      <c r="A706" s="5" t="str">
        <f ca="1">IFERROR(__xludf.DUMMYFUNCTION("""COMPUTED_VALUE"""),"20190824PAWIP")</f>
        <v>20190824PAWIP</v>
      </c>
      <c r="B706" s="5"/>
      <c r="C706" s="5" t="str">
        <f ca="1">IFERROR(__xludf.DUMMYFUNCTION("""COMPUTED_VALUE"""),"Male")</f>
        <v>Male</v>
      </c>
      <c r="D706" s="5"/>
      <c r="E706" s="5" t="str">
        <f ca="1">IFERROR(__xludf.DUMMYFUNCTION("""COMPUTED_VALUE"""),"No Relation")</f>
        <v>No Relation</v>
      </c>
      <c r="F706" s="5" t="str">
        <f ca="1">IFERROR(__xludf.DUMMYFUNCTION("""COMPUTED_VALUE"""),"Fled/Escaped")</f>
        <v>Fled/Escaped</v>
      </c>
      <c r="G706" s="5" t="str">
        <f ca="1">IFERROR(__xludf.DUMMYFUNCTION("""COMPUTED_VALUE"""),"No")</f>
        <v>No</v>
      </c>
      <c r="H706" s="5" t="str">
        <f ca="1">IFERROR(__xludf.DUMMYFUNCTION("""COMPUTED_VALUE"""),"None")</f>
        <v>None</v>
      </c>
    </row>
    <row r="707" spans="1:8">
      <c r="A707" s="5" t="str">
        <f ca="1">IFERROR(__xludf.DUMMYFUNCTION("""COMPUTED_VALUE"""),"20190823MOROS")</f>
        <v>20190823MOROS</v>
      </c>
      <c r="B707" s="5"/>
      <c r="C707" s="5"/>
      <c r="D707" s="5"/>
      <c r="E707" s="5" t="str">
        <f ca="1">IFERROR(__xludf.DUMMYFUNCTION("""COMPUTED_VALUE"""),"Unknown")</f>
        <v>Unknown</v>
      </c>
      <c r="F707" s="5" t="str">
        <f ca="1">IFERROR(__xludf.DUMMYFUNCTION("""COMPUTED_VALUE"""),"Fled/Escaped")</f>
        <v>Fled/Escaped</v>
      </c>
      <c r="G707" s="5" t="str">
        <f ca="1">IFERROR(__xludf.DUMMYFUNCTION("""COMPUTED_VALUE"""),"No")</f>
        <v>No</v>
      </c>
      <c r="H707" s="5" t="str">
        <f ca="1">IFERROR(__xludf.DUMMYFUNCTION("""COMPUTED_VALUE"""),"None")</f>
        <v>None</v>
      </c>
    </row>
    <row r="708" spans="1:8">
      <c r="A708" s="5" t="str">
        <f ca="1">IFERROR(__xludf.DUMMYFUNCTION("""COMPUTED_VALUE"""),"20190823MOPAS")</f>
        <v>20190823MOPAS</v>
      </c>
      <c r="B708" s="5"/>
      <c r="C708" s="5" t="str">
        <f ca="1">IFERROR(__xludf.DUMMYFUNCTION("""COMPUTED_VALUE"""),"Male")</f>
        <v>Male</v>
      </c>
      <c r="D708" s="5"/>
      <c r="E708" s="5" t="str">
        <f ca="1">IFERROR(__xludf.DUMMYFUNCTION("""COMPUTED_VALUE"""),"Unknown")</f>
        <v>Unknown</v>
      </c>
      <c r="F708" s="5" t="str">
        <f ca="1">IFERROR(__xludf.DUMMYFUNCTION("""COMPUTED_VALUE"""),"Fled/Escaped")</f>
        <v>Fled/Escaped</v>
      </c>
      <c r="G708" s="5" t="str">
        <f ca="1">IFERROR(__xludf.DUMMYFUNCTION("""COMPUTED_VALUE"""),"No")</f>
        <v>No</v>
      </c>
      <c r="H708" s="5" t="str">
        <f ca="1">IFERROR(__xludf.DUMMYFUNCTION("""COMPUTED_VALUE"""),"None")</f>
        <v>None</v>
      </c>
    </row>
    <row r="709" spans="1:8">
      <c r="A709" s="5" t="str">
        <f ca="1">IFERROR(__xludf.DUMMYFUNCTION("""COMPUTED_VALUE"""),"20190823GAPEC")</f>
        <v>20190823GAPEC</v>
      </c>
      <c r="B709" s="5">
        <f ca="1">IFERROR(__xludf.DUMMYFUNCTION("""COMPUTED_VALUE"""),15)</f>
        <v>15</v>
      </c>
      <c r="C709" s="5" t="str">
        <f ca="1">IFERROR(__xludf.DUMMYFUNCTION("""COMPUTED_VALUE"""),"Male")</f>
        <v>Male</v>
      </c>
      <c r="D709" s="5"/>
      <c r="E709" s="5" t="str">
        <f ca="1">IFERROR(__xludf.DUMMYFUNCTION("""COMPUTED_VALUE"""),"Unknown")</f>
        <v>Unknown</v>
      </c>
      <c r="F709" s="5" t="str">
        <f ca="1">IFERROR(__xludf.DUMMYFUNCTION("""COMPUTED_VALUE"""),"Unknown")</f>
        <v>Unknown</v>
      </c>
      <c r="G709" s="5" t="str">
        <f ca="1">IFERROR(__xludf.DUMMYFUNCTION("""COMPUTED_VALUE"""),"No")</f>
        <v>No</v>
      </c>
      <c r="H709" s="5" t="str">
        <f ca="1">IFERROR(__xludf.DUMMYFUNCTION("""COMPUTED_VALUE"""),"None")</f>
        <v>None</v>
      </c>
    </row>
    <row r="710" spans="1:8">
      <c r="A710" s="5" t="str">
        <f ca="1">IFERROR(__xludf.DUMMYFUNCTION("""COMPUTED_VALUE"""),"20190820PASAC")</f>
        <v>20190820PASAC</v>
      </c>
      <c r="B710" s="5" t="str">
        <f ca="1">IFERROR(__xludf.DUMMYFUNCTION("""COMPUTED_VALUE"""),"Adult")</f>
        <v>Adult</v>
      </c>
      <c r="C710" s="5" t="str">
        <f ca="1">IFERROR(__xludf.DUMMYFUNCTION("""COMPUTED_VALUE"""),"Male")</f>
        <v>Male</v>
      </c>
      <c r="D710" s="5"/>
      <c r="E710" s="5" t="str">
        <f ca="1">IFERROR(__xludf.DUMMYFUNCTION("""COMPUTED_VALUE"""),"Parent")</f>
        <v>Parent</v>
      </c>
      <c r="F710" s="5" t="str">
        <f ca="1">IFERROR(__xludf.DUMMYFUNCTION("""COMPUTED_VALUE"""),"Surrendered")</f>
        <v>Surrendered</v>
      </c>
      <c r="G710" s="5" t="str">
        <f ca="1">IFERROR(__xludf.DUMMYFUNCTION("""COMPUTED_VALUE"""),"No")</f>
        <v>No</v>
      </c>
      <c r="H710" s="5" t="str">
        <f ca="1">IFERROR(__xludf.DUMMYFUNCTION("""COMPUTED_VALUE"""),"Wounded")</f>
        <v>Wounded</v>
      </c>
    </row>
    <row r="711" spans="1:8">
      <c r="A711" s="5" t="str">
        <f ca="1">IFERROR(__xludf.DUMMYFUNCTION("""COMPUTED_VALUE"""),"20190817GALAA")</f>
        <v>20190817GALAA</v>
      </c>
      <c r="B711" s="5">
        <f ca="1">IFERROR(__xludf.DUMMYFUNCTION("""COMPUTED_VALUE"""),15)</f>
        <v>15</v>
      </c>
      <c r="C711" s="5" t="str">
        <f ca="1">IFERROR(__xludf.DUMMYFUNCTION("""COMPUTED_VALUE"""),"Male")</f>
        <v>Male</v>
      </c>
      <c r="D711" s="5"/>
      <c r="E711" s="5" t="str">
        <f ca="1">IFERROR(__xludf.DUMMYFUNCTION("""COMPUTED_VALUE"""),"Student")</f>
        <v>Student</v>
      </c>
      <c r="F711" s="5" t="str">
        <f ca="1">IFERROR(__xludf.DUMMYFUNCTION("""COMPUTED_VALUE"""),"Fled/Apprehended")</f>
        <v>Fled/Apprehended</v>
      </c>
      <c r="G711" s="5" t="str">
        <f ca="1">IFERROR(__xludf.DUMMYFUNCTION("""COMPUTED_VALUE"""),"No")</f>
        <v>No</v>
      </c>
      <c r="H711" s="5" t="str">
        <f ca="1">IFERROR(__xludf.DUMMYFUNCTION("""COMPUTED_VALUE"""),"None")</f>
        <v>None</v>
      </c>
    </row>
    <row r="712" spans="1:8">
      <c r="A712" s="5" t="str">
        <f ca="1">IFERROR(__xludf.DUMMYFUNCTION("""COMPUTED_VALUE"""),"20190815TNEAN")</f>
        <v>20190815TNEAN</v>
      </c>
      <c r="B712" s="5">
        <f ca="1">IFERROR(__xludf.DUMMYFUNCTION("""COMPUTED_VALUE"""),15)</f>
        <v>15</v>
      </c>
      <c r="C712" s="5" t="str">
        <f ca="1">IFERROR(__xludf.DUMMYFUNCTION("""COMPUTED_VALUE"""),"Male")</f>
        <v>Male</v>
      </c>
      <c r="D712" s="5"/>
      <c r="E712" s="5" t="str">
        <f ca="1">IFERROR(__xludf.DUMMYFUNCTION("""COMPUTED_VALUE"""),"Rival School Student")</f>
        <v>Rival School Student</v>
      </c>
      <c r="F712" s="5" t="str">
        <f ca="1">IFERROR(__xludf.DUMMYFUNCTION("""COMPUTED_VALUE"""),"Fled/Apprehended")</f>
        <v>Fled/Apprehended</v>
      </c>
      <c r="G712" s="5" t="str">
        <f ca="1">IFERROR(__xludf.DUMMYFUNCTION("""COMPUTED_VALUE"""),"No")</f>
        <v>No</v>
      </c>
      <c r="H712" s="5" t="str">
        <f ca="1">IFERROR(__xludf.DUMMYFUNCTION("""COMPUTED_VALUE"""),"None")</f>
        <v>None</v>
      </c>
    </row>
    <row r="713" spans="1:8">
      <c r="A713" s="5" t="str">
        <f ca="1">IFERROR(__xludf.DUMMYFUNCTION("""COMPUTED_VALUE"""),"20190809NJWEN")</f>
        <v>20190809NJWEN</v>
      </c>
      <c r="B713" s="5">
        <f ca="1">IFERROR(__xludf.DUMMYFUNCTION("""COMPUTED_VALUE"""),16)</f>
        <v>16</v>
      </c>
      <c r="C713" s="5" t="str">
        <f ca="1">IFERROR(__xludf.DUMMYFUNCTION("""COMPUTED_VALUE"""),"Male")</f>
        <v>Male</v>
      </c>
      <c r="D713" s="5"/>
      <c r="E713" s="5" t="str">
        <f ca="1">IFERROR(__xludf.DUMMYFUNCTION("""COMPUTED_VALUE"""),"No Relation")</f>
        <v>No Relation</v>
      </c>
      <c r="F713" s="5" t="str">
        <f ca="1">IFERROR(__xludf.DUMMYFUNCTION("""COMPUTED_VALUE"""),"Fled/Apprehended")</f>
        <v>Fled/Apprehended</v>
      </c>
      <c r="G713" s="5" t="str">
        <f ca="1">IFERROR(__xludf.DUMMYFUNCTION("""COMPUTED_VALUE"""),"No")</f>
        <v>No</v>
      </c>
      <c r="H713" s="5" t="str">
        <f ca="1">IFERROR(__xludf.DUMMYFUNCTION("""COMPUTED_VALUE"""),"None")</f>
        <v>None</v>
      </c>
    </row>
    <row r="714" spans="1:8">
      <c r="A714" s="5" t="str">
        <f ca="1">IFERROR(__xludf.DUMMYFUNCTION("""COMPUTED_VALUE"""),"20190808ALBLM")</f>
        <v>20190808ALBLM</v>
      </c>
      <c r="B714" s="5">
        <f ca="1">IFERROR(__xludf.DUMMYFUNCTION("""COMPUTED_VALUE"""),38)</f>
        <v>38</v>
      </c>
      <c r="C714" s="5" t="str">
        <f ca="1">IFERROR(__xludf.DUMMYFUNCTION("""COMPUTED_VALUE"""),"Male")</f>
        <v>Male</v>
      </c>
      <c r="D714" s="5"/>
      <c r="E714" s="5" t="str">
        <f ca="1">IFERROR(__xludf.DUMMYFUNCTION("""COMPUTED_VALUE"""),"Parent")</f>
        <v>Parent</v>
      </c>
      <c r="F714" s="5" t="str">
        <f ca="1">IFERROR(__xludf.DUMMYFUNCTION("""COMPUTED_VALUE"""),"Surrendered")</f>
        <v>Surrendered</v>
      </c>
      <c r="G714" s="5" t="str">
        <f ca="1">IFERROR(__xludf.DUMMYFUNCTION("""COMPUTED_VALUE"""),"No")</f>
        <v>No</v>
      </c>
      <c r="H714" s="5" t="str">
        <f ca="1">IFERROR(__xludf.DUMMYFUNCTION("""COMPUTED_VALUE"""),"None")</f>
        <v>None</v>
      </c>
    </row>
    <row r="715" spans="1:8">
      <c r="A715" s="5" t="str">
        <f ca="1">IFERROR(__xludf.DUMMYFUNCTION("""COMPUTED_VALUE"""),"20190719CAMOS")</f>
        <v>20190719CAMOS</v>
      </c>
      <c r="B715" s="5" t="str">
        <f ca="1">IFERROR(__xludf.DUMMYFUNCTION("""COMPUTED_VALUE"""),"Teen")</f>
        <v>Teen</v>
      </c>
      <c r="C715" s="5" t="str">
        <f ca="1">IFERROR(__xludf.DUMMYFUNCTION("""COMPUTED_VALUE"""),"Male")</f>
        <v>Male</v>
      </c>
      <c r="D715" s="5"/>
      <c r="E715" s="5" t="str">
        <f ca="1">IFERROR(__xludf.DUMMYFUNCTION("""COMPUTED_VALUE"""),"Unknown")</f>
        <v>Unknown</v>
      </c>
      <c r="F715" s="5" t="str">
        <f ca="1">IFERROR(__xludf.DUMMYFUNCTION("""COMPUTED_VALUE"""),"Fled/Escaped")</f>
        <v>Fled/Escaped</v>
      </c>
      <c r="G715" s="5" t="str">
        <f ca="1">IFERROR(__xludf.DUMMYFUNCTION("""COMPUTED_VALUE"""),"No")</f>
        <v>No</v>
      </c>
      <c r="H715" s="5" t="str">
        <f ca="1">IFERROR(__xludf.DUMMYFUNCTION("""COMPUTED_VALUE"""),"None")</f>
        <v>None</v>
      </c>
    </row>
    <row r="716" spans="1:8">
      <c r="A716" s="5" t="str">
        <f ca="1">IFERROR(__xludf.DUMMYFUNCTION("""COMPUTED_VALUE"""),"20190711CTBUH")</f>
        <v>20190711CTBUH</v>
      </c>
      <c r="B716" s="5">
        <f ca="1">IFERROR(__xludf.DUMMYFUNCTION("""COMPUTED_VALUE"""),23)</f>
        <v>23</v>
      </c>
      <c r="C716" s="5" t="str">
        <f ca="1">IFERROR(__xludf.DUMMYFUNCTION("""COMPUTED_VALUE"""),"Female")</f>
        <v>Female</v>
      </c>
      <c r="D716" s="5" t="str">
        <f ca="1">IFERROR(__xludf.DUMMYFUNCTION("""COMPUTED_VALUE"""),"Hispanic")</f>
        <v>Hispanic</v>
      </c>
      <c r="E716" s="5" t="str">
        <f ca="1">IFERROR(__xludf.DUMMYFUNCTION("""COMPUTED_VALUE"""),"No Relation")</f>
        <v>No Relation</v>
      </c>
      <c r="F716" s="5" t="str">
        <f ca="1">IFERROR(__xludf.DUMMYFUNCTION("""COMPUTED_VALUE"""),"Fled/Apprehended")</f>
        <v>Fled/Apprehended</v>
      </c>
      <c r="G716" s="5" t="str">
        <f ca="1">IFERROR(__xludf.DUMMYFUNCTION("""COMPUTED_VALUE"""),"No")</f>
        <v>No</v>
      </c>
      <c r="H716" s="5" t="str">
        <f ca="1">IFERROR(__xludf.DUMMYFUNCTION("""COMPUTED_VALUE"""),"None")</f>
        <v>None</v>
      </c>
    </row>
    <row r="717" spans="1:8">
      <c r="A717" s="5" t="str">
        <f ca="1">IFERROR(__xludf.DUMMYFUNCTION("""COMPUTED_VALUE"""),"20190702AKWIA")</f>
        <v>20190702AKWIA</v>
      </c>
      <c r="B717" s="5">
        <f ca="1">IFERROR(__xludf.DUMMYFUNCTION("""COMPUTED_VALUE"""),22)</f>
        <v>22</v>
      </c>
      <c r="C717" s="5" t="str">
        <f ca="1">IFERROR(__xludf.DUMMYFUNCTION("""COMPUTED_VALUE"""),"Male")</f>
        <v>Male</v>
      </c>
      <c r="D717" s="5"/>
      <c r="E717" s="5" t="str">
        <f ca="1">IFERROR(__xludf.DUMMYFUNCTION("""COMPUTED_VALUE"""),"Nonstudent Using Athletic Facilities/Attending Game")</f>
        <v>Nonstudent Using Athletic Facilities/Attending Game</v>
      </c>
      <c r="F717" s="5" t="str">
        <f ca="1">IFERROR(__xludf.DUMMYFUNCTION("""COMPUTED_VALUE"""),"Fled/Apprehended")</f>
        <v>Fled/Apprehended</v>
      </c>
      <c r="G717" s="5" t="str">
        <f ca="1">IFERROR(__xludf.DUMMYFUNCTION("""COMPUTED_VALUE"""),"No")</f>
        <v>No</v>
      </c>
      <c r="H717" s="5" t="str">
        <f ca="1">IFERROR(__xludf.DUMMYFUNCTION("""COMPUTED_VALUE"""),"None")</f>
        <v>None</v>
      </c>
    </row>
    <row r="718" spans="1:8">
      <c r="A718" s="5" t="str">
        <f ca="1">IFERROR(__xludf.DUMMYFUNCTION("""COMPUTED_VALUE"""),"20190701NYSCN")</f>
        <v>20190701NYSCN</v>
      </c>
      <c r="B718" s="5" t="str">
        <f ca="1">IFERROR(__xludf.DUMMYFUNCTION("""COMPUTED_VALUE"""),"Adult")</f>
        <v>Adult</v>
      </c>
      <c r="C718" s="5" t="str">
        <f ca="1">IFERROR(__xludf.DUMMYFUNCTION("""COMPUTED_VALUE"""),"Male")</f>
        <v>Male</v>
      </c>
      <c r="D718" s="5"/>
      <c r="E718" s="5" t="str">
        <f ca="1">IFERROR(__xludf.DUMMYFUNCTION("""COMPUTED_VALUE"""),"No Relation")</f>
        <v>No Relation</v>
      </c>
      <c r="F718" s="5" t="str">
        <f ca="1">IFERROR(__xludf.DUMMYFUNCTION("""COMPUTED_VALUE"""),"Fled/Escaped")</f>
        <v>Fled/Escaped</v>
      </c>
      <c r="G718" s="5" t="str">
        <f ca="1">IFERROR(__xludf.DUMMYFUNCTION("""COMPUTED_VALUE"""),"No")</f>
        <v>No</v>
      </c>
      <c r="H718" s="5" t="str">
        <f ca="1">IFERROR(__xludf.DUMMYFUNCTION("""COMPUTED_VALUE"""),"None")</f>
        <v>None</v>
      </c>
    </row>
    <row r="719" spans="1:8">
      <c r="A719" s="5" t="str">
        <f ca="1">IFERROR(__xludf.DUMMYFUNCTION("""COMPUTED_VALUE"""),"20190629COJAC")</f>
        <v>20190629COJAC</v>
      </c>
      <c r="B719" s="5"/>
      <c r="C719" s="5" t="str">
        <f ca="1">IFERROR(__xludf.DUMMYFUNCTION("""COMPUTED_VALUE"""),"Male")</f>
        <v>Male</v>
      </c>
      <c r="D719" s="5"/>
      <c r="E719" s="5" t="str">
        <f ca="1">IFERROR(__xludf.DUMMYFUNCTION("""COMPUTED_VALUE"""),"No Relation")</f>
        <v>No Relation</v>
      </c>
      <c r="F719" s="5" t="str">
        <f ca="1">IFERROR(__xludf.DUMMYFUNCTION("""COMPUTED_VALUE"""),"Fled/Escaped")</f>
        <v>Fled/Escaped</v>
      </c>
      <c r="G719" s="5" t="str">
        <f ca="1">IFERROR(__xludf.DUMMYFUNCTION("""COMPUTED_VALUE"""),"No")</f>
        <v>No</v>
      </c>
      <c r="H719" s="5" t="str">
        <f ca="1">IFERROR(__xludf.DUMMYFUNCTION("""COMPUTED_VALUE"""),"None")</f>
        <v>None</v>
      </c>
    </row>
    <row r="720" spans="1:8">
      <c r="A720" s="5" t="str">
        <f ca="1">IFERROR(__xludf.DUMMYFUNCTION("""COMPUTED_VALUE"""),"20190621MICAF")</f>
        <v>20190621MICAF</v>
      </c>
      <c r="B720" s="5"/>
      <c r="C720" s="5"/>
      <c r="D720" s="5"/>
      <c r="E720" s="5" t="str">
        <f ca="1">IFERROR(__xludf.DUMMYFUNCTION("""COMPUTED_VALUE"""),"Unknown")</f>
        <v>Unknown</v>
      </c>
      <c r="F720" s="5" t="str">
        <f ca="1">IFERROR(__xludf.DUMMYFUNCTION("""COMPUTED_VALUE"""),"Fled/Escaped")</f>
        <v>Fled/Escaped</v>
      </c>
      <c r="G720" s="5" t="str">
        <f ca="1">IFERROR(__xludf.DUMMYFUNCTION("""COMPUTED_VALUE"""),"No")</f>
        <v>No</v>
      </c>
      <c r="H720" s="5" t="str">
        <f ca="1">IFERROR(__xludf.DUMMYFUNCTION("""COMPUTED_VALUE"""),"None")</f>
        <v>None</v>
      </c>
    </row>
    <row r="721" spans="1:8">
      <c r="A721" s="5" t="str">
        <f ca="1">IFERROR(__xludf.DUMMYFUNCTION("""COMPUTED_VALUE"""),"20190613NJTAW")</f>
        <v>20190613NJTAW</v>
      </c>
      <c r="B721" s="5">
        <f ca="1">IFERROR(__xludf.DUMMYFUNCTION("""COMPUTED_VALUE"""),46)</f>
        <v>46</v>
      </c>
      <c r="C721" s="5" t="str">
        <f ca="1">IFERROR(__xludf.DUMMYFUNCTION("""COMPUTED_VALUE"""),"Male")</f>
        <v>Male</v>
      </c>
      <c r="D721" s="5" t="str">
        <f ca="1">IFERROR(__xludf.DUMMYFUNCTION("""COMPUTED_VALUE"""),"White")</f>
        <v>White</v>
      </c>
      <c r="E721" s="5" t="str">
        <f ca="1">IFERROR(__xludf.DUMMYFUNCTION("""COMPUTED_VALUE"""),"Unknown")</f>
        <v>Unknown</v>
      </c>
      <c r="F721" s="5" t="str">
        <f ca="1">IFERROR(__xludf.DUMMYFUNCTION("""COMPUTED_VALUE"""),"Surrendered")</f>
        <v>Surrendered</v>
      </c>
      <c r="G721" s="5" t="str">
        <f ca="1">IFERROR(__xludf.DUMMYFUNCTION("""COMPUTED_VALUE"""),"No")</f>
        <v>No</v>
      </c>
      <c r="H721" s="5" t="str">
        <f ca="1">IFERROR(__xludf.DUMMYFUNCTION("""COMPUTED_VALUE"""),"None")</f>
        <v>None</v>
      </c>
    </row>
    <row r="722" spans="1:8">
      <c r="A722" s="5" t="str">
        <f ca="1">IFERROR(__xludf.DUMMYFUNCTION("""COMPUTED_VALUE"""),"20190612PAJEE")</f>
        <v>20190612PAJEE</v>
      </c>
      <c r="B722" s="5">
        <f ca="1">IFERROR(__xludf.DUMMYFUNCTION("""COMPUTED_VALUE"""),16)</f>
        <v>16</v>
      </c>
      <c r="C722" s="5" t="str">
        <f ca="1">IFERROR(__xludf.DUMMYFUNCTION("""COMPUTED_VALUE"""),"Male")</f>
        <v>Male</v>
      </c>
      <c r="D722" s="5"/>
      <c r="E722" s="5" t="str">
        <f ca="1">IFERROR(__xludf.DUMMYFUNCTION("""COMPUTED_VALUE"""),"No Relation")</f>
        <v>No Relation</v>
      </c>
      <c r="F722" s="5" t="str">
        <f ca="1">IFERROR(__xludf.DUMMYFUNCTION("""COMPUTED_VALUE"""),"Fled/Apprehended")</f>
        <v>Fled/Apprehended</v>
      </c>
      <c r="G722" s="5" t="str">
        <f ca="1">IFERROR(__xludf.DUMMYFUNCTION("""COMPUTED_VALUE"""),"No")</f>
        <v>No</v>
      </c>
      <c r="H722" s="5" t="str">
        <f ca="1">IFERROR(__xludf.DUMMYFUNCTION("""COMPUTED_VALUE"""),"None")</f>
        <v>None</v>
      </c>
    </row>
    <row r="723" spans="1:8">
      <c r="A723" s="5" t="str">
        <f ca="1">IFERROR(__xludf.DUMMYFUNCTION("""COMPUTED_VALUE"""),"20190612PAJEE")</f>
        <v>20190612PAJEE</v>
      </c>
      <c r="B723" s="5">
        <f ca="1">IFERROR(__xludf.DUMMYFUNCTION("""COMPUTED_VALUE"""),18)</f>
        <v>18</v>
      </c>
      <c r="C723" s="5" t="str">
        <f ca="1">IFERROR(__xludf.DUMMYFUNCTION("""COMPUTED_VALUE"""),"Female")</f>
        <v>Female</v>
      </c>
      <c r="D723" s="5"/>
      <c r="E723" s="5" t="str">
        <f ca="1">IFERROR(__xludf.DUMMYFUNCTION("""COMPUTED_VALUE"""),"Intimate Relationship")</f>
        <v>Intimate Relationship</v>
      </c>
      <c r="F723" s="5" t="str">
        <f ca="1">IFERROR(__xludf.DUMMYFUNCTION("""COMPUTED_VALUE"""),"Fled/Apprehended")</f>
        <v>Fled/Apprehended</v>
      </c>
      <c r="G723" s="5" t="str">
        <f ca="1">IFERROR(__xludf.DUMMYFUNCTION("""COMPUTED_VALUE"""),"No")</f>
        <v>No</v>
      </c>
      <c r="H723" s="5" t="str">
        <f ca="1">IFERROR(__xludf.DUMMYFUNCTION("""COMPUTED_VALUE"""),"None")</f>
        <v>None</v>
      </c>
    </row>
    <row r="724" spans="1:8">
      <c r="A724" s="5" t="str">
        <f ca="1">IFERROR(__xludf.DUMMYFUNCTION("""COMPUTED_VALUE"""),"20190612DCHEW")</f>
        <v>20190612DCHEW</v>
      </c>
      <c r="B724" s="5"/>
      <c r="C724" s="5"/>
      <c r="D724" s="5"/>
      <c r="E724" s="5" t="str">
        <f ca="1">IFERROR(__xludf.DUMMYFUNCTION("""COMPUTED_VALUE"""),"No Relation")</f>
        <v>No Relation</v>
      </c>
      <c r="F724" s="5" t="str">
        <f ca="1">IFERROR(__xludf.DUMMYFUNCTION("""COMPUTED_VALUE"""),"Fled/Escaped")</f>
        <v>Fled/Escaped</v>
      </c>
      <c r="G724" s="5" t="str">
        <f ca="1">IFERROR(__xludf.DUMMYFUNCTION("""COMPUTED_VALUE"""),"No")</f>
        <v>No</v>
      </c>
      <c r="H724" s="5" t="str">
        <f ca="1">IFERROR(__xludf.DUMMYFUNCTION("""COMPUTED_VALUE"""),"None")</f>
        <v>None</v>
      </c>
    </row>
    <row r="725" spans="1:8">
      <c r="A725" s="5" t="str">
        <f ca="1">IFERROR(__xludf.DUMMYFUNCTION("""COMPUTED_VALUE"""),"20190610ILMEW")</f>
        <v>20190610ILMEW</v>
      </c>
      <c r="B725" s="5">
        <f ca="1">IFERROR(__xludf.DUMMYFUNCTION("""COMPUTED_VALUE"""),15)</f>
        <v>15</v>
      </c>
      <c r="C725" s="5" t="str">
        <f ca="1">IFERROR(__xludf.DUMMYFUNCTION("""COMPUTED_VALUE"""),"Male")</f>
        <v>Male</v>
      </c>
      <c r="D725" s="5"/>
      <c r="E725" s="5" t="str">
        <f ca="1">IFERROR(__xludf.DUMMYFUNCTION("""COMPUTED_VALUE"""),"No Relation")</f>
        <v>No Relation</v>
      </c>
      <c r="F725" s="5" t="str">
        <f ca="1">IFERROR(__xludf.DUMMYFUNCTION("""COMPUTED_VALUE"""),"Fled/Apprehended")</f>
        <v>Fled/Apprehended</v>
      </c>
      <c r="G725" s="5" t="str">
        <f ca="1">IFERROR(__xludf.DUMMYFUNCTION("""COMPUTED_VALUE"""),"No")</f>
        <v>No</v>
      </c>
      <c r="H725" s="5" t="str">
        <f ca="1">IFERROR(__xludf.DUMMYFUNCTION("""COMPUTED_VALUE"""),"None")</f>
        <v>None</v>
      </c>
    </row>
    <row r="726" spans="1:8">
      <c r="A726" s="5" t="str">
        <f ca="1">IFERROR(__xludf.DUMMYFUNCTION("""COMPUTED_VALUE"""),"20190610ILMEW")</f>
        <v>20190610ILMEW</v>
      </c>
      <c r="B726" s="5">
        <f ca="1">IFERROR(__xludf.DUMMYFUNCTION("""COMPUTED_VALUE"""),27)</f>
        <v>27</v>
      </c>
      <c r="C726" s="5" t="str">
        <f ca="1">IFERROR(__xludf.DUMMYFUNCTION("""COMPUTED_VALUE"""),"Male")</f>
        <v>Male</v>
      </c>
      <c r="D726" s="5"/>
      <c r="E726" s="5" t="str">
        <f ca="1">IFERROR(__xludf.DUMMYFUNCTION("""COMPUTED_VALUE"""),"No Relation")</f>
        <v>No Relation</v>
      </c>
      <c r="F726" s="5" t="str">
        <f ca="1">IFERROR(__xludf.DUMMYFUNCTION("""COMPUTED_VALUE"""),"Fled/Apprehended")</f>
        <v>Fled/Apprehended</v>
      </c>
      <c r="G726" s="5" t="str">
        <f ca="1">IFERROR(__xludf.DUMMYFUNCTION("""COMPUTED_VALUE"""),"No")</f>
        <v>No</v>
      </c>
      <c r="H726" s="5" t="str">
        <f ca="1">IFERROR(__xludf.DUMMYFUNCTION("""COMPUTED_VALUE"""),"None")</f>
        <v>None</v>
      </c>
    </row>
    <row r="727" spans="1:8">
      <c r="A727" s="5" t="str">
        <f ca="1">IFERROR(__xludf.DUMMYFUNCTION("""COMPUTED_VALUE"""),"20190606ILGEC")</f>
        <v>20190606ILGEC</v>
      </c>
      <c r="B727" s="5"/>
      <c r="C727" s="5"/>
      <c r="D727" s="5"/>
      <c r="E727" s="5" t="str">
        <f ca="1">IFERROR(__xludf.DUMMYFUNCTION("""COMPUTED_VALUE"""),"Nonstudent Using Athletic Facilities/Attending Game")</f>
        <v>Nonstudent Using Athletic Facilities/Attending Game</v>
      </c>
      <c r="F727" s="5" t="str">
        <f ca="1">IFERROR(__xludf.DUMMYFUNCTION("""COMPUTED_VALUE"""),"Fled/Escaped")</f>
        <v>Fled/Escaped</v>
      </c>
      <c r="G727" s="5" t="str">
        <f ca="1">IFERROR(__xludf.DUMMYFUNCTION("""COMPUTED_VALUE"""),"No")</f>
        <v>No</v>
      </c>
      <c r="H727" s="5" t="str">
        <f ca="1">IFERROR(__xludf.DUMMYFUNCTION("""COMPUTED_VALUE"""),"None")</f>
        <v>None</v>
      </c>
    </row>
    <row r="728" spans="1:8">
      <c r="A728" s="5" t="str">
        <f ca="1">IFERROR(__xludf.DUMMYFUNCTION("""COMPUTED_VALUE"""),"20190530DCHEW")</f>
        <v>20190530DCHEW</v>
      </c>
      <c r="B728" s="5"/>
      <c r="C728" s="5"/>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c r="A729" s="5" t="str">
        <f ca="1">IFERROR(__xludf.DUMMYFUNCTION("""COMPUTED_VALUE"""),"20190522OHSAC")</f>
        <v>20190522OHSAC</v>
      </c>
      <c r="B729" s="5">
        <f ca="1">IFERROR(__xludf.DUMMYFUNCTION("""COMPUTED_VALUE"""),13)</f>
        <v>13</v>
      </c>
      <c r="C729" s="5" t="str">
        <f ca="1">IFERROR(__xludf.DUMMYFUNCTION("""COMPUTED_VALUE"""),"Male")</f>
        <v>Male</v>
      </c>
      <c r="D729" s="5"/>
      <c r="E729" s="5" t="str">
        <f ca="1">IFERROR(__xludf.DUMMYFUNCTION("""COMPUTED_VALUE"""),"No Relation")</f>
        <v>No Relation</v>
      </c>
      <c r="F729" s="5" t="str">
        <f ca="1">IFERROR(__xludf.DUMMYFUNCTION("""COMPUTED_VALUE"""),"Fled/Apprehended")</f>
        <v>Fled/Apprehended</v>
      </c>
      <c r="G729" s="5" t="str">
        <f ca="1">IFERROR(__xludf.DUMMYFUNCTION("""COMPUTED_VALUE"""),"No")</f>
        <v>No</v>
      </c>
      <c r="H729" s="5" t="str">
        <f ca="1">IFERROR(__xludf.DUMMYFUNCTION("""COMPUTED_VALUE"""),"None")</f>
        <v>None</v>
      </c>
    </row>
    <row r="730" spans="1:8">
      <c r="A730" s="5" t="str">
        <f ca="1">IFERROR(__xludf.DUMMYFUNCTION("""COMPUTED_VALUE"""),"20190517ORPAP")</f>
        <v>20190517ORPAP</v>
      </c>
      <c r="B730" s="5">
        <f ca="1">IFERROR(__xludf.DUMMYFUNCTION("""COMPUTED_VALUE"""),18)</f>
        <v>18</v>
      </c>
      <c r="C730" s="5" t="str">
        <f ca="1">IFERROR(__xludf.DUMMYFUNCTION("""COMPUTED_VALUE"""),"Male")</f>
        <v>Male</v>
      </c>
      <c r="D730" s="5" t="str">
        <f ca="1">IFERROR(__xludf.DUMMYFUNCTION("""COMPUTED_VALUE"""),"Hispanic")</f>
        <v>Hispanic</v>
      </c>
      <c r="E730" s="5" t="str">
        <f ca="1">IFERROR(__xludf.DUMMYFUNCTION("""COMPUTED_VALUE"""),"Student")</f>
        <v>Student</v>
      </c>
      <c r="F730" s="5" t="str">
        <f ca="1">IFERROR(__xludf.DUMMYFUNCTION("""COMPUTED_VALUE"""),"Subdued by Students/Staff/Other")</f>
        <v>Subdued by Students/Staff/Other</v>
      </c>
      <c r="G730" s="5" t="str">
        <f ca="1">IFERROR(__xludf.DUMMYFUNCTION("""COMPUTED_VALUE"""),"No")</f>
        <v>No</v>
      </c>
      <c r="H730" s="5" t="str">
        <f ca="1">IFERROR(__xludf.DUMMYFUNCTION("""COMPUTED_VALUE"""),"None")</f>
        <v>None</v>
      </c>
    </row>
    <row r="731" spans="1:8">
      <c r="A731" s="5" t="str">
        <f ca="1">IFERROR(__xludf.DUMMYFUNCTION("""COMPUTED_VALUE"""),"20190517FLTEJ")</f>
        <v>20190517FLTEJ</v>
      </c>
      <c r="B731" s="5">
        <f ca="1">IFERROR(__xludf.DUMMYFUNCTION("""COMPUTED_VALUE"""),19)</f>
        <v>19</v>
      </c>
      <c r="C731" s="5" t="str">
        <f ca="1">IFERROR(__xludf.DUMMYFUNCTION("""COMPUTED_VALUE"""),"Male")</f>
        <v>Male</v>
      </c>
      <c r="D731" s="5" t="str">
        <f ca="1">IFERROR(__xludf.DUMMYFUNCTION("""COMPUTED_VALUE"""),"Black")</f>
        <v>Black</v>
      </c>
      <c r="E731" s="5" t="str">
        <f ca="1">IFERROR(__xludf.DUMMYFUNCTION("""COMPUTED_VALUE"""),"Unknown")</f>
        <v>Unknown</v>
      </c>
      <c r="F731" s="5" t="str">
        <f ca="1">IFERROR(__xludf.DUMMYFUNCTION("""COMPUTED_VALUE"""),"Fled/Apprehended")</f>
        <v>Fled/Apprehended</v>
      </c>
      <c r="G731" s="5" t="str">
        <f ca="1">IFERROR(__xludf.DUMMYFUNCTION("""COMPUTED_VALUE"""),"No")</f>
        <v>No</v>
      </c>
      <c r="H731" s="5" t="str">
        <f ca="1">IFERROR(__xludf.DUMMYFUNCTION("""COMPUTED_VALUE"""),"None")</f>
        <v>None</v>
      </c>
    </row>
    <row r="732" spans="1:8">
      <c r="A732" s="5" t="str">
        <f ca="1">IFERROR(__xludf.DUMMYFUNCTION("""COMPUTED_VALUE"""),"20190508ILSEC")</f>
        <v>20190508ILSEC</v>
      </c>
      <c r="B732" s="5">
        <f ca="1">IFERROR(__xludf.DUMMYFUNCTION("""COMPUTED_VALUE"""),18)</f>
        <v>18</v>
      </c>
      <c r="C732" s="5" t="str">
        <f ca="1">IFERROR(__xludf.DUMMYFUNCTION("""COMPUTED_VALUE"""),"Male")</f>
        <v>Male</v>
      </c>
      <c r="D732" s="5" t="str">
        <f ca="1">IFERROR(__xludf.DUMMYFUNCTION("""COMPUTED_VALUE"""),"Hispanic")</f>
        <v>Hispanic</v>
      </c>
      <c r="E732" s="5" t="str">
        <f ca="1">IFERROR(__xludf.DUMMYFUNCTION("""COMPUTED_VALUE"""),"No Relation")</f>
        <v>No Relation</v>
      </c>
      <c r="F732" s="5" t="str">
        <f ca="1">IFERROR(__xludf.DUMMYFUNCTION("""COMPUTED_VALUE"""),"Fled/Apprehended")</f>
        <v>Fled/Apprehended</v>
      </c>
      <c r="G732" s="5" t="str">
        <f ca="1">IFERROR(__xludf.DUMMYFUNCTION("""COMPUTED_VALUE"""),"No")</f>
        <v>No</v>
      </c>
      <c r="H732" s="5" t="str">
        <f ca="1">IFERROR(__xludf.DUMMYFUNCTION("""COMPUTED_VALUE"""),"None")</f>
        <v>None</v>
      </c>
    </row>
    <row r="733" spans="1:8">
      <c r="A733" s="5" t="str">
        <f ca="1">IFERROR(__xludf.DUMMYFUNCTION("""COMPUTED_VALUE"""),"20190507COSTH")</f>
        <v>20190507COSTH</v>
      </c>
      <c r="B733" s="5">
        <f ca="1">IFERROR(__xludf.DUMMYFUNCTION("""COMPUTED_VALUE"""),18)</f>
        <v>18</v>
      </c>
      <c r="C733" s="5" t="str">
        <f ca="1">IFERROR(__xludf.DUMMYFUNCTION("""COMPUTED_VALUE"""),"Male")</f>
        <v>Male</v>
      </c>
      <c r="D733" s="5" t="str">
        <f ca="1">IFERROR(__xludf.DUMMYFUNCTION("""COMPUTED_VALUE"""),"White")</f>
        <v>White</v>
      </c>
      <c r="E733" s="5" t="str">
        <f ca="1">IFERROR(__xludf.DUMMYFUNCTION("""COMPUTED_VALUE"""),"Student")</f>
        <v>Student</v>
      </c>
      <c r="F733" s="5" t="str">
        <f ca="1">IFERROR(__xludf.DUMMYFUNCTION("""COMPUTED_VALUE"""),"Apprehended/Killed by LE")</f>
        <v>Apprehended/Killed by LE</v>
      </c>
      <c r="G733" s="5" t="str">
        <f ca="1">IFERROR(__xludf.DUMMYFUNCTION("""COMPUTED_VALUE"""),"No")</f>
        <v>No</v>
      </c>
      <c r="H733" s="5" t="str">
        <f ca="1">IFERROR(__xludf.DUMMYFUNCTION("""COMPUTED_VALUE"""),"None")</f>
        <v>None</v>
      </c>
    </row>
    <row r="734" spans="1:8">
      <c r="A734" s="5" t="str">
        <f ca="1">IFERROR(__xludf.DUMMYFUNCTION("""COMPUTED_VALUE"""),"20190507COSTH")</f>
        <v>20190507COSTH</v>
      </c>
      <c r="B734" s="5">
        <f ca="1">IFERROR(__xludf.DUMMYFUNCTION("""COMPUTED_VALUE"""),16)</f>
        <v>16</v>
      </c>
      <c r="C734" s="5" t="str">
        <f ca="1">IFERROR(__xludf.DUMMYFUNCTION("""COMPUTED_VALUE"""),"Transgender")</f>
        <v>Transgender</v>
      </c>
      <c r="D734" s="5" t="str">
        <f ca="1">IFERROR(__xludf.DUMMYFUNCTION("""COMPUTED_VALUE"""),"White")</f>
        <v>White</v>
      </c>
      <c r="E734" s="5" t="str">
        <f ca="1">IFERROR(__xludf.DUMMYFUNCTION("""COMPUTED_VALUE"""),"Student")</f>
        <v>Student</v>
      </c>
      <c r="F734" s="5" t="str">
        <f ca="1">IFERROR(__xludf.DUMMYFUNCTION("""COMPUTED_VALUE"""),"Apprehended/Killed by LE")</f>
        <v>Apprehended/Killed by LE</v>
      </c>
      <c r="G734" s="5" t="str">
        <f ca="1">IFERROR(__xludf.DUMMYFUNCTION("""COMPUTED_VALUE"""),"No")</f>
        <v>No</v>
      </c>
      <c r="H734" s="5" t="str">
        <f ca="1">IFERROR(__xludf.DUMMYFUNCTION("""COMPUTED_VALUE"""),"None")</f>
        <v>None</v>
      </c>
    </row>
    <row r="735" spans="1:8">
      <c r="A735" s="5" t="str">
        <f ca="1">IFERROR(__xludf.DUMMYFUNCTION("""COMPUTED_VALUE"""),"20190430VACDW")</f>
        <v>20190430VACDW</v>
      </c>
      <c r="B735" s="5">
        <f ca="1">IFERROR(__xludf.DUMMYFUNCTION("""COMPUTED_VALUE"""),16)</f>
        <v>16</v>
      </c>
      <c r="C735" s="5" t="str">
        <f ca="1">IFERROR(__xludf.DUMMYFUNCTION("""COMPUTED_VALUE"""),"Male")</f>
        <v>Male</v>
      </c>
      <c r="D735" s="5"/>
      <c r="E735" s="5" t="str">
        <f ca="1">IFERROR(__xludf.DUMMYFUNCTION("""COMPUTED_VALUE"""),"Student")</f>
        <v>Student</v>
      </c>
      <c r="F735" s="5" t="str">
        <f ca="1">IFERROR(__xludf.DUMMYFUNCTION("""COMPUTED_VALUE"""),"Apprehended/Killed by SRO")</f>
        <v>Apprehended/Killed by SRO</v>
      </c>
      <c r="G735" s="5" t="str">
        <f ca="1">IFERROR(__xludf.DUMMYFUNCTION("""COMPUTED_VALUE"""),"No")</f>
        <v>No</v>
      </c>
      <c r="H735" s="5" t="str">
        <f ca="1">IFERROR(__xludf.DUMMYFUNCTION("""COMPUTED_VALUE"""),"None")</f>
        <v>None</v>
      </c>
    </row>
    <row r="736" spans="1:8">
      <c r="A736" s="5" t="str">
        <f ca="1">IFERROR(__xludf.DUMMYFUNCTION("""COMPUTED_VALUE"""),"20190430FLWEW")</f>
        <v>20190430FLWEW</v>
      </c>
      <c r="B736" s="5" t="str">
        <f ca="1">IFERROR(__xludf.DUMMYFUNCTION("""COMPUTED_VALUE"""),"Adult")</f>
        <v>Adult</v>
      </c>
      <c r="C736" s="5"/>
      <c r="D736" s="5" t="str">
        <f ca="1">IFERROR(__xludf.DUMMYFUNCTION("""COMPUTED_VALUE"""),"N/A")</f>
        <v>N/A</v>
      </c>
      <c r="E736" s="5" t="str">
        <f ca="1">IFERROR(__xludf.DUMMYFUNCTION("""COMPUTED_VALUE"""),"Police Officer/SRO")</f>
        <v>Police Officer/SRO</v>
      </c>
      <c r="F736" s="5" t="str">
        <f ca="1">IFERROR(__xludf.DUMMYFUNCTION("""COMPUTED_VALUE"""),"Law Enforcement")</f>
        <v>Law Enforcement</v>
      </c>
      <c r="G736" s="5" t="str">
        <f ca="1">IFERROR(__xludf.DUMMYFUNCTION("""COMPUTED_VALUE"""),"No")</f>
        <v>No</v>
      </c>
      <c r="H736" s="5" t="str">
        <f ca="1">IFERROR(__xludf.DUMMYFUNCTION("""COMPUTED_VALUE"""),"None")</f>
        <v>None</v>
      </c>
    </row>
    <row r="737" spans="1:8">
      <c r="A737" s="5" t="str">
        <f ca="1">IFERROR(__xludf.DUMMYFUNCTION("""COMPUTED_VALUE"""),"20190426GACRF")</f>
        <v>20190426GACRF</v>
      </c>
      <c r="B737" s="5" t="str">
        <f ca="1">IFERROR(__xludf.DUMMYFUNCTION("""COMPUTED_VALUE"""),"Adult")</f>
        <v>Adult</v>
      </c>
      <c r="C737" s="5"/>
      <c r="D737" s="5"/>
      <c r="E737" s="5" t="str">
        <f ca="1">IFERROR(__xludf.DUMMYFUNCTION("""COMPUTED_VALUE"""),"Parent")</f>
        <v>Parent</v>
      </c>
      <c r="F737" s="5" t="str">
        <f ca="1">IFERROR(__xludf.DUMMYFUNCTION("""COMPUTED_VALUE"""),"Fled/Escaped")</f>
        <v>Fled/Escaped</v>
      </c>
      <c r="G737" s="5" t="str">
        <f ca="1">IFERROR(__xludf.DUMMYFUNCTION("""COMPUTED_VALUE"""),"No")</f>
        <v>No</v>
      </c>
      <c r="H737" s="5" t="str">
        <f ca="1">IFERROR(__xludf.DUMMYFUNCTION("""COMPUTED_VALUE"""),"None")</f>
        <v>None</v>
      </c>
    </row>
    <row r="738" spans="1:8">
      <c r="A738" s="5" t="str">
        <f ca="1">IFERROR(__xludf.DUMMYFUNCTION("""COMPUTED_VALUE"""),"20190425GAWYS")</f>
        <v>20190425GAWYS</v>
      </c>
      <c r="B738" s="5"/>
      <c r="C738" s="5"/>
      <c r="D738" s="5"/>
      <c r="E738" s="5" t="str">
        <f ca="1">IFERROR(__xludf.DUMMYFUNCTION("""COMPUTED_VALUE"""),"Unknown")</f>
        <v>Unknown</v>
      </c>
      <c r="F738" s="5" t="str">
        <f ca="1">IFERROR(__xludf.DUMMYFUNCTION("""COMPUTED_VALUE"""),"Fled/Escaped")</f>
        <v>Fled/Escaped</v>
      </c>
      <c r="G738" s="5" t="str">
        <f ca="1">IFERROR(__xludf.DUMMYFUNCTION("""COMPUTED_VALUE"""),"No")</f>
        <v>No</v>
      </c>
      <c r="H738" s="5" t="str">
        <f ca="1">IFERROR(__xludf.DUMMYFUNCTION("""COMPUTED_VALUE"""),"None")</f>
        <v>None</v>
      </c>
    </row>
    <row r="739" spans="1:8">
      <c r="A739" s="5" t="str">
        <f ca="1">IFERROR(__xludf.DUMMYFUNCTION("""COMPUTED_VALUE"""),"20190424ARCOC")</f>
        <v>20190424ARCOC</v>
      </c>
      <c r="B739" s="5">
        <f ca="1">IFERROR(__xludf.DUMMYFUNCTION("""COMPUTED_VALUE"""),14)</f>
        <v>14</v>
      </c>
      <c r="C739" s="5" t="str">
        <f ca="1">IFERROR(__xludf.DUMMYFUNCTION("""COMPUTED_VALUE"""),"Male")</f>
        <v>Male</v>
      </c>
      <c r="D739" s="5"/>
      <c r="E739" s="5" t="str">
        <f ca="1">IFERROR(__xludf.DUMMYFUNCTION("""COMPUTED_VALUE"""),"Student")</f>
        <v>Student</v>
      </c>
      <c r="F739" s="5" t="str">
        <f ca="1">IFERROR(__xludf.DUMMYFUNCTION("""COMPUTED_VALUE"""),"Suicide")</f>
        <v>Suicide</v>
      </c>
      <c r="G739" s="5" t="str">
        <f ca="1">IFERROR(__xludf.DUMMYFUNCTION("""COMPUTED_VALUE"""),"Yes")</f>
        <v>Yes</v>
      </c>
      <c r="H739" s="5" t="str">
        <f ca="1">IFERROR(__xludf.DUMMYFUNCTION("""COMPUTED_VALUE"""),"Suicide")</f>
        <v>Suicide</v>
      </c>
    </row>
    <row r="740" spans="1:8">
      <c r="A740" s="5" t="str">
        <f ca="1">IFERROR(__xludf.DUMMYFUNCTION("""COMPUTED_VALUE"""),"20190417ILWAL")</f>
        <v>20190417ILWAL</v>
      </c>
      <c r="B740" s="5" t="str">
        <f ca="1">IFERROR(__xludf.DUMMYFUNCTION("""COMPUTED_VALUE"""),"Teen")</f>
        <v>Teen</v>
      </c>
      <c r="C740" s="5" t="str">
        <f ca="1">IFERROR(__xludf.DUMMYFUNCTION("""COMPUTED_VALUE"""),"Male")</f>
        <v>Male</v>
      </c>
      <c r="D740" s="5"/>
      <c r="E740" s="5" t="str">
        <f ca="1">IFERROR(__xludf.DUMMYFUNCTION("""COMPUTED_VALUE"""),"Student")</f>
        <v>Student</v>
      </c>
      <c r="F740" s="5" t="str">
        <f ca="1">IFERROR(__xludf.DUMMYFUNCTION("""COMPUTED_VALUE"""),"Suicide")</f>
        <v>Suicide</v>
      </c>
      <c r="G740" s="5" t="str">
        <f ca="1">IFERROR(__xludf.DUMMYFUNCTION("""COMPUTED_VALUE"""),"Yes")</f>
        <v>Yes</v>
      </c>
      <c r="H740" s="5" t="str">
        <f ca="1">IFERROR(__xludf.DUMMYFUNCTION("""COMPUTED_VALUE"""),"Suicide")</f>
        <v>Suicide</v>
      </c>
    </row>
    <row r="741" spans="1:8">
      <c r="A741" s="5" t="str">
        <f ca="1">IFERROR(__xludf.DUMMYFUNCTION("""COMPUTED_VALUE"""),"20190410TXROH")</f>
        <v>20190410TXROH</v>
      </c>
      <c r="B741" s="5"/>
      <c r="C741" s="5" t="str">
        <f ca="1">IFERROR(__xludf.DUMMYFUNCTION("""COMPUTED_VALUE"""),"Male")</f>
        <v>Male</v>
      </c>
      <c r="D741" s="5"/>
      <c r="E741" s="5" t="str">
        <f ca="1">IFERROR(__xludf.DUMMYFUNCTION("""COMPUTED_VALUE"""),"No Relation")</f>
        <v>No Relation</v>
      </c>
      <c r="F741" s="5" t="str">
        <f ca="1">IFERROR(__xludf.DUMMYFUNCTION("""COMPUTED_VALUE"""),"Fled/Escaped")</f>
        <v>Fled/Escaped</v>
      </c>
      <c r="G741" s="5" t="str">
        <f ca="1">IFERROR(__xludf.DUMMYFUNCTION("""COMPUTED_VALUE"""),"No")</f>
        <v>No</v>
      </c>
      <c r="H741" s="5" t="str">
        <f ca="1">IFERROR(__xludf.DUMMYFUNCTION("""COMPUTED_VALUE"""),"None")</f>
        <v>None</v>
      </c>
    </row>
    <row r="742" spans="1:8">
      <c r="A742" s="5" t="str">
        <f ca="1">IFERROR(__xludf.DUMMYFUNCTION("""COMPUTED_VALUE"""),"20190410TXROH")</f>
        <v>20190410TXROH</v>
      </c>
      <c r="B742" s="5"/>
      <c r="C742" s="5" t="str">
        <f ca="1">IFERROR(__xludf.DUMMYFUNCTION("""COMPUTED_VALUE"""),"Male")</f>
        <v>Male</v>
      </c>
      <c r="D742" s="5"/>
      <c r="E742" s="5" t="str">
        <f ca="1">IFERROR(__xludf.DUMMYFUNCTION("""COMPUTED_VALUE"""),"No Relation")</f>
        <v>No Relation</v>
      </c>
      <c r="F742" s="5" t="str">
        <f ca="1">IFERROR(__xludf.DUMMYFUNCTION("""COMPUTED_VALUE"""),"Fled/Escaped")</f>
        <v>Fled/Escaped</v>
      </c>
      <c r="G742" s="5" t="str">
        <f ca="1">IFERROR(__xludf.DUMMYFUNCTION("""COMPUTED_VALUE"""),"No")</f>
        <v>No</v>
      </c>
      <c r="H742" s="5" t="str">
        <f ca="1">IFERROR(__xludf.DUMMYFUNCTION("""COMPUTED_VALUE"""),"None")</f>
        <v>None</v>
      </c>
    </row>
    <row r="743" spans="1:8">
      <c r="A743" s="5" t="str">
        <f ca="1">IFERROR(__xludf.DUMMYFUNCTION("""COMPUTED_VALUE"""),"20190407MAHOL")</f>
        <v>20190407MAHOL</v>
      </c>
      <c r="B743" s="5"/>
      <c r="C743" s="5"/>
      <c r="D743" s="5"/>
      <c r="E743" s="5" t="str">
        <f ca="1">IFERROR(__xludf.DUMMYFUNCTION("""COMPUTED_VALUE"""),"Unknown")</f>
        <v>Unknown</v>
      </c>
      <c r="F743" s="5" t="str">
        <f ca="1">IFERROR(__xludf.DUMMYFUNCTION("""COMPUTED_VALUE"""),"Fled/Escaped")</f>
        <v>Fled/Escaped</v>
      </c>
      <c r="G743" s="5" t="str">
        <f ca="1">IFERROR(__xludf.DUMMYFUNCTION("""COMPUTED_VALUE"""),"No")</f>
        <v>No</v>
      </c>
      <c r="H743" s="5" t="str">
        <f ca="1">IFERROR(__xludf.DUMMYFUNCTION("""COMPUTED_VALUE"""),"None")</f>
        <v>None</v>
      </c>
    </row>
    <row r="744" spans="1:8">
      <c r="A744" s="5" t="str">
        <f ca="1">IFERROR(__xludf.DUMMYFUNCTION("""COMPUTED_VALUE"""),"20190405WISTM")</f>
        <v>20190405WISTM</v>
      </c>
      <c r="B744" s="5">
        <f ca="1">IFERROR(__xludf.DUMMYFUNCTION("""COMPUTED_VALUE"""),59)</f>
        <v>59</v>
      </c>
      <c r="C744" s="5" t="str">
        <f ca="1">IFERROR(__xludf.DUMMYFUNCTION("""COMPUTED_VALUE"""),"Male")</f>
        <v>Male</v>
      </c>
      <c r="D744" s="5"/>
      <c r="E744" s="5" t="str">
        <f ca="1">IFERROR(__xludf.DUMMYFUNCTION("""COMPUTED_VALUE"""),"Other Staff")</f>
        <v>Other Staff</v>
      </c>
      <c r="F744" s="5" t="str">
        <f ca="1">IFERROR(__xludf.DUMMYFUNCTION("""COMPUTED_VALUE"""),"Unknown")</f>
        <v>Unknown</v>
      </c>
      <c r="G744" s="5" t="str">
        <f ca="1">IFERROR(__xludf.DUMMYFUNCTION("""COMPUTED_VALUE"""),"No")</f>
        <v>No</v>
      </c>
      <c r="H744" s="5" t="str">
        <f ca="1">IFERROR(__xludf.DUMMYFUNCTION("""COMPUTED_VALUE"""),"None")</f>
        <v>None</v>
      </c>
    </row>
    <row r="745" spans="1:8">
      <c r="A745" s="5" t="str">
        <f ca="1">IFERROR(__xludf.DUMMYFUNCTION("""COMPUTED_VALUE"""),"20190403FLSAJ")</f>
        <v>20190403FLSAJ</v>
      </c>
      <c r="B745" s="5"/>
      <c r="C745" s="5"/>
      <c r="D745" s="5"/>
      <c r="E745" s="5" t="str">
        <f ca="1">IFERROR(__xludf.DUMMYFUNCTION("""COMPUTED_VALUE"""),"No Relation")</f>
        <v>No Relation</v>
      </c>
      <c r="F745" s="5" t="str">
        <f ca="1">IFERROR(__xludf.DUMMYFUNCTION("""COMPUTED_VALUE"""),"Fled/Escaped")</f>
        <v>Fled/Escaped</v>
      </c>
      <c r="G745" s="5" t="str">
        <f ca="1">IFERROR(__xludf.DUMMYFUNCTION("""COMPUTED_VALUE"""),"No")</f>
        <v>No</v>
      </c>
      <c r="H745" s="5" t="str">
        <f ca="1">IFERROR(__xludf.DUMMYFUNCTION("""COMPUTED_VALUE"""),"None")</f>
        <v>None</v>
      </c>
    </row>
    <row r="746" spans="1:8">
      <c r="A746" s="5" t="str">
        <f ca="1">IFERROR(__xludf.DUMMYFUNCTION("""COMPUTED_VALUE"""),"20190403COAUA")</f>
        <v>20190403COAUA</v>
      </c>
      <c r="B746" s="5">
        <f ca="1">IFERROR(__xludf.DUMMYFUNCTION("""COMPUTED_VALUE"""),30)</f>
        <v>30</v>
      </c>
      <c r="C746" s="5" t="str">
        <f ca="1">IFERROR(__xludf.DUMMYFUNCTION("""COMPUTED_VALUE"""),"Male")</f>
        <v>Male</v>
      </c>
      <c r="D746" s="5" t="str">
        <f ca="1">IFERROR(__xludf.DUMMYFUNCTION("""COMPUTED_VALUE"""),"Other")</f>
        <v>Other</v>
      </c>
      <c r="E746" s="5" t="str">
        <f ca="1">IFERROR(__xludf.DUMMYFUNCTION("""COMPUTED_VALUE"""),"Other Staff")</f>
        <v>Other Staff</v>
      </c>
      <c r="F746" s="5" t="str">
        <f ca="1">IFERROR(__xludf.DUMMYFUNCTION("""COMPUTED_VALUE"""),"Fled/Apprehended")</f>
        <v>Fled/Apprehended</v>
      </c>
      <c r="G746" s="5" t="str">
        <f ca="1">IFERROR(__xludf.DUMMYFUNCTION("""COMPUTED_VALUE"""),"No")</f>
        <v>No</v>
      </c>
      <c r="H746" s="5" t="str">
        <f ca="1">IFERROR(__xludf.DUMMYFUNCTION("""COMPUTED_VALUE"""),"None")</f>
        <v>None</v>
      </c>
    </row>
    <row r="747" spans="1:8">
      <c r="A747" s="5" t="str">
        <f ca="1">IFERROR(__xludf.DUMMYFUNCTION("""COMPUTED_VALUE"""),"20190401ARPRP")</f>
        <v>20190401ARPRP</v>
      </c>
      <c r="B747" s="5">
        <f ca="1">IFERROR(__xludf.DUMMYFUNCTION("""COMPUTED_VALUE"""),14)</f>
        <v>14</v>
      </c>
      <c r="C747" s="5" t="str">
        <f ca="1">IFERROR(__xludf.DUMMYFUNCTION("""COMPUTED_VALUE"""),"Male")</f>
        <v>Male</v>
      </c>
      <c r="D747" s="5"/>
      <c r="E747" s="5" t="str">
        <f ca="1">IFERROR(__xludf.DUMMYFUNCTION("""COMPUTED_VALUE"""),"Student")</f>
        <v>Student</v>
      </c>
      <c r="F747" s="5" t="str">
        <f ca="1">IFERROR(__xludf.DUMMYFUNCTION("""COMPUTED_VALUE"""),"Apprehended/Killed by SRO")</f>
        <v>Apprehended/Killed by SRO</v>
      </c>
      <c r="G747" s="5" t="str">
        <f ca="1">IFERROR(__xludf.DUMMYFUNCTION("""COMPUTED_VALUE"""),"No")</f>
        <v>No</v>
      </c>
      <c r="H747" s="5" t="str">
        <f ca="1">IFERROR(__xludf.DUMMYFUNCTION("""COMPUTED_VALUE"""),"None")</f>
        <v>None</v>
      </c>
    </row>
    <row r="748" spans="1:8">
      <c r="A748" s="5" t="str">
        <f ca="1">IFERROR(__xludf.DUMMYFUNCTION("""COMPUTED_VALUE"""),"20190327MSSVH")</f>
        <v>20190327MSSVH</v>
      </c>
      <c r="B748" s="5"/>
      <c r="C748" s="5"/>
      <c r="D748" s="5"/>
      <c r="E748" s="5" t="str">
        <f ca="1">IFERROR(__xludf.DUMMYFUNCTION("""COMPUTED_VALUE"""),"Unknown")</f>
        <v>Unknown</v>
      </c>
      <c r="F748" s="5" t="str">
        <f ca="1">IFERROR(__xludf.DUMMYFUNCTION("""COMPUTED_VALUE"""),"Fled/Escaped")</f>
        <v>Fled/Escaped</v>
      </c>
      <c r="G748" s="5" t="str">
        <f ca="1">IFERROR(__xludf.DUMMYFUNCTION("""COMPUTED_VALUE"""),"No")</f>
        <v>No</v>
      </c>
      <c r="H748" s="5" t="str">
        <f ca="1">IFERROR(__xludf.DUMMYFUNCTION("""COMPUTED_VALUE"""),"None")</f>
        <v>None</v>
      </c>
    </row>
    <row r="749" spans="1:8">
      <c r="A749" s="5" t="str">
        <f ca="1">IFERROR(__xludf.DUMMYFUNCTION("""COMPUTED_VALUE"""),"20190327FLMAJ")</f>
        <v>20190327FLMAJ</v>
      </c>
      <c r="B749" s="5"/>
      <c r="C749" s="5"/>
      <c r="D749" s="5"/>
      <c r="E749" s="5"/>
      <c r="F749" s="5" t="str">
        <f ca="1">IFERROR(__xludf.DUMMYFUNCTION("""COMPUTED_VALUE"""),"Fled/Escaped")</f>
        <v>Fled/Escaped</v>
      </c>
      <c r="G749" s="5" t="str">
        <f ca="1">IFERROR(__xludf.DUMMYFUNCTION("""COMPUTED_VALUE"""),"No")</f>
        <v>No</v>
      </c>
      <c r="H749" s="5" t="str">
        <f ca="1">IFERROR(__xludf.DUMMYFUNCTION("""COMPUTED_VALUE"""),"None")</f>
        <v>None</v>
      </c>
    </row>
    <row r="750" spans="1:8">
      <c r="A750" s="5" t="str">
        <f ca="1">IFERROR(__xludf.DUMMYFUNCTION("""COMPUTED_VALUE"""),"20190322ALBLB")</f>
        <v>20190322ALBLB</v>
      </c>
      <c r="B750" s="5">
        <f ca="1">IFERROR(__xludf.DUMMYFUNCTION("""COMPUTED_VALUE"""),74)</f>
        <v>74</v>
      </c>
      <c r="C750" s="5" t="str">
        <f ca="1">IFERROR(__xludf.DUMMYFUNCTION("""COMPUTED_VALUE"""),"Male")</f>
        <v>Male</v>
      </c>
      <c r="D750" s="5" t="str">
        <f ca="1">IFERROR(__xludf.DUMMYFUNCTION("""COMPUTED_VALUE"""),"White")</f>
        <v>White</v>
      </c>
      <c r="E750" s="5" t="str">
        <f ca="1">IFERROR(__xludf.DUMMYFUNCTION("""COMPUTED_VALUE"""),"Teacher")</f>
        <v>Teacher</v>
      </c>
      <c r="F750" s="5" t="str">
        <f ca="1">IFERROR(__xludf.DUMMYFUNCTION("""COMPUTED_VALUE"""),"Surrendered")</f>
        <v>Surrendered</v>
      </c>
      <c r="G750" s="5" t="str">
        <f ca="1">IFERROR(__xludf.DUMMYFUNCTION("""COMPUTED_VALUE"""),"No")</f>
        <v>No</v>
      </c>
      <c r="H750" s="5" t="str">
        <f ca="1">IFERROR(__xludf.DUMMYFUNCTION("""COMPUTED_VALUE"""),"Wounded")</f>
        <v>Wounded</v>
      </c>
    </row>
    <row r="751" spans="1:8">
      <c r="A751" s="5" t="str">
        <f ca="1">IFERROR(__xludf.DUMMYFUNCTION("""COMPUTED_VALUE"""),"20190313FLLAO")</f>
        <v>20190313FLLAO</v>
      </c>
      <c r="B751" s="5">
        <f ca="1">IFERROR(__xludf.DUMMYFUNCTION("""COMPUTED_VALUE"""),17)</f>
        <v>17</v>
      </c>
      <c r="C751" s="5" t="str">
        <f ca="1">IFERROR(__xludf.DUMMYFUNCTION("""COMPUTED_VALUE"""),"Female")</f>
        <v>Female</v>
      </c>
      <c r="D751" s="5"/>
      <c r="E751" s="5" t="str">
        <f ca="1">IFERROR(__xludf.DUMMYFUNCTION("""COMPUTED_VALUE"""),"Student")</f>
        <v>Student</v>
      </c>
      <c r="F751" s="5" t="str">
        <f ca="1">IFERROR(__xludf.DUMMYFUNCTION("""COMPUTED_VALUE"""),"Suicide")</f>
        <v>Suicide</v>
      </c>
      <c r="G751" s="5" t="str">
        <f ca="1">IFERROR(__xludf.DUMMYFUNCTION("""COMPUTED_VALUE"""),"Yes")</f>
        <v>Yes</v>
      </c>
      <c r="H751" s="5" t="str">
        <f ca="1">IFERROR(__xludf.DUMMYFUNCTION("""COMPUTED_VALUE"""),"Suicide")</f>
        <v>Suicide</v>
      </c>
    </row>
    <row r="752" spans="1:8">
      <c r="A752" s="5" t="str">
        <f ca="1">IFERROR(__xludf.DUMMYFUNCTION("""COMPUTED_VALUE"""),"20190301KSHIM")</f>
        <v>20190301KSHIM</v>
      </c>
      <c r="B752" s="5">
        <f ca="1">IFERROR(__xludf.DUMMYFUNCTION("""COMPUTED_VALUE"""),26)</f>
        <v>26</v>
      </c>
      <c r="C752" s="5" t="str">
        <f ca="1">IFERROR(__xludf.DUMMYFUNCTION("""COMPUTED_VALUE"""),"Male")</f>
        <v>Male</v>
      </c>
      <c r="D752" s="5" t="str">
        <f ca="1">IFERROR(__xludf.DUMMYFUNCTION("""COMPUTED_VALUE"""),"White")</f>
        <v>White</v>
      </c>
      <c r="E752" s="5" t="str">
        <f ca="1">IFERROR(__xludf.DUMMYFUNCTION("""COMPUTED_VALUE"""),"No Relation")</f>
        <v>No Relation</v>
      </c>
      <c r="F752" s="5" t="str">
        <f ca="1">IFERROR(__xludf.DUMMYFUNCTION("""COMPUTED_VALUE"""),"Apprehended/Killed by LE")</f>
        <v>Apprehended/Killed by LE</v>
      </c>
      <c r="G752" s="5" t="str">
        <f ca="1">IFERROR(__xludf.DUMMYFUNCTION("""COMPUTED_VALUE"""),"No")</f>
        <v>No</v>
      </c>
      <c r="H752" s="5" t="str">
        <f ca="1">IFERROR(__xludf.DUMMYFUNCTION("""COMPUTED_VALUE"""),"Wounded")</f>
        <v>Wounded</v>
      </c>
    </row>
    <row r="753" spans="1:8">
      <c r="A753" s="5" t="str">
        <f ca="1">IFERROR(__xludf.DUMMYFUNCTION("""COMPUTED_VALUE"""),"20190226ALROM")</f>
        <v>20190226ALROM</v>
      </c>
      <c r="B753" s="5" t="str">
        <f ca="1">IFERROR(__xludf.DUMMYFUNCTION("""COMPUTED_VALUE"""),"Teen")</f>
        <v>Teen</v>
      </c>
      <c r="C753" s="5" t="str">
        <f ca="1">IFERROR(__xludf.DUMMYFUNCTION("""COMPUTED_VALUE"""),"Male")</f>
        <v>Male</v>
      </c>
      <c r="D753" s="5" t="str">
        <f ca="1">IFERROR(__xludf.DUMMYFUNCTION("""COMPUTED_VALUE"""),"Black")</f>
        <v>Black</v>
      </c>
      <c r="E753" s="5" t="str">
        <f ca="1">IFERROR(__xludf.DUMMYFUNCTION("""COMPUTED_VALUE"""),"Student")</f>
        <v>Student</v>
      </c>
      <c r="F753" s="5" t="str">
        <f ca="1">IFERROR(__xludf.DUMMYFUNCTION("""COMPUTED_VALUE"""),"Fled/Apprehended")</f>
        <v>Fled/Apprehended</v>
      </c>
      <c r="G753" s="5" t="str">
        <f ca="1">IFERROR(__xludf.DUMMYFUNCTION("""COMPUTED_VALUE"""),"No")</f>
        <v>No</v>
      </c>
      <c r="H753" s="5" t="str">
        <f ca="1">IFERROR(__xludf.DUMMYFUNCTION("""COMPUTED_VALUE"""),"None")</f>
        <v>None</v>
      </c>
    </row>
    <row r="754" spans="1:8">
      <c r="A754" s="5" t="str">
        <f ca="1">IFERROR(__xludf.DUMMYFUNCTION("""COMPUTED_VALUE"""),"20190217COEAA")</f>
        <v>20190217COEAA</v>
      </c>
      <c r="B754" s="5">
        <f ca="1">IFERROR(__xludf.DUMMYFUNCTION("""COMPUTED_VALUE"""),31)</f>
        <v>31</v>
      </c>
      <c r="C754" s="5" t="str">
        <f ca="1">IFERROR(__xludf.DUMMYFUNCTION("""COMPUTED_VALUE"""),"Male")</f>
        <v>Male</v>
      </c>
      <c r="D754" s="5" t="str">
        <f ca="1">IFERROR(__xludf.DUMMYFUNCTION("""COMPUTED_VALUE"""),"Black")</f>
        <v>Black</v>
      </c>
      <c r="E754" s="5" t="str">
        <f ca="1">IFERROR(__xludf.DUMMYFUNCTION("""COMPUTED_VALUE"""),"Other Staff")</f>
        <v>Other Staff</v>
      </c>
      <c r="F754" s="5" t="str">
        <f ca="1">IFERROR(__xludf.DUMMYFUNCTION("""COMPUTED_VALUE"""),"Surrendered")</f>
        <v>Surrendered</v>
      </c>
      <c r="G754" s="5" t="str">
        <f ca="1">IFERROR(__xludf.DUMMYFUNCTION("""COMPUTED_VALUE"""),"No")</f>
        <v>No</v>
      </c>
      <c r="H754" s="5" t="str">
        <f ca="1">IFERROR(__xludf.DUMMYFUNCTION("""COMPUTED_VALUE"""),"None")</f>
        <v>None</v>
      </c>
    </row>
    <row r="755" spans="1:8">
      <c r="A755" s="5" t="str">
        <f ca="1">IFERROR(__xludf.DUMMYFUNCTION("""COMPUTED_VALUE"""),"20190214NMV.R")</f>
        <v>20190214NMV.R</v>
      </c>
      <c r="B755" s="5">
        <f ca="1">IFERROR(__xludf.DUMMYFUNCTION("""COMPUTED_VALUE"""),16)</f>
        <v>16</v>
      </c>
      <c r="C755" s="5" t="str">
        <f ca="1">IFERROR(__xludf.DUMMYFUNCTION("""COMPUTED_VALUE"""),"Male")</f>
        <v>Male</v>
      </c>
      <c r="D755" s="5"/>
      <c r="E755" s="5" t="str">
        <f ca="1">IFERROR(__xludf.DUMMYFUNCTION("""COMPUTED_VALUE"""),"Student")</f>
        <v>Student</v>
      </c>
      <c r="F755" s="5" t="str">
        <f ca="1">IFERROR(__xludf.DUMMYFUNCTION("""COMPUTED_VALUE"""),"Fled/Apprehended")</f>
        <v>Fled/Apprehended</v>
      </c>
      <c r="G755" s="5" t="str">
        <f ca="1">IFERROR(__xludf.DUMMYFUNCTION("""COMPUTED_VALUE"""),"No")</f>
        <v>No</v>
      </c>
      <c r="H755" s="5" t="str">
        <f ca="1">IFERROR(__xludf.DUMMYFUNCTION("""COMPUTED_VALUE"""),"None")</f>
        <v>None</v>
      </c>
    </row>
    <row r="756" spans="1:8">
      <c r="A756" s="5" t="str">
        <f ca="1">IFERROR(__xludf.DUMMYFUNCTION("""COMPUTED_VALUE"""),"20190212MOCEK")</f>
        <v>20190212MOCEK</v>
      </c>
      <c r="B756" s="5">
        <f ca="1">IFERROR(__xludf.DUMMYFUNCTION("""COMPUTED_VALUE"""),21)</f>
        <v>21</v>
      </c>
      <c r="C756" s="5" t="str">
        <f ca="1">IFERROR(__xludf.DUMMYFUNCTION("""COMPUTED_VALUE"""),"Female")</f>
        <v>Female</v>
      </c>
      <c r="D756" s="5" t="str">
        <f ca="1">IFERROR(__xludf.DUMMYFUNCTION("""COMPUTED_VALUE"""),"Black")</f>
        <v>Black</v>
      </c>
      <c r="E756" s="5" t="str">
        <f ca="1">IFERROR(__xludf.DUMMYFUNCTION("""COMPUTED_VALUE"""),"Nonstudent Using Athletic Facilities/Attending Game")</f>
        <v>Nonstudent Using Athletic Facilities/Attending Game</v>
      </c>
      <c r="F756" s="5" t="str">
        <f ca="1">IFERROR(__xludf.DUMMYFUNCTION("""COMPUTED_VALUE"""),"Fled/Apprehended")</f>
        <v>Fled/Apprehended</v>
      </c>
      <c r="G756" s="5" t="str">
        <f ca="1">IFERROR(__xludf.DUMMYFUNCTION("""COMPUTED_VALUE"""),"No")</f>
        <v>No</v>
      </c>
      <c r="H756" s="5" t="str">
        <f ca="1">IFERROR(__xludf.DUMMYFUNCTION("""COMPUTED_VALUE"""),"None")</f>
        <v>None</v>
      </c>
    </row>
    <row r="757" spans="1:8">
      <c r="A757" s="5" t="str">
        <f ca="1">IFERROR(__xludf.DUMMYFUNCTION("""COMPUTED_VALUE"""),"20190208MDFRB")</f>
        <v>20190208MDFRB</v>
      </c>
      <c r="B757" s="5">
        <f ca="1">IFERROR(__xludf.DUMMYFUNCTION("""COMPUTED_VALUE"""),25)</f>
        <v>25</v>
      </c>
      <c r="C757" s="5" t="str">
        <f ca="1">IFERROR(__xludf.DUMMYFUNCTION("""COMPUTED_VALUE"""),"Male")</f>
        <v>Male</v>
      </c>
      <c r="D757" s="5" t="str">
        <f ca="1">IFERROR(__xludf.DUMMYFUNCTION("""COMPUTED_VALUE"""),"Black")</f>
        <v>Black</v>
      </c>
      <c r="E757" s="5" t="str">
        <f ca="1">IFERROR(__xludf.DUMMYFUNCTION("""COMPUTED_VALUE"""),"No Relation")</f>
        <v>No Relation</v>
      </c>
      <c r="F757" s="5" t="str">
        <f ca="1">IFERROR(__xludf.DUMMYFUNCTION("""COMPUTED_VALUE"""),"Apprehended/Killed by LE")</f>
        <v>Apprehended/Killed by LE</v>
      </c>
      <c r="G757" s="5" t="str">
        <f ca="1">IFERROR(__xludf.DUMMYFUNCTION("""COMPUTED_VALUE"""),"No")</f>
        <v>No</v>
      </c>
      <c r="H757" s="5" t="str">
        <f ca="1">IFERROR(__xludf.DUMMYFUNCTION("""COMPUTED_VALUE"""),"None")</f>
        <v>None</v>
      </c>
    </row>
    <row r="758" spans="1:8">
      <c r="A758" s="5" t="str">
        <f ca="1">IFERROR(__xludf.DUMMYFUNCTION("""COMPUTED_VALUE"""),"20190205MNMIM")</f>
        <v>20190205MNMIM</v>
      </c>
      <c r="B758" s="5">
        <f ca="1">IFERROR(__xludf.DUMMYFUNCTION("""COMPUTED_VALUE"""),31)</f>
        <v>31</v>
      </c>
      <c r="C758" s="5" t="str">
        <f ca="1">IFERROR(__xludf.DUMMYFUNCTION("""COMPUTED_VALUE"""),"Male")</f>
        <v>Male</v>
      </c>
      <c r="D758" s="5"/>
      <c r="E758" s="5" t="str">
        <f ca="1">IFERROR(__xludf.DUMMYFUNCTION("""COMPUTED_VALUE"""),"No Relation")</f>
        <v>No Relation</v>
      </c>
      <c r="F758" s="5" t="str">
        <f ca="1">IFERROR(__xludf.DUMMYFUNCTION("""COMPUTED_VALUE"""),"Apprehended/Killed by LE")</f>
        <v>Apprehended/Killed by LE</v>
      </c>
      <c r="G758" s="5" t="str">
        <f ca="1">IFERROR(__xludf.DUMMYFUNCTION("""COMPUTED_VALUE"""),"No")</f>
        <v>No</v>
      </c>
      <c r="H758" s="5" t="str">
        <f ca="1">IFERROR(__xludf.DUMMYFUNCTION("""COMPUTED_VALUE"""),"None")</f>
        <v>None</v>
      </c>
    </row>
    <row r="759" spans="1:8">
      <c r="A759" s="5" t="str">
        <f ca="1">IFERROR(__xludf.DUMMYFUNCTION("""COMPUTED_VALUE"""),"20190131TXATA")</f>
        <v>20190131TXATA</v>
      </c>
      <c r="B759" s="5">
        <f ca="1">IFERROR(__xludf.DUMMYFUNCTION("""COMPUTED_VALUE"""),16)</f>
        <v>16</v>
      </c>
      <c r="C759" s="5" t="str">
        <f ca="1">IFERROR(__xludf.DUMMYFUNCTION("""COMPUTED_VALUE"""),"Male")</f>
        <v>Male</v>
      </c>
      <c r="D759" s="5"/>
      <c r="E759" s="5" t="str">
        <f ca="1">IFERROR(__xludf.DUMMYFUNCTION("""COMPUTED_VALUE"""),"Student")</f>
        <v>Student</v>
      </c>
      <c r="F759" s="5" t="str">
        <f ca="1">IFERROR(__xludf.DUMMYFUNCTION("""COMPUTED_VALUE"""),"Fled/Escaped")</f>
        <v>Fled/Escaped</v>
      </c>
      <c r="G759" s="5" t="str">
        <f ca="1">IFERROR(__xludf.DUMMYFUNCTION("""COMPUTED_VALUE"""),"No")</f>
        <v>No</v>
      </c>
      <c r="H759" s="5" t="str">
        <f ca="1">IFERROR(__xludf.DUMMYFUNCTION("""COMPUTED_VALUE"""),"None")</f>
        <v>None</v>
      </c>
    </row>
    <row r="760" spans="1:8">
      <c r="A760" s="5" t="str">
        <f ca="1">IFERROR(__xludf.DUMMYFUNCTION("""COMPUTED_VALUE"""),"20190131TNMAM")</f>
        <v>20190131TNMAM</v>
      </c>
      <c r="B760" s="5"/>
      <c r="C760" s="5"/>
      <c r="D760" s="5"/>
      <c r="E760" s="5" t="str">
        <f ca="1">IFERROR(__xludf.DUMMYFUNCTION("""COMPUTED_VALUE"""),"Unknown")</f>
        <v>Unknown</v>
      </c>
      <c r="F760" s="5" t="str">
        <f ca="1">IFERROR(__xludf.DUMMYFUNCTION("""COMPUTED_VALUE"""),"Fled/Escaped")</f>
        <v>Fled/Escaped</v>
      </c>
      <c r="G760" s="5" t="str">
        <f ca="1">IFERROR(__xludf.DUMMYFUNCTION("""COMPUTED_VALUE"""),"No")</f>
        <v>No</v>
      </c>
      <c r="H760" s="5" t="str">
        <f ca="1">IFERROR(__xludf.DUMMYFUNCTION("""COMPUTED_VALUE"""),"None")</f>
        <v>None</v>
      </c>
    </row>
    <row r="761" spans="1:8">
      <c r="A761" s="5" t="str">
        <f ca="1">IFERROR(__xludf.DUMMYFUNCTION("""COMPUTED_VALUE"""),"20190130GAMIL")</f>
        <v>20190130GAMIL</v>
      </c>
      <c r="B761" s="5">
        <f ca="1">IFERROR(__xludf.DUMMYFUNCTION("""COMPUTED_VALUE"""),16)</f>
        <v>16</v>
      </c>
      <c r="C761" s="5" t="str">
        <f ca="1">IFERROR(__xludf.DUMMYFUNCTION("""COMPUTED_VALUE"""),"Male")</f>
        <v>Male</v>
      </c>
      <c r="D761" s="5"/>
      <c r="E761" s="5" t="str">
        <f ca="1">IFERROR(__xludf.DUMMYFUNCTION("""COMPUTED_VALUE"""),"No Relation")</f>
        <v>No Relation</v>
      </c>
      <c r="F761" s="5" t="str">
        <f ca="1">IFERROR(__xludf.DUMMYFUNCTION("""COMPUTED_VALUE"""),"Fled/Escaped")</f>
        <v>Fled/Escaped</v>
      </c>
      <c r="G761" s="5" t="str">
        <f ca="1">IFERROR(__xludf.DUMMYFUNCTION("""COMPUTED_VALUE"""),"No")</f>
        <v>No</v>
      </c>
      <c r="H761" s="5" t="str">
        <f ca="1">IFERROR(__xludf.DUMMYFUNCTION("""COMPUTED_VALUE"""),"None")</f>
        <v>None</v>
      </c>
    </row>
    <row r="762" spans="1:8">
      <c r="A762" s="5" t="str">
        <f ca="1">IFERROR(__xludf.DUMMYFUNCTION("""COMPUTED_VALUE"""),"20190127NVRER")</f>
        <v>20190127NVRER</v>
      </c>
      <c r="B762" s="5">
        <f ca="1">IFERROR(__xludf.DUMMYFUNCTION("""COMPUTED_VALUE"""),35)</f>
        <v>35</v>
      </c>
      <c r="C762" s="5" t="str">
        <f ca="1">IFERROR(__xludf.DUMMYFUNCTION("""COMPUTED_VALUE"""),"Male")</f>
        <v>Male</v>
      </c>
      <c r="D762" s="5" t="str">
        <f ca="1">IFERROR(__xludf.DUMMYFUNCTION("""COMPUTED_VALUE"""),"White")</f>
        <v>White</v>
      </c>
      <c r="E762" s="5" t="str">
        <f ca="1">IFERROR(__xludf.DUMMYFUNCTION("""COMPUTED_VALUE"""),"No Relation")</f>
        <v>No Relation</v>
      </c>
      <c r="F762" s="5" t="str">
        <f ca="1">IFERROR(__xludf.DUMMYFUNCTION("""COMPUTED_VALUE"""),"Apprehended/Killed by LE")</f>
        <v>Apprehended/Killed by LE</v>
      </c>
      <c r="G762" s="5" t="str">
        <f ca="1">IFERROR(__xludf.DUMMYFUNCTION("""COMPUTED_VALUE"""),"No")</f>
        <v>No</v>
      </c>
      <c r="H762" s="5" t="str">
        <f ca="1">IFERROR(__xludf.DUMMYFUNCTION("""COMPUTED_VALUE"""),"Wounded")</f>
        <v>Wounded</v>
      </c>
    </row>
    <row r="763" spans="1:8">
      <c r="A763" s="5" t="str">
        <f ca="1">IFERROR(__xludf.DUMMYFUNCTION("""COMPUTED_VALUE"""),"20190125TNMAM")</f>
        <v>20190125TNMAM</v>
      </c>
      <c r="B763" s="5">
        <f ca="1">IFERROR(__xludf.DUMMYFUNCTION("""COMPUTED_VALUE"""),16)</f>
        <v>16</v>
      </c>
      <c r="C763" s="5" t="str">
        <f ca="1">IFERROR(__xludf.DUMMYFUNCTION("""COMPUTED_VALUE"""),"Male")</f>
        <v>Male</v>
      </c>
      <c r="D763" s="5" t="str">
        <f ca="1">IFERROR(__xludf.DUMMYFUNCTION("""COMPUTED_VALUE"""),"Black")</f>
        <v>Black</v>
      </c>
      <c r="E763" s="5" t="str">
        <f ca="1">IFERROR(__xludf.DUMMYFUNCTION("""COMPUTED_VALUE"""),"Unknown")</f>
        <v>Unknown</v>
      </c>
      <c r="F763" s="5" t="str">
        <f ca="1">IFERROR(__xludf.DUMMYFUNCTION("""COMPUTED_VALUE"""),"Fled/Apprehended")</f>
        <v>Fled/Apprehended</v>
      </c>
      <c r="G763" s="5" t="str">
        <f ca="1">IFERROR(__xludf.DUMMYFUNCTION("""COMPUTED_VALUE"""),"No")</f>
        <v>No</v>
      </c>
      <c r="H763" s="5" t="str">
        <f ca="1">IFERROR(__xludf.DUMMYFUNCTION("""COMPUTED_VALUE"""),"None")</f>
        <v>None</v>
      </c>
    </row>
    <row r="764" spans="1:8">
      <c r="A764" s="5" t="str">
        <f ca="1">IFERROR(__xludf.DUMMYFUNCTION("""COMPUTED_VALUE"""),"20190125TNMAM")</f>
        <v>20190125TNMAM</v>
      </c>
      <c r="B764" s="5">
        <f ca="1">IFERROR(__xludf.DUMMYFUNCTION("""COMPUTED_VALUE"""),16)</f>
        <v>16</v>
      </c>
      <c r="C764" s="5" t="str">
        <f ca="1">IFERROR(__xludf.DUMMYFUNCTION("""COMPUTED_VALUE"""),"Male")</f>
        <v>Male</v>
      </c>
      <c r="D764" s="5" t="str">
        <f ca="1">IFERROR(__xludf.DUMMYFUNCTION("""COMPUTED_VALUE"""),"Black")</f>
        <v>Black</v>
      </c>
      <c r="E764" s="5" t="str">
        <f ca="1">IFERROR(__xludf.DUMMYFUNCTION("""COMPUTED_VALUE"""),"Unknown")</f>
        <v>Unknown</v>
      </c>
      <c r="F764" s="5" t="str">
        <f ca="1">IFERROR(__xludf.DUMMYFUNCTION("""COMPUTED_VALUE"""),"Fled/Apprehended")</f>
        <v>Fled/Apprehended</v>
      </c>
      <c r="G764" s="5" t="str">
        <f ca="1">IFERROR(__xludf.DUMMYFUNCTION("""COMPUTED_VALUE"""),"No")</f>
        <v>No</v>
      </c>
      <c r="H764" s="5" t="str">
        <f ca="1">IFERROR(__xludf.DUMMYFUNCTION("""COMPUTED_VALUE"""),"None")</f>
        <v>None</v>
      </c>
    </row>
    <row r="765" spans="1:8">
      <c r="A765" s="5" t="str">
        <f ca="1">IFERROR(__xludf.DUMMYFUNCTION("""COMPUTED_VALUE"""),"20190125ALDAM")</f>
        <v>20190125ALDAM</v>
      </c>
      <c r="B765" s="5">
        <f ca="1">IFERROR(__xludf.DUMMYFUNCTION("""COMPUTED_VALUE"""),15)</f>
        <v>15</v>
      </c>
      <c r="C765" s="5" t="str">
        <f ca="1">IFERROR(__xludf.DUMMYFUNCTION("""COMPUTED_VALUE"""),"Male")</f>
        <v>Male</v>
      </c>
      <c r="D765" s="5"/>
      <c r="E765" s="5" t="str">
        <f ca="1">IFERROR(__xludf.DUMMYFUNCTION("""COMPUTED_VALUE"""),"Student")</f>
        <v>Student</v>
      </c>
      <c r="F765" s="5" t="str">
        <f ca="1">IFERROR(__xludf.DUMMYFUNCTION("""COMPUTED_VALUE"""),"Fled/Escaped")</f>
        <v>Fled/Escaped</v>
      </c>
      <c r="G765" s="5" t="str">
        <f ca="1">IFERROR(__xludf.DUMMYFUNCTION("""COMPUTED_VALUE"""),"No")</f>
        <v>No</v>
      </c>
      <c r="H765" s="5" t="str">
        <f ca="1">IFERROR(__xludf.DUMMYFUNCTION("""COMPUTED_VALUE"""),"None")</f>
        <v>None</v>
      </c>
    </row>
    <row r="766" spans="1:8">
      <c r="A766" s="5" t="str">
        <f ca="1">IFERROR(__xludf.DUMMYFUNCTION("""COMPUTED_VALUE"""),"20190123LASOS")</f>
        <v>20190123LASOS</v>
      </c>
      <c r="B766" s="5" t="str">
        <f ca="1">IFERROR(__xludf.DUMMYFUNCTION("""COMPUTED_VALUE"""),"Adult")</f>
        <v>Adult</v>
      </c>
      <c r="C766" s="5"/>
      <c r="D766" s="5"/>
      <c r="E766" s="5" t="str">
        <f ca="1">IFERROR(__xludf.DUMMYFUNCTION("""COMPUTED_VALUE"""),"No Relation")</f>
        <v>No Relation</v>
      </c>
      <c r="F766" s="5" t="str">
        <f ca="1">IFERROR(__xludf.DUMMYFUNCTION("""COMPUTED_VALUE"""),"Fled/Escaped")</f>
        <v>Fled/Escaped</v>
      </c>
      <c r="G766" s="5" t="str">
        <f ca="1">IFERROR(__xludf.DUMMYFUNCTION("""COMPUTED_VALUE"""),"No")</f>
        <v>No</v>
      </c>
      <c r="H766" s="5" t="str">
        <f ca="1">IFERROR(__xludf.DUMMYFUNCTION("""COMPUTED_VALUE"""),"None")</f>
        <v>None</v>
      </c>
    </row>
    <row r="767" spans="1:8">
      <c r="A767" s="5" t="str">
        <f ca="1">IFERROR(__xludf.DUMMYFUNCTION("""COMPUTED_VALUE"""),"20190119KSLAO")</f>
        <v>20190119KSLAO</v>
      </c>
      <c r="B767" s="5"/>
      <c r="C767" s="5" t="str">
        <f ca="1">IFERROR(__xludf.DUMMYFUNCTION("""COMPUTED_VALUE"""),"Male")</f>
        <v>Male</v>
      </c>
      <c r="D767" s="5"/>
      <c r="E767" s="5" t="str">
        <f ca="1">IFERROR(__xludf.DUMMYFUNCTION("""COMPUTED_VALUE"""),"No Relation")</f>
        <v>No Relation</v>
      </c>
      <c r="F767" s="5" t="str">
        <f ca="1">IFERROR(__xludf.DUMMYFUNCTION("""COMPUTED_VALUE"""),"Fled/Escaped")</f>
        <v>Fled/Escaped</v>
      </c>
      <c r="G767" s="5" t="str">
        <f ca="1">IFERROR(__xludf.DUMMYFUNCTION("""COMPUTED_VALUE"""),"No")</f>
        <v>No</v>
      </c>
      <c r="H767" s="5" t="str">
        <f ca="1">IFERROR(__xludf.DUMMYFUNCTION("""COMPUTED_VALUE"""),"None")</f>
        <v>None</v>
      </c>
    </row>
    <row r="768" spans="1:8">
      <c r="A768" s="5" t="str">
        <f ca="1">IFERROR(__xludf.DUMMYFUNCTION("""COMPUTED_VALUE"""),"20190118NCSHD")</f>
        <v>20190118NCSHD</v>
      </c>
      <c r="B768" s="5"/>
      <c r="C768" s="5" t="str">
        <f ca="1">IFERROR(__xludf.DUMMYFUNCTION("""COMPUTED_VALUE"""),"Male")</f>
        <v>Male</v>
      </c>
      <c r="D768" s="5"/>
      <c r="E768" s="5" t="str">
        <f ca="1">IFERROR(__xludf.DUMMYFUNCTION("""COMPUTED_VALUE"""),"No Relation")</f>
        <v>No Relation</v>
      </c>
      <c r="F768" s="5" t="str">
        <f ca="1">IFERROR(__xludf.DUMMYFUNCTION("""COMPUTED_VALUE"""),"Fled/Escaped")</f>
        <v>Fled/Escaped</v>
      </c>
      <c r="G768" s="5" t="str">
        <f ca="1">IFERROR(__xludf.DUMMYFUNCTION("""COMPUTED_VALUE"""),"No")</f>
        <v>No</v>
      </c>
      <c r="H768" s="5" t="str">
        <f ca="1">IFERROR(__xludf.DUMMYFUNCTION("""COMPUTED_VALUE"""),"None")</f>
        <v>None</v>
      </c>
    </row>
    <row r="769" spans="1:8">
      <c r="A769" s="5" t="str">
        <f ca="1">IFERROR(__xludf.DUMMYFUNCTION("""COMPUTED_VALUE"""),"20190118MOHAS")</f>
        <v>20190118MOHAS</v>
      </c>
      <c r="B769" s="5"/>
      <c r="C769" s="5" t="str">
        <f ca="1">IFERROR(__xludf.DUMMYFUNCTION("""COMPUTED_VALUE"""),"Male")</f>
        <v>Male</v>
      </c>
      <c r="D769" s="5"/>
      <c r="E769" s="5" t="str">
        <f ca="1">IFERROR(__xludf.DUMMYFUNCTION("""COMPUTED_VALUE"""),"Unknown")</f>
        <v>Unknown</v>
      </c>
      <c r="F769" s="5" t="str">
        <f ca="1">IFERROR(__xludf.DUMMYFUNCTION("""COMPUTED_VALUE"""),"Fled/Escaped")</f>
        <v>Fled/Escaped</v>
      </c>
      <c r="G769" s="5" t="str">
        <f ca="1">IFERROR(__xludf.DUMMYFUNCTION("""COMPUTED_VALUE"""),"No")</f>
        <v>No</v>
      </c>
      <c r="H769" s="5" t="str">
        <f ca="1">IFERROR(__xludf.DUMMYFUNCTION("""COMPUTED_VALUE"""),"None")</f>
        <v>None</v>
      </c>
    </row>
    <row r="770" spans="1:8">
      <c r="A770" s="5" t="str">
        <f ca="1">IFERROR(__xludf.DUMMYFUNCTION("""COMPUTED_VALUE"""),"20190118ALCET")</f>
        <v>20190118ALCET</v>
      </c>
      <c r="B770" s="5">
        <f ca="1">IFERROR(__xludf.DUMMYFUNCTION("""COMPUTED_VALUE"""),19)</f>
        <v>19</v>
      </c>
      <c r="C770" s="5" t="str">
        <f ca="1">IFERROR(__xludf.DUMMYFUNCTION("""COMPUTED_VALUE"""),"Male")</f>
        <v>Male</v>
      </c>
      <c r="D770" s="5" t="str">
        <f ca="1">IFERROR(__xludf.DUMMYFUNCTION("""COMPUTED_VALUE"""),"Black")</f>
        <v>Black</v>
      </c>
      <c r="E770" s="5" t="str">
        <f ca="1">IFERROR(__xludf.DUMMYFUNCTION("""COMPUTED_VALUE"""),"No Relation")</f>
        <v>No Relation</v>
      </c>
      <c r="F770" s="5" t="str">
        <f ca="1">IFERROR(__xludf.DUMMYFUNCTION("""COMPUTED_VALUE"""),"Fled/Apprehended")</f>
        <v>Fled/Apprehended</v>
      </c>
      <c r="G770" s="5" t="str">
        <f ca="1">IFERROR(__xludf.DUMMYFUNCTION("""COMPUTED_VALUE"""),"No")</f>
        <v>No</v>
      </c>
      <c r="H770" s="5" t="str">
        <f ca="1">IFERROR(__xludf.DUMMYFUNCTION("""COMPUTED_VALUE"""),"None")</f>
        <v>None</v>
      </c>
    </row>
    <row r="771" spans="1:8">
      <c r="A771" s="5" t="str">
        <f ca="1">IFERROR(__xludf.DUMMYFUNCTION("""COMPUTED_VALUE"""),"20190111ORCAE")</f>
        <v>20190111ORCAE</v>
      </c>
      <c r="B771" s="5">
        <f ca="1">IFERROR(__xludf.DUMMYFUNCTION("""COMPUTED_VALUE"""),30)</f>
        <v>30</v>
      </c>
      <c r="C771" s="5" t="str">
        <f ca="1">IFERROR(__xludf.DUMMYFUNCTION("""COMPUTED_VALUE"""),"Male")</f>
        <v>Male</v>
      </c>
      <c r="D771" s="5"/>
      <c r="E771" s="5" t="str">
        <f ca="1">IFERROR(__xludf.DUMMYFUNCTION("""COMPUTED_VALUE"""),"Parent")</f>
        <v>Parent</v>
      </c>
      <c r="F771" s="5" t="str">
        <f ca="1">IFERROR(__xludf.DUMMYFUNCTION("""COMPUTED_VALUE"""),"Apprehended/Killed by LE")</f>
        <v>Apprehended/Killed by LE</v>
      </c>
      <c r="G771" s="5" t="str">
        <f ca="1">IFERROR(__xludf.DUMMYFUNCTION("""COMPUTED_VALUE"""),"No")</f>
        <v>No</v>
      </c>
      <c r="H771" s="5" t="str">
        <f ca="1">IFERROR(__xludf.DUMMYFUNCTION("""COMPUTED_VALUE"""),"None")</f>
        <v>None</v>
      </c>
    </row>
    <row r="772" spans="1:8">
      <c r="A772" s="5" t="str">
        <f ca="1">IFERROR(__xludf.DUMMYFUNCTION("""COMPUTED_VALUE"""),"20190107CACEB")</f>
        <v>20190107CACEB</v>
      </c>
      <c r="B772" s="5"/>
      <c r="C772" s="5"/>
      <c r="D772" s="5"/>
      <c r="E772" s="5" t="str">
        <f ca="1">IFERROR(__xludf.DUMMYFUNCTION("""COMPUTED_VALUE"""),"Unknown")</f>
        <v>Unknown</v>
      </c>
      <c r="F772" s="5" t="str">
        <f ca="1">IFERROR(__xludf.DUMMYFUNCTION("""COMPUTED_VALUE"""),"Fled/Escaped")</f>
        <v>Fled/Escaped</v>
      </c>
      <c r="G772" s="5" t="str">
        <f ca="1">IFERROR(__xludf.DUMMYFUNCTION("""COMPUTED_VALUE"""),"No")</f>
        <v>No</v>
      </c>
      <c r="H772" s="5" t="str">
        <f ca="1">IFERROR(__xludf.DUMMYFUNCTION("""COMPUTED_VALUE"""),"None")</f>
        <v>None</v>
      </c>
    </row>
    <row r="773" spans="1:8">
      <c r="A773" s="5" t="str">
        <f ca="1">IFERROR(__xludf.DUMMYFUNCTION("""COMPUTED_VALUE"""),"20181218DEAIG")</f>
        <v>20181218DEAIG</v>
      </c>
      <c r="B773" s="5"/>
      <c r="C773" s="5"/>
      <c r="D773" s="5"/>
      <c r="E773" s="5" t="str">
        <f ca="1">IFERROR(__xludf.DUMMYFUNCTION("""COMPUTED_VALUE"""),"Unknown")</f>
        <v>Unknown</v>
      </c>
      <c r="F773" s="5" t="str">
        <f ca="1">IFERROR(__xludf.DUMMYFUNCTION("""COMPUTED_VALUE"""),"Fled/Escaped")</f>
        <v>Fled/Escaped</v>
      </c>
      <c r="G773" s="5" t="str">
        <f ca="1">IFERROR(__xludf.DUMMYFUNCTION("""COMPUTED_VALUE"""),"No")</f>
        <v>No</v>
      </c>
      <c r="H773" s="5" t="str">
        <f ca="1">IFERROR(__xludf.DUMMYFUNCTION("""COMPUTED_VALUE"""),"None")</f>
        <v>None</v>
      </c>
    </row>
    <row r="774" spans="1:8">
      <c r="A774" s="5" t="str">
        <f ca="1">IFERROR(__xludf.DUMMYFUNCTION("""COMPUTED_VALUE"""),"20181214MOWIK")</f>
        <v>20181214MOWIK</v>
      </c>
      <c r="B774" s="5" t="str">
        <f ca="1">IFERROR(__xludf.DUMMYFUNCTION("""COMPUTED_VALUE"""),"Teen")</f>
        <v>Teen</v>
      </c>
      <c r="C774" s="5" t="str">
        <f ca="1">IFERROR(__xludf.DUMMYFUNCTION("""COMPUTED_VALUE"""),"Male")</f>
        <v>Male</v>
      </c>
      <c r="D774" s="5"/>
      <c r="E774" s="5" t="str">
        <f ca="1">IFERROR(__xludf.DUMMYFUNCTION("""COMPUTED_VALUE"""),"Student")</f>
        <v>Student</v>
      </c>
      <c r="F774" s="5" t="str">
        <f ca="1">IFERROR(__xludf.DUMMYFUNCTION("""COMPUTED_VALUE"""),"Fled/Escaped")</f>
        <v>Fled/Escaped</v>
      </c>
      <c r="G774" s="5" t="str">
        <f ca="1">IFERROR(__xludf.DUMMYFUNCTION("""COMPUTED_VALUE"""),"No")</f>
        <v>No</v>
      </c>
      <c r="H774" s="5" t="str">
        <f ca="1">IFERROR(__xludf.DUMMYFUNCTION("""COMPUTED_VALUE"""),"None")</f>
        <v>None</v>
      </c>
    </row>
    <row r="775" spans="1:8">
      <c r="A775" s="5" t="str">
        <f ca="1">IFERROR(__xludf.DUMMYFUNCTION("""COMPUTED_VALUE"""),"20181213INDER")</f>
        <v>20181213INDER</v>
      </c>
      <c r="B775" s="5">
        <f ca="1">IFERROR(__xludf.DUMMYFUNCTION("""COMPUTED_VALUE"""),14)</f>
        <v>14</v>
      </c>
      <c r="C775" s="5" t="str">
        <f ca="1">IFERROR(__xludf.DUMMYFUNCTION("""COMPUTED_VALUE"""),"Male")</f>
        <v>Male</v>
      </c>
      <c r="D775" s="5"/>
      <c r="E775" s="5" t="str">
        <f ca="1">IFERROR(__xludf.DUMMYFUNCTION("""COMPUTED_VALUE"""),"Former Student")</f>
        <v>Former Student</v>
      </c>
      <c r="F775" s="5" t="str">
        <f ca="1">IFERROR(__xludf.DUMMYFUNCTION("""COMPUTED_VALUE"""),"Suicide")</f>
        <v>Suicide</v>
      </c>
      <c r="G775" s="5" t="str">
        <f ca="1">IFERROR(__xludf.DUMMYFUNCTION("""COMPUTED_VALUE"""),"Yes")</f>
        <v>Yes</v>
      </c>
      <c r="H775" s="5" t="str">
        <f ca="1">IFERROR(__xludf.DUMMYFUNCTION("""COMPUTED_VALUE"""),"Suicide")</f>
        <v>Suicide</v>
      </c>
    </row>
    <row r="776" spans="1:8">
      <c r="A776" s="5" t="str">
        <f ca="1">IFERROR(__xludf.DUMMYFUNCTION("""COMPUTED_VALUE"""),"20181211KYCAC")</f>
        <v>20181211KYCAC</v>
      </c>
      <c r="B776" s="5"/>
      <c r="C776" s="5"/>
      <c r="D776" s="5"/>
      <c r="E776" s="5" t="str">
        <f ca="1">IFERROR(__xludf.DUMMYFUNCTION("""COMPUTED_VALUE"""),"No Relation")</f>
        <v>No Relation</v>
      </c>
      <c r="F776" s="5" t="str">
        <f ca="1">IFERROR(__xludf.DUMMYFUNCTION("""COMPUTED_VALUE"""),"Fled/Escaped")</f>
        <v>Fled/Escaped</v>
      </c>
      <c r="G776" s="5" t="str">
        <f ca="1">IFERROR(__xludf.DUMMYFUNCTION("""COMPUTED_VALUE"""),"No")</f>
        <v>No</v>
      </c>
      <c r="H776" s="5" t="str">
        <f ca="1">IFERROR(__xludf.DUMMYFUNCTION("""COMPUTED_VALUE"""),"None")</f>
        <v>None</v>
      </c>
    </row>
    <row r="777" spans="1:8">
      <c r="A777" s="5" t="str">
        <f ca="1">IFERROR(__xludf.DUMMYFUNCTION("""COMPUTED_VALUE"""),"20181210NYJEJ")</f>
        <v>20181210NYJEJ</v>
      </c>
      <c r="B777" s="5">
        <f ca="1">IFERROR(__xludf.DUMMYFUNCTION("""COMPUTED_VALUE"""),17)</f>
        <v>17</v>
      </c>
      <c r="C777" s="5" t="str">
        <f ca="1">IFERROR(__xludf.DUMMYFUNCTION("""COMPUTED_VALUE"""),"Male")</f>
        <v>Male</v>
      </c>
      <c r="D777" s="5"/>
      <c r="E777" s="5" t="str">
        <f ca="1">IFERROR(__xludf.DUMMYFUNCTION("""COMPUTED_VALUE"""),"Student")</f>
        <v>Student</v>
      </c>
      <c r="F777" s="5" t="str">
        <f ca="1">IFERROR(__xludf.DUMMYFUNCTION("""COMPUTED_VALUE"""),"Suicide")</f>
        <v>Suicide</v>
      </c>
      <c r="G777" s="5" t="str">
        <f ca="1">IFERROR(__xludf.DUMMYFUNCTION("""COMPUTED_VALUE"""),"Yes")</f>
        <v>Yes</v>
      </c>
      <c r="H777" s="5" t="str">
        <f ca="1">IFERROR(__xludf.DUMMYFUNCTION("""COMPUTED_VALUE"""),"Suicide")</f>
        <v>Suicide</v>
      </c>
    </row>
    <row r="778" spans="1:8">
      <c r="A778" s="5" t="str">
        <f ca="1">IFERROR(__xludf.DUMMYFUNCTION("""COMPUTED_VALUE"""),"20181128PASTP")</f>
        <v>20181128PASTP</v>
      </c>
      <c r="B778" s="5"/>
      <c r="C778" s="5"/>
      <c r="D778" s="5"/>
      <c r="E778" s="5" t="str">
        <f ca="1">IFERROR(__xludf.DUMMYFUNCTION("""COMPUTED_VALUE"""),"Unknown")</f>
        <v>Unknown</v>
      </c>
      <c r="F778" s="5" t="str">
        <f ca="1">IFERROR(__xludf.DUMMYFUNCTION("""COMPUTED_VALUE"""),"Fled/Escaped")</f>
        <v>Fled/Escaped</v>
      </c>
      <c r="G778" s="5" t="str">
        <f ca="1">IFERROR(__xludf.DUMMYFUNCTION("""COMPUTED_VALUE"""),"No")</f>
        <v>No</v>
      </c>
      <c r="H778" s="5" t="str">
        <f ca="1">IFERROR(__xludf.DUMMYFUNCTION("""COMPUTED_VALUE"""),"None")</f>
        <v>None</v>
      </c>
    </row>
    <row r="779" spans="1:8">
      <c r="A779" s="5" t="str">
        <f ca="1">IFERROR(__xludf.DUMMYFUNCTION("""COMPUTED_VALUE"""),"20181124OHAFC")</f>
        <v>20181124OHAFC</v>
      </c>
      <c r="B779" s="5" t="str">
        <f ca="1">IFERROR(__xludf.DUMMYFUNCTION("""COMPUTED_VALUE"""),"Adult")</f>
        <v>Adult</v>
      </c>
      <c r="C779" s="5" t="str">
        <f ca="1">IFERROR(__xludf.DUMMYFUNCTION("""COMPUTED_VALUE"""),"Male")</f>
        <v>Male</v>
      </c>
      <c r="D779" s="5"/>
      <c r="E779" s="5" t="str">
        <f ca="1">IFERROR(__xludf.DUMMYFUNCTION("""COMPUTED_VALUE"""),"No Relation")</f>
        <v>No Relation</v>
      </c>
      <c r="F779" s="5" t="str">
        <f ca="1">IFERROR(__xludf.DUMMYFUNCTION("""COMPUTED_VALUE"""),"Fled/Escaped")</f>
        <v>Fled/Escaped</v>
      </c>
      <c r="G779" s="5" t="str">
        <f ca="1">IFERROR(__xludf.DUMMYFUNCTION("""COMPUTED_VALUE"""),"No")</f>
        <v>No</v>
      </c>
      <c r="H779" s="5" t="str">
        <f ca="1">IFERROR(__xludf.DUMMYFUNCTION("""COMPUTED_VALUE"""),"None")</f>
        <v>None</v>
      </c>
    </row>
    <row r="780" spans="1:8">
      <c r="A780" s="5" t="str">
        <f ca="1">IFERROR(__xludf.DUMMYFUNCTION("""COMPUTED_VALUE"""),"20181122WAMOD")</f>
        <v>20181122WAMOD</v>
      </c>
      <c r="B780" s="5" t="str">
        <f ca="1">IFERROR(__xludf.DUMMYFUNCTION("""COMPUTED_VALUE"""),"Adult")</f>
        <v>Adult</v>
      </c>
      <c r="C780" s="5" t="str">
        <f ca="1">IFERROR(__xludf.DUMMYFUNCTION("""COMPUTED_VALUE"""),"Male")</f>
        <v>Male</v>
      </c>
      <c r="D780" s="5"/>
      <c r="E780" s="5" t="str">
        <f ca="1">IFERROR(__xludf.DUMMYFUNCTION("""COMPUTED_VALUE"""),"Nonstudent Using Athletic Facilities/Attending Game")</f>
        <v>Nonstudent Using Athletic Facilities/Attending Game</v>
      </c>
      <c r="F780" s="5" t="str">
        <f ca="1">IFERROR(__xludf.DUMMYFUNCTION("""COMPUTED_VALUE"""),"Fled/Escaped")</f>
        <v>Fled/Escaped</v>
      </c>
      <c r="G780" s="5" t="str">
        <f ca="1">IFERROR(__xludf.DUMMYFUNCTION("""COMPUTED_VALUE"""),"No")</f>
        <v>No</v>
      </c>
      <c r="H780" s="5" t="str">
        <f ca="1">IFERROR(__xludf.DUMMYFUNCTION("""COMPUTED_VALUE"""),"None")</f>
        <v>None</v>
      </c>
    </row>
    <row r="781" spans="1:8">
      <c r="A781" s="5" t="str">
        <f ca="1">IFERROR(__xludf.DUMMYFUNCTION("""COMPUTED_VALUE"""),"20181122TXSKD")</f>
        <v>20181122TXSKD</v>
      </c>
      <c r="B781" s="5" t="str">
        <f ca="1">IFERROR(__xludf.DUMMYFUNCTION("""COMPUTED_VALUE"""),"Teen")</f>
        <v>Teen</v>
      </c>
      <c r="C781" s="5" t="str">
        <f ca="1">IFERROR(__xludf.DUMMYFUNCTION("""COMPUTED_VALUE"""),"Male")</f>
        <v>Male</v>
      </c>
      <c r="D781" s="5" t="str">
        <f ca="1">IFERROR(__xludf.DUMMYFUNCTION("""COMPUTED_VALUE"""),"Black")</f>
        <v>Black</v>
      </c>
      <c r="E781" s="5" t="str">
        <f ca="1">IFERROR(__xludf.DUMMYFUNCTION("""COMPUTED_VALUE"""),"Unknown")</f>
        <v>Unknown</v>
      </c>
      <c r="F781" s="5" t="str">
        <f ca="1">IFERROR(__xludf.DUMMYFUNCTION("""COMPUTED_VALUE"""),"Fled/Escaped")</f>
        <v>Fled/Escaped</v>
      </c>
      <c r="G781" s="5" t="str">
        <f ca="1">IFERROR(__xludf.DUMMYFUNCTION("""COMPUTED_VALUE"""),"No")</f>
        <v>No</v>
      </c>
      <c r="H781" s="5" t="str">
        <f ca="1">IFERROR(__xludf.DUMMYFUNCTION("""COMPUTED_VALUE"""),"None")</f>
        <v>None</v>
      </c>
    </row>
    <row r="782" spans="1:8">
      <c r="A782" s="5" t="str">
        <f ca="1">IFERROR(__xludf.DUMMYFUNCTION("""COMPUTED_VALUE"""),"20181121MIPEP")</f>
        <v>20181121MIPEP</v>
      </c>
      <c r="B782" s="5">
        <f ca="1">IFERROR(__xludf.DUMMYFUNCTION("""COMPUTED_VALUE"""),22)</f>
        <v>22</v>
      </c>
      <c r="C782" s="5" t="str">
        <f ca="1">IFERROR(__xludf.DUMMYFUNCTION("""COMPUTED_VALUE"""),"Male")</f>
        <v>Male</v>
      </c>
      <c r="D782" s="5"/>
      <c r="E782" s="5" t="str">
        <f ca="1">IFERROR(__xludf.DUMMYFUNCTION("""COMPUTED_VALUE"""),"No Relation")</f>
        <v>No Relation</v>
      </c>
      <c r="F782" s="5" t="str">
        <f ca="1">IFERROR(__xludf.DUMMYFUNCTION("""COMPUTED_VALUE"""),"Fled/Apprehended")</f>
        <v>Fled/Apprehended</v>
      </c>
      <c r="G782" s="5" t="str">
        <f ca="1">IFERROR(__xludf.DUMMYFUNCTION("""COMPUTED_VALUE"""),"No")</f>
        <v>No</v>
      </c>
      <c r="H782" s="5" t="str">
        <f ca="1">IFERROR(__xludf.DUMMYFUNCTION("""COMPUTED_VALUE"""),"None")</f>
        <v>None</v>
      </c>
    </row>
    <row r="783" spans="1:8">
      <c r="A783" s="5" t="str">
        <f ca="1">IFERROR(__xludf.DUMMYFUNCTION("""COMPUTED_VALUE"""),"20181120VASIP")</f>
        <v>20181120VASIP</v>
      </c>
      <c r="B783" s="5">
        <f ca="1">IFERROR(__xludf.DUMMYFUNCTION("""COMPUTED_VALUE"""),29)</f>
        <v>29</v>
      </c>
      <c r="C783" s="5" t="str">
        <f ca="1">IFERROR(__xludf.DUMMYFUNCTION("""COMPUTED_VALUE"""),"Male")</f>
        <v>Male</v>
      </c>
      <c r="D783" s="5" t="str">
        <f ca="1">IFERROR(__xludf.DUMMYFUNCTION("""COMPUTED_VALUE"""),"Black")</f>
        <v>Black</v>
      </c>
      <c r="E783" s="5" t="str">
        <f ca="1">IFERROR(__xludf.DUMMYFUNCTION("""COMPUTED_VALUE"""),"Parent")</f>
        <v>Parent</v>
      </c>
      <c r="F783" s="5" t="str">
        <f ca="1">IFERROR(__xludf.DUMMYFUNCTION("""COMPUTED_VALUE"""),"Fled/Apprehended")</f>
        <v>Fled/Apprehended</v>
      </c>
      <c r="G783" s="5" t="str">
        <f ca="1">IFERROR(__xludf.DUMMYFUNCTION("""COMPUTED_VALUE"""),"No")</f>
        <v>No</v>
      </c>
      <c r="H783" s="5" t="str">
        <f ca="1">IFERROR(__xludf.DUMMYFUNCTION("""COMPUTED_VALUE"""),"None")</f>
        <v>None</v>
      </c>
    </row>
    <row r="784" spans="1:8">
      <c r="A784" s="5" t="str">
        <f ca="1">IFERROR(__xludf.DUMMYFUNCTION("""COMPUTED_VALUE"""),"20181112MDEAE")</f>
        <v>20181112MDEAE</v>
      </c>
      <c r="B784" s="5"/>
      <c r="C784" s="5" t="str">
        <f ca="1">IFERROR(__xludf.DUMMYFUNCTION("""COMPUTED_VALUE"""),"Male")</f>
        <v>Male</v>
      </c>
      <c r="D784" s="5"/>
      <c r="E784" s="5" t="str">
        <f ca="1">IFERROR(__xludf.DUMMYFUNCTION("""COMPUTED_VALUE"""),"Police Officer/SRO")</f>
        <v>Police Officer/SRO</v>
      </c>
      <c r="F784" s="5" t="str">
        <f ca="1">IFERROR(__xludf.DUMMYFUNCTION("""COMPUTED_VALUE"""),"Suicide")</f>
        <v>Suicide</v>
      </c>
      <c r="G784" s="5" t="str">
        <f ca="1">IFERROR(__xludf.DUMMYFUNCTION("""COMPUTED_VALUE"""),"Yes")</f>
        <v>Yes</v>
      </c>
      <c r="H784" s="5" t="str">
        <f ca="1">IFERROR(__xludf.DUMMYFUNCTION("""COMPUTED_VALUE"""),"Suicide")</f>
        <v>Suicide</v>
      </c>
    </row>
    <row r="785" spans="1:8">
      <c r="A785" s="5" t="str">
        <f ca="1">IFERROR(__xludf.DUMMYFUNCTION("""COMPUTED_VALUE"""),"20181109GAGAM")</f>
        <v>20181109GAGAM</v>
      </c>
      <c r="B785" s="5" t="str">
        <f ca="1">IFERROR(__xludf.DUMMYFUNCTION("""COMPUTED_VALUE"""),"Teen")</f>
        <v>Teen</v>
      </c>
      <c r="C785" s="5" t="str">
        <f ca="1">IFERROR(__xludf.DUMMYFUNCTION("""COMPUTED_VALUE"""),"Male")</f>
        <v>Male</v>
      </c>
      <c r="D785" s="5"/>
      <c r="E785" s="5" t="str">
        <f ca="1">IFERROR(__xludf.DUMMYFUNCTION("""COMPUTED_VALUE"""),"Student")</f>
        <v>Student</v>
      </c>
      <c r="F785" s="5" t="str">
        <f ca="1">IFERROR(__xludf.DUMMYFUNCTION("""COMPUTED_VALUE"""),"Fled/Apprehended")</f>
        <v>Fled/Apprehended</v>
      </c>
      <c r="G785" s="5" t="str">
        <f ca="1">IFERROR(__xludf.DUMMYFUNCTION("""COMPUTED_VALUE"""),"No")</f>
        <v>No</v>
      </c>
      <c r="H785" s="5" t="str">
        <f ca="1">IFERROR(__xludf.DUMMYFUNCTION("""COMPUTED_VALUE"""),"None")</f>
        <v>None</v>
      </c>
    </row>
    <row r="786" spans="1:8">
      <c r="A786" s="5" t="str">
        <f ca="1">IFERROR(__xludf.DUMMYFUNCTION("""COMPUTED_VALUE"""),"20181108CACLS")</f>
        <v>20181108CACLS</v>
      </c>
      <c r="B786" s="5">
        <f ca="1">IFERROR(__xludf.DUMMYFUNCTION("""COMPUTED_VALUE"""),29)</f>
        <v>29</v>
      </c>
      <c r="C786" s="5" t="str">
        <f ca="1">IFERROR(__xludf.DUMMYFUNCTION("""COMPUTED_VALUE"""),"Male")</f>
        <v>Male</v>
      </c>
      <c r="D786" s="5" t="str">
        <f ca="1">IFERROR(__xludf.DUMMYFUNCTION("""COMPUTED_VALUE"""),"Hispanic")</f>
        <v>Hispanic</v>
      </c>
      <c r="E786" s="5" t="str">
        <f ca="1">IFERROR(__xludf.DUMMYFUNCTION("""COMPUTED_VALUE"""),"No Relation")</f>
        <v>No Relation</v>
      </c>
      <c r="F786" s="5" t="str">
        <f ca="1">IFERROR(__xludf.DUMMYFUNCTION("""COMPUTED_VALUE"""),"Fled/Apprehended")</f>
        <v>Fled/Apprehended</v>
      </c>
      <c r="G786" s="5" t="str">
        <f ca="1">IFERROR(__xludf.DUMMYFUNCTION("""COMPUTED_VALUE"""),"No")</f>
        <v>No</v>
      </c>
      <c r="H786" s="5" t="str">
        <f ca="1">IFERROR(__xludf.DUMMYFUNCTION("""COMPUTED_VALUE"""),"None")</f>
        <v>None</v>
      </c>
    </row>
    <row r="787" spans="1:8">
      <c r="A787" s="5" t="str">
        <f ca="1">IFERROR(__xludf.DUMMYFUNCTION("""COMPUTED_VALUE"""),"20181108CACLS")</f>
        <v>20181108CACLS</v>
      </c>
      <c r="B787" s="5">
        <f ca="1">IFERROR(__xludf.DUMMYFUNCTION("""COMPUTED_VALUE"""),29)</f>
        <v>29</v>
      </c>
      <c r="C787" s="5" t="str">
        <f ca="1">IFERROR(__xludf.DUMMYFUNCTION("""COMPUTED_VALUE"""),"Male")</f>
        <v>Male</v>
      </c>
      <c r="D787" s="5" t="str">
        <f ca="1">IFERROR(__xludf.DUMMYFUNCTION("""COMPUTED_VALUE"""),"Hispanic")</f>
        <v>Hispanic</v>
      </c>
      <c r="E787" s="5" t="str">
        <f ca="1">IFERROR(__xludf.DUMMYFUNCTION("""COMPUTED_VALUE"""),"No Relation")</f>
        <v>No Relation</v>
      </c>
      <c r="F787" s="5" t="str">
        <f ca="1">IFERROR(__xludf.DUMMYFUNCTION("""COMPUTED_VALUE"""),"Fled/Apprehended")</f>
        <v>Fled/Apprehended</v>
      </c>
      <c r="G787" s="5" t="str">
        <f ca="1">IFERROR(__xludf.DUMMYFUNCTION("""COMPUTED_VALUE"""),"No")</f>
        <v>No</v>
      </c>
      <c r="H787" s="5" t="str">
        <f ca="1">IFERROR(__xludf.DUMMYFUNCTION("""COMPUTED_VALUE"""),"None")</f>
        <v>None</v>
      </c>
    </row>
    <row r="788" spans="1:8">
      <c r="A788" s="5" t="str">
        <f ca="1">IFERROR(__xludf.DUMMYFUNCTION("""COMPUTED_VALUE"""),"20181105SCACC")</f>
        <v>20181105SCACC</v>
      </c>
      <c r="B788" s="5">
        <f ca="1">IFERROR(__xludf.DUMMYFUNCTION("""COMPUTED_VALUE"""),12)</f>
        <v>12</v>
      </c>
      <c r="C788" s="5" t="str">
        <f ca="1">IFERROR(__xludf.DUMMYFUNCTION("""COMPUTED_VALUE"""),"Male")</f>
        <v>Male</v>
      </c>
      <c r="D788" s="5"/>
      <c r="E788" s="5" t="str">
        <f ca="1">IFERROR(__xludf.DUMMYFUNCTION("""COMPUTED_VALUE"""),"Student")</f>
        <v>Student</v>
      </c>
      <c r="F788" s="5" t="str">
        <f ca="1">IFERROR(__xludf.DUMMYFUNCTION("""COMPUTED_VALUE"""),"Apprehended/Killed by LE")</f>
        <v>Apprehended/Killed by LE</v>
      </c>
      <c r="G788" s="5" t="str">
        <f ca="1">IFERROR(__xludf.DUMMYFUNCTION("""COMPUTED_VALUE"""),"No")</f>
        <v>No</v>
      </c>
      <c r="H788" s="5" t="str">
        <f ca="1">IFERROR(__xludf.DUMMYFUNCTION("""COMPUTED_VALUE"""),"None")</f>
        <v>None</v>
      </c>
    </row>
    <row r="789" spans="1:8">
      <c r="A789" s="5" t="str">
        <f ca="1">IFERROR(__xludf.DUMMYFUNCTION("""COMPUTED_VALUE"""),"20181104KYCRL")</f>
        <v>20181104KYCRL</v>
      </c>
      <c r="B789" s="5" t="str">
        <f ca="1">IFERROR(__xludf.DUMMYFUNCTION("""COMPUTED_VALUE"""),"Adult")</f>
        <v>Adult</v>
      </c>
      <c r="C789" s="5" t="str">
        <f ca="1">IFERROR(__xludf.DUMMYFUNCTION("""COMPUTED_VALUE"""),"Male")</f>
        <v>Male</v>
      </c>
      <c r="D789" s="5"/>
      <c r="E789" s="5" t="str">
        <f ca="1">IFERROR(__xludf.DUMMYFUNCTION("""COMPUTED_VALUE"""),"Unknown")</f>
        <v>Unknown</v>
      </c>
      <c r="F789" s="5" t="str">
        <f ca="1">IFERROR(__xludf.DUMMYFUNCTION("""COMPUTED_VALUE"""),"Fled/Escaped")</f>
        <v>Fled/Escaped</v>
      </c>
      <c r="G789" s="5" t="str">
        <f ca="1">IFERROR(__xludf.DUMMYFUNCTION("""COMPUTED_VALUE"""),"No")</f>
        <v>No</v>
      </c>
      <c r="H789" s="5" t="str">
        <f ca="1">IFERROR(__xludf.DUMMYFUNCTION("""COMPUTED_VALUE"""),"None")</f>
        <v>None</v>
      </c>
    </row>
    <row r="790" spans="1:8">
      <c r="A790" s="5" t="str">
        <f ca="1">IFERROR(__xludf.DUMMYFUNCTION("""COMPUTED_VALUE"""),"20181029NCBUM")</f>
        <v>20181029NCBUM</v>
      </c>
      <c r="B790" s="5">
        <f ca="1">IFERROR(__xludf.DUMMYFUNCTION("""COMPUTED_VALUE"""),16)</f>
        <v>16</v>
      </c>
      <c r="C790" s="5" t="str">
        <f ca="1">IFERROR(__xludf.DUMMYFUNCTION("""COMPUTED_VALUE"""),"Male")</f>
        <v>Male</v>
      </c>
      <c r="D790" s="5" t="str">
        <f ca="1">IFERROR(__xludf.DUMMYFUNCTION("""COMPUTED_VALUE"""),"Black")</f>
        <v>Black</v>
      </c>
      <c r="E790" s="5" t="str">
        <f ca="1">IFERROR(__xludf.DUMMYFUNCTION("""COMPUTED_VALUE"""),"Student")</f>
        <v>Student</v>
      </c>
      <c r="F790" s="5" t="str">
        <f ca="1">IFERROR(__xludf.DUMMYFUNCTION("""COMPUTED_VALUE"""),"Surrendered")</f>
        <v>Surrendered</v>
      </c>
      <c r="G790" s="5" t="str">
        <f ca="1">IFERROR(__xludf.DUMMYFUNCTION("""COMPUTED_VALUE"""),"No")</f>
        <v>No</v>
      </c>
      <c r="H790" s="5" t="str">
        <f ca="1">IFERROR(__xludf.DUMMYFUNCTION("""COMPUTED_VALUE"""),"None")</f>
        <v>None</v>
      </c>
    </row>
    <row r="791" spans="1:8">
      <c r="A791" s="5" t="str">
        <f ca="1">IFERROR(__xludf.DUMMYFUNCTION("""COMPUTED_VALUE"""),"20181026FLSAO")</f>
        <v>20181026FLSAO</v>
      </c>
      <c r="B791" s="5">
        <f ca="1">IFERROR(__xludf.DUMMYFUNCTION("""COMPUTED_VALUE"""),16)</f>
        <v>16</v>
      </c>
      <c r="C791" s="5" t="str">
        <f ca="1">IFERROR(__xludf.DUMMYFUNCTION("""COMPUTED_VALUE"""),"Male")</f>
        <v>Male</v>
      </c>
      <c r="D791" s="5" t="str">
        <f ca="1">IFERROR(__xludf.DUMMYFUNCTION("""COMPUTED_VALUE"""),"Hispanic")</f>
        <v>Hispanic</v>
      </c>
      <c r="E791" s="5" t="str">
        <f ca="1">IFERROR(__xludf.DUMMYFUNCTION("""COMPUTED_VALUE"""),"No Relation")</f>
        <v>No Relation</v>
      </c>
      <c r="F791" s="5" t="str">
        <f ca="1">IFERROR(__xludf.DUMMYFUNCTION("""COMPUTED_VALUE"""),"Fled/Apprehended")</f>
        <v>Fled/Apprehended</v>
      </c>
      <c r="G791" s="5" t="str">
        <f ca="1">IFERROR(__xludf.DUMMYFUNCTION("""COMPUTED_VALUE"""),"No")</f>
        <v>No</v>
      </c>
      <c r="H791" s="5" t="str">
        <f ca="1">IFERROR(__xludf.DUMMYFUNCTION("""COMPUTED_VALUE"""),"None")</f>
        <v>None</v>
      </c>
    </row>
    <row r="792" spans="1:8">
      <c r="A792" s="5" t="str">
        <f ca="1">IFERROR(__xludf.DUMMYFUNCTION("""COMPUTED_VALUE"""),"20181025MICOD")</f>
        <v>20181025MICOD</v>
      </c>
      <c r="B792" s="5"/>
      <c r="C792" s="5"/>
      <c r="D792" s="5"/>
      <c r="E792" s="5" t="str">
        <f ca="1">IFERROR(__xludf.DUMMYFUNCTION("""COMPUTED_VALUE"""),"Unknown")</f>
        <v>Unknown</v>
      </c>
      <c r="F792" s="5" t="str">
        <f ca="1">IFERROR(__xludf.DUMMYFUNCTION("""COMPUTED_VALUE"""),"Fled/Escaped")</f>
        <v>Fled/Escaped</v>
      </c>
      <c r="G792" s="5" t="str">
        <f ca="1">IFERROR(__xludf.DUMMYFUNCTION("""COMPUTED_VALUE"""),"No")</f>
        <v>No</v>
      </c>
      <c r="H792" s="5" t="str">
        <f ca="1">IFERROR(__xludf.DUMMYFUNCTION("""COMPUTED_VALUE"""),"None")</f>
        <v>None</v>
      </c>
    </row>
    <row r="793" spans="1:8">
      <c r="A793" s="5" t="str">
        <f ca="1">IFERROR(__xludf.DUMMYFUNCTION("""COMPUTED_VALUE"""),"20181023NHGOM")</f>
        <v>20181023NHGOM</v>
      </c>
      <c r="B793" s="5"/>
      <c r="C793" s="5" t="str">
        <f ca="1">IFERROR(__xludf.DUMMYFUNCTION("""COMPUTED_VALUE"""),"Male")</f>
        <v>Male</v>
      </c>
      <c r="D793" s="5"/>
      <c r="E793" s="5" t="str">
        <f ca="1">IFERROR(__xludf.DUMMYFUNCTION("""COMPUTED_VALUE"""),"Unknown")</f>
        <v>Unknown</v>
      </c>
      <c r="F793" s="5" t="str">
        <f ca="1">IFERROR(__xludf.DUMMYFUNCTION("""COMPUTED_VALUE"""),"Fled/Escaped")</f>
        <v>Fled/Escaped</v>
      </c>
      <c r="G793" s="5" t="str">
        <f ca="1">IFERROR(__xludf.DUMMYFUNCTION("""COMPUTED_VALUE"""),"No")</f>
        <v>No</v>
      </c>
      <c r="H793" s="5" t="str">
        <f ca="1">IFERROR(__xludf.DUMMYFUNCTION("""COMPUTED_VALUE"""),"None")</f>
        <v>None</v>
      </c>
    </row>
    <row r="794" spans="1:8">
      <c r="A794" s="5" t="str">
        <f ca="1">IFERROR(__xludf.DUMMYFUNCTION("""COMPUTED_VALUE"""),"20181022CTDUB")</f>
        <v>20181022CTDUB</v>
      </c>
      <c r="B794" s="5">
        <f ca="1">IFERROR(__xludf.DUMMYFUNCTION("""COMPUTED_VALUE"""),18)</f>
        <v>18</v>
      </c>
      <c r="C794" s="5" t="str">
        <f ca="1">IFERROR(__xludf.DUMMYFUNCTION("""COMPUTED_VALUE"""),"Male")</f>
        <v>Male</v>
      </c>
      <c r="D794" s="5" t="str">
        <f ca="1">IFERROR(__xludf.DUMMYFUNCTION("""COMPUTED_VALUE"""),"Black")</f>
        <v>Black</v>
      </c>
      <c r="E794" s="5" t="str">
        <f ca="1">IFERROR(__xludf.DUMMYFUNCTION("""COMPUTED_VALUE"""),"No Relation")</f>
        <v>No Relation</v>
      </c>
      <c r="F794" s="5" t="str">
        <f ca="1">IFERROR(__xludf.DUMMYFUNCTION("""COMPUTED_VALUE"""),"Fled/Apprehended")</f>
        <v>Fled/Apprehended</v>
      </c>
      <c r="G794" s="5" t="str">
        <f ca="1">IFERROR(__xludf.DUMMYFUNCTION("""COMPUTED_VALUE"""),"No")</f>
        <v>No</v>
      </c>
      <c r="H794" s="5" t="str">
        <f ca="1">IFERROR(__xludf.DUMMYFUNCTION("""COMPUTED_VALUE"""),"None")</f>
        <v>None</v>
      </c>
    </row>
    <row r="795" spans="1:8">
      <c r="A795" s="5" t="str">
        <f ca="1">IFERROR(__xludf.DUMMYFUNCTION("""COMPUTED_VALUE"""),"20181020GASHS")</f>
        <v>20181020GASHS</v>
      </c>
      <c r="B795" s="5">
        <f ca="1">IFERROR(__xludf.DUMMYFUNCTION("""COMPUTED_VALUE"""),18)</f>
        <v>18</v>
      </c>
      <c r="C795" s="5" t="str">
        <f ca="1">IFERROR(__xludf.DUMMYFUNCTION("""COMPUTED_VALUE"""),"Male")</f>
        <v>Male</v>
      </c>
      <c r="D795" s="5" t="str">
        <f ca="1">IFERROR(__xludf.DUMMYFUNCTION("""COMPUTED_VALUE"""),"Black")</f>
        <v>Black</v>
      </c>
      <c r="E795" s="5" t="str">
        <f ca="1">IFERROR(__xludf.DUMMYFUNCTION("""COMPUTED_VALUE"""),"No Relation")</f>
        <v>No Relation</v>
      </c>
      <c r="F795" s="5" t="str">
        <f ca="1">IFERROR(__xludf.DUMMYFUNCTION("""COMPUTED_VALUE"""),"Fled/Apprehended")</f>
        <v>Fled/Apprehended</v>
      </c>
      <c r="G795" s="5" t="str">
        <f ca="1">IFERROR(__xludf.DUMMYFUNCTION("""COMPUTED_VALUE"""),"No")</f>
        <v>No</v>
      </c>
      <c r="H795" s="5" t="str">
        <f ca="1">IFERROR(__xludf.DUMMYFUNCTION("""COMPUTED_VALUE"""),"None")</f>
        <v>None</v>
      </c>
    </row>
    <row r="796" spans="1:8">
      <c r="A796" s="5" t="str">
        <f ca="1">IFERROR(__xludf.DUMMYFUNCTION("""COMPUTED_VALUE"""),"20181013TNMCN")</f>
        <v>20181013TNMCN</v>
      </c>
      <c r="B796" s="5"/>
      <c r="C796" s="5" t="str">
        <f ca="1">IFERROR(__xludf.DUMMYFUNCTION("""COMPUTED_VALUE"""),"Male")</f>
        <v>Male</v>
      </c>
      <c r="D796" s="5" t="str">
        <f ca="1">IFERROR(__xludf.DUMMYFUNCTION("""COMPUTED_VALUE"""),"Black")</f>
        <v>Black</v>
      </c>
      <c r="E796" s="5" t="str">
        <f ca="1">IFERROR(__xludf.DUMMYFUNCTION("""COMPUTED_VALUE"""),"Unknown")</f>
        <v>Unknown</v>
      </c>
      <c r="F796" s="5" t="str">
        <f ca="1">IFERROR(__xludf.DUMMYFUNCTION("""COMPUTED_VALUE"""),"Fled/Escaped")</f>
        <v>Fled/Escaped</v>
      </c>
      <c r="G796" s="5" t="str">
        <f ca="1">IFERROR(__xludf.DUMMYFUNCTION("""COMPUTED_VALUE"""),"No")</f>
        <v>No</v>
      </c>
      <c r="H796" s="5" t="str">
        <f ca="1">IFERROR(__xludf.DUMMYFUNCTION("""COMPUTED_VALUE"""),"None")</f>
        <v>None</v>
      </c>
    </row>
    <row r="797" spans="1:8">
      <c r="A797" s="5" t="str">
        <f ca="1">IFERROR(__xludf.DUMMYFUNCTION("""COMPUTED_VALUE"""),"20181012MIBAB")</f>
        <v>20181012MIBAB</v>
      </c>
      <c r="B797" s="5"/>
      <c r="C797" s="5"/>
      <c r="D797" s="5"/>
      <c r="E797" s="5" t="str">
        <f ca="1">IFERROR(__xludf.DUMMYFUNCTION("""COMPUTED_VALUE"""),"Unknown")</f>
        <v>Unknown</v>
      </c>
      <c r="F797" s="5" t="str">
        <f ca="1">IFERROR(__xludf.DUMMYFUNCTION("""COMPUTED_VALUE"""),"Fled/Escaped")</f>
        <v>Fled/Escaped</v>
      </c>
      <c r="G797" s="5" t="str">
        <f ca="1">IFERROR(__xludf.DUMMYFUNCTION("""COMPUTED_VALUE"""),"No")</f>
        <v>No</v>
      </c>
      <c r="H797" s="5" t="str">
        <f ca="1">IFERROR(__xludf.DUMMYFUNCTION("""COMPUTED_VALUE"""),"None")</f>
        <v>None</v>
      </c>
    </row>
    <row r="798" spans="1:8">
      <c r="A798" s="5" t="str">
        <f ca="1">IFERROR(__xludf.DUMMYFUNCTION("""COMPUTED_VALUE"""),"20181007VAVAH")</f>
        <v>20181007VAVAH</v>
      </c>
      <c r="B798" s="5"/>
      <c r="C798" s="5" t="str">
        <f ca="1">IFERROR(__xludf.DUMMYFUNCTION("""COMPUTED_VALUE"""),"Male")</f>
        <v>Male</v>
      </c>
      <c r="D798" s="5"/>
      <c r="E798" s="5" t="str">
        <f ca="1">IFERROR(__xludf.DUMMYFUNCTION("""COMPUTED_VALUE"""),"Unknown")</f>
        <v>Unknown</v>
      </c>
      <c r="F798" s="5" t="str">
        <f ca="1">IFERROR(__xludf.DUMMYFUNCTION("""COMPUTED_VALUE"""),"Fled/Escaped")</f>
        <v>Fled/Escaped</v>
      </c>
      <c r="G798" s="5" t="str">
        <f ca="1">IFERROR(__xludf.DUMMYFUNCTION("""COMPUTED_VALUE"""),"No")</f>
        <v>No</v>
      </c>
      <c r="H798" s="5" t="str">
        <f ca="1">IFERROR(__xludf.DUMMYFUNCTION("""COMPUTED_VALUE"""),"None")</f>
        <v>None</v>
      </c>
    </row>
    <row r="799" spans="1:8">
      <c r="A799" s="5" t="str">
        <f ca="1">IFERROR(__xludf.DUMMYFUNCTION("""COMPUTED_VALUE"""),"20181005VALAN")</f>
        <v>20181005VALAN</v>
      </c>
      <c r="B799" s="5"/>
      <c r="C799" s="5" t="str">
        <f ca="1">IFERROR(__xludf.DUMMYFUNCTION("""COMPUTED_VALUE"""),"Male")</f>
        <v>Male</v>
      </c>
      <c r="D799" s="5"/>
      <c r="E799" s="5" t="str">
        <f ca="1">IFERROR(__xludf.DUMMYFUNCTION("""COMPUTED_VALUE"""),"Unknown")</f>
        <v>Unknown</v>
      </c>
      <c r="F799" s="5" t="str">
        <f ca="1">IFERROR(__xludf.DUMMYFUNCTION("""COMPUTED_VALUE"""),"Fled/Escaped")</f>
        <v>Fled/Escaped</v>
      </c>
      <c r="G799" s="5" t="str">
        <f ca="1">IFERROR(__xludf.DUMMYFUNCTION("""COMPUTED_VALUE"""),"No")</f>
        <v>No</v>
      </c>
      <c r="H799" s="5" t="str">
        <f ca="1">IFERROR(__xludf.DUMMYFUNCTION("""COMPUTED_VALUE"""),"None")</f>
        <v>None</v>
      </c>
    </row>
    <row r="800" spans="1:8">
      <c r="A800" s="5" t="str">
        <f ca="1">IFERROR(__xludf.DUMMYFUNCTION("""COMPUTED_VALUE"""),"20181005TNHAB")</f>
        <v>20181005TNHAB</v>
      </c>
      <c r="B800" s="5">
        <f ca="1">IFERROR(__xludf.DUMMYFUNCTION("""COMPUTED_VALUE"""),16)</f>
        <v>16</v>
      </c>
      <c r="C800" s="5" t="str">
        <f ca="1">IFERROR(__xludf.DUMMYFUNCTION("""COMPUTED_VALUE"""),"Male")</f>
        <v>Male</v>
      </c>
      <c r="D800" s="5"/>
      <c r="E800" s="5" t="str">
        <f ca="1">IFERROR(__xludf.DUMMYFUNCTION("""COMPUTED_VALUE"""),"Unknown")</f>
        <v>Unknown</v>
      </c>
      <c r="F800" s="5" t="str">
        <f ca="1">IFERROR(__xludf.DUMMYFUNCTION("""COMPUTED_VALUE"""),"Subdued by Students/Staff/Other")</f>
        <v>Subdued by Students/Staff/Other</v>
      </c>
      <c r="G800" s="5" t="str">
        <f ca="1">IFERROR(__xludf.DUMMYFUNCTION("""COMPUTED_VALUE"""),"No")</f>
        <v>No</v>
      </c>
      <c r="H800" s="5" t="str">
        <f ca="1">IFERROR(__xludf.DUMMYFUNCTION("""COMPUTED_VALUE"""),"None")</f>
        <v>None</v>
      </c>
    </row>
    <row r="801" spans="1:8">
      <c r="A801" s="5" t="str">
        <f ca="1">IFERROR(__xludf.DUMMYFUNCTION("""COMPUTED_VALUE"""),"20181004ORJAP")</f>
        <v>20181004ORJAP</v>
      </c>
      <c r="B801" s="5" t="str">
        <f ca="1">IFERROR(__xludf.DUMMYFUNCTION("""COMPUTED_VALUE"""),"Adult")</f>
        <v>Adult</v>
      </c>
      <c r="C801" s="5" t="str">
        <f ca="1">IFERROR(__xludf.DUMMYFUNCTION("""COMPUTED_VALUE"""),"Female")</f>
        <v>Female</v>
      </c>
      <c r="D801" s="5"/>
      <c r="E801" s="5" t="str">
        <f ca="1">IFERROR(__xludf.DUMMYFUNCTION("""COMPUTED_VALUE"""),"Parent")</f>
        <v>Parent</v>
      </c>
      <c r="F801" s="5" t="str">
        <f ca="1">IFERROR(__xludf.DUMMYFUNCTION("""COMPUTED_VALUE"""),"Fled/Escaped")</f>
        <v>Fled/Escaped</v>
      </c>
      <c r="G801" s="5" t="str">
        <f ca="1">IFERROR(__xludf.DUMMYFUNCTION("""COMPUTED_VALUE"""),"No")</f>
        <v>No</v>
      </c>
      <c r="H801" s="5" t="str">
        <f ca="1">IFERROR(__xludf.DUMMYFUNCTION("""COMPUTED_VALUE"""),"None")</f>
        <v>None</v>
      </c>
    </row>
    <row r="802" spans="1:8">
      <c r="A802" s="5" t="str">
        <f ca="1">IFERROR(__xludf.DUMMYFUNCTION("""COMPUTED_VALUE"""),"20181003AKDEA")</f>
        <v>20181003AKDEA</v>
      </c>
      <c r="B802" s="5">
        <f ca="1">IFERROR(__xludf.DUMMYFUNCTION("""COMPUTED_VALUE"""),26)</f>
        <v>26</v>
      </c>
      <c r="C802" s="5" t="str">
        <f ca="1">IFERROR(__xludf.DUMMYFUNCTION("""COMPUTED_VALUE"""),"Male")</f>
        <v>Male</v>
      </c>
      <c r="D802" s="5" t="str">
        <f ca="1">IFERROR(__xludf.DUMMYFUNCTION("""COMPUTED_VALUE"""),"Black")</f>
        <v>Black</v>
      </c>
      <c r="E802" s="5" t="str">
        <f ca="1">IFERROR(__xludf.DUMMYFUNCTION("""COMPUTED_VALUE"""),"Relative")</f>
        <v>Relative</v>
      </c>
      <c r="F802" s="5" t="str">
        <f ca="1">IFERROR(__xludf.DUMMYFUNCTION("""COMPUTED_VALUE"""),"Fled/Apprehended")</f>
        <v>Fled/Apprehended</v>
      </c>
      <c r="G802" s="5" t="str">
        <f ca="1">IFERROR(__xludf.DUMMYFUNCTION("""COMPUTED_VALUE"""),"No")</f>
        <v>No</v>
      </c>
      <c r="H802" s="5" t="str">
        <f ca="1">IFERROR(__xludf.DUMMYFUNCTION("""COMPUTED_VALUE"""),"None")</f>
        <v>None</v>
      </c>
    </row>
    <row r="803" spans="1:8">
      <c r="A803" s="5" t="str">
        <f ca="1">IFERROR(__xludf.DUMMYFUNCTION("""COMPUTED_VALUE"""),"20181002ARCHL")</f>
        <v>20181002ARCHL</v>
      </c>
      <c r="B803" s="5"/>
      <c r="C803" s="5"/>
      <c r="D803" s="5"/>
      <c r="E803" s="5" t="str">
        <f ca="1">IFERROR(__xludf.DUMMYFUNCTION("""COMPUTED_VALUE"""),"Unknown")</f>
        <v>Unknown</v>
      </c>
      <c r="F803" s="5" t="str">
        <f ca="1">IFERROR(__xludf.DUMMYFUNCTION("""COMPUTED_VALUE"""),"Fled/Escaped")</f>
        <v>Fled/Escaped</v>
      </c>
      <c r="G803" s="5" t="str">
        <f ca="1">IFERROR(__xludf.DUMMYFUNCTION("""COMPUTED_VALUE"""),"No")</f>
        <v>No</v>
      </c>
      <c r="H803" s="5" t="str">
        <f ca="1">IFERROR(__xludf.DUMMYFUNCTION("""COMPUTED_VALUE"""),"None")</f>
        <v>None</v>
      </c>
    </row>
    <row r="804" spans="1:8">
      <c r="A804" s="5" t="str">
        <f ca="1">IFERROR(__xludf.DUMMYFUNCTION("""COMPUTED_VALUE"""),"20180928SDCHC")</f>
        <v>20180928SDCHC</v>
      </c>
      <c r="B804" s="5">
        <f ca="1">IFERROR(__xludf.DUMMYFUNCTION("""COMPUTED_VALUE"""),20)</f>
        <v>20</v>
      </c>
      <c r="C804" s="5" t="str">
        <f ca="1">IFERROR(__xludf.DUMMYFUNCTION("""COMPUTED_VALUE"""),"Male")</f>
        <v>Male</v>
      </c>
      <c r="D804" s="5"/>
      <c r="E804" s="5" t="str">
        <f ca="1">IFERROR(__xludf.DUMMYFUNCTION("""COMPUTED_VALUE"""),"No Relation")</f>
        <v>No Relation</v>
      </c>
      <c r="F804" s="5" t="str">
        <f ca="1">IFERROR(__xludf.DUMMYFUNCTION("""COMPUTED_VALUE"""),"Attempted Suicide")</f>
        <v>Attempted Suicide</v>
      </c>
      <c r="G804" s="5" t="str">
        <f ca="1">IFERROR(__xludf.DUMMYFUNCTION("""COMPUTED_VALUE"""),"No")</f>
        <v>No</v>
      </c>
      <c r="H804" s="5" t="str">
        <f ca="1">IFERROR(__xludf.DUMMYFUNCTION("""COMPUTED_VALUE"""),"Wounded")</f>
        <v>Wounded</v>
      </c>
    </row>
    <row r="805" spans="1:8">
      <c r="A805" s="5" t="str">
        <f ca="1">IFERROR(__xludf.DUMMYFUNCTION("""COMPUTED_VALUE"""),"20180927TXHEC")</f>
        <v>20180927TXHEC</v>
      </c>
      <c r="B805" s="5">
        <f ca="1">IFERROR(__xludf.DUMMYFUNCTION("""COMPUTED_VALUE"""),47)</f>
        <v>47</v>
      </c>
      <c r="C805" s="5" t="str">
        <f ca="1">IFERROR(__xludf.DUMMYFUNCTION("""COMPUTED_VALUE"""),"Male")</f>
        <v>Male</v>
      </c>
      <c r="D805" s="5"/>
      <c r="E805" s="5" t="str">
        <f ca="1">IFERROR(__xludf.DUMMYFUNCTION("""COMPUTED_VALUE"""),"Nonstudent Using Athletic Facilities/Attending Game")</f>
        <v>Nonstudent Using Athletic Facilities/Attending Game</v>
      </c>
      <c r="F805" s="5" t="str">
        <f ca="1">IFERROR(__xludf.DUMMYFUNCTION("""COMPUTED_VALUE"""),"Apprehended/Killed by LE")</f>
        <v>Apprehended/Killed by LE</v>
      </c>
      <c r="G805" s="5" t="str">
        <f ca="1">IFERROR(__xludf.DUMMYFUNCTION("""COMPUTED_VALUE"""),"No")</f>
        <v>No</v>
      </c>
      <c r="H805" s="5" t="str">
        <f ca="1">IFERROR(__xludf.DUMMYFUNCTION("""COMPUTED_VALUE"""),"None")</f>
        <v>None</v>
      </c>
    </row>
    <row r="806" spans="1:8">
      <c r="A806" s="5" t="str">
        <f ca="1">IFERROR(__xludf.DUMMYFUNCTION("""COMPUTED_VALUE"""),"20180926MDMAB")</f>
        <v>20180926MDMAB</v>
      </c>
      <c r="B806" s="5" t="str">
        <f ca="1">IFERROR(__xludf.DUMMYFUNCTION("""COMPUTED_VALUE"""),"Teen")</f>
        <v>Teen</v>
      </c>
      <c r="C806" s="5" t="str">
        <f ca="1">IFERROR(__xludf.DUMMYFUNCTION("""COMPUTED_VALUE"""),"Male")</f>
        <v>Male</v>
      </c>
      <c r="D806" s="5"/>
      <c r="E806" s="5" t="str">
        <f ca="1">IFERROR(__xludf.DUMMYFUNCTION("""COMPUTED_VALUE"""),"Student")</f>
        <v>Student</v>
      </c>
      <c r="F806" s="5" t="str">
        <f ca="1">IFERROR(__xludf.DUMMYFUNCTION("""COMPUTED_VALUE"""),"Unknown")</f>
        <v>Unknown</v>
      </c>
      <c r="G806" s="5" t="str">
        <f ca="1">IFERROR(__xludf.DUMMYFUNCTION("""COMPUTED_VALUE"""),"No")</f>
        <v>No</v>
      </c>
      <c r="H806" s="5" t="str">
        <f ca="1">IFERROR(__xludf.DUMMYFUNCTION("""COMPUTED_VALUE"""),"None")</f>
        <v>None</v>
      </c>
    </row>
    <row r="807" spans="1:8">
      <c r="A807" s="5" t="str">
        <f ca="1">IFERROR(__xludf.DUMMYFUNCTION("""COMPUTED_VALUE"""),"20180924PACEP")</f>
        <v>20180924PACEP</v>
      </c>
      <c r="B807" s="5"/>
      <c r="C807" s="5" t="str">
        <f ca="1">IFERROR(__xludf.DUMMYFUNCTION("""COMPUTED_VALUE"""),"Male")</f>
        <v>Male</v>
      </c>
      <c r="D807" s="5"/>
      <c r="E807" s="5" t="str">
        <f ca="1">IFERROR(__xludf.DUMMYFUNCTION("""COMPUTED_VALUE"""),"Unknown")</f>
        <v>Unknown</v>
      </c>
      <c r="F807" s="5" t="str">
        <f ca="1">IFERROR(__xludf.DUMMYFUNCTION("""COMPUTED_VALUE"""),"Fled/Escaped")</f>
        <v>Fled/Escaped</v>
      </c>
      <c r="G807" s="5" t="str">
        <f ca="1">IFERROR(__xludf.DUMMYFUNCTION("""COMPUTED_VALUE"""),"No")</f>
        <v>No</v>
      </c>
      <c r="H807" s="5" t="str">
        <f ca="1">IFERROR(__xludf.DUMMYFUNCTION("""COMPUTED_VALUE"""),"None")</f>
        <v>None</v>
      </c>
    </row>
    <row r="808" spans="1:8">
      <c r="A808" s="5" t="str">
        <f ca="1">IFERROR(__xludf.DUMMYFUNCTION("""COMPUTED_VALUE"""),"20180924PACEP")</f>
        <v>20180924PACEP</v>
      </c>
      <c r="B808" s="5"/>
      <c r="C808" s="5" t="str">
        <f ca="1">IFERROR(__xludf.DUMMYFUNCTION("""COMPUTED_VALUE"""),"Male")</f>
        <v>Male</v>
      </c>
      <c r="D808" s="5"/>
      <c r="E808" s="5" t="str">
        <f ca="1">IFERROR(__xludf.DUMMYFUNCTION("""COMPUTED_VALUE"""),"Unknown")</f>
        <v>Unknown</v>
      </c>
      <c r="F808" s="5" t="str">
        <f ca="1">IFERROR(__xludf.DUMMYFUNCTION("""COMPUTED_VALUE"""),"Fled/Escaped")</f>
        <v>Fled/Escaped</v>
      </c>
      <c r="G808" s="5" t="str">
        <f ca="1">IFERROR(__xludf.DUMMYFUNCTION("""COMPUTED_VALUE"""),"No")</f>
        <v>No</v>
      </c>
      <c r="H808" s="5" t="str">
        <f ca="1">IFERROR(__xludf.DUMMYFUNCTION("""COMPUTED_VALUE"""),"None")</f>
        <v>None</v>
      </c>
    </row>
    <row r="809" spans="1:8">
      <c r="A809" s="5" t="str">
        <f ca="1">IFERROR(__xludf.DUMMYFUNCTION("""COMPUTED_VALUE"""),"20180924NCLAC")</f>
        <v>20180924NCLAC</v>
      </c>
      <c r="B809" s="5"/>
      <c r="C809" s="5" t="str">
        <f ca="1">IFERROR(__xludf.DUMMYFUNCTION("""COMPUTED_VALUE"""),"Male")</f>
        <v>Male</v>
      </c>
      <c r="D809" s="5"/>
      <c r="E809" s="5" t="str">
        <f ca="1">IFERROR(__xludf.DUMMYFUNCTION("""COMPUTED_VALUE"""),"Unknown")</f>
        <v>Unknown</v>
      </c>
      <c r="F809" s="5" t="str">
        <f ca="1">IFERROR(__xludf.DUMMYFUNCTION("""COMPUTED_VALUE"""),"Fled/Escaped")</f>
        <v>Fled/Escaped</v>
      </c>
      <c r="G809" s="5" t="str">
        <f ca="1">IFERROR(__xludf.DUMMYFUNCTION("""COMPUTED_VALUE"""),"No")</f>
        <v>No</v>
      </c>
      <c r="H809" s="5" t="str">
        <f ca="1">IFERROR(__xludf.DUMMYFUNCTION("""COMPUTED_VALUE"""),"None")</f>
        <v>None</v>
      </c>
    </row>
    <row r="810" spans="1:8">
      <c r="A810" s="5" t="str">
        <f ca="1">IFERROR(__xludf.DUMMYFUNCTION("""COMPUTED_VALUE"""),"20180924GAAPB")</f>
        <v>20180924GAAPB</v>
      </c>
      <c r="B810" s="5" t="str">
        <f ca="1">IFERROR(__xludf.DUMMYFUNCTION("""COMPUTED_VALUE"""),"Teen")</f>
        <v>Teen</v>
      </c>
      <c r="C810" s="5" t="str">
        <f ca="1">IFERROR(__xludf.DUMMYFUNCTION("""COMPUTED_VALUE"""),"Male")</f>
        <v>Male</v>
      </c>
      <c r="D810" s="5"/>
      <c r="E810" s="5" t="str">
        <f ca="1">IFERROR(__xludf.DUMMYFUNCTION("""COMPUTED_VALUE"""),"Student")</f>
        <v>Student</v>
      </c>
      <c r="F810" s="5" t="str">
        <f ca="1">IFERROR(__xludf.DUMMYFUNCTION("""COMPUTED_VALUE"""),"Suicide")</f>
        <v>Suicide</v>
      </c>
      <c r="G810" s="5" t="str">
        <f ca="1">IFERROR(__xludf.DUMMYFUNCTION("""COMPUTED_VALUE"""),"Yes")</f>
        <v>Yes</v>
      </c>
      <c r="H810" s="5" t="str">
        <f ca="1">IFERROR(__xludf.DUMMYFUNCTION("""COMPUTED_VALUE"""),"Suicide")</f>
        <v>Suicide</v>
      </c>
    </row>
    <row r="811" spans="1:8">
      <c r="A811" s="5" t="str">
        <f ca="1">IFERROR(__xludf.DUMMYFUNCTION("""COMPUTED_VALUE"""),"20180920CAPOP")</f>
        <v>20180920CAPOP</v>
      </c>
      <c r="B811" s="5" t="str">
        <f ca="1">IFERROR(__xludf.DUMMYFUNCTION("""COMPUTED_VALUE"""),"Adult")</f>
        <v>Adult</v>
      </c>
      <c r="C811" s="5" t="str">
        <f ca="1">IFERROR(__xludf.DUMMYFUNCTION("""COMPUTED_VALUE"""),"Male")</f>
        <v>Male</v>
      </c>
      <c r="D811" s="5"/>
      <c r="E811" s="5" t="str">
        <f ca="1">IFERROR(__xludf.DUMMYFUNCTION("""COMPUTED_VALUE"""),"Unknown")</f>
        <v>Unknown</v>
      </c>
      <c r="F811" s="5" t="str">
        <f ca="1">IFERROR(__xludf.DUMMYFUNCTION("""COMPUTED_VALUE"""),"Suicide")</f>
        <v>Suicide</v>
      </c>
      <c r="G811" s="5" t="str">
        <f ca="1">IFERROR(__xludf.DUMMYFUNCTION("""COMPUTED_VALUE"""),"Yes")</f>
        <v>Yes</v>
      </c>
      <c r="H811" s="5" t="str">
        <f ca="1">IFERROR(__xludf.DUMMYFUNCTION("""COMPUTED_VALUE"""),"Suicide")</f>
        <v>Suicide</v>
      </c>
    </row>
    <row r="812" spans="1:8">
      <c r="A812" s="5" t="str">
        <f ca="1">IFERROR(__xludf.DUMMYFUNCTION("""COMPUTED_VALUE"""),"20180920CACHL")</f>
        <v>20180920CACHL</v>
      </c>
      <c r="B812" s="5">
        <f ca="1">IFERROR(__xludf.DUMMYFUNCTION("""COMPUTED_VALUE"""),18)</f>
        <v>18</v>
      </c>
      <c r="C812" s="5" t="str">
        <f ca="1">IFERROR(__xludf.DUMMYFUNCTION("""COMPUTED_VALUE"""),"Male")</f>
        <v>Male</v>
      </c>
      <c r="D812" s="5"/>
      <c r="E812" s="5" t="str">
        <f ca="1">IFERROR(__xludf.DUMMYFUNCTION("""COMPUTED_VALUE"""),"Unknown")</f>
        <v>Unknown</v>
      </c>
      <c r="F812" s="5" t="str">
        <f ca="1">IFERROR(__xludf.DUMMYFUNCTION("""COMPUTED_VALUE"""),"Fled/Apprehended")</f>
        <v>Fled/Apprehended</v>
      </c>
      <c r="G812" s="5" t="str">
        <f ca="1">IFERROR(__xludf.DUMMYFUNCTION("""COMPUTED_VALUE"""),"No")</f>
        <v>No</v>
      </c>
      <c r="H812" s="5" t="str">
        <f ca="1">IFERROR(__xludf.DUMMYFUNCTION("""COMPUTED_VALUE"""),"None")</f>
        <v>None</v>
      </c>
    </row>
    <row r="813" spans="1:8">
      <c r="A813" s="5" t="str">
        <f ca="1">IFERROR(__xludf.DUMMYFUNCTION("""COMPUTED_VALUE"""),"20180920CACHL")</f>
        <v>20180920CACHL</v>
      </c>
      <c r="B813" s="5">
        <f ca="1">IFERROR(__xludf.DUMMYFUNCTION("""COMPUTED_VALUE"""),20)</f>
        <v>20</v>
      </c>
      <c r="C813" s="5" t="str">
        <f ca="1">IFERROR(__xludf.DUMMYFUNCTION("""COMPUTED_VALUE"""),"Male")</f>
        <v>Male</v>
      </c>
      <c r="D813" s="5"/>
      <c r="E813" s="5" t="str">
        <f ca="1">IFERROR(__xludf.DUMMYFUNCTION("""COMPUTED_VALUE"""),"Unknown")</f>
        <v>Unknown</v>
      </c>
      <c r="F813" s="5" t="str">
        <f ca="1">IFERROR(__xludf.DUMMYFUNCTION("""COMPUTED_VALUE"""),"Fled/Apprehended")</f>
        <v>Fled/Apprehended</v>
      </c>
      <c r="G813" s="5" t="str">
        <f ca="1">IFERROR(__xludf.DUMMYFUNCTION("""COMPUTED_VALUE"""),"No")</f>
        <v>No</v>
      </c>
      <c r="H813" s="5" t="str">
        <f ca="1">IFERROR(__xludf.DUMMYFUNCTION("""COMPUTED_VALUE"""),"None")</f>
        <v>None</v>
      </c>
    </row>
    <row r="814" spans="1:8">
      <c r="A814" s="5" t="str">
        <f ca="1">IFERROR(__xludf.DUMMYFUNCTION("""COMPUTED_VALUE"""),"20180917ALBLH")</f>
        <v>20180917ALBLH</v>
      </c>
      <c r="B814" s="5">
        <f ca="1">IFERROR(__xludf.DUMMYFUNCTION("""COMPUTED_VALUE"""),7)</f>
        <v>7</v>
      </c>
      <c r="C814" s="5" t="str">
        <f ca="1">IFERROR(__xludf.DUMMYFUNCTION("""COMPUTED_VALUE"""),"Male")</f>
        <v>Male</v>
      </c>
      <c r="D814" s="5"/>
      <c r="E814" s="5" t="str">
        <f ca="1">IFERROR(__xludf.DUMMYFUNCTION("""COMPUTED_VALUE"""),"Student")</f>
        <v>Student</v>
      </c>
      <c r="F814" s="5" t="str">
        <f ca="1">IFERROR(__xludf.DUMMYFUNCTION("""COMPUTED_VALUE"""),"Unknown")</f>
        <v>Unknown</v>
      </c>
      <c r="G814" s="5" t="str">
        <f ca="1">IFERROR(__xludf.DUMMYFUNCTION("""COMPUTED_VALUE"""),"No")</f>
        <v>No</v>
      </c>
      <c r="H814" s="5" t="str">
        <f ca="1">IFERROR(__xludf.DUMMYFUNCTION("""COMPUTED_VALUE"""),"None")</f>
        <v>None</v>
      </c>
    </row>
    <row r="815" spans="1:8">
      <c r="A815" s="5" t="str">
        <f ca="1">IFERROR(__xludf.DUMMYFUNCTION("""COMPUTED_VALUE"""),"20180914WAMAE")</f>
        <v>20180914WAMAE</v>
      </c>
      <c r="B815" s="5"/>
      <c r="C815" s="5"/>
      <c r="D815" s="5"/>
      <c r="E815" s="5" t="str">
        <f ca="1">IFERROR(__xludf.DUMMYFUNCTION("""COMPUTED_VALUE"""),"Unknown")</f>
        <v>Unknown</v>
      </c>
      <c r="F815" s="5" t="str">
        <f ca="1">IFERROR(__xludf.DUMMYFUNCTION("""COMPUTED_VALUE"""),"Fled/Escaped")</f>
        <v>Fled/Escaped</v>
      </c>
      <c r="G815" s="5" t="str">
        <f ca="1">IFERROR(__xludf.DUMMYFUNCTION("""COMPUTED_VALUE"""),"No")</f>
        <v>No</v>
      </c>
      <c r="H815" s="5" t="str">
        <f ca="1">IFERROR(__xludf.DUMMYFUNCTION("""COMPUTED_VALUE"""),"None")</f>
        <v>None</v>
      </c>
    </row>
    <row r="816" spans="1:8">
      <c r="A816" s="5" t="str">
        <f ca="1">IFERROR(__xludf.DUMMYFUNCTION("""COMPUTED_VALUE"""),"20180914FLBOB")</f>
        <v>20180914FLBOB</v>
      </c>
      <c r="B816" s="5" t="str">
        <f ca="1">IFERROR(__xludf.DUMMYFUNCTION("""COMPUTED_VALUE"""),"Teen")</f>
        <v>Teen</v>
      </c>
      <c r="C816" s="5" t="str">
        <f ca="1">IFERROR(__xludf.DUMMYFUNCTION("""COMPUTED_VALUE"""),"Male")</f>
        <v>Male</v>
      </c>
      <c r="D816" s="5"/>
      <c r="E816" s="5" t="str">
        <f ca="1">IFERROR(__xludf.DUMMYFUNCTION("""COMPUTED_VALUE"""),"Student")</f>
        <v>Student</v>
      </c>
      <c r="F816" s="5" t="str">
        <f ca="1">IFERROR(__xludf.DUMMYFUNCTION("""COMPUTED_VALUE"""),"Apprehended/Killed by LE")</f>
        <v>Apprehended/Killed by LE</v>
      </c>
      <c r="G816" s="5" t="str">
        <f ca="1">IFERROR(__xludf.DUMMYFUNCTION("""COMPUTED_VALUE"""),"No")</f>
        <v>No</v>
      </c>
      <c r="H816" s="5" t="str">
        <f ca="1">IFERROR(__xludf.DUMMYFUNCTION("""COMPUTED_VALUE"""),"None")</f>
        <v>None</v>
      </c>
    </row>
    <row r="817" spans="1:8">
      <c r="A817" s="5" t="str">
        <f ca="1">IFERROR(__xludf.DUMMYFUNCTION("""COMPUTED_VALUE"""),"20180911NVCAL")</f>
        <v>20180911NVCAL</v>
      </c>
      <c r="B817" s="5">
        <f ca="1">IFERROR(__xludf.DUMMYFUNCTION("""COMPUTED_VALUE"""),16)</f>
        <v>16</v>
      </c>
      <c r="C817" s="5" t="str">
        <f ca="1">IFERROR(__xludf.DUMMYFUNCTION("""COMPUTED_VALUE"""),"Male")</f>
        <v>Male</v>
      </c>
      <c r="D817" s="5" t="str">
        <f ca="1">IFERROR(__xludf.DUMMYFUNCTION("""COMPUTED_VALUE"""),"Black")</f>
        <v>Black</v>
      </c>
      <c r="E817" s="5" t="str">
        <f ca="1">IFERROR(__xludf.DUMMYFUNCTION("""COMPUTED_VALUE"""),"Rival School Student")</f>
        <v>Rival School Student</v>
      </c>
      <c r="F817" s="5" t="str">
        <f ca="1">IFERROR(__xludf.DUMMYFUNCTION("""COMPUTED_VALUE"""),"Fled/Escaped")</f>
        <v>Fled/Escaped</v>
      </c>
      <c r="G817" s="5" t="str">
        <f ca="1">IFERROR(__xludf.DUMMYFUNCTION("""COMPUTED_VALUE"""),"No")</f>
        <v>No</v>
      </c>
      <c r="H817" s="5" t="str">
        <f ca="1">IFERROR(__xludf.DUMMYFUNCTION("""COMPUTED_VALUE"""),"None")</f>
        <v>None</v>
      </c>
    </row>
    <row r="818" spans="1:8">
      <c r="A818" s="5" t="str">
        <f ca="1">IFERROR(__xludf.DUMMYFUNCTION("""COMPUTED_VALUE"""),"20180910TNFAM")</f>
        <v>20180910TNFAM</v>
      </c>
      <c r="B818" s="5">
        <f ca="1">IFERROR(__xludf.DUMMYFUNCTION("""COMPUTED_VALUE"""),23)</f>
        <v>23</v>
      </c>
      <c r="C818" s="5" t="str">
        <f ca="1">IFERROR(__xludf.DUMMYFUNCTION("""COMPUTED_VALUE"""),"Male")</f>
        <v>Male</v>
      </c>
      <c r="D818" s="5"/>
      <c r="E818" s="5" t="str">
        <f ca="1">IFERROR(__xludf.DUMMYFUNCTION("""COMPUTED_VALUE"""),"No Relation")</f>
        <v>No Relation</v>
      </c>
      <c r="F818" s="5" t="str">
        <f ca="1">IFERROR(__xludf.DUMMYFUNCTION("""COMPUTED_VALUE"""),"Fled/Apprehended")</f>
        <v>Fled/Apprehended</v>
      </c>
      <c r="G818" s="5" t="str">
        <f ca="1">IFERROR(__xludf.DUMMYFUNCTION("""COMPUTED_VALUE"""),"No")</f>
        <v>No</v>
      </c>
      <c r="H818" s="5" t="str">
        <f ca="1">IFERROR(__xludf.DUMMYFUNCTION("""COMPUTED_VALUE"""),"None")</f>
        <v>None</v>
      </c>
    </row>
    <row r="819" spans="1:8">
      <c r="A819" s="5" t="str">
        <f ca="1">IFERROR(__xludf.DUMMYFUNCTION("""COMPUTED_VALUE"""),"20180910ILCHC")</f>
        <v>20180910ILCHC</v>
      </c>
      <c r="B819" s="5"/>
      <c r="C819" s="5" t="str">
        <f ca="1">IFERROR(__xludf.DUMMYFUNCTION("""COMPUTED_VALUE"""),"Male")</f>
        <v>Male</v>
      </c>
      <c r="D819" s="5"/>
      <c r="E819" s="5" t="str">
        <f ca="1">IFERROR(__xludf.DUMMYFUNCTION("""COMPUTED_VALUE"""),"Unknown")</f>
        <v>Unknown</v>
      </c>
      <c r="F819" s="5" t="str">
        <f ca="1">IFERROR(__xludf.DUMMYFUNCTION("""COMPUTED_VALUE"""),"Fled/Escaped")</f>
        <v>Fled/Escaped</v>
      </c>
      <c r="G819" s="5" t="str">
        <f ca="1">IFERROR(__xludf.DUMMYFUNCTION("""COMPUTED_VALUE"""),"No")</f>
        <v>No</v>
      </c>
      <c r="H819" s="5" t="str">
        <f ca="1">IFERROR(__xludf.DUMMYFUNCTION("""COMPUTED_VALUE"""),"None")</f>
        <v>None</v>
      </c>
    </row>
    <row r="820" spans="1:8">
      <c r="A820" s="5" t="str">
        <f ca="1">IFERROR(__xludf.DUMMYFUNCTION("""COMPUTED_VALUE"""),"20180909CAGIG")</f>
        <v>20180909CAGIG</v>
      </c>
      <c r="B820" s="5" t="str">
        <f ca="1">IFERROR(__xludf.DUMMYFUNCTION("""COMPUTED_VALUE"""),"Adult")</f>
        <v>Adult</v>
      </c>
      <c r="C820" s="5"/>
      <c r="D820" s="5"/>
      <c r="E820" s="5" t="str">
        <f ca="1">IFERROR(__xludf.DUMMYFUNCTION("""COMPUTED_VALUE"""),"Police Officer/SRO")</f>
        <v>Police Officer/SRO</v>
      </c>
      <c r="F820" s="5" t="str">
        <f ca="1">IFERROR(__xludf.DUMMYFUNCTION("""COMPUTED_VALUE"""),"Law Enforcement")</f>
        <v>Law Enforcement</v>
      </c>
      <c r="G820" s="5" t="str">
        <f ca="1">IFERROR(__xludf.DUMMYFUNCTION("""COMPUTED_VALUE"""),"No")</f>
        <v>No</v>
      </c>
      <c r="H820" s="5" t="str">
        <f ca="1">IFERROR(__xludf.DUMMYFUNCTION("""COMPUTED_VALUE"""),"None")</f>
        <v>None</v>
      </c>
    </row>
    <row r="821" spans="1:8">
      <c r="A821" s="5" t="str">
        <f ca="1">IFERROR(__xludf.DUMMYFUNCTION("""COMPUTED_VALUE"""),"20180907IAHED")</f>
        <v>20180907IAHED</v>
      </c>
      <c r="B821" s="5"/>
      <c r="C821" s="5"/>
      <c r="D821" s="5"/>
      <c r="E821" s="5" t="str">
        <f ca="1">IFERROR(__xludf.DUMMYFUNCTION("""COMPUTED_VALUE"""),"Unknown")</f>
        <v>Unknown</v>
      </c>
      <c r="F821" s="5" t="str">
        <f ca="1">IFERROR(__xludf.DUMMYFUNCTION("""COMPUTED_VALUE"""),"Fled/Escaped")</f>
        <v>Fled/Escaped</v>
      </c>
      <c r="G821" s="5" t="str">
        <f ca="1">IFERROR(__xludf.DUMMYFUNCTION("""COMPUTED_VALUE"""),"No")</f>
        <v>No</v>
      </c>
      <c r="H821" s="5" t="str">
        <f ca="1">IFERROR(__xludf.DUMMYFUNCTION("""COMPUTED_VALUE"""),"None")</f>
        <v>None</v>
      </c>
    </row>
    <row r="822" spans="1:8">
      <c r="A822" s="5" t="str">
        <f ca="1">IFERROR(__xludf.DUMMYFUNCTION("""COMPUTED_VALUE"""),"20180905RIPRP")</f>
        <v>20180905RIPRP</v>
      </c>
      <c r="B822" s="5">
        <f ca="1">IFERROR(__xludf.DUMMYFUNCTION("""COMPUTED_VALUE"""),16)</f>
        <v>16</v>
      </c>
      <c r="C822" s="5" t="str">
        <f ca="1">IFERROR(__xludf.DUMMYFUNCTION("""COMPUTED_VALUE"""),"Male")</f>
        <v>Male</v>
      </c>
      <c r="D822" s="5" t="str">
        <f ca="1">IFERROR(__xludf.DUMMYFUNCTION("""COMPUTED_VALUE"""),"Hispanic")</f>
        <v>Hispanic</v>
      </c>
      <c r="E822" s="5" t="str">
        <f ca="1">IFERROR(__xludf.DUMMYFUNCTION("""COMPUTED_VALUE"""),"Rival School Student")</f>
        <v>Rival School Student</v>
      </c>
      <c r="F822" s="5" t="str">
        <f ca="1">IFERROR(__xludf.DUMMYFUNCTION("""COMPUTED_VALUE"""),"Fled/Apprehended")</f>
        <v>Fled/Apprehended</v>
      </c>
      <c r="G822" s="5" t="str">
        <f ca="1">IFERROR(__xludf.DUMMYFUNCTION("""COMPUTED_VALUE"""),"No")</f>
        <v>No</v>
      </c>
      <c r="H822" s="5" t="str">
        <f ca="1">IFERROR(__xludf.DUMMYFUNCTION("""COMPUTED_VALUE"""),"Wounded")</f>
        <v>Wounded</v>
      </c>
    </row>
    <row r="823" spans="1:8">
      <c r="A823" s="5" t="str">
        <f ca="1">IFERROR(__xludf.DUMMYFUNCTION("""COMPUTED_VALUE"""),"20180903NYLUN")</f>
        <v>20180903NYLUN</v>
      </c>
      <c r="B823" s="5"/>
      <c r="C823" s="5" t="str">
        <f ca="1">IFERROR(__xludf.DUMMYFUNCTION("""COMPUTED_VALUE"""),"Male")</f>
        <v>Male</v>
      </c>
      <c r="D823" s="5"/>
      <c r="E823" s="5" t="str">
        <f ca="1">IFERROR(__xludf.DUMMYFUNCTION("""COMPUTED_VALUE"""),"Unknown")</f>
        <v>Unknown</v>
      </c>
      <c r="F823" s="5" t="str">
        <f ca="1">IFERROR(__xludf.DUMMYFUNCTION("""COMPUTED_VALUE"""),"Fled/Escaped")</f>
        <v>Fled/Escaped</v>
      </c>
      <c r="G823" s="5" t="str">
        <f ca="1">IFERROR(__xludf.DUMMYFUNCTION("""COMPUTED_VALUE"""),"No")</f>
        <v>No</v>
      </c>
      <c r="H823" s="5" t="str">
        <f ca="1">IFERROR(__xludf.DUMMYFUNCTION("""COMPUTED_VALUE"""),"None")</f>
        <v>None</v>
      </c>
    </row>
    <row r="824" spans="1:8">
      <c r="A824" s="5" t="str">
        <f ca="1">IFERROR(__xludf.DUMMYFUNCTION("""COMPUTED_VALUE"""),"20180831IANOE")</f>
        <v>20180831IANOE</v>
      </c>
      <c r="B824" s="5">
        <f ca="1">IFERROR(__xludf.DUMMYFUNCTION("""COMPUTED_VALUE"""),12)</f>
        <v>12</v>
      </c>
      <c r="C824" s="5" t="str">
        <f ca="1">IFERROR(__xludf.DUMMYFUNCTION("""COMPUTED_VALUE"""),"Male")</f>
        <v>Male</v>
      </c>
      <c r="D824" s="5" t="str">
        <f ca="1">IFERROR(__xludf.DUMMYFUNCTION("""COMPUTED_VALUE"""),"White")</f>
        <v>White</v>
      </c>
      <c r="E824" s="5" t="str">
        <f ca="1">IFERROR(__xludf.DUMMYFUNCTION("""COMPUTED_VALUE"""),"Student")</f>
        <v>Student</v>
      </c>
      <c r="F824" s="5" t="str">
        <f ca="1">IFERROR(__xludf.DUMMYFUNCTION("""COMPUTED_VALUE"""),"Subdued by Students/Staff/Other")</f>
        <v>Subdued by Students/Staff/Other</v>
      </c>
      <c r="G824" s="5" t="str">
        <f ca="1">IFERROR(__xludf.DUMMYFUNCTION("""COMPUTED_VALUE"""),"No")</f>
        <v>No</v>
      </c>
      <c r="H824" s="5" t="str">
        <f ca="1">IFERROR(__xludf.DUMMYFUNCTION("""COMPUTED_VALUE"""),"None")</f>
        <v>None</v>
      </c>
    </row>
    <row r="825" spans="1:8">
      <c r="A825" s="5" t="str">
        <f ca="1">IFERROR(__xludf.DUMMYFUNCTION("""COMPUTED_VALUE"""),"20180831CABAS")</f>
        <v>20180831CABAS</v>
      </c>
      <c r="B825" s="5" t="str">
        <f ca="1">IFERROR(__xludf.DUMMYFUNCTION("""COMPUTED_VALUE"""),"Teen")</f>
        <v>Teen</v>
      </c>
      <c r="C825" s="5" t="str">
        <f ca="1">IFERROR(__xludf.DUMMYFUNCTION("""COMPUTED_VALUE"""),"Male")</f>
        <v>Male</v>
      </c>
      <c r="D825" s="5"/>
      <c r="E825" s="5" t="str">
        <f ca="1">IFERROR(__xludf.DUMMYFUNCTION("""COMPUTED_VALUE"""),"Student")</f>
        <v>Student</v>
      </c>
      <c r="F825" s="5" t="str">
        <f ca="1">IFERROR(__xludf.DUMMYFUNCTION("""COMPUTED_VALUE"""),"Fled/Apprehended")</f>
        <v>Fled/Apprehended</v>
      </c>
      <c r="G825" s="5" t="str">
        <f ca="1">IFERROR(__xludf.DUMMYFUNCTION("""COMPUTED_VALUE"""),"No")</f>
        <v>No</v>
      </c>
      <c r="H825" s="5" t="str">
        <f ca="1">IFERROR(__xludf.DUMMYFUNCTION("""COMPUTED_VALUE"""),"None")</f>
        <v>None</v>
      </c>
    </row>
    <row r="826" spans="1:8">
      <c r="A826" s="5" t="str">
        <f ca="1">IFERROR(__xludf.DUMMYFUNCTION("""COMPUTED_VALUE"""),"20180830NCVIC")</f>
        <v>20180830NCVIC</v>
      </c>
      <c r="B826" s="5">
        <f ca="1">IFERROR(__xludf.DUMMYFUNCTION("""COMPUTED_VALUE"""),34)</f>
        <v>34</v>
      </c>
      <c r="C826" s="5" t="str">
        <f ca="1">IFERROR(__xludf.DUMMYFUNCTION("""COMPUTED_VALUE"""),"Male")</f>
        <v>Male</v>
      </c>
      <c r="D826" s="5" t="str">
        <f ca="1">IFERROR(__xludf.DUMMYFUNCTION("""COMPUTED_VALUE"""),"Black")</f>
        <v>Black</v>
      </c>
      <c r="E826" s="5" t="str">
        <f ca="1">IFERROR(__xludf.DUMMYFUNCTION("""COMPUTED_VALUE"""),"Intimate Relationship")</f>
        <v>Intimate Relationship</v>
      </c>
      <c r="F826" s="5" t="str">
        <f ca="1">IFERROR(__xludf.DUMMYFUNCTION("""COMPUTED_VALUE"""),"Fled/Apprehended")</f>
        <v>Fled/Apprehended</v>
      </c>
      <c r="G826" s="5" t="str">
        <f ca="1">IFERROR(__xludf.DUMMYFUNCTION("""COMPUTED_VALUE"""),"No")</f>
        <v>No</v>
      </c>
      <c r="H826" s="5" t="str">
        <f ca="1">IFERROR(__xludf.DUMMYFUNCTION("""COMPUTED_VALUE"""),"None")</f>
        <v>None</v>
      </c>
    </row>
    <row r="827" spans="1:8">
      <c r="A827" s="5" t="str">
        <f ca="1">IFERROR(__xludf.DUMMYFUNCTION("""COMPUTED_VALUE"""),"20180830MIOTG")</f>
        <v>20180830MIOTG</v>
      </c>
      <c r="B827" s="5"/>
      <c r="C827" s="5" t="str">
        <f ca="1">IFERROR(__xludf.DUMMYFUNCTION("""COMPUTED_VALUE"""),"Male")</f>
        <v>Male</v>
      </c>
      <c r="D827" s="5"/>
      <c r="E827" s="5" t="str">
        <f ca="1">IFERROR(__xludf.DUMMYFUNCTION("""COMPUTED_VALUE"""),"Unknown")</f>
        <v>Unknown</v>
      </c>
      <c r="F827" s="5" t="str">
        <f ca="1">IFERROR(__xludf.DUMMYFUNCTION("""COMPUTED_VALUE"""),"Fled/Escaped")</f>
        <v>Fled/Escaped</v>
      </c>
      <c r="G827" s="5" t="str">
        <f ca="1">IFERROR(__xludf.DUMMYFUNCTION("""COMPUTED_VALUE"""),"No")</f>
        <v>No</v>
      </c>
      <c r="H827" s="5" t="str">
        <f ca="1">IFERROR(__xludf.DUMMYFUNCTION("""COMPUTED_VALUE"""),"None")</f>
        <v>None</v>
      </c>
    </row>
    <row r="828" spans="1:8">
      <c r="A828" s="5" t="str">
        <f ca="1">IFERROR(__xludf.DUMMYFUNCTION("""COMPUTED_VALUE"""),"20180829DETOD")</f>
        <v>20180829DETOD</v>
      </c>
      <c r="B828" s="5">
        <f ca="1">IFERROR(__xludf.DUMMYFUNCTION("""COMPUTED_VALUE"""),53)</f>
        <v>53</v>
      </c>
      <c r="C828" s="5" t="str">
        <f ca="1">IFERROR(__xludf.DUMMYFUNCTION("""COMPUTED_VALUE"""),"Male")</f>
        <v>Male</v>
      </c>
      <c r="D828" s="5" t="str">
        <f ca="1">IFERROR(__xludf.DUMMYFUNCTION("""COMPUTED_VALUE"""),"Black")</f>
        <v>Black</v>
      </c>
      <c r="E828" s="5" t="str">
        <f ca="1">IFERROR(__xludf.DUMMYFUNCTION("""COMPUTED_VALUE"""),"Other Staff")</f>
        <v>Other Staff</v>
      </c>
      <c r="F828" s="5" t="str">
        <f ca="1">IFERROR(__xludf.DUMMYFUNCTION("""COMPUTED_VALUE"""),"Fled/Apprehended")</f>
        <v>Fled/Apprehended</v>
      </c>
      <c r="G828" s="5" t="str">
        <f ca="1">IFERROR(__xludf.DUMMYFUNCTION("""COMPUTED_VALUE"""),"No")</f>
        <v>No</v>
      </c>
      <c r="H828" s="5" t="str">
        <f ca="1">IFERROR(__xludf.DUMMYFUNCTION("""COMPUTED_VALUE"""),"None")</f>
        <v>None</v>
      </c>
    </row>
    <row r="829" spans="1:8">
      <c r="A829" s="5" t="str">
        <f ca="1">IFERROR(__xludf.DUMMYFUNCTION("""COMPUTED_VALUE"""),"20180828COCOD")</f>
        <v>20180828COCOD</v>
      </c>
      <c r="B829" s="5">
        <f ca="1">IFERROR(__xludf.DUMMYFUNCTION("""COMPUTED_VALUE"""),14)</f>
        <v>14</v>
      </c>
      <c r="C829" s="5" t="str">
        <f ca="1">IFERROR(__xludf.DUMMYFUNCTION("""COMPUTED_VALUE"""),"Male")</f>
        <v>Male</v>
      </c>
      <c r="D829" s="5"/>
      <c r="E829" s="5" t="str">
        <f ca="1">IFERROR(__xludf.DUMMYFUNCTION("""COMPUTED_VALUE"""),"Student")</f>
        <v>Student</v>
      </c>
      <c r="F829" s="5" t="str">
        <f ca="1">IFERROR(__xludf.DUMMYFUNCTION("""COMPUTED_VALUE"""),"Fled/Apprehended")</f>
        <v>Fled/Apprehended</v>
      </c>
      <c r="G829" s="5" t="str">
        <f ca="1">IFERROR(__xludf.DUMMYFUNCTION("""COMPUTED_VALUE"""),"No")</f>
        <v>No</v>
      </c>
      <c r="H829" s="5" t="str">
        <f ca="1">IFERROR(__xludf.DUMMYFUNCTION("""COMPUTED_VALUE"""),"None")</f>
        <v>None</v>
      </c>
    </row>
    <row r="830" spans="1:8">
      <c r="A830" s="5" t="str">
        <f ca="1">IFERROR(__xludf.DUMMYFUNCTION("""COMPUTED_VALUE"""),"20180824ILMEC")</f>
        <v>20180824ILMEC</v>
      </c>
      <c r="B830" s="5"/>
      <c r="C830" s="5" t="str">
        <f ca="1">IFERROR(__xludf.DUMMYFUNCTION("""COMPUTED_VALUE"""),"Male")</f>
        <v>Male</v>
      </c>
      <c r="D830" s="5"/>
      <c r="E830" s="5" t="str">
        <f ca="1">IFERROR(__xludf.DUMMYFUNCTION("""COMPUTED_VALUE"""),"Unknown")</f>
        <v>Unknown</v>
      </c>
      <c r="F830" s="5" t="str">
        <f ca="1">IFERROR(__xludf.DUMMYFUNCTION("""COMPUTED_VALUE"""),"Fled/Escaped")</f>
        <v>Fled/Escaped</v>
      </c>
      <c r="G830" s="5" t="str">
        <f ca="1">IFERROR(__xludf.DUMMYFUNCTION("""COMPUTED_VALUE"""),"No")</f>
        <v>No</v>
      </c>
      <c r="H830" s="5" t="str">
        <f ca="1">IFERROR(__xludf.DUMMYFUNCTION("""COMPUTED_VALUE"""),"None")</f>
        <v>None</v>
      </c>
    </row>
    <row r="831" spans="1:8">
      <c r="A831" s="5" t="str">
        <f ca="1">IFERROR(__xludf.DUMMYFUNCTION("""COMPUTED_VALUE"""),"20180824FLRAJ")</f>
        <v>20180824FLRAJ</v>
      </c>
      <c r="B831" s="5">
        <f ca="1">IFERROR(__xludf.DUMMYFUNCTION("""COMPUTED_VALUE"""),16)</f>
        <v>16</v>
      </c>
      <c r="C831" s="5" t="str">
        <f ca="1">IFERROR(__xludf.DUMMYFUNCTION("""COMPUTED_VALUE"""),"Male")</f>
        <v>Male</v>
      </c>
      <c r="D831" s="5"/>
      <c r="E831" s="5" t="str">
        <f ca="1">IFERROR(__xludf.DUMMYFUNCTION("""COMPUTED_VALUE"""),"Unknown")</f>
        <v>Unknown</v>
      </c>
      <c r="F831" s="5" t="str">
        <f ca="1">IFERROR(__xludf.DUMMYFUNCTION("""COMPUTED_VALUE"""),"Fled/Apprehended")</f>
        <v>Fled/Apprehended</v>
      </c>
      <c r="G831" s="5" t="str">
        <f ca="1">IFERROR(__xludf.DUMMYFUNCTION("""COMPUTED_VALUE"""),"No")</f>
        <v>No</v>
      </c>
      <c r="H831" s="5" t="str">
        <f ca="1">IFERROR(__xludf.DUMMYFUNCTION("""COMPUTED_VALUE"""),"None")</f>
        <v>None</v>
      </c>
    </row>
    <row r="832" spans="1:8">
      <c r="A832" s="5" t="str">
        <f ca="1">IFERROR(__xludf.DUMMYFUNCTION("""COMPUTED_VALUE"""),"20180823ALALM")</f>
        <v>20180823ALALM</v>
      </c>
      <c r="B832" s="5"/>
      <c r="C832" s="5"/>
      <c r="D832" s="5"/>
      <c r="E832" s="5" t="str">
        <f ca="1">IFERROR(__xludf.DUMMYFUNCTION("""COMPUTED_VALUE"""),"Unknown")</f>
        <v>Unknown</v>
      </c>
      <c r="F832" s="5" t="str">
        <f ca="1">IFERROR(__xludf.DUMMYFUNCTION("""COMPUTED_VALUE"""),"Fled/Escaped")</f>
        <v>Fled/Escaped</v>
      </c>
      <c r="G832" s="5" t="str">
        <f ca="1">IFERROR(__xludf.DUMMYFUNCTION("""COMPUTED_VALUE"""),"No")</f>
        <v>No</v>
      </c>
      <c r="H832" s="5" t="str">
        <f ca="1">IFERROR(__xludf.DUMMYFUNCTION("""COMPUTED_VALUE"""),"None")</f>
        <v>None</v>
      </c>
    </row>
    <row r="833" spans="1:8">
      <c r="A833" s="5" t="str">
        <f ca="1">IFERROR(__xludf.DUMMYFUNCTION("""COMPUTED_VALUE"""),"20180817FLPAW")</f>
        <v>20180817FLPAW</v>
      </c>
      <c r="B833" s="5"/>
      <c r="C833" s="5"/>
      <c r="D833" s="5"/>
      <c r="E833" s="5" t="str">
        <f ca="1">IFERROR(__xludf.DUMMYFUNCTION("""COMPUTED_VALUE"""),"Unknown")</f>
        <v>Unknown</v>
      </c>
      <c r="F833" s="5" t="str">
        <f ca="1">IFERROR(__xludf.DUMMYFUNCTION("""COMPUTED_VALUE"""),"Fled/Escaped")</f>
        <v>Fled/Escaped</v>
      </c>
      <c r="G833" s="5" t="str">
        <f ca="1">IFERROR(__xludf.DUMMYFUNCTION("""COMPUTED_VALUE"""),"No")</f>
        <v>No</v>
      </c>
      <c r="H833" s="5" t="str">
        <f ca="1">IFERROR(__xludf.DUMMYFUNCTION("""COMPUTED_VALUE"""),"None")</f>
        <v>None</v>
      </c>
    </row>
    <row r="834" spans="1:8">
      <c r="A834" s="5" t="str">
        <f ca="1">IFERROR(__xludf.DUMMYFUNCTION("""COMPUTED_VALUE"""),"20180811TNANN")</f>
        <v>20180811TNANN</v>
      </c>
      <c r="B834" s="5">
        <f ca="1">IFERROR(__xludf.DUMMYFUNCTION("""COMPUTED_VALUE"""),30)</f>
        <v>30</v>
      </c>
      <c r="C834" s="5" t="str">
        <f ca="1">IFERROR(__xludf.DUMMYFUNCTION("""COMPUTED_VALUE"""),"Male")</f>
        <v>Male</v>
      </c>
      <c r="D834" s="5" t="str">
        <f ca="1">IFERROR(__xludf.DUMMYFUNCTION("""COMPUTED_VALUE"""),"Black")</f>
        <v>Black</v>
      </c>
      <c r="E834" s="5" t="str">
        <f ca="1">IFERROR(__xludf.DUMMYFUNCTION("""COMPUTED_VALUE"""),"Parent")</f>
        <v>Parent</v>
      </c>
      <c r="F834" s="5" t="str">
        <f ca="1">IFERROR(__xludf.DUMMYFUNCTION("""COMPUTED_VALUE"""),"Fled/Apprehended")</f>
        <v>Fled/Apprehended</v>
      </c>
      <c r="G834" s="5" t="str">
        <f ca="1">IFERROR(__xludf.DUMMYFUNCTION("""COMPUTED_VALUE"""),"No")</f>
        <v>No</v>
      </c>
      <c r="H834" s="5" t="str">
        <f ca="1">IFERROR(__xludf.DUMMYFUNCTION("""COMPUTED_VALUE"""),"None")</f>
        <v>None</v>
      </c>
    </row>
    <row r="835" spans="1:8">
      <c r="A835" s="5" t="str">
        <f ca="1">IFERROR(__xludf.DUMMYFUNCTION("""COMPUTED_VALUE"""),"20180809NJLAM")</f>
        <v>20180809NJLAM</v>
      </c>
      <c r="B835" s="5"/>
      <c r="C835" s="5" t="str">
        <f ca="1">IFERROR(__xludf.DUMMYFUNCTION("""COMPUTED_VALUE"""),"Male")</f>
        <v>Male</v>
      </c>
      <c r="D835" s="5"/>
      <c r="E835" s="5" t="str">
        <f ca="1">IFERROR(__xludf.DUMMYFUNCTION("""COMPUTED_VALUE"""),"Unknown")</f>
        <v>Unknown</v>
      </c>
      <c r="F835" s="5" t="str">
        <f ca="1">IFERROR(__xludf.DUMMYFUNCTION("""COMPUTED_VALUE"""),"Fled/Escaped")</f>
        <v>Fled/Escaped</v>
      </c>
      <c r="G835" s="5" t="str">
        <f ca="1">IFERROR(__xludf.DUMMYFUNCTION("""COMPUTED_VALUE"""),"No")</f>
        <v>No</v>
      </c>
      <c r="H835" s="5" t="str">
        <f ca="1">IFERROR(__xludf.DUMMYFUNCTION("""COMPUTED_VALUE"""),"None")</f>
        <v>None</v>
      </c>
    </row>
    <row r="836" spans="1:8">
      <c r="A836" s="5" t="str">
        <f ca="1">IFERROR(__xludf.DUMMYFUNCTION("""COMPUTED_VALUE"""),"20180804MDEDE")</f>
        <v>20180804MDEDE</v>
      </c>
      <c r="B836" s="5"/>
      <c r="C836" s="5"/>
      <c r="D836" s="5"/>
      <c r="E836" s="5" t="str">
        <f ca="1">IFERROR(__xludf.DUMMYFUNCTION("""COMPUTED_VALUE"""),"Unknown")</f>
        <v>Unknown</v>
      </c>
      <c r="F836" s="5" t="str">
        <f ca="1">IFERROR(__xludf.DUMMYFUNCTION("""COMPUTED_VALUE"""),"Fled/Escaped")</f>
        <v>Fled/Escaped</v>
      </c>
      <c r="G836" s="5" t="str">
        <f ca="1">IFERROR(__xludf.DUMMYFUNCTION("""COMPUTED_VALUE"""),"No")</f>
        <v>No</v>
      </c>
      <c r="H836" s="5" t="str">
        <f ca="1">IFERROR(__xludf.DUMMYFUNCTION("""COMPUTED_VALUE"""),"None")</f>
        <v>None</v>
      </c>
    </row>
    <row r="837" spans="1:8">
      <c r="A837" s="5" t="str">
        <f ca="1">IFERROR(__xludf.DUMMYFUNCTION("""COMPUTED_VALUE"""),"20180803IALIO")</f>
        <v>20180803IALIO</v>
      </c>
      <c r="B837" s="5">
        <f ca="1">IFERROR(__xludf.DUMMYFUNCTION("""COMPUTED_VALUE"""),32)</f>
        <v>32</v>
      </c>
      <c r="C837" s="5" t="str">
        <f ca="1">IFERROR(__xludf.DUMMYFUNCTION("""COMPUTED_VALUE"""),"Male")</f>
        <v>Male</v>
      </c>
      <c r="D837" s="5" t="str">
        <f ca="1">IFERROR(__xludf.DUMMYFUNCTION("""COMPUTED_VALUE"""),"White")</f>
        <v>White</v>
      </c>
      <c r="E837" s="5" t="str">
        <f ca="1">IFERROR(__xludf.DUMMYFUNCTION("""COMPUTED_VALUE"""),"No Relation")</f>
        <v>No Relation</v>
      </c>
      <c r="F837" s="5" t="str">
        <f ca="1">IFERROR(__xludf.DUMMYFUNCTION("""COMPUTED_VALUE"""),"Fled/Apprehended")</f>
        <v>Fled/Apprehended</v>
      </c>
      <c r="G837" s="5" t="str">
        <f ca="1">IFERROR(__xludf.DUMMYFUNCTION("""COMPUTED_VALUE"""),"No")</f>
        <v>No</v>
      </c>
      <c r="H837" s="5" t="str">
        <f ca="1">IFERROR(__xludf.DUMMYFUNCTION("""COMPUTED_VALUE"""),"Wounded")</f>
        <v>Wounded</v>
      </c>
    </row>
    <row r="838" spans="1:8">
      <c r="A838" s="5" t="str">
        <f ca="1">IFERROR(__xludf.DUMMYFUNCTION("""COMPUTED_VALUE"""),"20180803IALIO")</f>
        <v>20180803IALIO</v>
      </c>
      <c r="B838" s="5">
        <f ca="1">IFERROR(__xludf.DUMMYFUNCTION("""COMPUTED_VALUE"""),23)</f>
        <v>23</v>
      </c>
      <c r="C838" s="5" t="str">
        <f ca="1">IFERROR(__xludf.DUMMYFUNCTION("""COMPUTED_VALUE"""),"Male")</f>
        <v>Male</v>
      </c>
      <c r="D838" s="5" t="str">
        <f ca="1">IFERROR(__xludf.DUMMYFUNCTION("""COMPUTED_VALUE"""),"White")</f>
        <v>White</v>
      </c>
      <c r="E838" s="5" t="str">
        <f ca="1">IFERROR(__xludf.DUMMYFUNCTION("""COMPUTED_VALUE"""),"No Relation")</f>
        <v>No Relation</v>
      </c>
      <c r="F838" s="5" t="str">
        <f ca="1">IFERROR(__xludf.DUMMYFUNCTION("""COMPUTED_VALUE"""),"Fled/Apprehended")</f>
        <v>Fled/Apprehended</v>
      </c>
      <c r="G838" s="5" t="str">
        <f ca="1">IFERROR(__xludf.DUMMYFUNCTION("""COMPUTED_VALUE"""),"No")</f>
        <v>No</v>
      </c>
      <c r="H838" s="5" t="str">
        <f ca="1">IFERROR(__xludf.DUMMYFUNCTION("""COMPUTED_VALUE"""),"None")</f>
        <v>None</v>
      </c>
    </row>
    <row r="839" spans="1:8">
      <c r="A839" s="5" t="str">
        <f ca="1">IFERROR(__xludf.DUMMYFUNCTION("""COMPUTED_VALUE"""),"20180803IALIO")</f>
        <v>20180803IALIO</v>
      </c>
      <c r="B839" s="5" t="str">
        <f ca="1">IFERROR(__xludf.DUMMYFUNCTION("""COMPUTED_VALUE"""),"Adult")</f>
        <v>Adult</v>
      </c>
      <c r="C839" s="5" t="str">
        <f ca="1">IFERROR(__xludf.DUMMYFUNCTION("""COMPUTED_VALUE"""),"Male")</f>
        <v>Male</v>
      </c>
      <c r="D839" s="5" t="str">
        <f ca="1">IFERROR(__xludf.DUMMYFUNCTION("""COMPUTED_VALUE"""),"White")</f>
        <v>White</v>
      </c>
      <c r="E839" s="5" t="str">
        <f ca="1">IFERROR(__xludf.DUMMYFUNCTION("""COMPUTED_VALUE"""),"No Relation")</f>
        <v>No Relation</v>
      </c>
      <c r="F839" s="5" t="str">
        <f ca="1">IFERROR(__xludf.DUMMYFUNCTION("""COMPUTED_VALUE"""),"Apprehended/Killed by LE")</f>
        <v>Apprehended/Killed by LE</v>
      </c>
      <c r="G839" s="5" t="str">
        <f ca="1">IFERROR(__xludf.DUMMYFUNCTION("""COMPUTED_VALUE"""),"Yes")</f>
        <v>Yes</v>
      </c>
      <c r="H839" s="5" t="str">
        <f ca="1">IFERROR(__xludf.DUMMYFUNCTION("""COMPUTED_VALUE"""),"Fatal")</f>
        <v>Fatal</v>
      </c>
    </row>
    <row r="840" spans="1:8">
      <c r="A840" s="5" t="str">
        <f ca="1">IFERROR(__xludf.DUMMYFUNCTION("""COMPUTED_VALUE"""),"20180719WAWEY")</f>
        <v>20180719WAWEY</v>
      </c>
      <c r="B840" s="5"/>
      <c r="C840" s="5"/>
      <c r="D840" s="5"/>
      <c r="E840" s="5" t="str">
        <f ca="1">IFERROR(__xludf.DUMMYFUNCTION("""COMPUTED_VALUE"""),"Unknown")</f>
        <v>Unknown</v>
      </c>
      <c r="F840" s="5" t="str">
        <f ca="1">IFERROR(__xludf.DUMMYFUNCTION("""COMPUTED_VALUE"""),"Fled/Escaped")</f>
        <v>Fled/Escaped</v>
      </c>
      <c r="G840" s="5" t="str">
        <f ca="1">IFERROR(__xludf.DUMMYFUNCTION("""COMPUTED_VALUE"""),"No")</f>
        <v>No</v>
      </c>
      <c r="H840" s="5" t="str">
        <f ca="1">IFERROR(__xludf.DUMMYFUNCTION("""COMPUTED_VALUE"""),"None")</f>
        <v>None</v>
      </c>
    </row>
    <row r="841" spans="1:8">
      <c r="A841" s="5" t="str">
        <f ca="1">IFERROR(__xludf.DUMMYFUNCTION("""COMPUTED_VALUE"""),"20180717WVHUH")</f>
        <v>20180717WVHUH</v>
      </c>
      <c r="B841" s="5" t="str">
        <f ca="1">IFERROR(__xludf.DUMMYFUNCTION("""COMPUTED_VALUE"""),"Adult")</f>
        <v>Adult</v>
      </c>
      <c r="C841" s="5" t="str">
        <f ca="1">IFERROR(__xludf.DUMMYFUNCTION("""COMPUTED_VALUE"""),"Male")</f>
        <v>Male</v>
      </c>
      <c r="D841" s="5"/>
      <c r="E841" s="5" t="str">
        <f ca="1">IFERROR(__xludf.DUMMYFUNCTION("""COMPUTED_VALUE"""),"Unknown")</f>
        <v>Unknown</v>
      </c>
      <c r="F841" s="5" t="str">
        <f ca="1">IFERROR(__xludf.DUMMYFUNCTION("""COMPUTED_VALUE"""),"Unknown")</f>
        <v>Unknown</v>
      </c>
      <c r="G841" s="5" t="str">
        <f ca="1">IFERROR(__xludf.DUMMYFUNCTION("""COMPUTED_VALUE"""),"No")</f>
        <v>No</v>
      </c>
      <c r="H841" s="5" t="str">
        <f ca="1">IFERROR(__xludf.DUMMYFUNCTION("""COMPUTED_VALUE"""),"None")</f>
        <v>None</v>
      </c>
    </row>
    <row r="842" spans="1:8">
      <c r="A842" s="5" t="str">
        <f ca="1">IFERROR(__xludf.DUMMYFUNCTION("""COMPUTED_VALUE"""),"20180711OHMIM")</f>
        <v>20180711OHMIM</v>
      </c>
      <c r="B842" s="5" t="str">
        <f ca="1">IFERROR(__xludf.DUMMYFUNCTION("""COMPUTED_VALUE"""),"Teen")</f>
        <v>Teen</v>
      </c>
      <c r="C842" s="5"/>
      <c r="D842" s="5"/>
      <c r="E842" s="5" t="str">
        <f ca="1">IFERROR(__xludf.DUMMYFUNCTION("""COMPUTED_VALUE"""),"Unknown")</f>
        <v>Unknown</v>
      </c>
      <c r="F842" s="5" t="str">
        <f ca="1">IFERROR(__xludf.DUMMYFUNCTION("""COMPUTED_VALUE"""),"Fled/Apprehended")</f>
        <v>Fled/Apprehended</v>
      </c>
      <c r="G842" s="5" t="str">
        <f ca="1">IFERROR(__xludf.DUMMYFUNCTION("""COMPUTED_VALUE"""),"No")</f>
        <v>No</v>
      </c>
      <c r="H842" s="5" t="str">
        <f ca="1">IFERROR(__xludf.DUMMYFUNCTION("""COMPUTED_VALUE"""),"None")</f>
        <v>None</v>
      </c>
    </row>
    <row r="843" spans="1:8">
      <c r="A843" s="5" t="str">
        <f ca="1">IFERROR(__xludf.DUMMYFUNCTION("""COMPUTED_VALUE"""),"20180703KSSUO")</f>
        <v>20180703KSSUO</v>
      </c>
      <c r="B843" s="5">
        <f ca="1">IFERROR(__xludf.DUMMYFUNCTION("""COMPUTED_VALUE"""),32)</f>
        <v>32</v>
      </c>
      <c r="C843" s="5" t="str">
        <f ca="1">IFERROR(__xludf.DUMMYFUNCTION("""COMPUTED_VALUE"""),"Male")</f>
        <v>Male</v>
      </c>
      <c r="D843" s="5"/>
      <c r="E843" s="5" t="str">
        <f ca="1">IFERROR(__xludf.DUMMYFUNCTION("""COMPUTED_VALUE"""),"Other Staff")</f>
        <v>Other Staff</v>
      </c>
      <c r="F843" s="5" t="str">
        <f ca="1">IFERROR(__xludf.DUMMYFUNCTION("""COMPUTED_VALUE"""),"Fled/Apprehended")</f>
        <v>Fled/Apprehended</v>
      </c>
      <c r="G843" s="5" t="str">
        <f ca="1">IFERROR(__xludf.DUMMYFUNCTION("""COMPUTED_VALUE"""),"No")</f>
        <v>No</v>
      </c>
      <c r="H843" s="5" t="str">
        <f ca="1">IFERROR(__xludf.DUMMYFUNCTION("""COMPUTED_VALUE"""),"None")</f>
        <v>None</v>
      </c>
    </row>
    <row r="844" spans="1:8">
      <c r="A844" s="5" t="str">
        <f ca="1">IFERROR(__xludf.DUMMYFUNCTION("""COMPUTED_VALUE"""),"20180701TNRAM")</f>
        <v>20180701TNRAM</v>
      </c>
      <c r="B844" s="5"/>
      <c r="C844" s="5"/>
      <c r="D844" s="5"/>
      <c r="E844" s="5" t="str">
        <f ca="1">IFERROR(__xludf.DUMMYFUNCTION("""COMPUTED_VALUE"""),"Unknown")</f>
        <v>Unknown</v>
      </c>
      <c r="F844" s="5" t="str">
        <f ca="1">IFERROR(__xludf.DUMMYFUNCTION("""COMPUTED_VALUE"""),"Fled/Escaped")</f>
        <v>Fled/Escaped</v>
      </c>
      <c r="G844" s="5" t="str">
        <f ca="1">IFERROR(__xludf.DUMMYFUNCTION("""COMPUTED_VALUE"""),"No")</f>
        <v>No</v>
      </c>
      <c r="H844" s="5" t="str">
        <f ca="1">IFERROR(__xludf.DUMMYFUNCTION("""COMPUTED_VALUE"""),"None")</f>
        <v>None</v>
      </c>
    </row>
    <row r="845" spans="1:8">
      <c r="A845" s="5" t="str">
        <f ca="1">IFERROR(__xludf.DUMMYFUNCTION("""COMPUTED_VALUE"""),"20180625OHFUS")</f>
        <v>20180625OHFUS</v>
      </c>
      <c r="B845" s="5">
        <f ca="1">IFERROR(__xludf.DUMMYFUNCTION("""COMPUTED_VALUE"""),14)</f>
        <v>14</v>
      </c>
      <c r="C845" s="5" t="str">
        <f ca="1">IFERROR(__xludf.DUMMYFUNCTION("""COMPUTED_VALUE"""),"Male")</f>
        <v>Male</v>
      </c>
      <c r="D845" s="5" t="str">
        <f ca="1">IFERROR(__xludf.DUMMYFUNCTION("""COMPUTED_VALUE"""),"Black")</f>
        <v>Black</v>
      </c>
      <c r="E845" s="5" t="str">
        <f ca="1">IFERROR(__xludf.DUMMYFUNCTION("""COMPUTED_VALUE"""),"Unknown")</f>
        <v>Unknown</v>
      </c>
      <c r="F845" s="5" t="str">
        <f ca="1">IFERROR(__xludf.DUMMYFUNCTION("""COMPUTED_VALUE"""),"Fled/Apprehended")</f>
        <v>Fled/Apprehended</v>
      </c>
      <c r="G845" s="5" t="str">
        <f ca="1">IFERROR(__xludf.DUMMYFUNCTION("""COMPUTED_VALUE"""),"No")</f>
        <v>No</v>
      </c>
      <c r="H845" s="5" t="str">
        <f ca="1">IFERROR(__xludf.DUMMYFUNCTION("""COMPUTED_VALUE"""),"None")</f>
        <v>None</v>
      </c>
    </row>
    <row r="846" spans="1:8">
      <c r="A846" s="5" t="str">
        <f ca="1">IFERROR(__xludf.DUMMYFUNCTION("""COMPUTED_VALUE"""),"20180625OHFUS")</f>
        <v>20180625OHFUS</v>
      </c>
      <c r="B846" s="5">
        <f ca="1">IFERROR(__xludf.DUMMYFUNCTION("""COMPUTED_VALUE"""),16)</f>
        <v>16</v>
      </c>
      <c r="C846" s="5" t="str">
        <f ca="1">IFERROR(__xludf.DUMMYFUNCTION("""COMPUTED_VALUE"""),"Male")</f>
        <v>Male</v>
      </c>
      <c r="D846" s="5" t="str">
        <f ca="1">IFERROR(__xludf.DUMMYFUNCTION("""COMPUTED_VALUE"""),"Black")</f>
        <v>Black</v>
      </c>
      <c r="E846" s="5" t="str">
        <f ca="1">IFERROR(__xludf.DUMMYFUNCTION("""COMPUTED_VALUE"""),"Unknown")</f>
        <v>Unknown</v>
      </c>
      <c r="F846" s="5" t="str">
        <f ca="1">IFERROR(__xludf.DUMMYFUNCTION("""COMPUTED_VALUE"""),"Fled/Apprehended")</f>
        <v>Fled/Apprehended</v>
      </c>
      <c r="G846" s="5" t="str">
        <f ca="1">IFERROR(__xludf.DUMMYFUNCTION("""COMPUTED_VALUE"""),"No")</f>
        <v>No</v>
      </c>
      <c r="H846" s="5" t="str">
        <f ca="1">IFERROR(__xludf.DUMMYFUNCTION("""COMPUTED_VALUE"""),"None")</f>
        <v>None</v>
      </c>
    </row>
    <row r="847" spans="1:8">
      <c r="A847" s="5" t="str">
        <f ca="1">IFERROR(__xludf.DUMMYFUNCTION("""COMPUTED_VALUE"""),"20180624MTSEM")</f>
        <v>20180624MTSEM</v>
      </c>
      <c r="B847" s="5">
        <f ca="1">IFERROR(__xludf.DUMMYFUNCTION("""COMPUTED_VALUE"""),17)</f>
        <v>17</v>
      </c>
      <c r="C847" s="5" t="str">
        <f ca="1">IFERROR(__xludf.DUMMYFUNCTION("""COMPUTED_VALUE"""),"Male")</f>
        <v>Male</v>
      </c>
      <c r="D847" s="5" t="str">
        <f ca="1">IFERROR(__xludf.DUMMYFUNCTION("""COMPUTED_VALUE"""),"White")</f>
        <v>White</v>
      </c>
      <c r="E847" s="5" t="str">
        <f ca="1">IFERROR(__xludf.DUMMYFUNCTION("""COMPUTED_VALUE"""),"Unknown")</f>
        <v>Unknown</v>
      </c>
      <c r="F847" s="5" t="str">
        <f ca="1">IFERROR(__xludf.DUMMYFUNCTION("""COMPUTED_VALUE"""),"Fled/Apprehended")</f>
        <v>Fled/Apprehended</v>
      </c>
      <c r="G847" s="5" t="str">
        <f ca="1">IFERROR(__xludf.DUMMYFUNCTION("""COMPUTED_VALUE"""),"No")</f>
        <v>No</v>
      </c>
      <c r="H847" s="5" t="str">
        <f ca="1">IFERROR(__xludf.DUMMYFUNCTION("""COMPUTED_VALUE"""),"None")</f>
        <v>None</v>
      </c>
    </row>
    <row r="848" spans="1:8">
      <c r="A848" s="5" t="str">
        <f ca="1">IFERROR(__xludf.DUMMYFUNCTION("""COMPUTED_VALUE"""),"20180621TXSKD")</f>
        <v>20180621TXSKD</v>
      </c>
      <c r="B848" s="5"/>
      <c r="C848" s="5"/>
      <c r="D848" s="5"/>
      <c r="E848" s="5" t="str">
        <f ca="1">IFERROR(__xludf.DUMMYFUNCTION("""COMPUTED_VALUE"""),"Unknown")</f>
        <v>Unknown</v>
      </c>
      <c r="F848" s="5" t="str">
        <f ca="1">IFERROR(__xludf.DUMMYFUNCTION("""COMPUTED_VALUE"""),"Fled/Escaped")</f>
        <v>Fled/Escaped</v>
      </c>
      <c r="G848" s="5" t="str">
        <f ca="1">IFERROR(__xludf.DUMMYFUNCTION("""COMPUTED_VALUE"""),"No")</f>
        <v>No</v>
      </c>
      <c r="H848" s="5" t="str">
        <f ca="1">IFERROR(__xludf.DUMMYFUNCTION("""COMPUTED_VALUE"""),"None")</f>
        <v>None</v>
      </c>
    </row>
    <row r="849" spans="1:8">
      <c r="A849" s="5" t="str">
        <f ca="1">IFERROR(__xludf.DUMMYFUNCTION("""COMPUTED_VALUE"""),"20180617ORGRP")</f>
        <v>20180617ORGRP</v>
      </c>
      <c r="B849" s="5"/>
      <c r="C849" s="5"/>
      <c r="D849" s="5"/>
      <c r="E849" s="5" t="str">
        <f ca="1">IFERROR(__xludf.DUMMYFUNCTION("""COMPUTED_VALUE"""),"Unknown")</f>
        <v>Unknown</v>
      </c>
      <c r="F849" s="5" t="str">
        <f ca="1">IFERROR(__xludf.DUMMYFUNCTION("""COMPUTED_VALUE"""),"Fled/Escaped")</f>
        <v>Fled/Escaped</v>
      </c>
      <c r="G849" s="5" t="str">
        <f ca="1">IFERROR(__xludf.DUMMYFUNCTION("""COMPUTED_VALUE"""),"No")</f>
        <v>No</v>
      </c>
      <c r="H849" s="5" t="str">
        <f ca="1">IFERROR(__xludf.DUMMYFUNCTION("""COMPUTED_VALUE"""),"None")</f>
        <v>None</v>
      </c>
    </row>
    <row r="850" spans="1:8">
      <c r="A850" s="5" t="str">
        <f ca="1">IFERROR(__xludf.DUMMYFUNCTION("""COMPUTED_VALUE"""),"20180615OHVAB")</f>
        <v>20180615OHVAB</v>
      </c>
      <c r="B850" s="5">
        <f ca="1">IFERROR(__xludf.DUMMYFUNCTION("""COMPUTED_VALUE"""),17)</f>
        <v>17</v>
      </c>
      <c r="C850" s="5" t="str">
        <f ca="1">IFERROR(__xludf.DUMMYFUNCTION("""COMPUTED_VALUE"""),"Male")</f>
        <v>Male</v>
      </c>
      <c r="D850" s="5"/>
      <c r="E850" s="5" t="str">
        <f ca="1">IFERROR(__xludf.DUMMYFUNCTION("""COMPUTED_VALUE"""),"No Relation")</f>
        <v>No Relation</v>
      </c>
      <c r="F850" s="5" t="str">
        <f ca="1">IFERROR(__xludf.DUMMYFUNCTION("""COMPUTED_VALUE"""),"Fled/Apprehended")</f>
        <v>Fled/Apprehended</v>
      </c>
      <c r="G850" s="5" t="str">
        <f ca="1">IFERROR(__xludf.DUMMYFUNCTION("""COMPUTED_VALUE"""),"No")</f>
        <v>No</v>
      </c>
      <c r="H850" s="5" t="str">
        <f ca="1">IFERROR(__xludf.DUMMYFUNCTION("""COMPUTED_VALUE"""),"None")</f>
        <v>None</v>
      </c>
    </row>
    <row r="851" spans="1:8">
      <c r="A851" s="5" t="str">
        <f ca="1">IFERROR(__xludf.DUMMYFUNCTION("""COMPUTED_VALUE"""),"20180601TXMCM")</f>
        <v>20180601TXMCM</v>
      </c>
      <c r="B851" s="5" t="str">
        <f ca="1">IFERROR(__xludf.DUMMYFUNCTION("""COMPUTED_VALUE"""),"Teen")</f>
        <v>Teen</v>
      </c>
      <c r="C851" s="5" t="str">
        <f ca="1">IFERROR(__xludf.DUMMYFUNCTION("""COMPUTED_VALUE"""),"Male")</f>
        <v>Male</v>
      </c>
      <c r="D851" s="5"/>
      <c r="E851" s="5" t="str">
        <f ca="1">IFERROR(__xludf.DUMMYFUNCTION("""COMPUTED_VALUE"""),"Student")</f>
        <v>Student</v>
      </c>
      <c r="F851" s="5" t="str">
        <f ca="1">IFERROR(__xludf.DUMMYFUNCTION("""COMPUTED_VALUE"""),"Suicide")</f>
        <v>Suicide</v>
      </c>
      <c r="G851" s="5" t="str">
        <f ca="1">IFERROR(__xludf.DUMMYFUNCTION("""COMPUTED_VALUE"""),"Yes")</f>
        <v>Yes</v>
      </c>
      <c r="H851" s="5" t="str">
        <f ca="1">IFERROR(__xludf.DUMMYFUNCTION("""COMPUTED_VALUE"""),"Suicide")</f>
        <v>Suicide</v>
      </c>
    </row>
    <row r="852" spans="1:8">
      <c r="A852" s="5" t="str">
        <f ca="1">IFERROR(__xludf.DUMMYFUNCTION("""COMPUTED_VALUE"""),"20180525INNON")</f>
        <v>20180525INNON</v>
      </c>
      <c r="B852" s="5">
        <f ca="1">IFERROR(__xludf.DUMMYFUNCTION("""COMPUTED_VALUE"""),13)</f>
        <v>13</v>
      </c>
      <c r="C852" s="5" t="str">
        <f ca="1">IFERROR(__xludf.DUMMYFUNCTION("""COMPUTED_VALUE"""),"Male")</f>
        <v>Male</v>
      </c>
      <c r="D852" s="5"/>
      <c r="E852" s="5" t="str">
        <f ca="1">IFERROR(__xludf.DUMMYFUNCTION("""COMPUTED_VALUE"""),"Student")</f>
        <v>Student</v>
      </c>
      <c r="F852" s="5" t="str">
        <f ca="1">IFERROR(__xludf.DUMMYFUNCTION("""COMPUTED_VALUE"""),"Subdued by Students/Staff/Other")</f>
        <v>Subdued by Students/Staff/Other</v>
      </c>
      <c r="G852" s="5" t="str">
        <f ca="1">IFERROR(__xludf.DUMMYFUNCTION("""COMPUTED_VALUE"""),"No")</f>
        <v>No</v>
      </c>
      <c r="H852" s="5" t="str">
        <f ca="1">IFERROR(__xludf.DUMMYFUNCTION("""COMPUTED_VALUE"""),"None")</f>
        <v>None</v>
      </c>
    </row>
    <row r="853" spans="1:8">
      <c r="A853" s="5" t="str">
        <f ca="1">IFERROR(__xludf.DUMMYFUNCTION("""COMPUTED_VALUE"""),"20180521GABEG")</f>
        <v>20180521GABEG</v>
      </c>
      <c r="B853" s="5" t="str">
        <f ca="1">IFERROR(__xludf.DUMMYFUNCTION("""COMPUTED_VALUE"""),"Adult")</f>
        <v>Adult</v>
      </c>
      <c r="C853" s="5"/>
      <c r="D853" s="5"/>
      <c r="E853" s="5" t="str">
        <f ca="1">IFERROR(__xludf.DUMMYFUNCTION("""COMPUTED_VALUE"""),"No Relation")</f>
        <v>No Relation</v>
      </c>
      <c r="F853" s="5" t="str">
        <f ca="1">IFERROR(__xludf.DUMMYFUNCTION("""COMPUTED_VALUE"""),"Fled/Escaped")</f>
        <v>Fled/Escaped</v>
      </c>
      <c r="G853" s="5" t="str">
        <f ca="1">IFERROR(__xludf.DUMMYFUNCTION("""COMPUTED_VALUE"""),"No")</f>
        <v>No</v>
      </c>
      <c r="H853" s="5" t="str">
        <f ca="1">IFERROR(__xludf.DUMMYFUNCTION("""COMPUTED_VALUE"""),"None")</f>
        <v>None</v>
      </c>
    </row>
    <row r="854" spans="1:8">
      <c r="A854" s="5" t="str">
        <f ca="1">IFERROR(__xludf.DUMMYFUNCTION("""COMPUTED_VALUE"""),"20180518TXSAS")</f>
        <v>20180518TXSAS</v>
      </c>
      <c r="B854" s="5">
        <f ca="1">IFERROR(__xludf.DUMMYFUNCTION("""COMPUTED_VALUE"""),17)</f>
        <v>17</v>
      </c>
      <c r="C854" s="5" t="str">
        <f ca="1">IFERROR(__xludf.DUMMYFUNCTION("""COMPUTED_VALUE"""),"Male")</f>
        <v>Male</v>
      </c>
      <c r="D854" s="5" t="str">
        <f ca="1">IFERROR(__xludf.DUMMYFUNCTION("""COMPUTED_VALUE"""),"White")</f>
        <v>White</v>
      </c>
      <c r="E854" s="5" t="str">
        <f ca="1">IFERROR(__xludf.DUMMYFUNCTION("""COMPUTED_VALUE"""),"Student")</f>
        <v>Student</v>
      </c>
      <c r="F854" s="5" t="str">
        <f ca="1">IFERROR(__xludf.DUMMYFUNCTION("""COMPUTED_VALUE"""),"Surrendered")</f>
        <v>Surrendered</v>
      </c>
      <c r="G854" s="5" t="str">
        <f ca="1">IFERROR(__xludf.DUMMYFUNCTION("""COMPUTED_VALUE"""),"No")</f>
        <v>No</v>
      </c>
      <c r="H854" s="5" t="str">
        <f ca="1">IFERROR(__xludf.DUMMYFUNCTION("""COMPUTED_VALUE"""),"None")</f>
        <v>None</v>
      </c>
    </row>
    <row r="855" spans="1:8">
      <c r="A855" s="5" t="str">
        <f ca="1">IFERROR(__xludf.DUMMYFUNCTION("""COMPUTED_VALUE"""),"20180518GAMOA")</f>
        <v>20180518GAMOA</v>
      </c>
      <c r="B855" s="5"/>
      <c r="C855" s="5"/>
      <c r="D855" s="5"/>
      <c r="E855" s="5" t="str">
        <f ca="1">IFERROR(__xludf.DUMMYFUNCTION("""COMPUTED_VALUE"""),"Unknown")</f>
        <v>Unknown</v>
      </c>
      <c r="F855" s="5" t="str">
        <f ca="1">IFERROR(__xludf.DUMMYFUNCTION("""COMPUTED_VALUE"""),"Fled/Escaped")</f>
        <v>Fled/Escaped</v>
      </c>
      <c r="G855" s="5" t="str">
        <f ca="1">IFERROR(__xludf.DUMMYFUNCTION("""COMPUTED_VALUE"""),"No")</f>
        <v>No</v>
      </c>
      <c r="H855" s="5" t="str">
        <f ca="1">IFERROR(__xludf.DUMMYFUNCTION("""COMPUTED_VALUE"""),"None")</f>
        <v>None</v>
      </c>
    </row>
    <row r="856" spans="1:8">
      <c r="A856" s="5" t="str">
        <f ca="1">IFERROR(__xludf.DUMMYFUNCTION("""COMPUTED_VALUE"""),"20180517MOCEK")</f>
        <v>20180517MOCEK</v>
      </c>
      <c r="B856" s="5">
        <f ca="1">IFERROR(__xludf.DUMMYFUNCTION("""COMPUTED_VALUE"""),21)</f>
        <v>21</v>
      </c>
      <c r="C856" s="5" t="str">
        <f ca="1">IFERROR(__xludf.DUMMYFUNCTION("""COMPUTED_VALUE"""),"Male")</f>
        <v>Male</v>
      </c>
      <c r="D856" s="5" t="str">
        <f ca="1">IFERROR(__xludf.DUMMYFUNCTION("""COMPUTED_VALUE"""),"Black")</f>
        <v>Black</v>
      </c>
      <c r="E856" s="5" t="str">
        <f ca="1">IFERROR(__xludf.DUMMYFUNCTION("""COMPUTED_VALUE"""),"Unknown")</f>
        <v>Unknown</v>
      </c>
      <c r="F856" s="5" t="str">
        <f ca="1">IFERROR(__xludf.DUMMYFUNCTION("""COMPUTED_VALUE"""),"Fled/Apprehended")</f>
        <v>Fled/Apprehended</v>
      </c>
      <c r="G856" s="5" t="str">
        <f ca="1">IFERROR(__xludf.DUMMYFUNCTION("""COMPUTED_VALUE"""),"No")</f>
        <v>No</v>
      </c>
      <c r="H856" s="5" t="str">
        <f ca="1">IFERROR(__xludf.DUMMYFUNCTION("""COMPUTED_VALUE"""),"None")</f>
        <v>None</v>
      </c>
    </row>
    <row r="857" spans="1:8">
      <c r="A857" s="5" t="str">
        <f ca="1">IFERROR(__xludf.DUMMYFUNCTION("""COMPUTED_VALUE"""),"20180516ILDID")</f>
        <v>20180516ILDID</v>
      </c>
      <c r="B857" s="5">
        <f ca="1">IFERROR(__xludf.DUMMYFUNCTION("""COMPUTED_VALUE"""),19)</f>
        <v>19</v>
      </c>
      <c r="C857" s="5" t="str">
        <f ca="1">IFERROR(__xludf.DUMMYFUNCTION("""COMPUTED_VALUE"""),"Male")</f>
        <v>Male</v>
      </c>
      <c r="D857" s="5" t="str">
        <f ca="1">IFERROR(__xludf.DUMMYFUNCTION("""COMPUTED_VALUE"""),"White")</f>
        <v>White</v>
      </c>
      <c r="E857" s="5" t="str">
        <f ca="1">IFERROR(__xludf.DUMMYFUNCTION("""COMPUTED_VALUE"""),"Student")</f>
        <v>Student</v>
      </c>
      <c r="F857" s="5" t="str">
        <f ca="1">IFERROR(__xludf.DUMMYFUNCTION("""COMPUTED_VALUE"""),"Apprehended/Killed by SRO")</f>
        <v>Apprehended/Killed by SRO</v>
      </c>
      <c r="G857" s="5" t="str">
        <f ca="1">IFERROR(__xludf.DUMMYFUNCTION("""COMPUTED_VALUE"""),"No")</f>
        <v>No</v>
      </c>
      <c r="H857" s="5" t="str">
        <f ca="1">IFERROR(__xludf.DUMMYFUNCTION("""COMPUTED_VALUE"""),"None")</f>
        <v>None</v>
      </c>
    </row>
    <row r="858" spans="1:8">
      <c r="A858" s="5" t="str">
        <f ca="1">IFERROR(__xludf.DUMMYFUNCTION("""COMPUTED_VALUE"""),"20180511CAHIP")</f>
        <v>20180511CAHIP</v>
      </c>
      <c r="B858" s="5">
        <f ca="1">IFERROR(__xludf.DUMMYFUNCTION("""COMPUTED_VALUE"""),14)</f>
        <v>14</v>
      </c>
      <c r="C858" s="5" t="str">
        <f ca="1">IFERROR(__xludf.DUMMYFUNCTION("""COMPUTED_VALUE"""),"Male")</f>
        <v>Male</v>
      </c>
      <c r="D858" s="5"/>
      <c r="E858" s="5" t="str">
        <f ca="1">IFERROR(__xludf.DUMMYFUNCTION("""COMPUTED_VALUE"""),"Former Student")</f>
        <v>Former Student</v>
      </c>
      <c r="F858" s="5" t="str">
        <f ca="1">IFERROR(__xludf.DUMMYFUNCTION("""COMPUTED_VALUE"""),"Fled/Apprehended")</f>
        <v>Fled/Apprehended</v>
      </c>
      <c r="G858" s="5" t="str">
        <f ca="1">IFERROR(__xludf.DUMMYFUNCTION("""COMPUTED_VALUE"""),"No")</f>
        <v>No</v>
      </c>
      <c r="H858" s="5" t="str">
        <f ca="1">IFERROR(__xludf.DUMMYFUNCTION("""COMPUTED_VALUE"""),"None")</f>
        <v>None</v>
      </c>
    </row>
    <row r="859" spans="1:8">
      <c r="A859" s="5" t="str">
        <f ca="1">IFERROR(__xludf.DUMMYFUNCTION("""COMPUTED_VALUE"""),"20180505MIFOF")</f>
        <v>20180505MIFOF</v>
      </c>
      <c r="B859" s="5" t="str">
        <f ca="1">IFERROR(__xludf.DUMMYFUNCTION("""COMPUTED_VALUE"""),"Adult")</f>
        <v>Adult</v>
      </c>
      <c r="C859" s="5" t="str">
        <f ca="1">IFERROR(__xludf.DUMMYFUNCTION("""COMPUTED_VALUE"""),"Male")</f>
        <v>Male</v>
      </c>
      <c r="D859" s="5"/>
      <c r="E859" s="5" t="str">
        <f ca="1">IFERROR(__xludf.DUMMYFUNCTION("""COMPUTED_VALUE"""),"Police Officer/SRO")</f>
        <v>Police Officer/SRO</v>
      </c>
      <c r="F859" s="5" t="str">
        <f ca="1">IFERROR(__xludf.DUMMYFUNCTION("""COMPUTED_VALUE"""),"Law Enforcement")</f>
        <v>Law Enforcement</v>
      </c>
      <c r="G859" s="5" t="str">
        <f ca="1">IFERROR(__xludf.DUMMYFUNCTION("""COMPUTED_VALUE"""),"No")</f>
        <v>No</v>
      </c>
      <c r="H859" s="5" t="str">
        <f ca="1">IFERROR(__xludf.DUMMYFUNCTION("""COMPUTED_VALUE"""),"None")</f>
        <v>None</v>
      </c>
    </row>
    <row r="860" spans="1:8">
      <c r="A860" s="5" t="str">
        <f ca="1">IFERROR(__xludf.DUMMYFUNCTION("""COMPUTED_VALUE"""),"20180503TNWAW")</f>
        <v>20180503TNWAW</v>
      </c>
      <c r="B860" s="5" t="str">
        <f ca="1">IFERROR(__xludf.DUMMYFUNCTION("""COMPUTED_VALUE"""),"Teen")</f>
        <v>Teen</v>
      </c>
      <c r="C860" s="5"/>
      <c r="D860" s="5"/>
      <c r="E860" s="5" t="str">
        <f ca="1">IFERROR(__xludf.DUMMYFUNCTION("""COMPUTED_VALUE"""),"Student")</f>
        <v>Student</v>
      </c>
      <c r="F860" s="5" t="str">
        <f ca="1">IFERROR(__xludf.DUMMYFUNCTION("""COMPUTED_VALUE"""),"Unknown")</f>
        <v>Unknown</v>
      </c>
      <c r="G860" s="5" t="str">
        <f ca="1">IFERROR(__xludf.DUMMYFUNCTION("""COMPUTED_VALUE"""),"No")</f>
        <v>No</v>
      </c>
      <c r="H860" s="5" t="str">
        <f ca="1">IFERROR(__xludf.DUMMYFUNCTION("""COMPUTED_VALUE"""),"None")</f>
        <v>None</v>
      </c>
    </row>
    <row r="861" spans="1:8">
      <c r="A861" s="5" t="str">
        <f ca="1">IFERROR(__xludf.DUMMYFUNCTION("""COMPUTED_VALUE"""),"20180503SDENW")</f>
        <v>20180503SDENW</v>
      </c>
      <c r="B861" s="5"/>
      <c r="C861" s="5"/>
      <c r="D861" s="5"/>
      <c r="E861" s="5" t="str">
        <f ca="1">IFERROR(__xludf.DUMMYFUNCTION("""COMPUTED_VALUE"""),"Unknown")</f>
        <v>Unknown</v>
      </c>
      <c r="F861" s="5" t="str">
        <f ca="1">IFERROR(__xludf.DUMMYFUNCTION("""COMPUTED_VALUE"""),"Fled/Apprehended")</f>
        <v>Fled/Apprehended</v>
      </c>
      <c r="G861" s="5" t="str">
        <f ca="1">IFERROR(__xludf.DUMMYFUNCTION("""COMPUTED_VALUE"""),"No")</f>
        <v>No</v>
      </c>
      <c r="H861" s="5" t="str">
        <f ca="1">IFERROR(__xludf.DUMMYFUNCTION("""COMPUTED_VALUE"""),"None")</f>
        <v>None</v>
      </c>
    </row>
    <row r="862" spans="1:8">
      <c r="A862" s="5" t="str">
        <f ca="1">IFERROR(__xludf.DUMMYFUNCTION("""COMPUTED_VALUE"""),"20180425NMHIA")</f>
        <v>20180425NMHIA</v>
      </c>
      <c r="B862" s="5" t="str">
        <f ca="1">IFERROR(__xludf.DUMMYFUNCTION("""COMPUTED_VALUE"""),"Adult")</f>
        <v>Adult</v>
      </c>
      <c r="C862" s="5" t="str">
        <f ca="1">IFERROR(__xludf.DUMMYFUNCTION("""COMPUTED_VALUE"""),"Male")</f>
        <v>Male</v>
      </c>
      <c r="D862" s="5" t="str">
        <f ca="1">IFERROR(__xludf.DUMMYFUNCTION("""COMPUTED_VALUE"""),"Hispanic")</f>
        <v>Hispanic</v>
      </c>
      <c r="E862" s="5" t="str">
        <f ca="1">IFERROR(__xludf.DUMMYFUNCTION("""COMPUTED_VALUE"""),"Parent")</f>
        <v>Parent</v>
      </c>
      <c r="F862" s="5" t="str">
        <f ca="1">IFERROR(__xludf.DUMMYFUNCTION("""COMPUTED_VALUE"""),"Apprehended/Killed by LE")</f>
        <v>Apprehended/Killed by LE</v>
      </c>
      <c r="G862" s="5" t="str">
        <f ca="1">IFERROR(__xludf.DUMMYFUNCTION("""COMPUTED_VALUE"""),"No")</f>
        <v>No</v>
      </c>
      <c r="H862" s="5" t="str">
        <f ca="1">IFERROR(__xludf.DUMMYFUNCTION("""COMPUTED_VALUE"""),"None")</f>
        <v>None</v>
      </c>
    </row>
    <row r="863" spans="1:8">
      <c r="A863" s="5" t="str">
        <f ca="1">IFERROR(__xludf.DUMMYFUNCTION("""COMPUTED_VALUE"""),"20180423GABEA")</f>
        <v>20180423GABEA</v>
      </c>
      <c r="B863" s="5"/>
      <c r="C863" s="5" t="str">
        <f ca="1">IFERROR(__xludf.DUMMYFUNCTION("""COMPUTED_VALUE"""),"Male")</f>
        <v>Male</v>
      </c>
      <c r="D863" s="5" t="str">
        <f ca="1">IFERROR(__xludf.DUMMYFUNCTION("""COMPUTED_VALUE"""),"Black")</f>
        <v>Black</v>
      </c>
      <c r="E863" s="5" t="str">
        <f ca="1">IFERROR(__xludf.DUMMYFUNCTION("""COMPUTED_VALUE"""),"Intimate Relationship")</f>
        <v>Intimate Relationship</v>
      </c>
      <c r="F863" s="5" t="str">
        <f ca="1">IFERROR(__xludf.DUMMYFUNCTION("""COMPUTED_VALUE"""),"Fled/Apprehended")</f>
        <v>Fled/Apprehended</v>
      </c>
      <c r="G863" s="5" t="str">
        <f ca="1">IFERROR(__xludf.DUMMYFUNCTION("""COMPUTED_VALUE"""),"No")</f>
        <v>No</v>
      </c>
      <c r="H863" s="5" t="str">
        <f ca="1">IFERROR(__xludf.DUMMYFUNCTION("""COMPUTED_VALUE"""),"None")</f>
        <v>None</v>
      </c>
    </row>
    <row r="864" spans="1:8">
      <c r="A864" s="5" t="str">
        <f ca="1">IFERROR(__xludf.DUMMYFUNCTION("""COMPUTED_VALUE"""),"20180420FLFOO")</f>
        <v>20180420FLFOO</v>
      </c>
      <c r="B864" s="5">
        <f ca="1">IFERROR(__xludf.DUMMYFUNCTION("""COMPUTED_VALUE"""),19)</f>
        <v>19</v>
      </c>
      <c r="C864" s="5" t="str">
        <f ca="1">IFERROR(__xludf.DUMMYFUNCTION("""COMPUTED_VALUE"""),"Male")</f>
        <v>Male</v>
      </c>
      <c r="D864" s="5" t="str">
        <f ca="1">IFERROR(__xludf.DUMMYFUNCTION("""COMPUTED_VALUE"""),"White")</f>
        <v>White</v>
      </c>
      <c r="E864" s="5" t="str">
        <f ca="1">IFERROR(__xludf.DUMMYFUNCTION("""COMPUTED_VALUE"""),"Former Student")</f>
        <v>Former Student</v>
      </c>
      <c r="F864" s="5" t="str">
        <f ca="1">IFERROR(__xludf.DUMMYFUNCTION("""COMPUTED_VALUE"""),"Surrendered")</f>
        <v>Surrendered</v>
      </c>
      <c r="G864" s="5" t="str">
        <f ca="1">IFERROR(__xludf.DUMMYFUNCTION("""COMPUTED_VALUE"""),"No")</f>
        <v>No</v>
      </c>
      <c r="H864" s="5" t="str">
        <f ca="1">IFERROR(__xludf.DUMMYFUNCTION("""COMPUTED_VALUE"""),"None")</f>
        <v>None</v>
      </c>
    </row>
    <row r="865" spans="1:8">
      <c r="A865" s="5" t="str">
        <f ca="1">IFERROR(__xludf.DUMMYFUNCTION("""COMPUTED_VALUE"""),"20180419MIJAJ")</f>
        <v>20180419MIJAJ</v>
      </c>
      <c r="B865" s="5"/>
      <c r="C865" s="5"/>
      <c r="D865" s="5"/>
      <c r="E865" s="5" t="str">
        <f ca="1">IFERROR(__xludf.DUMMYFUNCTION("""COMPUTED_VALUE"""),"No Relation")</f>
        <v>No Relation</v>
      </c>
      <c r="F865" s="5" t="str">
        <f ca="1">IFERROR(__xludf.DUMMYFUNCTION("""COMPUTED_VALUE"""),"Fled/Escaped")</f>
        <v>Fled/Escaped</v>
      </c>
      <c r="G865" s="5" t="str">
        <f ca="1">IFERROR(__xludf.DUMMYFUNCTION("""COMPUTED_VALUE"""),"No")</f>
        <v>No</v>
      </c>
      <c r="H865" s="5" t="str">
        <f ca="1">IFERROR(__xludf.DUMMYFUNCTION("""COMPUTED_VALUE"""),"None")</f>
        <v>None</v>
      </c>
    </row>
    <row r="866" spans="1:8">
      <c r="A866" s="5" t="str">
        <f ca="1">IFERROR(__xludf.DUMMYFUNCTION("""COMPUTED_VALUE"""),"20180412MORAR")</f>
        <v>20180412MORAR</v>
      </c>
      <c r="B866" s="5"/>
      <c r="C866" s="5" t="str">
        <f ca="1">IFERROR(__xludf.DUMMYFUNCTION("""COMPUTED_VALUE"""),"Male")</f>
        <v>Male</v>
      </c>
      <c r="D866" s="5"/>
      <c r="E866" s="5" t="str">
        <f ca="1">IFERROR(__xludf.DUMMYFUNCTION("""COMPUTED_VALUE"""),"Unknown")</f>
        <v>Unknown</v>
      </c>
      <c r="F866" s="5" t="str">
        <f ca="1">IFERROR(__xludf.DUMMYFUNCTION("""COMPUTED_VALUE"""),"Fled/Escaped")</f>
        <v>Fled/Escaped</v>
      </c>
      <c r="G866" s="5" t="str">
        <f ca="1">IFERROR(__xludf.DUMMYFUNCTION("""COMPUTED_VALUE"""),"No")</f>
        <v>No</v>
      </c>
      <c r="H866" s="5" t="str">
        <f ca="1">IFERROR(__xludf.DUMMYFUNCTION("""COMPUTED_VALUE"""),"None")</f>
        <v>None</v>
      </c>
    </row>
    <row r="867" spans="1:8">
      <c r="A867" s="5" t="str">
        <f ca="1">IFERROR(__xludf.DUMMYFUNCTION("""COMPUTED_VALUE"""),"20180409NYGLG")</f>
        <v>20180409NYGLG</v>
      </c>
      <c r="B867" s="5">
        <f ca="1">IFERROR(__xludf.DUMMYFUNCTION("""COMPUTED_VALUE"""),16)</f>
        <v>16</v>
      </c>
      <c r="C867" s="5" t="str">
        <f ca="1">IFERROR(__xludf.DUMMYFUNCTION("""COMPUTED_VALUE"""),"Male")</f>
        <v>Male</v>
      </c>
      <c r="D867" s="5"/>
      <c r="E867" s="5" t="str">
        <f ca="1">IFERROR(__xludf.DUMMYFUNCTION("""COMPUTED_VALUE"""),"Student")</f>
        <v>Student</v>
      </c>
      <c r="F867" s="5" t="str">
        <f ca="1">IFERROR(__xludf.DUMMYFUNCTION("""COMPUTED_VALUE"""),"Fled/Apprehended")</f>
        <v>Fled/Apprehended</v>
      </c>
      <c r="G867" s="5" t="str">
        <f ca="1">IFERROR(__xludf.DUMMYFUNCTION("""COMPUTED_VALUE"""),"No")</f>
        <v>No</v>
      </c>
      <c r="H867" s="5" t="str">
        <f ca="1">IFERROR(__xludf.DUMMYFUNCTION("""COMPUTED_VALUE"""),"None")</f>
        <v>None</v>
      </c>
    </row>
    <row r="868" spans="1:8">
      <c r="A868" s="5" t="str">
        <f ca="1">IFERROR(__xludf.DUMMYFUNCTION("""COMPUTED_VALUE"""),"20180329KYJOE")</f>
        <v>20180329KYJOE</v>
      </c>
      <c r="B868" s="5">
        <f ca="1">IFERROR(__xludf.DUMMYFUNCTION("""COMPUTED_VALUE"""),51)</f>
        <v>51</v>
      </c>
      <c r="C868" s="5" t="str">
        <f ca="1">IFERROR(__xludf.DUMMYFUNCTION("""COMPUTED_VALUE"""),"Male")</f>
        <v>Male</v>
      </c>
      <c r="D868" s="5" t="str">
        <f ca="1">IFERROR(__xludf.DUMMYFUNCTION("""COMPUTED_VALUE"""),"White")</f>
        <v>White</v>
      </c>
      <c r="E868" s="5" t="str">
        <f ca="1">IFERROR(__xludf.DUMMYFUNCTION("""COMPUTED_VALUE"""),"Parent")</f>
        <v>Parent</v>
      </c>
      <c r="F868" s="5" t="str">
        <f ca="1">IFERROR(__xludf.DUMMYFUNCTION("""COMPUTED_VALUE"""),"Apprehended/Killed by LE")</f>
        <v>Apprehended/Killed by LE</v>
      </c>
      <c r="G868" s="5" t="str">
        <f ca="1">IFERROR(__xludf.DUMMYFUNCTION("""COMPUTED_VALUE"""),"Yes")</f>
        <v>Yes</v>
      </c>
      <c r="H868" s="5" t="str">
        <f ca="1">IFERROR(__xludf.DUMMYFUNCTION("""COMPUTED_VALUE"""),"Fatal")</f>
        <v>Fatal</v>
      </c>
    </row>
    <row r="869" spans="1:8">
      <c r="A869" s="5" t="str">
        <f ca="1">IFERROR(__xludf.DUMMYFUNCTION("""COMPUTED_VALUE"""),"20180328MSEUE")</f>
        <v>20180328MSEUE</v>
      </c>
      <c r="B869" s="5">
        <f ca="1">IFERROR(__xludf.DUMMYFUNCTION("""COMPUTED_VALUE"""),21)</f>
        <v>21</v>
      </c>
      <c r="C869" s="5" t="str">
        <f ca="1">IFERROR(__xludf.DUMMYFUNCTION("""COMPUTED_VALUE"""),"Male")</f>
        <v>Male</v>
      </c>
      <c r="D869" s="5" t="str">
        <f ca="1">IFERROR(__xludf.DUMMYFUNCTION("""COMPUTED_VALUE"""),"White")</f>
        <v>White</v>
      </c>
      <c r="E869" s="5" t="str">
        <f ca="1">IFERROR(__xludf.DUMMYFUNCTION("""COMPUTED_VALUE"""),"Former Student")</f>
        <v>Former Student</v>
      </c>
      <c r="F869" s="5" t="str">
        <f ca="1">IFERROR(__xludf.DUMMYFUNCTION("""COMPUTED_VALUE"""),"Fled/Apprehended")</f>
        <v>Fled/Apprehended</v>
      </c>
      <c r="G869" s="5" t="str">
        <f ca="1">IFERROR(__xludf.DUMMYFUNCTION("""COMPUTED_VALUE"""),"No")</f>
        <v>No</v>
      </c>
      <c r="H869" s="5" t="str">
        <f ca="1">IFERROR(__xludf.DUMMYFUNCTION("""COMPUTED_VALUE"""),"None")</f>
        <v>None</v>
      </c>
    </row>
    <row r="870" spans="1:8">
      <c r="A870" s="5" t="str">
        <f ca="1">IFERROR(__xludf.DUMMYFUNCTION("""COMPUTED_VALUE"""),"20180320MDGRG")</f>
        <v>20180320MDGRG</v>
      </c>
      <c r="B870" s="5">
        <f ca="1">IFERROR(__xludf.DUMMYFUNCTION("""COMPUTED_VALUE"""),17)</f>
        <v>17</v>
      </c>
      <c r="C870" s="5" t="str">
        <f ca="1">IFERROR(__xludf.DUMMYFUNCTION("""COMPUTED_VALUE"""),"Male")</f>
        <v>Male</v>
      </c>
      <c r="D870" s="5" t="str">
        <f ca="1">IFERROR(__xludf.DUMMYFUNCTION("""COMPUTED_VALUE"""),"White")</f>
        <v>White</v>
      </c>
      <c r="E870" s="5" t="str">
        <f ca="1">IFERROR(__xludf.DUMMYFUNCTION("""COMPUTED_VALUE"""),"Student")</f>
        <v>Student</v>
      </c>
      <c r="F870" s="5" t="str">
        <f ca="1">IFERROR(__xludf.DUMMYFUNCTION("""COMPUTED_VALUE"""),"Suicide")</f>
        <v>Suicide</v>
      </c>
      <c r="G870" s="5" t="str">
        <f ca="1">IFERROR(__xludf.DUMMYFUNCTION("""COMPUTED_VALUE"""),"Yes")</f>
        <v>Yes</v>
      </c>
      <c r="H870" s="5" t="str">
        <f ca="1">IFERROR(__xludf.DUMMYFUNCTION("""COMPUTED_VALUE"""),"Suicide")</f>
        <v>Suicide</v>
      </c>
    </row>
    <row r="871" spans="1:8">
      <c r="A871" s="5" t="str">
        <f ca="1">IFERROR(__xludf.DUMMYFUNCTION("""COMPUTED_VALUE"""),"20180319VADOP")</f>
        <v>20180319VADOP</v>
      </c>
      <c r="B871" s="5" t="str">
        <f ca="1">IFERROR(__xludf.DUMMYFUNCTION("""COMPUTED_VALUE"""),"Adult")</f>
        <v>Adult</v>
      </c>
      <c r="C871" s="5"/>
      <c r="D871" s="5"/>
      <c r="E871" s="5" t="str">
        <f ca="1">IFERROR(__xludf.DUMMYFUNCTION("""COMPUTED_VALUE"""),"No Relation")</f>
        <v>No Relation</v>
      </c>
      <c r="F871" s="5" t="str">
        <f ca="1">IFERROR(__xludf.DUMMYFUNCTION("""COMPUTED_VALUE"""),"Fled/Escaped")</f>
        <v>Fled/Escaped</v>
      </c>
      <c r="G871" s="5" t="str">
        <f ca="1">IFERROR(__xludf.DUMMYFUNCTION("""COMPUTED_VALUE"""),"No")</f>
        <v>No</v>
      </c>
      <c r="H871" s="5" t="str">
        <f ca="1">IFERROR(__xludf.DUMMYFUNCTION("""COMPUTED_VALUE"""),"None")</f>
        <v>None</v>
      </c>
    </row>
    <row r="872" spans="1:8">
      <c r="A872" s="5" t="str">
        <f ca="1">IFERROR(__xludf.DUMMYFUNCTION("""COMPUTED_VALUE"""),"20180316MTBIM")</f>
        <v>20180316MTBIM</v>
      </c>
      <c r="B872" s="5" t="str">
        <f ca="1">IFERROR(__xludf.DUMMYFUNCTION("""COMPUTED_VALUE"""),"Adult")</f>
        <v>Adult</v>
      </c>
      <c r="C872" s="5" t="str">
        <f ca="1">IFERROR(__xludf.DUMMYFUNCTION("""COMPUTED_VALUE"""),"Male")</f>
        <v>Male</v>
      </c>
      <c r="D872" s="5"/>
      <c r="E872" s="5" t="str">
        <f ca="1">IFERROR(__xludf.DUMMYFUNCTION("""COMPUTED_VALUE"""),"Police Officer/SRO")</f>
        <v>Police Officer/SRO</v>
      </c>
      <c r="F872" s="5" t="str">
        <f ca="1">IFERROR(__xludf.DUMMYFUNCTION("""COMPUTED_VALUE"""),"Law Enforcement")</f>
        <v>Law Enforcement</v>
      </c>
      <c r="G872" s="5" t="str">
        <f ca="1">IFERROR(__xludf.DUMMYFUNCTION("""COMPUTED_VALUE"""),"No")</f>
        <v>No</v>
      </c>
      <c r="H872" s="5" t="str">
        <f ca="1">IFERROR(__xludf.DUMMYFUNCTION("""COMPUTED_VALUE"""),"None")</f>
        <v>None</v>
      </c>
    </row>
    <row r="873" spans="1:8">
      <c r="A873" s="5" t="str">
        <f ca="1">IFERROR(__xludf.DUMMYFUNCTION("""COMPUTED_VALUE"""),"20180313VAGEA")</f>
        <v>20180313VAGEA</v>
      </c>
      <c r="B873" s="5">
        <f ca="1">IFERROR(__xludf.DUMMYFUNCTION("""COMPUTED_VALUE"""),27)</f>
        <v>27</v>
      </c>
      <c r="C873" s="5" t="str">
        <f ca="1">IFERROR(__xludf.DUMMYFUNCTION("""COMPUTED_VALUE"""),"Male")</f>
        <v>Male</v>
      </c>
      <c r="D873" s="5" t="str">
        <f ca="1">IFERROR(__xludf.DUMMYFUNCTION("""COMPUTED_VALUE"""),"Black")</f>
        <v>Black</v>
      </c>
      <c r="E873" s="5" t="str">
        <f ca="1">IFERROR(__xludf.DUMMYFUNCTION("""COMPUTED_VALUE"""),"Police Officer/SRO")</f>
        <v>Police Officer/SRO</v>
      </c>
      <c r="F873" s="5" t="str">
        <f ca="1">IFERROR(__xludf.DUMMYFUNCTION("""COMPUTED_VALUE"""),"Surrendered")</f>
        <v>Surrendered</v>
      </c>
      <c r="G873" s="5" t="str">
        <f ca="1">IFERROR(__xludf.DUMMYFUNCTION("""COMPUTED_VALUE"""),"No")</f>
        <v>No</v>
      </c>
      <c r="H873" s="5" t="str">
        <f ca="1">IFERROR(__xludf.DUMMYFUNCTION("""COMPUTED_VALUE"""),"None")</f>
        <v>None</v>
      </c>
    </row>
    <row r="874" spans="1:8">
      <c r="A874" s="5" t="str">
        <f ca="1">IFERROR(__xludf.DUMMYFUNCTION("""COMPUTED_VALUE"""),"20180313CASES")</f>
        <v>20180313CASES</v>
      </c>
      <c r="B874" s="5" t="str">
        <f ca="1">IFERROR(__xludf.DUMMYFUNCTION("""COMPUTED_VALUE"""),"Adult")</f>
        <v>Adult</v>
      </c>
      <c r="C874" s="5" t="str">
        <f ca="1">IFERROR(__xludf.DUMMYFUNCTION("""COMPUTED_VALUE"""),"Male")</f>
        <v>Male</v>
      </c>
      <c r="D874" s="5" t="str">
        <f ca="1">IFERROR(__xludf.DUMMYFUNCTION("""COMPUTED_VALUE"""),"White")</f>
        <v>White</v>
      </c>
      <c r="E874" s="5" t="str">
        <f ca="1">IFERROR(__xludf.DUMMYFUNCTION("""COMPUTED_VALUE"""),"Police Officer/SRO")</f>
        <v>Police Officer/SRO</v>
      </c>
      <c r="F874" s="5" t="str">
        <f ca="1">IFERROR(__xludf.DUMMYFUNCTION("""COMPUTED_VALUE"""),"Surrendered")</f>
        <v>Surrendered</v>
      </c>
      <c r="G874" s="5" t="str">
        <f ca="1">IFERROR(__xludf.DUMMYFUNCTION("""COMPUTED_VALUE"""),"No")</f>
        <v>No</v>
      </c>
      <c r="H874" s="5" t="str">
        <f ca="1">IFERROR(__xludf.DUMMYFUNCTION("""COMPUTED_VALUE"""),"None")</f>
        <v>None</v>
      </c>
    </row>
    <row r="875" spans="1:8">
      <c r="A875" s="5" t="str">
        <f ca="1">IFERROR(__xludf.DUMMYFUNCTION("""COMPUTED_VALUE"""),"20180309KYFRL")</f>
        <v>20180309KYFRL</v>
      </c>
      <c r="B875" s="5" t="str">
        <f ca="1">IFERROR(__xludf.DUMMYFUNCTION("""COMPUTED_VALUE"""),"Teen")</f>
        <v>Teen</v>
      </c>
      <c r="C875" s="5" t="str">
        <f ca="1">IFERROR(__xludf.DUMMYFUNCTION("""COMPUTED_VALUE"""),"Male")</f>
        <v>Male</v>
      </c>
      <c r="D875" s="5"/>
      <c r="E875" s="5" t="str">
        <f ca="1">IFERROR(__xludf.DUMMYFUNCTION("""COMPUTED_VALUE"""),"Student")</f>
        <v>Student</v>
      </c>
      <c r="F875" s="5" t="str">
        <f ca="1">IFERROR(__xludf.DUMMYFUNCTION("""COMPUTED_VALUE"""),"Unknown")</f>
        <v>Unknown</v>
      </c>
      <c r="G875" s="5" t="str">
        <f ca="1">IFERROR(__xludf.DUMMYFUNCTION("""COMPUTED_VALUE"""),"No")</f>
        <v>No</v>
      </c>
      <c r="H875" s="5" t="str">
        <f ca="1">IFERROR(__xludf.DUMMYFUNCTION("""COMPUTED_VALUE"""),"Wounded")</f>
        <v>Wounded</v>
      </c>
    </row>
    <row r="876" spans="1:8">
      <c r="A876" s="5" t="str">
        <f ca="1">IFERROR(__xludf.DUMMYFUNCTION("""COMPUTED_VALUE"""),"20180307ALHUB")</f>
        <v>20180307ALHUB</v>
      </c>
      <c r="B876" s="5">
        <f ca="1">IFERROR(__xludf.DUMMYFUNCTION("""COMPUTED_VALUE"""),17)</f>
        <v>17</v>
      </c>
      <c r="C876" s="5" t="str">
        <f ca="1">IFERROR(__xludf.DUMMYFUNCTION("""COMPUTED_VALUE"""),"Male")</f>
        <v>Male</v>
      </c>
      <c r="D876" s="5" t="str">
        <f ca="1">IFERROR(__xludf.DUMMYFUNCTION("""COMPUTED_VALUE"""),"Black")</f>
        <v>Black</v>
      </c>
      <c r="E876" s="5" t="str">
        <f ca="1">IFERROR(__xludf.DUMMYFUNCTION("""COMPUTED_VALUE"""),"Student")</f>
        <v>Student</v>
      </c>
      <c r="F876" s="5" t="str">
        <f ca="1">IFERROR(__xludf.DUMMYFUNCTION("""COMPUTED_VALUE"""),"Fled/Apprehended")</f>
        <v>Fled/Apprehended</v>
      </c>
      <c r="G876" s="5" t="str">
        <f ca="1">IFERROR(__xludf.DUMMYFUNCTION("""COMPUTED_VALUE"""),"No")</f>
        <v>No</v>
      </c>
      <c r="H876" s="5" t="str">
        <f ca="1">IFERROR(__xludf.DUMMYFUNCTION("""COMPUTED_VALUE"""),"Wounded")</f>
        <v>Wounded</v>
      </c>
    </row>
    <row r="877" spans="1:8">
      <c r="A877" s="5" t="str">
        <f ca="1">IFERROR(__xludf.DUMMYFUNCTION("""COMPUTED_VALUE"""),"20180305MOKIC")</f>
        <v>20180305MOKIC</v>
      </c>
      <c r="B877" s="5">
        <f ca="1">IFERROR(__xludf.DUMMYFUNCTION("""COMPUTED_VALUE"""),17)</f>
        <v>17</v>
      </c>
      <c r="C877" s="5" t="str">
        <f ca="1">IFERROR(__xludf.DUMMYFUNCTION("""COMPUTED_VALUE"""),"Male")</f>
        <v>Male</v>
      </c>
      <c r="D877" s="5"/>
      <c r="E877" s="5" t="str">
        <f ca="1">IFERROR(__xludf.DUMMYFUNCTION("""COMPUTED_VALUE"""),"Student")</f>
        <v>Student</v>
      </c>
      <c r="F877" s="5" t="str">
        <f ca="1">IFERROR(__xludf.DUMMYFUNCTION("""COMPUTED_VALUE"""),"Suicide")</f>
        <v>Suicide</v>
      </c>
      <c r="G877" s="5" t="str">
        <f ca="1">IFERROR(__xludf.DUMMYFUNCTION("""COMPUTED_VALUE"""),"Yes")</f>
        <v>Yes</v>
      </c>
      <c r="H877" s="5" t="str">
        <f ca="1">IFERROR(__xludf.DUMMYFUNCTION("""COMPUTED_VALUE"""),"Suicide")</f>
        <v>Suicide</v>
      </c>
    </row>
    <row r="878" spans="1:8">
      <c r="A878" s="5" t="str">
        <f ca="1">IFERROR(__xludf.DUMMYFUNCTION("""COMPUTED_VALUE"""),"20180228GADAD")</f>
        <v>20180228GADAD</v>
      </c>
      <c r="B878" s="5">
        <f ca="1">IFERROR(__xludf.DUMMYFUNCTION("""COMPUTED_VALUE"""),53)</f>
        <v>53</v>
      </c>
      <c r="C878" s="5" t="str">
        <f ca="1">IFERROR(__xludf.DUMMYFUNCTION("""COMPUTED_VALUE"""),"Male")</f>
        <v>Male</v>
      </c>
      <c r="D878" s="5" t="str">
        <f ca="1">IFERROR(__xludf.DUMMYFUNCTION("""COMPUTED_VALUE"""),"White")</f>
        <v>White</v>
      </c>
      <c r="E878" s="5" t="str">
        <f ca="1">IFERROR(__xludf.DUMMYFUNCTION("""COMPUTED_VALUE"""),"Teacher")</f>
        <v>Teacher</v>
      </c>
      <c r="F878" s="5" t="str">
        <f ca="1">IFERROR(__xludf.DUMMYFUNCTION("""COMPUTED_VALUE"""),"Surrendered")</f>
        <v>Surrendered</v>
      </c>
      <c r="G878" s="5" t="str">
        <f ca="1">IFERROR(__xludf.DUMMYFUNCTION("""COMPUTED_VALUE"""),"No")</f>
        <v>No</v>
      </c>
      <c r="H878" s="5" t="str">
        <f ca="1">IFERROR(__xludf.DUMMYFUNCTION("""COMPUTED_VALUE"""),"None")</f>
        <v>None</v>
      </c>
    </row>
    <row r="879" spans="1:8">
      <c r="A879" s="5" t="str">
        <f ca="1">IFERROR(__xludf.DUMMYFUNCTION("""COMPUTED_VALUE"""),"20180226WAOAT")</f>
        <v>20180226WAOAT</v>
      </c>
      <c r="B879" s="5" t="str">
        <f ca="1">IFERROR(__xludf.DUMMYFUNCTION("""COMPUTED_VALUE"""),"Teen")</f>
        <v>Teen</v>
      </c>
      <c r="C879" s="5" t="str">
        <f ca="1">IFERROR(__xludf.DUMMYFUNCTION("""COMPUTED_VALUE"""),"Male")</f>
        <v>Male</v>
      </c>
      <c r="D879" s="5"/>
      <c r="E879" s="5" t="str">
        <f ca="1">IFERROR(__xludf.DUMMYFUNCTION("""COMPUTED_VALUE"""),"Student")</f>
        <v>Student</v>
      </c>
      <c r="F879" s="5" t="str">
        <f ca="1">IFERROR(__xludf.DUMMYFUNCTION("""COMPUTED_VALUE"""),"Fled/Apprehended")</f>
        <v>Fled/Apprehended</v>
      </c>
      <c r="G879" s="5" t="str">
        <f ca="1">IFERROR(__xludf.DUMMYFUNCTION("""COMPUTED_VALUE"""),"No")</f>
        <v>No</v>
      </c>
      <c r="H879" s="5" t="str">
        <f ca="1">IFERROR(__xludf.DUMMYFUNCTION("""COMPUTED_VALUE"""),"None")</f>
        <v>None</v>
      </c>
    </row>
    <row r="880" spans="1:8">
      <c r="A880" s="5" t="str">
        <f ca="1">IFERROR(__xludf.DUMMYFUNCTION("""COMPUTED_VALUE"""),"20180220OHJAM")</f>
        <v>20180220OHJAM</v>
      </c>
      <c r="B880" s="5">
        <f ca="1">IFERROR(__xludf.DUMMYFUNCTION("""COMPUTED_VALUE"""),13)</f>
        <v>13</v>
      </c>
      <c r="C880" s="5" t="str">
        <f ca="1">IFERROR(__xludf.DUMMYFUNCTION("""COMPUTED_VALUE"""),"Male")</f>
        <v>Male</v>
      </c>
      <c r="D880" s="5"/>
      <c r="E880" s="5" t="str">
        <f ca="1">IFERROR(__xludf.DUMMYFUNCTION("""COMPUTED_VALUE"""),"Student")</f>
        <v>Student</v>
      </c>
      <c r="F880" s="5" t="str">
        <f ca="1">IFERROR(__xludf.DUMMYFUNCTION("""COMPUTED_VALUE"""),"Suicide")</f>
        <v>Suicide</v>
      </c>
      <c r="G880" s="5" t="str">
        <f ca="1">IFERROR(__xludf.DUMMYFUNCTION("""COMPUTED_VALUE"""),"Yes")</f>
        <v>Yes</v>
      </c>
      <c r="H880" s="5" t="str">
        <f ca="1">IFERROR(__xludf.DUMMYFUNCTION("""COMPUTED_VALUE"""),"Suicide")</f>
        <v>Suicide</v>
      </c>
    </row>
    <row r="881" spans="1:8">
      <c r="A881" s="5" t="str">
        <f ca="1">IFERROR(__xludf.DUMMYFUNCTION("""COMPUTED_VALUE"""),"20180215FLNOC")</f>
        <v>20180215FLNOC</v>
      </c>
      <c r="B881" s="5" t="str">
        <f ca="1">IFERROR(__xludf.DUMMYFUNCTION("""COMPUTED_VALUE"""),"Adult")</f>
        <v>Adult</v>
      </c>
      <c r="C881" s="5"/>
      <c r="D881" s="5"/>
      <c r="E881" s="5" t="str">
        <f ca="1">IFERROR(__xludf.DUMMYFUNCTION("""COMPUTED_VALUE"""),"Police Officer/SRO")</f>
        <v>Police Officer/SRO</v>
      </c>
      <c r="F881" s="5" t="str">
        <f ca="1">IFERROR(__xludf.DUMMYFUNCTION("""COMPUTED_VALUE"""),"Law Enforcement")</f>
        <v>Law Enforcement</v>
      </c>
      <c r="G881" s="5" t="str">
        <f ca="1">IFERROR(__xludf.DUMMYFUNCTION("""COMPUTED_VALUE"""),"No")</f>
        <v>No</v>
      </c>
      <c r="H881" s="5" t="str">
        <f ca="1">IFERROR(__xludf.DUMMYFUNCTION("""COMPUTED_VALUE"""),"Wounded")</f>
        <v>Wounded</v>
      </c>
    </row>
    <row r="882" spans="1:8">
      <c r="A882" s="5" t="str">
        <f ca="1">IFERROR(__xludf.DUMMYFUNCTION("""COMPUTED_VALUE"""),"20180214FLMAP")</f>
        <v>20180214FLMAP</v>
      </c>
      <c r="B882" s="5">
        <f ca="1">IFERROR(__xludf.DUMMYFUNCTION("""COMPUTED_VALUE"""),19)</f>
        <v>19</v>
      </c>
      <c r="C882" s="5" t="str">
        <f ca="1">IFERROR(__xludf.DUMMYFUNCTION("""COMPUTED_VALUE"""),"Male")</f>
        <v>Male</v>
      </c>
      <c r="D882" s="5" t="str">
        <f ca="1">IFERROR(__xludf.DUMMYFUNCTION("""COMPUTED_VALUE"""),"White")</f>
        <v>White</v>
      </c>
      <c r="E882" s="5" t="str">
        <f ca="1">IFERROR(__xludf.DUMMYFUNCTION("""COMPUTED_VALUE"""),"Former Student")</f>
        <v>Former Student</v>
      </c>
      <c r="F882" s="5" t="str">
        <f ca="1">IFERROR(__xludf.DUMMYFUNCTION("""COMPUTED_VALUE"""),"Fled/Apprehended")</f>
        <v>Fled/Apprehended</v>
      </c>
      <c r="G882" s="5" t="str">
        <f ca="1">IFERROR(__xludf.DUMMYFUNCTION("""COMPUTED_VALUE"""),"No")</f>
        <v>No</v>
      </c>
      <c r="H882" s="5" t="str">
        <f ca="1">IFERROR(__xludf.DUMMYFUNCTION("""COMPUTED_VALUE"""),"None")</f>
        <v>None</v>
      </c>
    </row>
    <row r="883" spans="1:8">
      <c r="A883" s="5" t="str">
        <f ca="1">IFERROR(__xludf.DUMMYFUNCTION("""COMPUTED_VALUE"""),"20180209TNPEN")</f>
        <v>20180209TNPEN</v>
      </c>
      <c r="B883" s="5">
        <f ca="1">IFERROR(__xludf.DUMMYFUNCTION("""COMPUTED_VALUE"""),14)</f>
        <v>14</v>
      </c>
      <c r="C883" s="5" t="str">
        <f ca="1">IFERROR(__xludf.DUMMYFUNCTION("""COMPUTED_VALUE"""),"Male")</f>
        <v>Male</v>
      </c>
      <c r="D883" s="5" t="str">
        <f ca="1">IFERROR(__xludf.DUMMYFUNCTION("""COMPUTED_VALUE"""),"Black")</f>
        <v>Black</v>
      </c>
      <c r="E883" s="5" t="str">
        <f ca="1">IFERROR(__xludf.DUMMYFUNCTION("""COMPUTED_VALUE"""),"Student")</f>
        <v>Student</v>
      </c>
      <c r="F883" s="5" t="str">
        <f ca="1">IFERROR(__xludf.DUMMYFUNCTION("""COMPUTED_VALUE"""),"Fled/Apprehended")</f>
        <v>Fled/Apprehended</v>
      </c>
      <c r="G883" s="5" t="str">
        <f ca="1">IFERROR(__xludf.DUMMYFUNCTION("""COMPUTED_VALUE"""),"No")</f>
        <v>No</v>
      </c>
      <c r="H883" s="5" t="str">
        <f ca="1">IFERROR(__xludf.DUMMYFUNCTION("""COMPUTED_VALUE"""),"None")</f>
        <v>None</v>
      </c>
    </row>
    <row r="884" spans="1:8">
      <c r="A884" s="5" t="str">
        <f ca="1">IFERROR(__xludf.DUMMYFUNCTION("""COMPUTED_VALUE"""),"20180208NYTHN")</f>
        <v>20180208NYTHN</v>
      </c>
      <c r="B884" s="5">
        <f ca="1">IFERROR(__xludf.DUMMYFUNCTION("""COMPUTED_VALUE"""),17)</f>
        <v>17</v>
      </c>
      <c r="C884" s="5" t="str">
        <f ca="1">IFERROR(__xludf.DUMMYFUNCTION("""COMPUTED_VALUE"""),"Male")</f>
        <v>Male</v>
      </c>
      <c r="D884" s="5"/>
      <c r="E884" s="5" t="str">
        <f ca="1">IFERROR(__xludf.DUMMYFUNCTION("""COMPUTED_VALUE"""),"Student")</f>
        <v>Student</v>
      </c>
      <c r="F884" s="5" t="str">
        <f ca="1">IFERROR(__xludf.DUMMYFUNCTION("""COMPUTED_VALUE"""),"Apprehended/Killed by LE")</f>
        <v>Apprehended/Killed by LE</v>
      </c>
      <c r="G884" s="5" t="str">
        <f ca="1">IFERROR(__xludf.DUMMYFUNCTION("""COMPUTED_VALUE"""),"No")</f>
        <v>No</v>
      </c>
      <c r="H884" s="5" t="str">
        <f ca="1">IFERROR(__xludf.DUMMYFUNCTION("""COMPUTED_VALUE"""),"None")</f>
        <v>None</v>
      </c>
    </row>
    <row r="885" spans="1:8">
      <c r="A885" s="5" t="str">
        <f ca="1">IFERROR(__xludf.DUMMYFUNCTION("""COMPUTED_VALUE"""),"20180205MNHAM")</f>
        <v>20180205MNHAM</v>
      </c>
      <c r="B885" s="5" t="str">
        <f ca="1">IFERROR(__xludf.DUMMYFUNCTION("""COMPUTED_VALUE"""),"Child")</f>
        <v>Child</v>
      </c>
      <c r="C885" s="5"/>
      <c r="D885" s="5"/>
      <c r="E885" s="5" t="str">
        <f ca="1">IFERROR(__xludf.DUMMYFUNCTION("""COMPUTED_VALUE"""),"Student")</f>
        <v>Student</v>
      </c>
      <c r="F885" s="5" t="str">
        <f ca="1">IFERROR(__xludf.DUMMYFUNCTION("""COMPUTED_VALUE"""),"Unknown")</f>
        <v>Unknown</v>
      </c>
      <c r="G885" s="5" t="str">
        <f ca="1">IFERROR(__xludf.DUMMYFUNCTION("""COMPUTED_VALUE"""),"No")</f>
        <v>No</v>
      </c>
      <c r="H885" s="5" t="str">
        <f ca="1">IFERROR(__xludf.DUMMYFUNCTION("""COMPUTED_VALUE"""),"None")</f>
        <v>None</v>
      </c>
    </row>
    <row r="886" spans="1:8">
      <c r="A886" s="5" t="str">
        <f ca="1">IFERROR(__xludf.DUMMYFUNCTION("""COMPUTED_VALUE"""),"20180205MDOXO")</f>
        <v>20180205MDOXO</v>
      </c>
      <c r="B886" s="5">
        <f ca="1">IFERROR(__xludf.DUMMYFUNCTION("""COMPUTED_VALUE"""),18)</f>
        <v>18</v>
      </c>
      <c r="C886" s="5" t="str">
        <f ca="1">IFERROR(__xludf.DUMMYFUNCTION("""COMPUTED_VALUE"""),"Multiple")</f>
        <v>Multiple</v>
      </c>
      <c r="D886" s="5" t="str">
        <f ca="1">IFERROR(__xludf.DUMMYFUNCTION("""COMPUTED_VALUE"""),"Black")</f>
        <v>Black</v>
      </c>
      <c r="E886" s="5" t="str">
        <f ca="1">IFERROR(__xludf.DUMMYFUNCTION("""COMPUTED_VALUE"""),"Intimate Relationship")</f>
        <v>Intimate Relationship</v>
      </c>
      <c r="F886" s="5" t="str">
        <f ca="1">IFERROR(__xludf.DUMMYFUNCTION("""COMPUTED_VALUE"""),"Fled/Apprehended")</f>
        <v>Fled/Apprehended</v>
      </c>
      <c r="G886" s="5" t="str">
        <f ca="1">IFERROR(__xludf.DUMMYFUNCTION("""COMPUTED_VALUE"""),"No")</f>
        <v>No</v>
      </c>
      <c r="H886" s="5" t="str">
        <f ca="1">IFERROR(__xludf.DUMMYFUNCTION("""COMPUTED_VALUE"""),"None")</f>
        <v>None</v>
      </c>
    </row>
    <row r="887" spans="1:8">
      <c r="A887" s="5" t="str">
        <f ca="1">IFERROR(__xludf.DUMMYFUNCTION("""COMPUTED_VALUE"""),"20180205MDOXO")</f>
        <v>20180205MDOXO</v>
      </c>
      <c r="B887" s="5">
        <f ca="1">IFERROR(__xludf.DUMMYFUNCTION("""COMPUTED_VALUE"""),17)</f>
        <v>17</v>
      </c>
      <c r="C887" s="5" t="str">
        <f ca="1">IFERROR(__xludf.DUMMYFUNCTION("""COMPUTED_VALUE"""),"Multiple")</f>
        <v>Multiple</v>
      </c>
      <c r="D887" s="5" t="str">
        <f ca="1">IFERROR(__xludf.DUMMYFUNCTION("""COMPUTED_VALUE"""),"Black")</f>
        <v>Black</v>
      </c>
      <c r="E887" s="5" t="str">
        <f ca="1">IFERROR(__xludf.DUMMYFUNCTION("""COMPUTED_VALUE"""),"Intimate Relationship")</f>
        <v>Intimate Relationship</v>
      </c>
      <c r="F887" s="5" t="str">
        <f ca="1">IFERROR(__xludf.DUMMYFUNCTION("""COMPUTED_VALUE"""),"Fled/Apprehended")</f>
        <v>Fled/Apprehended</v>
      </c>
      <c r="G887" s="5" t="str">
        <f ca="1">IFERROR(__xludf.DUMMYFUNCTION("""COMPUTED_VALUE"""),"No")</f>
        <v>No</v>
      </c>
      <c r="H887" s="5" t="str">
        <f ca="1">IFERROR(__xludf.DUMMYFUNCTION("""COMPUTED_VALUE"""),"None")</f>
        <v>None</v>
      </c>
    </row>
    <row r="888" spans="1:8">
      <c r="A888" s="5" t="str">
        <f ca="1">IFERROR(__xludf.DUMMYFUNCTION("""COMPUTED_VALUE"""),"20180201CASAL")</f>
        <v>20180201CASAL</v>
      </c>
      <c r="B888" s="5">
        <f ca="1">IFERROR(__xludf.DUMMYFUNCTION("""COMPUTED_VALUE"""),12)</f>
        <v>12</v>
      </c>
      <c r="C888" s="5" t="str">
        <f ca="1">IFERROR(__xludf.DUMMYFUNCTION("""COMPUTED_VALUE"""),"Female")</f>
        <v>Female</v>
      </c>
      <c r="D888" s="5"/>
      <c r="E888" s="5" t="str">
        <f ca="1">IFERROR(__xludf.DUMMYFUNCTION("""COMPUTED_VALUE"""),"Student")</f>
        <v>Student</v>
      </c>
      <c r="F888" s="5" t="str">
        <f ca="1">IFERROR(__xludf.DUMMYFUNCTION("""COMPUTED_VALUE"""),"Unknown")</f>
        <v>Unknown</v>
      </c>
      <c r="G888" s="5" t="str">
        <f ca="1">IFERROR(__xludf.DUMMYFUNCTION("""COMPUTED_VALUE"""),"No")</f>
        <v>No</v>
      </c>
      <c r="H888" s="5" t="str">
        <f ca="1">IFERROR(__xludf.DUMMYFUNCTION("""COMPUTED_VALUE"""),"None")</f>
        <v>None</v>
      </c>
    </row>
    <row r="889" spans="1:8">
      <c r="A889" s="5" t="str">
        <f ca="1">IFERROR(__xludf.DUMMYFUNCTION("""COMPUTED_VALUE"""),"20180131PALIP")</f>
        <v>20180131PALIP</v>
      </c>
      <c r="B889" s="5"/>
      <c r="C889" s="5"/>
      <c r="D889" s="5"/>
      <c r="E889" s="5" t="str">
        <f ca="1">IFERROR(__xludf.DUMMYFUNCTION("""COMPUTED_VALUE"""),"Unknown")</f>
        <v>Unknown</v>
      </c>
      <c r="F889" s="5" t="str">
        <f ca="1">IFERROR(__xludf.DUMMYFUNCTION("""COMPUTED_VALUE"""),"Fled/Escaped")</f>
        <v>Fled/Escaped</v>
      </c>
      <c r="G889" s="5" t="str">
        <f ca="1">IFERROR(__xludf.DUMMYFUNCTION("""COMPUTED_VALUE"""),"No")</f>
        <v>No</v>
      </c>
      <c r="H889" s="5" t="str">
        <f ca="1">IFERROR(__xludf.DUMMYFUNCTION("""COMPUTED_VALUE"""),"None")</f>
        <v>None</v>
      </c>
    </row>
    <row r="890" spans="1:8">
      <c r="A890" s="5" t="str">
        <f ca="1">IFERROR(__xludf.DUMMYFUNCTION("""COMPUTED_VALUE"""),"20180131PALIP")</f>
        <v>20180131PALIP</v>
      </c>
      <c r="B890" s="5"/>
      <c r="C890" s="5"/>
      <c r="D890" s="5"/>
      <c r="E890" s="5" t="str">
        <f ca="1">IFERROR(__xludf.DUMMYFUNCTION("""COMPUTED_VALUE"""),"Unknown")</f>
        <v>Unknown</v>
      </c>
      <c r="F890" s="5" t="str">
        <f ca="1">IFERROR(__xludf.DUMMYFUNCTION("""COMPUTED_VALUE"""),"Fled/Escaped")</f>
        <v>Fled/Escaped</v>
      </c>
      <c r="G890" s="5" t="str">
        <f ca="1">IFERROR(__xludf.DUMMYFUNCTION("""COMPUTED_VALUE"""),"No")</f>
        <v>No</v>
      </c>
      <c r="H890" s="5" t="str">
        <f ca="1">IFERROR(__xludf.DUMMYFUNCTION("""COMPUTED_VALUE"""),"None")</f>
        <v>None</v>
      </c>
    </row>
    <row r="891" spans="1:8">
      <c r="A891" s="5" t="str">
        <f ca="1">IFERROR(__xludf.DUMMYFUNCTION("""COMPUTED_VALUE"""),"20180131PALIP")</f>
        <v>20180131PALIP</v>
      </c>
      <c r="B891" s="5"/>
      <c r="C891" s="5"/>
      <c r="D891" s="5"/>
      <c r="E891" s="5" t="str">
        <f ca="1">IFERROR(__xludf.DUMMYFUNCTION("""COMPUTED_VALUE"""),"Unknown")</f>
        <v>Unknown</v>
      </c>
      <c r="F891" s="5" t="str">
        <f ca="1">IFERROR(__xludf.DUMMYFUNCTION("""COMPUTED_VALUE"""),"Fled/Escaped")</f>
        <v>Fled/Escaped</v>
      </c>
      <c r="G891" s="5" t="str">
        <f ca="1">IFERROR(__xludf.DUMMYFUNCTION("""COMPUTED_VALUE"""),"No")</f>
        <v>No</v>
      </c>
      <c r="H891" s="5" t="str">
        <f ca="1">IFERROR(__xludf.DUMMYFUNCTION("""COMPUTED_VALUE"""),"None")</f>
        <v>None</v>
      </c>
    </row>
    <row r="892" spans="1:8">
      <c r="A892" s="5" t="str">
        <f ca="1">IFERROR(__xludf.DUMMYFUNCTION("""COMPUTED_VALUE"""),"20180126MIDED")</f>
        <v>20180126MIDED</v>
      </c>
      <c r="B892" s="5" t="str">
        <f ca="1">IFERROR(__xludf.DUMMYFUNCTION("""COMPUTED_VALUE"""),"Teen")</f>
        <v>Teen</v>
      </c>
      <c r="C892" s="5" t="str">
        <f ca="1">IFERROR(__xludf.DUMMYFUNCTION("""COMPUTED_VALUE"""),"Male")</f>
        <v>Male</v>
      </c>
      <c r="D892" s="5"/>
      <c r="E892" s="5" t="str">
        <f ca="1">IFERROR(__xludf.DUMMYFUNCTION("""COMPUTED_VALUE"""),"Rival School Student")</f>
        <v>Rival School Student</v>
      </c>
      <c r="F892" s="5" t="str">
        <f ca="1">IFERROR(__xludf.DUMMYFUNCTION("""COMPUTED_VALUE"""),"Fled/Escaped")</f>
        <v>Fled/Escaped</v>
      </c>
      <c r="G892" s="5" t="str">
        <f ca="1">IFERROR(__xludf.DUMMYFUNCTION("""COMPUTED_VALUE"""),"No")</f>
        <v>No</v>
      </c>
      <c r="H892" s="5" t="str">
        <f ca="1">IFERROR(__xludf.DUMMYFUNCTION("""COMPUTED_VALUE"""),"None")</f>
        <v>None</v>
      </c>
    </row>
    <row r="893" spans="1:8">
      <c r="A893" s="5" t="str">
        <f ca="1">IFERROR(__xludf.DUMMYFUNCTION("""COMPUTED_VALUE"""),"20180125ALMUM")</f>
        <v>20180125ALMUM</v>
      </c>
      <c r="B893" s="5">
        <f ca="1">IFERROR(__xludf.DUMMYFUNCTION("""COMPUTED_VALUE"""),16)</f>
        <v>16</v>
      </c>
      <c r="C893" s="5" t="str">
        <f ca="1">IFERROR(__xludf.DUMMYFUNCTION("""COMPUTED_VALUE"""),"Male")</f>
        <v>Male</v>
      </c>
      <c r="D893" s="5" t="str">
        <f ca="1">IFERROR(__xludf.DUMMYFUNCTION("""COMPUTED_VALUE"""),"Black")</f>
        <v>Black</v>
      </c>
      <c r="E893" s="5" t="str">
        <f ca="1">IFERROR(__xludf.DUMMYFUNCTION("""COMPUTED_VALUE"""),"Student")</f>
        <v>Student</v>
      </c>
      <c r="F893" s="5" t="str">
        <f ca="1">IFERROR(__xludf.DUMMYFUNCTION("""COMPUTED_VALUE"""),"Apprehended/Killed by LE")</f>
        <v>Apprehended/Killed by LE</v>
      </c>
      <c r="G893" s="5" t="str">
        <f ca="1">IFERROR(__xludf.DUMMYFUNCTION("""COMPUTED_VALUE"""),"No")</f>
        <v>No</v>
      </c>
      <c r="H893" s="5" t="str">
        <f ca="1">IFERROR(__xludf.DUMMYFUNCTION("""COMPUTED_VALUE"""),"None")</f>
        <v>None</v>
      </c>
    </row>
    <row r="894" spans="1:8">
      <c r="A894" s="5" t="str">
        <f ca="1">IFERROR(__xludf.DUMMYFUNCTION("""COMPUTED_VALUE"""),"20180123KYMAB")</f>
        <v>20180123KYMAB</v>
      </c>
      <c r="B894" s="5">
        <f ca="1">IFERROR(__xludf.DUMMYFUNCTION("""COMPUTED_VALUE"""),15)</f>
        <v>15</v>
      </c>
      <c r="C894" s="5" t="str">
        <f ca="1">IFERROR(__xludf.DUMMYFUNCTION("""COMPUTED_VALUE"""),"Male")</f>
        <v>Male</v>
      </c>
      <c r="D894" s="5" t="str">
        <f ca="1">IFERROR(__xludf.DUMMYFUNCTION("""COMPUTED_VALUE"""),"White")</f>
        <v>White</v>
      </c>
      <c r="E894" s="5" t="str">
        <f ca="1">IFERROR(__xludf.DUMMYFUNCTION("""COMPUTED_VALUE"""),"Student")</f>
        <v>Student</v>
      </c>
      <c r="F894" s="5" t="str">
        <f ca="1">IFERROR(__xludf.DUMMYFUNCTION("""COMPUTED_VALUE"""),"Surrendered")</f>
        <v>Surrendered</v>
      </c>
      <c r="G894" s="5" t="str">
        <f ca="1">IFERROR(__xludf.DUMMYFUNCTION("""COMPUTED_VALUE"""),"No")</f>
        <v>No</v>
      </c>
      <c r="H894" s="5" t="str">
        <f ca="1">IFERROR(__xludf.DUMMYFUNCTION("""COMPUTED_VALUE"""),"None")</f>
        <v>None</v>
      </c>
    </row>
    <row r="895" spans="1:8">
      <c r="A895" s="5" t="str">
        <f ca="1">IFERROR(__xludf.DUMMYFUNCTION("""COMPUTED_VALUE"""),"20180122TXITI")</f>
        <v>20180122TXITI</v>
      </c>
      <c r="B895" s="5">
        <f ca="1">IFERROR(__xludf.DUMMYFUNCTION("""COMPUTED_VALUE"""),16)</f>
        <v>16</v>
      </c>
      <c r="C895" s="5" t="str">
        <f ca="1">IFERROR(__xludf.DUMMYFUNCTION("""COMPUTED_VALUE"""),"Male")</f>
        <v>Male</v>
      </c>
      <c r="D895" s="5" t="str">
        <f ca="1">IFERROR(__xludf.DUMMYFUNCTION("""COMPUTED_VALUE"""),"White")</f>
        <v>White</v>
      </c>
      <c r="E895" s="5" t="str">
        <f ca="1">IFERROR(__xludf.DUMMYFUNCTION("""COMPUTED_VALUE"""),"Student")</f>
        <v>Student</v>
      </c>
      <c r="F895" s="5" t="str">
        <f ca="1">IFERROR(__xludf.DUMMYFUNCTION("""COMPUTED_VALUE"""),"Fled/Apprehended")</f>
        <v>Fled/Apprehended</v>
      </c>
      <c r="G895" s="5" t="str">
        <f ca="1">IFERROR(__xludf.DUMMYFUNCTION("""COMPUTED_VALUE"""),"No")</f>
        <v>No</v>
      </c>
      <c r="H895" s="5" t="str">
        <f ca="1">IFERROR(__xludf.DUMMYFUNCTION("""COMPUTED_VALUE"""),"None")</f>
        <v>None</v>
      </c>
    </row>
    <row r="896" spans="1:8">
      <c r="A896" s="5" t="str">
        <f ca="1">IFERROR(__xludf.DUMMYFUNCTION("""COMPUTED_VALUE"""),"20180122LANEN")</f>
        <v>20180122LANEN</v>
      </c>
      <c r="B896" s="5"/>
      <c r="C896" s="5" t="str">
        <f ca="1">IFERROR(__xludf.DUMMYFUNCTION("""COMPUTED_VALUE"""),"Male")</f>
        <v>Male</v>
      </c>
      <c r="D896" s="5"/>
      <c r="E896" s="5" t="str">
        <f ca="1">IFERROR(__xludf.DUMMYFUNCTION("""COMPUTED_VALUE"""),"Unknown")</f>
        <v>Unknown</v>
      </c>
      <c r="F896" s="5" t="str">
        <f ca="1">IFERROR(__xludf.DUMMYFUNCTION("""COMPUTED_VALUE"""),"Fled/Escaped")</f>
        <v>Fled/Escaped</v>
      </c>
      <c r="G896" s="5" t="str">
        <f ca="1">IFERROR(__xludf.DUMMYFUNCTION("""COMPUTED_VALUE"""),"No")</f>
        <v>No</v>
      </c>
      <c r="H896" s="5" t="str">
        <f ca="1">IFERROR(__xludf.DUMMYFUNCTION("""COMPUTED_VALUE"""),"None")</f>
        <v>None</v>
      </c>
    </row>
    <row r="897" spans="1:8">
      <c r="A897" s="5" t="str">
        <f ca="1">IFERROR(__xludf.DUMMYFUNCTION("""COMPUTED_VALUE"""),"20180116VTMOM")</f>
        <v>20180116VTMOM</v>
      </c>
      <c r="B897" s="5">
        <f ca="1">IFERROR(__xludf.DUMMYFUNCTION("""COMPUTED_VALUE"""),32)</f>
        <v>32</v>
      </c>
      <c r="C897" s="5" t="str">
        <f ca="1">IFERROR(__xludf.DUMMYFUNCTION("""COMPUTED_VALUE"""),"Male")</f>
        <v>Male</v>
      </c>
      <c r="D897" s="5" t="str">
        <f ca="1">IFERROR(__xludf.DUMMYFUNCTION("""COMPUTED_VALUE"""),"White")</f>
        <v>White</v>
      </c>
      <c r="E897" s="5" t="str">
        <f ca="1">IFERROR(__xludf.DUMMYFUNCTION("""COMPUTED_VALUE"""),"No Relation")</f>
        <v>No Relation</v>
      </c>
      <c r="F897" s="5" t="str">
        <f ca="1">IFERROR(__xludf.DUMMYFUNCTION("""COMPUTED_VALUE"""),"Apprehended/Killed by LE")</f>
        <v>Apprehended/Killed by LE</v>
      </c>
      <c r="G897" s="5" t="str">
        <f ca="1">IFERROR(__xludf.DUMMYFUNCTION("""COMPUTED_VALUE"""),"Yes")</f>
        <v>Yes</v>
      </c>
      <c r="H897" s="5" t="str">
        <f ca="1">IFERROR(__xludf.DUMMYFUNCTION("""COMPUTED_VALUE"""),"Fatal")</f>
        <v>Fatal</v>
      </c>
    </row>
    <row r="898" spans="1:8">
      <c r="A898" s="5" t="str">
        <f ca="1">IFERROR(__xludf.DUMMYFUNCTION("""COMPUTED_VALUE"""),"20180109AZCOS")</f>
        <v>20180109AZCOS</v>
      </c>
      <c r="B898" s="5">
        <f ca="1">IFERROR(__xludf.DUMMYFUNCTION("""COMPUTED_VALUE"""),14)</f>
        <v>14</v>
      </c>
      <c r="C898" s="5" t="str">
        <f ca="1">IFERROR(__xludf.DUMMYFUNCTION("""COMPUTED_VALUE"""),"Male")</f>
        <v>Male</v>
      </c>
      <c r="D898" s="5"/>
      <c r="E898" s="5" t="str">
        <f ca="1">IFERROR(__xludf.DUMMYFUNCTION("""COMPUTED_VALUE"""),"Student")</f>
        <v>Student</v>
      </c>
      <c r="F898" s="5" t="str">
        <f ca="1">IFERROR(__xludf.DUMMYFUNCTION("""COMPUTED_VALUE"""),"Suicide")</f>
        <v>Suicide</v>
      </c>
      <c r="G898" s="5" t="str">
        <f ca="1">IFERROR(__xludf.DUMMYFUNCTION("""COMPUTED_VALUE"""),"Yes")</f>
        <v>Yes</v>
      </c>
      <c r="H898" s="5" t="str">
        <f ca="1">IFERROR(__xludf.DUMMYFUNCTION("""COMPUTED_VALUE"""),"Suicide")</f>
        <v>Suicide</v>
      </c>
    </row>
    <row r="899" spans="1:8">
      <c r="A899" s="5" t="str">
        <f ca="1">IFERROR(__xludf.DUMMYFUNCTION("""COMPUTED_VALUE"""),"20180105IAFOF")</f>
        <v>20180105IAFOF</v>
      </c>
      <c r="B899" s="5">
        <f ca="1">IFERROR(__xludf.DUMMYFUNCTION("""COMPUTED_VALUE"""),33)</f>
        <v>33</v>
      </c>
      <c r="C899" s="5" t="str">
        <f ca="1">IFERROR(__xludf.DUMMYFUNCTION("""COMPUTED_VALUE"""),"Male")</f>
        <v>Male</v>
      </c>
      <c r="D899" s="5" t="str">
        <f ca="1">IFERROR(__xludf.DUMMYFUNCTION("""COMPUTED_VALUE"""),"White")</f>
        <v>White</v>
      </c>
      <c r="E899" s="5" t="str">
        <f ca="1">IFERROR(__xludf.DUMMYFUNCTION("""COMPUTED_VALUE"""),"No Relation")</f>
        <v>No Relation</v>
      </c>
      <c r="F899" s="5" t="str">
        <f ca="1">IFERROR(__xludf.DUMMYFUNCTION("""COMPUTED_VALUE"""),"Fled/Apprehended")</f>
        <v>Fled/Apprehended</v>
      </c>
      <c r="G899" s="5" t="str">
        <f ca="1">IFERROR(__xludf.DUMMYFUNCTION("""COMPUTED_VALUE"""),"No")</f>
        <v>No</v>
      </c>
      <c r="H899" s="5" t="str">
        <f ca="1">IFERROR(__xludf.DUMMYFUNCTION("""COMPUTED_VALUE"""),"None")</f>
        <v>None</v>
      </c>
    </row>
    <row r="900" spans="1:8">
      <c r="A900" s="5" t="str">
        <f ca="1">IFERROR(__xludf.DUMMYFUNCTION("""COMPUTED_VALUE"""),"20180104WANES")</f>
        <v>20180104WANES</v>
      </c>
      <c r="B900" s="5"/>
      <c r="C900" s="5"/>
      <c r="D900" s="5"/>
      <c r="E900" s="5" t="str">
        <f ca="1">IFERROR(__xludf.DUMMYFUNCTION("""COMPUTED_VALUE"""),"Unknown")</f>
        <v>Unknown</v>
      </c>
      <c r="F900" s="5" t="str">
        <f ca="1">IFERROR(__xludf.DUMMYFUNCTION("""COMPUTED_VALUE"""),"Fled/Escaped")</f>
        <v>Fled/Escaped</v>
      </c>
      <c r="G900" s="5" t="str">
        <f ca="1">IFERROR(__xludf.DUMMYFUNCTION("""COMPUTED_VALUE"""),"No")</f>
        <v>No</v>
      </c>
      <c r="H900" s="5" t="str">
        <f ca="1">IFERROR(__xludf.DUMMYFUNCTION("""COMPUTED_VALUE"""),"None")</f>
        <v>None</v>
      </c>
    </row>
    <row r="901" spans="1:8">
      <c r="A901" s="5" t="str">
        <f ca="1">IFERROR(__xludf.DUMMYFUNCTION("""COMPUTED_VALUE"""),"20171231WAPIM")</f>
        <v>20171231WAPIM</v>
      </c>
      <c r="B901" s="5">
        <f ca="1">IFERROR(__xludf.DUMMYFUNCTION("""COMPUTED_VALUE"""),19)</f>
        <v>19</v>
      </c>
      <c r="C901" s="5" t="str">
        <f ca="1">IFERROR(__xludf.DUMMYFUNCTION("""COMPUTED_VALUE"""),"Male")</f>
        <v>Male</v>
      </c>
      <c r="D901" s="5"/>
      <c r="E901" s="5" t="str">
        <f ca="1">IFERROR(__xludf.DUMMYFUNCTION("""COMPUTED_VALUE"""),"No Relation")</f>
        <v>No Relation</v>
      </c>
      <c r="F901" s="5" t="str">
        <f ca="1">IFERROR(__xludf.DUMMYFUNCTION("""COMPUTED_VALUE"""),"Fled/Apprehended")</f>
        <v>Fled/Apprehended</v>
      </c>
      <c r="G901" s="5" t="str">
        <f ca="1">IFERROR(__xludf.DUMMYFUNCTION("""COMPUTED_VALUE"""),"No")</f>
        <v>No</v>
      </c>
      <c r="H901" s="5" t="str">
        <f ca="1">IFERROR(__xludf.DUMMYFUNCTION("""COMPUTED_VALUE"""),"None")</f>
        <v>None</v>
      </c>
    </row>
    <row r="902" spans="1:8">
      <c r="A902" s="5" t="str">
        <f ca="1">IFERROR(__xludf.DUMMYFUNCTION("""COMPUTED_VALUE"""),"20171231WAPIM")</f>
        <v>20171231WAPIM</v>
      </c>
      <c r="B902" s="5">
        <f ca="1">IFERROR(__xludf.DUMMYFUNCTION("""COMPUTED_VALUE"""),18)</f>
        <v>18</v>
      </c>
      <c r="C902" s="5" t="str">
        <f ca="1">IFERROR(__xludf.DUMMYFUNCTION("""COMPUTED_VALUE"""),"Male")</f>
        <v>Male</v>
      </c>
      <c r="D902" s="5"/>
      <c r="E902" s="5" t="str">
        <f ca="1">IFERROR(__xludf.DUMMYFUNCTION("""COMPUTED_VALUE"""),"No Relation")</f>
        <v>No Relation</v>
      </c>
      <c r="F902" s="5" t="str">
        <f ca="1">IFERROR(__xludf.DUMMYFUNCTION("""COMPUTED_VALUE"""),"Fled/Apprehended")</f>
        <v>Fled/Apprehended</v>
      </c>
      <c r="G902" s="5" t="str">
        <f ca="1">IFERROR(__xludf.DUMMYFUNCTION("""COMPUTED_VALUE"""),"No")</f>
        <v>No</v>
      </c>
      <c r="H902" s="5" t="str">
        <f ca="1">IFERROR(__xludf.DUMMYFUNCTION("""COMPUTED_VALUE"""),"None")</f>
        <v>None</v>
      </c>
    </row>
    <row r="903" spans="1:8">
      <c r="A903" s="5" t="str">
        <f ca="1">IFERROR(__xludf.DUMMYFUNCTION("""COMPUTED_VALUE"""),"20171231LAEDA")</f>
        <v>20171231LAEDA</v>
      </c>
      <c r="B903" s="5" t="str">
        <f ca="1">IFERROR(__xludf.DUMMYFUNCTION("""COMPUTED_VALUE"""),"Adult")</f>
        <v>Adult</v>
      </c>
      <c r="C903" s="5" t="str">
        <f ca="1">IFERROR(__xludf.DUMMYFUNCTION("""COMPUTED_VALUE"""),"Male")</f>
        <v>Male</v>
      </c>
      <c r="D903" s="5"/>
      <c r="E903" s="5" t="str">
        <f ca="1">IFERROR(__xludf.DUMMYFUNCTION("""COMPUTED_VALUE"""),"No Relation")</f>
        <v>No Relation</v>
      </c>
      <c r="F903" s="5" t="str">
        <f ca="1">IFERROR(__xludf.DUMMYFUNCTION("""COMPUTED_VALUE"""),"Fled/Escaped")</f>
        <v>Fled/Escaped</v>
      </c>
      <c r="G903" s="5" t="str">
        <f ca="1">IFERROR(__xludf.DUMMYFUNCTION("""COMPUTED_VALUE"""),"No")</f>
        <v>No</v>
      </c>
      <c r="H903" s="5" t="str">
        <f ca="1">IFERROR(__xludf.DUMMYFUNCTION("""COMPUTED_VALUE"""),"None")</f>
        <v>None</v>
      </c>
    </row>
    <row r="904" spans="1:8">
      <c r="A904" s="5" t="str">
        <f ca="1">IFERROR(__xludf.DUMMYFUNCTION("""COMPUTED_VALUE"""),"20171227CALIL")</f>
        <v>20171227CALIL</v>
      </c>
      <c r="B904" s="5" t="str">
        <f ca="1">IFERROR(__xludf.DUMMYFUNCTION("""COMPUTED_VALUE"""),"Adult")</f>
        <v>Adult</v>
      </c>
      <c r="C904" s="5" t="str">
        <f ca="1">IFERROR(__xludf.DUMMYFUNCTION("""COMPUTED_VALUE"""),"Male")</f>
        <v>Male</v>
      </c>
      <c r="D904" s="5"/>
      <c r="E904" s="5" t="str">
        <f ca="1">IFERROR(__xludf.DUMMYFUNCTION("""COMPUTED_VALUE"""),"Unknown")</f>
        <v>Unknown</v>
      </c>
      <c r="F904" s="5" t="str">
        <f ca="1">IFERROR(__xludf.DUMMYFUNCTION("""COMPUTED_VALUE"""),"Fled/Escaped")</f>
        <v>Fled/Escaped</v>
      </c>
      <c r="G904" s="5" t="str">
        <f ca="1">IFERROR(__xludf.DUMMYFUNCTION("""COMPUTED_VALUE"""),"No")</f>
        <v>No</v>
      </c>
      <c r="H904" s="5" t="str">
        <f ca="1">IFERROR(__xludf.DUMMYFUNCTION("""COMPUTED_VALUE"""),"None")</f>
        <v>None</v>
      </c>
    </row>
    <row r="905" spans="1:8">
      <c r="A905" s="5" t="str">
        <f ca="1">IFERROR(__xludf.DUMMYFUNCTION("""COMPUTED_VALUE"""),"20171219MIBEB")</f>
        <v>20171219MIBEB</v>
      </c>
      <c r="B905" s="5"/>
      <c r="C905" s="5"/>
      <c r="D905" s="5"/>
      <c r="E905" s="5" t="str">
        <f ca="1">IFERROR(__xludf.DUMMYFUNCTION("""COMPUTED_VALUE"""),"Unknown")</f>
        <v>Unknown</v>
      </c>
      <c r="F905" s="5" t="str">
        <f ca="1">IFERROR(__xludf.DUMMYFUNCTION("""COMPUTED_VALUE"""),"Fled/Escaped")</f>
        <v>Fled/Escaped</v>
      </c>
      <c r="G905" s="5" t="str">
        <f ca="1">IFERROR(__xludf.DUMMYFUNCTION("""COMPUTED_VALUE"""),"No")</f>
        <v>No</v>
      </c>
      <c r="H905" s="5" t="str">
        <f ca="1">IFERROR(__xludf.DUMMYFUNCTION("""COMPUTED_VALUE"""),"None")</f>
        <v>None</v>
      </c>
    </row>
    <row r="906" spans="1:8">
      <c r="A906" s="5" t="str">
        <f ca="1">IFERROR(__xludf.DUMMYFUNCTION("""COMPUTED_VALUE"""),"20171214TXELD")</f>
        <v>20171214TXELD</v>
      </c>
      <c r="B906" s="5" t="str">
        <f ca="1">IFERROR(__xludf.DUMMYFUNCTION("""COMPUTED_VALUE"""),"Child")</f>
        <v>Child</v>
      </c>
      <c r="C906" s="5"/>
      <c r="D906" s="5"/>
      <c r="E906" s="5" t="str">
        <f ca="1">IFERROR(__xludf.DUMMYFUNCTION("""COMPUTED_VALUE"""),"Student")</f>
        <v>Student</v>
      </c>
      <c r="F906" s="5" t="str">
        <f ca="1">IFERROR(__xludf.DUMMYFUNCTION("""COMPUTED_VALUE"""),"Unknown")</f>
        <v>Unknown</v>
      </c>
      <c r="G906" s="5" t="str">
        <f ca="1">IFERROR(__xludf.DUMMYFUNCTION("""COMPUTED_VALUE"""),"No")</f>
        <v>No</v>
      </c>
      <c r="H906" s="5" t="str">
        <f ca="1">IFERROR(__xludf.DUMMYFUNCTION("""COMPUTED_VALUE"""),"None")</f>
        <v>None</v>
      </c>
    </row>
    <row r="907" spans="1:8">
      <c r="A907" s="5" t="str">
        <f ca="1">IFERROR(__xludf.DUMMYFUNCTION("""COMPUTED_VALUE"""),"20171212TXSAP")</f>
        <v>20171212TXSAP</v>
      </c>
      <c r="B907" s="5">
        <f ca="1">IFERROR(__xludf.DUMMYFUNCTION("""COMPUTED_VALUE"""),21)</f>
        <v>21</v>
      </c>
      <c r="C907" s="5" t="str">
        <f ca="1">IFERROR(__xludf.DUMMYFUNCTION("""COMPUTED_VALUE"""),"Male")</f>
        <v>Male</v>
      </c>
      <c r="D907" s="5"/>
      <c r="E907" s="5" t="str">
        <f ca="1">IFERROR(__xludf.DUMMYFUNCTION("""COMPUTED_VALUE"""),"Relative")</f>
        <v>Relative</v>
      </c>
      <c r="F907" s="5" t="str">
        <f ca="1">IFERROR(__xludf.DUMMYFUNCTION("""COMPUTED_VALUE"""),"Surrendered")</f>
        <v>Surrendered</v>
      </c>
      <c r="G907" s="5" t="str">
        <f ca="1">IFERROR(__xludf.DUMMYFUNCTION("""COMPUTED_VALUE"""),"No")</f>
        <v>No</v>
      </c>
      <c r="H907" s="5" t="str">
        <f ca="1">IFERROR(__xludf.DUMMYFUNCTION("""COMPUTED_VALUE"""),"Wounded")</f>
        <v>Wounded</v>
      </c>
    </row>
    <row r="908" spans="1:8">
      <c r="A908" s="5" t="str">
        <f ca="1">IFERROR(__xludf.DUMMYFUNCTION("""COMPUTED_VALUE"""),"20171212TXSAP")</f>
        <v>20171212TXSAP</v>
      </c>
      <c r="B908" s="5">
        <f ca="1">IFERROR(__xludf.DUMMYFUNCTION("""COMPUTED_VALUE"""),20)</f>
        <v>20</v>
      </c>
      <c r="C908" s="5" t="str">
        <f ca="1">IFERROR(__xludf.DUMMYFUNCTION("""COMPUTED_VALUE"""),"Male")</f>
        <v>Male</v>
      </c>
      <c r="D908" s="5"/>
      <c r="E908" s="5" t="str">
        <f ca="1">IFERROR(__xludf.DUMMYFUNCTION("""COMPUTED_VALUE"""),"Relative")</f>
        <v>Relative</v>
      </c>
      <c r="F908" s="5" t="str">
        <f ca="1">IFERROR(__xludf.DUMMYFUNCTION("""COMPUTED_VALUE"""),"Surrendered")</f>
        <v>Surrendered</v>
      </c>
      <c r="G908" s="5" t="str">
        <f ca="1">IFERROR(__xludf.DUMMYFUNCTION("""COMPUTED_VALUE"""),"No")</f>
        <v>No</v>
      </c>
      <c r="H908" s="5" t="str">
        <f ca="1">IFERROR(__xludf.DUMMYFUNCTION("""COMPUTED_VALUE"""),"Wounded")</f>
        <v>Wounded</v>
      </c>
    </row>
    <row r="909" spans="1:8">
      <c r="A909" s="5" t="str">
        <f ca="1">IFERROR(__xludf.DUMMYFUNCTION("""COMPUTED_VALUE"""),"20171211NCHIH")</f>
        <v>20171211NCHIH</v>
      </c>
      <c r="B909" s="5">
        <f ca="1">IFERROR(__xludf.DUMMYFUNCTION("""COMPUTED_VALUE"""),15)</f>
        <v>15</v>
      </c>
      <c r="C909" s="5" t="str">
        <f ca="1">IFERROR(__xludf.DUMMYFUNCTION("""COMPUTED_VALUE"""),"Male")</f>
        <v>Male</v>
      </c>
      <c r="D909" s="5" t="str">
        <f ca="1">IFERROR(__xludf.DUMMYFUNCTION("""COMPUTED_VALUE"""),"Black")</f>
        <v>Black</v>
      </c>
      <c r="E909" s="5" t="str">
        <f ca="1">IFERROR(__xludf.DUMMYFUNCTION("""COMPUTED_VALUE"""),"Unknown")</f>
        <v>Unknown</v>
      </c>
      <c r="F909" s="5" t="str">
        <f ca="1">IFERROR(__xludf.DUMMYFUNCTION("""COMPUTED_VALUE"""),"Fled/Apprehended")</f>
        <v>Fled/Apprehended</v>
      </c>
      <c r="G909" s="5" t="str">
        <f ca="1">IFERROR(__xludf.DUMMYFUNCTION("""COMPUTED_VALUE"""),"No")</f>
        <v>No</v>
      </c>
      <c r="H909" s="5" t="str">
        <f ca="1">IFERROR(__xludf.DUMMYFUNCTION("""COMPUTED_VALUE"""),"None")</f>
        <v>None</v>
      </c>
    </row>
    <row r="910" spans="1:8">
      <c r="A910" s="5" t="str">
        <f ca="1">IFERROR(__xludf.DUMMYFUNCTION("""COMPUTED_VALUE"""),"20171211NCHIH")</f>
        <v>20171211NCHIH</v>
      </c>
      <c r="B910" s="5">
        <f ca="1">IFERROR(__xludf.DUMMYFUNCTION("""COMPUTED_VALUE"""),15)</f>
        <v>15</v>
      </c>
      <c r="C910" s="5" t="str">
        <f ca="1">IFERROR(__xludf.DUMMYFUNCTION("""COMPUTED_VALUE"""),"Male")</f>
        <v>Male</v>
      </c>
      <c r="D910" s="5" t="str">
        <f ca="1">IFERROR(__xludf.DUMMYFUNCTION("""COMPUTED_VALUE"""),"Black")</f>
        <v>Black</v>
      </c>
      <c r="E910" s="5" t="str">
        <f ca="1">IFERROR(__xludf.DUMMYFUNCTION("""COMPUTED_VALUE"""),"Unknown")</f>
        <v>Unknown</v>
      </c>
      <c r="F910" s="5" t="str">
        <f ca="1">IFERROR(__xludf.DUMMYFUNCTION("""COMPUTED_VALUE"""),"Fled/Apprehended")</f>
        <v>Fled/Apprehended</v>
      </c>
      <c r="G910" s="5" t="str">
        <f ca="1">IFERROR(__xludf.DUMMYFUNCTION("""COMPUTED_VALUE"""),"No")</f>
        <v>No</v>
      </c>
      <c r="H910" s="5" t="str">
        <f ca="1">IFERROR(__xludf.DUMMYFUNCTION("""COMPUTED_VALUE"""),"None")</f>
        <v>None</v>
      </c>
    </row>
    <row r="911" spans="1:8">
      <c r="A911" s="5" t="str">
        <f ca="1">IFERROR(__xludf.DUMMYFUNCTION("""COMPUTED_VALUE"""),"20171209ILCHC")</f>
        <v>20171209ILCHC</v>
      </c>
      <c r="B911" s="5"/>
      <c r="C911" s="5"/>
      <c r="D911" s="5"/>
      <c r="E911" s="5" t="str">
        <f ca="1">IFERROR(__xludf.DUMMYFUNCTION("""COMPUTED_VALUE"""),"Unknown")</f>
        <v>Unknown</v>
      </c>
      <c r="F911" s="5" t="str">
        <f ca="1">IFERROR(__xludf.DUMMYFUNCTION("""COMPUTED_VALUE"""),"Fled/Escaped")</f>
        <v>Fled/Escaped</v>
      </c>
      <c r="G911" s="5" t="str">
        <f ca="1">IFERROR(__xludf.DUMMYFUNCTION("""COMPUTED_VALUE"""),"No")</f>
        <v>No</v>
      </c>
      <c r="H911" s="5" t="str">
        <f ca="1">IFERROR(__xludf.DUMMYFUNCTION("""COMPUTED_VALUE"""),"None")</f>
        <v>None</v>
      </c>
    </row>
    <row r="912" spans="1:8">
      <c r="A912" s="5" t="str">
        <f ca="1">IFERROR(__xludf.DUMMYFUNCTION("""COMPUTED_VALUE"""),"20171207NMAZA")</f>
        <v>20171207NMAZA</v>
      </c>
      <c r="B912" s="5">
        <f ca="1">IFERROR(__xludf.DUMMYFUNCTION("""COMPUTED_VALUE"""),21)</f>
        <v>21</v>
      </c>
      <c r="C912" s="5" t="str">
        <f ca="1">IFERROR(__xludf.DUMMYFUNCTION("""COMPUTED_VALUE"""),"Male")</f>
        <v>Male</v>
      </c>
      <c r="D912" s="5" t="str">
        <f ca="1">IFERROR(__xludf.DUMMYFUNCTION("""COMPUTED_VALUE"""),"White")</f>
        <v>White</v>
      </c>
      <c r="E912" s="5" t="str">
        <f ca="1">IFERROR(__xludf.DUMMYFUNCTION("""COMPUTED_VALUE"""),"Former Student")</f>
        <v>Former Student</v>
      </c>
      <c r="F912" s="5" t="str">
        <f ca="1">IFERROR(__xludf.DUMMYFUNCTION("""COMPUTED_VALUE"""),"Suicide")</f>
        <v>Suicide</v>
      </c>
      <c r="G912" s="5" t="str">
        <f ca="1">IFERROR(__xludf.DUMMYFUNCTION("""COMPUTED_VALUE"""),"Yes")</f>
        <v>Yes</v>
      </c>
      <c r="H912" s="5" t="str">
        <f ca="1">IFERROR(__xludf.DUMMYFUNCTION("""COMPUTED_VALUE"""),"Suicide")</f>
        <v>Suicide</v>
      </c>
    </row>
    <row r="913" spans="1:8">
      <c r="A913" s="5" t="str">
        <f ca="1">IFERROR(__xludf.DUMMYFUNCTION("""COMPUTED_VALUE"""),"20171130VASAV")</f>
        <v>20171130VASAV</v>
      </c>
      <c r="B913" s="5" t="str">
        <f ca="1">IFERROR(__xludf.DUMMYFUNCTION("""COMPUTED_VALUE"""),"Teen")</f>
        <v>Teen</v>
      </c>
      <c r="C913" s="5"/>
      <c r="D913" s="5"/>
      <c r="E913" s="5" t="str">
        <f ca="1">IFERROR(__xludf.DUMMYFUNCTION("""COMPUTED_VALUE"""),"Student")</f>
        <v>Student</v>
      </c>
      <c r="F913" s="5" t="str">
        <f ca="1">IFERROR(__xludf.DUMMYFUNCTION("""COMPUTED_VALUE"""),"Suicide")</f>
        <v>Suicide</v>
      </c>
      <c r="G913" s="5" t="str">
        <f ca="1">IFERROR(__xludf.DUMMYFUNCTION("""COMPUTED_VALUE"""),"Yes")</f>
        <v>Yes</v>
      </c>
      <c r="H913" s="5" t="str">
        <f ca="1">IFERROR(__xludf.DUMMYFUNCTION("""COMPUTED_VALUE"""),"Suicide")</f>
        <v>Suicide</v>
      </c>
    </row>
    <row r="914" spans="1:8">
      <c r="A914" s="5" t="str">
        <f ca="1">IFERROR(__xludf.DUMMYFUNCTION("""COMPUTED_VALUE"""),"20171129OHBAL")</f>
        <v>20171129OHBAL</v>
      </c>
      <c r="B914" s="5">
        <f ca="1">IFERROR(__xludf.DUMMYFUNCTION("""COMPUTED_VALUE"""),49)</f>
        <v>49</v>
      </c>
      <c r="C914" s="5" t="str">
        <f ca="1">IFERROR(__xludf.DUMMYFUNCTION("""COMPUTED_VALUE"""),"Male")</f>
        <v>Male</v>
      </c>
      <c r="D914" s="5" t="str">
        <f ca="1">IFERROR(__xludf.DUMMYFUNCTION("""COMPUTED_VALUE"""),"White")</f>
        <v>White</v>
      </c>
      <c r="E914" s="5" t="str">
        <f ca="1">IFERROR(__xludf.DUMMYFUNCTION("""COMPUTED_VALUE"""),"No Relation")</f>
        <v>No Relation</v>
      </c>
      <c r="F914" s="5" t="str">
        <f ca="1">IFERROR(__xludf.DUMMYFUNCTION("""COMPUTED_VALUE"""),"Surrendered")</f>
        <v>Surrendered</v>
      </c>
      <c r="G914" s="5" t="str">
        <f ca="1">IFERROR(__xludf.DUMMYFUNCTION("""COMPUTED_VALUE"""),"No")</f>
        <v>No</v>
      </c>
      <c r="H914" s="5" t="str">
        <f ca="1">IFERROR(__xludf.DUMMYFUNCTION("""COMPUTED_VALUE"""),"None")</f>
        <v>None</v>
      </c>
    </row>
    <row r="915" spans="1:8">
      <c r="A915" s="5" t="str">
        <f ca="1">IFERROR(__xludf.DUMMYFUNCTION("""COMPUTED_VALUE"""),"20171128CABOS")</f>
        <v>20171128CABOS</v>
      </c>
      <c r="B915" s="5">
        <f ca="1">IFERROR(__xludf.DUMMYFUNCTION("""COMPUTED_VALUE"""),21)</f>
        <v>21</v>
      </c>
      <c r="C915" s="5" t="str">
        <f ca="1">IFERROR(__xludf.DUMMYFUNCTION("""COMPUTED_VALUE"""),"Male")</f>
        <v>Male</v>
      </c>
      <c r="D915" s="5" t="str">
        <f ca="1">IFERROR(__xludf.DUMMYFUNCTION("""COMPUTED_VALUE"""),"White")</f>
        <v>White</v>
      </c>
      <c r="E915" s="5" t="str">
        <f ca="1">IFERROR(__xludf.DUMMYFUNCTION("""COMPUTED_VALUE"""),"No Relation")</f>
        <v>No Relation</v>
      </c>
      <c r="F915" s="5" t="str">
        <f ca="1">IFERROR(__xludf.DUMMYFUNCTION("""COMPUTED_VALUE"""),"Fled/Apprehended")</f>
        <v>Fled/Apprehended</v>
      </c>
      <c r="G915" s="5" t="str">
        <f ca="1">IFERROR(__xludf.DUMMYFUNCTION("""COMPUTED_VALUE"""),"No")</f>
        <v>No</v>
      </c>
      <c r="H915" s="5" t="str">
        <f ca="1">IFERROR(__xludf.DUMMYFUNCTION("""COMPUTED_VALUE"""),"None")</f>
        <v>None</v>
      </c>
    </row>
    <row r="916" spans="1:8">
      <c r="A916" s="5" t="str">
        <f ca="1">IFERROR(__xludf.DUMMYFUNCTION("""COMPUTED_VALUE"""),"20171123COMAD")</f>
        <v>20171123COMAD</v>
      </c>
      <c r="B916" s="5"/>
      <c r="C916" s="5" t="str">
        <f ca="1">IFERROR(__xludf.DUMMYFUNCTION("""COMPUTED_VALUE"""),"Male")</f>
        <v>Male</v>
      </c>
      <c r="D916" s="5"/>
      <c r="E916" s="5" t="str">
        <f ca="1">IFERROR(__xludf.DUMMYFUNCTION("""COMPUTED_VALUE"""),"Unknown")</f>
        <v>Unknown</v>
      </c>
      <c r="F916" s="5" t="str">
        <f ca="1">IFERROR(__xludf.DUMMYFUNCTION("""COMPUTED_VALUE"""),"Fled/Escaped")</f>
        <v>Fled/Escaped</v>
      </c>
      <c r="G916" s="5" t="str">
        <f ca="1">IFERROR(__xludf.DUMMYFUNCTION("""COMPUTED_VALUE"""),"No")</f>
        <v>No</v>
      </c>
      <c r="H916" s="5" t="str">
        <f ca="1">IFERROR(__xludf.DUMMYFUNCTION("""COMPUTED_VALUE"""),"None")</f>
        <v>None</v>
      </c>
    </row>
    <row r="917" spans="1:8">
      <c r="A917" s="5" t="str">
        <f ca="1">IFERROR(__xludf.DUMMYFUNCTION("""COMPUTED_VALUE"""),"20171123COMAD")</f>
        <v>20171123COMAD</v>
      </c>
      <c r="B917" s="5"/>
      <c r="C917" s="5" t="str">
        <f ca="1">IFERROR(__xludf.DUMMYFUNCTION("""COMPUTED_VALUE"""),"Male")</f>
        <v>Male</v>
      </c>
      <c r="D917" s="5"/>
      <c r="E917" s="5" t="str">
        <f ca="1">IFERROR(__xludf.DUMMYFUNCTION("""COMPUTED_VALUE"""),"Unknown")</f>
        <v>Unknown</v>
      </c>
      <c r="F917" s="5" t="str">
        <f ca="1">IFERROR(__xludf.DUMMYFUNCTION("""COMPUTED_VALUE"""),"Fled/Escaped")</f>
        <v>Fled/Escaped</v>
      </c>
      <c r="G917" s="5" t="str">
        <f ca="1">IFERROR(__xludf.DUMMYFUNCTION("""COMPUTED_VALUE"""),"No")</f>
        <v>No</v>
      </c>
      <c r="H917" s="5" t="str">
        <f ca="1">IFERROR(__xludf.DUMMYFUNCTION("""COMPUTED_VALUE"""),"None")</f>
        <v>None</v>
      </c>
    </row>
    <row r="918" spans="1:8">
      <c r="A918" s="5" t="str">
        <f ca="1">IFERROR(__xludf.DUMMYFUNCTION("""COMPUTED_VALUE"""),"20171123COMAD")</f>
        <v>20171123COMAD</v>
      </c>
      <c r="B918" s="5"/>
      <c r="C918" s="5" t="str">
        <f ca="1">IFERROR(__xludf.DUMMYFUNCTION("""COMPUTED_VALUE"""),"Male")</f>
        <v>Male</v>
      </c>
      <c r="D918" s="5"/>
      <c r="E918" s="5" t="str">
        <f ca="1">IFERROR(__xludf.DUMMYFUNCTION("""COMPUTED_VALUE"""),"Unknown")</f>
        <v>Unknown</v>
      </c>
      <c r="F918" s="5" t="str">
        <f ca="1">IFERROR(__xludf.DUMMYFUNCTION("""COMPUTED_VALUE"""),"Fled/Escaped")</f>
        <v>Fled/Escaped</v>
      </c>
      <c r="G918" s="5" t="str">
        <f ca="1">IFERROR(__xludf.DUMMYFUNCTION("""COMPUTED_VALUE"""),"No")</f>
        <v>No</v>
      </c>
      <c r="H918" s="5" t="str">
        <f ca="1">IFERROR(__xludf.DUMMYFUNCTION("""COMPUTED_VALUE"""),"None")</f>
        <v>None</v>
      </c>
    </row>
    <row r="919" spans="1:8">
      <c r="A919" s="5" t="str">
        <f ca="1">IFERROR(__xludf.DUMMYFUNCTION("""COMPUTED_VALUE"""),"20171117TNNOJ")</f>
        <v>20171117TNNOJ</v>
      </c>
      <c r="B919" s="5"/>
      <c r="C919" s="5"/>
      <c r="D919" s="5"/>
      <c r="E919" s="5" t="str">
        <f ca="1">IFERROR(__xludf.DUMMYFUNCTION("""COMPUTED_VALUE"""),"Unknown")</f>
        <v>Unknown</v>
      </c>
      <c r="F919" s="5" t="str">
        <f ca="1">IFERROR(__xludf.DUMMYFUNCTION("""COMPUTED_VALUE"""),"Fled/Escaped")</f>
        <v>Fled/Escaped</v>
      </c>
      <c r="G919" s="5" t="str">
        <f ca="1">IFERROR(__xludf.DUMMYFUNCTION("""COMPUTED_VALUE"""),"No")</f>
        <v>No</v>
      </c>
      <c r="H919" s="5" t="str">
        <f ca="1">IFERROR(__xludf.DUMMYFUNCTION("""COMPUTED_VALUE"""),"None")</f>
        <v>None</v>
      </c>
    </row>
    <row r="920" spans="1:8">
      <c r="A920" s="5" t="str">
        <f ca="1">IFERROR(__xludf.DUMMYFUNCTION("""COMPUTED_VALUE"""),"20171114FLLAM")</f>
        <v>20171114FLLAM</v>
      </c>
      <c r="B920" s="5">
        <f ca="1">IFERROR(__xludf.DUMMYFUNCTION("""COMPUTED_VALUE"""),17)</f>
        <v>17</v>
      </c>
      <c r="C920" s="5" t="str">
        <f ca="1">IFERROR(__xludf.DUMMYFUNCTION("""COMPUTED_VALUE"""),"Male")</f>
        <v>Male</v>
      </c>
      <c r="D920" s="5"/>
      <c r="E920" s="5" t="str">
        <f ca="1">IFERROR(__xludf.DUMMYFUNCTION("""COMPUTED_VALUE"""),"Student")</f>
        <v>Student</v>
      </c>
      <c r="F920" s="5" t="str">
        <f ca="1">IFERROR(__xludf.DUMMYFUNCTION("""COMPUTED_VALUE"""),"Suicide")</f>
        <v>Suicide</v>
      </c>
      <c r="G920" s="5" t="str">
        <f ca="1">IFERROR(__xludf.DUMMYFUNCTION("""COMPUTED_VALUE"""),"Yes")</f>
        <v>Yes</v>
      </c>
      <c r="H920" s="5" t="str">
        <f ca="1">IFERROR(__xludf.DUMMYFUNCTION("""COMPUTED_VALUE"""),"Suicide")</f>
        <v>Suicide</v>
      </c>
    </row>
    <row r="921" spans="1:8">
      <c r="A921" s="5" t="str">
        <f ca="1">IFERROR(__xludf.DUMMYFUNCTION("""COMPUTED_VALUE"""),"20171114CARAR")</f>
        <v>20171114CARAR</v>
      </c>
      <c r="B921" s="5">
        <f ca="1">IFERROR(__xludf.DUMMYFUNCTION("""COMPUTED_VALUE"""),44)</f>
        <v>44</v>
      </c>
      <c r="C921" s="5" t="str">
        <f ca="1">IFERROR(__xludf.DUMMYFUNCTION("""COMPUTED_VALUE"""),"Male")</f>
        <v>Male</v>
      </c>
      <c r="D921" s="5" t="str">
        <f ca="1">IFERROR(__xludf.DUMMYFUNCTION("""COMPUTED_VALUE"""),"White")</f>
        <v>White</v>
      </c>
      <c r="E921" s="5" t="str">
        <f ca="1">IFERROR(__xludf.DUMMYFUNCTION("""COMPUTED_VALUE"""),"No Relation")</f>
        <v>No Relation</v>
      </c>
      <c r="F921" s="5" t="str">
        <f ca="1">IFERROR(__xludf.DUMMYFUNCTION("""COMPUTED_VALUE"""),"Suicide")</f>
        <v>Suicide</v>
      </c>
      <c r="G921" s="5" t="str">
        <f ca="1">IFERROR(__xludf.DUMMYFUNCTION("""COMPUTED_VALUE"""),"Yes")</f>
        <v>Yes</v>
      </c>
      <c r="H921" s="5" t="str">
        <f ca="1">IFERROR(__xludf.DUMMYFUNCTION("""COMPUTED_VALUE"""),"Suicide")</f>
        <v>Suicide</v>
      </c>
    </row>
    <row r="922" spans="1:8">
      <c r="A922" s="5" t="str">
        <f ca="1">IFERROR(__xludf.DUMMYFUNCTION("""COMPUTED_VALUE"""),"20171110GALAM")</f>
        <v>20171110GALAM</v>
      </c>
      <c r="B922" s="5">
        <f ca="1">IFERROR(__xludf.DUMMYFUNCTION("""COMPUTED_VALUE"""),8)</f>
        <v>8</v>
      </c>
      <c r="C922" s="5" t="str">
        <f ca="1">IFERROR(__xludf.DUMMYFUNCTION("""COMPUTED_VALUE"""),"Male")</f>
        <v>Male</v>
      </c>
      <c r="D922" s="5"/>
      <c r="E922" s="5" t="str">
        <f ca="1">IFERROR(__xludf.DUMMYFUNCTION("""COMPUTED_VALUE"""),"Student")</f>
        <v>Student</v>
      </c>
      <c r="F922" s="5" t="str">
        <f ca="1">IFERROR(__xludf.DUMMYFUNCTION("""COMPUTED_VALUE"""),"Surrendered")</f>
        <v>Surrendered</v>
      </c>
      <c r="G922" s="5" t="str">
        <f ca="1">IFERROR(__xludf.DUMMYFUNCTION("""COMPUTED_VALUE"""),"No")</f>
        <v>No</v>
      </c>
      <c r="H922" s="5" t="str">
        <f ca="1">IFERROR(__xludf.DUMMYFUNCTION("""COMPUTED_VALUE"""),"None")</f>
        <v>None</v>
      </c>
    </row>
    <row r="923" spans="1:8">
      <c r="A923" s="5" t="str">
        <f ca="1">IFERROR(__xludf.DUMMYFUNCTION("""COMPUTED_VALUE"""),"20171109GABEC")</f>
        <v>20171109GABEC</v>
      </c>
      <c r="B923" s="5">
        <f ca="1">IFERROR(__xludf.DUMMYFUNCTION("""COMPUTED_VALUE"""),15)</f>
        <v>15</v>
      </c>
      <c r="C923" s="5" t="str">
        <f ca="1">IFERROR(__xludf.DUMMYFUNCTION("""COMPUTED_VALUE"""),"Male")</f>
        <v>Male</v>
      </c>
      <c r="D923" s="5"/>
      <c r="E923" s="5" t="str">
        <f ca="1">IFERROR(__xludf.DUMMYFUNCTION("""COMPUTED_VALUE"""),"Student")</f>
        <v>Student</v>
      </c>
      <c r="F923" s="5" t="str">
        <f ca="1">IFERROR(__xludf.DUMMYFUNCTION("""COMPUTED_VALUE"""),"Surrendered")</f>
        <v>Surrendered</v>
      </c>
      <c r="G923" s="5" t="str">
        <f ca="1">IFERROR(__xludf.DUMMYFUNCTION("""COMPUTED_VALUE"""),"No")</f>
        <v>No</v>
      </c>
      <c r="H923" s="5" t="str">
        <f ca="1">IFERROR(__xludf.DUMMYFUNCTION("""COMPUTED_VALUE"""),"None")</f>
        <v>None</v>
      </c>
    </row>
    <row r="924" spans="1:8">
      <c r="A924" s="5" t="str">
        <f ca="1">IFERROR(__xludf.DUMMYFUNCTION("""COMPUTED_VALUE"""),"20171103MIPAL")</f>
        <v>20171103MIPAL</v>
      </c>
      <c r="B924" s="5">
        <f ca="1">IFERROR(__xludf.DUMMYFUNCTION("""COMPUTED_VALUE"""),21)</f>
        <v>21</v>
      </c>
      <c r="C924" s="5" t="str">
        <f ca="1">IFERROR(__xludf.DUMMYFUNCTION("""COMPUTED_VALUE"""),"Male")</f>
        <v>Male</v>
      </c>
      <c r="D924" s="5" t="str">
        <f ca="1">IFERROR(__xludf.DUMMYFUNCTION("""COMPUTED_VALUE"""),"Black")</f>
        <v>Black</v>
      </c>
      <c r="E924" s="5" t="str">
        <f ca="1">IFERROR(__xludf.DUMMYFUNCTION("""COMPUTED_VALUE"""),"Unknown")</f>
        <v>Unknown</v>
      </c>
      <c r="F924" s="5" t="str">
        <f ca="1">IFERROR(__xludf.DUMMYFUNCTION("""COMPUTED_VALUE"""),"Surrendered")</f>
        <v>Surrendered</v>
      </c>
      <c r="G924" s="5" t="str">
        <f ca="1">IFERROR(__xludf.DUMMYFUNCTION("""COMPUTED_VALUE"""),"No")</f>
        <v>No</v>
      </c>
      <c r="H924" s="5" t="str">
        <f ca="1">IFERROR(__xludf.DUMMYFUNCTION("""COMPUTED_VALUE"""),"None")</f>
        <v>None</v>
      </c>
    </row>
    <row r="925" spans="1:8">
      <c r="A925" s="5" t="str">
        <f ca="1">IFERROR(__xludf.DUMMYFUNCTION("""COMPUTED_VALUE"""),"20171027NYPRU")</f>
        <v>20171027NYPRU</v>
      </c>
      <c r="B925" s="5"/>
      <c r="C925" s="5" t="str">
        <f ca="1">IFERROR(__xludf.DUMMYFUNCTION("""COMPUTED_VALUE"""),"Male")</f>
        <v>Male</v>
      </c>
      <c r="D925" s="5"/>
      <c r="E925" s="5" t="str">
        <f ca="1">IFERROR(__xludf.DUMMYFUNCTION("""COMPUTED_VALUE"""),"Unknown")</f>
        <v>Unknown</v>
      </c>
      <c r="F925" s="5" t="str">
        <f ca="1">IFERROR(__xludf.DUMMYFUNCTION("""COMPUTED_VALUE"""),"Fled/Escaped")</f>
        <v>Fled/Escaped</v>
      </c>
      <c r="G925" s="5" t="str">
        <f ca="1">IFERROR(__xludf.DUMMYFUNCTION("""COMPUTED_VALUE"""),"No")</f>
        <v>No</v>
      </c>
      <c r="H925" s="5" t="str">
        <f ca="1">IFERROR(__xludf.DUMMYFUNCTION("""COMPUTED_VALUE"""),"None")</f>
        <v>None</v>
      </c>
    </row>
    <row r="926" spans="1:8">
      <c r="A926" s="5" t="str">
        <f ca="1">IFERROR(__xludf.DUMMYFUNCTION("""COMPUTED_VALUE"""),"20171020OHSTT")</f>
        <v>20171020OHSTT</v>
      </c>
      <c r="B926" s="5"/>
      <c r="C926" s="5"/>
      <c r="D926" s="5"/>
      <c r="E926" s="5" t="str">
        <f ca="1">IFERROR(__xludf.DUMMYFUNCTION("""COMPUTED_VALUE"""),"Unknown")</f>
        <v>Unknown</v>
      </c>
      <c r="F926" s="5" t="str">
        <f ca="1">IFERROR(__xludf.DUMMYFUNCTION("""COMPUTED_VALUE"""),"Fled/Escaped")</f>
        <v>Fled/Escaped</v>
      </c>
      <c r="G926" s="5" t="str">
        <f ca="1">IFERROR(__xludf.DUMMYFUNCTION("""COMPUTED_VALUE"""),"No")</f>
        <v>No</v>
      </c>
      <c r="H926" s="5" t="str">
        <f ca="1">IFERROR(__xludf.DUMMYFUNCTION("""COMPUTED_VALUE"""),"None")</f>
        <v>None</v>
      </c>
    </row>
    <row r="927" spans="1:8">
      <c r="A927" s="5" t="str">
        <f ca="1">IFERROR(__xludf.DUMMYFUNCTION("""COMPUTED_VALUE"""),"20171014NCKEK")</f>
        <v>20171014NCKEK</v>
      </c>
      <c r="B927" s="5">
        <f ca="1">IFERROR(__xludf.DUMMYFUNCTION("""COMPUTED_VALUE"""),22)</f>
        <v>22</v>
      </c>
      <c r="C927" s="5" t="str">
        <f ca="1">IFERROR(__xludf.DUMMYFUNCTION("""COMPUTED_VALUE"""),"Male")</f>
        <v>Male</v>
      </c>
      <c r="D927" s="5" t="str">
        <f ca="1">IFERROR(__xludf.DUMMYFUNCTION("""COMPUTED_VALUE"""),"Black")</f>
        <v>Black</v>
      </c>
      <c r="E927" s="5" t="str">
        <f ca="1">IFERROR(__xludf.DUMMYFUNCTION("""COMPUTED_VALUE"""),"Parent")</f>
        <v>Parent</v>
      </c>
      <c r="F927" s="5" t="str">
        <f ca="1">IFERROR(__xludf.DUMMYFUNCTION("""COMPUTED_VALUE"""),"Apprehended/Killed by LE")</f>
        <v>Apprehended/Killed by LE</v>
      </c>
      <c r="G927" s="5" t="str">
        <f ca="1">IFERROR(__xludf.DUMMYFUNCTION("""COMPUTED_VALUE"""),"No")</f>
        <v>No</v>
      </c>
      <c r="H927" s="5" t="str">
        <f ca="1">IFERROR(__xludf.DUMMYFUNCTION("""COMPUTED_VALUE"""),"None")</f>
        <v>None</v>
      </c>
    </row>
    <row r="928" spans="1:8">
      <c r="A928" s="5" t="str">
        <f ca="1">IFERROR(__xludf.DUMMYFUNCTION("""COMPUTED_VALUE"""),"20171012NCCHC")</f>
        <v>20171012NCCHC</v>
      </c>
      <c r="B928" s="5">
        <f ca="1">IFERROR(__xludf.DUMMYFUNCTION("""COMPUTED_VALUE"""),37)</f>
        <v>37</v>
      </c>
      <c r="C928" s="5" t="str">
        <f ca="1">IFERROR(__xludf.DUMMYFUNCTION("""COMPUTED_VALUE"""),"Male")</f>
        <v>Male</v>
      </c>
      <c r="D928" s="5" t="str">
        <f ca="1">IFERROR(__xludf.DUMMYFUNCTION("""COMPUTED_VALUE"""),"Black")</f>
        <v>Black</v>
      </c>
      <c r="E928" s="5" t="str">
        <f ca="1">IFERROR(__xludf.DUMMYFUNCTION("""COMPUTED_VALUE"""),"No Relation")</f>
        <v>No Relation</v>
      </c>
      <c r="F928" s="5" t="str">
        <f ca="1">IFERROR(__xludf.DUMMYFUNCTION("""COMPUTED_VALUE"""),"Fled/Apprehended")</f>
        <v>Fled/Apprehended</v>
      </c>
      <c r="G928" s="5" t="str">
        <f ca="1">IFERROR(__xludf.DUMMYFUNCTION("""COMPUTED_VALUE"""),"No")</f>
        <v>No</v>
      </c>
      <c r="H928" s="5" t="str">
        <f ca="1">IFERROR(__xludf.DUMMYFUNCTION("""COMPUTED_VALUE"""),"None")</f>
        <v>None</v>
      </c>
    </row>
    <row r="929" spans="1:8">
      <c r="A929" s="5" t="str">
        <f ca="1">IFERROR(__xludf.DUMMYFUNCTION("""COMPUTED_VALUE"""),"20171012NCCHC")</f>
        <v>20171012NCCHC</v>
      </c>
      <c r="B929" s="5">
        <f ca="1">IFERROR(__xludf.DUMMYFUNCTION("""COMPUTED_VALUE"""),30)</f>
        <v>30</v>
      </c>
      <c r="C929" s="5" t="str">
        <f ca="1">IFERROR(__xludf.DUMMYFUNCTION("""COMPUTED_VALUE"""),"Male")</f>
        <v>Male</v>
      </c>
      <c r="D929" s="5" t="str">
        <f ca="1">IFERROR(__xludf.DUMMYFUNCTION("""COMPUTED_VALUE"""),"Black")</f>
        <v>Black</v>
      </c>
      <c r="E929" s="5" t="str">
        <f ca="1">IFERROR(__xludf.DUMMYFUNCTION("""COMPUTED_VALUE"""),"No Relation")</f>
        <v>No Relation</v>
      </c>
      <c r="F929" s="5" t="str">
        <f ca="1">IFERROR(__xludf.DUMMYFUNCTION("""COMPUTED_VALUE"""),"Fled/Apprehended")</f>
        <v>Fled/Apprehended</v>
      </c>
      <c r="G929" s="5" t="str">
        <f ca="1">IFERROR(__xludf.DUMMYFUNCTION("""COMPUTED_VALUE"""),"No")</f>
        <v>No</v>
      </c>
      <c r="H929" s="5" t="str">
        <f ca="1">IFERROR(__xludf.DUMMYFUNCTION("""COMPUTED_VALUE"""),"None")</f>
        <v>None</v>
      </c>
    </row>
    <row r="930" spans="1:8">
      <c r="A930" s="5" t="str">
        <f ca="1">IFERROR(__xludf.DUMMYFUNCTION("""COMPUTED_VALUE"""),"20170930PAPUC")</f>
        <v>20170930PAPUC</v>
      </c>
      <c r="B930" s="5">
        <f ca="1">IFERROR(__xludf.DUMMYFUNCTION("""COMPUTED_VALUE"""),37)</f>
        <v>37</v>
      </c>
      <c r="C930" s="5" t="str">
        <f ca="1">IFERROR(__xludf.DUMMYFUNCTION("""COMPUTED_VALUE"""),"Female")</f>
        <v>Female</v>
      </c>
      <c r="D930" s="5"/>
      <c r="E930" s="5" t="str">
        <f ca="1">IFERROR(__xludf.DUMMYFUNCTION("""COMPUTED_VALUE"""),"Unknown")</f>
        <v>Unknown</v>
      </c>
      <c r="F930" s="5" t="str">
        <f ca="1">IFERROR(__xludf.DUMMYFUNCTION("""COMPUTED_VALUE"""),"Fled/Apprehended")</f>
        <v>Fled/Apprehended</v>
      </c>
      <c r="G930" s="5" t="str">
        <f ca="1">IFERROR(__xludf.DUMMYFUNCTION("""COMPUTED_VALUE"""),"No")</f>
        <v>No</v>
      </c>
      <c r="H930" s="5" t="str">
        <f ca="1">IFERROR(__xludf.DUMMYFUNCTION("""COMPUTED_VALUE"""),"None")</f>
        <v>None</v>
      </c>
    </row>
    <row r="931" spans="1:8">
      <c r="A931" s="5" t="str">
        <f ca="1">IFERROR(__xludf.DUMMYFUNCTION("""COMPUTED_VALUE"""),"20170929MOLEL")</f>
        <v>20170929MOLEL</v>
      </c>
      <c r="B931" s="5" t="str">
        <f ca="1">IFERROR(__xludf.DUMMYFUNCTION("""COMPUTED_VALUE"""),"Teen")</f>
        <v>Teen</v>
      </c>
      <c r="C931" s="5" t="str">
        <f ca="1">IFERROR(__xludf.DUMMYFUNCTION("""COMPUTED_VALUE"""),"Female")</f>
        <v>Female</v>
      </c>
      <c r="D931" s="5"/>
      <c r="E931" s="5" t="str">
        <f ca="1">IFERROR(__xludf.DUMMYFUNCTION("""COMPUTED_VALUE"""),"Student")</f>
        <v>Student</v>
      </c>
      <c r="F931" s="5" t="str">
        <f ca="1">IFERROR(__xludf.DUMMYFUNCTION("""COMPUTED_VALUE"""),"Suicide")</f>
        <v>Suicide</v>
      </c>
      <c r="G931" s="5" t="str">
        <f ca="1">IFERROR(__xludf.DUMMYFUNCTION("""COMPUTED_VALUE"""),"Yes")</f>
        <v>Yes</v>
      </c>
      <c r="H931" s="5" t="str">
        <f ca="1">IFERROR(__xludf.DUMMYFUNCTION("""COMPUTED_VALUE"""),"Suicide")</f>
        <v>Suicide</v>
      </c>
    </row>
    <row r="932" spans="1:8">
      <c r="A932" s="5" t="str">
        <f ca="1">IFERROR(__xludf.DUMMYFUNCTION("""COMPUTED_VALUE"""),"20170929CASUL")</f>
        <v>20170929CASUL</v>
      </c>
      <c r="B932" s="5"/>
      <c r="C932" s="5"/>
      <c r="D932" s="5"/>
      <c r="E932" s="5" t="str">
        <f ca="1">IFERROR(__xludf.DUMMYFUNCTION("""COMPUTED_VALUE"""),"Unknown")</f>
        <v>Unknown</v>
      </c>
      <c r="F932" s="5" t="str">
        <f ca="1">IFERROR(__xludf.DUMMYFUNCTION("""COMPUTED_VALUE"""),"Fled/Escaped")</f>
        <v>Fled/Escaped</v>
      </c>
      <c r="G932" s="5" t="str">
        <f ca="1">IFERROR(__xludf.DUMMYFUNCTION("""COMPUTED_VALUE"""),"No")</f>
        <v>No</v>
      </c>
      <c r="H932" s="5" t="str">
        <f ca="1">IFERROR(__xludf.DUMMYFUNCTION("""COMPUTED_VALUE"""),"None")</f>
        <v>None</v>
      </c>
    </row>
    <row r="933" spans="1:8">
      <c r="A933" s="5" t="str">
        <f ca="1">IFERROR(__xludf.DUMMYFUNCTION("""COMPUTED_VALUE"""),"20170928KYSOL")</f>
        <v>20170928KYSOL</v>
      </c>
      <c r="B933" s="5" t="str">
        <f ca="1">IFERROR(__xludf.DUMMYFUNCTION("""COMPUTED_VALUE"""),"Adult")</f>
        <v>Adult</v>
      </c>
      <c r="C933" s="5" t="str">
        <f ca="1">IFERROR(__xludf.DUMMYFUNCTION("""COMPUTED_VALUE"""),"Male")</f>
        <v>Male</v>
      </c>
      <c r="D933" s="5"/>
      <c r="E933" s="5" t="str">
        <f ca="1">IFERROR(__xludf.DUMMYFUNCTION("""COMPUTED_VALUE"""),"No Relation")</f>
        <v>No Relation</v>
      </c>
      <c r="F933" s="5" t="str">
        <f ca="1">IFERROR(__xludf.DUMMYFUNCTION("""COMPUTED_VALUE"""),"Fled/Escaped")</f>
        <v>Fled/Escaped</v>
      </c>
      <c r="G933" s="5" t="str">
        <f ca="1">IFERROR(__xludf.DUMMYFUNCTION("""COMPUTED_VALUE"""),"No")</f>
        <v>No</v>
      </c>
      <c r="H933" s="5" t="str">
        <f ca="1">IFERROR(__xludf.DUMMYFUNCTION("""COMPUTED_VALUE"""),"Wounded")</f>
        <v>Wounded</v>
      </c>
    </row>
    <row r="934" spans="1:8">
      <c r="A934" s="5" t="str">
        <f ca="1">IFERROR(__xludf.DUMMYFUNCTION("""COMPUTED_VALUE"""),"20170920ILMAM")</f>
        <v>20170920ILMAM</v>
      </c>
      <c r="B934" s="5">
        <f ca="1">IFERROR(__xludf.DUMMYFUNCTION("""COMPUTED_VALUE"""),14)</f>
        <v>14</v>
      </c>
      <c r="C934" s="5" t="str">
        <f ca="1">IFERROR(__xludf.DUMMYFUNCTION("""COMPUTED_VALUE"""),"Male")</f>
        <v>Male</v>
      </c>
      <c r="D934" s="5" t="str">
        <f ca="1">IFERROR(__xludf.DUMMYFUNCTION("""COMPUTED_VALUE"""),"White")</f>
        <v>White</v>
      </c>
      <c r="E934" s="5" t="str">
        <f ca="1">IFERROR(__xludf.DUMMYFUNCTION("""COMPUTED_VALUE"""),"Student")</f>
        <v>Student</v>
      </c>
      <c r="F934" s="5" t="str">
        <f ca="1">IFERROR(__xludf.DUMMYFUNCTION("""COMPUTED_VALUE"""),"Subdued by Students/Staff/Other")</f>
        <v>Subdued by Students/Staff/Other</v>
      </c>
      <c r="G934" s="5" t="str">
        <f ca="1">IFERROR(__xludf.DUMMYFUNCTION("""COMPUTED_VALUE"""),"No")</f>
        <v>No</v>
      </c>
      <c r="H934" s="5" t="str">
        <f ca="1">IFERROR(__xludf.DUMMYFUNCTION("""COMPUTED_VALUE"""),"None")</f>
        <v>None</v>
      </c>
    </row>
    <row r="935" spans="1:8">
      <c r="A935" s="5" t="str">
        <f ca="1">IFERROR(__xludf.DUMMYFUNCTION("""COMPUTED_VALUE"""),"20170913WAFRR")</f>
        <v>20170913WAFRR</v>
      </c>
      <c r="B935" s="5">
        <f ca="1">IFERROR(__xludf.DUMMYFUNCTION("""COMPUTED_VALUE"""),15)</f>
        <v>15</v>
      </c>
      <c r="C935" s="5" t="str">
        <f ca="1">IFERROR(__xludf.DUMMYFUNCTION("""COMPUTED_VALUE"""),"Male")</f>
        <v>Male</v>
      </c>
      <c r="D935" s="5" t="str">
        <f ca="1">IFERROR(__xludf.DUMMYFUNCTION("""COMPUTED_VALUE"""),"White")</f>
        <v>White</v>
      </c>
      <c r="E935" s="5" t="str">
        <f ca="1">IFERROR(__xludf.DUMMYFUNCTION("""COMPUTED_VALUE"""),"Student")</f>
        <v>Student</v>
      </c>
      <c r="F935" s="5" t="str">
        <f ca="1">IFERROR(__xludf.DUMMYFUNCTION("""COMPUTED_VALUE"""),"Subdued by Students/Staff/Other")</f>
        <v>Subdued by Students/Staff/Other</v>
      </c>
      <c r="G935" s="5" t="str">
        <f ca="1">IFERROR(__xludf.DUMMYFUNCTION("""COMPUTED_VALUE"""),"No")</f>
        <v>No</v>
      </c>
      <c r="H935" s="5" t="str">
        <f ca="1">IFERROR(__xludf.DUMMYFUNCTION("""COMPUTED_VALUE"""),"None")</f>
        <v>None</v>
      </c>
    </row>
    <row r="936" spans="1:8">
      <c r="A936" s="5" t="str">
        <f ca="1">IFERROR(__xludf.DUMMYFUNCTION("""COMPUTED_VALUE"""),"20170908OHCOC")</f>
        <v>20170908OHCOC</v>
      </c>
      <c r="B936" s="5">
        <f ca="1">IFERROR(__xludf.DUMMYFUNCTION("""COMPUTED_VALUE"""),18)</f>
        <v>18</v>
      </c>
      <c r="C936" s="5" t="str">
        <f ca="1">IFERROR(__xludf.DUMMYFUNCTION("""COMPUTED_VALUE"""),"Male")</f>
        <v>Male</v>
      </c>
      <c r="D936" s="5" t="str">
        <f ca="1">IFERROR(__xludf.DUMMYFUNCTION("""COMPUTED_VALUE"""),"Black")</f>
        <v>Black</v>
      </c>
      <c r="E936" s="5" t="str">
        <f ca="1">IFERROR(__xludf.DUMMYFUNCTION("""COMPUTED_VALUE"""),"Student")</f>
        <v>Student</v>
      </c>
      <c r="F936" s="5" t="str">
        <f ca="1">IFERROR(__xludf.DUMMYFUNCTION("""COMPUTED_VALUE"""),"Surrendered")</f>
        <v>Surrendered</v>
      </c>
      <c r="G936" s="5" t="str">
        <f ca="1">IFERROR(__xludf.DUMMYFUNCTION("""COMPUTED_VALUE"""),"No")</f>
        <v>No</v>
      </c>
      <c r="H936" s="5" t="str">
        <f ca="1">IFERROR(__xludf.DUMMYFUNCTION("""COMPUTED_VALUE"""),"None")</f>
        <v>None</v>
      </c>
    </row>
    <row r="937" spans="1:8">
      <c r="A937" s="5" t="str">
        <f ca="1">IFERROR(__xludf.DUMMYFUNCTION("""COMPUTED_VALUE"""),"20170908ARNON")</f>
        <v>20170908ARNON</v>
      </c>
      <c r="B937" s="5"/>
      <c r="C937" s="5"/>
      <c r="D937" s="5"/>
      <c r="E937" s="5" t="str">
        <f ca="1">IFERROR(__xludf.DUMMYFUNCTION("""COMPUTED_VALUE"""),"Unknown")</f>
        <v>Unknown</v>
      </c>
      <c r="F937" s="5" t="str">
        <f ca="1">IFERROR(__xludf.DUMMYFUNCTION("""COMPUTED_VALUE"""),"Fled/Escaped")</f>
        <v>Fled/Escaped</v>
      </c>
      <c r="G937" s="5" t="str">
        <f ca="1">IFERROR(__xludf.DUMMYFUNCTION("""COMPUTED_VALUE"""),"No")</f>
        <v>No</v>
      </c>
      <c r="H937" s="5" t="str">
        <f ca="1">IFERROR(__xludf.DUMMYFUNCTION("""COMPUTED_VALUE"""),"None")</f>
        <v>None</v>
      </c>
    </row>
    <row r="938" spans="1:8">
      <c r="A938" s="5" t="str">
        <f ca="1">IFERROR(__xludf.DUMMYFUNCTION("""COMPUTED_VALUE"""),"20170831CAARS")</f>
        <v>20170831CAARS</v>
      </c>
      <c r="B938" s="5"/>
      <c r="C938" s="5" t="str">
        <f ca="1">IFERROR(__xludf.DUMMYFUNCTION("""COMPUTED_VALUE"""),"Male")</f>
        <v>Male</v>
      </c>
      <c r="D938" s="5"/>
      <c r="E938" s="5" t="str">
        <f ca="1">IFERROR(__xludf.DUMMYFUNCTION("""COMPUTED_VALUE"""),"Nonstudent Using Athletic Facilities/Attending Game")</f>
        <v>Nonstudent Using Athletic Facilities/Attending Game</v>
      </c>
      <c r="F938" s="5" t="str">
        <f ca="1">IFERROR(__xludf.DUMMYFUNCTION("""COMPUTED_VALUE"""),"Fled/Escaped")</f>
        <v>Fled/Escaped</v>
      </c>
      <c r="G938" s="5" t="str">
        <f ca="1">IFERROR(__xludf.DUMMYFUNCTION("""COMPUTED_VALUE"""),"No")</f>
        <v>No</v>
      </c>
      <c r="H938" s="5" t="str">
        <f ca="1">IFERROR(__xludf.DUMMYFUNCTION("""COMPUTED_VALUE"""),"None")</f>
        <v>None</v>
      </c>
    </row>
    <row r="939" spans="1:8">
      <c r="A939" s="5" t="str">
        <f ca="1">IFERROR(__xludf.DUMMYFUNCTION("""COMPUTED_VALUE"""),"20170817GALIL")</f>
        <v>20170817GALIL</v>
      </c>
      <c r="B939" s="5" t="str">
        <f ca="1">IFERROR(__xludf.DUMMYFUNCTION("""COMPUTED_VALUE"""),"Adult")</f>
        <v>Adult</v>
      </c>
      <c r="C939" s="5" t="str">
        <f ca="1">IFERROR(__xludf.DUMMYFUNCTION("""COMPUTED_VALUE"""),"Male")</f>
        <v>Male</v>
      </c>
      <c r="D939" s="5"/>
      <c r="E939" s="5" t="str">
        <f ca="1">IFERROR(__xludf.DUMMYFUNCTION("""COMPUTED_VALUE"""),"Teacher")</f>
        <v>Teacher</v>
      </c>
      <c r="F939" s="5" t="str">
        <f ca="1">IFERROR(__xludf.DUMMYFUNCTION("""COMPUTED_VALUE"""),"Attempted Suicide")</f>
        <v>Attempted Suicide</v>
      </c>
      <c r="G939" s="5" t="str">
        <f ca="1">IFERROR(__xludf.DUMMYFUNCTION("""COMPUTED_VALUE"""),"No")</f>
        <v>No</v>
      </c>
      <c r="H939" s="5" t="str">
        <f ca="1">IFERROR(__xludf.DUMMYFUNCTION("""COMPUTED_VALUE"""),"Wounded")</f>
        <v>Wounded</v>
      </c>
    </row>
    <row r="940" spans="1:8">
      <c r="A940" s="5" t="str">
        <f ca="1">IFERROR(__xludf.DUMMYFUNCTION("""COMPUTED_VALUE"""),"20170813NYHUH")</f>
        <v>20170813NYHUH</v>
      </c>
      <c r="B940" s="5" t="str">
        <f ca="1">IFERROR(__xludf.DUMMYFUNCTION("""COMPUTED_VALUE"""),"Adult")</f>
        <v>Adult</v>
      </c>
      <c r="C940" s="5" t="str">
        <f ca="1">IFERROR(__xludf.DUMMYFUNCTION("""COMPUTED_VALUE"""),"Male")</f>
        <v>Male</v>
      </c>
      <c r="D940" s="5" t="str">
        <f ca="1">IFERROR(__xludf.DUMMYFUNCTION("""COMPUTED_VALUE"""),"Black")</f>
        <v>Black</v>
      </c>
      <c r="E940" s="5" t="str">
        <f ca="1">IFERROR(__xludf.DUMMYFUNCTION("""COMPUTED_VALUE"""),"No Relation")</f>
        <v>No Relation</v>
      </c>
      <c r="F940" s="5" t="str">
        <f ca="1">IFERROR(__xludf.DUMMYFUNCTION("""COMPUTED_VALUE"""),"Fled/Apprehended")</f>
        <v>Fled/Apprehended</v>
      </c>
      <c r="G940" s="5" t="str">
        <f ca="1">IFERROR(__xludf.DUMMYFUNCTION("""COMPUTED_VALUE"""),"No")</f>
        <v>No</v>
      </c>
      <c r="H940" s="5" t="str">
        <f ca="1">IFERROR(__xludf.DUMMYFUNCTION("""COMPUTED_VALUE"""),"None")</f>
        <v>None</v>
      </c>
    </row>
    <row r="941" spans="1:8">
      <c r="A941" s="5" t="str">
        <f ca="1">IFERROR(__xludf.DUMMYFUNCTION("""COMPUTED_VALUE"""),"20170801GABAV")</f>
        <v>20170801GABAV</v>
      </c>
      <c r="B941" s="5"/>
      <c r="C941" s="5" t="str">
        <f ca="1">IFERROR(__xludf.DUMMYFUNCTION("""COMPUTED_VALUE"""),"Male")</f>
        <v>Male</v>
      </c>
      <c r="D941" s="5"/>
      <c r="E941" s="5" t="str">
        <f ca="1">IFERROR(__xludf.DUMMYFUNCTION("""COMPUTED_VALUE"""),"Unknown")</f>
        <v>Unknown</v>
      </c>
      <c r="F941" s="5" t="str">
        <f ca="1">IFERROR(__xludf.DUMMYFUNCTION("""COMPUTED_VALUE"""),"Fled/Escaped")</f>
        <v>Fled/Escaped</v>
      </c>
      <c r="G941" s="5" t="str">
        <f ca="1">IFERROR(__xludf.DUMMYFUNCTION("""COMPUTED_VALUE"""),"No")</f>
        <v>No</v>
      </c>
      <c r="H941" s="5" t="str">
        <f ca="1">IFERROR(__xludf.DUMMYFUNCTION("""COMPUTED_VALUE"""),"None")</f>
        <v>None</v>
      </c>
    </row>
    <row r="942" spans="1:8">
      <c r="A942" s="5" t="str">
        <f ca="1">IFERROR(__xludf.DUMMYFUNCTION("""COMPUTED_VALUE"""),"20170721UTSPS")</f>
        <v>20170721UTSPS</v>
      </c>
      <c r="B942" s="5">
        <f ca="1">IFERROR(__xludf.DUMMYFUNCTION("""COMPUTED_VALUE"""),19)</f>
        <v>19</v>
      </c>
      <c r="C942" s="5" t="str">
        <f ca="1">IFERROR(__xludf.DUMMYFUNCTION("""COMPUTED_VALUE"""),"Male")</f>
        <v>Male</v>
      </c>
      <c r="D942" s="5"/>
      <c r="E942" s="5" t="str">
        <f ca="1">IFERROR(__xludf.DUMMYFUNCTION("""COMPUTED_VALUE"""),"Unknown")</f>
        <v>Unknown</v>
      </c>
      <c r="F942" s="5" t="str">
        <f ca="1">IFERROR(__xludf.DUMMYFUNCTION("""COMPUTED_VALUE"""),"Fled/Escaped")</f>
        <v>Fled/Escaped</v>
      </c>
      <c r="G942" s="5" t="str">
        <f ca="1">IFERROR(__xludf.DUMMYFUNCTION("""COMPUTED_VALUE"""),"Yes")</f>
        <v>Yes</v>
      </c>
      <c r="H942" s="5" t="str">
        <f ca="1">IFERROR(__xludf.DUMMYFUNCTION("""COMPUTED_VALUE"""),"Suicide")</f>
        <v>Suicide</v>
      </c>
    </row>
    <row r="943" spans="1:8">
      <c r="A943" s="5" t="str">
        <f ca="1">IFERROR(__xludf.DUMMYFUNCTION("""COMPUTED_VALUE"""),"20170719WIHIM")</f>
        <v>20170719WIHIM</v>
      </c>
      <c r="B943" s="5" t="str">
        <f ca="1">IFERROR(__xludf.DUMMYFUNCTION("""COMPUTED_VALUE"""),"Adult")</f>
        <v>Adult</v>
      </c>
      <c r="C943" s="5" t="str">
        <f ca="1">IFERROR(__xludf.DUMMYFUNCTION("""COMPUTED_VALUE"""),"Male")</f>
        <v>Male</v>
      </c>
      <c r="D943" s="5"/>
      <c r="E943" s="5" t="str">
        <f ca="1">IFERROR(__xludf.DUMMYFUNCTION("""COMPUTED_VALUE"""),"Unknown")</f>
        <v>Unknown</v>
      </c>
      <c r="F943" s="5" t="str">
        <f ca="1">IFERROR(__xludf.DUMMYFUNCTION("""COMPUTED_VALUE"""),"Fled/Escaped")</f>
        <v>Fled/Escaped</v>
      </c>
      <c r="G943" s="5" t="str">
        <f ca="1">IFERROR(__xludf.DUMMYFUNCTION("""COMPUTED_VALUE"""),"No")</f>
        <v>No</v>
      </c>
      <c r="H943" s="5" t="str">
        <f ca="1">IFERROR(__xludf.DUMMYFUNCTION("""COMPUTED_VALUE"""),"None")</f>
        <v>None</v>
      </c>
    </row>
    <row r="944" spans="1:8">
      <c r="A944" s="5" t="str">
        <f ca="1">IFERROR(__xludf.DUMMYFUNCTION("""COMPUTED_VALUE"""),"20170622SCWIF")</f>
        <v>20170622SCWIF</v>
      </c>
      <c r="B944" s="5">
        <f ca="1">IFERROR(__xludf.DUMMYFUNCTION("""COMPUTED_VALUE"""),17)</f>
        <v>17</v>
      </c>
      <c r="C944" s="5" t="str">
        <f ca="1">IFERROR(__xludf.DUMMYFUNCTION("""COMPUTED_VALUE"""),"Male")</f>
        <v>Male</v>
      </c>
      <c r="D944" s="5"/>
      <c r="E944" s="5" t="str">
        <f ca="1">IFERROR(__xludf.DUMMYFUNCTION("""COMPUTED_VALUE"""),"Student")</f>
        <v>Student</v>
      </c>
      <c r="F944" s="5" t="str">
        <f ca="1">IFERROR(__xludf.DUMMYFUNCTION("""COMPUTED_VALUE"""),"Surrendered")</f>
        <v>Surrendered</v>
      </c>
      <c r="G944" s="5" t="str">
        <f ca="1">IFERROR(__xludf.DUMMYFUNCTION("""COMPUTED_VALUE"""),"No")</f>
        <v>No</v>
      </c>
      <c r="H944" s="5" t="str">
        <f ca="1">IFERROR(__xludf.DUMMYFUNCTION("""COMPUTED_VALUE"""),"Wounded")</f>
        <v>Wounded</v>
      </c>
    </row>
    <row r="945" spans="1:8">
      <c r="A945" s="5" t="str">
        <f ca="1">IFERROR(__xludf.DUMMYFUNCTION("""COMPUTED_VALUE"""),"20170616ILWAC")</f>
        <v>20170616ILWAC</v>
      </c>
      <c r="B945" s="5">
        <f ca="1">IFERROR(__xludf.DUMMYFUNCTION("""COMPUTED_VALUE"""),18)</f>
        <v>18</v>
      </c>
      <c r="C945" s="5" t="str">
        <f ca="1">IFERROR(__xludf.DUMMYFUNCTION("""COMPUTED_VALUE"""),"Male")</f>
        <v>Male</v>
      </c>
      <c r="D945" s="5" t="str">
        <f ca="1">IFERROR(__xludf.DUMMYFUNCTION("""COMPUTED_VALUE"""),"Black")</f>
        <v>Black</v>
      </c>
      <c r="E945" s="5" t="str">
        <f ca="1">IFERROR(__xludf.DUMMYFUNCTION("""COMPUTED_VALUE"""),"No Relation")</f>
        <v>No Relation</v>
      </c>
      <c r="F945" s="5" t="str">
        <f ca="1">IFERROR(__xludf.DUMMYFUNCTION("""COMPUTED_VALUE"""),"Fled/Apprehended")</f>
        <v>Fled/Apprehended</v>
      </c>
      <c r="G945" s="5" t="str">
        <f ca="1">IFERROR(__xludf.DUMMYFUNCTION("""COMPUTED_VALUE"""),"No")</f>
        <v>No</v>
      </c>
      <c r="H945" s="5" t="str">
        <f ca="1">IFERROR(__xludf.DUMMYFUNCTION("""COMPUTED_VALUE"""),"None")</f>
        <v>None</v>
      </c>
    </row>
    <row r="946" spans="1:8">
      <c r="A946" s="5" t="str">
        <f ca="1">IFERROR(__xludf.DUMMYFUNCTION("""COMPUTED_VALUE"""),"20170616ILWAC")</f>
        <v>20170616ILWAC</v>
      </c>
      <c r="B946" s="5">
        <f ca="1">IFERROR(__xludf.DUMMYFUNCTION("""COMPUTED_VALUE"""),16)</f>
        <v>16</v>
      </c>
      <c r="C946" s="5" t="str">
        <f ca="1">IFERROR(__xludf.DUMMYFUNCTION("""COMPUTED_VALUE"""),"Male")</f>
        <v>Male</v>
      </c>
      <c r="D946" s="5" t="str">
        <f ca="1">IFERROR(__xludf.DUMMYFUNCTION("""COMPUTED_VALUE"""),"Black")</f>
        <v>Black</v>
      </c>
      <c r="E946" s="5" t="str">
        <f ca="1">IFERROR(__xludf.DUMMYFUNCTION("""COMPUTED_VALUE"""),"No Relation")</f>
        <v>No Relation</v>
      </c>
      <c r="F946" s="5" t="str">
        <f ca="1">IFERROR(__xludf.DUMMYFUNCTION("""COMPUTED_VALUE"""),"Fled/Apprehended")</f>
        <v>Fled/Apprehended</v>
      </c>
      <c r="G946" s="5" t="str">
        <f ca="1">IFERROR(__xludf.DUMMYFUNCTION("""COMPUTED_VALUE"""),"No")</f>
        <v>No</v>
      </c>
      <c r="H946" s="5" t="str">
        <f ca="1">IFERROR(__xludf.DUMMYFUNCTION("""COMPUTED_VALUE"""),"None")</f>
        <v>None</v>
      </c>
    </row>
    <row r="947" spans="1:8">
      <c r="A947" s="5" t="str">
        <f ca="1">IFERROR(__xludf.DUMMYFUNCTION("""COMPUTED_VALUE"""),"20170616ILWAC")</f>
        <v>20170616ILWAC</v>
      </c>
      <c r="B947" s="5">
        <f ca="1">IFERROR(__xludf.DUMMYFUNCTION("""COMPUTED_VALUE"""),17)</f>
        <v>17</v>
      </c>
      <c r="C947" s="5" t="str">
        <f ca="1">IFERROR(__xludf.DUMMYFUNCTION("""COMPUTED_VALUE"""),"Male")</f>
        <v>Male</v>
      </c>
      <c r="D947" s="5" t="str">
        <f ca="1">IFERROR(__xludf.DUMMYFUNCTION("""COMPUTED_VALUE"""),"Black")</f>
        <v>Black</v>
      </c>
      <c r="E947" s="5" t="str">
        <f ca="1">IFERROR(__xludf.DUMMYFUNCTION("""COMPUTED_VALUE"""),"No Relation")</f>
        <v>No Relation</v>
      </c>
      <c r="F947" s="5" t="str">
        <f ca="1">IFERROR(__xludf.DUMMYFUNCTION("""COMPUTED_VALUE"""),"Fled/Apprehended")</f>
        <v>Fled/Apprehended</v>
      </c>
      <c r="G947" s="5" t="str">
        <f ca="1">IFERROR(__xludf.DUMMYFUNCTION("""COMPUTED_VALUE"""),"No")</f>
        <v>No</v>
      </c>
      <c r="H947" s="5" t="str">
        <f ca="1">IFERROR(__xludf.DUMMYFUNCTION("""COMPUTED_VALUE"""),"None")</f>
        <v>None</v>
      </c>
    </row>
    <row r="948" spans="1:8">
      <c r="A948" s="5" t="str">
        <f ca="1">IFERROR(__xludf.DUMMYFUNCTION("""COMPUTED_VALUE"""),"20170526OKMCT")</f>
        <v>20170526OKMCT</v>
      </c>
      <c r="B948" s="5">
        <f ca="1">IFERROR(__xludf.DUMMYFUNCTION("""COMPUTED_VALUE"""),14)</f>
        <v>14</v>
      </c>
      <c r="C948" s="5" t="str">
        <f ca="1">IFERROR(__xludf.DUMMYFUNCTION("""COMPUTED_VALUE"""),"Male")</f>
        <v>Male</v>
      </c>
      <c r="D948" s="5"/>
      <c r="E948" s="5" t="str">
        <f ca="1">IFERROR(__xludf.DUMMYFUNCTION("""COMPUTED_VALUE"""),"Student")</f>
        <v>Student</v>
      </c>
      <c r="F948" s="5" t="str">
        <f ca="1">IFERROR(__xludf.DUMMYFUNCTION("""COMPUTED_VALUE"""),"Apprehended/Killed by LE")</f>
        <v>Apprehended/Killed by LE</v>
      </c>
      <c r="G948" s="5" t="str">
        <f ca="1">IFERROR(__xludf.DUMMYFUNCTION("""COMPUTED_VALUE"""),"No")</f>
        <v>No</v>
      </c>
      <c r="H948" s="5" t="str">
        <f ca="1">IFERROR(__xludf.DUMMYFUNCTION("""COMPUTED_VALUE"""),"None")</f>
        <v>None</v>
      </c>
    </row>
    <row r="949" spans="1:8">
      <c r="A949" s="5" t="str">
        <f ca="1">IFERROR(__xludf.DUMMYFUNCTION("""COMPUTED_VALUE"""),"20170524NEMCO")</f>
        <v>20170524NEMCO</v>
      </c>
      <c r="B949" s="5">
        <f ca="1">IFERROR(__xludf.DUMMYFUNCTION("""COMPUTED_VALUE"""),51)</f>
        <v>51</v>
      </c>
      <c r="C949" s="5" t="str">
        <f ca="1">IFERROR(__xludf.DUMMYFUNCTION("""COMPUTED_VALUE"""),"Male")</f>
        <v>Male</v>
      </c>
      <c r="D949" s="5" t="str">
        <f ca="1">IFERROR(__xludf.DUMMYFUNCTION("""COMPUTED_VALUE"""),"Black")</f>
        <v>Black</v>
      </c>
      <c r="E949" s="5" t="str">
        <f ca="1">IFERROR(__xludf.DUMMYFUNCTION("""COMPUTED_VALUE"""),"No Relation")</f>
        <v>No Relation</v>
      </c>
      <c r="F949" s="5" t="str">
        <f ca="1">IFERROR(__xludf.DUMMYFUNCTION("""COMPUTED_VALUE"""),"Fled/Apprehended")</f>
        <v>Fled/Apprehended</v>
      </c>
      <c r="G949" s="5" t="str">
        <f ca="1">IFERROR(__xludf.DUMMYFUNCTION("""COMPUTED_VALUE"""),"No")</f>
        <v>No</v>
      </c>
      <c r="H949" s="5" t="str">
        <f ca="1">IFERROR(__xludf.DUMMYFUNCTION("""COMPUTED_VALUE"""),"None")</f>
        <v>None</v>
      </c>
    </row>
    <row r="950" spans="1:8">
      <c r="A950" s="5" t="str">
        <f ca="1">IFERROR(__xludf.DUMMYFUNCTION("""COMPUTED_VALUE"""),"20170524ALGRG")</f>
        <v>20170524ALGRG</v>
      </c>
      <c r="B950" s="5" t="str">
        <f ca="1">IFERROR(__xludf.DUMMYFUNCTION("""COMPUTED_VALUE"""),"Teen")</f>
        <v>Teen</v>
      </c>
      <c r="C950" s="5" t="str">
        <f ca="1">IFERROR(__xludf.DUMMYFUNCTION("""COMPUTED_VALUE"""),"Male")</f>
        <v>Male</v>
      </c>
      <c r="D950" s="5"/>
      <c r="E950" s="5" t="str">
        <f ca="1">IFERROR(__xludf.DUMMYFUNCTION("""COMPUTED_VALUE"""),"Student")</f>
        <v>Student</v>
      </c>
      <c r="F950" s="5" t="str">
        <f ca="1">IFERROR(__xludf.DUMMYFUNCTION("""COMPUTED_VALUE"""),"Subdued by Students/Staff/Other")</f>
        <v>Subdued by Students/Staff/Other</v>
      </c>
      <c r="G950" s="5" t="str">
        <f ca="1">IFERROR(__xludf.DUMMYFUNCTION("""COMPUTED_VALUE"""),"No")</f>
        <v>No</v>
      </c>
      <c r="H950" s="5" t="str">
        <f ca="1">IFERROR(__xludf.DUMMYFUNCTION("""COMPUTED_VALUE"""),"None")</f>
        <v>None</v>
      </c>
    </row>
    <row r="951" spans="1:8">
      <c r="A951" s="5" t="str">
        <f ca="1">IFERROR(__xludf.DUMMYFUNCTION("""COMPUTED_VALUE"""),"20170523TXKEK")</f>
        <v>20170523TXKEK</v>
      </c>
      <c r="B951" s="5" t="str">
        <f ca="1">IFERROR(__xludf.DUMMYFUNCTION("""COMPUTED_VALUE"""),"Adult")</f>
        <v>Adult</v>
      </c>
      <c r="C951" s="5" t="str">
        <f ca="1">IFERROR(__xludf.DUMMYFUNCTION("""COMPUTED_VALUE"""),"Male")</f>
        <v>Male</v>
      </c>
      <c r="D951" s="5"/>
      <c r="E951" s="5" t="str">
        <f ca="1">IFERROR(__xludf.DUMMYFUNCTION("""COMPUTED_VALUE"""),"Other Staff")</f>
        <v>Other Staff</v>
      </c>
      <c r="F951" s="5" t="str">
        <f ca="1">IFERROR(__xludf.DUMMYFUNCTION("""COMPUTED_VALUE"""),"Suicide")</f>
        <v>Suicide</v>
      </c>
      <c r="G951" s="5" t="str">
        <f ca="1">IFERROR(__xludf.DUMMYFUNCTION("""COMPUTED_VALUE"""),"Yes")</f>
        <v>Yes</v>
      </c>
      <c r="H951" s="5" t="str">
        <f ca="1">IFERROR(__xludf.DUMMYFUNCTION("""COMPUTED_VALUE"""),"Suicide")</f>
        <v>Suicide</v>
      </c>
    </row>
    <row r="952" spans="1:8">
      <c r="A952" s="5" t="str">
        <f ca="1">IFERROR(__xludf.DUMMYFUNCTION("""COMPUTED_VALUE"""),"20170515LAMOL")</f>
        <v>20170515LAMOL</v>
      </c>
      <c r="B952" s="5" t="str">
        <f ca="1">IFERROR(__xludf.DUMMYFUNCTION("""COMPUTED_VALUE"""),"Teen")</f>
        <v>Teen</v>
      </c>
      <c r="C952" s="5" t="str">
        <f ca="1">IFERROR(__xludf.DUMMYFUNCTION("""COMPUTED_VALUE"""),"Male")</f>
        <v>Male</v>
      </c>
      <c r="D952" s="5" t="str">
        <f ca="1">IFERROR(__xludf.DUMMYFUNCTION("""COMPUTED_VALUE"""),"White")</f>
        <v>White</v>
      </c>
      <c r="E952" s="5" t="str">
        <f ca="1">IFERROR(__xludf.DUMMYFUNCTION("""COMPUTED_VALUE"""),"Student")</f>
        <v>Student</v>
      </c>
      <c r="F952" s="5" t="str">
        <f ca="1">IFERROR(__xludf.DUMMYFUNCTION("""COMPUTED_VALUE"""),"Surrendered")</f>
        <v>Surrendered</v>
      </c>
      <c r="G952" s="5" t="str">
        <f ca="1">IFERROR(__xludf.DUMMYFUNCTION("""COMPUTED_VALUE"""),"No")</f>
        <v>No</v>
      </c>
      <c r="H952" s="5" t="str">
        <f ca="1">IFERROR(__xludf.DUMMYFUNCTION("""COMPUTED_VALUE"""),"None")</f>
        <v>None</v>
      </c>
    </row>
    <row r="953" spans="1:8">
      <c r="A953" s="5" t="str">
        <f ca="1">IFERROR(__xludf.DUMMYFUNCTION("""COMPUTED_VALUE"""),"20170415ORMEP")</f>
        <v>20170415ORMEP</v>
      </c>
      <c r="B953" s="5" t="str">
        <f ca="1">IFERROR(__xludf.DUMMYFUNCTION("""COMPUTED_VALUE"""),"Teen")</f>
        <v>Teen</v>
      </c>
      <c r="C953" s="5" t="str">
        <f ca="1">IFERROR(__xludf.DUMMYFUNCTION("""COMPUTED_VALUE"""),"Male")</f>
        <v>Male</v>
      </c>
      <c r="D953" s="5" t="str">
        <f ca="1">IFERROR(__xludf.DUMMYFUNCTION("""COMPUTED_VALUE"""),"Black")</f>
        <v>Black</v>
      </c>
      <c r="E953" s="5" t="str">
        <f ca="1">IFERROR(__xludf.DUMMYFUNCTION("""COMPUTED_VALUE"""),"No Relation")</f>
        <v>No Relation</v>
      </c>
      <c r="F953" s="5" t="str">
        <f ca="1">IFERROR(__xludf.DUMMYFUNCTION("""COMPUTED_VALUE"""),"Fled/Escaped")</f>
        <v>Fled/Escaped</v>
      </c>
      <c r="G953" s="5" t="str">
        <f ca="1">IFERROR(__xludf.DUMMYFUNCTION("""COMPUTED_VALUE"""),"No")</f>
        <v>No</v>
      </c>
      <c r="H953" s="5" t="str">
        <f ca="1">IFERROR(__xludf.DUMMYFUNCTION("""COMPUTED_VALUE"""),"None")</f>
        <v>None</v>
      </c>
    </row>
    <row r="954" spans="1:8">
      <c r="A954" s="5" t="str">
        <f ca="1">IFERROR(__xludf.DUMMYFUNCTION("""COMPUTED_VALUE"""),"20170415OKBOT")</f>
        <v>20170415OKBOT</v>
      </c>
      <c r="B954" s="5"/>
      <c r="C954" s="5"/>
      <c r="D954" s="5"/>
      <c r="E954" s="5" t="str">
        <f ca="1">IFERROR(__xludf.DUMMYFUNCTION("""COMPUTED_VALUE"""),"Unknown")</f>
        <v>Unknown</v>
      </c>
      <c r="F954" s="5" t="str">
        <f ca="1">IFERROR(__xludf.DUMMYFUNCTION("""COMPUTED_VALUE"""),"Fled/Escaped")</f>
        <v>Fled/Escaped</v>
      </c>
      <c r="G954" s="5" t="str">
        <f ca="1">IFERROR(__xludf.DUMMYFUNCTION("""COMPUTED_VALUE"""),"No")</f>
        <v>No</v>
      </c>
      <c r="H954" s="5" t="str">
        <f ca="1">IFERROR(__xludf.DUMMYFUNCTION("""COMPUTED_VALUE"""),"None")</f>
        <v>None</v>
      </c>
    </row>
    <row r="955" spans="1:8">
      <c r="A955" s="5" t="str">
        <f ca="1">IFERROR(__xludf.DUMMYFUNCTION("""COMPUTED_VALUE"""),"20170410CANOS")</f>
        <v>20170410CANOS</v>
      </c>
      <c r="B955" s="5">
        <f ca="1">IFERROR(__xludf.DUMMYFUNCTION("""COMPUTED_VALUE"""),53)</f>
        <v>53</v>
      </c>
      <c r="C955" s="5" t="str">
        <f ca="1">IFERROR(__xludf.DUMMYFUNCTION("""COMPUTED_VALUE"""),"Male")</f>
        <v>Male</v>
      </c>
      <c r="D955" s="5" t="str">
        <f ca="1">IFERROR(__xludf.DUMMYFUNCTION("""COMPUTED_VALUE"""),"Black")</f>
        <v>Black</v>
      </c>
      <c r="E955" s="5" t="str">
        <f ca="1">IFERROR(__xludf.DUMMYFUNCTION("""COMPUTED_VALUE"""),"Intimate Relationship")</f>
        <v>Intimate Relationship</v>
      </c>
      <c r="F955" s="5" t="str">
        <f ca="1">IFERROR(__xludf.DUMMYFUNCTION("""COMPUTED_VALUE"""),"Suicide")</f>
        <v>Suicide</v>
      </c>
      <c r="G955" s="5" t="str">
        <f ca="1">IFERROR(__xludf.DUMMYFUNCTION("""COMPUTED_VALUE"""),"Yes")</f>
        <v>Yes</v>
      </c>
      <c r="H955" s="5" t="str">
        <f ca="1">IFERROR(__xludf.DUMMYFUNCTION("""COMPUTED_VALUE"""),"Suicide")</f>
        <v>Suicide</v>
      </c>
    </row>
    <row r="956" spans="1:8">
      <c r="A956" s="5" t="str">
        <f ca="1">IFERROR(__xludf.DUMMYFUNCTION("""COMPUTED_VALUE"""),"20170328PALIP")</f>
        <v>20170328PALIP</v>
      </c>
      <c r="B956" s="5">
        <f ca="1">IFERROR(__xludf.DUMMYFUNCTION("""COMPUTED_VALUE"""),16)</f>
        <v>16</v>
      </c>
      <c r="C956" s="5" t="str">
        <f ca="1">IFERROR(__xludf.DUMMYFUNCTION("""COMPUTED_VALUE"""),"Male")</f>
        <v>Male</v>
      </c>
      <c r="D956" s="5" t="str">
        <f ca="1">IFERROR(__xludf.DUMMYFUNCTION("""COMPUTED_VALUE"""),"Black")</f>
        <v>Black</v>
      </c>
      <c r="E956" s="5" t="str">
        <f ca="1">IFERROR(__xludf.DUMMYFUNCTION("""COMPUTED_VALUE"""),"Nonstudent Using Athletic Facilities/Attending Game")</f>
        <v>Nonstudent Using Athletic Facilities/Attending Game</v>
      </c>
      <c r="F956" s="5" t="str">
        <f ca="1">IFERROR(__xludf.DUMMYFUNCTION("""COMPUTED_VALUE"""),"Apprehended/Killed by Other")</f>
        <v>Apprehended/Killed by Other</v>
      </c>
      <c r="G956" s="5" t="str">
        <f ca="1">IFERROR(__xludf.DUMMYFUNCTION("""COMPUTED_VALUE"""),"Yes")</f>
        <v>Yes</v>
      </c>
      <c r="H956" s="5" t="str">
        <f ca="1">IFERROR(__xludf.DUMMYFUNCTION("""COMPUTED_VALUE"""),"Fatal")</f>
        <v>Fatal</v>
      </c>
    </row>
    <row r="957" spans="1:8">
      <c r="A957" s="5" t="str">
        <f ca="1">IFERROR(__xludf.DUMMYFUNCTION("""COMPUTED_VALUE"""),"20170328PALIP")</f>
        <v>20170328PALIP</v>
      </c>
      <c r="B957" s="5">
        <f ca="1">IFERROR(__xludf.DUMMYFUNCTION("""COMPUTED_VALUE"""),22)</f>
        <v>22</v>
      </c>
      <c r="C957" s="5" t="str">
        <f ca="1">IFERROR(__xludf.DUMMYFUNCTION("""COMPUTED_VALUE"""),"Male")</f>
        <v>Male</v>
      </c>
      <c r="D957" s="5" t="str">
        <f ca="1">IFERROR(__xludf.DUMMYFUNCTION("""COMPUTED_VALUE"""),"Black")</f>
        <v>Black</v>
      </c>
      <c r="E957" s="5" t="str">
        <f ca="1">IFERROR(__xludf.DUMMYFUNCTION("""COMPUTED_VALUE"""),"Nonstudent Using Athletic Facilities/Attending Game")</f>
        <v>Nonstudent Using Athletic Facilities/Attending Game</v>
      </c>
      <c r="F957" s="5" t="str">
        <f ca="1">IFERROR(__xludf.DUMMYFUNCTION("""COMPUTED_VALUE"""),"Surrendered")</f>
        <v>Surrendered</v>
      </c>
      <c r="G957" s="5" t="str">
        <f ca="1">IFERROR(__xludf.DUMMYFUNCTION("""COMPUTED_VALUE"""),"No")</f>
        <v>No</v>
      </c>
      <c r="H957" s="5" t="str">
        <f ca="1">IFERROR(__xludf.DUMMYFUNCTION("""COMPUTED_VALUE"""),"Wounded")</f>
        <v>Wounded</v>
      </c>
    </row>
    <row r="958" spans="1:8">
      <c r="A958" s="5" t="str">
        <f ca="1">IFERROR(__xludf.DUMMYFUNCTION("""COMPUTED_VALUE"""),"20170321CAKIK")</f>
        <v>20170321CAKIK</v>
      </c>
      <c r="B958" s="5">
        <f ca="1">IFERROR(__xludf.DUMMYFUNCTION("""COMPUTED_VALUE"""),17)</f>
        <v>17</v>
      </c>
      <c r="C958" s="5" t="str">
        <f ca="1">IFERROR(__xludf.DUMMYFUNCTION("""COMPUTED_VALUE"""),"Male")</f>
        <v>Male</v>
      </c>
      <c r="D958" s="5" t="str">
        <f ca="1">IFERROR(__xludf.DUMMYFUNCTION("""COMPUTED_VALUE"""),"White")</f>
        <v>White</v>
      </c>
      <c r="E958" s="5" t="str">
        <f ca="1">IFERROR(__xludf.DUMMYFUNCTION("""COMPUTED_VALUE"""),"No Relation")</f>
        <v>No Relation</v>
      </c>
      <c r="F958" s="5" t="str">
        <f ca="1">IFERROR(__xludf.DUMMYFUNCTION("""COMPUTED_VALUE"""),"Fled/Escaped")</f>
        <v>Fled/Escaped</v>
      </c>
      <c r="G958" s="5" t="str">
        <f ca="1">IFERROR(__xludf.DUMMYFUNCTION("""COMPUTED_VALUE"""),"No")</f>
        <v>No</v>
      </c>
      <c r="H958" s="5" t="str">
        <f ca="1">IFERROR(__xludf.DUMMYFUNCTION("""COMPUTED_VALUE"""),"None")</f>
        <v>None</v>
      </c>
    </row>
    <row r="959" spans="1:8">
      <c r="A959" s="5" t="str">
        <f ca="1">IFERROR(__xludf.DUMMYFUNCTION("""COMPUTED_VALUE"""),"20170316ALROM")</f>
        <v>20170316ALROM</v>
      </c>
      <c r="B959" s="5">
        <f ca="1">IFERROR(__xludf.DUMMYFUNCTION("""COMPUTED_VALUE"""),16)</f>
        <v>16</v>
      </c>
      <c r="C959" s="5" t="str">
        <f ca="1">IFERROR(__xludf.DUMMYFUNCTION("""COMPUTED_VALUE"""),"Male")</f>
        <v>Male</v>
      </c>
      <c r="D959" s="5" t="str">
        <f ca="1">IFERROR(__xludf.DUMMYFUNCTION("""COMPUTED_VALUE"""),"Black")</f>
        <v>Black</v>
      </c>
      <c r="E959" s="5" t="str">
        <f ca="1">IFERROR(__xludf.DUMMYFUNCTION("""COMPUTED_VALUE"""),"Student")</f>
        <v>Student</v>
      </c>
      <c r="F959" s="5" t="str">
        <f ca="1">IFERROR(__xludf.DUMMYFUNCTION("""COMPUTED_VALUE"""),"Fled/Apprehended")</f>
        <v>Fled/Apprehended</v>
      </c>
      <c r="G959" s="5" t="str">
        <f ca="1">IFERROR(__xludf.DUMMYFUNCTION("""COMPUTED_VALUE"""),"No")</f>
        <v>No</v>
      </c>
      <c r="H959" s="5" t="str">
        <f ca="1">IFERROR(__xludf.DUMMYFUNCTION("""COMPUTED_VALUE"""),"None")</f>
        <v>None</v>
      </c>
    </row>
    <row r="960" spans="1:8">
      <c r="A960" s="5" t="str">
        <f ca="1">IFERROR(__xludf.DUMMYFUNCTION("""COMPUTED_VALUE"""),"20170218MNMAM")</f>
        <v>20170218MNMAM</v>
      </c>
      <c r="B960" s="5">
        <f ca="1">IFERROR(__xludf.DUMMYFUNCTION("""COMPUTED_VALUE"""),32)</f>
        <v>32</v>
      </c>
      <c r="C960" s="5" t="str">
        <f ca="1">IFERROR(__xludf.DUMMYFUNCTION("""COMPUTED_VALUE"""),"Male")</f>
        <v>Male</v>
      </c>
      <c r="D960" s="5"/>
      <c r="E960" s="5" t="str">
        <f ca="1">IFERROR(__xludf.DUMMYFUNCTION("""COMPUTED_VALUE"""),"No Relation")</f>
        <v>No Relation</v>
      </c>
      <c r="F960" s="5" t="str">
        <f ca="1">IFERROR(__xludf.DUMMYFUNCTION("""COMPUTED_VALUE"""),"Suicide")</f>
        <v>Suicide</v>
      </c>
      <c r="G960" s="5" t="str">
        <f ca="1">IFERROR(__xludf.DUMMYFUNCTION("""COMPUTED_VALUE"""),"Yes")</f>
        <v>Yes</v>
      </c>
      <c r="H960" s="5" t="str">
        <f ca="1">IFERROR(__xludf.DUMMYFUNCTION("""COMPUTED_VALUE"""),"Suicide")</f>
        <v>Suicide</v>
      </c>
    </row>
    <row r="961" spans="1:8">
      <c r="A961" s="5" t="str">
        <f ca="1">IFERROR(__xludf.DUMMYFUNCTION("""COMPUTED_VALUE"""),"20170206LASCB")</f>
        <v>20170206LASCB</v>
      </c>
      <c r="B961" s="5" t="str">
        <f ca="1">IFERROR(__xludf.DUMMYFUNCTION("""COMPUTED_VALUE"""),"Teen")</f>
        <v>Teen</v>
      </c>
      <c r="C961" s="5" t="str">
        <f ca="1">IFERROR(__xludf.DUMMYFUNCTION("""COMPUTED_VALUE"""),"Male")</f>
        <v>Male</v>
      </c>
      <c r="D961" s="5"/>
      <c r="E961" s="5" t="str">
        <f ca="1">IFERROR(__xludf.DUMMYFUNCTION("""COMPUTED_VALUE"""),"Student")</f>
        <v>Student</v>
      </c>
      <c r="F961" s="5" t="str">
        <f ca="1">IFERROR(__xludf.DUMMYFUNCTION("""COMPUTED_VALUE"""),"Fled/Apprehended")</f>
        <v>Fled/Apprehended</v>
      </c>
      <c r="G961" s="5" t="str">
        <f ca="1">IFERROR(__xludf.DUMMYFUNCTION("""COMPUTED_VALUE"""),"No")</f>
        <v>No</v>
      </c>
      <c r="H961" s="5" t="str">
        <f ca="1">IFERROR(__xludf.DUMMYFUNCTION("""COMPUTED_VALUE"""),"None")</f>
        <v>None</v>
      </c>
    </row>
    <row r="962" spans="1:8">
      <c r="A962" s="5" t="str">
        <f ca="1">IFERROR(__xludf.DUMMYFUNCTION("""COMPUTED_VALUE"""),"20170127SCSOA")</f>
        <v>20170127SCSOA</v>
      </c>
      <c r="B962" s="5">
        <f ca="1">IFERROR(__xludf.DUMMYFUNCTION("""COMPUTED_VALUE"""),18)</f>
        <v>18</v>
      </c>
      <c r="C962" s="5" t="str">
        <f ca="1">IFERROR(__xludf.DUMMYFUNCTION("""COMPUTED_VALUE"""),"Male")</f>
        <v>Male</v>
      </c>
      <c r="D962" s="5" t="str">
        <f ca="1">IFERROR(__xludf.DUMMYFUNCTION("""COMPUTED_VALUE"""),"Black")</f>
        <v>Black</v>
      </c>
      <c r="E962" s="5" t="str">
        <f ca="1">IFERROR(__xludf.DUMMYFUNCTION("""COMPUTED_VALUE"""),"Unknown")</f>
        <v>Unknown</v>
      </c>
      <c r="F962" s="5" t="str">
        <f ca="1">IFERROR(__xludf.DUMMYFUNCTION("""COMPUTED_VALUE"""),"Fled/Apprehended")</f>
        <v>Fled/Apprehended</v>
      </c>
      <c r="G962" s="5" t="str">
        <f ca="1">IFERROR(__xludf.DUMMYFUNCTION("""COMPUTED_VALUE"""),"No")</f>
        <v>No</v>
      </c>
      <c r="H962" s="5" t="str">
        <f ca="1">IFERROR(__xludf.DUMMYFUNCTION("""COMPUTED_VALUE"""),"None")</f>
        <v>None</v>
      </c>
    </row>
    <row r="963" spans="1:8">
      <c r="A963" s="5" t="str">
        <f ca="1">IFERROR(__xludf.DUMMYFUNCTION("""COMPUTED_VALUE"""),"20170127SCSOA")</f>
        <v>20170127SCSOA</v>
      </c>
      <c r="B963" s="5">
        <f ca="1">IFERROR(__xludf.DUMMYFUNCTION("""COMPUTED_VALUE"""),19)</f>
        <v>19</v>
      </c>
      <c r="C963" s="5" t="str">
        <f ca="1">IFERROR(__xludf.DUMMYFUNCTION("""COMPUTED_VALUE"""),"Male")</f>
        <v>Male</v>
      </c>
      <c r="D963" s="5" t="str">
        <f ca="1">IFERROR(__xludf.DUMMYFUNCTION("""COMPUTED_VALUE"""),"Black")</f>
        <v>Black</v>
      </c>
      <c r="E963" s="5" t="str">
        <f ca="1">IFERROR(__xludf.DUMMYFUNCTION("""COMPUTED_VALUE"""),"Nonstudent Using Athletic Facilities/Attending Game")</f>
        <v>Nonstudent Using Athletic Facilities/Attending Game</v>
      </c>
      <c r="F963" s="5" t="str">
        <f ca="1">IFERROR(__xludf.DUMMYFUNCTION("""COMPUTED_VALUE"""),"Fled/Apprehended")</f>
        <v>Fled/Apprehended</v>
      </c>
      <c r="G963" s="5" t="str">
        <f ca="1">IFERROR(__xludf.DUMMYFUNCTION("""COMPUTED_VALUE"""),"No")</f>
        <v>No</v>
      </c>
      <c r="H963" s="5" t="str">
        <f ca="1">IFERROR(__xludf.DUMMYFUNCTION("""COMPUTED_VALUE"""),"None")</f>
        <v>None</v>
      </c>
    </row>
    <row r="964" spans="1:8">
      <c r="A964" s="5" t="str">
        <f ca="1">IFERROR(__xludf.DUMMYFUNCTION("""COMPUTED_VALUE"""),"20170127ILSCN")</f>
        <v>20170127ILSCN</v>
      </c>
      <c r="B964" s="5"/>
      <c r="C964" s="5"/>
      <c r="D964" s="5"/>
      <c r="E964" s="5" t="str">
        <f ca="1">IFERROR(__xludf.DUMMYFUNCTION("""COMPUTED_VALUE"""),"No Relation")</f>
        <v>No Relation</v>
      </c>
      <c r="F964" s="5" t="str">
        <f ca="1">IFERROR(__xludf.DUMMYFUNCTION("""COMPUTED_VALUE"""),"Fled/Escaped")</f>
        <v>Fled/Escaped</v>
      </c>
      <c r="G964" s="5" t="str">
        <f ca="1">IFERROR(__xludf.DUMMYFUNCTION("""COMPUTED_VALUE"""),"No")</f>
        <v>No</v>
      </c>
      <c r="H964" s="5" t="str">
        <f ca="1">IFERROR(__xludf.DUMMYFUNCTION("""COMPUTED_VALUE"""),"None")</f>
        <v>None</v>
      </c>
    </row>
    <row r="965" spans="1:8">
      <c r="A965" s="5" t="str">
        <f ca="1">IFERROR(__xludf.DUMMYFUNCTION("""COMPUTED_VALUE"""),"20170120OHWEW")</f>
        <v>20170120OHWEW</v>
      </c>
      <c r="B965" s="5">
        <f ca="1">IFERROR(__xludf.DUMMYFUNCTION("""COMPUTED_VALUE"""),17)</f>
        <v>17</v>
      </c>
      <c r="C965" s="5" t="str">
        <f ca="1">IFERROR(__xludf.DUMMYFUNCTION("""COMPUTED_VALUE"""),"Male")</f>
        <v>Male</v>
      </c>
      <c r="D965" s="5" t="str">
        <f ca="1">IFERROR(__xludf.DUMMYFUNCTION("""COMPUTED_VALUE"""),"White")</f>
        <v>White</v>
      </c>
      <c r="E965" s="5" t="str">
        <f ca="1">IFERROR(__xludf.DUMMYFUNCTION("""COMPUTED_VALUE"""),"Student")</f>
        <v>Student</v>
      </c>
      <c r="F965" s="5" t="str">
        <f ca="1">IFERROR(__xludf.DUMMYFUNCTION("""COMPUTED_VALUE"""),"Surrendered")</f>
        <v>Surrendered</v>
      </c>
      <c r="G965" s="5" t="str">
        <f ca="1">IFERROR(__xludf.DUMMYFUNCTION("""COMPUTED_VALUE"""),"No")</f>
        <v>No</v>
      </c>
      <c r="H965" s="5" t="str">
        <f ca="1">IFERROR(__xludf.DUMMYFUNCTION("""COMPUTED_VALUE"""),"None")</f>
        <v>None</v>
      </c>
    </row>
    <row r="966" spans="1:8">
      <c r="A966" s="5" t="str">
        <f ca="1">IFERROR(__xludf.DUMMYFUNCTION("""COMPUTED_VALUE"""),"20170117FLFRE")</f>
        <v>20170117FLFRE</v>
      </c>
      <c r="B966" s="5" t="str">
        <f ca="1">IFERROR(__xludf.DUMMYFUNCTION("""COMPUTED_VALUE"""),"Adult")</f>
        <v>Adult</v>
      </c>
      <c r="C966" s="5"/>
      <c r="D966" s="5"/>
      <c r="E966" s="5" t="str">
        <f ca="1">IFERROR(__xludf.DUMMYFUNCTION("""COMPUTED_VALUE"""),"Parent")</f>
        <v>Parent</v>
      </c>
      <c r="F966" s="5" t="str">
        <f ca="1">IFERROR(__xludf.DUMMYFUNCTION("""COMPUTED_VALUE"""),"Unknown")</f>
        <v>Unknown</v>
      </c>
      <c r="G966" s="5" t="str">
        <f ca="1">IFERROR(__xludf.DUMMYFUNCTION("""COMPUTED_VALUE"""),"No")</f>
        <v>No</v>
      </c>
      <c r="H966" s="5" t="str">
        <f ca="1">IFERROR(__xludf.DUMMYFUNCTION("""COMPUTED_VALUE"""),"None")</f>
        <v>None</v>
      </c>
    </row>
    <row r="967" spans="1:8">
      <c r="A967" s="5" t="str">
        <f ca="1">IFERROR(__xludf.DUMMYFUNCTION("""COMPUTED_VALUE"""),"20170110ALALA")</f>
        <v>20170110ALALA</v>
      </c>
      <c r="B967" s="5" t="str">
        <f ca="1">IFERROR(__xludf.DUMMYFUNCTION("""COMPUTED_VALUE"""),"Teen")</f>
        <v>Teen</v>
      </c>
      <c r="C967" s="5" t="str">
        <f ca="1">IFERROR(__xludf.DUMMYFUNCTION("""COMPUTED_VALUE"""),"Male")</f>
        <v>Male</v>
      </c>
      <c r="D967" s="5"/>
      <c r="E967" s="5" t="str">
        <f ca="1">IFERROR(__xludf.DUMMYFUNCTION("""COMPUTED_VALUE"""),"Student")</f>
        <v>Student</v>
      </c>
      <c r="F967" s="5" t="str">
        <f ca="1">IFERROR(__xludf.DUMMYFUNCTION("""COMPUTED_VALUE"""),"Surrendered")</f>
        <v>Surrendered</v>
      </c>
      <c r="G967" s="5" t="str">
        <f ca="1">IFERROR(__xludf.DUMMYFUNCTION("""COMPUTED_VALUE"""),"No")</f>
        <v>No</v>
      </c>
      <c r="H967" s="5" t="str">
        <f ca="1">IFERROR(__xludf.DUMMYFUNCTION("""COMPUTED_VALUE"""),"None")</f>
        <v>None</v>
      </c>
    </row>
    <row r="968" spans="1:8">
      <c r="A968" s="5" t="str">
        <f ca="1">IFERROR(__xludf.DUMMYFUNCTION("""COMPUTED_VALUE"""),"20170101DELAH")</f>
        <v>20170101DELAH</v>
      </c>
      <c r="B968" s="5">
        <f ca="1">IFERROR(__xludf.DUMMYFUNCTION("""COMPUTED_VALUE"""),19)</f>
        <v>19</v>
      </c>
      <c r="C968" s="5" t="str">
        <f ca="1">IFERROR(__xludf.DUMMYFUNCTION("""COMPUTED_VALUE"""),"Male")</f>
        <v>Male</v>
      </c>
      <c r="D968" s="5" t="str">
        <f ca="1">IFERROR(__xludf.DUMMYFUNCTION("""COMPUTED_VALUE"""),"Black")</f>
        <v>Black</v>
      </c>
      <c r="E968" s="5" t="str">
        <f ca="1">IFERROR(__xludf.DUMMYFUNCTION("""COMPUTED_VALUE"""),"Unknown")</f>
        <v>Unknown</v>
      </c>
      <c r="F968" s="5" t="str">
        <f ca="1">IFERROR(__xludf.DUMMYFUNCTION("""COMPUTED_VALUE"""),"Fled/Apprehended")</f>
        <v>Fled/Apprehended</v>
      </c>
      <c r="G968" s="5" t="str">
        <f ca="1">IFERROR(__xludf.DUMMYFUNCTION("""COMPUTED_VALUE"""),"No")</f>
        <v>No</v>
      </c>
      <c r="H968" s="5" t="str">
        <f ca="1">IFERROR(__xludf.DUMMYFUNCTION("""COMPUTED_VALUE"""),"None")</f>
        <v>None</v>
      </c>
    </row>
    <row r="969" spans="1:8">
      <c r="A969" s="5" t="str">
        <f ca="1">IFERROR(__xludf.DUMMYFUNCTION("""COMPUTED_VALUE"""),"20161216FLSAJ")</f>
        <v>20161216FLSAJ</v>
      </c>
      <c r="B969" s="5">
        <f ca="1">IFERROR(__xludf.DUMMYFUNCTION("""COMPUTED_VALUE"""),17)</f>
        <v>17</v>
      </c>
      <c r="C969" s="5" t="str">
        <f ca="1">IFERROR(__xludf.DUMMYFUNCTION("""COMPUTED_VALUE"""),"Male")</f>
        <v>Male</v>
      </c>
      <c r="D969" s="5" t="str">
        <f ca="1">IFERROR(__xludf.DUMMYFUNCTION("""COMPUTED_VALUE"""),"Black")</f>
        <v>Black</v>
      </c>
      <c r="E969" s="5" t="str">
        <f ca="1">IFERROR(__xludf.DUMMYFUNCTION("""COMPUTED_VALUE"""),"Student")</f>
        <v>Student</v>
      </c>
      <c r="F969" s="5" t="str">
        <f ca="1">IFERROR(__xludf.DUMMYFUNCTION("""COMPUTED_VALUE"""),"Apprehended/Killed by LE")</f>
        <v>Apprehended/Killed by LE</v>
      </c>
      <c r="G969" s="5" t="str">
        <f ca="1">IFERROR(__xludf.DUMMYFUNCTION("""COMPUTED_VALUE"""),"No")</f>
        <v>No</v>
      </c>
      <c r="H969" s="5" t="str">
        <f ca="1">IFERROR(__xludf.DUMMYFUNCTION("""COMPUTED_VALUE"""),"None")</f>
        <v>None</v>
      </c>
    </row>
    <row r="970" spans="1:8">
      <c r="A970" s="5" t="str">
        <f ca="1">IFERROR(__xludf.DUMMYFUNCTION("""COMPUTED_VALUE"""),"20161209NVHUR")</f>
        <v>20161209NVHUR</v>
      </c>
      <c r="B970" s="5" t="str">
        <f ca="1">IFERROR(__xludf.DUMMYFUNCTION("""COMPUTED_VALUE"""),"Adult")</f>
        <v>Adult</v>
      </c>
      <c r="C970" s="5"/>
      <c r="D970" s="5"/>
      <c r="E970" s="5" t="str">
        <f ca="1">IFERROR(__xludf.DUMMYFUNCTION("""COMPUTED_VALUE"""),"Police Officer/SRO")</f>
        <v>Police Officer/SRO</v>
      </c>
      <c r="F970" s="5" t="str">
        <f ca="1">IFERROR(__xludf.DUMMYFUNCTION("""COMPUTED_VALUE"""),"Law Enforcement")</f>
        <v>Law Enforcement</v>
      </c>
      <c r="G970" s="5" t="str">
        <f ca="1">IFERROR(__xludf.DUMMYFUNCTION("""COMPUTED_VALUE"""),"No")</f>
        <v>No</v>
      </c>
      <c r="H970" s="5" t="str">
        <f ca="1">IFERROR(__xludf.DUMMYFUNCTION("""COMPUTED_VALUE"""),"None")</f>
        <v>None</v>
      </c>
    </row>
    <row r="971" spans="1:8">
      <c r="A971" s="5" t="str">
        <f ca="1">IFERROR(__xludf.DUMMYFUNCTION("""COMPUTED_VALUE"""),"20161209MOBAS")</f>
        <v>20161209MOBAS</v>
      </c>
      <c r="B971" s="5"/>
      <c r="C971" s="5" t="str">
        <f ca="1">IFERROR(__xludf.DUMMYFUNCTION("""COMPUTED_VALUE"""),"Male")</f>
        <v>Male</v>
      </c>
      <c r="D971" s="5"/>
      <c r="E971" s="5" t="str">
        <f ca="1">IFERROR(__xludf.DUMMYFUNCTION("""COMPUTED_VALUE"""),"Unknown")</f>
        <v>Unknown</v>
      </c>
      <c r="F971" s="5" t="str">
        <f ca="1">IFERROR(__xludf.DUMMYFUNCTION("""COMPUTED_VALUE"""),"Fled/Escaped")</f>
        <v>Fled/Escaped</v>
      </c>
      <c r="G971" s="5" t="str">
        <f ca="1">IFERROR(__xludf.DUMMYFUNCTION("""COMPUTED_VALUE"""),"No")</f>
        <v>No</v>
      </c>
      <c r="H971" s="5" t="str">
        <f ca="1">IFERROR(__xludf.DUMMYFUNCTION("""COMPUTED_VALUE"""),"None")</f>
        <v>None</v>
      </c>
    </row>
    <row r="972" spans="1:8">
      <c r="A972" s="5" t="str">
        <f ca="1">IFERROR(__xludf.DUMMYFUNCTION("""COMPUTED_VALUE"""),"20161201UTMUB")</f>
        <v>20161201UTMUB</v>
      </c>
      <c r="B972" s="5">
        <f ca="1">IFERROR(__xludf.DUMMYFUNCTION("""COMPUTED_VALUE"""),15)</f>
        <v>15</v>
      </c>
      <c r="C972" s="5" t="str">
        <f ca="1">IFERROR(__xludf.DUMMYFUNCTION("""COMPUTED_VALUE"""),"Male")</f>
        <v>Male</v>
      </c>
      <c r="D972" s="5"/>
      <c r="E972" s="5" t="str">
        <f ca="1">IFERROR(__xludf.DUMMYFUNCTION("""COMPUTED_VALUE"""),"Student")</f>
        <v>Student</v>
      </c>
      <c r="F972" s="5" t="str">
        <f ca="1">IFERROR(__xludf.DUMMYFUNCTION("""COMPUTED_VALUE"""),"Surrendered")</f>
        <v>Surrendered</v>
      </c>
      <c r="G972" s="5" t="str">
        <f ca="1">IFERROR(__xludf.DUMMYFUNCTION("""COMPUTED_VALUE"""),"No")</f>
        <v>No</v>
      </c>
      <c r="H972" s="5" t="str">
        <f ca="1">IFERROR(__xludf.DUMMYFUNCTION("""COMPUTED_VALUE"""),"None")</f>
        <v>None</v>
      </c>
    </row>
    <row r="973" spans="1:8">
      <c r="A973" s="5" t="str">
        <f ca="1">IFERROR(__xludf.DUMMYFUNCTION("""COMPUTED_VALUE"""),"20161117MNCRS")</f>
        <v>20161117MNCRS</v>
      </c>
      <c r="B973" s="5">
        <f ca="1">IFERROR(__xludf.DUMMYFUNCTION("""COMPUTED_VALUE"""),8)</f>
        <v>8</v>
      </c>
      <c r="C973" s="5" t="str">
        <f ca="1">IFERROR(__xludf.DUMMYFUNCTION("""COMPUTED_VALUE"""),"Male")</f>
        <v>Male</v>
      </c>
      <c r="D973" s="5"/>
      <c r="E973" s="5" t="str">
        <f ca="1">IFERROR(__xludf.DUMMYFUNCTION("""COMPUTED_VALUE"""),"Student")</f>
        <v>Student</v>
      </c>
      <c r="F973" s="5" t="str">
        <f ca="1">IFERROR(__xludf.DUMMYFUNCTION("""COMPUTED_VALUE"""),"Unknown")</f>
        <v>Unknown</v>
      </c>
      <c r="G973" s="5" t="str">
        <f ca="1">IFERROR(__xludf.DUMMYFUNCTION("""COMPUTED_VALUE"""),"No")</f>
        <v>No</v>
      </c>
      <c r="H973" s="5" t="str">
        <f ca="1">IFERROR(__xludf.DUMMYFUNCTION("""COMPUTED_VALUE"""),"None")</f>
        <v>None</v>
      </c>
    </row>
    <row r="974" spans="1:8">
      <c r="A974" s="5" t="str">
        <f ca="1">IFERROR(__xludf.DUMMYFUNCTION("""COMPUTED_VALUE"""),"20161111MIBAA")</f>
        <v>20161111MIBAA</v>
      </c>
      <c r="B974" s="5" t="str">
        <f ca="1">IFERROR(__xludf.DUMMYFUNCTION("""COMPUTED_VALUE"""),"Adult")</f>
        <v>Adult</v>
      </c>
      <c r="C974" s="5" t="str">
        <f ca="1">IFERROR(__xludf.DUMMYFUNCTION("""COMPUTED_VALUE"""),"Male")</f>
        <v>Male</v>
      </c>
      <c r="D974" s="5" t="str">
        <f ca="1">IFERROR(__xludf.DUMMYFUNCTION("""COMPUTED_VALUE"""),"White")</f>
        <v>White</v>
      </c>
      <c r="E974" s="5" t="str">
        <f ca="1">IFERROR(__xludf.DUMMYFUNCTION("""COMPUTED_VALUE"""),"Police Officer/SRO")</f>
        <v>Police Officer/SRO</v>
      </c>
      <c r="F974" s="5" t="str">
        <f ca="1">IFERROR(__xludf.DUMMYFUNCTION("""COMPUTED_VALUE"""),"Law Enforcement")</f>
        <v>Law Enforcement</v>
      </c>
      <c r="G974" s="5" t="str">
        <f ca="1">IFERROR(__xludf.DUMMYFUNCTION("""COMPUTED_VALUE"""),"No")</f>
        <v>No</v>
      </c>
      <c r="H974" s="5" t="str">
        <f ca="1">IFERROR(__xludf.DUMMYFUNCTION("""COMPUTED_VALUE"""),"None")</f>
        <v>None</v>
      </c>
    </row>
    <row r="975" spans="1:8">
      <c r="A975" s="5" t="str">
        <f ca="1">IFERROR(__xludf.DUMMYFUNCTION("""COMPUTED_VALUE"""),"20161103COBEB")</f>
        <v>20161103COBEB</v>
      </c>
      <c r="B975" s="5">
        <f ca="1">IFERROR(__xludf.DUMMYFUNCTION("""COMPUTED_VALUE"""),15)</f>
        <v>15</v>
      </c>
      <c r="C975" s="5" t="str">
        <f ca="1">IFERROR(__xludf.DUMMYFUNCTION("""COMPUTED_VALUE"""),"Male")</f>
        <v>Male</v>
      </c>
      <c r="D975" s="5"/>
      <c r="E975" s="5" t="str">
        <f ca="1">IFERROR(__xludf.DUMMYFUNCTION("""COMPUTED_VALUE"""),"Student")</f>
        <v>Student</v>
      </c>
      <c r="F975" s="5" t="str">
        <f ca="1">IFERROR(__xludf.DUMMYFUNCTION("""COMPUTED_VALUE"""),"Suicide")</f>
        <v>Suicide</v>
      </c>
      <c r="G975" s="5" t="str">
        <f ca="1">IFERROR(__xludf.DUMMYFUNCTION("""COMPUTED_VALUE"""),"Yes")</f>
        <v>Yes</v>
      </c>
      <c r="H975" s="5" t="str">
        <f ca="1">IFERROR(__xludf.DUMMYFUNCTION("""COMPUTED_VALUE"""),"Suicide")</f>
        <v>Suicide</v>
      </c>
    </row>
    <row r="976" spans="1:8">
      <c r="A976" s="5" t="str">
        <f ca="1">IFERROR(__xludf.DUMMYFUNCTION("""COMPUTED_VALUE"""),"20161102COGRG")</f>
        <v>20161102COGRG</v>
      </c>
      <c r="B976" s="5">
        <f ca="1">IFERROR(__xludf.DUMMYFUNCTION("""COMPUTED_VALUE"""),17)</f>
        <v>17</v>
      </c>
      <c r="C976" s="5" t="str">
        <f ca="1">IFERROR(__xludf.DUMMYFUNCTION("""COMPUTED_VALUE"""),"Male")</f>
        <v>Male</v>
      </c>
      <c r="D976" s="5" t="str">
        <f ca="1">IFERROR(__xludf.DUMMYFUNCTION("""COMPUTED_VALUE"""),"Hispanic")</f>
        <v>Hispanic</v>
      </c>
      <c r="E976" s="5" t="str">
        <f ca="1">IFERROR(__xludf.DUMMYFUNCTION("""COMPUTED_VALUE"""),"Student")</f>
        <v>Student</v>
      </c>
      <c r="F976" s="5" t="str">
        <f ca="1">IFERROR(__xludf.DUMMYFUNCTION("""COMPUTED_VALUE"""),"Suicide")</f>
        <v>Suicide</v>
      </c>
      <c r="G976" s="5" t="str">
        <f ca="1">IFERROR(__xludf.DUMMYFUNCTION("""COMPUTED_VALUE"""),"Yes")</f>
        <v>Yes</v>
      </c>
      <c r="H976" s="5" t="str">
        <f ca="1">IFERROR(__xludf.DUMMYFUNCTION("""COMPUTED_VALUE"""),"Suicide")</f>
        <v>Suicide</v>
      </c>
    </row>
    <row r="977" spans="1:8">
      <c r="A977" s="5" t="str">
        <f ca="1">IFERROR(__xludf.DUMMYFUNCTION("""COMPUTED_VALUE"""),"20161025UTUNS")</f>
        <v>20161025UTUNS</v>
      </c>
      <c r="B977" s="5">
        <f ca="1">IFERROR(__xludf.DUMMYFUNCTION("""COMPUTED_VALUE"""),14)</f>
        <v>14</v>
      </c>
      <c r="C977" s="5" t="str">
        <f ca="1">IFERROR(__xludf.DUMMYFUNCTION("""COMPUTED_VALUE"""),"Male")</f>
        <v>Male</v>
      </c>
      <c r="D977" s="5"/>
      <c r="E977" s="5" t="str">
        <f ca="1">IFERROR(__xludf.DUMMYFUNCTION("""COMPUTED_VALUE"""),"Student")</f>
        <v>Student</v>
      </c>
      <c r="F977" s="5" t="str">
        <f ca="1">IFERROR(__xludf.DUMMYFUNCTION("""COMPUTED_VALUE"""),"Surrendered")</f>
        <v>Surrendered</v>
      </c>
      <c r="G977" s="5" t="str">
        <f ca="1">IFERROR(__xludf.DUMMYFUNCTION("""COMPUTED_VALUE"""),"No")</f>
        <v>No</v>
      </c>
      <c r="H977" s="5" t="str">
        <f ca="1">IFERROR(__xludf.DUMMYFUNCTION("""COMPUTED_VALUE"""),"None")</f>
        <v>None</v>
      </c>
    </row>
    <row r="978" spans="1:8">
      <c r="A978" s="5" t="str">
        <f ca="1">IFERROR(__xludf.DUMMYFUNCTION("""COMPUTED_VALUE"""),"20161018CAJUS")</f>
        <v>20161018CAJUS</v>
      </c>
      <c r="B978" s="5">
        <f ca="1">IFERROR(__xludf.DUMMYFUNCTION("""COMPUTED_VALUE"""),17)</f>
        <v>17</v>
      </c>
      <c r="C978" s="5" t="str">
        <f ca="1">IFERROR(__xludf.DUMMYFUNCTION("""COMPUTED_VALUE"""),"Male")</f>
        <v>Male</v>
      </c>
      <c r="D978" s="5"/>
      <c r="E978" s="5" t="str">
        <f ca="1">IFERROR(__xludf.DUMMYFUNCTION("""COMPUTED_VALUE"""),"Nonstudent")</f>
        <v>Nonstudent</v>
      </c>
      <c r="F978" s="5" t="str">
        <f ca="1">IFERROR(__xludf.DUMMYFUNCTION("""COMPUTED_VALUE"""),"Fled/Apprehended")</f>
        <v>Fled/Apprehended</v>
      </c>
      <c r="G978" s="5" t="str">
        <f ca="1">IFERROR(__xludf.DUMMYFUNCTION("""COMPUTED_VALUE"""),"No")</f>
        <v>No</v>
      </c>
      <c r="H978" s="5" t="str">
        <f ca="1">IFERROR(__xludf.DUMMYFUNCTION("""COMPUTED_VALUE"""),"None")</f>
        <v>None</v>
      </c>
    </row>
    <row r="979" spans="1:8">
      <c r="A979" s="5" t="str">
        <f ca="1">IFERROR(__xludf.DUMMYFUNCTION("""COMPUTED_VALUE"""),"20161018CAJUS")</f>
        <v>20161018CAJUS</v>
      </c>
      <c r="B979" s="5" t="str">
        <f ca="1">IFERROR(__xludf.DUMMYFUNCTION("""COMPUTED_VALUE"""),"Teen")</f>
        <v>Teen</v>
      </c>
      <c r="C979" s="5" t="str">
        <f ca="1">IFERROR(__xludf.DUMMYFUNCTION("""COMPUTED_VALUE"""),"Male")</f>
        <v>Male</v>
      </c>
      <c r="D979" s="5"/>
      <c r="E979" s="5" t="str">
        <f ca="1">IFERROR(__xludf.DUMMYFUNCTION("""COMPUTED_VALUE"""),"Nonstudent")</f>
        <v>Nonstudent</v>
      </c>
      <c r="F979" s="5" t="str">
        <f ca="1">IFERROR(__xludf.DUMMYFUNCTION("""COMPUTED_VALUE"""),"Fled/Apprehended")</f>
        <v>Fled/Apprehended</v>
      </c>
      <c r="G979" s="5" t="str">
        <f ca="1">IFERROR(__xludf.DUMMYFUNCTION("""COMPUTED_VALUE"""),"No")</f>
        <v>No</v>
      </c>
      <c r="H979" s="5" t="str">
        <f ca="1">IFERROR(__xludf.DUMMYFUNCTION("""COMPUTED_VALUE"""),"None")</f>
        <v>None</v>
      </c>
    </row>
    <row r="980" spans="1:8">
      <c r="A980" s="5" t="str">
        <f ca="1">IFERROR(__xludf.DUMMYFUNCTION("""COMPUTED_VALUE"""),"20161018CAJUS")</f>
        <v>20161018CAJUS</v>
      </c>
      <c r="B980" s="5" t="str">
        <f ca="1">IFERROR(__xludf.DUMMYFUNCTION("""COMPUTED_VALUE"""),"Teen")</f>
        <v>Teen</v>
      </c>
      <c r="C980" s="5" t="str">
        <f ca="1">IFERROR(__xludf.DUMMYFUNCTION("""COMPUTED_VALUE"""),"Male")</f>
        <v>Male</v>
      </c>
      <c r="D980" s="5"/>
      <c r="E980" s="5" t="str">
        <f ca="1">IFERROR(__xludf.DUMMYFUNCTION("""COMPUTED_VALUE"""),"Nonstudent")</f>
        <v>Nonstudent</v>
      </c>
      <c r="F980" s="5" t="str">
        <f ca="1">IFERROR(__xludf.DUMMYFUNCTION("""COMPUTED_VALUE"""),"Fled/Apprehended")</f>
        <v>Fled/Apprehended</v>
      </c>
      <c r="G980" s="5" t="str">
        <f ca="1">IFERROR(__xludf.DUMMYFUNCTION("""COMPUTED_VALUE"""),"No")</f>
        <v>No</v>
      </c>
      <c r="H980" s="5" t="str">
        <f ca="1">IFERROR(__xludf.DUMMYFUNCTION("""COMPUTED_VALUE"""),"None")</f>
        <v>None</v>
      </c>
    </row>
    <row r="981" spans="1:8">
      <c r="A981" s="5" t="str">
        <f ca="1">IFERROR(__xludf.DUMMYFUNCTION("""COMPUTED_VALUE"""),"20161018CAJUS")</f>
        <v>20161018CAJUS</v>
      </c>
      <c r="B981" s="5" t="str">
        <f ca="1">IFERROR(__xludf.DUMMYFUNCTION("""COMPUTED_VALUE"""),"Teen")</f>
        <v>Teen</v>
      </c>
      <c r="C981" s="5" t="str">
        <f ca="1">IFERROR(__xludf.DUMMYFUNCTION("""COMPUTED_VALUE"""),"Male")</f>
        <v>Male</v>
      </c>
      <c r="D981" s="5"/>
      <c r="E981" s="5" t="str">
        <f ca="1">IFERROR(__xludf.DUMMYFUNCTION("""COMPUTED_VALUE"""),"Nonstudent")</f>
        <v>Nonstudent</v>
      </c>
      <c r="F981" s="5" t="str">
        <f ca="1">IFERROR(__xludf.DUMMYFUNCTION("""COMPUTED_VALUE"""),"Fled/Apprehended")</f>
        <v>Fled/Apprehended</v>
      </c>
      <c r="G981" s="5" t="str">
        <f ca="1">IFERROR(__xludf.DUMMYFUNCTION("""COMPUTED_VALUE"""),"No")</f>
        <v>No</v>
      </c>
      <c r="H981" s="5" t="str">
        <f ca="1">IFERROR(__xludf.DUMMYFUNCTION("""COMPUTED_VALUE"""),"None")</f>
        <v>None</v>
      </c>
    </row>
    <row r="982" spans="1:8">
      <c r="A982" s="5" t="str">
        <f ca="1">IFERROR(__xludf.DUMMYFUNCTION("""COMPUTED_VALUE"""),"20161015GABEA")</f>
        <v>20161015GABEA</v>
      </c>
      <c r="B982" s="5"/>
      <c r="C982" s="5" t="str">
        <f ca="1">IFERROR(__xludf.DUMMYFUNCTION("""COMPUTED_VALUE"""),"Male")</f>
        <v>Male</v>
      </c>
      <c r="D982" s="5"/>
      <c r="E982" s="5" t="str">
        <f ca="1">IFERROR(__xludf.DUMMYFUNCTION("""COMPUTED_VALUE"""),"Unknown")</f>
        <v>Unknown</v>
      </c>
      <c r="F982" s="5" t="str">
        <f ca="1">IFERROR(__xludf.DUMMYFUNCTION("""COMPUTED_VALUE"""),"Fled/Escaped")</f>
        <v>Fled/Escaped</v>
      </c>
      <c r="G982" s="5" t="str">
        <f ca="1">IFERROR(__xludf.DUMMYFUNCTION("""COMPUTED_VALUE"""),"No")</f>
        <v>No</v>
      </c>
      <c r="H982" s="5" t="str">
        <f ca="1">IFERROR(__xludf.DUMMYFUNCTION("""COMPUTED_VALUE"""),"None")</f>
        <v>None</v>
      </c>
    </row>
    <row r="983" spans="1:8">
      <c r="A983" s="5" t="str">
        <f ca="1">IFERROR(__xludf.DUMMYFUNCTION("""COMPUTED_VALUE"""),"20161013OHLIC")</f>
        <v>20161013OHLIC</v>
      </c>
      <c r="B983" s="5">
        <f ca="1">IFERROR(__xludf.DUMMYFUNCTION("""COMPUTED_VALUE"""),16)</f>
        <v>16</v>
      </c>
      <c r="C983" s="5" t="str">
        <f ca="1">IFERROR(__xludf.DUMMYFUNCTION("""COMPUTED_VALUE"""),"Male")</f>
        <v>Male</v>
      </c>
      <c r="D983" s="5" t="str">
        <f ca="1">IFERROR(__xludf.DUMMYFUNCTION("""COMPUTED_VALUE"""),"Black")</f>
        <v>Black</v>
      </c>
      <c r="E983" s="5" t="str">
        <f ca="1">IFERROR(__xludf.DUMMYFUNCTION("""COMPUTED_VALUE"""),"Unknown")</f>
        <v>Unknown</v>
      </c>
      <c r="F983" s="5" t="str">
        <f ca="1">IFERROR(__xludf.DUMMYFUNCTION("""COMPUTED_VALUE"""),"Fled/Apprehended")</f>
        <v>Fled/Apprehended</v>
      </c>
      <c r="G983" s="5" t="str">
        <f ca="1">IFERROR(__xludf.DUMMYFUNCTION("""COMPUTED_VALUE"""),"No")</f>
        <v>No</v>
      </c>
      <c r="H983" s="5" t="str">
        <f ca="1">IFERROR(__xludf.DUMMYFUNCTION("""COMPUTED_VALUE"""),"None")</f>
        <v>None</v>
      </c>
    </row>
    <row r="984" spans="1:8">
      <c r="A984" s="5" t="str">
        <f ca="1">IFERROR(__xludf.DUMMYFUNCTION("""COMPUTED_VALUE"""),"20161013OHLIC")</f>
        <v>20161013OHLIC</v>
      </c>
      <c r="B984" s="5">
        <f ca="1">IFERROR(__xludf.DUMMYFUNCTION("""COMPUTED_VALUE"""),16)</f>
        <v>16</v>
      </c>
      <c r="C984" s="5" t="str">
        <f ca="1">IFERROR(__xludf.DUMMYFUNCTION("""COMPUTED_VALUE"""),"Male")</f>
        <v>Male</v>
      </c>
      <c r="D984" s="5" t="str">
        <f ca="1">IFERROR(__xludf.DUMMYFUNCTION("""COMPUTED_VALUE"""),"Black")</f>
        <v>Black</v>
      </c>
      <c r="E984" s="5" t="str">
        <f ca="1">IFERROR(__xludf.DUMMYFUNCTION("""COMPUTED_VALUE"""),"Unknown")</f>
        <v>Unknown</v>
      </c>
      <c r="F984" s="5" t="str">
        <f ca="1">IFERROR(__xludf.DUMMYFUNCTION("""COMPUTED_VALUE"""),"Fled/Apprehended")</f>
        <v>Fled/Apprehended</v>
      </c>
      <c r="G984" s="5" t="str">
        <f ca="1">IFERROR(__xludf.DUMMYFUNCTION("""COMPUTED_VALUE"""),"No")</f>
        <v>No</v>
      </c>
      <c r="H984" s="5" t="str">
        <f ca="1">IFERROR(__xludf.DUMMYFUNCTION("""COMPUTED_VALUE"""),"None")</f>
        <v>None</v>
      </c>
    </row>
    <row r="985" spans="1:8">
      <c r="A985" s="5" t="str">
        <f ca="1">IFERROR(__xludf.DUMMYFUNCTION("""COMPUTED_VALUE"""),"20161011ALVIM")</f>
        <v>20161011ALVIM</v>
      </c>
      <c r="B985" s="5">
        <f ca="1">IFERROR(__xludf.DUMMYFUNCTION("""COMPUTED_VALUE"""),16)</f>
        <v>16</v>
      </c>
      <c r="C985" s="5" t="str">
        <f ca="1">IFERROR(__xludf.DUMMYFUNCTION("""COMPUTED_VALUE"""),"Male")</f>
        <v>Male</v>
      </c>
      <c r="D985" s="5" t="str">
        <f ca="1">IFERROR(__xludf.DUMMYFUNCTION("""COMPUTED_VALUE"""),"Black")</f>
        <v>Black</v>
      </c>
      <c r="E985" s="5" t="str">
        <f ca="1">IFERROR(__xludf.DUMMYFUNCTION("""COMPUTED_VALUE"""),"Student")</f>
        <v>Student</v>
      </c>
      <c r="F985" s="5" t="str">
        <f ca="1">IFERROR(__xludf.DUMMYFUNCTION("""COMPUTED_VALUE"""),"Surrendered")</f>
        <v>Surrendered</v>
      </c>
      <c r="G985" s="5" t="str">
        <f ca="1">IFERROR(__xludf.DUMMYFUNCTION("""COMPUTED_VALUE"""),"No")</f>
        <v>No</v>
      </c>
      <c r="H985" s="5" t="str">
        <f ca="1">IFERROR(__xludf.DUMMYFUNCTION("""COMPUTED_VALUE"""),"None")</f>
        <v>None</v>
      </c>
    </row>
    <row r="986" spans="1:8">
      <c r="A986" s="5" t="str">
        <f ca="1">IFERROR(__xludf.DUMMYFUNCTION("""COMPUTED_VALUE"""),"20161006TXDUF")</f>
        <v>20161006TXDUF</v>
      </c>
      <c r="B986" s="5"/>
      <c r="C986" s="5"/>
      <c r="D986" s="5"/>
      <c r="E986" s="5" t="str">
        <f ca="1">IFERROR(__xludf.DUMMYFUNCTION("""COMPUTED_VALUE"""),"Unknown")</f>
        <v>Unknown</v>
      </c>
      <c r="F986" s="5" t="str">
        <f ca="1">IFERROR(__xludf.DUMMYFUNCTION("""COMPUTED_VALUE"""),"Fled/Escaped")</f>
        <v>Fled/Escaped</v>
      </c>
      <c r="G986" s="5" t="str">
        <f ca="1">IFERROR(__xludf.DUMMYFUNCTION("""COMPUTED_VALUE"""),"No")</f>
        <v>No</v>
      </c>
      <c r="H986" s="5" t="str">
        <f ca="1">IFERROR(__xludf.DUMMYFUNCTION("""COMPUTED_VALUE"""),"None")</f>
        <v>None</v>
      </c>
    </row>
    <row r="987" spans="1:8">
      <c r="A987" s="5" t="str">
        <f ca="1">IFERROR(__xludf.DUMMYFUNCTION("""COMPUTED_VALUE"""),"20160930ILCHC")</f>
        <v>20160930ILCHC</v>
      </c>
      <c r="B987" s="5"/>
      <c r="C987" s="5"/>
      <c r="D987" s="5"/>
      <c r="E987" s="5" t="str">
        <f ca="1">IFERROR(__xludf.DUMMYFUNCTION("""COMPUTED_VALUE"""),"Unknown")</f>
        <v>Unknown</v>
      </c>
      <c r="F987" s="5" t="str">
        <f ca="1">IFERROR(__xludf.DUMMYFUNCTION("""COMPUTED_VALUE"""),"Fled/Escaped")</f>
        <v>Fled/Escaped</v>
      </c>
      <c r="G987" s="5" t="str">
        <f ca="1">IFERROR(__xludf.DUMMYFUNCTION("""COMPUTED_VALUE"""),"No")</f>
        <v>No</v>
      </c>
      <c r="H987" s="5" t="str">
        <f ca="1">IFERROR(__xludf.DUMMYFUNCTION("""COMPUTED_VALUE"""),"None")</f>
        <v>None</v>
      </c>
    </row>
    <row r="988" spans="1:8">
      <c r="A988" s="5" t="str">
        <f ca="1">IFERROR(__xludf.DUMMYFUNCTION("""COMPUTED_VALUE"""),"20160928TNSYP")</f>
        <v>20160928TNSYP</v>
      </c>
      <c r="B988" s="5">
        <f ca="1">IFERROR(__xludf.DUMMYFUNCTION("""COMPUTED_VALUE"""),14)</f>
        <v>14</v>
      </c>
      <c r="C988" s="5" t="str">
        <f ca="1">IFERROR(__xludf.DUMMYFUNCTION("""COMPUTED_VALUE"""),"Male")</f>
        <v>Male</v>
      </c>
      <c r="D988" s="5"/>
      <c r="E988" s="5" t="str">
        <f ca="1">IFERROR(__xludf.DUMMYFUNCTION("""COMPUTED_VALUE"""),"Student")</f>
        <v>Student</v>
      </c>
      <c r="F988" s="5" t="str">
        <f ca="1">IFERROR(__xludf.DUMMYFUNCTION("""COMPUTED_VALUE"""),"Surrendered")</f>
        <v>Surrendered</v>
      </c>
      <c r="G988" s="5" t="str">
        <f ca="1">IFERROR(__xludf.DUMMYFUNCTION("""COMPUTED_VALUE"""),"No")</f>
        <v>No</v>
      </c>
      <c r="H988" s="5" t="str">
        <f ca="1">IFERROR(__xludf.DUMMYFUNCTION("""COMPUTED_VALUE"""),"None")</f>
        <v>None</v>
      </c>
    </row>
    <row r="989" spans="1:8">
      <c r="A989" s="5" t="str">
        <f ca="1">IFERROR(__xludf.DUMMYFUNCTION("""COMPUTED_VALUE"""),"20160928SCTOT")</f>
        <v>20160928SCTOT</v>
      </c>
      <c r="B989" s="5">
        <f ca="1">IFERROR(__xludf.DUMMYFUNCTION("""COMPUTED_VALUE"""),14)</f>
        <v>14</v>
      </c>
      <c r="C989" s="5" t="str">
        <f ca="1">IFERROR(__xludf.DUMMYFUNCTION("""COMPUTED_VALUE"""),"Male")</f>
        <v>Male</v>
      </c>
      <c r="D989" s="5" t="str">
        <f ca="1">IFERROR(__xludf.DUMMYFUNCTION("""COMPUTED_VALUE"""),"White")</f>
        <v>White</v>
      </c>
      <c r="E989" s="5" t="str">
        <f ca="1">IFERROR(__xludf.DUMMYFUNCTION("""COMPUTED_VALUE"""),"Former Student")</f>
        <v>Former Student</v>
      </c>
      <c r="F989" s="5" t="str">
        <f ca="1">IFERROR(__xludf.DUMMYFUNCTION("""COMPUTED_VALUE"""),"Subdued by Students/Staff/Other")</f>
        <v>Subdued by Students/Staff/Other</v>
      </c>
      <c r="G989" s="5" t="str">
        <f ca="1">IFERROR(__xludf.DUMMYFUNCTION("""COMPUTED_VALUE"""),"No")</f>
        <v>No</v>
      </c>
      <c r="H989" s="5" t="str">
        <f ca="1">IFERROR(__xludf.DUMMYFUNCTION("""COMPUTED_VALUE"""),"None")</f>
        <v>None</v>
      </c>
    </row>
    <row r="990" spans="1:8">
      <c r="A990" s="5" t="str">
        <f ca="1">IFERROR(__xludf.DUMMYFUNCTION("""COMPUTED_VALUE"""),"20160927OHELC")</f>
        <v>20160927OHELC</v>
      </c>
      <c r="B990" s="5"/>
      <c r="C990" s="5"/>
      <c r="D990" s="5"/>
      <c r="E990" s="5" t="str">
        <f ca="1">IFERROR(__xludf.DUMMYFUNCTION("""COMPUTED_VALUE"""),"Unknown")</f>
        <v>Unknown</v>
      </c>
      <c r="F990" s="5" t="str">
        <f ca="1">IFERROR(__xludf.DUMMYFUNCTION("""COMPUTED_VALUE"""),"Fled/Escaped")</f>
        <v>Fled/Escaped</v>
      </c>
      <c r="G990" s="5" t="str">
        <f ca="1">IFERROR(__xludf.DUMMYFUNCTION("""COMPUTED_VALUE"""),"No")</f>
        <v>No</v>
      </c>
      <c r="H990" s="5" t="str">
        <f ca="1">IFERROR(__xludf.DUMMYFUNCTION("""COMPUTED_VALUE"""),"None")</f>
        <v>None</v>
      </c>
    </row>
    <row r="991" spans="1:8">
      <c r="A991" s="5" t="str">
        <f ca="1">IFERROR(__xludf.DUMMYFUNCTION("""COMPUTED_VALUE"""),"20160926MSTAJ")</f>
        <v>20160926MSTAJ</v>
      </c>
      <c r="B991" s="5">
        <f ca="1">IFERROR(__xludf.DUMMYFUNCTION("""COMPUTED_VALUE"""),18)</f>
        <v>18</v>
      </c>
      <c r="C991" s="5" t="str">
        <f ca="1">IFERROR(__xludf.DUMMYFUNCTION("""COMPUTED_VALUE"""),"Male")</f>
        <v>Male</v>
      </c>
      <c r="D991" s="5" t="str">
        <f ca="1">IFERROR(__xludf.DUMMYFUNCTION("""COMPUTED_VALUE"""),"Black")</f>
        <v>Black</v>
      </c>
      <c r="E991" s="5" t="str">
        <f ca="1">IFERROR(__xludf.DUMMYFUNCTION("""COMPUTED_VALUE"""),"No Relation")</f>
        <v>No Relation</v>
      </c>
      <c r="F991" s="5" t="str">
        <f ca="1">IFERROR(__xludf.DUMMYFUNCTION("""COMPUTED_VALUE"""),"Fled/Apprehended")</f>
        <v>Fled/Apprehended</v>
      </c>
      <c r="G991" s="5" t="str">
        <f ca="1">IFERROR(__xludf.DUMMYFUNCTION("""COMPUTED_VALUE"""),"No")</f>
        <v>No</v>
      </c>
      <c r="H991" s="5" t="str">
        <f ca="1">IFERROR(__xludf.DUMMYFUNCTION("""COMPUTED_VALUE"""),"None")</f>
        <v>None</v>
      </c>
    </row>
    <row r="992" spans="1:8">
      <c r="A992" s="5" t="str">
        <f ca="1">IFERROR(__xludf.DUMMYFUNCTION("""COMPUTED_VALUE"""),"20160909PASMY")</f>
        <v>20160909PASMY</v>
      </c>
      <c r="B992" s="5"/>
      <c r="C992" s="5" t="str">
        <f ca="1">IFERROR(__xludf.DUMMYFUNCTION("""COMPUTED_VALUE"""),"Male")</f>
        <v>Male</v>
      </c>
      <c r="D992" s="5"/>
      <c r="E992" s="5" t="str">
        <f ca="1">IFERROR(__xludf.DUMMYFUNCTION("""COMPUTED_VALUE"""),"Unknown")</f>
        <v>Unknown</v>
      </c>
      <c r="F992" s="5" t="str">
        <f ca="1">IFERROR(__xludf.DUMMYFUNCTION("""COMPUTED_VALUE"""),"Fled/Escaped")</f>
        <v>Fled/Escaped</v>
      </c>
      <c r="G992" s="5" t="str">
        <f ca="1">IFERROR(__xludf.DUMMYFUNCTION("""COMPUTED_VALUE"""),"No")</f>
        <v>No</v>
      </c>
      <c r="H992" s="5" t="str">
        <f ca="1">IFERROR(__xludf.DUMMYFUNCTION("""COMPUTED_VALUE"""),"None")</f>
        <v>None</v>
      </c>
    </row>
    <row r="993" spans="1:8">
      <c r="A993" s="5" t="str">
        <f ca="1">IFERROR(__xludf.DUMMYFUNCTION("""COMPUTED_VALUE"""),"20160909IACEC")</f>
        <v>20160909IACEC</v>
      </c>
      <c r="B993" s="5">
        <f ca="1">IFERROR(__xludf.DUMMYFUNCTION("""COMPUTED_VALUE"""),15)</f>
        <v>15</v>
      </c>
      <c r="C993" s="5" t="str">
        <f ca="1">IFERROR(__xludf.DUMMYFUNCTION("""COMPUTED_VALUE"""),"Male")</f>
        <v>Male</v>
      </c>
      <c r="D993" s="5"/>
      <c r="E993" s="5" t="str">
        <f ca="1">IFERROR(__xludf.DUMMYFUNCTION("""COMPUTED_VALUE"""),"Student")</f>
        <v>Student</v>
      </c>
      <c r="F993" s="5" t="str">
        <f ca="1">IFERROR(__xludf.DUMMYFUNCTION("""COMPUTED_VALUE"""),"Suicide")</f>
        <v>Suicide</v>
      </c>
      <c r="G993" s="5" t="str">
        <f ca="1">IFERROR(__xludf.DUMMYFUNCTION("""COMPUTED_VALUE"""),"Yes")</f>
        <v>Yes</v>
      </c>
      <c r="H993" s="5" t="str">
        <f ca="1">IFERROR(__xludf.DUMMYFUNCTION("""COMPUTED_VALUE"""),"Suicide")</f>
        <v>Suicide</v>
      </c>
    </row>
    <row r="994" spans="1:8">
      <c r="A994" s="5" t="str">
        <f ca="1">IFERROR(__xludf.DUMMYFUNCTION("""COMPUTED_VALUE"""),"20160908TXALA")</f>
        <v>20160908TXALA</v>
      </c>
      <c r="B994" s="5">
        <f ca="1">IFERROR(__xludf.DUMMYFUNCTION("""COMPUTED_VALUE"""),14)</f>
        <v>14</v>
      </c>
      <c r="C994" s="5" t="str">
        <f ca="1">IFERROR(__xludf.DUMMYFUNCTION("""COMPUTED_VALUE"""),"Female")</f>
        <v>Female</v>
      </c>
      <c r="D994" s="5"/>
      <c r="E994" s="5" t="str">
        <f ca="1">IFERROR(__xludf.DUMMYFUNCTION("""COMPUTED_VALUE"""),"Student")</f>
        <v>Student</v>
      </c>
      <c r="F994" s="5" t="str">
        <f ca="1">IFERROR(__xludf.DUMMYFUNCTION("""COMPUTED_VALUE"""),"Suicide")</f>
        <v>Suicide</v>
      </c>
      <c r="G994" s="5" t="str">
        <f ca="1">IFERROR(__xludf.DUMMYFUNCTION("""COMPUTED_VALUE"""),"Yes")</f>
        <v>Yes</v>
      </c>
      <c r="H994" s="5" t="str">
        <f ca="1">IFERROR(__xludf.DUMMYFUNCTION("""COMPUTED_VALUE"""),"Suicide")</f>
        <v>Suicide</v>
      </c>
    </row>
    <row r="995" spans="1:8">
      <c r="A995" s="5" t="str">
        <f ca="1">IFERROR(__xludf.DUMMYFUNCTION("""COMPUTED_VALUE"""),"20160907MIDED")</f>
        <v>20160907MIDED</v>
      </c>
      <c r="B995" s="5"/>
      <c r="C995" s="5"/>
      <c r="D995" s="5"/>
      <c r="E995" s="5" t="str">
        <f ca="1">IFERROR(__xludf.DUMMYFUNCTION("""COMPUTED_VALUE"""),"Unknown")</f>
        <v>Unknown</v>
      </c>
      <c r="F995" s="5" t="str">
        <f ca="1">IFERROR(__xludf.DUMMYFUNCTION("""COMPUTED_VALUE"""),"Fled/Escaped")</f>
        <v>Fled/Escaped</v>
      </c>
      <c r="G995" s="5" t="str">
        <f ca="1">IFERROR(__xludf.DUMMYFUNCTION("""COMPUTED_VALUE"""),"No")</f>
        <v>No</v>
      </c>
      <c r="H995" s="5" t="str">
        <f ca="1">IFERROR(__xludf.DUMMYFUNCTION("""COMPUTED_VALUE"""),"None")</f>
        <v>None</v>
      </c>
    </row>
    <row r="996" spans="1:8">
      <c r="A996" s="5" t="str">
        <f ca="1">IFERROR(__xludf.DUMMYFUNCTION("""COMPUTED_VALUE"""),"20160902OKMCT")</f>
        <v>20160902OKMCT</v>
      </c>
      <c r="B996" s="5">
        <f ca="1">IFERROR(__xludf.DUMMYFUNCTION("""COMPUTED_VALUE"""),16)</f>
        <v>16</v>
      </c>
      <c r="C996" s="5" t="str">
        <f ca="1">IFERROR(__xludf.DUMMYFUNCTION("""COMPUTED_VALUE"""),"Male")</f>
        <v>Male</v>
      </c>
      <c r="D996" s="5"/>
      <c r="E996" s="5" t="str">
        <f ca="1">IFERROR(__xludf.DUMMYFUNCTION("""COMPUTED_VALUE"""),"Unknown")</f>
        <v>Unknown</v>
      </c>
      <c r="F996" s="5" t="str">
        <f ca="1">IFERROR(__xludf.DUMMYFUNCTION("""COMPUTED_VALUE"""),"Fled/Escaped")</f>
        <v>Fled/Escaped</v>
      </c>
      <c r="G996" s="5" t="str">
        <f ca="1">IFERROR(__xludf.DUMMYFUNCTION("""COMPUTED_VALUE"""),"No")</f>
        <v>No</v>
      </c>
      <c r="H996" s="5" t="str">
        <f ca="1">IFERROR(__xludf.DUMMYFUNCTION("""COMPUTED_VALUE"""),"None")</f>
        <v>None</v>
      </c>
    </row>
    <row r="997" spans="1:8">
      <c r="A997" s="5" t="str">
        <f ca="1">IFERROR(__xludf.DUMMYFUNCTION("""COMPUTED_VALUE"""),"20160819FLSOM")</f>
        <v>20160819FLSOM</v>
      </c>
      <c r="B997" s="5"/>
      <c r="C997" s="5" t="str">
        <f ca="1">IFERROR(__xludf.DUMMYFUNCTION("""COMPUTED_VALUE"""),"Male")</f>
        <v>Male</v>
      </c>
      <c r="D997" s="5"/>
      <c r="E997" s="5" t="str">
        <f ca="1">IFERROR(__xludf.DUMMYFUNCTION("""COMPUTED_VALUE"""),"Nonstudent Using Athletic Facilities/Attending Game")</f>
        <v>Nonstudent Using Athletic Facilities/Attending Game</v>
      </c>
      <c r="F997" s="5" t="str">
        <f ca="1">IFERROR(__xludf.DUMMYFUNCTION("""COMPUTED_VALUE"""),"Unknown")</f>
        <v>Unknown</v>
      </c>
      <c r="G997" s="5" t="str">
        <f ca="1">IFERROR(__xludf.DUMMYFUNCTION("""COMPUTED_VALUE"""),"No")</f>
        <v>No</v>
      </c>
      <c r="H997" s="5" t="str">
        <f ca="1">IFERROR(__xludf.DUMMYFUNCTION("""COMPUTED_VALUE"""),"None")</f>
        <v>None</v>
      </c>
    </row>
    <row r="998" spans="1:8">
      <c r="A998" s="5" t="str">
        <f ca="1">IFERROR(__xludf.DUMMYFUNCTION("""COMPUTED_VALUE"""),"20160817OHWEC")</f>
        <v>20160817OHWEC</v>
      </c>
      <c r="B998" s="5" t="str">
        <f ca="1">IFERROR(__xludf.DUMMYFUNCTION("""COMPUTED_VALUE"""),"Adult")</f>
        <v>Adult</v>
      </c>
      <c r="C998" s="5" t="str">
        <f ca="1">IFERROR(__xludf.DUMMYFUNCTION("""COMPUTED_VALUE"""),"Male")</f>
        <v>Male</v>
      </c>
      <c r="D998" s="5"/>
      <c r="E998" s="5" t="str">
        <f ca="1">IFERROR(__xludf.DUMMYFUNCTION("""COMPUTED_VALUE"""),"No Relation")</f>
        <v>No Relation</v>
      </c>
      <c r="F998" s="5" t="str">
        <f ca="1">IFERROR(__xludf.DUMMYFUNCTION("""COMPUTED_VALUE"""),"Fled/Escaped")</f>
        <v>Fled/Escaped</v>
      </c>
      <c r="G998" s="5" t="str">
        <f ca="1">IFERROR(__xludf.DUMMYFUNCTION("""COMPUTED_VALUE"""),"No")</f>
        <v>No</v>
      </c>
      <c r="H998" s="5" t="str">
        <f ca="1">IFERROR(__xludf.DUMMYFUNCTION("""COMPUTED_VALUE"""),"None")</f>
        <v>None</v>
      </c>
    </row>
    <row r="999" spans="1:8">
      <c r="A999" s="5" t="str">
        <f ca="1">IFERROR(__xludf.DUMMYFUNCTION("""COMPUTED_VALUE"""),"20160725MOAVA")</f>
        <v>20160725MOAVA</v>
      </c>
      <c r="B999" s="5">
        <f ca="1">IFERROR(__xludf.DUMMYFUNCTION("""COMPUTED_VALUE"""),18)</f>
        <v>18</v>
      </c>
      <c r="C999" s="5" t="str">
        <f ca="1">IFERROR(__xludf.DUMMYFUNCTION("""COMPUTED_VALUE"""),"Male")</f>
        <v>Male</v>
      </c>
      <c r="D999" s="5" t="str">
        <f ca="1">IFERROR(__xludf.DUMMYFUNCTION("""COMPUTED_VALUE"""),"White")</f>
        <v>White</v>
      </c>
      <c r="E999" s="5" t="str">
        <f ca="1">IFERROR(__xludf.DUMMYFUNCTION("""COMPUTED_VALUE"""),"Former Student")</f>
        <v>Former Student</v>
      </c>
      <c r="F999" s="5" t="str">
        <f ca="1">IFERROR(__xludf.DUMMYFUNCTION("""COMPUTED_VALUE"""),"Suicide")</f>
        <v>Suicide</v>
      </c>
      <c r="G999" s="5" t="str">
        <f ca="1">IFERROR(__xludf.DUMMYFUNCTION("""COMPUTED_VALUE"""),"Yes")</f>
        <v>Yes</v>
      </c>
      <c r="H999" s="5" t="str">
        <f ca="1">IFERROR(__xludf.DUMMYFUNCTION("""COMPUTED_VALUE"""),"Suicide")</f>
        <v>Suicide</v>
      </c>
    </row>
    <row r="1000" spans="1:8">
      <c r="A1000" s="5" t="str">
        <f ca="1">IFERROR(__xludf.DUMMYFUNCTION("""COMPUTED_VALUE"""),"20160630CAWOH")</f>
        <v>20160630CAWOH</v>
      </c>
      <c r="B1000" s="5"/>
      <c r="C1000" s="5"/>
      <c r="D1000" s="5"/>
      <c r="E1000" s="5" t="str">
        <f ca="1">IFERROR(__xludf.DUMMYFUNCTION("""COMPUTED_VALUE"""),"Unknown")</f>
        <v>Unknown</v>
      </c>
      <c r="F1000" s="5" t="str">
        <f ca="1">IFERROR(__xludf.DUMMYFUNCTION("""COMPUTED_VALUE"""),"Fled/Escaped")</f>
        <v>Fled/Escaped</v>
      </c>
      <c r="G1000" s="5" t="str">
        <f ca="1">IFERROR(__xludf.DUMMYFUNCTION("""COMPUTED_VALUE"""),"No")</f>
        <v>No</v>
      </c>
      <c r="H1000" s="5" t="str">
        <f ca="1">IFERROR(__xludf.DUMMYFUNCTION("""COMPUTED_VALUE"""),"None")</f>
        <v>None</v>
      </c>
    </row>
    <row r="1001" spans="1:8">
      <c r="A1001" s="5" t="str">
        <f ca="1">IFERROR(__xludf.DUMMYFUNCTION("""COMPUTED_VALUE"""),"20160616ILMCC")</f>
        <v>20160616ILMCC</v>
      </c>
      <c r="B1001" s="5"/>
      <c r="C1001" s="5"/>
      <c r="D1001" s="5"/>
      <c r="E1001" s="5" t="str">
        <f ca="1">IFERROR(__xludf.DUMMYFUNCTION("""COMPUTED_VALUE"""),"Unknown")</f>
        <v>Unknown</v>
      </c>
      <c r="F1001" s="5" t="str">
        <f ca="1">IFERROR(__xludf.DUMMYFUNCTION("""COMPUTED_VALUE"""),"Fled/Escaped")</f>
        <v>Fled/Escaped</v>
      </c>
      <c r="G1001" s="5" t="str">
        <f ca="1">IFERROR(__xludf.DUMMYFUNCTION("""COMPUTED_VALUE"""),"No")</f>
        <v>No</v>
      </c>
      <c r="H1001" s="5" t="str">
        <f ca="1">IFERROR(__xludf.DUMMYFUNCTION("""COMPUTED_VALUE"""),"None")</f>
        <v>None</v>
      </c>
    </row>
    <row r="1002" spans="1:8">
      <c r="A1002" s="5" t="str">
        <f ca="1">IFERROR(__xludf.DUMMYFUNCTION("""COMPUTED_VALUE"""),"20160608MAJED")</f>
        <v>20160608MAJED</v>
      </c>
      <c r="B1002" s="5">
        <f ca="1">IFERROR(__xludf.DUMMYFUNCTION("""COMPUTED_VALUE"""),24)</f>
        <v>24</v>
      </c>
      <c r="C1002" s="5" t="str">
        <f ca="1">IFERROR(__xludf.DUMMYFUNCTION("""COMPUTED_VALUE"""),"Male")</f>
        <v>Male</v>
      </c>
      <c r="D1002" s="5" t="str">
        <f ca="1">IFERROR(__xludf.DUMMYFUNCTION("""COMPUTED_VALUE"""),"Black")</f>
        <v>Black</v>
      </c>
      <c r="E1002" s="5" t="str">
        <f ca="1">IFERROR(__xludf.DUMMYFUNCTION("""COMPUTED_VALUE"""),"No Relation")</f>
        <v>No Relation</v>
      </c>
      <c r="F1002" s="5" t="str">
        <f ca="1">IFERROR(__xludf.DUMMYFUNCTION("""COMPUTED_VALUE"""),"Fled/Apprehended")</f>
        <v>Fled/Apprehended</v>
      </c>
      <c r="G1002" s="5" t="str">
        <f ca="1">IFERROR(__xludf.DUMMYFUNCTION("""COMPUTED_VALUE"""),"No")</f>
        <v>No</v>
      </c>
      <c r="H1002" s="5" t="str">
        <f ca="1">IFERROR(__xludf.DUMMYFUNCTION("""COMPUTED_VALUE"""),"None")</f>
        <v>None</v>
      </c>
    </row>
    <row r="1003" spans="1:8">
      <c r="A1003" s="5" t="str">
        <f ca="1">IFERROR(__xludf.DUMMYFUNCTION("""COMPUTED_VALUE"""),"20160608MAJED")</f>
        <v>20160608MAJED</v>
      </c>
      <c r="B1003" s="5">
        <f ca="1">IFERROR(__xludf.DUMMYFUNCTION("""COMPUTED_VALUE"""),23)</f>
        <v>23</v>
      </c>
      <c r="C1003" s="5" t="str">
        <f ca="1">IFERROR(__xludf.DUMMYFUNCTION("""COMPUTED_VALUE"""),"Male")</f>
        <v>Male</v>
      </c>
      <c r="D1003" s="5" t="str">
        <f ca="1">IFERROR(__xludf.DUMMYFUNCTION("""COMPUTED_VALUE"""),"Black")</f>
        <v>Black</v>
      </c>
      <c r="E1003" s="5" t="str">
        <f ca="1">IFERROR(__xludf.DUMMYFUNCTION("""COMPUTED_VALUE"""),"No Relation")</f>
        <v>No Relation</v>
      </c>
      <c r="F1003" s="5" t="str">
        <f ca="1">IFERROR(__xludf.DUMMYFUNCTION("""COMPUTED_VALUE"""),"Fled/Apprehended")</f>
        <v>Fled/Apprehended</v>
      </c>
      <c r="G1003" s="5" t="str">
        <f ca="1">IFERROR(__xludf.DUMMYFUNCTION("""COMPUTED_VALUE"""),"No")</f>
        <v>No</v>
      </c>
      <c r="H1003" s="5" t="str">
        <f ca="1">IFERROR(__xludf.DUMMYFUNCTION("""COMPUTED_VALUE"""),"None")</f>
        <v>None</v>
      </c>
    </row>
    <row r="1004" spans="1:8">
      <c r="A1004" s="5" t="str">
        <f ca="1">IFERROR(__xludf.DUMMYFUNCTION("""COMPUTED_VALUE"""),"20160515KSAUA")</f>
        <v>20160515KSAUA</v>
      </c>
      <c r="B1004" s="5">
        <f ca="1">IFERROR(__xludf.DUMMYFUNCTION("""COMPUTED_VALUE"""),37)</f>
        <v>37</v>
      </c>
      <c r="C1004" s="5" t="str">
        <f ca="1">IFERROR(__xludf.DUMMYFUNCTION("""COMPUTED_VALUE"""),"Male")</f>
        <v>Male</v>
      </c>
      <c r="D1004" s="5"/>
      <c r="E1004" s="5" t="str">
        <f ca="1">IFERROR(__xludf.DUMMYFUNCTION("""COMPUTED_VALUE"""),"Relative")</f>
        <v>Relative</v>
      </c>
      <c r="F1004" s="5" t="str">
        <f ca="1">IFERROR(__xludf.DUMMYFUNCTION("""COMPUTED_VALUE"""),"Unknown")</f>
        <v>Unknown</v>
      </c>
      <c r="G1004" s="5" t="str">
        <f ca="1">IFERROR(__xludf.DUMMYFUNCTION("""COMPUTED_VALUE"""),"No")</f>
        <v>No</v>
      </c>
      <c r="H1004" s="5" t="str">
        <f ca="1">IFERROR(__xludf.DUMMYFUNCTION("""COMPUTED_VALUE"""),"Wounded")</f>
        <v>Wounded</v>
      </c>
    </row>
    <row r="1005" spans="1:8">
      <c r="A1005" s="5" t="str">
        <f ca="1">IFERROR(__xludf.DUMMYFUNCTION("""COMPUTED_VALUE"""),"20160513SCSOG")</f>
        <v>20160513SCSOG</v>
      </c>
      <c r="B1005" s="5">
        <f ca="1">IFERROR(__xludf.DUMMYFUNCTION("""COMPUTED_VALUE"""),16)</f>
        <v>16</v>
      </c>
      <c r="C1005" s="5" t="str">
        <f ca="1">IFERROR(__xludf.DUMMYFUNCTION("""COMPUTED_VALUE"""),"Male")</f>
        <v>Male</v>
      </c>
      <c r="D1005" s="5"/>
      <c r="E1005" s="5" t="str">
        <f ca="1">IFERROR(__xludf.DUMMYFUNCTION("""COMPUTED_VALUE"""),"Student")</f>
        <v>Student</v>
      </c>
      <c r="F1005" s="5" t="str">
        <f ca="1">IFERROR(__xludf.DUMMYFUNCTION("""COMPUTED_VALUE"""),"Surrendered")</f>
        <v>Surrendered</v>
      </c>
      <c r="G1005" s="5" t="str">
        <f ca="1">IFERROR(__xludf.DUMMYFUNCTION("""COMPUTED_VALUE"""),"No")</f>
        <v>No</v>
      </c>
      <c r="H1005" s="5" t="str">
        <f ca="1">IFERROR(__xludf.DUMMYFUNCTION("""COMPUTED_VALUE"""),"Wounded")</f>
        <v>Wounded</v>
      </c>
    </row>
    <row r="1006" spans="1:8">
      <c r="A1006" s="5" t="str">
        <f ca="1">IFERROR(__xludf.DUMMYFUNCTION("""COMPUTED_VALUE"""),"20160506IDROT")</f>
        <v>20160506IDROT</v>
      </c>
      <c r="B1006" s="5">
        <f ca="1">IFERROR(__xludf.DUMMYFUNCTION("""COMPUTED_VALUE"""),14)</f>
        <v>14</v>
      </c>
      <c r="C1006" s="5" t="str">
        <f ca="1">IFERROR(__xludf.DUMMYFUNCTION("""COMPUTED_VALUE"""),"Male")</f>
        <v>Male</v>
      </c>
      <c r="D1006" s="5"/>
      <c r="E1006" s="5" t="str">
        <f ca="1">IFERROR(__xludf.DUMMYFUNCTION("""COMPUTED_VALUE"""),"Student")</f>
        <v>Student</v>
      </c>
      <c r="F1006" s="5" t="str">
        <f ca="1">IFERROR(__xludf.DUMMYFUNCTION("""COMPUTED_VALUE"""),"Unknown")</f>
        <v>Unknown</v>
      </c>
      <c r="G1006" s="5" t="str">
        <f ca="1">IFERROR(__xludf.DUMMYFUNCTION("""COMPUTED_VALUE"""),"No")</f>
        <v>No</v>
      </c>
      <c r="H1006" s="5" t="str">
        <f ca="1">IFERROR(__xludf.DUMMYFUNCTION("""COMPUTED_VALUE"""),"None")</f>
        <v>None</v>
      </c>
    </row>
    <row r="1007" spans="1:8">
      <c r="A1007" s="5" t="str">
        <f ca="1">IFERROR(__xludf.DUMMYFUNCTION("""COMPUTED_VALUE"""),"20160506FLOSP")</f>
        <v>20160506FLOSP</v>
      </c>
      <c r="B1007" s="5">
        <f ca="1">IFERROR(__xludf.DUMMYFUNCTION("""COMPUTED_VALUE"""),28)</f>
        <v>28</v>
      </c>
      <c r="C1007" s="5" t="str">
        <f ca="1">IFERROR(__xludf.DUMMYFUNCTION("""COMPUTED_VALUE"""),"Male")</f>
        <v>Male</v>
      </c>
      <c r="D1007" s="5"/>
      <c r="E1007" s="5" t="str">
        <f ca="1">IFERROR(__xludf.DUMMYFUNCTION("""COMPUTED_VALUE"""),"No Relation")</f>
        <v>No Relation</v>
      </c>
      <c r="F1007" s="5" t="str">
        <f ca="1">IFERROR(__xludf.DUMMYFUNCTION("""COMPUTED_VALUE"""),"Surrendered")</f>
        <v>Surrendered</v>
      </c>
      <c r="G1007" s="5" t="str">
        <f ca="1">IFERROR(__xludf.DUMMYFUNCTION("""COMPUTED_VALUE"""),"No")</f>
        <v>No</v>
      </c>
      <c r="H1007" s="5" t="str">
        <f ca="1">IFERROR(__xludf.DUMMYFUNCTION("""COMPUTED_VALUE"""),"Wounded")</f>
        <v>Wounded</v>
      </c>
    </row>
    <row r="1008" spans="1:8">
      <c r="A1008" s="5" t="str">
        <f ca="1">IFERROR(__xludf.DUMMYFUNCTION("""COMPUTED_VALUE"""),"20160505MDHIB")</f>
        <v>20160505MDHIB</v>
      </c>
      <c r="B1008" s="5">
        <f ca="1">IFERROR(__xludf.DUMMYFUNCTION("""COMPUTED_VALUE"""),62)</f>
        <v>62</v>
      </c>
      <c r="C1008" s="5" t="str">
        <f ca="1">IFERROR(__xludf.DUMMYFUNCTION("""COMPUTED_VALUE"""),"Male")</f>
        <v>Male</v>
      </c>
      <c r="D1008" s="5" t="str">
        <f ca="1">IFERROR(__xludf.DUMMYFUNCTION("""COMPUTED_VALUE"""),"Hispanic")</f>
        <v>Hispanic</v>
      </c>
      <c r="E1008" s="5" t="str">
        <f ca="1">IFERROR(__xludf.DUMMYFUNCTION("""COMPUTED_VALUE"""),"Intimate Relationship")</f>
        <v>Intimate Relationship</v>
      </c>
      <c r="F1008" s="5" t="str">
        <f ca="1">IFERROR(__xludf.DUMMYFUNCTION("""COMPUTED_VALUE"""),"Fled/Apprehended")</f>
        <v>Fled/Apprehended</v>
      </c>
      <c r="G1008" s="5" t="str">
        <f ca="1">IFERROR(__xludf.DUMMYFUNCTION("""COMPUTED_VALUE"""),"No")</f>
        <v>No</v>
      </c>
      <c r="H1008" s="5" t="str">
        <f ca="1">IFERROR(__xludf.DUMMYFUNCTION("""COMPUTED_VALUE"""),"None")</f>
        <v>None</v>
      </c>
    </row>
    <row r="1009" spans="1:8">
      <c r="A1009" s="5" t="str">
        <f ca="1">IFERROR(__xludf.DUMMYFUNCTION("""COMPUTED_VALUE"""),"20160504COEAP")</f>
        <v>20160504COEAP</v>
      </c>
      <c r="B1009" s="5">
        <f ca="1">IFERROR(__xludf.DUMMYFUNCTION("""COMPUTED_VALUE"""),25)</f>
        <v>25</v>
      </c>
      <c r="C1009" s="5" t="str">
        <f ca="1">IFERROR(__xludf.DUMMYFUNCTION("""COMPUTED_VALUE"""),"Male")</f>
        <v>Male</v>
      </c>
      <c r="D1009" s="5" t="str">
        <f ca="1">IFERROR(__xludf.DUMMYFUNCTION("""COMPUTED_VALUE"""),"White")</f>
        <v>White</v>
      </c>
      <c r="E1009" s="5" t="str">
        <f ca="1">IFERROR(__xludf.DUMMYFUNCTION("""COMPUTED_VALUE"""),"No Relation")</f>
        <v>No Relation</v>
      </c>
      <c r="F1009" s="5" t="str">
        <f ca="1">IFERROR(__xludf.DUMMYFUNCTION("""COMPUTED_VALUE"""),"Fled/Escaped")</f>
        <v>Fled/Escaped</v>
      </c>
      <c r="G1009" s="5" t="str">
        <f ca="1">IFERROR(__xludf.DUMMYFUNCTION("""COMPUTED_VALUE"""),"Yes")</f>
        <v>Yes</v>
      </c>
      <c r="H1009" s="5" t="str">
        <f ca="1">IFERROR(__xludf.DUMMYFUNCTION("""COMPUTED_VALUE"""),"Suicide")</f>
        <v>Suicide</v>
      </c>
    </row>
    <row r="1010" spans="1:8">
      <c r="A1010" s="5" t="str">
        <f ca="1">IFERROR(__xludf.DUMMYFUNCTION("""COMPUTED_VALUE"""),"20160502TXKID")</f>
        <v>20160502TXKID</v>
      </c>
      <c r="B1010" s="5">
        <f ca="1">IFERROR(__xludf.DUMMYFUNCTION("""COMPUTED_VALUE"""),15)</f>
        <v>15</v>
      </c>
      <c r="C1010" s="5" t="str">
        <f ca="1">IFERROR(__xludf.DUMMYFUNCTION("""COMPUTED_VALUE"""),"Male")</f>
        <v>Male</v>
      </c>
      <c r="D1010" s="5" t="str">
        <f ca="1">IFERROR(__xludf.DUMMYFUNCTION("""COMPUTED_VALUE"""),"Black")</f>
        <v>Black</v>
      </c>
      <c r="E1010" s="5" t="str">
        <f ca="1">IFERROR(__xludf.DUMMYFUNCTION("""COMPUTED_VALUE"""),"Student")</f>
        <v>Student</v>
      </c>
      <c r="F1010" s="5" t="str">
        <f ca="1">IFERROR(__xludf.DUMMYFUNCTION("""COMPUTED_VALUE"""),"Unknown")</f>
        <v>Unknown</v>
      </c>
      <c r="G1010" s="5" t="str">
        <f ca="1">IFERROR(__xludf.DUMMYFUNCTION("""COMPUTED_VALUE"""),"No")</f>
        <v>No</v>
      </c>
      <c r="H1010" s="5" t="str">
        <f ca="1">IFERROR(__xludf.DUMMYFUNCTION("""COMPUTED_VALUE"""),"Wounded")</f>
        <v>Wounded</v>
      </c>
    </row>
    <row r="1011" spans="1:8">
      <c r="A1011" s="5" t="str">
        <f ca="1">IFERROR(__xludf.DUMMYFUNCTION("""COMPUTED_VALUE"""),"20160423WIANA")</f>
        <v>20160423WIANA</v>
      </c>
      <c r="B1011" s="5">
        <f ca="1">IFERROR(__xludf.DUMMYFUNCTION("""COMPUTED_VALUE"""),18)</f>
        <v>18</v>
      </c>
      <c r="C1011" s="5" t="str">
        <f ca="1">IFERROR(__xludf.DUMMYFUNCTION("""COMPUTED_VALUE"""),"Male")</f>
        <v>Male</v>
      </c>
      <c r="D1011" s="5" t="str">
        <f ca="1">IFERROR(__xludf.DUMMYFUNCTION("""COMPUTED_VALUE"""),"White")</f>
        <v>White</v>
      </c>
      <c r="E1011" s="5" t="str">
        <f ca="1">IFERROR(__xludf.DUMMYFUNCTION("""COMPUTED_VALUE"""),"Former Student")</f>
        <v>Former Student</v>
      </c>
      <c r="F1011" s="5" t="str">
        <f ca="1">IFERROR(__xludf.DUMMYFUNCTION("""COMPUTED_VALUE"""),"Apprehended/Killed by LE")</f>
        <v>Apprehended/Killed by LE</v>
      </c>
      <c r="G1011" s="5" t="str">
        <f ca="1">IFERROR(__xludf.DUMMYFUNCTION("""COMPUTED_VALUE"""),"Yes")</f>
        <v>Yes</v>
      </c>
      <c r="H1011" s="5" t="str">
        <f ca="1">IFERROR(__xludf.DUMMYFUNCTION("""COMPUTED_VALUE"""),"Fatal")</f>
        <v>Fatal</v>
      </c>
    </row>
    <row r="1012" spans="1:8">
      <c r="A1012" s="5" t="str">
        <f ca="1">IFERROR(__xludf.DUMMYFUNCTION("""COMPUTED_VALUE"""),"20160315ALHUB")</f>
        <v>20160315ALHUB</v>
      </c>
      <c r="B1012" s="5">
        <f ca="1">IFERROR(__xludf.DUMMYFUNCTION("""COMPUTED_VALUE"""),19)</f>
        <v>19</v>
      </c>
      <c r="C1012" s="5" t="str">
        <f ca="1">IFERROR(__xludf.DUMMYFUNCTION("""COMPUTED_VALUE"""),"Male")</f>
        <v>Male</v>
      </c>
      <c r="D1012" s="5" t="str">
        <f ca="1">IFERROR(__xludf.DUMMYFUNCTION("""COMPUTED_VALUE"""),"Black")</f>
        <v>Black</v>
      </c>
      <c r="E1012" s="5" t="str">
        <f ca="1">IFERROR(__xludf.DUMMYFUNCTION("""COMPUTED_VALUE"""),"Relative")</f>
        <v>Relative</v>
      </c>
      <c r="F1012" s="5" t="str">
        <f ca="1">IFERROR(__xludf.DUMMYFUNCTION("""COMPUTED_VALUE"""),"Apprehended/Killed by SRO")</f>
        <v>Apprehended/Killed by SRO</v>
      </c>
      <c r="G1012" s="5" t="str">
        <f ca="1">IFERROR(__xludf.DUMMYFUNCTION("""COMPUTED_VALUE"""),"No")</f>
        <v>No</v>
      </c>
      <c r="H1012" s="5" t="str">
        <f ca="1">IFERROR(__xludf.DUMMYFUNCTION("""COMPUTED_VALUE"""),"None")</f>
        <v>None</v>
      </c>
    </row>
    <row r="1013" spans="1:8">
      <c r="A1013" s="5" t="str">
        <f ca="1">IFERROR(__xludf.DUMMYFUNCTION("""COMPUTED_VALUE"""),"20160229OHMAM")</f>
        <v>20160229OHMAM</v>
      </c>
      <c r="B1013" s="5">
        <f ca="1">IFERROR(__xludf.DUMMYFUNCTION("""COMPUTED_VALUE"""),14)</f>
        <v>14</v>
      </c>
      <c r="C1013" s="5" t="str">
        <f ca="1">IFERROR(__xludf.DUMMYFUNCTION("""COMPUTED_VALUE"""),"Male")</f>
        <v>Male</v>
      </c>
      <c r="D1013" s="5" t="str">
        <f ca="1">IFERROR(__xludf.DUMMYFUNCTION("""COMPUTED_VALUE"""),"White")</f>
        <v>White</v>
      </c>
      <c r="E1013" s="5" t="str">
        <f ca="1">IFERROR(__xludf.DUMMYFUNCTION("""COMPUTED_VALUE"""),"Student")</f>
        <v>Student</v>
      </c>
      <c r="F1013" s="5" t="str">
        <f ca="1">IFERROR(__xludf.DUMMYFUNCTION("""COMPUTED_VALUE"""),"Fled/Apprehended")</f>
        <v>Fled/Apprehended</v>
      </c>
      <c r="G1013" s="5" t="str">
        <f ca="1">IFERROR(__xludf.DUMMYFUNCTION("""COMPUTED_VALUE"""),"No")</f>
        <v>No</v>
      </c>
      <c r="H1013" s="5" t="str">
        <f ca="1">IFERROR(__xludf.DUMMYFUNCTION("""COMPUTED_VALUE"""),"None")</f>
        <v>None</v>
      </c>
    </row>
    <row r="1014" spans="1:8">
      <c r="A1014" s="5" t="str">
        <f ca="1">IFERROR(__xludf.DUMMYFUNCTION("""COMPUTED_VALUE"""),"20160226TXPAP")</f>
        <v>20160226TXPAP</v>
      </c>
      <c r="B1014" s="5">
        <f ca="1">IFERROR(__xludf.DUMMYFUNCTION("""COMPUTED_VALUE"""),63)</f>
        <v>63</v>
      </c>
      <c r="C1014" s="5" t="str">
        <f ca="1">IFERROR(__xludf.DUMMYFUNCTION("""COMPUTED_VALUE"""),"Male")</f>
        <v>Male</v>
      </c>
      <c r="D1014" s="5" t="str">
        <f ca="1">IFERROR(__xludf.DUMMYFUNCTION("""COMPUTED_VALUE"""),"Black")</f>
        <v>Black</v>
      </c>
      <c r="E1014" s="5" t="str">
        <f ca="1">IFERROR(__xludf.DUMMYFUNCTION("""COMPUTED_VALUE"""),"Parent")</f>
        <v>Parent</v>
      </c>
      <c r="F1014" s="5" t="str">
        <f ca="1">IFERROR(__xludf.DUMMYFUNCTION("""COMPUTED_VALUE"""),"Apprehended/Killed by LE")</f>
        <v>Apprehended/Killed by LE</v>
      </c>
      <c r="G1014" s="5" t="str">
        <f ca="1">IFERROR(__xludf.DUMMYFUNCTION("""COMPUTED_VALUE"""),"No")</f>
        <v>No</v>
      </c>
      <c r="H1014" s="5" t="str">
        <f ca="1">IFERROR(__xludf.DUMMYFUNCTION("""COMPUTED_VALUE"""),"None")</f>
        <v>None</v>
      </c>
    </row>
    <row r="1015" spans="1:8">
      <c r="A1015" s="5" t="str">
        <f ca="1">IFERROR(__xludf.DUMMYFUNCTION("""COMPUTED_VALUE"""),"20160217PACHC")</f>
        <v>20160217PACHC</v>
      </c>
      <c r="B1015" s="5">
        <f ca="1">IFERROR(__xludf.DUMMYFUNCTION("""COMPUTED_VALUE"""),16)</f>
        <v>16</v>
      </c>
      <c r="C1015" s="5" t="str">
        <f ca="1">IFERROR(__xludf.DUMMYFUNCTION("""COMPUTED_VALUE"""),"Male")</f>
        <v>Male</v>
      </c>
      <c r="D1015" s="5" t="str">
        <f ca="1">IFERROR(__xludf.DUMMYFUNCTION("""COMPUTED_VALUE"""),"Hispanic")</f>
        <v>Hispanic</v>
      </c>
      <c r="E1015" s="5" t="str">
        <f ca="1">IFERROR(__xludf.DUMMYFUNCTION("""COMPUTED_VALUE"""),"Student")</f>
        <v>Student</v>
      </c>
      <c r="F1015" s="5" t="str">
        <f ca="1">IFERROR(__xludf.DUMMYFUNCTION("""COMPUTED_VALUE"""),"Apprehended/Killed by LE")</f>
        <v>Apprehended/Killed by LE</v>
      </c>
      <c r="G1015" s="5" t="str">
        <f ca="1">IFERROR(__xludf.DUMMYFUNCTION("""COMPUTED_VALUE"""),"No")</f>
        <v>No</v>
      </c>
      <c r="H1015" s="5" t="str">
        <f ca="1">IFERROR(__xludf.DUMMYFUNCTION("""COMPUTED_VALUE"""),"None")</f>
        <v>None</v>
      </c>
    </row>
    <row r="1016" spans="1:8">
      <c r="A1016" s="5" t="str">
        <f ca="1">IFERROR(__xludf.DUMMYFUNCTION("""COMPUTED_VALUE"""),"20160217FLROH")</f>
        <v>20160217FLROH</v>
      </c>
      <c r="B1016" s="5" t="str">
        <f ca="1">IFERROR(__xludf.DUMMYFUNCTION("""COMPUTED_VALUE"""),"Adult")</f>
        <v>Adult</v>
      </c>
      <c r="C1016" s="5" t="str">
        <f ca="1">IFERROR(__xludf.DUMMYFUNCTION("""COMPUTED_VALUE"""),"Male")</f>
        <v>Male</v>
      </c>
      <c r="D1016" s="5"/>
      <c r="E1016" s="5" t="str">
        <f ca="1">IFERROR(__xludf.DUMMYFUNCTION("""COMPUTED_VALUE"""),"Other Staff")</f>
        <v>Other Staff</v>
      </c>
      <c r="F1016" s="5" t="str">
        <f ca="1">IFERROR(__xludf.DUMMYFUNCTION("""COMPUTED_VALUE"""),"Surrendered")</f>
        <v>Surrendered</v>
      </c>
      <c r="G1016" s="5" t="str">
        <f ca="1">IFERROR(__xludf.DUMMYFUNCTION("""COMPUTED_VALUE"""),"No")</f>
        <v>No</v>
      </c>
      <c r="H1016" s="5" t="str">
        <f ca="1">IFERROR(__xludf.DUMMYFUNCTION("""COMPUTED_VALUE"""),"None")</f>
        <v>None</v>
      </c>
    </row>
    <row r="1017" spans="1:8">
      <c r="A1017" s="5" t="str">
        <f ca="1">IFERROR(__xludf.DUMMYFUNCTION("""COMPUTED_VALUE"""),"20160212AZING")</f>
        <v>20160212AZING</v>
      </c>
      <c r="B1017" s="5">
        <f ca="1">IFERROR(__xludf.DUMMYFUNCTION("""COMPUTED_VALUE"""),15)</f>
        <v>15</v>
      </c>
      <c r="C1017" s="5" t="str">
        <f ca="1">IFERROR(__xludf.DUMMYFUNCTION("""COMPUTED_VALUE"""),"Female")</f>
        <v>Female</v>
      </c>
      <c r="D1017" s="5" t="str">
        <f ca="1">IFERROR(__xludf.DUMMYFUNCTION("""COMPUTED_VALUE"""),"White")</f>
        <v>White</v>
      </c>
      <c r="E1017" s="5" t="str">
        <f ca="1">IFERROR(__xludf.DUMMYFUNCTION("""COMPUTED_VALUE"""),"Student")</f>
        <v>Student</v>
      </c>
      <c r="F1017" s="5" t="str">
        <f ca="1">IFERROR(__xludf.DUMMYFUNCTION("""COMPUTED_VALUE"""),"Suicide")</f>
        <v>Suicide</v>
      </c>
      <c r="G1017" s="5" t="str">
        <f ca="1">IFERROR(__xludf.DUMMYFUNCTION("""COMPUTED_VALUE"""),"Yes")</f>
        <v>Yes</v>
      </c>
      <c r="H1017" s="5" t="str">
        <f ca="1">IFERROR(__xludf.DUMMYFUNCTION("""COMPUTED_VALUE"""),"Suicide")</f>
        <v>Suicide</v>
      </c>
    </row>
    <row r="1018" spans="1:8">
      <c r="A1018" s="5" t="str">
        <f ca="1">IFERROR(__xludf.DUMMYFUNCTION("""COMPUTED_VALUE"""),"20160209MIMUM")</f>
        <v>20160209MIMUM</v>
      </c>
      <c r="B1018" s="5">
        <f ca="1">IFERROR(__xludf.DUMMYFUNCTION("""COMPUTED_VALUE"""),22)</f>
        <v>22</v>
      </c>
      <c r="C1018" s="5" t="str">
        <f ca="1">IFERROR(__xludf.DUMMYFUNCTION("""COMPUTED_VALUE"""),"Male")</f>
        <v>Male</v>
      </c>
      <c r="D1018" s="5" t="str">
        <f ca="1">IFERROR(__xludf.DUMMYFUNCTION("""COMPUTED_VALUE"""),"Black")</f>
        <v>Black</v>
      </c>
      <c r="E1018" s="5" t="str">
        <f ca="1">IFERROR(__xludf.DUMMYFUNCTION("""COMPUTED_VALUE"""),"No Relation")</f>
        <v>No Relation</v>
      </c>
      <c r="F1018" s="5" t="str">
        <f ca="1">IFERROR(__xludf.DUMMYFUNCTION("""COMPUTED_VALUE"""),"Apprehended/Killed by LE")</f>
        <v>Apprehended/Killed by LE</v>
      </c>
      <c r="G1018" s="5" t="str">
        <f ca="1">IFERROR(__xludf.DUMMYFUNCTION("""COMPUTED_VALUE"""),"No")</f>
        <v>No</v>
      </c>
      <c r="H1018" s="5" t="str">
        <f ca="1">IFERROR(__xludf.DUMMYFUNCTION("""COMPUTED_VALUE"""),"Wounded")</f>
        <v>Wounded</v>
      </c>
    </row>
    <row r="1019" spans="1:8">
      <c r="A1019" s="5" t="str">
        <f ca="1">IFERROR(__xludf.DUMMYFUNCTION("""COMPUTED_VALUE"""),"20160129PABEP")</f>
        <v>20160129PABEP</v>
      </c>
      <c r="B1019" s="5">
        <f ca="1">IFERROR(__xludf.DUMMYFUNCTION("""COMPUTED_VALUE"""),16)</f>
        <v>16</v>
      </c>
      <c r="C1019" s="5" t="str">
        <f ca="1">IFERROR(__xludf.DUMMYFUNCTION("""COMPUTED_VALUE"""),"Male")</f>
        <v>Male</v>
      </c>
      <c r="D1019" s="5" t="str">
        <f ca="1">IFERROR(__xludf.DUMMYFUNCTION("""COMPUTED_VALUE"""),"Other")</f>
        <v>Other</v>
      </c>
      <c r="E1019" s="5" t="str">
        <f ca="1">IFERROR(__xludf.DUMMYFUNCTION("""COMPUTED_VALUE"""),"Student")</f>
        <v>Student</v>
      </c>
      <c r="F1019" s="5" t="str">
        <f ca="1">IFERROR(__xludf.DUMMYFUNCTION("""COMPUTED_VALUE"""),"Apprehended/Killed by LE")</f>
        <v>Apprehended/Killed by LE</v>
      </c>
      <c r="G1019" s="5" t="str">
        <f ca="1">IFERROR(__xludf.DUMMYFUNCTION("""COMPUTED_VALUE"""),"No")</f>
        <v>No</v>
      </c>
      <c r="H1019" s="5" t="str">
        <f ca="1">IFERROR(__xludf.DUMMYFUNCTION("""COMPUTED_VALUE"""),"None")</f>
        <v>None</v>
      </c>
    </row>
    <row r="1020" spans="1:8">
      <c r="A1020" s="5" t="str">
        <f ca="1">IFERROR(__xludf.DUMMYFUNCTION("""COMPUTED_VALUE"""),"20160122INLAI")</f>
        <v>20160122INLAI</v>
      </c>
      <c r="B1020" s="5">
        <f ca="1">IFERROR(__xludf.DUMMYFUNCTION("""COMPUTED_VALUE"""),17)</f>
        <v>17</v>
      </c>
      <c r="C1020" s="5" t="str">
        <f ca="1">IFERROR(__xludf.DUMMYFUNCTION("""COMPUTED_VALUE"""),"Male")</f>
        <v>Male</v>
      </c>
      <c r="D1020" s="5" t="str">
        <f ca="1">IFERROR(__xludf.DUMMYFUNCTION("""COMPUTED_VALUE"""),"Black")</f>
        <v>Black</v>
      </c>
      <c r="E1020" s="5" t="str">
        <f ca="1">IFERROR(__xludf.DUMMYFUNCTION("""COMPUTED_VALUE"""),"Student")</f>
        <v>Student</v>
      </c>
      <c r="F1020" s="5" t="str">
        <f ca="1">IFERROR(__xludf.DUMMYFUNCTION("""COMPUTED_VALUE"""),"Fled/Apprehended")</f>
        <v>Fled/Apprehended</v>
      </c>
      <c r="G1020" s="5" t="str">
        <f ca="1">IFERROR(__xludf.DUMMYFUNCTION("""COMPUTED_VALUE"""),"No")</f>
        <v>No</v>
      </c>
      <c r="H1020" s="5" t="str">
        <f ca="1">IFERROR(__xludf.DUMMYFUNCTION("""COMPUTED_VALUE"""),"None")</f>
        <v>None</v>
      </c>
    </row>
    <row r="1021" spans="1:8">
      <c r="A1021" s="5" t="str">
        <f ca="1">IFERROR(__xludf.DUMMYFUNCTION("""COMPUTED_VALUE"""),"20160120INNOI")</f>
        <v>20160120INNOI</v>
      </c>
      <c r="B1021" s="5" t="str">
        <f ca="1">IFERROR(__xludf.DUMMYFUNCTION("""COMPUTED_VALUE"""),"Adult")</f>
        <v>Adult</v>
      </c>
      <c r="C1021" s="5" t="str">
        <f ca="1">IFERROR(__xludf.DUMMYFUNCTION("""COMPUTED_VALUE"""),"Male")</f>
        <v>Male</v>
      </c>
      <c r="D1021" s="5"/>
      <c r="E1021" s="5" t="str">
        <f ca="1">IFERROR(__xludf.DUMMYFUNCTION("""COMPUTED_VALUE"""),"Unknown")</f>
        <v>Unknown</v>
      </c>
      <c r="F1021" s="5" t="str">
        <f ca="1">IFERROR(__xludf.DUMMYFUNCTION("""COMPUTED_VALUE"""),"Unknown")</f>
        <v>Unknown</v>
      </c>
      <c r="G1021" s="5" t="str">
        <f ca="1">IFERROR(__xludf.DUMMYFUNCTION("""COMPUTED_VALUE"""),"No")</f>
        <v>No</v>
      </c>
      <c r="H1021" s="5" t="str">
        <f ca="1">IFERROR(__xludf.DUMMYFUNCTION("""COMPUTED_VALUE"""),"None")</f>
        <v>None</v>
      </c>
    </row>
    <row r="1022" spans="1:8">
      <c r="A1022" s="5" t="str">
        <f ca="1">IFERROR(__xludf.DUMMYFUNCTION("""COMPUTED_VALUE"""),"20160113ARHAB")</f>
        <v>20160113ARHAB</v>
      </c>
      <c r="B1022" s="5">
        <f ca="1">IFERROR(__xludf.DUMMYFUNCTION("""COMPUTED_VALUE"""),17)</f>
        <v>17</v>
      </c>
      <c r="C1022" s="5" t="str">
        <f ca="1">IFERROR(__xludf.DUMMYFUNCTION("""COMPUTED_VALUE"""),"Male")</f>
        <v>Male</v>
      </c>
      <c r="D1022" s="5"/>
      <c r="E1022" s="5" t="str">
        <f ca="1">IFERROR(__xludf.DUMMYFUNCTION("""COMPUTED_VALUE"""),"Student")</f>
        <v>Student</v>
      </c>
      <c r="F1022" s="5" t="str">
        <f ca="1">IFERROR(__xludf.DUMMYFUNCTION("""COMPUTED_VALUE"""),"Surrendered")</f>
        <v>Surrendered</v>
      </c>
      <c r="G1022" s="5" t="str">
        <f ca="1">IFERROR(__xludf.DUMMYFUNCTION("""COMPUTED_VALUE"""),"No")</f>
        <v>No</v>
      </c>
      <c r="H1022" s="5" t="str">
        <f ca="1">IFERROR(__xludf.DUMMYFUNCTION("""COMPUTED_VALUE"""),"None")</f>
        <v>None</v>
      </c>
    </row>
    <row r="1023" spans="1:8">
      <c r="A1023" s="5" t="str">
        <f ca="1">IFERROR(__xludf.DUMMYFUNCTION("""COMPUTED_VALUE"""),"20160112DECED")</f>
        <v>20160112DECED</v>
      </c>
      <c r="B1023" s="5">
        <f ca="1">IFERROR(__xludf.DUMMYFUNCTION("""COMPUTED_VALUE"""),13)</f>
        <v>13</v>
      </c>
      <c r="C1023" s="5" t="str">
        <f ca="1">IFERROR(__xludf.DUMMYFUNCTION("""COMPUTED_VALUE"""),"Male")</f>
        <v>Male</v>
      </c>
      <c r="D1023" s="5"/>
      <c r="E1023" s="5" t="str">
        <f ca="1">IFERROR(__xludf.DUMMYFUNCTION("""COMPUTED_VALUE"""),"Student")</f>
        <v>Student</v>
      </c>
      <c r="F1023" s="5" t="str">
        <f ca="1">IFERROR(__xludf.DUMMYFUNCTION("""COMPUTED_VALUE"""),"Fled/Apprehended")</f>
        <v>Fled/Apprehended</v>
      </c>
      <c r="G1023" s="5" t="str">
        <f ca="1">IFERROR(__xludf.DUMMYFUNCTION("""COMPUTED_VALUE"""),"No")</f>
        <v>No</v>
      </c>
      <c r="H1023" s="5" t="str">
        <f ca="1">IFERROR(__xludf.DUMMYFUNCTION("""COMPUTED_VALUE"""),"None")</f>
        <v>None</v>
      </c>
    </row>
    <row r="1024" spans="1:8">
      <c r="A1024" s="5" t="str">
        <f ca="1">IFERROR(__xludf.DUMMYFUNCTION("""COMPUTED_VALUE"""),"20151204KSWEW")</f>
        <v>20151204KSWEW</v>
      </c>
      <c r="B1024" s="5">
        <f ca="1">IFERROR(__xludf.DUMMYFUNCTION("""COMPUTED_VALUE"""),17)</f>
        <v>17</v>
      </c>
      <c r="C1024" s="5" t="str">
        <f ca="1">IFERROR(__xludf.DUMMYFUNCTION("""COMPUTED_VALUE"""),"Male")</f>
        <v>Male</v>
      </c>
      <c r="D1024" s="5" t="str">
        <f ca="1">IFERROR(__xludf.DUMMYFUNCTION("""COMPUTED_VALUE"""),"Black")</f>
        <v>Black</v>
      </c>
      <c r="E1024" s="5" t="str">
        <f ca="1">IFERROR(__xludf.DUMMYFUNCTION("""COMPUTED_VALUE"""),"Student")</f>
        <v>Student</v>
      </c>
      <c r="F1024" s="5" t="str">
        <f ca="1">IFERROR(__xludf.DUMMYFUNCTION("""COMPUTED_VALUE"""),"Apprehended/Killed by LE")</f>
        <v>Apprehended/Killed by LE</v>
      </c>
      <c r="G1024" s="5" t="str">
        <f ca="1">IFERROR(__xludf.DUMMYFUNCTION("""COMPUTED_VALUE"""),"No")</f>
        <v>No</v>
      </c>
      <c r="H1024" s="5" t="str">
        <f ca="1">IFERROR(__xludf.DUMMYFUNCTION("""COMPUTED_VALUE"""),"Wounded")</f>
        <v>Wounded</v>
      </c>
    </row>
    <row r="1025" spans="1:8">
      <c r="A1025" s="5" t="str">
        <f ca="1">IFERROR(__xludf.DUMMYFUNCTION("""COMPUTED_VALUE"""),"20151120FLNAM")</f>
        <v>20151120FLNAM</v>
      </c>
      <c r="B1025" s="5" t="str">
        <f ca="1">IFERROR(__xludf.DUMMYFUNCTION("""COMPUTED_VALUE"""),"Teen")</f>
        <v>Teen</v>
      </c>
      <c r="C1025" s="5" t="str">
        <f ca="1">IFERROR(__xludf.DUMMYFUNCTION("""COMPUTED_VALUE"""),"Male")</f>
        <v>Male</v>
      </c>
      <c r="D1025" s="5"/>
      <c r="E1025" s="5" t="str">
        <f ca="1">IFERROR(__xludf.DUMMYFUNCTION("""COMPUTED_VALUE"""),"Other Student")</f>
        <v>Other Student</v>
      </c>
      <c r="F1025" s="5" t="str">
        <f ca="1">IFERROR(__xludf.DUMMYFUNCTION("""COMPUTED_VALUE"""),"Unknown")</f>
        <v>Unknown</v>
      </c>
      <c r="G1025" s="5" t="str">
        <f ca="1">IFERROR(__xludf.DUMMYFUNCTION("""COMPUTED_VALUE"""),"No")</f>
        <v>No</v>
      </c>
      <c r="H1025" s="5" t="str">
        <f ca="1">IFERROR(__xludf.DUMMYFUNCTION("""COMPUTED_VALUE"""),"None")</f>
        <v>None</v>
      </c>
    </row>
    <row r="1026" spans="1:8">
      <c r="A1026" s="5" t="str">
        <f ca="1">IFERROR(__xludf.DUMMYFUNCTION("""COMPUTED_VALUE"""),"20151111ARSUS")</f>
        <v>20151111ARSUS</v>
      </c>
      <c r="B1026" s="5" t="str">
        <f ca="1">IFERROR(__xludf.DUMMYFUNCTION("""COMPUTED_VALUE"""),"Teen")</f>
        <v>Teen</v>
      </c>
      <c r="C1026" s="5" t="str">
        <f ca="1">IFERROR(__xludf.DUMMYFUNCTION("""COMPUTED_VALUE"""),"Male")</f>
        <v>Male</v>
      </c>
      <c r="D1026" s="5"/>
      <c r="E1026" s="5" t="str">
        <f ca="1">IFERROR(__xludf.DUMMYFUNCTION("""COMPUTED_VALUE"""),"Student")</f>
        <v>Student</v>
      </c>
      <c r="F1026" s="5" t="str">
        <f ca="1">IFERROR(__xludf.DUMMYFUNCTION("""COMPUTED_VALUE"""),"Surrendered")</f>
        <v>Surrendered</v>
      </c>
      <c r="G1026" s="5" t="str">
        <f ca="1">IFERROR(__xludf.DUMMYFUNCTION("""COMPUTED_VALUE"""),"No")</f>
        <v>No</v>
      </c>
      <c r="H1026" s="5" t="str">
        <f ca="1">IFERROR(__xludf.DUMMYFUNCTION("""COMPUTED_VALUE"""),"None")</f>
        <v>None</v>
      </c>
    </row>
    <row r="1027" spans="1:8">
      <c r="A1027" s="5" t="str">
        <f ca="1">IFERROR(__xludf.DUMMYFUNCTION("""COMPUTED_VALUE"""),"20151105GAVEM")</f>
        <v>20151105GAVEM</v>
      </c>
      <c r="B1027" s="5">
        <f ca="1">IFERROR(__xludf.DUMMYFUNCTION("""COMPUTED_VALUE"""),9)</f>
        <v>9</v>
      </c>
      <c r="C1027" s="5" t="str">
        <f ca="1">IFERROR(__xludf.DUMMYFUNCTION("""COMPUTED_VALUE"""),"Male")</f>
        <v>Male</v>
      </c>
      <c r="D1027" s="5"/>
      <c r="E1027" s="5" t="str">
        <f ca="1">IFERROR(__xludf.DUMMYFUNCTION("""COMPUTED_VALUE"""),"Student")</f>
        <v>Student</v>
      </c>
      <c r="F1027" s="5" t="str">
        <f ca="1">IFERROR(__xludf.DUMMYFUNCTION("""COMPUTED_VALUE"""),"Apprehended/Killed by SRO")</f>
        <v>Apprehended/Killed by SRO</v>
      </c>
      <c r="G1027" s="5" t="str">
        <f ca="1">IFERROR(__xludf.DUMMYFUNCTION("""COMPUTED_VALUE"""),"No")</f>
        <v>No</v>
      </c>
      <c r="H1027" s="5" t="str">
        <f ca="1">IFERROR(__xludf.DUMMYFUNCTION("""COMPUTED_VALUE"""),"None")</f>
        <v>None</v>
      </c>
    </row>
    <row r="1028" spans="1:8">
      <c r="A1028" s="5" t="str">
        <f ca="1">IFERROR(__xludf.DUMMYFUNCTION("""COMPUTED_VALUE"""),"20151024TXEDS")</f>
        <v>20151024TXEDS</v>
      </c>
      <c r="B1028" s="5"/>
      <c r="C1028" s="5" t="str">
        <f ca="1">IFERROR(__xludf.DUMMYFUNCTION("""COMPUTED_VALUE"""),"Male")</f>
        <v>Male</v>
      </c>
      <c r="D1028" s="5"/>
      <c r="E1028" s="5" t="str">
        <f ca="1">IFERROR(__xludf.DUMMYFUNCTION("""COMPUTED_VALUE"""),"Unknown")</f>
        <v>Unknown</v>
      </c>
      <c r="F1028" s="5" t="str">
        <f ca="1">IFERROR(__xludf.DUMMYFUNCTION("""COMPUTED_VALUE"""),"Fled/Escaped")</f>
        <v>Fled/Escaped</v>
      </c>
      <c r="G1028" s="5" t="str">
        <f ca="1">IFERROR(__xludf.DUMMYFUNCTION("""COMPUTED_VALUE"""),"No")</f>
        <v>No</v>
      </c>
      <c r="H1028" s="5" t="str">
        <f ca="1">IFERROR(__xludf.DUMMYFUNCTION("""COMPUTED_VALUE"""),"None")</f>
        <v>None</v>
      </c>
    </row>
    <row r="1029" spans="1:8">
      <c r="A1029" s="5" t="str">
        <f ca="1">IFERROR(__xludf.DUMMYFUNCTION("""COMPUTED_VALUE"""),"20151015TXKAS")</f>
        <v>20151015TXKAS</v>
      </c>
      <c r="B1029" s="5">
        <f ca="1">IFERROR(__xludf.DUMMYFUNCTION("""COMPUTED_VALUE"""),22)</f>
        <v>22</v>
      </c>
      <c r="C1029" s="5" t="str">
        <f ca="1">IFERROR(__xludf.DUMMYFUNCTION("""COMPUTED_VALUE"""),"Female")</f>
        <v>Female</v>
      </c>
      <c r="D1029" s="5" t="str">
        <f ca="1">IFERROR(__xludf.DUMMYFUNCTION("""COMPUTED_VALUE"""),"Black")</f>
        <v>Black</v>
      </c>
      <c r="E1029" s="5" t="str">
        <f ca="1">IFERROR(__xludf.DUMMYFUNCTION("""COMPUTED_VALUE"""),"Friend")</f>
        <v>Friend</v>
      </c>
      <c r="F1029" s="5" t="str">
        <f ca="1">IFERROR(__xludf.DUMMYFUNCTION("""COMPUTED_VALUE"""),"Fled/Apprehended")</f>
        <v>Fled/Apprehended</v>
      </c>
      <c r="G1029" s="5" t="str">
        <f ca="1">IFERROR(__xludf.DUMMYFUNCTION("""COMPUTED_VALUE"""),"No")</f>
        <v>No</v>
      </c>
      <c r="H1029" s="5" t="str">
        <f ca="1">IFERROR(__xludf.DUMMYFUNCTION("""COMPUTED_VALUE"""),"None")</f>
        <v>None</v>
      </c>
    </row>
    <row r="1030" spans="1:8">
      <c r="A1030" s="5" t="str">
        <f ca="1">IFERROR(__xludf.DUMMYFUNCTION("""COMPUTED_VALUE"""),"20150930SDHAH")</f>
        <v>20150930SDHAH</v>
      </c>
      <c r="B1030" s="5">
        <f ca="1">IFERROR(__xludf.DUMMYFUNCTION("""COMPUTED_VALUE"""),16)</f>
        <v>16</v>
      </c>
      <c r="C1030" s="5" t="str">
        <f ca="1">IFERROR(__xludf.DUMMYFUNCTION("""COMPUTED_VALUE"""),"Male")</f>
        <v>Male</v>
      </c>
      <c r="D1030" s="5" t="str">
        <f ca="1">IFERROR(__xludf.DUMMYFUNCTION("""COMPUTED_VALUE"""),"White")</f>
        <v>White</v>
      </c>
      <c r="E1030" s="5" t="str">
        <f ca="1">IFERROR(__xludf.DUMMYFUNCTION("""COMPUTED_VALUE"""),"Student")</f>
        <v>Student</v>
      </c>
      <c r="F1030" s="5" t="str">
        <f ca="1">IFERROR(__xludf.DUMMYFUNCTION("""COMPUTED_VALUE"""),"Subdued by Students/Staff/Other")</f>
        <v>Subdued by Students/Staff/Other</v>
      </c>
      <c r="G1030" s="5" t="str">
        <f ca="1">IFERROR(__xludf.DUMMYFUNCTION("""COMPUTED_VALUE"""),"No")</f>
        <v>No</v>
      </c>
      <c r="H1030" s="5" t="str">
        <f ca="1">IFERROR(__xludf.DUMMYFUNCTION("""COMPUTED_VALUE"""),"None")</f>
        <v>None</v>
      </c>
    </row>
    <row r="1031" spans="1:8">
      <c r="A1031" s="5" t="str">
        <f ca="1">IFERROR(__xludf.DUMMYFUNCTION("""COMPUTED_VALUE"""),"20150922NCCES")</f>
        <v>20150922NCCES</v>
      </c>
      <c r="B1031" s="5">
        <f ca="1">IFERROR(__xludf.DUMMYFUNCTION("""COMPUTED_VALUE"""),26)</f>
        <v>26</v>
      </c>
      <c r="C1031" s="5" t="str">
        <f ca="1">IFERROR(__xludf.DUMMYFUNCTION("""COMPUTED_VALUE"""),"Female")</f>
        <v>Female</v>
      </c>
      <c r="D1031" s="5" t="str">
        <f ca="1">IFERROR(__xludf.DUMMYFUNCTION("""COMPUTED_VALUE"""),"White")</f>
        <v>White</v>
      </c>
      <c r="E1031" s="5" t="str">
        <f ca="1">IFERROR(__xludf.DUMMYFUNCTION("""COMPUTED_VALUE"""),"Parent")</f>
        <v>Parent</v>
      </c>
      <c r="F1031" s="5" t="str">
        <f ca="1">IFERROR(__xludf.DUMMYFUNCTION("""COMPUTED_VALUE"""),"Surrendered")</f>
        <v>Surrendered</v>
      </c>
      <c r="G1031" s="5" t="str">
        <f ca="1">IFERROR(__xludf.DUMMYFUNCTION("""COMPUTED_VALUE"""),"No")</f>
        <v>No</v>
      </c>
      <c r="H1031" s="5" t="str">
        <f ca="1">IFERROR(__xludf.DUMMYFUNCTION("""COMPUTED_VALUE"""),"None")</f>
        <v>None</v>
      </c>
    </row>
    <row r="1032" spans="1:8">
      <c r="A1032" s="5" t="str">
        <f ca="1">IFERROR(__xludf.DUMMYFUNCTION("""COMPUTED_VALUE"""),"20150911LANOL")</f>
        <v>20150911LANOL</v>
      </c>
      <c r="B1032" s="5"/>
      <c r="C1032" s="5" t="str">
        <f ca="1">IFERROR(__xludf.DUMMYFUNCTION("""COMPUTED_VALUE"""),"Male")</f>
        <v>Male</v>
      </c>
      <c r="D1032" s="5" t="str">
        <f ca="1">IFERROR(__xludf.DUMMYFUNCTION("""COMPUTED_VALUE"""),"Black")</f>
        <v>Black</v>
      </c>
      <c r="E1032" s="5" t="str">
        <f ca="1">IFERROR(__xludf.DUMMYFUNCTION("""COMPUTED_VALUE"""),"Unknown")</f>
        <v>Unknown</v>
      </c>
      <c r="F1032" s="5" t="str">
        <f ca="1">IFERROR(__xludf.DUMMYFUNCTION("""COMPUTED_VALUE"""),"Fled/Escaped")</f>
        <v>Fled/Escaped</v>
      </c>
      <c r="G1032" s="5" t="str">
        <f ca="1">IFERROR(__xludf.DUMMYFUNCTION("""COMPUTED_VALUE"""),"No")</f>
        <v>No</v>
      </c>
      <c r="H1032" s="5" t="str">
        <f ca="1">IFERROR(__xludf.DUMMYFUNCTION("""COMPUTED_VALUE"""),"None")</f>
        <v>None</v>
      </c>
    </row>
    <row r="1033" spans="1:8">
      <c r="A1033" s="5" t="str">
        <f ca="1">IFERROR(__xludf.DUMMYFUNCTION("""COMPUTED_VALUE"""),"20150903ORNEN")</f>
        <v>20150903ORNEN</v>
      </c>
      <c r="B1033" s="5">
        <f ca="1">IFERROR(__xludf.DUMMYFUNCTION("""COMPUTED_VALUE"""),53)</f>
        <v>53</v>
      </c>
      <c r="C1033" s="5" t="str">
        <f ca="1">IFERROR(__xludf.DUMMYFUNCTION("""COMPUTED_VALUE"""),"Male")</f>
        <v>Male</v>
      </c>
      <c r="D1033" s="5" t="str">
        <f ca="1">IFERROR(__xludf.DUMMYFUNCTION("""COMPUTED_VALUE"""),"White")</f>
        <v>White</v>
      </c>
      <c r="E1033" s="5" t="str">
        <f ca="1">IFERROR(__xludf.DUMMYFUNCTION("""COMPUTED_VALUE"""),"No Relation")</f>
        <v>No Relation</v>
      </c>
      <c r="F1033" s="5" t="str">
        <f ca="1">IFERROR(__xludf.DUMMYFUNCTION("""COMPUTED_VALUE"""),"Fled/Apprehended")</f>
        <v>Fled/Apprehended</v>
      </c>
      <c r="G1033" s="5" t="str">
        <f ca="1">IFERROR(__xludf.DUMMYFUNCTION("""COMPUTED_VALUE"""),"No")</f>
        <v>No</v>
      </c>
      <c r="H1033" s="5" t="str">
        <f ca="1">IFERROR(__xludf.DUMMYFUNCTION("""COMPUTED_VALUE"""),"None")</f>
        <v>None</v>
      </c>
    </row>
    <row r="1034" spans="1:8">
      <c r="A1034" s="5" t="str">
        <f ca="1">IFERROR(__xludf.DUMMYFUNCTION("""COMPUTED_VALUE"""),"20150825GAWSA")</f>
        <v>20150825GAWSA</v>
      </c>
      <c r="B1034" s="5" t="str">
        <f ca="1">IFERROR(__xludf.DUMMYFUNCTION("""COMPUTED_VALUE"""),"Child")</f>
        <v>Child</v>
      </c>
      <c r="C1034" s="5" t="str">
        <f ca="1">IFERROR(__xludf.DUMMYFUNCTION("""COMPUTED_VALUE"""),"Male")</f>
        <v>Male</v>
      </c>
      <c r="D1034" s="5"/>
      <c r="E1034" s="5" t="str">
        <f ca="1">IFERROR(__xludf.DUMMYFUNCTION("""COMPUTED_VALUE"""),"Student")</f>
        <v>Student</v>
      </c>
      <c r="F1034" s="5" t="str">
        <f ca="1">IFERROR(__xludf.DUMMYFUNCTION("""COMPUTED_VALUE"""),"Surrendered")</f>
        <v>Surrendered</v>
      </c>
      <c r="G1034" s="5" t="str">
        <f ca="1">IFERROR(__xludf.DUMMYFUNCTION("""COMPUTED_VALUE"""),"No")</f>
        <v>No</v>
      </c>
      <c r="H1034" s="5" t="str">
        <f ca="1">IFERROR(__xludf.DUMMYFUNCTION("""COMPUTED_VALUE"""),"None")</f>
        <v>None</v>
      </c>
    </row>
    <row r="1035" spans="1:8">
      <c r="A1035" s="5" t="str">
        <f ca="1">IFERROR(__xludf.DUMMYFUNCTION("""COMPUTED_VALUE"""),"20150823TXWIR")</f>
        <v>20150823TXWIR</v>
      </c>
      <c r="B1035" s="5">
        <f ca="1">IFERROR(__xludf.DUMMYFUNCTION("""COMPUTED_VALUE"""),20)</f>
        <v>20</v>
      </c>
      <c r="C1035" s="5" t="str">
        <f ca="1">IFERROR(__xludf.DUMMYFUNCTION("""COMPUTED_VALUE"""),"Male")</f>
        <v>Male</v>
      </c>
      <c r="D1035" s="5" t="str">
        <f ca="1">IFERROR(__xludf.DUMMYFUNCTION("""COMPUTED_VALUE"""),"White")</f>
        <v>White</v>
      </c>
      <c r="E1035" s="5" t="str">
        <f ca="1">IFERROR(__xludf.DUMMYFUNCTION("""COMPUTED_VALUE"""),"No Relation")</f>
        <v>No Relation</v>
      </c>
      <c r="F1035" s="5" t="str">
        <f ca="1">IFERROR(__xludf.DUMMYFUNCTION("""COMPUTED_VALUE"""),"Unknown")</f>
        <v>Unknown</v>
      </c>
      <c r="G1035" s="5" t="str">
        <f ca="1">IFERROR(__xludf.DUMMYFUNCTION("""COMPUTED_VALUE"""),"No")</f>
        <v>No</v>
      </c>
      <c r="H1035" s="5" t="str">
        <f ca="1">IFERROR(__xludf.DUMMYFUNCTION("""COMPUTED_VALUE"""),"None")</f>
        <v>None</v>
      </c>
    </row>
    <row r="1036" spans="1:8">
      <c r="A1036" s="5" t="str">
        <f ca="1">IFERROR(__xludf.DUMMYFUNCTION("""COMPUTED_VALUE"""),"20150808TXPAP")</f>
        <v>20150808TXPAP</v>
      </c>
      <c r="B1036" s="5">
        <f ca="1">IFERROR(__xludf.DUMMYFUNCTION("""COMPUTED_VALUE"""),21)</f>
        <v>21</v>
      </c>
      <c r="C1036" s="5" t="str">
        <f ca="1">IFERROR(__xludf.DUMMYFUNCTION("""COMPUTED_VALUE"""),"Male")</f>
        <v>Male</v>
      </c>
      <c r="D1036" s="5" t="str">
        <f ca="1">IFERROR(__xludf.DUMMYFUNCTION("""COMPUTED_VALUE"""),"White")</f>
        <v>White</v>
      </c>
      <c r="E1036" s="5" t="str">
        <f ca="1">IFERROR(__xludf.DUMMYFUNCTION("""COMPUTED_VALUE"""),"Former Student")</f>
        <v>Former Student</v>
      </c>
      <c r="F1036" s="5" t="str">
        <f ca="1">IFERROR(__xludf.DUMMYFUNCTION("""COMPUTED_VALUE"""),"Fled/Apprehended")</f>
        <v>Fled/Apprehended</v>
      </c>
      <c r="G1036" s="5" t="str">
        <f ca="1">IFERROR(__xludf.DUMMYFUNCTION("""COMPUTED_VALUE"""),"No")</f>
        <v>No</v>
      </c>
      <c r="H1036" s="5" t="str">
        <f ca="1">IFERROR(__xludf.DUMMYFUNCTION("""COMPUTED_VALUE"""),"None")</f>
        <v>None</v>
      </c>
    </row>
    <row r="1037" spans="1:8">
      <c r="A1037" s="5" t="str">
        <f ca="1">IFERROR(__xludf.DUMMYFUNCTION("""COMPUTED_VALUE"""),"20150724TXELC")</f>
        <v>20150724TXELC</v>
      </c>
      <c r="B1037" s="5">
        <f ca="1">IFERROR(__xludf.DUMMYFUNCTION("""COMPUTED_VALUE"""),15)</f>
        <v>15</v>
      </c>
      <c r="C1037" s="5" t="str">
        <f ca="1">IFERROR(__xludf.DUMMYFUNCTION("""COMPUTED_VALUE"""),"Male")</f>
        <v>Male</v>
      </c>
      <c r="D1037" s="5" t="str">
        <f ca="1">IFERROR(__xludf.DUMMYFUNCTION("""COMPUTED_VALUE"""),"Black")</f>
        <v>Black</v>
      </c>
      <c r="E1037" s="5" t="str">
        <f ca="1">IFERROR(__xludf.DUMMYFUNCTION("""COMPUTED_VALUE"""),"Unknown")</f>
        <v>Unknown</v>
      </c>
      <c r="F1037" s="5" t="str">
        <f ca="1">IFERROR(__xludf.DUMMYFUNCTION("""COMPUTED_VALUE"""),"Fled/Apprehended")</f>
        <v>Fled/Apprehended</v>
      </c>
      <c r="G1037" s="5" t="str">
        <f ca="1">IFERROR(__xludf.DUMMYFUNCTION("""COMPUTED_VALUE"""),"No")</f>
        <v>No</v>
      </c>
      <c r="H1037" s="5" t="str">
        <f ca="1">IFERROR(__xludf.DUMMYFUNCTION("""COMPUTED_VALUE"""),"Wounded")</f>
        <v>Wounded</v>
      </c>
    </row>
    <row r="1038" spans="1:8">
      <c r="A1038" s="5" t="str">
        <f ca="1">IFERROR(__xludf.DUMMYFUNCTION("""COMPUTED_VALUE"""),"20150705TXCOD")</f>
        <v>20150705TXCOD</v>
      </c>
      <c r="B1038" s="5">
        <f ca="1">IFERROR(__xludf.DUMMYFUNCTION("""COMPUTED_VALUE"""),18)</f>
        <v>18</v>
      </c>
      <c r="C1038" s="5" t="str">
        <f ca="1">IFERROR(__xludf.DUMMYFUNCTION("""COMPUTED_VALUE"""),"Male")</f>
        <v>Male</v>
      </c>
      <c r="D1038" s="5" t="str">
        <f ca="1">IFERROR(__xludf.DUMMYFUNCTION("""COMPUTED_VALUE"""),"Black")</f>
        <v>Black</v>
      </c>
      <c r="E1038" s="5" t="str">
        <f ca="1">IFERROR(__xludf.DUMMYFUNCTION("""COMPUTED_VALUE"""),"Nonstudent Using Athletic Facilities/Attending Game")</f>
        <v>Nonstudent Using Athletic Facilities/Attending Game</v>
      </c>
      <c r="F1038" s="5" t="str">
        <f ca="1">IFERROR(__xludf.DUMMYFUNCTION("""COMPUTED_VALUE"""),"Fled/Apprehended")</f>
        <v>Fled/Apprehended</v>
      </c>
      <c r="G1038" s="5" t="str">
        <f ca="1">IFERROR(__xludf.DUMMYFUNCTION("""COMPUTED_VALUE"""),"No")</f>
        <v>No</v>
      </c>
      <c r="H1038" s="5" t="str">
        <f ca="1">IFERROR(__xludf.DUMMYFUNCTION("""COMPUTED_VALUE"""),"None")</f>
        <v>None</v>
      </c>
    </row>
    <row r="1039" spans="1:8">
      <c r="A1039" s="5" t="str">
        <f ca="1">IFERROR(__xludf.DUMMYFUNCTION("""COMPUTED_VALUE"""),"20150629TXJOS")</f>
        <v>20150629TXJOS</v>
      </c>
      <c r="B1039" s="5">
        <f ca="1">IFERROR(__xludf.DUMMYFUNCTION("""COMPUTED_VALUE"""),28)</f>
        <v>28</v>
      </c>
      <c r="C1039" s="5" t="str">
        <f ca="1">IFERROR(__xludf.DUMMYFUNCTION("""COMPUTED_VALUE"""),"Male")</f>
        <v>Male</v>
      </c>
      <c r="D1039" s="5"/>
      <c r="E1039" s="5" t="str">
        <f ca="1">IFERROR(__xludf.DUMMYFUNCTION("""COMPUTED_VALUE"""),"Unknown")</f>
        <v>Unknown</v>
      </c>
      <c r="F1039" s="5" t="str">
        <f ca="1">IFERROR(__xludf.DUMMYFUNCTION("""COMPUTED_VALUE"""),"Apprehended/Killed by LE")</f>
        <v>Apprehended/Killed by LE</v>
      </c>
      <c r="G1039" s="5" t="str">
        <f ca="1">IFERROR(__xludf.DUMMYFUNCTION("""COMPUTED_VALUE"""),"Yes")</f>
        <v>Yes</v>
      </c>
      <c r="H1039" s="5" t="str">
        <f ca="1">IFERROR(__xludf.DUMMYFUNCTION("""COMPUTED_VALUE"""),"Fatal")</f>
        <v>Fatal</v>
      </c>
    </row>
    <row r="1040" spans="1:8">
      <c r="A1040" s="5" t="str">
        <f ca="1">IFERROR(__xludf.DUMMYFUNCTION("""COMPUTED_VALUE"""),"20150627CTSAH")</f>
        <v>20150627CTSAH</v>
      </c>
      <c r="B1040" s="5"/>
      <c r="C1040" s="5" t="str">
        <f ca="1">IFERROR(__xludf.DUMMYFUNCTION("""COMPUTED_VALUE"""),"Male")</f>
        <v>Male</v>
      </c>
      <c r="D1040" s="5"/>
      <c r="E1040" s="5" t="str">
        <f ca="1">IFERROR(__xludf.DUMMYFUNCTION("""COMPUTED_VALUE"""),"Nonstudent Using Athletic Facilities/Attending Game")</f>
        <v>Nonstudent Using Athletic Facilities/Attending Game</v>
      </c>
      <c r="F1040" s="5" t="str">
        <f ca="1">IFERROR(__xludf.DUMMYFUNCTION("""COMPUTED_VALUE"""),"Fled/Escaped")</f>
        <v>Fled/Escaped</v>
      </c>
      <c r="G1040" s="5" t="str">
        <f ca="1">IFERROR(__xludf.DUMMYFUNCTION("""COMPUTED_VALUE"""),"No")</f>
        <v>No</v>
      </c>
      <c r="H1040" s="5" t="str">
        <f ca="1">IFERROR(__xludf.DUMMYFUNCTION("""COMPUTED_VALUE"""),"None")</f>
        <v>None</v>
      </c>
    </row>
    <row r="1041" spans="1:8">
      <c r="A1041" s="5" t="str">
        <f ca="1">IFERROR(__xludf.DUMMYFUNCTION("""COMPUTED_VALUE"""),"20150623NEFOF")</f>
        <v>20150623NEFOF</v>
      </c>
      <c r="B1041" s="5">
        <f ca="1">IFERROR(__xludf.DUMMYFUNCTION("""COMPUTED_VALUE"""),35)</f>
        <v>35</v>
      </c>
      <c r="C1041" s="5" t="str">
        <f ca="1">IFERROR(__xludf.DUMMYFUNCTION("""COMPUTED_VALUE"""),"Male")</f>
        <v>Male</v>
      </c>
      <c r="D1041" s="5" t="str">
        <f ca="1">IFERROR(__xludf.DUMMYFUNCTION("""COMPUTED_VALUE"""),"Black")</f>
        <v>Black</v>
      </c>
      <c r="E1041" s="5" t="str">
        <f ca="1">IFERROR(__xludf.DUMMYFUNCTION("""COMPUTED_VALUE"""),"No Relation")</f>
        <v>No Relation</v>
      </c>
      <c r="F1041" s="5" t="str">
        <f ca="1">IFERROR(__xludf.DUMMYFUNCTION("""COMPUTED_VALUE"""),"Fled/Apprehended")</f>
        <v>Fled/Apprehended</v>
      </c>
      <c r="G1041" s="5" t="str">
        <f ca="1">IFERROR(__xludf.DUMMYFUNCTION("""COMPUTED_VALUE"""),"No")</f>
        <v>No</v>
      </c>
      <c r="H1041" s="5" t="str">
        <f ca="1">IFERROR(__xludf.DUMMYFUNCTION("""COMPUTED_VALUE"""),"None")</f>
        <v>None</v>
      </c>
    </row>
    <row r="1042" spans="1:8">
      <c r="A1042" s="5" t="str">
        <f ca="1">IFERROR(__xludf.DUMMYFUNCTION("""COMPUTED_VALUE"""),"20150604NCSOF")</f>
        <v>20150604NCSOF</v>
      </c>
      <c r="B1042" s="5">
        <f ca="1">IFERROR(__xludf.DUMMYFUNCTION("""COMPUTED_VALUE"""),38)</f>
        <v>38</v>
      </c>
      <c r="C1042" s="5" t="str">
        <f ca="1">IFERROR(__xludf.DUMMYFUNCTION("""COMPUTED_VALUE"""),"Male")</f>
        <v>Male</v>
      </c>
      <c r="D1042" s="5" t="str">
        <f ca="1">IFERROR(__xludf.DUMMYFUNCTION("""COMPUTED_VALUE"""),"White")</f>
        <v>White</v>
      </c>
      <c r="E1042" s="5" t="str">
        <f ca="1">IFERROR(__xludf.DUMMYFUNCTION("""COMPUTED_VALUE"""),"No Relation")</f>
        <v>No Relation</v>
      </c>
      <c r="F1042" s="5" t="str">
        <f ca="1">IFERROR(__xludf.DUMMYFUNCTION("""COMPUTED_VALUE"""),"Apprehended/Killed by LE")</f>
        <v>Apprehended/Killed by LE</v>
      </c>
      <c r="G1042" s="5" t="str">
        <f ca="1">IFERROR(__xludf.DUMMYFUNCTION("""COMPUTED_VALUE"""),"No")</f>
        <v>No</v>
      </c>
      <c r="H1042" s="5" t="str">
        <f ca="1">IFERROR(__xludf.DUMMYFUNCTION("""COMPUTED_VALUE"""),"None")</f>
        <v>None</v>
      </c>
    </row>
    <row r="1043" spans="1:8">
      <c r="A1043" s="5" t="str">
        <f ca="1">IFERROR(__xludf.DUMMYFUNCTION("""COMPUTED_VALUE"""),"20150604NCSOF")</f>
        <v>20150604NCSOF</v>
      </c>
      <c r="B1043" s="5">
        <f ca="1">IFERROR(__xludf.DUMMYFUNCTION("""COMPUTED_VALUE"""),29)</f>
        <v>29</v>
      </c>
      <c r="C1043" s="5" t="str">
        <f ca="1">IFERROR(__xludf.DUMMYFUNCTION("""COMPUTED_VALUE"""),"Female")</f>
        <v>Female</v>
      </c>
      <c r="D1043" s="5" t="str">
        <f ca="1">IFERROR(__xludf.DUMMYFUNCTION("""COMPUTED_VALUE"""),"White")</f>
        <v>White</v>
      </c>
      <c r="E1043" s="5" t="str">
        <f ca="1">IFERROR(__xludf.DUMMYFUNCTION("""COMPUTED_VALUE"""),"No Relation")</f>
        <v>No Relation</v>
      </c>
      <c r="F1043" s="5" t="str">
        <f ca="1">IFERROR(__xludf.DUMMYFUNCTION("""COMPUTED_VALUE"""),"Apprehended/Killed by LE")</f>
        <v>Apprehended/Killed by LE</v>
      </c>
      <c r="G1043" s="5" t="str">
        <f ca="1">IFERROR(__xludf.DUMMYFUNCTION("""COMPUTED_VALUE"""),"No")</f>
        <v>No</v>
      </c>
      <c r="H1043" s="5" t="str">
        <f ca="1">IFERROR(__xludf.DUMMYFUNCTION("""COMPUTED_VALUE"""),"None")</f>
        <v>None</v>
      </c>
    </row>
    <row r="1044" spans="1:8">
      <c r="A1044" s="5" t="str">
        <f ca="1">IFERROR(__xludf.DUMMYFUNCTION("""COMPUTED_VALUE"""),"20150527FLEVE")</f>
        <v>20150527FLEVE</v>
      </c>
      <c r="B1044" s="5">
        <f ca="1">IFERROR(__xludf.DUMMYFUNCTION("""COMPUTED_VALUE"""),56)</f>
        <v>56</v>
      </c>
      <c r="C1044" s="5" t="str">
        <f ca="1">IFERROR(__xludf.DUMMYFUNCTION("""COMPUTED_VALUE"""),"Male")</f>
        <v>Male</v>
      </c>
      <c r="D1044" s="5" t="str">
        <f ca="1">IFERROR(__xludf.DUMMYFUNCTION("""COMPUTED_VALUE"""),"White")</f>
        <v>White</v>
      </c>
      <c r="E1044" s="5" t="str">
        <f ca="1">IFERROR(__xludf.DUMMYFUNCTION("""COMPUTED_VALUE"""),"No Relation")</f>
        <v>No Relation</v>
      </c>
      <c r="F1044" s="5" t="str">
        <f ca="1">IFERROR(__xludf.DUMMYFUNCTION("""COMPUTED_VALUE"""),"Fled/Apprehended")</f>
        <v>Fled/Apprehended</v>
      </c>
      <c r="G1044" s="5" t="str">
        <f ca="1">IFERROR(__xludf.DUMMYFUNCTION("""COMPUTED_VALUE"""),"No")</f>
        <v>No</v>
      </c>
      <c r="H1044" s="5" t="str">
        <f ca="1">IFERROR(__xludf.DUMMYFUNCTION("""COMPUTED_VALUE"""),"None")</f>
        <v>None</v>
      </c>
    </row>
    <row r="1045" spans="1:8">
      <c r="A1045" s="5" t="str">
        <f ca="1">IFERROR(__xludf.DUMMYFUNCTION("""COMPUTED_VALUE"""),"20150524MISOF")</f>
        <v>20150524MISOF</v>
      </c>
      <c r="B1045" s="5"/>
      <c r="C1045" s="5"/>
      <c r="D1045" s="5"/>
      <c r="E1045" s="5" t="str">
        <f ca="1">IFERROR(__xludf.DUMMYFUNCTION("""COMPUTED_VALUE"""),"Unknown")</f>
        <v>Unknown</v>
      </c>
      <c r="F1045" s="5" t="str">
        <f ca="1">IFERROR(__xludf.DUMMYFUNCTION("""COMPUTED_VALUE"""),"Fled/Escaped")</f>
        <v>Fled/Escaped</v>
      </c>
      <c r="G1045" s="5" t="str">
        <f ca="1">IFERROR(__xludf.DUMMYFUNCTION("""COMPUTED_VALUE"""),"No")</f>
        <v>No</v>
      </c>
      <c r="H1045" s="5" t="str">
        <f ca="1">IFERROR(__xludf.DUMMYFUNCTION("""COMPUTED_VALUE"""),"None")</f>
        <v>None</v>
      </c>
    </row>
    <row r="1046" spans="1:8">
      <c r="A1046" s="5" t="str">
        <f ca="1">IFERROR(__xludf.DUMMYFUNCTION("""COMPUTED_VALUE"""),"20150521FLDUJ")</f>
        <v>20150521FLDUJ</v>
      </c>
      <c r="B1046" s="5">
        <f ca="1">IFERROR(__xludf.DUMMYFUNCTION("""COMPUTED_VALUE"""),16)</f>
        <v>16</v>
      </c>
      <c r="C1046" s="5" t="str">
        <f ca="1">IFERROR(__xludf.DUMMYFUNCTION("""COMPUTED_VALUE"""),"Male")</f>
        <v>Male</v>
      </c>
      <c r="D1046" s="5" t="str">
        <f ca="1">IFERROR(__xludf.DUMMYFUNCTION("""COMPUTED_VALUE"""),"Black")</f>
        <v>Black</v>
      </c>
      <c r="E1046" s="5" t="str">
        <f ca="1">IFERROR(__xludf.DUMMYFUNCTION("""COMPUTED_VALUE"""),"Student")</f>
        <v>Student</v>
      </c>
      <c r="F1046" s="5" t="str">
        <f ca="1">IFERROR(__xludf.DUMMYFUNCTION("""COMPUTED_VALUE"""),"Fled/Apprehended")</f>
        <v>Fled/Apprehended</v>
      </c>
      <c r="G1046" s="5" t="str">
        <f ca="1">IFERROR(__xludf.DUMMYFUNCTION("""COMPUTED_VALUE"""),"No")</f>
        <v>No</v>
      </c>
      <c r="H1046" s="5" t="str">
        <f ca="1">IFERROR(__xludf.DUMMYFUNCTION("""COMPUTED_VALUE"""),"None")</f>
        <v>None</v>
      </c>
    </row>
    <row r="1047" spans="1:8">
      <c r="A1047" s="5" t="str">
        <f ca="1">IFERROR(__xludf.DUMMYFUNCTION("""COMPUTED_VALUE"""),"20150520TXROR")</f>
        <v>20150520TXROR</v>
      </c>
      <c r="B1047" s="5">
        <f ca="1">IFERROR(__xludf.DUMMYFUNCTION("""COMPUTED_VALUE"""),18)</f>
        <v>18</v>
      </c>
      <c r="C1047" s="5" t="str">
        <f ca="1">IFERROR(__xludf.DUMMYFUNCTION("""COMPUTED_VALUE"""),"Male")</f>
        <v>Male</v>
      </c>
      <c r="D1047" s="5"/>
      <c r="E1047" s="5" t="str">
        <f ca="1">IFERROR(__xludf.DUMMYFUNCTION("""COMPUTED_VALUE"""),"Student")</f>
        <v>Student</v>
      </c>
      <c r="F1047" s="5" t="str">
        <f ca="1">IFERROR(__xludf.DUMMYFUNCTION("""COMPUTED_VALUE"""),"Suicide")</f>
        <v>Suicide</v>
      </c>
      <c r="G1047" s="5" t="str">
        <f ca="1">IFERROR(__xludf.DUMMYFUNCTION("""COMPUTED_VALUE"""),"Yes")</f>
        <v>Yes</v>
      </c>
      <c r="H1047" s="5" t="str">
        <f ca="1">IFERROR(__xludf.DUMMYFUNCTION("""COMPUTED_VALUE"""),"Suicide")</f>
        <v>Suicide</v>
      </c>
    </row>
    <row r="1048" spans="1:8">
      <c r="A1048" s="5" t="str">
        <f ca="1">IFERROR(__xludf.DUMMYFUNCTION("""COMPUTED_VALUE"""),"20150512FLUNJ")</f>
        <v>20150512FLUNJ</v>
      </c>
      <c r="B1048" s="5"/>
      <c r="C1048" s="5" t="str">
        <f ca="1">IFERROR(__xludf.DUMMYFUNCTION("""COMPUTED_VALUE"""),"Male")</f>
        <v>Male</v>
      </c>
      <c r="D1048" s="5" t="str">
        <f ca="1">IFERROR(__xludf.DUMMYFUNCTION("""COMPUTED_VALUE"""),"Black")</f>
        <v>Black</v>
      </c>
      <c r="E1048" s="5" t="str">
        <f ca="1">IFERROR(__xludf.DUMMYFUNCTION("""COMPUTED_VALUE"""),"No Relation")</f>
        <v>No Relation</v>
      </c>
      <c r="F1048" s="5" t="str">
        <f ca="1">IFERROR(__xludf.DUMMYFUNCTION("""COMPUTED_VALUE"""),"Fled/Escaped")</f>
        <v>Fled/Escaped</v>
      </c>
      <c r="G1048" s="5" t="str">
        <f ca="1">IFERROR(__xludf.DUMMYFUNCTION("""COMPUTED_VALUE"""),"No")</f>
        <v>No</v>
      </c>
      <c r="H1048" s="5" t="str">
        <f ca="1">IFERROR(__xludf.DUMMYFUNCTION("""COMPUTED_VALUE"""),"None")</f>
        <v>None</v>
      </c>
    </row>
    <row r="1049" spans="1:8">
      <c r="A1049" s="5" t="str">
        <f ca="1">IFERROR(__xludf.DUMMYFUNCTION("""COMPUTED_VALUE"""),"20150512AZCOT")</f>
        <v>20150512AZCOT</v>
      </c>
      <c r="B1049" s="5">
        <f ca="1">IFERROR(__xludf.DUMMYFUNCTION("""COMPUTED_VALUE"""),18)</f>
        <v>18</v>
      </c>
      <c r="C1049" s="5" t="str">
        <f ca="1">IFERROR(__xludf.DUMMYFUNCTION("""COMPUTED_VALUE"""),"Male")</f>
        <v>Male</v>
      </c>
      <c r="D1049" s="5" t="str">
        <f ca="1">IFERROR(__xludf.DUMMYFUNCTION("""COMPUTED_VALUE"""),"Black")</f>
        <v>Black</v>
      </c>
      <c r="E1049" s="5" t="str">
        <f ca="1">IFERROR(__xludf.DUMMYFUNCTION("""COMPUTED_VALUE"""),"Student")</f>
        <v>Student</v>
      </c>
      <c r="F1049" s="5" t="str">
        <f ca="1">IFERROR(__xludf.DUMMYFUNCTION("""COMPUTED_VALUE"""),"Suicide")</f>
        <v>Suicide</v>
      </c>
      <c r="G1049" s="5" t="str">
        <f ca="1">IFERROR(__xludf.DUMMYFUNCTION("""COMPUTED_VALUE"""),"Yes")</f>
        <v>Yes</v>
      </c>
      <c r="H1049" s="5" t="str">
        <f ca="1">IFERROR(__xludf.DUMMYFUNCTION("""COMPUTED_VALUE"""),"Suicide")</f>
        <v>Suicide</v>
      </c>
    </row>
    <row r="1050" spans="1:8">
      <c r="A1050" s="5" t="str">
        <f ca="1">IFERROR(__xludf.DUMMYFUNCTION("""COMPUTED_VALUE"""),"20150505GACOC")</f>
        <v>20150505GACOC</v>
      </c>
      <c r="B1050" s="5">
        <f ca="1">IFERROR(__xludf.DUMMYFUNCTION("""COMPUTED_VALUE"""),14)</f>
        <v>14</v>
      </c>
      <c r="C1050" s="5" t="str">
        <f ca="1">IFERROR(__xludf.DUMMYFUNCTION("""COMPUTED_VALUE"""),"Male")</f>
        <v>Male</v>
      </c>
      <c r="D1050" s="5"/>
      <c r="E1050" s="5" t="str">
        <f ca="1">IFERROR(__xludf.DUMMYFUNCTION("""COMPUTED_VALUE"""),"Student")</f>
        <v>Student</v>
      </c>
      <c r="F1050" s="5" t="str">
        <f ca="1">IFERROR(__xludf.DUMMYFUNCTION("""COMPUTED_VALUE"""),"Unknown")</f>
        <v>Unknown</v>
      </c>
      <c r="G1050" s="5" t="str">
        <f ca="1">IFERROR(__xludf.DUMMYFUNCTION("""COMPUTED_VALUE"""),"No")</f>
        <v>No</v>
      </c>
      <c r="H1050" s="5" t="str">
        <f ca="1">IFERROR(__xludf.DUMMYFUNCTION("""COMPUTED_VALUE"""),"None")</f>
        <v>None</v>
      </c>
    </row>
    <row r="1051" spans="1:8">
      <c r="A1051" s="5" t="str">
        <f ca="1">IFERROR(__xludf.DUMMYFUNCTION("""COMPUTED_VALUE"""),"20150504OHWIC")</f>
        <v>20150504OHWIC</v>
      </c>
      <c r="B1051" s="5"/>
      <c r="C1051" s="5"/>
      <c r="D1051" s="5"/>
      <c r="E1051" s="5" t="str">
        <f ca="1">IFERROR(__xludf.DUMMYFUNCTION("""COMPUTED_VALUE"""),"Unknown")</f>
        <v>Unknown</v>
      </c>
      <c r="F1051" s="5" t="str">
        <f ca="1">IFERROR(__xludf.DUMMYFUNCTION("""COMPUTED_VALUE"""),"Fled/Escaped")</f>
        <v>Fled/Escaped</v>
      </c>
      <c r="G1051" s="5" t="str">
        <f ca="1">IFERROR(__xludf.DUMMYFUNCTION("""COMPUTED_VALUE"""),"No")</f>
        <v>No</v>
      </c>
      <c r="H1051" s="5" t="str">
        <f ca="1">IFERROR(__xludf.DUMMYFUNCTION("""COMPUTED_VALUE"""),"None")</f>
        <v>None</v>
      </c>
    </row>
    <row r="1052" spans="1:8">
      <c r="A1052" s="5" t="str">
        <f ca="1">IFERROR(__xludf.DUMMYFUNCTION("""COMPUTED_VALUE"""),"20150428MDDRW")</f>
        <v>20150428MDDRW</v>
      </c>
      <c r="B1052" s="5"/>
      <c r="C1052" s="5" t="str">
        <f ca="1">IFERROR(__xludf.DUMMYFUNCTION("""COMPUTED_VALUE"""),"Male")</f>
        <v>Male</v>
      </c>
      <c r="D1052" s="5"/>
      <c r="E1052" s="5" t="str">
        <f ca="1">IFERROR(__xludf.DUMMYFUNCTION("""COMPUTED_VALUE"""),"No Relation")</f>
        <v>No Relation</v>
      </c>
      <c r="F1052" s="5" t="str">
        <f ca="1">IFERROR(__xludf.DUMMYFUNCTION("""COMPUTED_VALUE"""),"Fled/Escaped")</f>
        <v>Fled/Escaped</v>
      </c>
      <c r="G1052" s="5" t="str">
        <f ca="1">IFERROR(__xludf.DUMMYFUNCTION("""COMPUTED_VALUE"""),"No")</f>
        <v>No</v>
      </c>
      <c r="H1052" s="5" t="str">
        <f ca="1">IFERROR(__xludf.DUMMYFUNCTION("""COMPUTED_VALUE"""),"None")</f>
        <v>None</v>
      </c>
    </row>
    <row r="1053" spans="1:8">
      <c r="A1053" s="5" t="str">
        <f ca="1">IFERROR(__xludf.DUMMYFUNCTION("""COMPUTED_VALUE"""),"20150427WANOL")</f>
        <v>20150427WANOL</v>
      </c>
      <c r="B1053" s="5">
        <f ca="1">IFERROR(__xludf.DUMMYFUNCTION("""COMPUTED_VALUE"""),16)</f>
        <v>16</v>
      </c>
      <c r="C1053" s="5" t="str">
        <f ca="1">IFERROR(__xludf.DUMMYFUNCTION("""COMPUTED_VALUE"""),"Male")</f>
        <v>Male</v>
      </c>
      <c r="D1053" s="5" t="str">
        <f ca="1">IFERROR(__xludf.DUMMYFUNCTION("""COMPUTED_VALUE"""),"White")</f>
        <v>White</v>
      </c>
      <c r="E1053" s="5" t="str">
        <f ca="1">IFERROR(__xludf.DUMMYFUNCTION("""COMPUTED_VALUE"""),"Student")</f>
        <v>Student</v>
      </c>
      <c r="F1053" s="5" t="str">
        <f ca="1">IFERROR(__xludf.DUMMYFUNCTION("""COMPUTED_VALUE"""),"Subdued by Students/Staff/Other")</f>
        <v>Subdued by Students/Staff/Other</v>
      </c>
      <c r="G1053" s="5" t="str">
        <f ca="1">IFERROR(__xludf.DUMMYFUNCTION("""COMPUTED_VALUE"""),"No")</f>
        <v>No</v>
      </c>
      <c r="H1053" s="5" t="str">
        <f ca="1">IFERROR(__xludf.DUMMYFUNCTION("""COMPUTED_VALUE"""),"None")</f>
        <v>None</v>
      </c>
    </row>
    <row r="1054" spans="1:8">
      <c r="A1054" s="5" t="str">
        <f ca="1">IFERROR(__xludf.DUMMYFUNCTION("""COMPUTED_VALUE"""),"20150422NVRUL")</f>
        <v>20150422NVRUL</v>
      </c>
      <c r="B1054" s="5">
        <f ca="1">IFERROR(__xludf.DUMMYFUNCTION("""COMPUTED_VALUE"""),11)</f>
        <v>11</v>
      </c>
      <c r="C1054" s="5" t="str">
        <f ca="1">IFERROR(__xludf.DUMMYFUNCTION("""COMPUTED_VALUE"""),"Male")</f>
        <v>Male</v>
      </c>
      <c r="D1054" s="5"/>
      <c r="E1054" s="5" t="str">
        <f ca="1">IFERROR(__xludf.DUMMYFUNCTION("""COMPUTED_VALUE"""),"Student")</f>
        <v>Student</v>
      </c>
      <c r="F1054" s="5" t="str">
        <f ca="1">IFERROR(__xludf.DUMMYFUNCTION("""COMPUTED_VALUE"""),"Unknown")</f>
        <v>Unknown</v>
      </c>
      <c r="G1054" s="5" t="str">
        <f ca="1">IFERROR(__xludf.DUMMYFUNCTION("""COMPUTED_VALUE"""),"No")</f>
        <v>No</v>
      </c>
      <c r="H1054" s="5" t="str">
        <f ca="1">IFERROR(__xludf.DUMMYFUNCTION("""COMPUTED_VALUE"""),"None")</f>
        <v>None</v>
      </c>
    </row>
    <row r="1055" spans="1:8">
      <c r="A1055" s="5" t="str">
        <f ca="1">IFERROR(__xludf.DUMMYFUNCTION("""COMPUTED_VALUE"""),"20150417TXSES")</f>
        <v>20150417TXSES</v>
      </c>
      <c r="B1055" s="5">
        <f ca="1">IFERROR(__xludf.DUMMYFUNCTION("""COMPUTED_VALUE"""),18)</f>
        <v>18</v>
      </c>
      <c r="C1055" s="5" t="str">
        <f ca="1">IFERROR(__xludf.DUMMYFUNCTION("""COMPUTED_VALUE"""),"Male")</f>
        <v>Male</v>
      </c>
      <c r="D1055" s="5" t="str">
        <f ca="1">IFERROR(__xludf.DUMMYFUNCTION("""COMPUTED_VALUE"""),"Hispanic")</f>
        <v>Hispanic</v>
      </c>
      <c r="E1055" s="5" t="str">
        <f ca="1">IFERROR(__xludf.DUMMYFUNCTION("""COMPUTED_VALUE"""),"Student")</f>
        <v>Student</v>
      </c>
      <c r="F1055" s="5" t="str">
        <f ca="1">IFERROR(__xludf.DUMMYFUNCTION("""COMPUTED_VALUE"""),"Suicide")</f>
        <v>Suicide</v>
      </c>
      <c r="G1055" s="5" t="str">
        <f ca="1">IFERROR(__xludf.DUMMYFUNCTION("""COMPUTED_VALUE"""),"Yes")</f>
        <v>Yes</v>
      </c>
      <c r="H1055" s="5" t="str">
        <f ca="1">IFERROR(__xludf.DUMMYFUNCTION("""COMPUTED_VALUE"""),"Suicide")</f>
        <v>Suicide</v>
      </c>
    </row>
    <row r="1056" spans="1:8">
      <c r="A1056" s="5" t="str">
        <f ca="1">IFERROR(__xludf.DUMMYFUNCTION("""COMPUTED_VALUE"""),"20150330MOPEU")</f>
        <v>20150330MOPEU</v>
      </c>
      <c r="B1056" s="5">
        <f ca="1">IFERROR(__xludf.DUMMYFUNCTION("""COMPUTED_VALUE"""),24)</f>
        <v>24</v>
      </c>
      <c r="C1056" s="5" t="str">
        <f ca="1">IFERROR(__xludf.DUMMYFUNCTION("""COMPUTED_VALUE"""),"Male")</f>
        <v>Male</v>
      </c>
      <c r="D1056" s="5" t="str">
        <f ca="1">IFERROR(__xludf.DUMMYFUNCTION("""COMPUTED_VALUE"""),"Black")</f>
        <v>Black</v>
      </c>
      <c r="E1056" s="5" t="str">
        <f ca="1">IFERROR(__xludf.DUMMYFUNCTION("""COMPUTED_VALUE"""),"No Relation")</f>
        <v>No Relation</v>
      </c>
      <c r="F1056" s="5" t="str">
        <f ca="1">IFERROR(__xludf.DUMMYFUNCTION("""COMPUTED_VALUE"""),"Fled/Apprehended")</f>
        <v>Fled/Apprehended</v>
      </c>
      <c r="G1056" s="5" t="str">
        <f ca="1">IFERROR(__xludf.DUMMYFUNCTION("""COMPUTED_VALUE"""),"No")</f>
        <v>No</v>
      </c>
      <c r="H1056" s="5" t="str">
        <f ca="1">IFERROR(__xludf.DUMMYFUNCTION("""COMPUTED_VALUE"""),"None")</f>
        <v>None</v>
      </c>
    </row>
    <row r="1057" spans="1:8">
      <c r="A1057" s="5" t="str">
        <f ca="1">IFERROR(__xludf.DUMMYFUNCTION("""COMPUTED_VALUE"""),"20150215CATEM")</f>
        <v>20150215CATEM</v>
      </c>
      <c r="B1057" s="5">
        <f ca="1">IFERROR(__xludf.DUMMYFUNCTION("""COMPUTED_VALUE"""),17)</f>
        <v>17</v>
      </c>
      <c r="C1057" s="5" t="str">
        <f ca="1">IFERROR(__xludf.DUMMYFUNCTION("""COMPUTED_VALUE"""),"Male")</f>
        <v>Male</v>
      </c>
      <c r="D1057" s="5" t="str">
        <f ca="1">IFERROR(__xludf.DUMMYFUNCTION("""COMPUTED_VALUE"""),"White")</f>
        <v>White</v>
      </c>
      <c r="E1057" s="5" t="str">
        <f ca="1">IFERROR(__xludf.DUMMYFUNCTION("""COMPUTED_VALUE"""),"Unknown")</f>
        <v>Unknown</v>
      </c>
      <c r="F1057" s="5" t="str">
        <f ca="1">IFERROR(__xludf.DUMMYFUNCTION("""COMPUTED_VALUE"""),"Fled/Escaped")</f>
        <v>Fled/Escaped</v>
      </c>
      <c r="G1057" s="5" t="str">
        <f ca="1">IFERROR(__xludf.DUMMYFUNCTION("""COMPUTED_VALUE"""),"No")</f>
        <v>No</v>
      </c>
      <c r="H1057" s="5" t="str">
        <f ca="1">IFERROR(__xludf.DUMMYFUNCTION("""COMPUTED_VALUE"""),"None")</f>
        <v>None</v>
      </c>
    </row>
    <row r="1058" spans="1:8">
      <c r="A1058" s="5" t="str">
        <f ca="1">IFERROR(__xludf.DUMMYFUNCTION("""COMPUTED_VALUE"""),"20150215ARLAL")</f>
        <v>20150215ARLAL</v>
      </c>
      <c r="B1058" s="5">
        <f ca="1">IFERROR(__xludf.DUMMYFUNCTION("""COMPUTED_VALUE"""),62)</f>
        <v>62</v>
      </c>
      <c r="C1058" s="5" t="str">
        <f ca="1">IFERROR(__xludf.DUMMYFUNCTION("""COMPUTED_VALUE"""),"Male")</f>
        <v>Male</v>
      </c>
      <c r="D1058" s="5" t="str">
        <f ca="1">IFERROR(__xludf.DUMMYFUNCTION("""COMPUTED_VALUE"""),"White")</f>
        <v>White</v>
      </c>
      <c r="E1058" s="5" t="str">
        <f ca="1">IFERROR(__xludf.DUMMYFUNCTION("""COMPUTED_VALUE"""),"Relative")</f>
        <v>Relative</v>
      </c>
      <c r="F1058" s="5" t="str">
        <f ca="1">IFERROR(__xludf.DUMMYFUNCTION("""COMPUTED_VALUE"""),"Fled/Apprehended")</f>
        <v>Fled/Apprehended</v>
      </c>
      <c r="G1058" s="5" t="str">
        <f ca="1">IFERROR(__xludf.DUMMYFUNCTION("""COMPUTED_VALUE"""),"No")</f>
        <v>No</v>
      </c>
      <c r="H1058" s="5" t="str">
        <f ca="1">IFERROR(__xludf.DUMMYFUNCTION("""COMPUTED_VALUE"""),"None")</f>
        <v>None</v>
      </c>
    </row>
    <row r="1059" spans="1:8">
      <c r="A1059" s="5" t="str">
        <f ca="1">IFERROR(__xludf.DUMMYFUNCTION("""COMPUTED_VALUE"""),"20150204MDFRF")</f>
        <v>20150204MDFRF</v>
      </c>
      <c r="B1059" s="5">
        <f ca="1">IFERROR(__xludf.DUMMYFUNCTION("""COMPUTED_VALUE"""),21)</f>
        <v>21</v>
      </c>
      <c r="C1059" s="5" t="str">
        <f ca="1">IFERROR(__xludf.DUMMYFUNCTION("""COMPUTED_VALUE"""),"Male")</f>
        <v>Male</v>
      </c>
      <c r="D1059" s="5" t="str">
        <f ca="1">IFERROR(__xludf.DUMMYFUNCTION("""COMPUTED_VALUE"""),"Black")</f>
        <v>Black</v>
      </c>
      <c r="E1059" s="5" t="str">
        <f ca="1">IFERROR(__xludf.DUMMYFUNCTION("""COMPUTED_VALUE"""),"Nonstudent Using Athletic Facilities/Attending Game")</f>
        <v>Nonstudent Using Athletic Facilities/Attending Game</v>
      </c>
      <c r="F1059" s="5" t="str">
        <f ca="1">IFERROR(__xludf.DUMMYFUNCTION("""COMPUTED_VALUE"""),"Fled/Apprehended")</f>
        <v>Fled/Apprehended</v>
      </c>
      <c r="G1059" s="5" t="str">
        <f ca="1">IFERROR(__xludf.DUMMYFUNCTION("""COMPUTED_VALUE"""),"No")</f>
        <v>No</v>
      </c>
      <c r="H1059" s="5" t="str">
        <f ca="1">IFERROR(__xludf.DUMMYFUNCTION("""COMPUTED_VALUE"""),"None")</f>
        <v>None</v>
      </c>
    </row>
    <row r="1060" spans="1:8">
      <c r="A1060" s="5" t="str">
        <f ca="1">IFERROR(__xludf.DUMMYFUNCTION("""COMPUTED_VALUE"""),"20150204MDFRF")</f>
        <v>20150204MDFRF</v>
      </c>
      <c r="B1060" s="5"/>
      <c r="C1060" s="5" t="str">
        <f ca="1">IFERROR(__xludf.DUMMYFUNCTION("""COMPUTED_VALUE"""),"Male")</f>
        <v>Male</v>
      </c>
      <c r="D1060" s="5" t="str">
        <f ca="1">IFERROR(__xludf.DUMMYFUNCTION("""COMPUTED_VALUE"""),"Black")</f>
        <v>Black</v>
      </c>
      <c r="E1060" s="5" t="str">
        <f ca="1">IFERROR(__xludf.DUMMYFUNCTION("""COMPUTED_VALUE"""),"Nonstudent Using Athletic Facilities/Attending Game")</f>
        <v>Nonstudent Using Athletic Facilities/Attending Game</v>
      </c>
      <c r="F1060" s="5" t="str">
        <f ca="1">IFERROR(__xludf.DUMMYFUNCTION("""COMPUTED_VALUE"""),"Fled/Apprehended")</f>
        <v>Fled/Apprehended</v>
      </c>
      <c r="G1060" s="5" t="str">
        <f ca="1">IFERROR(__xludf.DUMMYFUNCTION("""COMPUTED_VALUE"""),"No")</f>
        <v>No</v>
      </c>
      <c r="H1060" s="5" t="str">
        <f ca="1">IFERROR(__xludf.DUMMYFUNCTION("""COMPUTED_VALUE"""),"None")</f>
        <v>None</v>
      </c>
    </row>
    <row r="1061" spans="1:8">
      <c r="A1061" s="5" t="str">
        <f ca="1">IFERROR(__xludf.DUMMYFUNCTION("""COMPUTED_VALUE"""),"20150126MNHAR")</f>
        <v>20150126MNHAR</v>
      </c>
      <c r="B1061" s="5">
        <f ca="1">IFERROR(__xludf.DUMMYFUNCTION("""COMPUTED_VALUE"""),48)</f>
        <v>48</v>
      </c>
      <c r="C1061" s="5" t="str">
        <f ca="1">IFERROR(__xludf.DUMMYFUNCTION("""COMPUTED_VALUE"""),"Male")</f>
        <v>Male</v>
      </c>
      <c r="D1061" s="5"/>
      <c r="E1061" s="5" t="str">
        <f ca="1">IFERROR(__xludf.DUMMYFUNCTION("""COMPUTED_VALUE"""),"No Relation")</f>
        <v>No Relation</v>
      </c>
      <c r="F1061" s="5" t="str">
        <f ca="1">IFERROR(__xludf.DUMMYFUNCTION("""COMPUTED_VALUE"""),"Suicide")</f>
        <v>Suicide</v>
      </c>
      <c r="G1061" s="5" t="str">
        <f ca="1">IFERROR(__xludf.DUMMYFUNCTION("""COMPUTED_VALUE"""),"Yes")</f>
        <v>Yes</v>
      </c>
      <c r="H1061" s="5" t="str">
        <f ca="1">IFERROR(__xludf.DUMMYFUNCTION("""COMPUTED_VALUE"""),"Suicide")</f>
        <v>Suicide</v>
      </c>
    </row>
    <row r="1062" spans="1:8">
      <c r="A1062" s="5" t="str">
        <f ca="1">IFERROR(__xludf.DUMMYFUNCTION("""COMPUTED_VALUE"""),"20150122SCROH")</f>
        <v>20150122SCROH</v>
      </c>
      <c r="B1062" s="5" t="str">
        <f ca="1">IFERROR(__xludf.DUMMYFUNCTION("""COMPUTED_VALUE"""),"Teen")</f>
        <v>Teen</v>
      </c>
      <c r="C1062" s="5" t="str">
        <f ca="1">IFERROR(__xludf.DUMMYFUNCTION("""COMPUTED_VALUE"""),"Male")</f>
        <v>Male</v>
      </c>
      <c r="D1062" s="5"/>
      <c r="E1062" s="5" t="str">
        <f ca="1">IFERROR(__xludf.DUMMYFUNCTION("""COMPUTED_VALUE"""),"Student")</f>
        <v>Student</v>
      </c>
      <c r="F1062" s="5" t="str">
        <f ca="1">IFERROR(__xludf.DUMMYFUNCTION("""COMPUTED_VALUE"""),"Fled/Apprehended")</f>
        <v>Fled/Apprehended</v>
      </c>
      <c r="G1062" s="5" t="str">
        <f ca="1">IFERROR(__xludf.DUMMYFUNCTION("""COMPUTED_VALUE"""),"No")</f>
        <v>No</v>
      </c>
      <c r="H1062" s="5" t="str">
        <f ca="1">IFERROR(__xludf.DUMMYFUNCTION("""COMPUTED_VALUE"""),"None")</f>
        <v>None</v>
      </c>
    </row>
    <row r="1063" spans="1:8">
      <c r="A1063" s="5" t="str">
        <f ca="1">IFERROR(__xludf.DUMMYFUNCTION("""COMPUTED_VALUE"""),"20150120ALWIM")</f>
        <v>20150120ALWIM</v>
      </c>
      <c r="B1063" s="5" t="str">
        <f ca="1">IFERROR(__xludf.DUMMYFUNCTION("""COMPUTED_VALUE"""),"Teen")</f>
        <v>Teen</v>
      </c>
      <c r="C1063" s="5" t="str">
        <f ca="1">IFERROR(__xludf.DUMMYFUNCTION("""COMPUTED_VALUE"""),"Male")</f>
        <v>Male</v>
      </c>
      <c r="D1063" s="5"/>
      <c r="E1063" s="5" t="str">
        <f ca="1">IFERROR(__xludf.DUMMYFUNCTION("""COMPUTED_VALUE"""),"Student")</f>
        <v>Student</v>
      </c>
      <c r="F1063" s="5" t="str">
        <f ca="1">IFERROR(__xludf.DUMMYFUNCTION("""COMPUTED_VALUE"""),"Fled/Escaped")</f>
        <v>Fled/Escaped</v>
      </c>
      <c r="G1063" s="5" t="str">
        <f ca="1">IFERROR(__xludf.DUMMYFUNCTION("""COMPUTED_VALUE"""),"No")</f>
        <v>No</v>
      </c>
      <c r="H1063" s="5" t="str">
        <f ca="1">IFERROR(__xludf.DUMMYFUNCTION("""COMPUTED_VALUE"""),"None")</f>
        <v>None</v>
      </c>
    </row>
    <row r="1064" spans="1:8">
      <c r="A1064" s="5" t="str">
        <f ca="1">IFERROR(__xludf.DUMMYFUNCTION("""COMPUTED_VALUE"""),"20150116FLVAO")</f>
        <v>20150116FLVAO</v>
      </c>
      <c r="B1064" s="5">
        <f ca="1">IFERROR(__xludf.DUMMYFUNCTION("""COMPUTED_VALUE"""),15)</f>
        <v>15</v>
      </c>
      <c r="C1064" s="5" t="str">
        <f ca="1">IFERROR(__xludf.DUMMYFUNCTION("""COMPUTED_VALUE"""),"Male")</f>
        <v>Male</v>
      </c>
      <c r="D1064" s="5" t="str">
        <f ca="1">IFERROR(__xludf.DUMMYFUNCTION("""COMPUTED_VALUE"""),"Black")</f>
        <v>Black</v>
      </c>
      <c r="E1064" s="5" t="str">
        <f ca="1">IFERROR(__xludf.DUMMYFUNCTION("""COMPUTED_VALUE"""),"Student")</f>
        <v>Student</v>
      </c>
      <c r="F1064" s="5" t="str">
        <f ca="1">IFERROR(__xludf.DUMMYFUNCTION("""COMPUTED_VALUE"""),"Fled/Apprehended")</f>
        <v>Fled/Apprehended</v>
      </c>
      <c r="G1064" s="5" t="str">
        <f ca="1">IFERROR(__xludf.DUMMYFUNCTION("""COMPUTED_VALUE"""),"No")</f>
        <v>No</v>
      </c>
      <c r="H1064" s="5" t="str">
        <f ca="1">IFERROR(__xludf.DUMMYFUNCTION("""COMPUTED_VALUE"""),"None")</f>
        <v>None</v>
      </c>
    </row>
    <row r="1065" spans="1:8">
      <c r="A1065" s="5" t="str">
        <f ca="1">IFERROR(__xludf.DUMMYFUNCTION("""COMPUTED_VALUE"""),"20150115WIWIM")</f>
        <v>20150115WIWIM</v>
      </c>
      <c r="B1065" s="5">
        <f ca="1">IFERROR(__xludf.DUMMYFUNCTION("""COMPUTED_VALUE"""),37)</f>
        <v>37</v>
      </c>
      <c r="C1065" s="5" t="str">
        <f ca="1">IFERROR(__xludf.DUMMYFUNCTION("""COMPUTED_VALUE"""),"Male")</f>
        <v>Male</v>
      </c>
      <c r="D1065" s="5" t="str">
        <f ca="1">IFERROR(__xludf.DUMMYFUNCTION("""COMPUTED_VALUE"""),"Black")</f>
        <v>Black</v>
      </c>
      <c r="E1065" s="5" t="str">
        <f ca="1">IFERROR(__xludf.DUMMYFUNCTION("""COMPUTED_VALUE"""),"Parent")</f>
        <v>Parent</v>
      </c>
      <c r="F1065" s="5" t="str">
        <f ca="1">IFERROR(__xludf.DUMMYFUNCTION("""COMPUTED_VALUE"""),"Fled/Apprehended")</f>
        <v>Fled/Apprehended</v>
      </c>
      <c r="G1065" s="5" t="str">
        <f ca="1">IFERROR(__xludf.DUMMYFUNCTION("""COMPUTED_VALUE"""),"No")</f>
        <v>No</v>
      </c>
      <c r="H1065" s="5" t="str">
        <f ca="1">IFERROR(__xludf.DUMMYFUNCTION("""COMPUTED_VALUE"""),"None")</f>
        <v>None</v>
      </c>
    </row>
    <row r="1066" spans="1:8">
      <c r="A1066" s="5" t="str">
        <f ca="1">IFERROR(__xludf.DUMMYFUNCTION("""COMPUTED_VALUE"""),"20141217MIGOW")</f>
        <v>20141217MIGOW</v>
      </c>
      <c r="B1066" s="5"/>
      <c r="C1066" s="5" t="str">
        <f ca="1">IFERROR(__xludf.DUMMYFUNCTION("""COMPUTED_VALUE"""),"Male")</f>
        <v>Male</v>
      </c>
      <c r="D1066" s="5"/>
      <c r="E1066" s="5" t="str">
        <f ca="1">IFERROR(__xludf.DUMMYFUNCTION("""COMPUTED_VALUE"""),"Unknown")</f>
        <v>Unknown</v>
      </c>
      <c r="F1066" s="5" t="str">
        <f ca="1">IFERROR(__xludf.DUMMYFUNCTION("""COMPUTED_VALUE"""),"Fled/Escaped")</f>
        <v>Fled/Escaped</v>
      </c>
      <c r="G1066" s="5" t="str">
        <f ca="1">IFERROR(__xludf.DUMMYFUNCTION("""COMPUTED_VALUE"""),"No")</f>
        <v>No</v>
      </c>
      <c r="H1066" s="5" t="str">
        <f ca="1">IFERROR(__xludf.DUMMYFUNCTION("""COMPUTED_VALUE"""),"None")</f>
        <v>None</v>
      </c>
    </row>
    <row r="1067" spans="1:8">
      <c r="A1067" s="5" t="str">
        <f ca="1">IFERROR(__xludf.DUMMYFUNCTION("""COMPUTED_VALUE"""),"20141217MEBEW")</f>
        <v>20141217MEBEW</v>
      </c>
      <c r="B1067" s="5">
        <f ca="1">IFERROR(__xludf.DUMMYFUNCTION("""COMPUTED_VALUE"""),41)</f>
        <v>41</v>
      </c>
      <c r="C1067" s="5" t="str">
        <f ca="1">IFERROR(__xludf.DUMMYFUNCTION("""COMPUTED_VALUE"""),"Male")</f>
        <v>Male</v>
      </c>
      <c r="D1067" s="5" t="str">
        <f ca="1">IFERROR(__xludf.DUMMYFUNCTION("""COMPUTED_VALUE"""),"White")</f>
        <v>White</v>
      </c>
      <c r="E1067" s="5" t="str">
        <f ca="1">IFERROR(__xludf.DUMMYFUNCTION("""COMPUTED_VALUE"""),"Former Student")</f>
        <v>Former Student</v>
      </c>
      <c r="F1067" s="5" t="str">
        <f ca="1">IFERROR(__xludf.DUMMYFUNCTION("""COMPUTED_VALUE"""),"Suicide")</f>
        <v>Suicide</v>
      </c>
      <c r="G1067" s="5" t="str">
        <f ca="1">IFERROR(__xludf.DUMMYFUNCTION("""COMPUTED_VALUE"""),"Yes")</f>
        <v>Yes</v>
      </c>
      <c r="H1067" s="5" t="str">
        <f ca="1">IFERROR(__xludf.DUMMYFUNCTION("""COMPUTED_VALUE"""),"Suicide")</f>
        <v>Suicide</v>
      </c>
    </row>
    <row r="1068" spans="1:8">
      <c r="A1068" s="5" t="str">
        <f ca="1">IFERROR(__xludf.DUMMYFUNCTION("""COMPUTED_VALUE"""),"20141216PASUP")</f>
        <v>20141216PASUP</v>
      </c>
      <c r="B1068" s="5"/>
      <c r="C1068" s="5"/>
      <c r="D1068" s="5"/>
      <c r="E1068" s="5" t="str">
        <f ca="1">IFERROR(__xludf.DUMMYFUNCTION("""COMPUTED_VALUE"""),"Unknown")</f>
        <v>Unknown</v>
      </c>
      <c r="F1068" s="5" t="str">
        <f ca="1">IFERROR(__xludf.DUMMYFUNCTION("""COMPUTED_VALUE"""),"Fled/Escaped")</f>
        <v>Fled/Escaped</v>
      </c>
      <c r="G1068" s="5" t="str">
        <f ca="1">IFERROR(__xludf.DUMMYFUNCTION("""COMPUTED_VALUE"""),"No")</f>
        <v>No</v>
      </c>
      <c r="H1068" s="5" t="str">
        <f ca="1">IFERROR(__xludf.DUMMYFUNCTION("""COMPUTED_VALUE"""),"None")</f>
        <v>None</v>
      </c>
    </row>
    <row r="1069" spans="1:8">
      <c r="A1069" s="5" t="str">
        <f ca="1">IFERROR(__xludf.DUMMYFUNCTION("""COMPUTED_VALUE"""),"20141212ORROP")</f>
        <v>20141212ORROP</v>
      </c>
      <c r="B1069" s="5">
        <f ca="1">IFERROR(__xludf.DUMMYFUNCTION("""COMPUTED_VALUE"""),16)</f>
        <v>16</v>
      </c>
      <c r="C1069" s="5" t="str">
        <f ca="1">IFERROR(__xludf.DUMMYFUNCTION("""COMPUTED_VALUE"""),"Male")</f>
        <v>Male</v>
      </c>
      <c r="D1069" s="5" t="str">
        <f ca="1">IFERROR(__xludf.DUMMYFUNCTION("""COMPUTED_VALUE"""),"Black")</f>
        <v>Black</v>
      </c>
      <c r="E1069" s="5" t="str">
        <f ca="1">IFERROR(__xludf.DUMMYFUNCTION("""COMPUTED_VALUE"""),"Student")</f>
        <v>Student</v>
      </c>
      <c r="F1069" s="5" t="str">
        <f ca="1">IFERROR(__xludf.DUMMYFUNCTION("""COMPUTED_VALUE"""),"Fled/Apprehended")</f>
        <v>Fled/Apprehended</v>
      </c>
      <c r="G1069" s="5" t="str">
        <f ca="1">IFERROR(__xludf.DUMMYFUNCTION("""COMPUTED_VALUE"""),"No")</f>
        <v>No</v>
      </c>
      <c r="H1069" s="5" t="str">
        <f ca="1">IFERROR(__xludf.DUMMYFUNCTION("""COMPUTED_VALUE"""),"None")</f>
        <v>None</v>
      </c>
    </row>
    <row r="1070" spans="1:8">
      <c r="A1070" s="5" t="str">
        <f ca="1">IFERROR(__xludf.DUMMYFUNCTION("""COMPUTED_VALUE"""),"20141120FLMIM")</f>
        <v>20141120FLMIM</v>
      </c>
      <c r="B1070" s="5">
        <f ca="1">IFERROR(__xludf.DUMMYFUNCTION("""COMPUTED_VALUE"""),17)</f>
        <v>17</v>
      </c>
      <c r="C1070" s="5" t="str">
        <f ca="1">IFERROR(__xludf.DUMMYFUNCTION("""COMPUTED_VALUE"""),"Male")</f>
        <v>Male</v>
      </c>
      <c r="D1070" s="5" t="str">
        <f ca="1">IFERROR(__xludf.DUMMYFUNCTION("""COMPUTED_VALUE"""),"Black")</f>
        <v>Black</v>
      </c>
      <c r="E1070" s="5" t="str">
        <f ca="1">IFERROR(__xludf.DUMMYFUNCTION("""COMPUTED_VALUE"""),"Student")</f>
        <v>Student</v>
      </c>
      <c r="F1070" s="5" t="str">
        <f ca="1">IFERROR(__xludf.DUMMYFUNCTION("""COMPUTED_VALUE"""),"Fled/Apprehended")</f>
        <v>Fled/Apprehended</v>
      </c>
      <c r="G1070" s="5" t="str">
        <f ca="1">IFERROR(__xludf.DUMMYFUNCTION("""COMPUTED_VALUE"""),"No")</f>
        <v>No</v>
      </c>
      <c r="H1070" s="5" t="str">
        <f ca="1">IFERROR(__xludf.DUMMYFUNCTION("""COMPUTED_VALUE"""),"None")</f>
        <v>None</v>
      </c>
    </row>
    <row r="1071" spans="1:8">
      <c r="A1071" s="5" t="str">
        <f ca="1">IFERROR(__xludf.DUMMYFUNCTION("""COMPUTED_VALUE"""),"20141024WAMAM")</f>
        <v>20141024WAMAM</v>
      </c>
      <c r="B1071" s="5">
        <f ca="1">IFERROR(__xludf.DUMMYFUNCTION("""COMPUTED_VALUE"""),15)</f>
        <v>15</v>
      </c>
      <c r="C1071" s="5" t="str">
        <f ca="1">IFERROR(__xludf.DUMMYFUNCTION("""COMPUTED_VALUE"""),"Male")</f>
        <v>Male</v>
      </c>
      <c r="D1071" s="5" t="str">
        <f ca="1">IFERROR(__xludf.DUMMYFUNCTION("""COMPUTED_VALUE"""),"Native American/Alaska Native")</f>
        <v>Native American/Alaska Native</v>
      </c>
      <c r="E1071" s="5" t="str">
        <f ca="1">IFERROR(__xludf.DUMMYFUNCTION("""COMPUTED_VALUE"""),"Student")</f>
        <v>Student</v>
      </c>
      <c r="F1071" s="5" t="str">
        <f ca="1">IFERROR(__xludf.DUMMYFUNCTION("""COMPUTED_VALUE"""),"Suicide")</f>
        <v>Suicide</v>
      </c>
      <c r="G1071" s="5" t="str">
        <f ca="1">IFERROR(__xludf.DUMMYFUNCTION("""COMPUTED_VALUE"""),"Yes")</f>
        <v>Yes</v>
      </c>
      <c r="H1071" s="5" t="str">
        <f ca="1">IFERROR(__xludf.DUMMYFUNCTION("""COMPUTED_VALUE"""),"Suicide")</f>
        <v>Suicide</v>
      </c>
    </row>
    <row r="1072" spans="1:8">
      <c r="A1072" s="5" t="str">
        <f ca="1">IFERROR(__xludf.DUMMYFUNCTION("""COMPUTED_VALUE"""),"20141024GALAA")</f>
        <v>20141024GALAA</v>
      </c>
      <c r="B1072" s="5">
        <f ca="1">IFERROR(__xludf.DUMMYFUNCTION("""COMPUTED_VALUE"""),17)</f>
        <v>17</v>
      </c>
      <c r="C1072" s="5" t="str">
        <f ca="1">IFERROR(__xludf.DUMMYFUNCTION("""COMPUTED_VALUE"""),"Male")</f>
        <v>Male</v>
      </c>
      <c r="D1072" s="5" t="str">
        <f ca="1">IFERROR(__xludf.DUMMYFUNCTION("""COMPUTED_VALUE"""),"Black")</f>
        <v>Black</v>
      </c>
      <c r="E1072" s="5" t="str">
        <f ca="1">IFERROR(__xludf.DUMMYFUNCTION("""COMPUTED_VALUE"""),"Student")</f>
        <v>Student</v>
      </c>
      <c r="F1072" s="5" t="str">
        <f ca="1">IFERROR(__xludf.DUMMYFUNCTION("""COMPUTED_VALUE"""),"Apprehended/Killed by LE")</f>
        <v>Apprehended/Killed by LE</v>
      </c>
      <c r="G1072" s="5" t="str">
        <f ca="1">IFERROR(__xludf.DUMMYFUNCTION("""COMPUTED_VALUE"""),"No")</f>
        <v>No</v>
      </c>
      <c r="H1072" s="5" t="str">
        <f ca="1">IFERROR(__xludf.DUMMYFUNCTION("""COMPUTED_VALUE"""),"None")</f>
        <v>None</v>
      </c>
    </row>
    <row r="1073" spans="1:8">
      <c r="A1073" s="5" t="str">
        <f ca="1">IFERROR(__xludf.DUMMYFUNCTION("""COMPUTED_VALUE"""),"20141021TNAMM")</f>
        <v>20141021TNAMM</v>
      </c>
      <c r="B1073" s="5">
        <f ca="1">IFERROR(__xludf.DUMMYFUNCTION("""COMPUTED_VALUE"""),13)</f>
        <v>13</v>
      </c>
      <c r="C1073" s="5" t="str">
        <f ca="1">IFERROR(__xludf.DUMMYFUNCTION("""COMPUTED_VALUE"""),"Male")</f>
        <v>Male</v>
      </c>
      <c r="D1073" s="5"/>
      <c r="E1073" s="5" t="str">
        <f ca="1">IFERROR(__xludf.DUMMYFUNCTION("""COMPUTED_VALUE"""),"Student")</f>
        <v>Student</v>
      </c>
      <c r="F1073" s="5" t="str">
        <f ca="1">IFERROR(__xludf.DUMMYFUNCTION("""COMPUTED_VALUE"""),"Surrendered")</f>
        <v>Surrendered</v>
      </c>
      <c r="G1073" s="5" t="str">
        <f ca="1">IFERROR(__xludf.DUMMYFUNCTION("""COMPUTED_VALUE"""),"No")</f>
        <v>No</v>
      </c>
      <c r="H1073" s="5" t="str">
        <f ca="1">IFERROR(__xludf.DUMMYFUNCTION("""COMPUTED_VALUE"""),"None")</f>
        <v>None</v>
      </c>
    </row>
    <row r="1074" spans="1:8">
      <c r="A1074" s="5" t="str">
        <f ca="1">IFERROR(__xludf.DUMMYFUNCTION("""COMPUTED_VALUE"""),"20141003GALAF")</f>
        <v>20141003GALAF</v>
      </c>
      <c r="B1074" s="5">
        <f ca="1">IFERROR(__xludf.DUMMYFUNCTION("""COMPUTED_VALUE"""),18)</f>
        <v>18</v>
      </c>
      <c r="C1074" s="5" t="str">
        <f ca="1">IFERROR(__xludf.DUMMYFUNCTION("""COMPUTED_VALUE"""),"Male")</f>
        <v>Male</v>
      </c>
      <c r="D1074" s="5" t="str">
        <f ca="1">IFERROR(__xludf.DUMMYFUNCTION("""COMPUTED_VALUE"""),"Black")</f>
        <v>Black</v>
      </c>
      <c r="E1074" s="5" t="str">
        <f ca="1">IFERROR(__xludf.DUMMYFUNCTION("""COMPUTED_VALUE"""),"Student")</f>
        <v>Student</v>
      </c>
      <c r="F1074" s="5" t="str">
        <f ca="1">IFERROR(__xludf.DUMMYFUNCTION("""COMPUTED_VALUE"""),"Fled/Apprehended")</f>
        <v>Fled/Apprehended</v>
      </c>
      <c r="G1074" s="5" t="str">
        <f ca="1">IFERROR(__xludf.DUMMYFUNCTION("""COMPUTED_VALUE"""),"No")</f>
        <v>No</v>
      </c>
      <c r="H1074" s="5" t="str">
        <f ca="1">IFERROR(__xludf.DUMMYFUNCTION("""COMPUTED_VALUE"""),"None")</f>
        <v>None</v>
      </c>
    </row>
    <row r="1075" spans="1:8">
      <c r="A1075" s="5" t="str">
        <f ca="1">IFERROR(__xludf.DUMMYFUNCTION("""COMPUTED_VALUE"""),"20140930NCALA")</f>
        <v>20140930NCALA</v>
      </c>
      <c r="B1075" s="5">
        <f ca="1">IFERROR(__xludf.DUMMYFUNCTION("""COMPUTED_VALUE"""),16)</f>
        <v>16</v>
      </c>
      <c r="C1075" s="5" t="str">
        <f ca="1">IFERROR(__xludf.DUMMYFUNCTION("""COMPUTED_VALUE"""),"Male")</f>
        <v>Male</v>
      </c>
      <c r="D1075" s="5" t="str">
        <f ca="1">IFERROR(__xludf.DUMMYFUNCTION("""COMPUTED_VALUE"""),"Black")</f>
        <v>Black</v>
      </c>
      <c r="E1075" s="5" t="str">
        <f ca="1">IFERROR(__xludf.DUMMYFUNCTION("""COMPUTED_VALUE"""),"Student")</f>
        <v>Student</v>
      </c>
      <c r="F1075" s="5" t="str">
        <f ca="1">IFERROR(__xludf.DUMMYFUNCTION("""COMPUTED_VALUE"""),"Surrendered")</f>
        <v>Surrendered</v>
      </c>
      <c r="G1075" s="5" t="str">
        <f ca="1">IFERROR(__xludf.DUMMYFUNCTION("""COMPUTED_VALUE"""),"No")</f>
        <v>No</v>
      </c>
      <c r="H1075" s="5" t="str">
        <f ca="1">IFERROR(__xludf.DUMMYFUNCTION("""COMPUTED_VALUE"""),"None")</f>
        <v>None</v>
      </c>
    </row>
    <row r="1076" spans="1:8">
      <c r="A1076" s="5" t="str">
        <f ca="1">IFERROR(__xludf.DUMMYFUNCTION("""COMPUTED_VALUE"""),"20140930KYFEL")</f>
        <v>20140930KYFEL</v>
      </c>
      <c r="B1076" s="5">
        <f ca="1">IFERROR(__xludf.DUMMYFUNCTION("""COMPUTED_VALUE"""),16)</f>
        <v>16</v>
      </c>
      <c r="C1076" s="5" t="str">
        <f ca="1">IFERROR(__xludf.DUMMYFUNCTION("""COMPUTED_VALUE"""),"Male")</f>
        <v>Male</v>
      </c>
      <c r="D1076" s="5" t="str">
        <f ca="1">IFERROR(__xludf.DUMMYFUNCTION("""COMPUTED_VALUE"""),"Black")</f>
        <v>Black</v>
      </c>
      <c r="E1076" s="5" t="str">
        <f ca="1">IFERROR(__xludf.DUMMYFUNCTION("""COMPUTED_VALUE"""),"Student")</f>
        <v>Student</v>
      </c>
      <c r="F1076" s="5" t="str">
        <f ca="1">IFERROR(__xludf.DUMMYFUNCTION("""COMPUTED_VALUE"""),"Fled/Apprehended")</f>
        <v>Fled/Apprehended</v>
      </c>
      <c r="G1076" s="5" t="str">
        <f ca="1">IFERROR(__xludf.DUMMYFUNCTION("""COMPUTED_VALUE"""),"No")</f>
        <v>No</v>
      </c>
      <c r="H1076" s="5" t="str">
        <f ca="1">IFERROR(__xludf.DUMMYFUNCTION("""COMPUTED_VALUE"""),"None")</f>
        <v>None</v>
      </c>
    </row>
    <row r="1077" spans="1:8">
      <c r="A1077" s="5" t="str">
        <f ca="1">IFERROR(__xludf.DUMMYFUNCTION("""COMPUTED_VALUE"""),"20140925NHWEM")</f>
        <v>20140925NHWEM</v>
      </c>
      <c r="B1077" s="5">
        <f ca="1">IFERROR(__xludf.DUMMYFUNCTION("""COMPUTED_VALUE"""),21)</f>
        <v>21</v>
      </c>
      <c r="C1077" s="5" t="str">
        <f ca="1">IFERROR(__xludf.DUMMYFUNCTION("""COMPUTED_VALUE"""),"Male")</f>
        <v>Male</v>
      </c>
      <c r="D1077" s="5" t="str">
        <f ca="1">IFERROR(__xludf.DUMMYFUNCTION("""COMPUTED_VALUE"""),"Black")</f>
        <v>Black</v>
      </c>
      <c r="E1077" s="5" t="str">
        <f ca="1">IFERROR(__xludf.DUMMYFUNCTION("""COMPUTED_VALUE"""),"Former Student")</f>
        <v>Former Student</v>
      </c>
      <c r="F1077" s="5" t="str">
        <f ca="1">IFERROR(__xludf.DUMMYFUNCTION("""COMPUTED_VALUE"""),"Subdued by Students/Staff/Other")</f>
        <v>Subdued by Students/Staff/Other</v>
      </c>
      <c r="G1077" s="5" t="str">
        <f ca="1">IFERROR(__xludf.DUMMYFUNCTION("""COMPUTED_VALUE"""),"No")</f>
        <v>No</v>
      </c>
      <c r="H1077" s="5" t="str">
        <f ca="1">IFERROR(__xludf.DUMMYFUNCTION("""COMPUTED_VALUE"""),"None")</f>
        <v>None</v>
      </c>
    </row>
    <row r="1078" spans="1:8">
      <c r="A1078" s="5" t="str">
        <f ca="1">IFERROR(__xludf.DUMMYFUNCTION("""COMPUTED_VALUE"""),"20140919IANOD")</f>
        <v>20140919IANOD</v>
      </c>
      <c r="B1078" s="5">
        <f ca="1">IFERROR(__xludf.DUMMYFUNCTION("""COMPUTED_VALUE"""),14)</f>
        <v>14</v>
      </c>
      <c r="C1078" s="5" t="str">
        <f ca="1">IFERROR(__xludf.DUMMYFUNCTION("""COMPUTED_VALUE"""),"Male")</f>
        <v>Male</v>
      </c>
      <c r="D1078" s="5" t="str">
        <f ca="1">IFERROR(__xludf.DUMMYFUNCTION("""COMPUTED_VALUE"""),"Black")</f>
        <v>Black</v>
      </c>
      <c r="E1078" s="5" t="str">
        <f ca="1">IFERROR(__xludf.DUMMYFUNCTION("""COMPUTED_VALUE"""),"Unknown")</f>
        <v>Unknown</v>
      </c>
      <c r="F1078" s="5" t="str">
        <f ca="1">IFERROR(__xludf.DUMMYFUNCTION("""COMPUTED_VALUE"""),"Fled/Apprehended")</f>
        <v>Fled/Apprehended</v>
      </c>
      <c r="G1078" s="5" t="str">
        <f ca="1">IFERROR(__xludf.DUMMYFUNCTION("""COMPUTED_VALUE"""),"No")</f>
        <v>No</v>
      </c>
      <c r="H1078" s="5" t="str">
        <f ca="1">IFERROR(__xludf.DUMMYFUNCTION("""COMPUTED_VALUE"""),"None")</f>
        <v>None</v>
      </c>
    </row>
    <row r="1079" spans="1:8">
      <c r="A1079" s="5" t="str">
        <f ca="1">IFERROR(__xludf.DUMMYFUNCTION("""COMPUTED_VALUE"""),"20140911UTWET")</f>
        <v>20140911UTWET</v>
      </c>
      <c r="B1079" s="5">
        <f ca="1">IFERROR(__xludf.DUMMYFUNCTION("""COMPUTED_VALUE"""),39)</f>
        <v>39</v>
      </c>
      <c r="C1079" s="5" t="str">
        <f ca="1">IFERROR(__xludf.DUMMYFUNCTION("""COMPUTED_VALUE"""),"Female")</f>
        <v>Female</v>
      </c>
      <c r="D1079" s="5" t="str">
        <f ca="1">IFERROR(__xludf.DUMMYFUNCTION("""COMPUTED_VALUE"""),"White")</f>
        <v>White</v>
      </c>
      <c r="E1079" s="5" t="str">
        <f ca="1">IFERROR(__xludf.DUMMYFUNCTION("""COMPUTED_VALUE"""),"Teacher")</f>
        <v>Teacher</v>
      </c>
      <c r="F1079" s="5" t="str">
        <f ca="1">IFERROR(__xludf.DUMMYFUNCTION("""COMPUTED_VALUE"""),"Surrendered")</f>
        <v>Surrendered</v>
      </c>
      <c r="G1079" s="5" t="str">
        <f ca="1">IFERROR(__xludf.DUMMYFUNCTION("""COMPUTED_VALUE"""),"No")</f>
        <v>No</v>
      </c>
      <c r="H1079" s="5" t="str">
        <f ca="1">IFERROR(__xludf.DUMMYFUNCTION("""COMPUTED_VALUE"""),"Wounded")</f>
        <v>Wounded</v>
      </c>
    </row>
    <row r="1080" spans="1:8">
      <c r="A1080" s="5" t="str">
        <f ca="1">IFERROR(__xludf.DUMMYFUNCTION("""COMPUTED_VALUE"""),"20140910FLGRL")</f>
        <v>20140910FLGRL</v>
      </c>
      <c r="B1080" s="5">
        <f ca="1">IFERROR(__xludf.DUMMYFUNCTION("""COMPUTED_VALUE"""),14)</f>
        <v>14</v>
      </c>
      <c r="C1080" s="5" t="str">
        <f ca="1">IFERROR(__xludf.DUMMYFUNCTION("""COMPUTED_VALUE"""),"Male")</f>
        <v>Male</v>
      </c>
      <c r="D1080" s="5" t="str">
        <f ca="1">IFERROR(__xludf.DUMMYFUNCTION("""COMPUTED_VALUE"""),"Black")</f>
        <v>Black</v>
      </c>
      <c r="E1080" s="5" t="str">
        <f ca="1">IFERROR(__xludf.DUMMYFUNCTION("""COMPUTED_VALUE"""),"Student")</f>
        <v>Student</v>
      </c>
      <c r="F1080" s="5" t="str">
        <f ca="1">IFERROR(__xludf.DUMMYFUNCTION("""COMPUTED_VALUE"""),"Suicide")</f>
        <v>Suicide</v>
      </c>
      <c r="G1080" s="5" t="str">
        <f ca="1">IFERROR(__xludf.DUMMYFUNCTION("""COMPUTED_VALUE"""),"Yes")</f>
        <v>Yes</v>
      </c>
      <c r="H1080" s="5" t="str">
        <f ca="1">IFERROR(__xludf.DUMMYFUNCTION("""COMPUTED_VALUE"""),"Suicide")</f>
        <v>Suicide</v>
      </c>
    </row>
    <row r="1081" spans="1:8">
      <c r="A1081" s="5" t="str">
        <f ca="1">IFERROR(__xludf.DUMMYFUNCTION("""COMPUTED_VALUE"""),"20140909FLSTM")</f>
        <v>20140909FLSTM</v>
      </c>
      <c r="B1081" s="5" t="str">
        <f ca="1">IFERROR(__xludf.DUMMYFUNCTION("""COMPUTED_VALUE"""),"Teen")</f>
        <v>Teen</v>
      </c>
      <c r="C1081" s="5" t="str">
        <f ca="1">IFERROR(__xludf.DUMMYFUNCTION("""COMPUTED_VALUE"""),"Male")</f>
        <v>Male</v>
      </c>
      <c r="D1081" s="5" t="str">
        <f ca="1">IFERROR(__xludf.DUMMYFUNCTION("""COMPUTED_VALUE"""),"Black")</f>
        <v>Black</v>
      </c>
      <c r="E1081" s="5" t="str">
        <f ca="1">IFERROR(__xludf.DUMMYFUNCTION("""COMPUTED_VALUE"""),"Student")</f>
        <v>Student</v>
      </c>
      <c r="F1081" s="5" t="str">
        <f ca="1">IFERROR(__xludf.DUMMYFUNCTION("""COMPUTED_VALUE"""),"Fled/Apprehended")</f>
        <v>Fled/Apprehended</v>
      </c>
      <c r="G1081" s="5" t="str">
        <f ca="1">IFERROR(__xludf.DUMMYFUNCTION("""COMPUTED_VALUE"""),"No")</f>
        <v>No</v>
      </c>
      <c r="H1081" s="5" t="str">
        <f ca="1">IFERROR(__xludf.DUMMYFUNCTION("""COMPUTED_VALUE"""),"None")</f>
        <v>None</v>
      </c>
    </row>
    <row r="1082" spans="1:8">
      <c r="A1082" s="5" t="str">
        <f ca="1">IFERROR(__xludf.DUMMYFUNCTION("""COMPUTED_VALUE"""),"20140909FLSTM")</f>
        <v>20140909FLSTM</v>
      </c>
      <c r="B1082" s="5" t="str">
        <f ca="1">IFERROR(__xludf.DUMMYFUNCTION("""COMPUTED_VALUE"""),"Teen")</f>
        <v>Teen</v>
      </c>
      <c r="C1082" s="5" t="str">
        <f ca="1">IFERROR(__xludf.DUMMYFUNCTION("""COMPUTED_VALUE"""),"Male")</f>
        <v>Male</v>
      </c>
      <c r="D1082" s="5" t="str">
        <f ca="1">IFERROR(__xludf.DUMMYFUNCTION("""COMPUTED_VALUE"""),"Black")</f>
        <v>Black</v>
      </c>
      <c r="E1082" s="5" t="str">
        <f ca="1">IFERROR(__xludf.DUMMYFUNCTION("""COMPUTED_VALUE"""),"Student")</f>
        <v>Student</v>
      </c>
      <c r="F1082" s="5" t="str">
        <f ca="1">IFERROR(__xludf.DUMMYFUNCTION("""COMPUTED_VALUE"""),"Fled/Apprehended")</f>
        <v>Fled/Apprehended</v>
      </c>
      <c r="G1082" s="5" t="str">
        <f ca="1">IFERROR(__xludf.DUMMYFUNCTION("""COMPUTED_VALUE"""),"No")</f>
        <v>No</v>
      </c>
      <c r="H1082" s="5" t="str">
        <f ca="1">IFERROR(__xludf.DUMMYFUNCTION("""COMPUTED_VALUE"""),"None")</f>
        <v>None</v>
      </c>
    </row>
    <row r="1083" spans="1:8">
      <c r="A1083" s="5" t="str">
        <f ca="1">IFERROR(__xludf.DUMMYFUNCTION("""COMPUTED_VALUE"""),"20140909FLSTM")</f>
        <v>20140909FLSTM</v>
      </c>
      <c r="B1083" s="5" t="str">
        <f ca="1">IFERROR(__xludf.DUMMYFUNCTION("""COMPUTED_VALUE"""),"Teen")</f>
        <v>Teen</v>
      </c>
      <c r="C1083" s="5" t="str">
        <f ca="1">IFERROR(__xludf.DUMMYFUNCTION("""COMPUTED_VALUE"""),"Male")</f>
        <v>Male</v>
      </c>
      <c r="D1083" s="5" t="str">
        <f ca="1">IFERROR(__xludf.DUMMYFUNCTION("""COMPUTED_VALUE"""),"Black")</f>
        <v>Black</v>
      </c>
      <c r="E1083" s="5" t="str">
        <f ca="1">IFERROR(__xludf.DUMMYFUNCTION("""COMPUTED_VALUE"""),"Student")</f>
        <v>Student</v>
      </c>
      <c r="F1083" s="5" t="str">
        <f ca="1">IFERROR(__xludf.DUMMYFUNCTION("""COMPUTED_VALUE"""),"Fled/Apprehended")</f>
        <v>Fled/Apprehended</v>
      </c>
      <c r="G1083" s="5" t="str">
        <f ca="1">IFERROR(__xludf.DUMMYFUNCTION("""COMPUTED_VALUE"""),"No")</f>
        <v>No</v>
      </c>
      <c r="H1083" s="5" t="str">
        <f ca="1">IFERROR(__xludf.DUMMYFUNCTION("""COMPUTED_VALUE"""),"None")</f>
        <v>None</v>
      </c>
    </row>
    <row r="1084" spans="1:8">
      <c r="A1084" s="5" t="str">
        <f ca="1">IFERROR(__xludf.DUMMYFUNCTION("""COMPUTED_VALUE"""),"20140909FLSTM")</f>
        <v>20140909FLSTM</v>
      </c>
      <c r="B1084" s="5" t="str">
        <f ca="1">IFERROR(__xludf.DUMMYFUNCTION("""COMPUTED_VALUE"""),"Teen")</f>
        <v>Teen</v>
      </c>
      <c r="C1084" s="5" t="str">
        <f ca="1">IFERROR(__xludf.DUMMYFUNCTION("""COMPUTED_VALUE"""),"Male")</f>
        <v>Male</v>
      </c>
      <c r="D1084" s="5" t="str">
        <f ca="1">IFERROR(__xludf.DUMMYFUNCTION("""COMPUTED_VALUE"""),"Black")</f>
        <v>Black</v>
      </c>
      <c r="E1084" s="5" t="str">
        <f ca="1">IFERROR(__xludf.DUMMYFUNCTION("""COMPUTED_VALUE"""),"Student")</f>
        <v>Student</v>
      </c>
      <c r="F1084" s="5" t="str">
        <f ca="1">IFERROR(__xludf.DUMMYFUNCTION("""COMPUTED_VALUE"""),"Fled/Apprehended")</f>
        <v>Fled/Apprehended</v>
      </c>
      <c r="G1084" s="5" t="str">
        <f ca="1">IFERROR(__xludf.DUMMYFUNCTION("""COMPUTED_VALUE"""),"No")</f>
        <v>No</v>
      </c>
      <c r="H1084" s="5" t="str">
        <f ca="1">IFERROR(__xludf.DUMMYFUNCTION("""COMPUTED_VALUE"""),"None")</f>
        <v>None</v>
      </c>
    </row>
    <row r="1085" spans="1:8">
      <c r="A1085" s="5" t="str">
        <f ca="1">IFERROR(__xludf.DUMMYFUNCTION("""COMPUTED_VALUE"""),"20140909FLSTM")</f>
        <v>20140909FLSTM</v>
      </c>
      <c r="B1085" s="5" t="str">
        <f ca="1">IFERROR(__xludf.DUMMYFUNCTION("""COMPUTED_VALUE"""),"Teen")</f>
        <v>Teen</v>
      </c>
      <c r="C1085" s="5" t="str">
        <f ca="1">IFERROR(__xludf.DUMMYFUNCTION("""COMPUTED_VALUE"""),"Male")</f>
        <v>Male</v>
      </c>
      <c r="D1085" s="5" t="str">
        <f ca="1">IFERROR(__xludf.DUMMYFUNCTION("""COMPUTED_VALUE"""),"Black")</f>
        <v>Black</v>
      </c>
      <c r="E1085" s="5" t="str">
        <f ca="1">IFERROR(__xludf.DUMMYFUNCTION("""COMPUTED_VALUE"""),"Student")</f>
        <v>Student</v>
      </c>
      <c r="F1085" s="5" t="str">
        <f ca="1">IFERROR(__xludf.DUMMYFUNCTION("""COMPUTED_VALUE"""),"Fled/Apprehended")</f>
        <v>Fled/Apprehended</v>
      </c>
      <c r="G1085" s="5" t="str">
        <f ca="1">IFERROR(__xludf.DUMMYFUNCTION("""COMPUTED_VALUE"""),"No")</f>
        <v>No</v>
      </c>
      <c r="H1085" s="5" t="str">
        <f ca="1">IFERROR(__xludf.DUMMYFUNCTION("""COMPUTED_VALUE"""),"None")</f>
        <v>None</v>
      </c>
    </row>
    <row r="1086" spans="1:8">
      <c r="A1086" s="5" t="str">
        <f ca="1">IFERROR(__xludf.DUMMYFUNCTION("""COMPUTED_VALUE"""),"20140814VASAN")</f>
        <v>20140814VASAN</v>
      </c>
      <c r="B1086" s="5">
        <f ca="1">IFERROR(__xludf.DUMMYFUNCTION("""COMPUTED_VALUE"""),17)</f>
        <v>17</v>
      </c>
      <c r="C1086" s="5" t="str">
        <f ca="1">IFERROR(__xludf.DUMMYFUNCTION("""COMPUTED_VALUE"""),"Male")</f>
        <v>Male</v>
      </c>
      <c r="D1086" s="5"/>
      <c r="E1086" s="5" t="str">
        <f ca="1">IFERROR(__xludf.DUMMYFUNCTION("""COMPUTED_VALUE"""),"Unknown")</f>
        <v>Unknown</v>
      </c>
      <c r="F1086" s="5" t="str">
        <f ca="1">IFERROR(__xludf.DUMMYFUNCTION("""COMPUTED_VALUE"""),"Fled/Apprehended")</f>
        <v>Fled/Apprehended</v>
      </c>
      <c r="G1086" s="5" t="str">
        <f ca="1">IFERROR(__xludf.DUMMYFUNCTION("""COMPUTED_VALUE"""),"No")</f>
        <v>No</v>
      </c>
      <c r="H1086" s="5" t="str">
        <f ca="1">IFERROR(__xludf.DUMMYFUNCTION("""COMPUTED_VALUE"""),"None")</f>
        <v>None</v>
      </c>
    </row>
    <row r="1087" spans="1:8">
      <c r="A1087" s="5" t="str">
        <f ca="1">IFERROR(__xludf.DUMMYFUNCTION("""COMPUTED_VALUE"""),"20140813MDHEF")</f>
        <v>20140813MDHEF</v>
      </c>
      <c r="B1087" s="5">
        <f ca="1">IFERROR(__xludf.DUMMYFUNCTION("""COMPUTED_VALUE"""),16)</f>
        <v>16</v>
      </c>
      <c r="C1087" s="5" t="str">
        <f ca="1">IFERROR(__xludf.DUMMYFUNCTION("""COMPUTED_VALUE"""),"Male")</f>
        <v>Male</v>
      </c>
      <c r="D1087" s="5" t="str">
        <f ca="1">IFERROR(__xludf.DUMMYFUNCTION("""COMPUTED_VALUE"""),"Black")</f>
        <v>Black</v>
      </c>
      <c r="E1087" s="5" t="str">
        <f ca="1">IFERROR(__xludf.DUMMYFUNCTION("""COMPUTED_VALUE"""),"Unknown")</f>
        <v>Unknown</v>
      </c>
      <c r="F1087" s="5" t="str">
        <f ca="1">IFERROR(__xludf.DUMMYFUNCTION("""COMPUTED_VALUE"""),"Fled/Apprehended")</f>
        <v>Fled/Apprehended</v>
      </c>
      <c r="G1087" s="5" t="str">
        <f ca="1">IFERROR(__xludf.DUMMYFUNCTION("""COMPUTED_VALUE"""),"No")</f>
        <v>No</v>
      </c>
      <c r="H1087" s="5" t="str">
        <f ca="1">IFERROR(__xludf.DUMMYFUNCTION("""COMPUTED_VALUE"""),"None")</f>
        <v>None</v>
      </c>
    </row>
    <row r="1088" spans="1:8">
      <c r="A1088" s="5" t="str">
        <f ca="1">IFERROR(__xludf.DUMMYFUNCTION("""COMPUTED_VALUE"""),"20140813MDHEF")</f>
        <v>20140813MDHEF</v>
      </c>
      <c r="B1088" s="5">
        <f ca="1">IFERROR(__xludf.DUMMYFUNCTION("""COMPUTED_VALUE"""),21)</f>
        <v>21</v>
      </c>
      <c r="C1088" s="5" t="str">
        <f ca="1">IFERROR(__xludf.DUMMYFUNCTION("""COMPUTED_VALUE"""),"Male")</f>
        <v>Male</v>
      </c>
      <c r="D1088" s="5" t="str">
        <f ca="1">IFERROR(__xludf.DUMMYFUNCTION("""COMPUTED_VALUE"""),"Black")</f>
        <v>Black</v>
      </c>
      <c r="E1088" s="5" t="str">
        <f ca="1">IFERROR(__xludf.DUMMYFUNCTION("""COMPUTED_VALUE"""),"Unknown")</f>
        <v>Unknown</v>
      </c>
      <c r="F1088" s="5" t="str">
        <f ca="1">IFERROR(__xludf.DUMMYFUNCTION("""COMPUTED_VALUE"""),"Fled/Apprehended")</f>
        <v>Fled/Apprehended</v>
      </c>
      <c r="G1088" s="5" t="str">
        <f ca="1">IFERROR(__xludf.DUMMYFUNCTION("""COMPUTED_VALUE"""),"No")</f>
        <v>No</v>
      </c>
      <c r="H1088" s="5" t="str">
        <f ca="1">IFERROR(__xludf.DUMMYFUNCTION("""COMPUTED_VALUE"""),"None")</f>
        <v>None</v>
      </c>
    </row>
    <row r="1089" spans="1:8">
      <c r="A1089" s="5" t="str">
        <f ca="1">IFERROR(__xludf.DUMMYFUNCTION("""COMPUTED_VALUE"""),"20140623MOKEB")</f>
        <v>20140623MOKEB</v>
      </c>
      <c r="B1089" s="5" t="str">
        <f ca="1">IFERROR(__xludf.DUMMYFUNCTION("""COMPUTED_VALUE"""),"Teen")</f>
        <v>Teen</v>
      </c>
      <c r="C1089" s="5" t="str">
        <f ca="1">IFERROR(__xludf.DUMMYFUNCTION("""COMPUTED_VALUE"""),"Male")</f>
        <v>Male</v>
      </c>
      <c r="D1089" s="5"/>
      <c r="E1089" s="5" t="str">
        <f ca="1">IFERROR(__xludf.DUMMYFUNCTION("""COMPUTED_VALUE"""),"Student")</f>
        <v>Student</v>
      </c>
      <c r="F1089" s="5" t="str">
        <f ca="1">IFERROR(__xludf.DUMMYFUNCTION("""COMPUTED_VALUE"""),"Surrendered")</f>
        <v>Surrendered</v>
      </c>
      <c r="G1089" s="5" t="str">
        <f ca="1">IFERROR(__xludf.DUMMYFUNCTION("""COMPUTED_VALUE"""),"No")</f>
        <v>No</v>
      </c>
      <c r="H1089" s="5" t="str">
        <f ca="1">IFERROR(__xludf.DUMMYFUNCTION("""COMPUTED_VALUE"""),"None")</f>
        <v>None</v>
      </c>
    </row>
    <row r="1090" spans="1:8">
      <c r="A1090" s="5" t="str">
        <f ca="1">IFERROR(__xludf.DUMMYFUNCTION("""COMPUTED_VALUE"""),"20140610ORRET")</f>
        <v>20140610ORRET</v>
      </c>
      <c r="B1090" s="5">
        <f ca="1">IFERROR(__xludf.DUMMYFUNCTION("""COMPUTED_VALUE"""),15)</f>
        <v>15</v>
      </c>
      <c r="C1090" s="5" t="str">
        <f ca="1">IFERROR(__xludf.DUMMYFUNCTION("""COMPUTED_VALUE"""),"Male")</f>
        <v>Male</v>
      </c>
      <c r="D1090" s="5" t="str">
        <f ca="1">IFERROR(__xludf.DUMMYFUNCTION("""COMPUTED_VALUE"""),"White")</f>
        <v>White</v>
      </c>
      <c r="E1090" s="5" t="str">
        <f ca="1">IFERROR(__xludf.DUMMYFUNCTION("""COMPUTED_VALUE"""),"Student")</f>
        <v>Student</v>
      </c>
      <c r="F1090" s="5" t="str">
        <f ca="1">IFERROR(__xludf.DUMMYFUNCTION("""COMPUTED_VALUE"""),"Suicide")</f>
        <v>Suicide</v>
      </c>
      <c r="G1090" s="5" t="str">
        <f ca="1">IFERROR(__xludf.DUMMYFUNCTION("""COMPUTED_VALUE"""),"Yes")</f>
        <v>Yes</v>
      </c>
      <c r="H1090" s="5" t="str">
        <f ca="1">IFERROR(__xludf.DUMMYFUNCTION("""COMPUTED_VALUE"""),"Suicide")</f>
        <v>Suicide</v>
      </c>
    </row>
    <row r="1091" spans="1:8">
      <c r="A1091" s="5" t="str">
        <f ca="1">IFERROR(__xludf.DUMMYFUNCTION("""COMPUTED_VALUE"""),"20140521WICLM")</f>
        <v>20140521WICLM</v>
      </c>
      <c r="B1091" s="5">
        <f ca="1">IFERROR(__xludf.DUMMYFUNCTION("""COMPUTED_VALUE"""),18)</f>
        <v>18</v>
      </c>
      <c r="C1091" s="5" t="str">
        <f ca="1">IFERROR(__xludf.DUMMYFUNCTION("""COMPUTED_VALUE"""),"Male")</f>
        <v>Male</v>
      </c>
      <c r="D1091" s="5" t="str">
        <f ca="1">IFERROR(__xludf.DUMMYFUNCTION("""COMPUTED_VALUE"""),"Black")</f>
        <v>Black</v>
      </c>
      <c r="E1091" s="5" t="str">
        <f ca="1">IFERROR(__xludf.DUMMYFUNCTION("""COMPUTED_VALUE"""),"No Relation")</f>
        <v>No Relation</v>
      </c>
      <c r="F1091" s="5" t="str">
        <f ca="1">IFERROR(__xludf.DUMMYFUNCTION("""COMPUTED_VALUE"""),"Fled/Apprehended")</f>
        <v>Fled/Apprehended</v>
      </c>
      <c r="G1091" s="5" t="str">
        <f ca="1">IFERROR(__xludf.DUMMYFUNCTION("""COMPUTED_VALUE"""),"No")</f>
        <v>No</v>
      </c>
      <c r="H1091" s="5" t="str">
        <f ca="1">IFERROR(__xludf.DUMMYFUNCTION("""COMPUTED_VALUE"""),"None")</f>
        <v>None</v>
      </c>
    </row>
    <row r="1092" spans="1:8">
      <c r="A1092" s="5" t="str">
        <f ca="1">IFERROR(__xludf.DUMMYFUNCTION("""COMPUTED_VALUE"""),"20140514CAJOR")</f>
        <v>20140514CAJOR</v>
      </c>
      <c r="B1092" s="5"/>
      <c r="C1092" s="5" t="str">
        <f ca="1">IFERROR(__xludf.DUMMYFUNCTION("""COMPUTED_VALUE"""),"Male")</f>
        <v>Male</v>
      </c>
      <c r="D1092" s="5" t="str">
        <f ca="1">IFERROR(__xludf.DUMMYFUNCTION("""COMPUTED_VALUE"""),"Black")</f>
        <v>Black</v>
      </c>
      <c r="E1092" s="5" t="str">
        <f ca="1">IFERROR(__xludf.DUMMYFUNCTION("""COMPUTED_VALUE"""),"Unknown")</f>
        <v>Unknown</v>
      </c>
      <c r="F1092" s="5" t="str">
        <f ca="1">IFERROR(__xludf.DUMMYFUNCTION("""COMPUTED_VALUE"""),"Fled/Escaped")</f>
        <v>Fled/Escaped</v>
      </c>
      <c r="G1092" s="5" t="str">
        <f ca="1">IFERROR(__xludf.DUMMYFUNCTION("""COMPUTED_VALUE"""),"No")</f>
        <v>No</v>
      </c>
      <c r="H1092" s="5" t="str">
        <f ca="1">IFERROR(__xludf.DUMMYFUNCTION("""COMPUTED_VALUE"""),"None")</f>
        <v>None</v>
      </c>
    </row>
    <row r="1093" spans="1:8">
      <c r="A1093" s="5" t="str">
        <f ca="1">IFERROR(__xludf.DUMMYFUNCTION("""COMPUTED_VALUE"""),"20140503WAHOE")</f>
        <v>20140503WAHOE</v>
      </c>
      <c r="B1093" s="5"/>
      <c r="C1093" s="5" t="str">
        <f ca="1">IFERROR(__xludf.DUMMYFUNCTION("""COMPUTED_VALUE"""),"Male")</f>
        <v>Male</v>
      </c>
      <c r="D1093" s="5"/>
      <c r="E1093" s="5" t="str">
        <f ca="1">IFERROR(__xludf.DUMMYFUNCTION("""COMPUTED_VALUE"""),"Nonstudent Using Athletic Facilities/Attending Game")</f>
        <v>Nonstudent Using Athletic Facilities/Attending Game</v>
      </c>
      <c r="F1093" s="5" t="str">
        <f ca="1">IFERROR(__xludf.DUMMYFUNCTION("""COMPUTED_VALUE"""),"Fled/Escaped")</f>
        <v>Fled/Escaped</v>
      </c>
      <c r="G1093" s="5" t="str">
        <f ca="1">IFERROR(__xludf.DUMMYFUNCTION("""COMPUTED_VALUE"""),"No")</f>
        <v>No</v>
      </c>
      <c r="H1093" s="5" t="str">
        <f ca="1">IFERROR(__xludf.DUMMYFUNCTION("""COMPUTED_VALUE"""),"None")</f>
        <v>None</v>
      </c>
    </row>
    <row r="1094" spans="1:8">
      <c r="A1094" s="5" t="str">
        <f ca="1">IFERROR(__xludf.DUMMYFUNCTION("""COMPUTED_VALUE"""),"20140421UTPRP")</f>
        <v>20140421UTPRP</v>
      </c>
      <c r="B1094" s="5">
        <f ca="1">IFERROR(__xludf.DUMMYFUNCTION("""COMPUTED_VALUE"""),14)</f>
        <v>14</v>
      </c>
      <c r="C1094" s="5" t="str">
        <f ca="1">IFERROR(__xludf.DUMMYFUNCTION("""COMPUTED_VALUE"""),"Male")</f>
        <v>Male</v>
      </c>
      <c r="D1094" s="5"/>
      <c r="E1094" s="5" t="str">
        <f ca="1">IFERROR(__xludf.DUMMYFUNCTION("""COMPUTED_VALUE"""),"Student")</f>
        <v>Student</v>
      </c>
      <c r="F1094" s="5" t="str">
        <f ca="1">IFERROR(__xludf.DUMMYFUNCTION("""COMPUTED_VALUE"""),"Surrendered")</f>
        <v>Surrendered</v>
      </c>
      <c r="G1094" s="5" t="str">
        <f ca="1">IFERROR(__xludf.DUMMYFUNCTION("""COMPUTED_VALUE"""),"No")</f>
        <v>No</v>
      </c>
      <c r="H1094" s="5" t="str">
        <f ca="1">IFERROR(__xludf.DUMMYFUNCTION("""COMPUTED_VALUE"""),"Wounded")</f>
        <v>Wounded</v>
      </c>
    </row>
    <row r="1095" spans="1:8">
      <c r="A1095" s="5" t="str">
        <f ca="1">IFERROR(__xludf.DUMMYFUNCTION("""COMPUTED_VALUE"""),"20140421INSTG")</f>
        <v>20140421INSTG</v>
      </c>
      <c r="B1095" s="5">
        <f ca="1">IFERROR(__xludf.DUMMYFUNCTION("""COMPUTED_VALUE"""),55)</f>
        <v>55</v>
      </c>
      <c r="C1095" s="5" t="str">
        <f ca="1">IFERROR(__xludf.DUMMYFUNCTION("""COMPUTED_VALUE"""),"Male")</f>
        <v>Male</v>
      </c>
      <c r="D1095" s="5" t="str">
        <f ca="1">IFERROR(__xludf.DUMMYFUNCTION("""COMPUTED_VALUE"""),"Hispanic")</f>
        <v>Hispanic</v>
      </c>
      <c r="E1095" s="5" t="str">
        <f ca="1">IFERROR(__xludf.DUMMYFUNCTION("""COMPUTED_VALUE"""),"Parent")</f>
        <v>Parent</v>
      </c>
      <c r="F1095" s="5" t="str">
        <f ca="1">IFERROR(__xludf.DUMMYFUNCTION("""COMPUTED_VALUE"""),"Fled/Escaped")</f>
        <v>Fled/Escaped</v>
      </c>
      <c r="G1095" s="5" t="str">
        <f ca="1">IFERROR(__xludf.DUMMYFUNCTION("""COMPUTED_VALUE"""),"Yes")</f>
        <v>Yes</v>
      </c>
      <c r="H1095" s="5" t="str">
        <f ca="1">IFERROR(__xludf.DUMMYFUNCTION("""COMPUTED_VALUE"""),"Suicide")</f>
        <v>Suicide</v>
      </c>
    </row>
    <row r="1096" spans="1:8">
      <c r="A1096" s="5" t="str">
        <f ca="1">IFERROR(__xludf.DUMMYFUNCTION("""COMPUTED_VALUE"""),"20140411MIEAD")</f>
        <v>20140411MIEAD</v>
      </c>
      <c r="B1096" s="5"/>
      <c r="C1096" s="5" t="str">
        <f ca="1">IFERROR(__xludf.DUMMYFUNCTION("""COMPUTED_VALUE"""),"Male")</f>
        <v>Male</v>
      </c>
      <c r="D1096" s="5" t="str">
        <f ca="1">IFERROR(__xludf.DUMMYFUNCTION("""COMPUTED_VALUE"""),"Black")</f>
        <v>Black</v>
      </c>
      <c r="E1096" s="5" t="str">
        <f ca="1">IFERROR(__xludf.DUMMYFUNCTION("""COMPUTED_VALUE"""),"Unknown")</f>
        <v>Unknown</v>
      </c>
      <c r="F1096" s="5" t="str">
        <f ca="1">IFERROR(__xludf.DUMMYFUNCTION("""COMPUTED_VALUE"""),"Fled/Escaped")</f>
        <v>Fled/Escaped</v>
      </c>
      <c r="G1096" s="5" t="str">
        <f ca="1">IFERROR(__xludf.DUMMYFUNCTION("""COMPUTED_VALUE"""),"No")</f>
        <v>No</v>
      </c>
      <c r="H1096" s="5" t="str">
        <f ca="1">IFERROR(__xludf.DUMMYFUNCTION("""COMPUTED_VALUE"""),"None")</f>
        <v>None</v>
      </c>
    </row>
    <row r="1097" spans="1:8">
      <c r="A1097" s="5" t="str">
        <f ca="1">IFERROR(__xludf.DUMMYFUNCTION("""COMPUTED_VALUE"""),"20140410OHLIC")</f>
        <v>20140410OHLIC</v>
      </c>
      <c r="B1097" s="5">
        <f ca="1">IFERROR(__xludf.DUMMYFUNCTION("""COMPUTED_VALUE"""),48)</f>
        <v>48</v>
      </c>
      <c r="C1097" s="5" t="str">
        <f ca="1">IFERROR(__xludf.DUMMYFUNCTION("""COMPUTED_VALUE"""),"Male")</f>
        <v>Male</v>
      </c>
      <c r="D1097" s="5" t="str">
        <f ca="1">IFERROR(__xludf.DUMMYFUNCTION("""COMPUTED_VALUE"""),"Black")</f>
        <v>Black</v>
      </c>
      <c r="E1097" s="5" t="str">
        <f ca="1">IFERROR(__xludf.DUMMYFUNCTION("""COMPUTED_VALUE"""),"No Relation")</f>
        <v>No Relation</v>
      </c>
      <c r="F1097" s="5" t="str">
        <f ca="1">IFERROR(__xludf.DUMMYFUNCTION("""COMPUTED_VALUE"""),"Fled/Apprehended")</f>
        <v>Fled/Apprehended</v>
      </c>
      <c r="G1097" s="5" t="str">
        <f ca="1">IFERROR(__xludf.DUMMYFUNCTION("""COMPUTED_VALUE"""),"No")</f>
        <v>No</v>
      </c>
      <c r="H1097" s="5" t="str">
        <f ca="1">IFERROR(__xludf.DUMMYFUNCTION("""COMPUTED_VALUE"""),"None")</f>
        <v>None</v>
      </c>
    </row>
    <row r="1098" spans="1:8">
      <c r="A1098" s="5" t="str">
        <f ca="1">IFERROR(__xludf.DUMMYFUNCTION("""COMPUTED_VALUE"""),"20140409NCDHG")</f>
        <v>20140409NCDHG</v>
      </c>
      <c r="B1098" s="5">
        <f ca="1">IFERROR(__xludf.DUMMYFUNCTION("""COMPUTED_VALUE"""),17)</f>
        <v>17</v>
      </c>
      <c r="C1098" s="5" t="str">
        <f ca="1">IFERROR(__xludf.DUMMYFUNCTION("""COMPUTED_VALUE"""),"Male")</f>
        <v>Male</v>
      </c>
      <c r="D1098" s="5" t="str">
        <f ca="1">IFERROR(__xludf.DUMMYFUNCTION("""COMPUTED_VALUE"""),"Black")</f>
        <v>Black</v>
      </c>
      <c r="E1098" s="5" t="str">
        <f ca="1">IFERROR(__xludf.DUMMYFUNCTION("""COMPUTED_VALUE"""),"Rival School Student")</f>
        <v>Rival School Student</v>
      </c>
      <c r="F1098" s="5" t="str">
        <f ca="1">IFERROR(__xludf.DUMMYFUNCTION("""COMPUTED_VALUE"""),"Fled/Apprehended")</f>
        <v>Fled/Apprehended</v>
      </c>
      <c r="G1098" s="5" t="str">
        <f ca="1">IFERROR(__xludf.DUMMYFUNCTION("""COMPUTED_VALUE"""),"No")</f>
        <v>No</v>
      </c>
      <c r="H1098" s="5" t="str">
        <f ca="1">IFERROR(__xludf.DUMMYFUNCTION("""COMPUTED_VALUE"""),"None")</f>
        <v>None</v>
      </c>
    </row>
    <row r="1099" spans="1:8">
      <c r="A1099" s="5" t="str">
        <f ca="1">IFERROR(__xludf.DUMMYFUNCTION("""COMPUTED_VALUE"""),"20140403NJUNN")</f>
        <v>20140403NJUNN</v>
      </c>
      <c r="B1099" s="5" t="str">
        <f ca="1">IFERROR(__xludf.DUMMYFUNCTION("""COMPUTED_VALUE"""),"Adult")</f>
        <v>Adult</v>
      </c>
      <c r="C1099" s="5" t="str">
        <f ca="1">IFERROR(__xludf.DUMMYFUNCTION("""COMPUTED_VALUE"""),"Male")</f>
        <v>Male</v>
      </c>
      <c r="D1099" s="5" t="str">
        <f ca="1">IFERROR(__xludf.DUMMYFUNCTION("""COMPUTED_VALUE"""),"Hispanic")</f>
        <v>Hispanic</v>
      </c>
      <c r="E1099" s="5" t="str">
        <f ca="1">IFERROR(__xludf.DUMMYFUNCTION("""COMPUTED_VALUE"""),"No Relation")</f>
        <v>No Relation</v>
      </c>
      <c r="F1099" s="5" t="str">
        <f ca="1">IFERROR(__xludf.DUMMYFUNCTION("""COMPUTED_VALUE"""),"Fled/Escaped")</f>
        <v>Fled/Escaped</v>
      </c>
      <c r="G1099" s="5" t="str">
        <f ca="1">IFERROR(__xludf.DUMMYFUNCTION("""COMPUTED_VALUE"""),"No")</f>
        <v>No</v>
      </c>
      <c r="H1099" s="5" t="str">
        <f ca="1">IFERROR(__xludf.DUMMYFUNCTION("""COMPUTED_VALUE"""),"None")</f>
        <v>None</v>
      </c>
    </row>
    <row r="1100" spans="1:8">
      <c r="A1100" s="5" t="str">
        <f ca="1">IFERROR(__xludf.DUMMYFUNCTION("""COMPUTED_VALUE"""),"20140325GABEC")</f>
        <v>20140325GABEC</v>
      </c>
      <c r="B1100" s="5">
        <f ca="1">IFERROR(__xludf.DUMMYFUNCTION("""COMPUTED_VALUE"""),15)</f>
        <v>15</v>
      </c>
      <c r="C1100" s="5" t="str">
        <f ca="1">IFERROR(__xludf.DUMMYFUNCTION("""COMPUTED_VALUE"""),"Male")</f>
        <v>Male</v>
      </c>
      <c r="D1100" s="5" t="str">
        <f ca="1">IFERROR(__xludf.DUMMYFUNCTION("""COMPUTED_VALUE"""),"Black")</f>
        <v>Black</v>
      </c>
      <c r="E1100" s="5" t="str">
        <f ca="1">IFERROR(__xludf.DUMMYFUNCTION("""COMPUTED_VALUE"""),"Student")</f>
        <v>Student</v>
      </c>
      <c r="F1100" s="5" t="str">
        <f ca="1">IFERROR(__xludf.DUMMYFUNCTION("""COMPUTED_VALUE"""),"Fled/Apprehended")</f>
        <v>Fled/Apprehended</v>
      </c>
      <c r="G1100" s="5" t="str">
        <f ca="1">IFERROR(__xludf.DUMMYFUNCTION("""COMPUTED_VALUE"""),"No")</f>
        <v>No</v>
      </c>
      <c r="H1100" s="5" t="str">
        <f ca="1">IFERROR(__xludf.DUMMYFUNCTION("""COMPUTED_VALUE"""),"None")</f>
        <v>None</v>
      </c>
    </row>
    <row r="1101" spans="1:8">
      <c r="A1101" s="5" t="str">
        <f ca="1">IFERROR(__xludf.DUMMYFUNCTION("""COMPUTED_VALUE"""),"20140325GABEC")</f>
        <v>20140325GABEC</v>
      </c>
      <c r="B1101" s="5">
        <f ca="1">IFERROR(__xludf.DUMMYFUNCTION("""COMPUTED_VALUE"""),15)</f>
        <v>15</v>
      </c>
      <c r="C1101" s="5" t="str">
        <f ca="1">IFERROR(__xludf.DUMMYFUNCTION("""COMPUTED_VALUE"""),"Male")</f>
        <v>Male</v>
      </c>
      <c r="D1101" s="5" t="str">
        <f ca="1">IFERROR(__xludf.DUMMYFUNCTION("""COMPUTED_VALUE"""),"Black")</f>
        <v>Black</v>
      </c>
      <c r="E1101" s="5" t="str">
        <f ca="1">IFERROR(__xludf.DUMMYFUNCTION("""COMPUTED_VALUE"""),"Student")</f>
        <v>Student</v>
      </c>
      <c r="F1101" s="5" t="str">
        <f ca="1">IFERROR(__xludf.DUMMYFUNCTION("""COMPUTED_VALUE"""),"Fled/Apprehended")</f>
        <v>Fled/Apprehended</v>
      </c>
      <c r="G1101" s="5" t="str">
        <f ca="1">IFERROR(__xludf.DUMMYFUNCTION("""COMPUTED_VALUE"""),"No")</f>
        <v>No</v>
      </c>
      <c r="H1101" s="5" t="str">
        <f ca="1">IFERROR(__xludf.DUMMYFUNCTION("""COMPUTED_VALUE"""),"None")</f>
        <v>None</v>
      </c>
    </row>
    <row r="1102" spans="1:8">
      <c r="A1102" s="5" t="str">
        <f ca="1">IFERROR(__xludf.DUMMYFUNCTION("""COMPUTED_VALUE"""),"20140312FLACM")</f>
        <v>20140312FLACM</v>
      </c>
      <c r="B1102" s="5">
        <f ca="1">IFERROR(__xludf.DUMMYFUNCTION("""COMPUTED_VALUE"""),41)</f>
        <v>41</v>
      </c>
      <c r="C1102" s="5" t="str">
        <f ca="1">IFERROR(__xludf.DUMMYFUNCTION("""COMPUTED_VALUE"""),"Male")</f>
        <v>Male</v>
      </c>
      <c r="D1102" s="5" t="str">
        <f ca="1">IFERROR(__xludf.DUMMYFUNCTION("""COMPUTED_VALUE"""),"Black")</f>
        <v>Black</v>
      </c>
      <c r="E1102" s="5" t="str">
        <f ca="1">IFERROR(__xludf.DUMMYFUNCTION("""COMPUTED_VALUE"""),"No Relation")</f>
        <v>No Relation</v>
      </c>
      <c r="F1102" s="5" t="str">
        <f ca="1">IFERROR(__xludf.DUMMYFUNCTION("""COMPUTED_VALUE"""),"Fled/Apprehended")</f>
        <v>Fled/Apprehended</v>
      </c>
      <c r="G1102" s="5" t="str">
        <f ca="1">IFERROR(__xludf.DUMMYFUNCTION("""COMPUTED_VALUE"""),"No")</f>
        <v>No</v>
      </c>
      <c r="H1102" s="5" t="str">
        <f ca="1">IFERROR(__xludf.DUMMYFUNCTION("""COMPUTED_VALUE"""),"None")</f>
        <v>None</v>
      </c>
    </row>
    <row r="1103" spans="1:8">
      <c r="A1103" s="5" t="str">
        <f ca="1">IFERROR(__xludf.DUMMYFUNCTION("""COMPUTED_VALUE"""),"20140307LAMAT")</f>
        <v>20140307LAMAT</v>
      </c>
      <c r="B1103" s="5">
        <f ca="1">IFERROR(__xludf.DUMMYFUNCTION("""COMPUTED_VALUE"""),17)</f>
        <v>17</v>
      </c>
      <c r="C1103" s="5" t="str">
        <f ca="1">IFERROR(__xludf.DUMMYFUNCTION("""COMPUTED_VALUE"""),"Male")</f>
        <v>Male</v>
      </c>
      <c r="D1103" s="5" t="str">
        <f ca="1">IFERROR(__xludf.DUMMYFUNCTION("""COMPUTED_VALUE"""),"Black")</f>
        <v>Black</v>
      </c>
      <c r="E1103" s="5" t="str">
        <f ca="1">IFERROR(__xludf.DUMMYFUNCTION("""COMPUTED_VALUE"""),"Unknown")</f>
        <v>Unknown</v>
      </c>
      <c r="F1103" s="5" t="str">
        <f ca="1">IFERROR(__xludf.DUMMYFUNCTION("""COMPUTED_VALUE"""),"Unknown")</f>
        <v>Unknown</v>
      </c>
      <c r="G1103" s="5" t="str">
        <f ca="1">IFERROR(__xludf.DUMMYFUNCTION("""COMPUTED_VALUE"""),"No")</f>
        <v>No</v>
      </c>
      <c r="H1103" s="5" t="str">
        <f ca="1">IFERROR(__xludf.DUMMYFUNCTION("""COMPUTED_VALUE"""),"None")</f>
        <v>None</v>
      </c>
    </row>
    <row r="1104" spans="1:8">
      <c r="A1104" s="5" t="str">
        <f ca="1">IFERROR(__xludf.DUMMYFUNCTION("""COMPUTED_VALUE"""),"20140220MIRAR")</f>
        <v>20140220MIRAR</v>
      </c>
      <c r="B1104" s="5">
        <f ca="1">IFERROR(__xludf.DUMMYFUNCTION("""COMPUTED_VALUE"""),42)</f>
        <v>42</v>
      </c>
      <c r="C1104" s="5" t="str">
        <f ca="1">IFERROR(__xludf.DUMMYFUNCTION("""COMPUTED_VALUE"""),"Male")</f>
        <v>Male</v>
      </c>
      <c r="D1104" s="5" t="str">
        <f ca="1">IFERROR(__xludf.DUMMYFUNCTION("""COMPUTED_VALUE"""),"Black")</f>
        <v>Black</v>
      </c>
      <c r="E1104" s="5" t="str">
        <f ca="1">IFERROR(__xludf.DUMMYFUNCTION("""COMPUTED_VALUE"""),"Parent")</f>
        <v>Parent</v>
      </c>
      <c r="F1104" s="5" t="str">
        <f ca="1">IFERROR(__xludf.DUMMYFUNCTION("""COMPUTED_VALUE"""),"Surrendered")</f>
        <v>Surrendered</v>
      </c>
      <c r="G1104" s="5" t="str">
        <f ca="1">IFERROR(__xludf.DUMMYFUNCTION("""COMPUTED_VALUE"""),"No")</f>
        <v>No</v>
      </c>
      <c r="H1104" s="5" t="str">
        <f ca="1">IFERROR(__xludf.DUMMYFUNCTION("""COMPUTED_VALUE"""),"None")</f>
        <v>None</v>
      </c>
    </row>
    <row r="1105" spans="1:8">
      <c r="A1105" s="5" t="str">
        <f ca="1">IFERROR(__xludf.DUMMYFUNCTION("""COMPUTED_VALUE"""),"20140211OHCHL")</f>
        <v>20140211OHCHL</v>
      </c>
      <c r="B1105" s="5">
        <f ca="1">IFERROR(__xludf.DUMMYFUNCTION("""COMPUTED_VALUE"""),17)</f>
        <v>17</v>
      </c>
      <c r="C1105" s="5" t="str">
        <f ca="1">IFERROR(__xludf.DUMMYFUNCTION("""COMPUTED_VALUE"""),"Male")</f>
        <v>Male</v>
      </c>
      <c r="D1105" s="5"/>
      <c r="E1105" s="5" t="str">
        <f ca="1">IFERROR(__xludf.DUMMYFUNCTION("""COMPUTED_VALUE"""),"Unknown")</f>
        <v>Unknown</v>
      </c>
      <c r="F1105" s="5" t="str">
        <f ca="1">IFERROR(__xludf.DUMMYFUNCTION("""COMPUTED_VALUE"""),"Fled/Apprehended")</f>
        <v>Fled/Apprehended</v>
      </c>
      <c r="G1105" s="5" t="str">
        <f ca="1">IFERROR(__xludf.DUMMYFUNCTION("""COMPUTED_VALUE"""),"No")</f>
        <v>No</v>
      </c>
      <c r="H1105" s="5" t="str">
        <f ca="1">IFERROR(__xludf.DUMMYFUNCTION("""COMPUTED_VALUE"""),"None")</f>
        <v>None</v>
      </c>
    </row>
    <row r="1106" spans="1:8">
      <c r="A1106" s="5" t="str">
        <f ca="1">IFERROR(__xludf.DUMMYFUNCTION("""COMPUTED_VALUE"""),"20140210NCSAS")</f>
        <v>20140210NCSAS</v>
      </c>
      <c r="B1106" s="5">
        <f ca="1">IFERROR(__xludf.DUMMYFUNCTION("""COMPUTED_VALUE"""),17)</f>
        <v>17</v>
      </c>
      <c r="C1106" s="5" t="str">
        <f ca="1">IFERROR(__xludf.DUMMYFUNCTION("""COMPUTED_VALUE"""),"Male")</f>
        <v>Male</v>
      </c>
      <c r="D1106" s="5" t="str">
        <f ca="1">IFERROR(__xludf.DUMMYFUNCTION("""COMPUTED_VALUE"""),"Black")</f>
        <v>Black</v>
      </c>
      <c r="E1106" s="5" t="str">
        <f ca="1">IFERROR(__xludf.DUMMYFUNCTION("""COMPUTED_VALUE"""),"Nonstudent")</f>
        <v>Nonstudent</v>
      </c>
      <c r="F1106" s="5" t="str">
        <f ca="1">IFERROR(__xludf.DUMMYFUNCTION("""COMPUTED_VALUE"""),"Fled/Apprehended")</f>
        <v>Fled/Apprehended</v>
      </c>
      <c r="G1106" s="5" t="str">
        <f ca="1">IFERROR(__xludf.DUMMYFUNCTION("""COMPUTED_VALUE"""),"No")</f>
        <v>No</v>
      </c>
      <c r="H1106" s="5" t="str">
        <f ca="1">IFERROR(__xludf.DUMMYFUNCTION("""COMPUTED_VALUE"""),"None")</f>
        <v>None</v>
      </c>
    </row>
    <row r="1107" spans="1:8">
      <c r="A1107" s="5" t="str">
        <f ca="1">IFERROR(__xludf.DUMMYFUNCTION("""COMPUTED_VALUE"""),"20140207ORBEB")</f>
        <v>20140207ORBEB</v>
      </c>
      <c r="B1107" s="5">
        <f ca="1">IFERROR(__xludf.DUMMYFUNCTION("""COMPUTED_VALUE"""),17)</f>
        <v>17</v>
      </c>
      <c r="C1107" s="5" t="str">
        <f ca="1">IFERROR(__xludf.DUMMYFUNCTION("""COMPUTED_VALUE"""),"Male")</f>
        <v>Male</v>
      </c>
      <c r="D1107" s="5"/>
      <c r="E1107" s="5" t="str">
        <f ca="1">IFERROR(__xludf.DUMMYFUNCTION("""COMPUTED_VALUE"""),"Student")</f>
        <v>Student</v>
      </c>
      <c r="F1107" s="5" t="str">
        <f ca="1">IFERROR(__xludf.DUMMYFUNCTION("""COMPUTED_VALUE"""),"Suicide")</f>
        <v>Suicide</v>
      </c>
      <c r="G1107" s="5" t="str">
        <f ca="1">IFERROR(__xludf.DUMMYFUNCTION("""COMPUTED_VALUE"""),"Yes")</f>
        <v>Yes</v>
      </c>
      <c r="H1107" s="5" t="str">
        <f ca="1">IFERROR(__xludf.DUMMYFUNCTION("""COMPUTED_VALUE"""),"Suicide")</f>
        <v>Suicide</v>
      </c>
    </row>
    <row r="1108" spans="1:8">
      <c r="A1108" s="5" t="str">
        <f ca="1">IFERROR(__xludf.DUMMYFUNCTION("""COMPUTED_VALUE"""),"20140131IANOD")</f>
        <v>20140131IANOD</v>
      </c>
      <c r="B1108" s="5" t="str">
        <f ca="1">IFERROR(__xludf.DUMMYFUNCTION("""COMPUTED_VALUE"""),"Adult")</f>
        <v>Adult</v>
      </c>
      <c r="C1108" s="5" t="str">
        <f ca="1">IFERROR(__xludf.DUMMYFUNCTION("""COMPUTED_VALUE"""),"Male")</f>
        <v>Male</v>
      </c>
      <c r="D1108" s="5" t="str">
        <f ca="1">IFERROR(__xludf.DUMMYFUNCTION("""COMPUTED_VALUE"""),"Black")</f>
        <v>Black</v>
      </c>
      <c r="E1108" s="5" t="str">
        <f ca="1">IFERROR(__xludf.DUMMYFUNCTION("""COMPUTED_VALUE"""),"No Relation")</f>
        <v>No Relation</v>
      </c>
      <c r="F1108" s="5" t="str">
        <f ca="1">IFERROR(__xludf.DUMMYFUNCTION("""COMPUTED_VALUE"""),"Fled/Escaped")</f>
        <v>Fled/Escaped</v>
      </c>
      <c r="G1108" s="5" t="str">
        <f ca="1">IFERROR(__xludf.DUMMYFUNCTION("""COMPUTED_VALUE"""),"No")</f>
        <v>No</v>
      </c>
      <c r="H1108" s="5" t="str">
        <f ca="1">IFERROR(__xludf.DUMMYFUNCTION("""COMPUTED_VALUE"""),"None")</f>
        <v>None</v>
      </c>
    </row>
    <row r="1109" spans="1:8">
      <c r="A1109" s="5" t="str">
        <f ca="1">IFERROR(__xludf.DUMMYFUNCTION("""COMPUTED_VALUE"""),"20140131IANOD")</f>
        <v>20140131IANOD</v>
      </c>
      <c r="B1109" s="5" t="str">
        <f ca="1">IFERROR(__xludf.DUMMYFUNCTION("""COMPUTED_VALUE"""),"Adult")</f>
        <v>Adult</v>
      </c>
      <c r="C1109" s="5" t="str">
        <f ca="1">IFERROR(__xludf.DUMMYFUNCTION("""COMPUTED_VALUE"""),"Male")</f>
        <v>Male</v>
      </c>
      <c r="D1109" s="5" t="str">
        <f ca="1">IFERROR(__xludf.DUMMYFUNCTION("""COMPUTED_VALUE"""),"Black")</f>
        <v>Black</v>
      </c>
      <c r="E1109" s="5" t="str">
        <f ca="1">IFERROR(__xludf.DUMMYFUNCTION("""COMPUTED_VALUE"""),"No Relation")</f>
        <v>No Relation</v>
      </c>
      <c r="F1109" s="5" t="str">
        <f ca="1">IFERROR(__xludf.DUMMYFUNCTION("""COMPUTED_VALUE"""),"Fled/Escaped")</f>
        <v>Fled/Escaped</v>
      </c>
      <c r="G1109" s="5" t="str">
        <f ca="1">IFERROR(__xludf.DUMMYFUNCTION("""COMPUTED_VALUE"""),"No")</f>
        <v>No</v>
      </c>
      <c r="H1109" s="5" t="str">
        <f ca="1">IFERROR(__xludf.DUMMYFUNCTION("""COMPUTED_VALUE"""),"None")</f>
        <v>None</v>
      </c>
    </row>
    <row r="1110" spans="1:8">
      <c r="A1110" s="5" t="str">
        <f ca="1">IFERROR(__xludf.DUMMYFUNCTION("""COMPUTED_VALUE"""),"20140131IANOD")</f>
        <v>20140131IANOD</v>
      </c>
      <c r="B1110" s="5" t="str">
        <f ca="1">IFERROR(__xludf.DUMMYFUNCTION("""COMPUTED_VALUE"""),"Adult")</f>
        <v>Adult</v>
      </c>
      <c r="C1110" s="5" t="str">
        <f ca="1">IFERROR(__xludf.DUMMYFUNCTION("""COMPUTED_VALUE"""),"Male")</f>
        <v>Male</v>
      </c>
      <c r="D1110" s="5" t="str">
        <f ca="1">IFERROR(__xludf.DUMMYFUNCTION("""COMPUTED_VALUE"""),"Black")</f>
        <v>Black</v>
      </c>
      <c r="E1110" s="5" t="str">
        <f ca="1">IFERROR(__xludf.DUMMYFUNCTION("""COMPUTED_VALUE"""),"No Relation")</f>
        <v>No Relation</v>
      </c>
      <c r="F1110" s="5" t="str">
        <f ca="1">IFERROR(__xludf.DUMMYFUNCTION("""COMPUTED_VALUE"""),"Fled/Escaped")</f>
        <v>Fled/Escaped</v>
      </c>
      <c r="G1110" s="5" t="str">
        <f ca="1">IFERROR(__xludf.DUMMYFUNCTION("""COMPUTED_VALUE"""),"No")</f>
        <v>No</v>
      </c>
      <c r="H1110" s="5" t="str">
        <f ca="1">IFERROR(__xludf.DUMMYFUNCTION("""COMPUTED_VALUE"""),"None")</f>
        <v>None</v>
      </c>
    </row>
    <row r="1111" spans="1:8">
      <c r="A1111" s="5" t="str">
        <f ca="1">IFERROR(__xludf.DUMMYFUNCTION("""COMPUTED_VALUE"""),"20140131IANOD")</f>
        <v>20140131IANOD</v>
      </c>
      <c r="B1111" s="5" t="str">
        <f ca="1">IFERROR(__xludf.DUMMYFUNCTION("""COMPUTED_VALUE"""),"Adult")</f>
        <v>Adult</v>
      </c>
      <c r="C1111" s="5" t="str">
        <f ca="1">IFERROR(__xludf.DUMMYFUNCTION("""COMPUTED_VALUE"""),"Male")</f>
        <v>Male</v>
      </c>
      <c r="D1111" s="5" t="str">
        <f ca="1">IFERROR(__xludf.DUMMYFUNCTION("""COMPUTED_VALUE"""),"Black")</f>
        <v>Black</v>
      </c>
      <c r="E1111" s="5" t="str">
        <f ca="1">IFERROR(__xludf.DUMMYFUNCTION("""COMPUTED_VALUE"""),"No Relation")</f>
        <v>No Relation</v>
      </c>
      <c r="F1111" s="5" t="str">
        <f ca="1">IFERROR(__xludf.DUMMYFUNCTION("""COMPUTED_VALUE"""),"Fled/Escaped")</f>
        <v>Fled/Escaped</v>
      </c>
      <c r="G1111" s="5" t="str">
        <f ca="1">IFERROR(__xludf.DUMMYFUNCTION("""COMPUTED_VALUE"""),"No")</f>
        <v>No</v>
      </c>
      <c r="H1111" s="5" t="str">
        <f ca="1">IFERROR(__xludf.DUMMYFUNCTION("""COMPUTED_VALUE"""),"None")</f>
        <v>None</v>
      </c>
    </row>
    <row r="1112" spans="1:8">
      <c r="A1112" s="5" t="str">
        <f ca="1">IFERROR(__xludf.DUMMYFUNCTION("""COMPUTED_VALUE"""),"20140131IANOD")</f>
        <v>20140131IANOD</v>
      </c>
      <c r="B1112" s="5" t="str">
        <f ca="1">IFERROR(__xludf.DUMMYFUNCTION("""COMPUTED_VALUE"""),"Adult")</f>
        <v>Adult</v>
      </c>
      <c r="C1112" s="5" t="str">
        <f ca="1">IFERROR(__xludf.DUMMYFUNCTION("""COMPUTED_VALUE"""),"Male")</f>
        <v>Male</v>
      </c>
      <c r="D1112" s="5" t="str">
        <f ca="1">IFERROR(__xludf.DUMMYFUNCTION("""COMPUTED_VALUE"""),"Black")</f>
        <v>Black</v>
      </c>
      <c r="E1112" s="5" t="str">
        <f ca="1">IFERROR(__xludf.DUMMYFUNCTION("""COMPUTED_VALUE"""),"No Relation")</f>
        <v>No Relation</v>
      </c>
      <c r="F1112" s="5" t="str">
        <f ca="1">IFERROR(__xludf.DUMMYFUNCTION("""COMPUTED_VALUE"""),"Fled/Escaped")</f>
        <v>Fled/Escaped</v>
      </c>
      <c r="G1112" s="5" t="str">
        <f ca="1">IFERROR(__xludf.DUMMYFUNCTION("""COMPUTED_VALUE"""),"No")</f>
        <v>No</v>
      </c>
      <c r="H1112" s="5" t="str">
        <f ca="1">IFERROR(__xludf.DUMMYFUNCTION("""COMPUTED_VALUE"""),"None")</f>
        <v>None</v>
      </c>
    </row>
    <row r="1113" spans="1:8">
      <c r="A1113" s="5" t="str">
        <f ca="1">IFERROR(__xludf.DUMMYFUNCTION("""COMPUTED_VALUE"""),"20140131IANOD")</f>
        <v>20140131IANOD</v>
      </c>
      <c r="B1113" s="5" t="str">
        <f ca="1">IFERROR(__xludf.DUMMYFUNCTION("""COMPUTED_VALUE"""),"Adult")</f>
        <v>Adult</v>
      </c>
      <c r="C1113" s="5" t="str">
        <f ca="1">IFERROR(__xludf.DUMMYFUNCTION("""COMPUTED_VALUE"""),"Male")</f>
        <v>Male</v>
      </c>
      <c r="D1113" s="5" t="str">
        <f ca="1">IFERROR(__xludf.DUMMYFUNCTION("""COMPUTED_VALUE"""),"Black")</f>
        <v>Black</v>
      </c>
      <c r="E1113" s="5" t="str">
        <f ca="1">IFERROR(__xludf.DUMMYFUNCTION("""COMPUTED_VALUE"""),"No Relation")</f>
        <v>No Relation</v>
      </c>
      <c r="F1113" s="5" t="str">
        <f ca="1">IFERROR(__xludf.DUMMYFUNCTION("""COMPUTED_VALUE"""),"Fled/Escaped")</f>
        <v>Fled/Escaped</v>
      </c>
      <c r="G1113" s="5" t="str">
        <f ca="1">IFERROR(__xludf.DUMMYFUNCTION("""COMPUTED_VALUE"""),"No")</f>
        <v>No</v>
      </c>
      <c r="H1113" s="5" t="str">
        <f ca="1">IFERROR(__xludf.DUMMYFUNCTION("""COMPUTED_VALUE"""),"None")</f>
        <v>None</v>
      </c>
    </row>
    <row r="1114" spans="1:8">
      <c r="A1114" s="5" t="str">
        <f ca="1">IFERROR(__xludf.DUMMYFUNCTION("""COMPUTED_VALUE"""),"20140131AZCEP")</f>
        <v>20140131AZCEP</v>
      </c>
      <c r="B1114" s="5">
        <f ca="1">IFERROR(__xludf.DUMMYFUNCTION("""COMPUTED_VALUE"""),20)</f>
        <v>20</v>
      </c>
      <c r="C1114" s="5" t="str">
        <f ca="1">IFERROR(__xludf.DUMMYFUNCTION("""COMPUTED_VALUE"""),"Male")</f>
        <v>Male</v>
      </c>
      <c r="D1114" s="5" t="str">
        <f ca="1">IFERROR(__xludf.DUMMYFUNCTION("""COMPUTED_VALUE"""),"Black")</f>
        <v>Black</v>
      </c>
      <c r="E1114" s="5" t="str">
        <f ca="1">IFERROR(__xludf.DUMMYFUNCTION("""COMPUTED_VALUE"""),"No Relation")</f>
        <v>No Relation</v>
      </c>
      <c r="F1114" s="5" t="str">
        <f ca="1">IFERROR(__xludf.DUMMYFUNCTION("""COMPUTED_VALUE"""),"Fled/Apprehended")</f>
        <v>Fled/Apprehended</v>
      </c>
      <c r="G1114" s="5" t="str">
        <f ca="1">IFERROR(__xludf.DUMMYFUNCTION("""COMPUTED_VALUE"""),"No")</f>
        <v>No</v>
      </c>
      <c r="H1114" s="5" t="str">
        <f ca="1">IFERROR(__xludf.DUMMYFUNCTION("""COMPUTED_VALUE"""),"None")</f>
        <v>None</v>
      </c>
    </row>
    <row r="1115" spans="1:8">
      <c r="A1115" s="5" t="str">
        <f ca="1">IFERROR(__xludf.DUMMYFUNCTION("""COMPUTED_VALUE"""),"20140131AZCEP")</f>
        <v>20140131AZCEP</v>
      </c>
      <c r="B1115" s="5">
        <f ca="1">IFERROR(__xludf.DUMMYFUNCTION("""COMPUTED_VALUE"""),20)</f>
        <v>20</v>
      </c>
      <c r="C1115" s="5" t="str">
        <f ca="1">IFERROR(__xludf.DUMMYFUNCTION("""COMPUTED_VALUE"""),"Male")</f>
        <v>Male</v>
      </c>
      <c r="D1115" s="5" t="str">
        <f ca="1">IFERROR(__xludf.DUMMYFUNCTION("""COMPUTED_VALUE"""),"Black")</f>
        <v>Black</v>
      </c>
      <c r="E1115" s="5" t="str">
        <f ca="1">IFERROR(__xludf.DUMMYFUNCTION("""COMPUTED_VALUE"""),"No Relation")</f>
        <v>No Relation</v>
      </c>
      <c r="F1115" s="5" t="str">
        <f ca="1">IFERROR(__xludf.DUMMYFUNCTION("""COMPUTED_VALUE"""),"Fled/Apprehended")</f>
        <v>Fled/Apprehended</v>
      </c>
      <c r="G1115" s="5" t="str">
        <f ca="1">IFERROR(__xludf.DUMMYFUNCTION("""COMPUTED_VALUE"""),"No")</f>
        <v>No</v>
      </c>
      <c r="H1115" s="5" t="str">
        <f ca="1">IFERROR(__xludf.DUMMYFUNCTION("""COMPUTED_VALUE"""),"None")</f>
        <v>None</v>
      </c>
    </row>
    <row r="1116" spans="1:8">
      <c r="A1116" s="5" t="str">
        <f ca="1">IFERROR(__xludf.DUMMYFUNCTION("""COMPUTED_VALUE"""),"20140128HIPRH")</f>
        <v>20140128HIPRH</v>
      </c>
      <c r="B1116" s="5" t="str">
        <f ca="1">IFERROR(__xludf.DUMMYFUNCTION("""COMPUTED_VALUE"""),"Adult")</f>
        <v>Adult</v>
      </c>
      <c r="C1116" s="5"/>
      <c r="D1116" s="5"/>
      <c r="E1116" s="5" t="str">
        <f ca="1">IFERROR(__xludf.DUMMYFUNCTION("""COMPUTED_VALUE"""),"Police Officer/SRO")</f>
        <v>Police Officer/SRO</v>
      </c>
      <c r="F1116" s="5" t="str">
        <f ca="1">IFERROR(__xludf.DUMMYFUNCTION("""COMPUTED_VALUE"""),"Law Enforcement")</f>
        <v>Law Enforcement</v>
      </c>
      <c r="G1116" s="5" t="str">
        <f ca="1">IFERROR(__xludf.DUMMYFUNCTION("""COMPUTED_VALUE"""),"No")</f>
        <v>No</v>
      </c>
      <c r="H1116" s="5" t="str">
        <f ca="1">IFERROR(__xludf.DUMMYFUNCTION("""COMPUTED_VALUE"""),"Wounded")</f>
        <v>Wounded</v>
      </c>
    </row>
    <row r="1117" spans="1:8">
      <c r="A1117" s="5" t="str">
        <f ca="1">IFERROR(__xludf.DUMMYFUNCTION("""COMPUTED_VALUE"""),"20140127ILREC")</f>
        <v>20140127ILREC</v>
      </c>
      <c r="B1117" s="5">
        <f ca="1">IFERROR(__xludf.DUMMYFUNCTION("""COMPUTED_VALUE"""),18)</f>
        <v>18</v>
      </c>
      <c r="C1117" s="5" t="str">
        <f ca="1">IFERROR(__xludf.DUMMYFUNCTION("""COMPUTED_VALUE"""),"Male")</f>
        <v>Male</v>
      </c>
      <c r="D1117" s="5" t="str">
        <f ca="1">IFERROR(__xludf.DUMMYFUNCTION("""COMPUTED_VALUE"""),"Black")</f>
        <v>Black</v>
      </c>
      <c r="E1117" s="5" t="str">
        <f ca="1">IFERROR(__xludf.DUMMYFUNCTION("""COMPUTED_VALUE"""),"Student")</f>
        <v>Student</v>
      </c>
      <c r="F1117" s="5" t="str">
        <f ca="1">IFERROR(__xludf.DUMMYFUNCTION("""COMPUTED_VALUE"""),"Fled/Apprehended")</f>
        <v>Fled/Apprehended</v>
      </c>
      <c r="G1117" s="5" t="str">
        <f ca="1">IFERROR(__xludf.DUMMYFUNCTION("""COMPUTED_VALUE"""),"No")</f>
        <v>No</v>
      </c>
      <c r="H1117" s="5" t="str">
        <f ca="1">IFERROR(__xludf.DUMMYFUNCTION("""COMPUTED_VALUE"""),"None")</f>
        <v>None</v>
      </c>
    </row>
    <row r="1118" spans="1:8">
      <c r="A1118" s="5" t="str">
        <f ca="1">IFERROR(__xludf.DUMMYFUNCTION("""COMPUTED_VALUE"""),"20140117PADEP")</f>
        <v>20140117PADEP</v>
      </c>
      <c r="B1118" s="5">
        <f ca="1">IFERROR(__xludf.DUMMYFUNCTION("""COMPUTED_VALUE"""),18)</f>
        <v>18</v>
      </c>
      <c r="C1118" s="5" t="str">
        <f ca="1">IFERROR(__xludf.DUMMYFUNCTION("""COMPUTED_VALUE"""),"Male")</f>
        <v>Male</v>
      </c>
      <c r="D1118" s="5" t="str">
        <f ca="1">IFERROR(__xludf.DUMMYFUNCTION("""COMPUTED_VALUE"""),"Black")</f>
        <v>Black</v>
      </c>
      <c r="E1118" s="5" t="str">
        <f ca="1">IFERROR(__xludf.DUMMYFUNCTION("""COMPUTED_VALUE"""),"Student")</f>
        <v>Student</v>
      </c>
      <c r="F1118" s="5" t="str">
        <f ca="1">IFERROR(__xludf.DUMMYFUNCTION("""COMPUTED_VALUE"""),"Fled/Apprehended")</f>
        <v>Fled/Apprehended</v>
      </c>
      <c r="G1118" s="5" t="str">
        <f ca="1">IFERROR(__xludf.DUMMYFUNCTION("""COMPUTED_VALUE"""),"No")</f>
        <v>No</v>
      </c>
      <c r="H1118" s="5" t="str">
        <f ca="1">IFERROR(__xludf.DUMMYFUNCTION("""COMPUTED_VALUE"""),"None")</f>
        <v>None</v>
      </c>
    </row>
    <row r="1119" spans="1:8">
      <c r="A1119" s="5" t="str">
        <f ca="1">IFERROR(__xludf.DUMMYFUNCTION("""COMPUTED_VALUE"""),"20140114PAKIL")</f>
        <v>20140114PAKIL</v>
      </c>
      <c r="B1119" s="5"/>
      <c r="C1119" s="5" t="str">
        <f ca="1">IFERROR(__xludf.DUMMYFUNCTION("""COMPUTED_VALUE"""),"Male")</f>
        <v>Male</v>
      </c>
      <c r="D1119" s="5" t="str">
        <f ca="1">IFERROR(__xludf.DUMMYFUNCTION("""COMPUTED_VALUE"""),"Black")</f>
        <v>Black</v>
      </c>
      <c r="E1119" s="5" t="str">
        <f ca="1">IFERROR(__xludf.DUMMYFUNCTION("""COMPUTED_VALUE"""),"Unknown")</f>
        <v>Unknown</v>
      </c>
      <c r="F1119" s="5" t="str">
        <f ca="1">IFERROR(__xludf.DUMMYFUNCTION("""COMPUTED_VALUE"""),"Fled/Escaped")</f>
        <v>Fled/Escaped</v>
      </c>
      <c r="G1119" s="5" t="str">
        <f ca="1">IFERROR(__xludf.DUMMYFUNCTION("""COMPUTED_VALUE"""),"No")</f>
        <v>No</v>
      </c>
      <c r="H1119" s="5" t="str">
        <f ca="1">IFERROR(__xludf.DUMMYFUNCTION("""COMPUTED_VALUE"""),"None")</f>
        <v>None</v>
      </c>
    </row>
    <row r="1120" spans="1:8">
      <c r="A1120" s="5" t="str">
        <f ca="1">IFERROR(__xludf.DUMMYFUNCTION("""COMPUTED_VALUE"""),"20140114NMBER")</f>
        <v>20140114NMBER</v>
      </c>
      <c r="B1120" s="5">
        <f ca="1">IFERROR(__xludf.DUMMYFUNCTION("""COMPUTED_VALUE"""),14)</f>
        <v>14</v>
      </c>
      <c r="C1120" s="5" t="str">
        <f ca="1">IFERROR(__xludf.DUMMYFUNCTION("""COMPUTED_VALUE"""),"Male")</f>
        <v>Male</v>
      </c>
      <c r="D1120" s="5" t="str">
        <f ca="1">IFERROR(__xludf.DUMMYFUNCTION("""COMPUTED_VALUE"""),"White")</f>
        <v>White</v>
      </c>
      <c r="E1120" s="5" t="str">
        <f ca="1">IFERROR(__xludf.DUMMYFUNCTION("""COMPUTED_VALUE"""),"Student")</f>
        <v>Student</v>
      </c>
      <c r="F1120" s="5" t="str">
        <f ca="1">IFERROR(__xludf.DUMMYFUNCTION("""COMPUTED_VALUE"""),"Surrendered")</f>
        <v>Surrendered</v>
      </c>
      <c r="G1120" s="5" t="str">
        <f ca="1">IFERROR(__xludf.DUMMYFUNCTION("""COMPUTED_VALUE"""),"No")</f>
        <v>No</v>
      </c>
      <c r="H1120" s="5" t="str">
        <f ca="1">IFERROR(__xludf.DUMMYFUNCTION("""COMPUTED_VALUE"""),"None")</f>
        <v>None</v>
      </c>
    </row>
    <row r="1121" spans="1:8">
      <c r="A1121" s="5" t="str">
        <f ca="1">IFERROR(__xludf.DUMMYFUNCTION("""COMPUTED_VALUE"""),"20140114LASTB")</f>
        <v>20140114LASTB</v>
      </c>
      <c r="B1121" s="5">
        <f ca="1">IFERROR(__xludf.DUMMYFUNCTION("""COMPUTED_VALUE"""),17)</f>
        <v>17</v>
      </c>
      <c r="C1121" s="5" t="str">
        <f ca="1">IFERROR(__xludf.DUMMYFUNCTION("""COMPUTED_VALUE"""),"Male")</f>
        <v>Male</v>
      </c>
      <c r="D1121" s="5" t="str">
        <f ca="1">IFERROR(__xludf.DUMMYFUNCTION("""COMPUTED_VALUE"""),"Black")</f>
        <v>Black</v>
      </c>
      <c r="E1121" s="5" t="str">
        <f ca="1">IFERROR(__xludf.DUMMYFUNCTION("""COMPUTED_VALUE"""),"Unknown")</f>
        <v>Unknown</v>
      </c>
      <c r="F1121" s="5" t="str">
        <f ca="1">IFERROR(__xludf.DUMMYFUNCTION("""COMPUTED_VALUE"""),"Fled/Apprehended")</f>
        <v>Fled/Apprehended</v>
      </c>
      <c r="G1121" s="5" t="str">
        <f ca="1">IFERROR(__xludf.DUMMYFUNCTION("""COMPUTED_VALUE"""),"No")</f>
        <v>No</v>
      </c>
      <c r="H1121" s="5" t="str">
        <f ca="1">IFERROR(__xludf.DUMMYFUNCTION("""COMPUTED_VALUE"""),"None")</f>
        <v>None</v>
      </c>
    </row>
    <row r="1122" spans="1:8">
      <c r="A1122" s="5" t="str">
        <f ca="1">IFERROR(__xludf.DUMMYFUNCTION("""COMPUTED_VALUE"""),"20140113CTHIN")</f>
        <v>20140113CTHIN</v>
      </c>
      <c r="B1122" s="5">
        <f ca="1">IFERROR(__xludf.DUMMYFUNCTION("""COMPUTED_VALUE"""),17)</f>
        <v>17</v>
      </c>
      <c r="C1122" s="5" t="str">
        <f ca="1">IFERROR(__xludf.DUMMYFUNCTION("""COMPUTED_VALUE"""),"Male")</f>
        <v>Male</v>
      </c>
      <c r="D1122" s="5" t="str">
        <f ca="1">IFERROR(__xludf.DUMMYFUNCTION("""COMPUTED_VALUE"""),"Black")</f>
        <v>Black</v>
      </c>
      <c r="E1122" s="5" t="str">
        <f ca="1">IFERROR(__xludf.DUMMYFUNCTION("""COMPUTED_VALUE"""),"Nonstudent Using Athletic Facilities/Attending Game")</f>
        <v>Nonstudent Using Athletic Facilities/Attending Game</v>
      </c>
      <c r="F1122" s="5" t="str">
        <f ca="1">IFERROR(__xludf.DUMMYFUNCTION("""COMPUTED_VALUE"""),"Fled/Apprehended")</f>
        <v>Fled/Apprehended</v>
      </c>
      <c r="G1122" s="5" t="str">
        <f ca="1">IFERROR(__xludf.DUMMYFUNCTION("""COMPUTED_VALUE"""),"No")</f>
        <v>No</v>
      </c>
      <c r="H1122" s="5" t="str">
        <f ca="1">IFERROR(__xludf.DUMMYFUNCTION("""COMPUTED_VALUE"""),"None")</f>
        <v>None</v>
      </c>
    </row>
    <row r="1123" spans="1:8">
      <c r="A1123" s="5" t="str">
        <f ca="1">IFERROR(__xludf.DUMMYFUNCTION("""COMPUTED_VALUE"""),"20140109TNLIJ")</f>
        <v>20140109TNLIJ</v>
      </c>
      <c r="B1123" s="5">
        <f ca="1">IFERROR(__xludf.DUMMYFUNCTION("""COMPUTED_VALUE"""),16)</f>
        <v>16</v>
      </c>
      <c r="C1123" s="5" t="str">
        <f ca="1">IFERROR(__xludf.DUMMYFUNCTION("""COMPUTED_VALUE"""),"Male")</f>
        <v>Male</v>
      </c>
      <c r="D1123" s="5" t="str">
        <f ca="1">IFERROR(__xludf.DUMMYFUNCTION("""COMPUTED_VALUE"""),"Black")</f>
        <v>Black</v>
      </c>
      <c r="E1123" s="5" t="str">
        <f ca="1">IFERROR(__xludf.DUMMYFUNCTION("""COMPUTED_VALUE"""),"Student")</f>
        <v>Student</v>
      </c>
      <c r="F1123" s="5" t="str">
        <f ca="1">IFERROR(__xludf.DUMMYFUNCTION("""COMPUTED_VALUE"""),"Fled/Apprehended")</f>
        <v>Fled/Apprehended</v>
      </c>
      <c r="G1123" s="5" t="str">
        <f ca="1">IFERROR(__xludf.DUMMYFUNCTION("""COMPUTED_VALUE"""),"No")</f>
        <v>No</v>
      </c>
      <c r="H1123" s="5" t="str">
        <f ca="1">IFERROR(__xludf.DUMMYFUNCTION("""COMPUTED_VALUE"""),"None")</f>
        <v>None</v>
      </c>
    </row>
    <row r="1124" spans="1:8">
      <c r="A1124" s="5" t="str">
        <f ca="1">IFERROR(__xludf.DUMMYFUNCTION("""COMPUTED_VALUE"""),"20131219CAEDF")</f>
        <v>20131219CAEDF</v>
      </c>
      <c r="B1124" s="5">
        <f ca="1">IFERROR(__xludf.DUMMYFUNCTION("""COMPUTED_VALUE"""),16)</f>
        <v>16</v>
      </c>
      <c r="C1124" s="5" t="str">
        <f ca="1">IFERROR(__xludf.DUMMYFUNCTION("""COMPUTED_VALUE"""),"Male")</f>
        <v>Male</v>
      </c>
      <c r="D1124" s="5" t="str">
        <f ca="1">IFERROR(__xludf.DUMMYFUNCTION("""COMPUTED_VALUE"""),"Hispanic")</f>
        <v>Hispanic</v>
      </c>
      <c r="E1124" s="5" t="str">
        <f ca="1">IFERROR(__xludf.DUMMYFUNCTION("""COMPUTED_VALUE"""),"Student")</f>
        <v>Student</v>
      </c>
      <c r="F1124" s="5" t="str">
        <f ca="1">IFERROR(__xludf.DUMMYFUNCTION("""COMPUTED_VALUE"""),"Fled/Apprehended")</f>
        <v>Fled/Apprehended</v>
      </c>
      <c r="G1124" s="5" t="str">
        <f ca="1">IFERROR(__xludf.DUMMYFUNCTION("""COMPUTED_VALUE"""),"No")</f>
        <v>No</v>
      </c>
      <c r="H1124" s="5" t="str">
        <f ca="1">IFERROR(__xludf.DUMMYFUNCTION("""COMPUTED_VALUE"""),"None")</f>
        <v>None</v>
      </c>
    </row>
    <row r="1125" spans="1:8">
      <c r="A1125" s="5" t="str">
        <f ca="1">IFERROR(__xludf.DUMMYFUNCTION("""COMPUTED_VALUE"""),"20131213COARC")</f>
        <v>20131213COARC</v>
      </c>
      <c r="B1125" s="5">
        <f ca="1">IFERROR(__xludf.DUMMYFUNCTION("""COMPUTED_VALUE"""),18)</f>
        <v>18</v>
      </c>
      <c r="C1125" s="5" t="str">
        <f ca="1">IFERROR(__xludf.DUMMYFUNCTION("""COMPUTED_VALUE"""),"Male")</f>
        <v>Male</v>
      </c>
      <c r="D1125" s="5" t="str">
        <f ca="1">IFERROR(__xludf.DUMMYFUNCTION("""COMPUTED_VALUE"""),"White")</f>
        <v>White</v>
      </c>
      <c r="E1125" s="5" t="str">
        <f ca="1">IFERROR(__xludf.DUMMYFUNCTION("""COMPUTED_VALUE"""),"Student")</f>
        <v>Student</v>
      </c>
      <c r="F1125" s="5" t="str">
        <f ca="1">IFERROR(__xludf.DUMMYFUNCTION("""COMPUTED_VALUE"""),"Suicide")</f>
        <v>Suicide</v>
      </c>
      <c r="G1125" s="5" t="str">
        <f ca="1">IFERROR(__xludf.DUMMYFUNCTION("""COMPUTED_VALUE"""),"Yes")</f>
        <v>Yes</v>
      </c>
      <c r="H1125" s="5" t="str">
        <f ca="1">IFERROR(__xludf.DUMMYFUNCTION("""COMPUTED_VALUE"""),"Suicide")</f>
        <v>Suicide</v>
      </c>
    </row>
    <row r="1126" spans="1:8">
      <c r="A1126" s="5" t="str">
        <f ca="1">IFERROR(__xludf.DUMMYFUNCTION("""COMPUTED_VALUE"""),"20131204FLWEW")</f>
        <v>20131204FLWEW</v>
      </c>
      <c r="B1126" s="5">
        <f ca="1">IFERROR(__xludf.DUMMYFUNCTION("""COMPUTED_VALUE"""),17)</f>
        <v>17</v>
      </c>
      <c r="C1126" s="5" t="str">
        <f ca="1">IFERROR(__xludf.DUMMYFUNCTION("""COMPUTED_VALUE"""),"Male")</f>
        <v>Male</v>
      </c>
      <c r="D1126" s="5" t="str">
        <f ca="1">IFERROR(__xludf.DUMMYFUNCTION("""COMPUTED_VALUE"""),"Black")</f>
        <v>Black</v>
      </c>
      <c r="E1126" s="5" t="str">
        <f ca="1">IFERROR(__xludf.DUMMYFUNCTION("""COMPUTED_VALUE"""),"Student")</f>
        <v>Student</v>
      </c>
      <c r="F1126" s="5" t="str">
        <f ca="1">IFERROR(__xludf.DUMMYFUNCTION("""COMPUTED_VALUE"""),"Fled/Apprehended")</f>
        <v>Fled/Apprehended</v>
      </c>
      <c r="G1126" s="5" t="str">
        <f ca="1">IFERROR(__xludf.DUMMYFUNCTION("""COMPUTED_VALUE"""),"No")</f>
        <v>No</v>
      </c>
      <c r="H1126" s="5" t="str">
        <f ca="1">IFERROR(__xludf.DUMMYFUNCTION("""COMPUTED_VALUE"""),"None")</f>
        <v>None</v>
      </c>
    </row>
    <row r="1127" spans="1:8">
      <c r="A1127" s="5" t="str">
        <f ca="1">IFERROR(__xludf.DUMMYFUNCTION("""COMPUTED_VALUE"""),"20131113PABRP")</f>
        <v>20131113PABRP</v>
      </c>
      <c r="B1127" s="5">
        <f ca="1">IFERROR(__xludf.DUMMYFUNCTION("""COMPUTED_VALUE"""),16)</f>
        <v>16</v>
      </c>
      <c r="C1127" s="5" t="str">
        <f ca="1">IFERROR(__xludf.DUMMYFUNCTION("""COMPUTED_VALUE"""),"Male")</f>
        <v>Male</v>
      </c>
      <c r="D1127" s="5" t="str">
        <f ca="1">IFERROR(__xludf.DUMMYFUNCTION("""COMPUTED_VALUE"""),"Black")</f>
        <v>Black</v>
      </c>
      <c r="E1127" s="5" t="str">
        <f ca="1">IFERROR(__xludf.DUMMYFUNCTION("""COMPUTED_VALUE"""),"Student")</f>
        <v>Student</v>
      </c>
      <c r="F1127" s="5" t="str">
        <f ca="1">IFERROR(__xludf.DUMMYFUNCTION("""COMPUTED_VALUE"""),"Fled/Apprehended")</f>
        <v>Fled/Apprehended</v>
      </c>
      <c r="G1127" s="5" t="str">
        <f ca="1">IFERROR(__xludf.DUMMYFUNCTION("""COMPUTED_VALUE"""),"No")</f>
        <v>No</v>
      </c>
      <c r="H1127" s="5" t="str">
        <f ca="1">IFERROR(__xludf.DUMMYFUNCTION("""COMPUTED_VALUE"""),"None")</f>
        <v>None</v>
      </c>
    </row>
    <row r="1128" spans="1:8">
      <c r="A1128" s="5" t="str">
        <f ca="1">IFERROR(__xludf.DUMMYFUNCTION("""COMPUTED_VALUE"""),"20131103GASTL")</f>
        <v>20131103GASTL</v>
      </c>
      <c r="B1128" s="5" t="str">
        <f ca="1">IFERROR(__xludf.DUMMYFUNCTION("""COMPUTED_VALUE"""),"Teen")</f>
        <v>Teen</v>
      </c>
      <c r="C1128" s="5" t="str">
        <f ca="1">IFERROR(__xludf.DUMMYFUNCTION("""COMPUTED_VALUE"""),"Male")</f>
        <v>Male</v>
      </c>
      <c r="D1128" s="5"/>
      <c r="E1128" s="5" t="str">
        <f ca="1">IFERROR(__xludf.DUMMYFUNCTION("""COMPUTED_VALUE"""),"Student")</f>
        <v>Student</v>
      </c>
      <c r="F1128" s="5" t="str">
        <f ca="1">IFERROR(__xludf.DUMMYFUNCTION("""COMPUTED_VALUE"""),"Fled/Apprehended")</f>
        <v>Fled/Apprehended</v>
      </c>
      <c r="G1128" s="5" t="str">
        <f ca="1">IFERROR(__xludf.DUMMYFUNCTION("""COMPUTED_VALUE"""),"No")</f>
        <v>No</v>
      </c>
      <c r="H1128" s="5" t="str">
        <f ca="1">IFERROR(__xludf.DUMMYFUNCTION("""COMPUTED_VALUE"""),"None")</f>
        <v>None</v>
      </c>
    </row>
    <row r="1129" spans="1:8">
      <c r="A1129" s="5" t="str">
        <f ca="1">IFERROR(__xludf.DUMMYFUNCTION("""COMPUTED_VALUE"""),"20131101IAALA")</f>
        <v>20131101IAALA</v>
      </c>
      <c r="B1129" s="5">
        <f ca="1">IFERROR(__xludf.DUMMYFUNCTION("""COMPUTED_VALUE"""),23)</f>
        <v>23</v>
      </c>
      <c r="C1129" s="5" t="str">
        <f ca="1">IFERROR(__xludf.DUMMYFUNCTION("""COMPUTED_VALUE"""),"Male")</f>
        <v>Male</v>
      </c>
      <c r="D1129" s="5" t="str">
        <f ca="1">IFERROR(__xludf.DUMMYFUNCTION("""COMPUTED_VALUE"""),"White")</f>
        <v>White</v>
      </c>
      <c r="E1129" s="5" t="str">
        <f ca="1">IFERROR(__xludf.DUMMYFUNCTION("""COMPUTED_VALUE"""),"Former Student")</f>
        <v>Former Student</v>
      </c>
      <c r="F1129" s="5" t="str">
        <f ca="1">IFERROR(__xludf.DUMMYFUNCTION("""COMPUTED_VALUE"""),"Suicide")</f>
        <v>Suicide</v>
      </c>
      <c r="G1129" s="5" t="str">
        <f ca="1">IFERROR(__xludf.DUMMYFUNCTION("""COMPUTED_VALUE"""),"Yes")</f>
        <v>Yes</v>
      </c>
      <c r="H1129" s="5" t="str">
        <f ca="1">IFERROR(__xludf.DUMMYFUNCTION("""COMPUTED_VALUE"""),"Suicide")</f>
        <v>Suicide</v>
      </c>
    </row>
    <row r="1130" spans="1:8">
      <c r="A1130" s="5" t="str">
        <f ca="1">IFERROR(__xludf.DUMMYFUNCTION("""COMPUTED_VALUE"""),"20131023CANEC")</f>
        <v>20131023CANEC</v>
      </c>
      <c r="B1130" s="5" t="str">
        <f ca="1">IFERROR(__xludf.DUMMYFUNCTION("""COMPUTED_VALUE"""),"Child")</f>
        <v>Child</v>
      </c>
      <c r="C1130" s="5"/>
      <c r="D1130" s="5"/>
      <c r="E1130" s="5" t="str">
        <f ca="1">IFERROR(__xludf.DUMMYFUNCTION("""COMPUTED_VALUE"""),"Student")</f>
        <v>Student</v>
      </c>
      <c r="F1130" s="5" t="str">
        <f ca="1">IFERROR(__xludf.DUMMYFUNCTION("""COMPUTED_VALUE"""),"Unknown")</f>
        <v>Unknown</v>
      </c>
      <c r="G1130" s="5" t="str">
        <f ca="1">IFERROR(__xludf.DUMMYFUNCTION("""COMPUTED_VALUE"""),"No")</f>
        <v>No</v>
      </c>
      <c r="H1130" s="5" t="str">
        <f ca="1">IFERROR(__xludf.DUMMYFUNCTION("""COMPUTED_VALUE"""),"None")</f>
        <v>None</v>
      </c>
    </row>
    <row r="1131" spans="1:8">
      <c r="A1131" s="5" t="str">
        <f ca="1">IFERROR(__xludf.DUMMYFUNCTION("""COMPUTED_VALUE"""),"20131021NVSPS")</f>
        <v>20131021NVSPS</v>
      </c>
      <c r="B1131" s="5">
        <f ca="1">IFERROR(__xludf.DUMMYFUNCTION("""COMPUTED_VALUE"""),12)</f>
        <v>12</v>
      </c>
      <c r="C1131" s="5" t="str">
        <f ca="1">IFERROR(__xludf.DUMMYFUNCTION("""COMPUTED_VALUE"""),"Male")</f>
        <v>Male</v>
      </c>
      <c r="D1131" s="5" t="str">
        <f ca="1">IFERROR(__xludf.DUMMYFUNCTION("""COMPUTED_VALUE"""),"Hispanic")</f>
        <v>Hispanic</v>
      </c>
      <c r="E1131" s="5" t="str">
        <f ca="1">IFERROR(__xludf.DUMMYFUNCTION("""COMPUTED_VALUE"""),"Student")</f>
        <v>Student</v>
      </c>
      <c r="F1131" s="5" t="str">
        <f ca="1">IFERROR(__xludf.DUMMYFUNCTION("""COMPUTED_VALUE"""),"Suicide")</f>
        <v>Suicide</v>
      </c>
      <c r="G1131" s="5" t="str">
        <f ca="1">IFERROR(__xludf.DUMMYFUNCTION("""COMPUTED_VALUE"""),"Yes")</f>
        <v>Yes</v>
      </c>
      <c r="H1131" s="5" t="str">
        <f ca="1">IFERROR(__xludf.DUMMYFUNCTION("""COMPUTED_VALUE"""),"Suicide")</f>
        <v>Suicide</v>
      </c>
    </row>
    <row r="1132" spans="1:8">
      <c r="A1132" s="5" t="str">
        <f ca="1">IFERROR(__xludf.DUMMYFUNCTION("""COMPUTED_VALUE"""),"20131015TXLAA")</f>
        <v>20131015TXLAA</v>
      </c>
      <c r="B1132" s="5">
        <f ca="1">IFERROR(__xludf.DUMMYFUNCTION("""COMPUTED_VALUE"""),16)</f>
        <v>16</v>
      </c>
      <c r="C1132" s="5" t="str">
        <f ca="1">IFERROR(__xludf.DUMMYFUNCTION("""COMPUTED_VALUE"""),"Male")</f>
        <v>Male</v>
      </c>
      <c r="D1132" s="5" t="str">
        <f ca="1">IFERROR(__xludf.DUMMYFUNCTION("""COMPUTED_VALUE"""),"Hispanic")</f>
        <v>Hispanic</v>
      </c>
      <c r="E1132" s="5" t="str">
        <f ca="1">IFERROR(__xludf.DUMMYFUNCTION("""COMPUTED_VALUE"""),"Student")</f>
        <v>Student</v>
      </c>
      <c r="F1132" s="5" t="str">
        <f ca="1">IFERROR(__xludf.DUMMYFUNCTION("""COMPUTED_VALUE"""),"Suicide")</f>
        <v>Suicide</v>
      </c>
      <c r="G1132" s="5" t="str">
        <f ca="1">IFERROR(__xludf.DUMMYFUNCTION("""COMPUTED_VALUE"""),"Yes")</f>
        <v>Yes</v>
      </c>
      <c r="H1132" s="5" t="str">
        <f ca="1">IFERROR(__xludf.DUMMYFUNCTION("""COMPUTED_VALUE"""),"Suicide")</f>
        <v>Suicide</v>
      </c>
    </row>
    <row r="1133" spans="1:8">
      <c r="A1133" s="5" t="str">
        <f ca="1">IFERROR(__xludf.DUMMYFUNCTION("""COMPUTED_VALUE"""),"20131004FLAGP")</f>
        <v>20131004FLAGP</v>
      </c>
      <c r="B1133" s="5"/>
      <c r="C1133" s="5" t="str">
        <f ca="1">IFERROR(__xludf.DUMMYFUNCTION("""COMPUTED_VALUE"""),"Male")</f>
        <v>Male</v>
      </c>
      <c r="D1133" s="5"/>
      <c r="E1133" s="5" t="str">
        <f ca="1">IFERROR(__xludf.DUMMYFUNCTION("""COMPUTED_VALUE"""),"No Relation")</f>
        <v>No Relation</v>
      </c>
      <c r="F1133" s="5" t="str">
        <f ca="1">IFERROR(__xludf.DUMMYFUNCTION("""COMPUTED_VALUE"""),"Fled/Escaped")</f>
        <v>Fled/Escaped</v>
      </c>
      <c r="G1133" s="5" t="str">
        <f ca="1">IFERROR(__xludf.DUMMYFUNCTION("""COMPUTED_VALUE"""),"No")</f>
        <v>No</v>
      </c>
      <c r="H1133" s="5" t="str">
        <f ca="1">IFERROR(__xludf.DUMMYFUNCTION("""COMPUTED_VALUE"""),"None")</f>
        <v>None</v>
      </c>
    </row>
    <row r="1134" spans="1:8">
      <c r="A1134" s="5" t="str">
        <f ca="1">IFERROR(__xludf.DUMMYFUNCTION("""COMPUTED_VALUE"""),"20131002NHWIS")</f>
        <v>20131002NHWIS</v>
      </c>
      <c r="B1134" s="5">
        <f ca="1">IFERROR(__xludf.DUMMYFUNCTION("""COMPUTED_VALUE"""),24)</f>
        <v>24</v>
      </c>
      <c r="C1134" s="5" t="str">
        <f ca="1">IFERROR(__xludf.DUMMYFUNCTION("""COMPUTED_VALUE"""),"Male")</f>
        <v>Male</v>
      </c>
      <c r="D1134" s="5" t="str">
        <f ca="1">IFERROR(__xludf.DUMMYFUNCTION("""COMPUTED_VALUE"""),"White")</f>
        <v>White</v>
      </c>
      <c r="E1134" s="5" t="str">
        <f ca="1">IFERROR(__xludf.DUMMYFUNCTION("""COMPUTED_VALUE"""),"No Relation")</f>
        <v>No Relation</v>
      </c>
      <c r="F1134" s="5" t="str">
        <f ca="1">IFERROR(__xludf.DUMMYFUNCTION("""COMPUTED_VALUE"""),"Fled/Apprehended")</f>
        <v>Fled/Apprehended</v>
      </c>
      <c r="G1134" s="5" t="str">
        <f ca="1">IFERROR(__xludf.DUMMYFUNCTION("""COMPUTED_VALUE"""),"No")</f>
        <v>No</v>
      </c>
      <c r="H1134" s="5" t="str">
        <f ca="1">IFERROR(__xludf.DUMMYFUNCTION("""COMPUTED_VALUE"""),"None")</f>
        <v>None</v>
      </c>
    </row>
    <row r="1135" spans="1:8">
      <c r="A1135" s="5" t="str">
        <f ca="1">IFERROR(__xludf.DUMMYFUNCTION("""COMPUTED_VALUE"""),"20130928MENEG")</f>
        <v>20130928MENEG</v>
      </c>
      <c r="B1135" s="5">
        <f ca="1">IFERROR(__xludf.DUMMYFUNCTION("""COMPUTED_VALUE"""),19)</f>
        <v>19</v>
      </c>
      <c r="C1135" s="5" t="str">
        <f ca="1">IFERROR(__xludf.DUMMYFUNCTION("""COMPUTED_VALUE"""),"Male")</f>
        <v>Male</v>
      </c>
      <c r="D1135" s="5"/>
      <c r="E1135" s="5" t="str">
        <f ca="1">IFERROR(__xludf.DUMMYFUNCTION("""COMPUTED_VALUE"""),"No Relation")</f>
        <v>No Relation</v>
      </c>
      <c r="F1135" s="5" t="str">
        <f ca="1">IFERROR(__xludf.DUMMYFUNCTION("""COMPUTED_VALUE"""),"Suicide")</f>
        <v>Suicide</v>
      </c>
      <c r="G1135" s="5" t="str">
        <f ca="1">IFERROR(__xludf.DUMMYFUNCTION("""COMPUTED_VALUE"""),"Yes")</f>
        <v>Yes</v>
      </c>
      <c r="H1135" s="5" t="str">
        <f ca="1">IFERROR(__xludf.DUMMYFUNCTION("""COMPUTED_VALUE"""),"Suicide")</f>
        <v>Suicide</v>
      </c>
    </row>
    <row r="1136" spans="1:8">
      <c r="A1136" s="5" t="str">
        <f ca="1">IFERROR(__xludf.DUMMYFUNCTION("""COMPUTED_VALUE"""),"20130927ILROC")</f>
        <v>20130927ILROC</v>
      </c>
      <c r="B1136" s="5">
        <f ca="1">IFERROR(__xludf.DUMMYFUNCTION("""COMPUTED_VALUE"""),18)</f>
        <v>18</v>
      </c>
      <c r="C1136" s="5" t="str">
        <f ca="1">IFERROR(__xludf.DUMMYFUNCTION("""COMPUTED_VALUE"""),"Male")</f>
        <v>Male</v>
      </c>
      <c r="D1136" s="5" t="str">
        <f ca="1">IFERROR(__xludf.DUMMYFUNCTION("""COMPUTED_VALUE"""),"Black")</f>
        <v>Black</v>
      </c>
      <c r="E1136" s="5" t="str">
        <f ca="1">IFERROR(__xludf.DUMMYFUNCTION("""COMPUTED_VALUE"""),"No Relation")</f>
        <v>No Relation</v>
      </c>
      <c r="F1136" s="5" t="str">
        <f ca="1">IFERROR(__xludf.DUMMYFUNCTION("""COMPUTED_VALUE"""),"Fled/Apprehended")</f>
        <v>Fled/Apprehended</v>
      </c>
      <c r="G1136" s="5" t="str">
        <f ca="1">IFERROR(__xludf.DUMMYFUNCTION("""COMPUTED_VALUE"""),"No")</f>
        <v>No</v>
      </c>
      <c r="H1136" s="5" t="str">
        <f ca="1">IFERROR(__xludf.DUMMYFUNCTION("""COMPUTED_VALUE"""),"None")</f>
        <v>None</v>
      </c>
    </row>
    <row r="1137" spans="1:8">
      <c r="A1137" s="5" t="str">
        <f ca="1">IFERROR(__xludf.DUMMYFUNCTION("""COMPUTED_VALUE"""),"20130830NCCAW")</f>
        <v>20130830NCCAW</v>
      </c>
      <c r="B1137" s="5">
        <f ca="1">IFERROR(__xludf.DUMMYFUNCTION("""COMPUTED_VALUE"""),18)</f>
        <v>18</v>
      </c>
      <c r="C1137" s="5" t="str">
        <f ca="1">IFERROR(__xludf.DUMMYFUNCTION("""COMPUTED_VALUE"""),"Male")</f>
        <v>Male</v>
      </c>
      <c r="D1137" s="5" t="str">
        <f ca="1">IFERROR(__xludf.DUMMYFUNCTION("""COMPUTED_VALUE"""),"Black")</f>
        <v>Black</v>
      </c>
      <c r="E1137" s="5" t="str">
        <f ca="1">IFERROR(__xludf.DUMMYFUNCTION("""COMPUTED_VALUE"""),"Student")</f>
        <v>Student</v>
      </c>
      <c r="F1137" s="5" t="str">
        <f ca="1">IFERROR(__xludf.DUMMYFUNCTION("""COMPUTED_VALUE"""),"Apprehended/Killed by SRO")</f>
        <v>Apprehended/Killed by SRO</v>
      </c>
      <c r="G1137" s="5" t="str">
        <f ca="1">IFERROR(__xludf.DUMMYFUNCTION("""COMPUTED_VALUE"""),"No")</f>
        <v>No</v>
      </c>
      <c r="H1137" s="5" t="str">
        <f ca="1">IFERROR(__xludf.DUMMYFUNCTION("""COMPUTED_VALUE"""),"None")</f>
        <v>None</v>
      </c>
    </row>
    <row r="1138" spans="1:8">
      <c r="A1138" s="5" t="str">
        <f ca="1">IFERROR(__xludf.DUMMYFUNCTION("""COMPUTED_VALUE"""),"20130823MSNOS")</f>
        <v>20130823MSNOS</v>
      </c>
      <c r="B1138" s="5">
        <f ca="1">IFERROR(__xludf.DUMMYFUNCTION("""COMPUTED_VALUE"""),21)</f>
        <v>21</v>
      </c>
      <c r="C1138" s="5" t="str">
        <f ca="1">IFERROR(__xludf.DUMMYFUNCTION("""COMPUTED_VALUE"""),"Male")</f>
        <v>Male</v>
      </c>
      <c r="D1138" s="5" t="str">
        <f ca="1">IFERROR(__xludf.DUMMYFUNCTION("""COMPUTED_VALUE"""),"Black")</f>
        <v>Black</v>
      </c>
      <c r="E1138" s="5" t="str">
        <f ca="1">IFERROR(__xludf.DUMMYFUNCTION("""COMPUTED_VALUE"""),"Nonstudent Using Athletic Facilities/Attending Game")</f>
        <v>Nonstudent Using Athletic Facilities/Attending Game</v>
      </c>
      <c r="F1138" s="5" t="str">
        <f ca="1">IFERROR(__xludf.DUMMYFUNCTION("""COMPUTED_VALUE"""),"Fled/Escaped")</f>
        <v>Fled/Escaped</v>
      </c>
      <c r="G1138" s="5" t="str">
        <f ca="1">IFERROR(__xludf.DUMMYFUNCTION("""COMPUTED_VALUE"""),"No")</f>
        <v>No</v>
      </c>
      <c r="H1138" s="5" t="str">
        <f ca="1">IFERROR(__xludf.DUMMYFUNCTION("""COMPUTED_VALUE"""),"None")</f>
        <v>None</v>
      </c>
    </row>
    <row r="1139" spans="1:8">
      <c r="A1139" s="5" t="str">
        <f ca="1">IFERROR(__xludf.DUMMYFUNCTION("""COMPUTED_VALUE"""),"20130823MSNOS")</f>
        <v>20130823MSNOS</v>
      </c>
      <c r="B1139" s="5">
        <f ca="1">IFERROR(__xludf.DUMMYFUNCTION("""COMPUTED_VALUE"""),17)</f>
        <v>17</v>
      </c>
      <c r="C1139" s="5" t="str">
        <f ca="1">IFERROR(__xludf.DUMMYFUNCTION("""COMPUTED_VALUE"""),"Male")</f>
        <v>Male</v>
      </c>
      <c r="D1139" s="5" t="str">
        <f ca="1">IFERROR(__xludf.DUMMYFUNCTION("""COMPUTED_VALUE"""),"Black")</f>
        <v>Black</v>
      </c>
      <c r="E1139" s="5" t="str">
        <f ca="1">IFERROR(__xludf.DUMMYFUNCTION("""COMPUTED_VALUE"""),"Nonstudent Using Athletic Facilities/Attending Game")</f>
        <v>Nonstudent Using Athletic Facilities/Attending Game</v>
      </c>
      <c r="F1139" s="5" t="str">
        <f ca="1">IFERROR(__xludf.DUMMYFUNCTION("""COMPUTED_VALUE"""),"Fled/Escaped")</f>
        <v>Fled/Escaped</v>
      </c>
      <c r="G1139" s="5" t="str">
        <f ca="1">IFERROR(__xludf.DUMMYFUNCTION("""COMPUTED_VALUE"""),"No")</f>
        <v>No</v>
      </c>
      <c r="H1139" s="5" t="str">
        <f ca="1">IFERROR(__xludf.DUMMYFUNCTION("""COMPUTED_VALUE"""),"None")</f>
        <v>None</v>
      </c>
    </row>
    <row r="1140" spans="1:8">
      <c r="A1140" s="5" t="str">
        <f ca="1">IFERROR(__xludf.DUMMYFUNCTION("""COMPUTED_VALUE"""),"20130823MSNOS")</f>
        <v>20130823MSNOS</v>
      </c>
      <c r="B1140" s="5">
        <f ca="1">IFERROR(__xludf.DUMMYFUNCTION("""COMPUTED_VALUE"""),21)</f>
        <v>21</v>
      </c>
      <c r="C1140" s="5" t="str">
        <f ca="1">IFERROR(__xludf.DUMMYFUNCTION("""COMPUTED_VALUE"""),"Male")</f>
        <v>Male</v>
      </c>
      <c r="D1140" s="5" t="str">
        <f ca="1">IFERROR(__xludf.DUMMYFUNCTION("""COMPUTED_VALUE"""),"Black")</f>
        <v>Black</v>
      </c>
      <c r="E1140" s="5" t="str">
        <f ca="1">IFERROR(__xludf.DUMMYFUNCTION("""COMPUTED_VALUE"""),"Nonstudent Using Athletic Facilities/Attending Game")</f>
        <v>Nonstudent Using Athletic Facilities/Attending Game</v>
      </c>
      <c r="F1140" s="5" t="str">
        <f ca="1">IFERROR(__xludf.DUMMYFUNCTION("""COMPUTED_VALUE"""),"Fled/Escaped")</f>
        <v>Fled/Escaped</v>
      </c>
      <c r="G1140" s="5" t="str">
        <f ca="1">IFERROR(__xludf.DUMMYFUNCTION("""COMPUTED_VALUE"""),"No")</f>
        <v>No</v>
      </c>
      <c r="H1140" s="5" t="str">
        <f ca="1">IFERROR(__xludf.DUMMYFUNCTION("""COMPUTED_VALUE"""),"None")</f>
        <v>None</v>
      </c>
    </row>
    <row r="1141" spans="1:8">
      <c r="A1141" s="5" t="str">
        <f ca="1">IFERROR(__xludf.DUMMYFUNCTION("""COMPUTED_VALUE"""),"20130822TNWEM")</f>
        <v>20130822TNWEM</v>
      </c>
      <c r="B1141" s="5">
        <f ca="1">IFERROR(__xludf.DUMMYFUNCTION("""COMPUTED_VALUE"""),5)</f>
        <v>5</v>
      </c>
      <c r="C1141" s="5" t="str">
        <f ca="1">IFERROR(__xludf.DUMMYFUNCTION("""COMPUTED_VALUE"""),"Male")</f>
        <v>Male</v>
      </c>
      <c r="D1141" s="5"/>
      <c r="E1141" s="5" t="str">
        <f ca="1">IFERROR(__xludf.DUMMYFUNCTION("""COMPUTED_VALUE"""),"Student")</f>
        <v>Student</v>
      </c>
      <c r="F1141" s="5" t="str">
        <f ca="1">IFERROR(__xludf.DUMMYFUNCTION("""COMPUTED_VALUE"""),"Surrendered")</f>
        <v>Surrendered</v>
      </c>
      <c r="G1141" s="5" t="str">
        <f ca="1">IFERROR(__xludf.DUMMYFUNCTION("""COMPUTED_VALUE"""),"No")</f>
        <v>No</v>
      </c>
      <c r="H1141" s="5" t="str">
        <f ca="1">IFERROR(__xludf.DUMMYFUNCTION("""COMPUTED_VALUE"""),"None")</f>
        <v>None</v>
      </c>
    </row>
    <row r="1142" spans="1:8">
      <c r="A1142" s="5" t="str">
        <f ca="1">IFERROR(__xludf.DUMMYFUNCTION("""COMPUTED_VALUE"""),"20130820GAROD")</f>
        <v>20130820GAROD</v>
      </c>
      <c r="B1142" s="5">
        <f ca="1">IFERROR(__xludf.DUMMYFUNCTION("""COMPUTED_VALUE"""),20)</f>
        <v>20</v>
      </c>
      <c r="C1142" s="5" t="str">
        <f ca="1">IFERROR(__xludf.DUMMYFUNCTION("""COMPUTED_VALUE"""),"Male")</f>
        <v>Male</v>
      </c>
      <c r="D1142" s="5" t="str">
        <f ca="1">IFERROR(__xludf.DUMMYFUNCTION("""COMPUTED_VALUE"""),"White")</f>
        <v>White</v>
      </c>
      <c r="E1142" s="5" t="str">
        <f ca="1">IFERROR(__xludf.DUMMYFUNCTION("""COMPUTED_VALUE"""),"No Relation")</f>
        <v>No Relation</v>
      </c>
      <c r="F1142" s="5" t="str">
        <f ca="1">IFERROR(__xludf.DUMMYFUNCTION("""COMPUTED_VALUE"""),"Surrendered")</f>
        <v>Surrendered</v>
      </c>
      <c r="G1142" s="5" t="str">
        <f ca="1">IFERROR(__xludf.DUMMYFUNCTION("""COMPUTED_VALUE"""),"No")</f>
        <v>No</v>
      </c>
      <c r="H1142" s="5" t="str">
        <f ca="1">IFERROR(__xludf.DUMMYFUNCTION("""COMPUTED_VALUE"""),"None")</f>
        <v>None</v>
      </c>
    </row>
    <row r="1143" spans="1:8">
      <c r="A1143" s="5" t="str">
        <f ca="1">IFERROR(__xludf.DUMMYFUNCTION("""COMPUTED_VALUE"""),"20130815TNNOC")</f>
        <v>20130815TNNOC</v>
      </c>
      <c r="B1143" s="5">
        <f ca="1">IFERROR(__xludf.DUMMYFUNCTION("""COMPUTED_VALUE"""),40)</f>
        <v>40</v>
      </c>
      <c r="C1143" s="5" t="str">
        <f ca="1">IFERROR(__xludf.DUMMYFUNCTION("""COMPUTED_VALUE"""),"Male")</f>
        <v>Male</v>
      </c>
      <c r="D1143" s="5" t="str">
        <f ca="1">IFERROR(__xludf.DUMMYFUNCTION("""COMPUTED_VALUE"""),"Black")</f>
        <v>Black</v>
      </c>
      <c r="E1143" s="5" t="str">
        <f ca="1">IFERROR(__xludf.DUMMYFUNCTION("""COMPUTED_VALUE"""),"No Relation")</f>
        <v>No Relation</v>
      </c>
      <c r="F1143" s="5" t="str">
        <f ca="1">IFERROR(__xludf.DUMMYFUNCTION("""COMPUTED_VALUE"""),"Fled/Apprehended")</f>
        <v>Fled/Apprehended</v>
      </c>
      <c r="G1143" s="5" t="str">
        <f ca="1">IFERROR(__xludf.DUMMYFUNCTION("""COMPUTED_VALUE"""),"No")</f>
        <v>No</v>
      </c>
      <c r="H1143" s="5" t="str">
        <f ca="1">IFERROR(__xludf.DUMMYFUNCTION("""COMPUTED_VALUE"""),"None")</f>
        <v>None</v>
      </c>
    </row>
    <row r="1144" spans="1:8">
      <c r="A1144" s="5" t="str">
        <f ca="1">IFERROR(__xludf.DUMMYFUNCTION("""COMPUTED_VALUE"""),"20130619FLALW")</f>
        <v>20130619FLALW</v>
      </c>
      <c r="B1144" s="5">
        <f ca="1">IFERROR(__xludf.DUMMYFUNCTION("""COMPUTED_VALUE"""),53)</f>
        <v>53</v>
      </c>
      <c r="C1144" s="5" t="str">
        <f ca="1">IFERROR(__xludf.DUMMYFUNCTION("""COMPUTED_VALUE"""),"Male")</f>
        <v>Male</v>
      </c>
      <c r="D1144" s="5" t="str">
        <f ca="1">IFERROR(__xludf.DUMMYFUNCTION("""COMPUTED_VALUE"""),"Hispanic")</f>
        <v>Hispanic</v>
      </c>
      <c r="E1144" s="5" t="str">
        <f ca="1">IFERROR(__xludf.DUMMYFUNCTION("""COMPUTED_VALUE"""),"Other Staff")</f>
        <v>Other Staff</v>
      </c>
      <c r="F1144" s="5" t="str">
        <f ca="1">IFERROR(__xludf.DUMMYFUNCTION("""COMPUTED_VALUE"""),"Fled/Apprehended")</f>
        <v>Fled/Apprehended</v>
      </c>
      <c r="G1144" s="5" t="str">
        <f ca="1">IFERROR(__xludf.DUMMYFUNCTION("""COMPUTED_VALUE"""),"No")</f>
        <v>No</v>
      </c>
      <c r="H1144" s="5" t="str">
        <f ca="1">IFERROR(__xludf.DUMMYFUNCTION("""COMPUTED_VALUE"""),"None")</f>
        <v>None</v>
      </c>
    </row>
    <row r="1145" spans="1:8">
      <c r="A1145" s="5" t="str">
        <f ca="1">IFERROR(__xludf.DUMMYFUNCTION("""COMPUTED_VALUE"""),"20130618NCHIC")</f>
        <v>20130618NCHIC</v>
      </c>
      <c r="B1145" s="5">
        <f ca="1">IFERROR(__xludf.DUMMYFUNCTION("""COMPUTED_VALUE"""),17)</f>
        <v>17</v>
      </c>
      <c r="C1145" s="5" t="str">
        <f ca="1">IFERROR(__xludf.DUMMYFUNCTION("""COMPUTED_VALUE"""),"Male")</f>
        <v>Male</v>
      </c>
      <c r="D1145" s="5" t="str">
        <f ca="1">IFERROR(__xludf.DUMMYFUNCTION("""COMPUTED_VALUE"""),"Black")</f>
        <v>Black</v>
      </c>
      <c r="E1145" s="5" t="str">
        <f ca="1">IFERROR(__xludf.DUMMYFUNCTION("""COMPUTED_VALUE"""),"Unknown")</f>
        <v>Unknown</v>
      </c>
      <c r="F1145" s="5" t="str">
        <f ca="1">IFERROR(__xludf.DUMMYFUNCTION("""COMPUTED_VALUE"""),"Apprehended/Killed by LE")</f>
        <v>Apprehended/Killed by LE</v>
      </c>
      <c r="G1145" s="5" t="str">
        <f ca="1">IFERROR(__xludf.DUMMYFUNCTION("""COMPUTED_VALUE"""),"No")</f>
        <v>No</v>
      </c>
      <c r="H1145" s="5" t="str">
        <f ca="1">IFERROR(__xludf.DUMMYFUNCTION("""COMPUTED_VALUE"""),"Wounded")</f>
        <v>Wounded</v>
      </c>
    </row>
    <row r="1146" spans="1:8">
      <c r="A1146" s="5" t="str">
        <f ca="1">IFERROR(__xludf.DUMMYFUNCTION("""COMPUTED_VALUE"""),"20130618NCHIC")</f>
        <v>20130618NCHIC</v>
      </c>
      <c r="B1146" s="5">
        <f ca="1">IFERROR(__xludf.DUMMYFUNCTION("""COMPUTED_VALUE"""),17)</f>
        <v>17</v>
      </c>
      <c r="C1146" s="5" t="str">
        <f ca="1">IFERROR(__xludf.DUMMYFUNCTION("""COMPUTED_VALUE"""),"Male")</f>
        <v>Male</v>
      </c>
      <c r="D1146" s="5" t="str">
        <f ca="1">IFERROR(__xludf.DUMMYFUNCTION("""COMPUTED_VALUE"""),"Black")</f>
        <v>Black</v>
      </c>
      <c r="E1146" s="5" t="str">
        <f ca="1">IFERROR(__xludf.DUMMYFUNCTION("""COMPUTED_VALUE"""),"Unknown")</f>
        <v>Unknown</v>
      </c>
      <c r="F1146" s="5" t="str">
        <f ca="1">IFERROR(__xludf.DUMMYFUNCTION("""COMPUTED_VALUE"""),"Apprehended/Killed by LE")</f>
        <v>Apprehended/Killed by LE</v>
      </c>
      <c r="G1146" s="5" t="str">
        <f ca="1">IFERROR(__xludf.DUMMYFUNCTION("""COMPUTED_VALUE"""),"Yes")</f>
        <v>Yes</v>
      </c>
      <c r="H1146" s="5" t="str">
        <f ca="1">IFERROR(__xludf.DUMMYFUNCTION("""COMPUTED_VALUE"""),"Fatal")</f>
        <v>Fatal</v>
      </c>
    </row>
    <row r="1147" spans="1:8">
      <c r="A1147" s="5" t="str">
        <f ca="1">IFERROR(__xludf.DUMMYFUNCTION("""COMPUTED_VALUE"""),"20130523FLREH")</f>
        <v>20130523FLREH</v>
      </c>
      <c r="B1147" s="5">
        <f ca="1">IFERROR(__xludf.DUMMYFUNCTION("""COMPUTED_VALUE"""),11)</f>
        <v>11</v>
      </c>
      <c r="C1147" s="5" t="str">
        <f ca="1">IFERROR(__xludf.DUMMYFUNCTION("""COMPUTED_VALUE"""),"Male")</f>
        <v>Male</v>
      </c>
      <c r="D1147" s="5"/>
      <c r="E1147" s="5" t="str">
        <f ca="1">IFERROR(__xludf.DUMMYFUNCTION("""COMPUTED_VALUE"""),"Student")</f>
        <v>Student</v>
      </c>
      <c r="F1147" s="5" t="str">
        <f ca="1">IFERROR(__xludf.DUMMYFUNCTION("""COMPUTED_VALUE"""),"Unknown")</f>
        <v>Unknown</v>
      </c>
      <c r="G1147" s="5" t="str">
        <f ca="1">IFERROR(__xludf.DUMMYFUNCTION("""COMPUTED_VALUE"""),"No")</f>
        <v>No</v>
      </c>
      <c r="H1147" s="5" t="str">
        <f ca="1">IFERROR(__xludf.DUMMYFUNCTION("""COMPUTED_VALUE"""),"None")</f>
        <v>None</v>
      </c>
    </row>
    <row r="1148" spans="1:8">
      <c r="A1148" s="5" t="str">
        <f ca="1">IFERROR(__xludf.DUMMYFUNCTION("""COMPUTED_VALUE"""),"20130513ALOSB")</f>
        <v>20130513ALOSB</v>
      </c>
      <c r="B1148" s="5">
        <f ca="1">IFERROR(__xludf.DUMMYFUNCTION("""COMPUTED_VALUE"""),36)</f>
        <v>36</v>
      </c>
      <c r="C1148" s="5" t="str">
        <f ca="1">IFERROR(__xludf.DUMMYFUNCTION("""COMPUTED_VALUE"""),"Female")</f>
        <v>Female</v>
      </c>
      <c r="D1148" s="5" t="str">
        <f ca="1">IFERROR(__xludf.DUMMYFUNCTION("""COMPUTED_VALUE"""),"Black")</f>
        <v>Black</v>
      </c>
      <c r="E1148" s="5" t="str">
        <f ca="1">IFERROR(__xludf.DUMMYFUNCTION("""COMPUTED_VALUE"""),"Parent")</f>
        <v>Parent</v>
      </c>
      <c r="F1148" s="5" t="str">
        <f ca="1">IFERROR(__xludf.DUMMYFUNCTION("""COMPUTED_VALUE"""),"Unknown")</f>
        <v>Unknown</v>
      </c>
      <c r="G1148" s="5" t="str">
        <f ca="1">IFERROR(__xludf.DUMMYFUNCTION("""COMPUTED_VALUE"""),"No")</f>
        <v>No</v>
      </c>
      <c r="H1148" s="5" t="str">
        <f ca="1">IFERROR(__xludf.DUMMYFUNCTION("""COMPUTED_VALUE"""),"None")</f>
        <v>None</v>
      </c>
    </row>
    <row r="1149" spans="1:8">
      <c r="A1149" s="5" t="str">
        <f ca="1">IFERROR(__xludf.DUMMYFUNCTION("""COMPUTED_VALUE"""),"20130430NMTUT")</f>
        <v>20130430NMTUT</v>
      </c>
      <c r="B1149" s="5">
        <f ca="1">IFERROR(__xludf.DUMMYFUNCTION("""COMPUTED_VALUE"""),19)</f>
        <v>19</v>
      </c>
      <c r="C1149" s="5" t="str">
        <f ca="1">IFERROR(__xludf.DUMMYFUNCTION("""COMPUTED_VALUE"""),"Male")</f>
        <v>Male</v>
      </c>
      <c r="D1149" s="5"/>
      <c r="E1149" s="5" t="str">
        <f ca="1">IFERROR(__xludf.DUMMYFUNCTION("""COMPUTED_VALUE"""),"No Relation")</f>
        <v>No Relation</v>
      </c>
      <c r="F1149" s="5" t="str">
        <f ca="1">IFERROR(__xludf.DUMMYFUNCTION("""COMPUTED_VALUE"""),"Apprehended/Killed by LE")</f>
        <v>Apprehended/Killed by LE</v>
      </c>
      <c r="G1149" s="5" t="str">
        <f ca="1">IFERROR(__xludf.DUMMYFUNCTION("""COMPUTED_VALUE"""),"Yes")</f>
        <v>Yes</v>
      </c>
      <c r="H1149" s="5" t="str">
        <f ca="1">IFERROR(__xludf.DUMMYFUNCTION("""COMPUTED_VALUE"""),"Fatal")</f>
        <v>Fatal</v>
      </c>
    </row>
    <row r="1150" spans="1:8">
      <c r="A1150" s="5" t="str">
        <f ca="1">IFERROR(__xludf.DUMMYFUNCTION("""COMPUTED_VALUE"""),"20130429OHLAC")</f>
        <v>20130429OHLAC</v>
      </c>
      <c r="B1150" s="5">
        <f ca="1">IFERROR(__xludf.DUMMYFUNCTION("""COMPUTED_VALUE"""),17)</f>
        <v>17</v>
      </c>
      <c r="C1150" s="5" t="str">
        <f ca="1">IFERROR(__xludf.DUMMYFUNCTION("""COMPUTED_VALUE"""),"Male")</f>
        <v>Male</v>
      </c>
      <c r="D1150" s="5"/>
      <c r="E1150" s="5" t="str">
        <f ca="1">IFERROR(__xludf.DUMMYFUNCTION("""COMPUTED_VALUE"""),"Student")</f>
        <v>Student</v>
      </c>
      <c r="F1150" s="5" t="str">
        <f ca="1">IFERROR(__xludf.DUMMYFUNCTION("""COMPUTED_VALUE"""),"Attempted Suicide")</f>
        <v>Attempted Suicide</v>
      </c>
      <c r="G1150" s="5" t="str">
        <f ca="1">IFERROR(__xludf.DUMMYFUNCTION("""COMPUTED_VALUE"""),"No")</f>
        <v>No</v>
      </c>
      <c r="H1150" s="5" t="str">
        <f ca="1">IFERROR(__xludf.DUMMYFUNCTION("""COMPUTED_VALUE"""),"Wounded")</f>
        <v>Wounded</v>
      </c>
    </row>
    <row r="1151" spans="1:8">
      <c r="A1151" s="5" t="str">
        <f ca="1">IFERROR(__xludf.DUMMYFUNCTION("""COMPUTED_VALUE"""),"20130416TXTET")</f>
        <v>20130416TXTET</v>
      </c>
      <c r="B1151" s="5">
        <f ca="1">IFERROR(__xludf.DUMMYFUNCTION("""COMPUTED_VALUE"""),15)</f>
        <v>15</v>
      </c>
      <c r="C1151" s="5" t="str">
        <f ca="1">IFERROR(__xludf.DUMMYFUNCTION("""COMPUTED_VALUE"""),"Male")</f>
        <v>Male</v>
      </c>
      <c r="D1151" s="5"/>
      <c r="E1151" s="5" t="str">
        <f ca="1">IFERROR(__xludf.DUMMYFUNCTION("""COMPUTED_VALUE"""),"Student")</f>
        <v>Student</v>
      </c>
      <c r="F1151" s="5" t="str">
        <f ca="1">IFERROR(__xludf.DUMMYFUNCTION("""COMPUTED_VALUE"""),"Suicide")</f>
        <v>Suicide</v>
      </c>
      <c r="G1151" s="5" t="str">
        <f ca="1">IFERROR(__xludf.DUMMYFUNCTION("""COMPUTED_VALUE"""),"Yes")</f>
        <v>Yes</v>
      </c>
      <c r="H1151" s="5" t="str">
        <f ca="1">IFERROR(__xludf.DUMMYFUNCTION("""COMPUTED_VALUE"""),"Suicide")</f>
        <v>Suicide</v>
      </c>
    </row>
    <row r="1152" spans="1:8">
      <c r="A1152" s="5" t="str">
        <f ca="1">IFERROR(__xludf.DUMMYFUNCTION("""COMPUTED_VALUE"""),"20130321MIDAS")</f>
        <v>20130321MIDAS</v>
      </c>
      <c r="B1152" s="5">
        <f ca="1">IFERROR(__xludf.DUMMYFUNCTION("""COMPUTED_VALUE"""),13)</f>
        <v>13</v>
      </c>
      <c r="C1152" s="5" t="str">
        <f ca="1">IFERROR(__xludf.DUMMYFUNCTION("""COMPUTED_VALUE"""),"Male")</f>
        <v>Male</v>
      </c>
      <c r="D1152" s="5" t="str">
        <f ca="1">IFERROR(__xludf.DUMMYFUNCTION("""COMPUTED_VALUE"""),"White")</f>
        <v>White</v>
      </c>
      <c r="E1152" s="5" t="str">
        <f ca="1">IFERROR(__xludf.DUMMYFUNCTION("""COMPUTED_VALUE"""),"Student")</f>
        <v>Student</v>
      </c>
      <c r="F1152" s="5" t="str">
        <f ca="1">IFERROR(__xludf.DUMMYFUNCTION("""COMPUTED_VALUE"""),"Suicide")</f>
        <v>Suicide</v>
      </c>
      <c r="G1152" s="5" t="str">
        <f ca="1">IFERROR(__xludf.DUMMYFUNCTION("""COMPUTED_VALUE"""),"Yes")</f>
        <v>Yes</v>
      </c>
      <c r="H1152" s="5" t="str">
        <f ca="1">IFERROR(__xludf.DUMMYFUNCTION("""COMPUTED_VALUE"""),"Suicide")</f>
        <v>Suicide</v>
      </c>
    </row>
    <row r="1153" spans="1:8">
      <c r="A1153" s="5" t="str">
        <f ca="1">IFERROR(__xludf.DUMMYFUNCTION("""COMPUTED_VALUE"""),"20130227GAGRA")</f>
        <v>20130227GAGRA</v>
      </c>
      <c r="B1153" s="5">
        <f ca="1">IFERROR(__xludf.DUMMYFUNCTION("""COMPUTED_VALUE"""),17)</f>
        <v>17</v>
      </c>
      <c r="C1153" s="5" t="str">
        <f ca="1">IFERROR(__xludf.DUMMYFUNCTION("""COMPUTED_VALUE"""),"Female")</f>
        <v>Female</v>
      </c>
      <c r="D1153" s="5" t="str">
        <f ca="1">IFERROR(__xludf.DUMMYFUNCTION("""COMPUTED_VALUE"""),"Black")</f>
        <v>Black</v>
      </c>
      <c r="E1153" s="5" t="str">
        <f ca="1">IFERROR(__xludf.DUMMYFUNCTION("""COMPUTED_VALUE"""),"Student")</f>
        <v>Student</v>
      </c>
      <c r="F1153" s="5" t="str">
        <f ca="1">IFERROR(__xludf.DUMMYFUNCTION("""COMPUTED_VALUE"""),"Surrendered")</f>
        <v>Surrendered</v>
      </c>
      <c r="G1153" s="5" t="str">
        <f ca="1">IFERROR(__xludf.DUMMYFUNCTION("""COMPUTED_VALUE"""),"No")</f>
        <v>No</v>
      </c>
      <c r="H1153" s="5" t="str">
        <f ca="1">IFERROR(__xludf.DUMMYFUNCTION("""COMPUTED_VALUE"""),"Wounded")</f>
        <v>Wounded</v>
      </c>
    </row>
    <row r="1154" spans="1:8">
      <c r="A1154" s="5" t="str">
        <f ca="1">IFERROR(__xludf.DUMMYFUNCTION("""COMPUTED_VALUE"""),"20130213CAHIS")</f>
        <v>20130213CAHIS</v>
      </c>
      <c r="B1154" s="5">
        <f ca="1">IFERROR(__xludf.DUMMYFUNCTION("""COMPUTED_VALUE"""),18)</f>
        <v>18</v>
      </c>
      <c r="C1154" s="5" t="str">
        <f ca="1">IFERROR(__xludf.DUMMYFUNCTION("""COMPUTED_VALUE"""),"Male")</f>
        <v>Male</v>
      </c>
      <c r="D1154" s="5" t="str">
        <f ca="1">IFERROR(__xludf.DUMMYFUNCTION("""COMPUTED_VALUE"""),"Black")</f>
        <v>Black</v>
      </c>
      <c r="E1154" s="5" t="str">
        <f ca="1">IFERROR(__xludf.DUMMYFUNCTION("""COMPUTED_VALUE"""),"No Relation")</f>
        <v>No Relation</v>
      </c>
      <c r="F1154" s="5" t="str">
        <f ca="1">IFERROR(__xludf.DUMMYFUNCTION("""COMPUTED_VALUE"""),"Fled/Apprehended")</f>
        <v>Fled/Apprehended</v>
      </c>
      <c r="G1154" s="5" t="str">
        <f ca="1">IFERROR(__xludf.DUMMYFUNCTION("""COMPUTED_VALUE"""),"No")</f>
        <v>No</v>
      </c>
      <c r="H1154" s="5" t="str">
        <f ca="1">IFERROR(__xludf.DUMMYFUNCTION("""COMPUTED_VALUE"""),"None")</f>
        <v>None</v>
      </c>
    </row>
    <row r="1155" spans="1:8">
      <c r="A1155" s="5" t="str">
        <f ca="1">IFERROR(__xludf.DUMMYFUNCTION("""COMPUTED_VALUE"""),"20130201MIMAD")</f>
        <v>20130201MIMAD</v>
      </c>
      <c r="B1155" s="5">
        <f ca="1">IFERROR(__xludf.DUMMYFUNCTION("""COMPUTED_VALUE"""),16)</f>
        <v>16</v>
      </c>
      <c r="C1155" s="5" t="str">
        <f ca="1">IFERROR(__xludf.DUMMYFUNCTION("""COMPUTED_VALUE"""),"Male")</f>
        <v>Male</v>
      </c>
      <c r="D1155" s="5"/>
      <c r="E1155" s="5" t="str">
        <f ca="1">IFERROR(__xludf.DUMMYFUNCTION("""COMPUTED_VALUE"""),"Unknown")</f>
        <v>Unknown</v>
      </c>
      <c r="F1155" s="5" t="str">
        <f ca="1">IFERROR(__xludf.DUMMYFUNCTION("""COMPUTED_VALUE"""),"Apprehended/Killed by LE")</f>
        <v>Apprehended/Killed by LE</v>
      </c>
      <c r="G1155" s="5" t="str">
        <f ca="1">IFERROR(__xludf.DUMMYFUNCTION("""COMPUTED_VALUE"""),"Yes")</f>
        <v>Yes</v>
      </c>
      <c r="H1155" s="5" t="str">
        <f ca="1">IFERROR(__xludf.DUMMYFUNCTION("""COMPUTED_VALUE"""),"Fatal")</f>
        <v>Fatal</v>
      </c>
    </row>
    <row r="1156" spans="1:8">
      <c r="A1156" s="5" t="str">
        <f ca="1">IFERROR(__xludf.DUMMYFUNCTION("""COMPUTED_VALUE"""),"20130201MIMAD")</f>
        <v>20130201MIMAD</v>
      </c>
      <c r="B1156" s="5">
        <f ca="1">IFERROR(__xludf.DUMMYFUNCTION("""COMPUTED_VALUE"""),15)</f>
        <v>15</v>
      </c>
      <c r="C1156" s="5" t="str">
        <f ca="1">IFERROR(__xludf.DUMMYFUNCTION("""COMPUTED_VALUE"""),"Male")</f>
        <v>Male</v>
      </c>
      <c r="D1156" s="5"/>
      <c r="E1156" s="5" t="str">
        <f ca="1">IFERROR(__xludf.DUMMYFUNCTION("""COMPUTED_VALUE"""),"Unknown")</f>
        <v>Unknown</v>
      </c>
      <c r="F1156" s="5" t="str">
        <f ca="1">IFERROR(__xludf.DUMMYFUNCTION("""COMPUTED_VALUE"""),"Apprehended/Killed by LE")</f>
        <v>Apprehended/Killed by LE</v>
      </c>
      <c r="G1156" s="5" t="str">
        <f ca="1">IFERROR(__xludf.DUMMYFUNCTION("""COMPUTED_VALUE"""),"No")</f>
        <v>No</v>
      </c>
      <c r="H1156" s="5" t="str">
        <f ca="1">IFERROR(__xludf.DUMMYFUNCTION("""COMPUTED_VALUE"""),"Wounded")</f>
        <v>Wounded</v>
      </c>
    </row>
    <row r="1157" spans="1:8">
      <c r="A1157" s="5" t="str">
        <f ca="1">IFERROR(__xludf.DUMMYFUNCTION("""COMPUTED_VALUE"""),"20130131GAPRA")</f>
        <v>20130131GAPRA</v>
      </c>
      <c r="B1157" s="5">
        <f ca="1">IFERROR(__xludf.DUMMYFUNCTION("""COMPUTED_VALUE"""),15)</f>
        <v>15</v>
      </c>
      <c r="C1157" s="5" t="str">
        <f ca="1">IFERROR(__xludf.DUMMYFUNCTION("""COMPUTED_VALUE"""),"Male")</f>
        <v>Male</v>
      </c>
      <c r="D1157" s="5"/>
      <c r="E1157" s="5" t="str">
        <f ca="1">IFERROR(__xludf.DUMMYFUNCTION("""COMPUTED_VALUE"""),"Student")</f>
        <v>Student</v>
      </c>
      <c r="F1157" s="5" t="str">
        <f ca="1">IFERROR(__xludf.DUMMYFUNCTION("""COMPUTED_VALUE"""),"Apprehended/Killed by SRO")</f>
        <v>Apprehended/Killed by SRO</v>
      </c>
      <c r="G1157" s="5" t="str">
        <f ca="1">IFERROR(__xludf.DUMMYFUNCTION("""COMPUTED_VALUE"""),"No")</f>
        <v>No</v>
      </c>
      <c r="H1157" s="5" t="str">
        <f ca="1">IFERROR(__xludf.DUMMYFUNCTION("""COMPUTED_VALUE"""),"None")</f>
        <v>None</v>
      </c>
    </row>
    <row r="1158" spans="1:8">
      <c r="A1158" s="5" t="str">
        <f ca="1">IFERROR(__xludf.DUMMYFUNCTION("""COMPUTED_VALUE"""),"20130129ALDAM")</f>
        <v>20130129ALDAM</v>
      </c>
      <c r="B1158" s="5">
        <f ca="1">IFERROR(__xludf.DUMMYFUNCTION("""COMPUTED_VALUE"""),65)</f>
        <v>65</v>
      </c>
      <c r="C1158" s="5" t="str">
        <f ca="1">IFERROR(__xludf.DUMMYFUNCTION("""COMPUTED_VALUE"""),"Male")</f>
        <v>Male</v>
      </c>
      <c r="D1158" s="5" t="str">
        <f ca="1">IFERROR(__xludf.DUMMYFUNCTION("""COMPUTED_VALUE"""),"White")</f>
        <v>White</v>
      </c>
      <c r="E1158" s="5" t="str">
        <f ca="1">IFERROR(__xludf.DUMMYFUNCTION("""COMPUTED_VALUE"""),"No Relation")</f>
        <v>No Relation</v>
      </c>
      <c r="F1158" s="5" t="str">
        <f ca="1">IFERROR(__xludf.DUMMYFUNCTION("""COMPUTED_VALUE"""),"Fled/Apprehended")</f>
        <v>Fled/Apprehended</v>
      </c>
      <c r="G1158" s="5" t="str">
        <f ca="1">IFERROR(__xludf.DUMMYFUNCTION("""COMPUTED_VALUE"""),"No")</f>
        <v>No</v>
      </c>
      <c r="H1158" s="5" t="str">
        <f ca="1">IFERROR(__xludf.DUMMYFUNCTION("""COMPUTED_VALUE"""),"None")</f>
        <v>None</v>
      </c>
    </row>
    <row r="1159" spans="1:8">
      <c r="A1159" s="5" t="str">
        <f ca="1">IFERROR(__xludf.DUMMYFUNCTION("""COMPUTED_VALUE"""),"20130111MIOSD")</f>
        <v>20130111MIOSD</v>
      </c>
      <c r="B1159" s="5" t="str">
        <f ca="1">IFERROR(__xludf.DUMMYFUNCTION("""COMPUTED_VALUE"""),"Teen")</f>
        <v>Teen</v>
      </c>
      <c r="C1159" s="5" t="str">
        <f ca="1">IFERROR(__xludf.DUMMYFUNCTION("""COMPUTED_VALUE"""),"Male")</f>
        <v>Male</v>
      </c>
      <c r="D1159" s="5"/>
      <c r="E1159" s="5" t="str">
        <f ca="1">IFERROR(__xludf.DUMMYFUNCTION("""COMPUTED_VALUE"""),"Nonstudent Using Athletic Facilities/Attending Game")</f>
        <v>Nonstudent Using Athletic Facilities/Attending Game</v>
      </c>
      <c r="F1159" s="5" t="str">
        <f ca="1">IFERROR(__xludf.DUMMYFUNCTION("""COMPUTED_VALUE"""),"Fled/Escaped")</f>
        <v>Fled/Escaped</v>
      </c>
      <c r="G1159" s="5" t="str">
        <f ca="1">IFERROR(__xludf.DUMMYFUNCTION("""COMPUTED_VALUE"""),"No")</f>
        <v>No</v>
      </c>
      <c r="H1159" s="5" t="str">
        <f ca="1">IFERROR(__xludf.DUMMYFUNCTION("""COMPUTED_VALUE"""),"None")</f>
        <v>None</v>
      </c>
    </row>
    <row r="1160" spans="1:8">
      <c r="A1160" s="5" t="str">
        <f ca="1">IFERROR(__xludf.DUMMYFUNCTION("""COMPUTED_VALUE"""),"20130110CATAT")</f>
        <v>20130110CATAT</v>
      </c>
      <c r="B1160" s="5">
        <f ca="1">IFERROR(__xludf.DUMMYFUNCTION("""COMPUTED_VALUE"""),16)</f>
        <v>16</v>
      </c>
      <c r="C1160" s="5" t="str">
        <f ca="1">IFERROR(__xludf.DUMMYFUNCTION("""COMPUTED_VALUE"""),"Male")</f>
        <v>Male</v>
      </c>
      <c r="D1160" s="5" t="str">
        <f ca="1">IFERROR(__xludf.DUMMYFUNCTION("""COMPUTED_VALUE"""),"White")</f>
        <v>White</v>
      </c>
      <c r="E1160" s="5" t="str">
        <f ca="1">IFERROR(__xludf.DUMMYFUNCTION("""COMPUTED_VALUE"""),"Student")</f>
        <v>Student</v>
      </c>
      <c r="F1160" s="5" t="str">
        <f ca="1">IFERROR(__xludf.DUMMYFUNCTION("""COMPUTED_VALUE"""),"Surrendered")</f>
        <v>Surrendered</v>
      </c>
      <c r="G1160" s="5" t="str">
        <f ca="1">IFERROR(__xludf.DUMMYFUNCTION("""COMPUTED_VALUE"""),"No")</f>
        <v>No</v>
      </c>
      <c r="H1160" s="5" t="str">
        <f ca="1">IFERROR(__xludf.DUMMYFUNCTION("""COMPUTED_VALUE"""),"None")</f>
        <v>None</v>
      </c>
    </row>
    <row r="1161" spans="1:8">
      <c r="A1161" s="5" t="str">
        <f ca="1">IFERROR(__xludf.DUMMYFUNCTION("""COMPUTED_VALUE"""),"20130107FLAPF")</f>
        <v>20130107FLAPF</v>
      </c>
      <c r="B1161" s="5"/>
      <c r="C1161" s="5"/>
      <c r="D1161" s="5"/>
      <c r="E1161" s="5" t="str">
        <f ca="1">IFERROR(__xludf.DUMMYFUNCTION("""COMPUTED_VALUE"""),"Unknown")</f>
        <v>Unknown</v>
      </c>
      <c r="F1161" s="5" t="str">
        <f ca="1">IFERROR(__xludf.DUMMYFUNCTION("""COMPUTED_VALUE"""),"Fled/Escaped")</f>
        <v>Fled/Escaped</v>
      </c>
      <c r="G1161" s="5" t="str">
        <f ca="1">IFERROR(__xludf.DUMMYFUNCTION("""COMPUTED_VALUE"""),"No")</f>
        <v>No</v>
      </c>
      <c r="H1161" s="5" t="str">
        <f ca="1">IFERROR(__xludf.DUMMYFUNCTION("""COMPUTED_VALUE"""),"None")</f>
        <v>None</v>
      </c>
    </row>
    <row r="1162" spans="1:8">
      <c r="A1162" s="5" t="str">
        <f ca="1">IFERROR(__xludf.DUMMYFUNCTION("""COMPUTED_VALUE"""),"20121214CTSAN")</f>
        <v>20121214CTSAN</v>
      </c>
      <c r="B1162" s="5">
        <f ca="1">IFERROR(__xludf.DUMMYFUNCTION("""COMPUTED_VALUE"""),20)</f>
        <v>20</v>
      </c>
      <c r="C1162" s="5" t="str">
        <f ca="1">IFERROR(__xludf.DUMMYFUNCTION("""COMPUTED_VALUE"""),"Male")</f>
        <v>Male</v>
      </c>
      <c r="D1162" s="5" t="str">
        <f ca="1">IFERROR(__xludf.DUMMYFUNCTION("""COMPUTED_VALUE"""),"White")</f>
        <v>White</v>
      </c>
      <c r="E1162" s="5" t="str">
        <f ca="1">IFERROR(__xludf.DUMMYFUNCTION("""COMPUTED_VALUE"""),"Former Student")</f>
        <v>Former Student</v>
      </c>
      <c r="F1162" s="5" t="str">
        <f ca="1">IFERROR(__xludf.DUMMYFUNCTION("""COMPUTED_VALUE"""),"Suicide")</f>
        <v>Suicide</v>
      </c>
      <c r="G1162" s="5" t="str">
        <f ca="1">IFERROR(__xludf.DUMMYFUNCTION("""COMPUTED_VALUE"""),"Yes")</f>
        <v>Yes</v>
      </c>
      <c r="H1162" s="5" t="str">
        <f ca="1">IFERROR(__xludf.DUMMYFUNCTION("""COMPUTED_VALUE"""),"Suicide")</f>
        <v>Suicide</v>
      </c>
    </row>
    <row r="1163" spans="1:8">
      <c r="A1163" s="5" t="str">
        <f ca="1">IFERROR(__xludf.DUMMYFUNCTION("""COMPUTED_VALUE"""),"20121210TXSPH")</f>
        <v>20121210TXSPH</v>
      </c>
      <c r="B1163" s="5">
        <f ca="1">IFERROR(__xludf.DUMMYFUNCTION("""COMPUTED_VALUE"""),15)</f>
        <v>15</v>
      </c>
      <c r="C1163" s="5" t="str">
        <f ca="1">IFERROR(__xludf.DUMMYFUNCTION("""COMPUTED_VALUE"""),"Male")</f>
        <v>Male</v>
      </c>
      <c r="D1163" s="5"/>
      <c r="E1163" s="5" t="str">
        <f ca="1">IFERROR(__xludf.DUMMYFUNCTION("""COMPUTED_VALUE"""),"Student")</f>
        <v>Student</v>
      </c>
      <c r="F1163" s="5" t="str">
        <f ca="1">IFERROR(__xludf.DUMMYFUNCTION("""COMPUTED_VALUE"""),"Surrendered")</f>
        <v>Surrendered</v>
      </c>
      <c r="G1163" s="5" t="str">
        <f ca="1">IFERROR(__xludf.DUMMYFUNCTION("""COMPUTED_VALUE"""),"No")</f>
        <v>No</v>
      </c>
      <c r="H1163" s="5" t="str">
        <f ca="1">IFERROR(__xludf.DUMMYFUNCTION("""COMPUTED_VALUE"""),"None")</f>
        <v>None</v>
      </c>
    </row>
    <row r="1164" spans="1:8">
      <c r="A1164" s="5" t="str">
        <f ca="1">IFERROR(__xludf.DUMMYFUNCTION("""COMPUTED_VALUE"""),"20121019ILBAC")</f>
        <v>20121019ILBAC</v>
      </c>
      <c r="B1164" s="5">
        <f ca="1">IFERROR(__xludf.DUMMYFUNCTION("""COMPUTED_VALUE"""),14)</f>
        <v>14</v>
      </c>
      <c r="C1164" s="5" t="str">
        <f ca="1">IFERROR(__xludf.DUMMYFUNCTION("""COMPUTED_VALUE"""),"Male")</f>
        <v>Male</v>
      </c>
      <c r="D1164" s="5" t="str">
        <f ca="1">IFERROR(__xludf.DUMMYFUNCTION("""COMPUTED_VALUE"""),"Black")</f>
        <v>Black</v>
      </c>
      <c r="E1164" s="5" t="str">
        <f ca="1">IFERROR(__xludf.DUMMYFUNCTION("""COMPUTED_VALUE"""),"Unknown")</f>
        <v>Unknown</v>
      </c>
      <c r="F1164" s="5" t="str">
        <f ca="1">IFERROR(__xludf.DUMMYFUNCTION("""COMPUTED_VALUE"""),"Fled/Apprehended")</f>
        <v>Fled/Apprehended</v>
      </c>
      <c r="G1164" s="5" t="str">
        <f ca="1">IFERROR(__xludf.DUMMYFUNCTION("""COMPUTED_VALUE"""),"No")</f>
        <v>No</v>
      </c>
      <c r="H1164" s="5" t="str">
        <f ca="1">IFERROR(__xludf.DUMMYFUNCTION("""COMPUTED_VALUE"""),"None")</f>
        <v>None</v>
      </c>
    </row>
    <row r="1165" spans="1:8">
      <c r="A1165" s="5" t="str">
        <f ca="1">IFERROR(__xludf.DUMMYFUNCTION("""COMPUTED_VALUE"""),"20121019ILBAC")</f>
        <v>20121019ILBAC</v>
      </c>
      <c r="B1165" s="5">
        <f ca="1">IFERROR(__xludf.DUMMYFUNCTION("""COMPUTED_VALUE"""),16)</f>
        <v>16</v>
      </c>
      <c r="C1165" s="5" t="str">
        <f ca="1">IFERROR(__xludf.DUMMYFUNCTION("""COMPUTED_VALUE"""),"Male")</f>
        <v>Male</v>
      </c>
      <c r="D1165" s="5" t="str">
        <f ca="1">IFERROR(__xludf.DUMMYFUNCTION("""COMPUTED_VALUE"""),"Black")</f>
        <v>Black</v>
      </c>
      <c r="E1165" s="5" t="str">
        <f ca="1">IFERROR(__xludf.DUMMYFUNCTION("""COMPUTED_VALUE"""),"Unknown")</f>
        <v>Unknown</v>
      </c>
      <c r="F1165" s="5" t="str">
        <f ca="1">IFERROR(__xludf.DUMMYFUNCTION("""COMPUTED_VALUE"""),"Fled/Apprehended")</f>
        <v>Fled/Apprehended</v>
      </c>
      <c r="G1165" s="5" t="str">
        <f ca="1">IFERROR(__xludf.DUMMYFUNCTION("""COMPUTED_VALUE"""),"No")</f>
        <v>No</v>
      </c>
      <c r="H1165" s="5" t="str">
        <f ca="1">IFERROR(__xludf.DUMMYFUNCTION("""COMPUTED_VALUE"""),"None")</f>
        <v>None</v>
      </c>
    </row>
    <row r="1166" spans="1:8">
      <c r="A1166" s="5" t="str">
        <f ca="1">IFERROR(__xludf.DUMMYFUNCTION("""COMPUTED_VALUE"""),"20121012NDFAF")</f>
        <v>20121012NDFAF</v>
      </c>
      <c r="B1166" s="5" t="str">
        <f ca="1">IFERROR(__xludf.DUMMYFUNCTION("""COMPUTED_VALUE"""),"Teen")</f>
        <v>Teen</v>
      </c>
      <c r="C1166" s="5" t="str">
        <f ca="1">IFERROR(__xludf.DUMMYFUNCTION("""COMPUTED_VALUE"""),"Male")</f>
        <v>Male</v>
      </c>
      <c r="D1166" s="5"/>
      <c r="E1166" s="5" t="str">
        <f ca="1">IFERROR(__xludf.DUMMYFUNCTION("""COMPUTED_VALUE"""),"Student")</f>
        <v>Student</v>
      </c>
      <c r="F1166" s="5" t="str">
        <f ca="1">IFERROR(__xludf.DUMMYFUNCTION("""COMPUTED_VALUE"""),"Attempted Suicide")</f>
        <v>Attempted Suicide</v>
      </c>
      <c r="G1166" s="5" t="str">
        <f ca="1">IFERROR(__xludf.DUMMYFUNCTION("""COMPUTED_VALUE"""),"No")</f>
        <v>No</v>
      </c>
      <c r="H1166" s="5" t="str">
        <f ca="1">IFERROR(__xludf.DUMMYFUNCTION("""COMPUTED_VALUE"""),"Wounded")</f>
        <v>Wounded</v>
      </c>
    </row>
    <row r="1167" spans="1:8">
      <c r="A1167" s="5" t="str">
        <f ca="1">IFERROR(__xludf.DUMMYFUNCTION("""COMPUTED_VALUE"""),"20120926OKSTS")</f>
        <v>20120926OKSTS</v>
      </c>
      <c r="B1167" s="5">
        <f ca="1">IFERROR(__xludf.DUMMYFUNCTION("""COMPUTED_VALUE"""),13)</f>
        <v>13</v>
      </c>
      <c r="C1167" s="5" t="str">
        <f ca="1">IFERROR(__xludf.DUMMYFUNCTION("""COMPUTED_VALUE"""),"Male")</f>
        <v>Male</v>
      </c>
      <c r="D1167" s="5" t="str">
        <f ca="1">IFERROR(__xludf.DUMMYFUNCTION("""COMPUTED_VALUE"""),"White")</f>
        <v>White</v>
      </c>
      <c r="E1167" s="5" t="str">
        <f ca="1">IFERROR(__xludf.DUMMYFUNCTION("""COMPUTED_VALUE"""),"Student")</f>
        <v>Student</v>
      </c>
      <c r="F1167" s="5" t="str">
        <f ca="1">IFERROR(__xludf.DUMMYFUNCTION("""COMPUTED_VALUE"""),"Suicide")</f>
        <v>Suicide</v>
      </c>
      <c r="G1167" s="5" t="str">
        <f ca="1">IFERROR(__xludf.DUMMYFUNCTION("""COMPUTED_VALUE"""),"Yes")</f>
        <v>Yes</v>
      </c>
      <c r="H1167" s="5" t="str">
        <f ca="1">IFERROR(__xludf.DUMMYFUNCTION("""COMPUTED_VALUE"""),"Suicide")</f>
        <v>Suicide</v>
      </c>
    </row>
    <row r="1168" spans="1:8">
      <c r="A1168" s="5" t="str">
        <f ca="1">IFERROR(__xludf.DUMMYFUNCTION("""COMPUTED_VALUE"""),"20120907ILNON")</f>
        <v>20120907ILNON</v>
      </c>
      <c r="B1168" s="5">
        <f ca="1">IFERROR(__xludf.DUMMYFUNCTION("""COMPUTED_VALUE"""),15)</f>
        <v>15</v>
      </c>
      <c r="C1168" s="5" t="str">
        <f ca="1">IFERROR(__xludf.DUMMYFUNCTION("""COMPUTED_VALUE"""),"Male")</f>
        <v>Male</v>
      </c>
      <c r="D1168" s="5" t="str">
        <f ca="1">IFERROR(__xludf.DUMMYFUNCTION("""COMPUTED_VALUE"""),"White")</f>
        <v>White</v>
      </c>
      <c r="E1168" s="5" t="str">
        <f ca="1">IFERROR(__xludf.DUMMYFUNCTION("""COMPUTED_VALUE"""),"Student")</f>
        <v>Student</v>
      </c>
      <c r="F1168" s="5" t="str">
        <f ca="1">IFERROR(__xludf.DUMMYFUNCTION("""COMPUTED_VALUE"""),"Subdued by Students/Staff/Other")</f>
        <v>Subdued by Students/Staff/Other</v>
      </c>
      <c r="G1168" s="5" t="str">
        <f ca="1">IFERROR(__xludf.DUMMYFUNCTION("""COMPUTED_VALUE"""),"No")</f>
        <v>No</v>
      </c>
      <c r="H1168" s="5" t="str">
        <f ca="1">IFERROR(__xludf.DUMMYFUNCTION("""COMPUTED_VALUE"""),"None")</f>
        <v>None</v>
      </c>
    </row>
    <row r="1169" spans="1:8">
      <c r="A1169" s="5" t="str">
        <f ca="1">IFERROR(__xludf.DUMMYFUNCTION("""COMPUTED_VALUE"""),"20120827MDPEP")</f>
        <v>20120827MDPEP</v>
      </c>
      <c r="B1169" s="5">
        <f ca="1">IFERROR(__xludf.DUMMYFUNCTION("""COMPUTED_VALUE"""),15)</f>
        <v>15</v>
      </c>
      <c r="C1169" s="5" t="str">
        <f ca="1">IFERROR(__xludf.DUMMYFUNCTION("""COMPUTED_VALUE"""),"Male")</f>
        <v>Male</v>
      </c>
      <c r="D1169" s="5" t="str">
        <f ca="1">IFERROR(__xludf.DUMMYFUNCTION("""COMPUTED_VALUE"""),"White")</f>
        <v>White</v>
      </c>
      <c r="E1169" s="5" t="str">
        <f ca="1">IFERROR(__xludf.DUMMYFUNCTION("""COMPUTED_VALUE"""),"Student")</f>
        <v>Student</v>
      </c>
      <c r="F1169" s="5" t="str">
        <f ca="1">IFERROR(__xludf.DUMMYFUNCTION("""COMPUTED_VALUE"""),"Subdued by Students/Staff/Other")</f>
        <v>Subdued by Students/Staff/Other</v>
      </c>
      <c r="G1169" s="5" t="str">
        <f ca="1">IFERROR(__xludf.DUMMYFUNCTION("""COMPUTED_VALUE"""),"No")</f>
        <v>No</v>
      </c>
      <c r="H1169" s="5" t="str">
        <f ca="1">IFERROR(__xludf.DUMMYFUNCTION("""COMPUTED_VALUE"""),"None")</f>
        <v>None</v>
      </c>
    </row>
    <row r="1170" spans="1:8">
      <c r="A1170" s="5" t="str">
        <f ca="1">IFERROR(__xludf.DUMMYFUNCTION("""COMPUTED_VALUE"""),"20120824GABAH")</f>
        <v>20120824GABAH</v>
      </c>
      <c r="B1170" s="5">
        <f ca="1">IFERROR(__xludf.DUMMYFUNCTION("""COMPUTED_VALUE"""),15)</f>
        <v>15</v>
      </c>
      <c r="C1170" s="5" t="str">
        <f ca="1">IFERROR(__xludf.DUMMYFUNCTION("""COMPUTED_VALUE"""),"Male")</f>
        <v>Male</v>
      </c>
      <c r="D1170" s="5"/>
      <c r="E1170" s="5" t="str">
        <f ca="1">IFERROR(__xludf.DUMMYFUNCTION("""COMPUTED_VALUE"""),"Student")</f>
        <v>Student</v>
      </c>
      <c r="F1170" s="5" t="str">
        <f ca="1">IFERROR(__xludf.DUMMYFUNCTION("""COMPUTED_VALUE"""),"Suicide")</f>
        <v>Suicide</v>
      </c>
      <c r="G1170" s="5" t="str">
        <f ca="1">IFERROR(__xludf.DUMMYFUNCTION("""COMPUTED_VALUE"""),"Yes")</f>
        <v>Yes</v>
      </c>
      <c r="H1170" s="5" t="str">
        <f ca="1">IFERROR(__xludf.DUMMYFUNCTION("""COMPUTED_VALUE"""),"Suicide")</f>
        <v>Suicide</v>
      </c>
    </row>
    <row r="1171" spans="1:8">
      <c r="A1171" s="5" t="str">
        <f ca="1">IFERROR(__xludf.DUMMYFUNCTION("""COMPUTED_VALUE"""),"20120816TNHAM")</f>
        <v>20120816TNHAM</v>
      </c>
      <c r="B1171" s="5" t="str">
        <f ca="1">IFERROR(__xludf.DUMMYFUNCTION("""COMPUTED_VALUE"""),"Adult")</f>
        <v>Adult</v>
      </c>
      <c r="C1171" s="5" t="str">
        <f ca="1">IFERROR(__xludf.DUMMYFUNCTION("""COMPUTED_VALUE"""),"Male")</f>
        <v>Male</v>
      </c>
      <c r="D1171" s="5"/>
      <c r="E1171" s="5" t="str">
        <f ca="1">IFERROR(__xludf.DUMMYFUNCTION("""COMPUTED_VALUE"""),"No Relation")</f>
        <v>No Relation</v>
      </c>
      <c r="F1171" s="5" t="str">
        <f ca="1">IFERROR(__xludf.DUMMYFUNCTION("""COMPUTED_VALUE"""),"Fled/Escaped")</f>
        <v>Fled/Escaped</v>
      </c>
      <c r="G1171" s="5" t="str">
        <f ca="1">IFERROR(__xludf.DUMMYFUNCTION("""COMPUTED_VALUE"""),"No")</f>
        <v>No</v>
      </c>
      <c r="H1171" s="5" t="str">
        <f ca="1">IFERROR(__xludf.DUMMYFUNCTION("""COMPUTED_VALUE"""),"None")</f>
        <v>None</v>
      </c>
    </row>
    <row r="1172" spans="1:8">
      <c r="A1172" s="5" t="str">
        <f ca="1">IFERROR(__xludf.DUMMYFUNCTION("""COMPUTED_VALUE"""),"20120706RINAP")</f>
        <v>20120706RINAP</v>
      </c>
      <c r="B1172" s="5">
        <f ca="1">IFERROR(__xludf.DUMMYFUNCTION("""COMPUTED_VALUE"""),20)</f>
        <v>20</v>
      </c>
      <c r="C1172" s="5" t="str">
        <f ca="1">IFERROR(__xludf.DUMMYFUNCTION("""COMPUTED_VALUE"""),"Male")</f>
        <v>Male</v>
      </c>
      <c r="D1172" s="5" t="str">
        <f ca="1">IFERROR(__xludf.DUMMYFUNCTION("""COMPUTED_VALUE"""),"Black")</f>
        <v>Black</v>
      </c>
      <c r="E1172" s="5" t="str">
        <f ca="1">IFERROR(__xludf.DUMMYFUNCTION("""COMPUTED_VALUE"""),"No Relation")</f>
        <v>No Relation</v>
      </c>
      <c r="F1172" s="5" t="str">
        <f ca="1">IFERROR(__xludf.DUMMYFUNCTION("""COMPUTED_VALUE"""),"Fled/Apprehended")</f>
        <v>Fled/Apprehended</v>
      </c>
      <c r="G1172" s="5" t="str">
        <f ca="1">IFERROR(__xludf.DUMMYFUNCTION("""COMPUTED_VALUE"""),"No")</f>
        <v>No</v>
      </c>
      <c r="H1172" s="5" t="str">
        <f ca="1">IFERROR(__xludf.DUMMYFUNCTION("""COMPUTED_VALUE"""),"None")</f>
        <v>None</v>
      </c>
    </row>
    <row r="1173" spans="1:8">
      <c r="A1173" s="5" t="str">
        <f ca="1">IFERROR(__xludf.DUMMYFUNCTION("""COMPUTED_VALUE"""),"20120525NCMAC")</f>
        <v>20120525NCMAC</v>
      </c>
      <c r="B1173" s="5">
        <f ca="1">IFERROR(__xludf.DUMMYFUNCTION("""COMPUTED_VALUE"""),51)</f>
        <v>51</v>
      </c>
      <c r="C1173" s="5" t="str">
        <f ca="1">IFERROR(__xludf.DUMMYFUNCTION("""COMPUTED_VALUE"""),"Male")</f>
        <v>Male</v>
      </c>
      <c r="D1173" s="5" t="str">
        <f ca="1">IFERROR(__xludf.DUMMYFUNCTION("""COMPUTED_VALUE"""),"White")</f>
        <v>White</v>
      </c>
      <c r="E1173" s="5" t="str">
        <f ca="1">IFERROR(__xludf.DUMMYFUNCTION("""COMPUTED_VALUE"""),"Parent")</f>
        <v>Parent</v>
      </c>
      <c r="F1173" s="5" t="str">
        <f ca="1">IFERROR(__xludf.DUMMYFUNCTION("""COMPUTED_VALUE"""),"Fled/Apprehended")</f>
        <v>Fled/Apprehended</v>
      </c>
      <c r="G1173" s="5" t="str">
        <f ca="1">IFERROR(__xludf.DUMMYFUNCTION("""COMPUTED_VALUE"""),"No")</f>
        <v>No</v>
      </c>
      <c r="H1173" s="5" t="str">
        <f ca="1">IFERROR(__xludf.DUMMYFUNCTION("""COMPUTED_VALUE"""),"None")</f>
        <v>None</v>
      </c>
    </row>
    <row r="1174" spans="1:8">
      <c r="A1174" s="5" t="str">
        <f ca="1">IFERROR(__xludf.DUMMYFUNCTION("""COMPUTED_VALUE"""),"20120525AZWEA")</f>
        <v>20120525AZWEA</v>
      </c>
      <c r="B1174" s="5">
        <f ca="1">IFERROR(__xludf.DUMMYFUNCTION("""COMPUTED_VALUE"""),38)</f>
        <v>38</v>
      </c>
      <c r="C1174" s="5" t="str">
        <f ca="1">IFERROR(__xludf.DUMMYFUNCTION("""COMPUTED_VALUE"""),"Male")</f>
        <v>Male</v>
      </c>
      <c r="D1174" s="5" t="str">
        <f ca="1">IFERROR(__xludf.DUMMYFUNCTION("""COMPUTED_VALUE"""),"Black")</f>
        <v>Black</v>
      </c>
      <c r="E1174" s="5" t="str">
        <f ca="1">IFERROR(__xludf.DUMMYFUNCTION("""COMPUTED_VALUE"""),"Unknown")</f>
        <v>Unknown</v>
      </c>
      <c r="F1174" s="5" t="str">
        <f ca="1">IFERROR(__xludf.DUMMYFUNCTION("""COMPUTED_VALUE"""),"Fled/Apprehended")</f>
        <v>Fled/Apprehended</v>
      </c>
      <c r="G1174" s="5" t="str">
        <f ca="1">IFERROR(__xludf.DUMMYFUNCTION("""COMPUTED_VALUE"""),"No")</f>
        <v>No</v>
      </c>
      <c r="H1174" s="5" t="str">
        <f ca="1">IFERROR(__xludf.DUMMYFUNCTION("""COMPUTED_VALUE"""),"None")</f>
        <v>None</v>
      </c>
    </row>
    <row r="1175" spans="1:8">
      <c r="A1175" s="5" t="str">
        <f ca="1">IFERROR(__xludf.DUMMYFUNCTION("""COMPUTED_VALUE"""),"20120401ARKIR")</f>
        <v>20120401ARKIR</v>
      </c>
      <c r="B1175" s="5">
        <f ca="1">IFERROR(__xludf.DUMMYFUNCTION("""COMPUTED_VALUE"""),18)</f>
        <v>18</v>
      </c>
      <c r="C1175" s="5" t="str">
        <f ca="1">IFERROR(__xludf.DUMMYFUNCTION("""COMPUTED_VALUE"""),"Male")</f>
        <v>Male</v>
      </c>
      <c r="D1175" s="5" t="str">
        <f ca="1">IFERROR(__xludf.DUMMYFUNCTION("""COMPUTED_VALUE"""),"White")</f>
        <v>White</v>
      </c>
      <c r="E1175" s="5" t="str">
        <f ca="1">IFERROR(__xludf.DUMMYFUNCTION("""COMPUTED_VALUE"""),"No Relation")</f>
        <v>No Relation</v>
      </c>
      <c r="F1175" s="5" t="str">
        <f ca="1">IFERROR(__xludf.DUMMYFUNCTION("""COMPUTED_VALUE"""),"Fled/Apprehended")</f>
        <v>Fled/Apprehended</v>
      </c>
      <c r="G1175" s="5" t="str">
        <f ca="1">IFERROR(__xludf.DUMMYFUNCTION("""COMPUTED_VALUE"""),"No")</f>
        <v>No</v>
      </c>
      <c r="H1175" s="5" t="str">
        <f ca="1">IFERROR(__xludf.DUMMYFUNCTION("""COMPUTED_VALUE"""),"None")</f>
        <v>None</v>
      </c>
    </row>
    <row r="1176" spans="1:8">
      <c r="A1176" s="5" t="str">
        <f ca="1">IFERROR(__xludf.DUMMYFUNCTION("""COMPUTED_VALUE"""),"20120315ALLEM")</f>
        <v>20120315ALLEM</v>
      </c>
      <c r="B1176" s="5">
        <f ca="1">IFERROR(__xludf.DUMMYFUNCTION("""COMPUTED_VALUE"""),16)</f>
        <v>16</v>
      </c>
      <c r="C1176" s="5" t="str">
        <f ca="1">IFERROR(__xludf.DUMMYFUNCTION("""COMPUTED_VALUE"""),"Male")</f>
        <v>Male</v>
      </c>
      <c r="D1176" s="5" t="str">
        <f ca="1">IFERROR(__xludf.DUMMYFUNCTION("""COMPUTED_VALUE"""),"Black")</f>
        <v>Black</v>
      </c>
      <c r="E1176" s="5" t="str">
        <f ca="1">IFERROR(__xludf.DUMMYFUNCTION("""COMPUTED_VALUE"""),"Former Student")</f>
        <v>Former Student</v>
      </c>
      <c r="F1176" s="5" t="str">
        <f ca="1">IFERROR(__xludf.DUMMYFUNCTION("""COMPUTED_VALUE"""),"Surrendered")</f>
        <v>Surrendered</v>
      </c>
      <c r="G1176" s="5" t="str">
        <f ca="1">IFERROR(__xludf.DUMMYFUNCTION("""COMPUTED_VALUE"""),"No")</f>
        <v>No</v>
      </c>
      <c r="H1176" s="5" t="str">
        <f ca="1">IFERROR(__xludf.DUMMYFUNCTION("""COMPUTED_VALUE"""),"None")</f>
        <v>None</v>
      </c>
    </row>
    <row r="1177" spans="1:8">
      <c r="A1177" s="5" t="str">
        <f ca="1">IFERROR(__xludf.DUMMYFUNCTION("""COMPUTED_VALUE"""),"20120306FLEPJ")</f>
        <v>20120306FLEPJ</v>
      </c>
      <c r="B1177" s="5">
        <f ca="1">IFERROR(__xludf.DUMMYFUNCTION("""COMPUTED_VALUE"""),28)</f>
        <v>28</v>
      </c>
      <c r="C1177" s="5" t="str">
        <f ca="1">IFERROR(__xludf.DUMMYFUNCTION("""COMPUTED_VALUE"""),"Male")</f>
        <v>Male</v>
      </c>
      <c r="D1177" s="5" t="str">
        <f ca="1">IFERROR(__xludf.DUMMYFUNCTION("""COMPUTED_VALUE"""),"White")</f>
        <v>White</v>
      </c>
      <c r="E1177" s="5" t="str">
        <f ca="1">IFERROR(__xludf.DUMMYFUNCTION("""COMPUTED_VALUE"""),"Former Teacher")</f>
        <v>Former Teacher</v>
      </c>
      <c r="F1177" s="5" t="str">
        <f ca="1">IFERROR(__xludf.DUMMYFUNCTION("""COMPUTED_VALUE"""),"Suicide")</f>
        <v>Suicide</v>
      </c>
      <c r="G1177" s="5" t="str">
        <f ca="1">IFERROR(__xludf.DUMMYFUNCTION("""COMPUTED_VALUE"""),"Yes")</f>
        <v>Yes</v>
      </c>
      <c r="H1177" s="5" t="str">
        <f ca="1">IFERROR(__xludf.DUMMYFUNCTION("""COMPUTED_VALUE"""),"Suicide")</f>
        <v>Suicide</v>
      </c>
    </row>
    <row r="1178" spans="1:8">
      <c r="A1178" s="5" t="str">
        <f ca="1">IFERROR(__xludf.DUMMYFUNCTION("""COMPUTED_VALUE"""),"20120227OHCHC")</f>
        <v>20120227OHCHC</v>
      </c>
      <c r="B1178" s="5">
        <f ca="1">IFERROR(__xludf.DUMMYFUNCTION("""COMPUTED_VALUE"""),17)</f>
        <v>17</v>
      </c>
      <c r="C1178" s="5" t="str">
        <f ca="1">IFERROR(__xludf.DUMMYFUNCTION("""COMPUTED_VALUE"""),"Male")</f>
        <v>Male</v>
      </c>
      <c r="D1178" s="5" t="str">
        <f ca="1">IFERROR(__xludf.DUMMYFUNCTION("""COMPUTED_VALUE"""),"White")</f>
        <v>White</v>
      </c>
      <c r="E1178" s="5" t="str">
        <f ca="1">IFERROR(__xludf.DUMMYFUNCTION("""COMPUTED_VALUE"""),"Student")</f>
        <v>Student</v>
      </c>
      <c r="F1178" s="5" t="str">
        <f ca="1">IFERROR(__xludf.DUMMYFUNCTION("""COMPUTED_VALUE"""),"Surrendered")</f>
        <v>Surrendered</v>
      </c>
      <c r="G1178" s="5" t="str">
        <f ca="1">IFERROR(__xludf.DUMMYFUNCTION("""COMPUTED_VALUE"""),"No")</f>
        <v>No</v>
      </c>
      <c r="H1178" s="5" t="str">
        <f ca="1">IFERROR(__xludf.DUMMYFUNCTION("""COMPUTED_VALUE"""),"None")</f>
        <v>None</v>
      </c>
    </row>
    <row r="1179" spans="1:8">
      <c r="A1179" s="5" t="str">
        <f ca="1">IFERROR(__xludf.DUMMYFUNCTION("""COMPUTED_VALUE"""),"20120222WAARB")</f>
        <v>20120222WAARB</v>
      </c>
      <c r="B1179" s="5">
        <f ca="1">IFERROR(__xludf.DUMMYFUNCTION("""COMPUTED_VALUE"""),10)</f>
        <v>10</v>
      </c>
      <c r="C1179" s="5" t="str">
        <f ca="1">IFERROR(__xludf.DUMMYFUNCTION("""COMPUTED_VALUE"""),"Male")</f>
        <v>Male</v>
      </c>
      <c r="D1179" s="5" t="str">
        <f ca="1">IFERROR(__xludf.DUMMYFUNCTION("""COMPUTED_VALUE"""),"White")</f>
        <v>White</v>
      </c>
      <c r="E1179" s="5" t="str">
        <f ca="1">IFERROR(__xludf.DUMMYFUNCTION("""COMPUTED_VALUE"""),"Student")</f>
        <v>Student</v>
      </c>
      <c r="F1179" s="5" t="str">
        <f ca="1">IFERROR(__xludf.DUMMYFUNCTION("""COMPUTED_VALUE"""),"Surrendered")</f>
        <v>Surrendered</v>
      </c>
      <c r="G1179" s="5" t="str">
        <f ca="1">IFERROR(__xludf.DUMMYFUNCTION("""COMPUTED_VALUE"""),"No")</f>
        <v>No</v>
      </c>
      <c r="H1179" s="5" t="str">
        <f ca="1">IFERROR(__xludf.DUMMYFUNCTION("""COMPUTED_VALUE"""),"None")</f>
        <v>None</v>
      </c>
    </row>
    <row r="1180" spans="1:8">
      <c r="A1180" s="5" t="str">
        <f ca="1">IFERROR(__xludf.DUMMYFUNCTION("""COMPUTED_VALUE"""),"20120210NHWAW")</f>
        <v>20120210NHWAW</v>
      </c>
      <c r="B1180" s="5">
        <f ca="1">IFERROR(__xludf.DUMMYFUNCTION("""COMPUTED_VALUE"""),14)</f>
        <v>14</v>
      </c>
      <c r="C1180" s="5" t="str">
        <f ca="1">IFERROR(__xludf.DUMMYFUNCTION("""COMPUTED_VALUE"""),"Male")</f>
        <v>Male</v>
      </c>
      <c r="D1180" s="5" t="str">
        <f ca="1">IFERROR(__xludf.DUMMYFUNCTION("""COMPUTED_VALUE"""),"White")</f>
        <v>White</v>
      </c>
      <c r="E1180" s="5" t="str">
        <f ca="1">IFERROR(__xludf.DUMMYFUNCTION("""COMPUTED_VALUE"""),"Student")</f>
        <v>Student</v>
      </c>
      <c r="F1180" s="5" t="str">
        <f ca="1">IFERROR(__xludf.DUMMYFUNCTION("""COMPUTED_VALUE"""),"Attempted Suicide")</f>
        <v>Attempted Suicide</v>
      </c>
      <c r="G1180" s="5" t="str">
        <f ca="1">IFERROR(__xludf.DUMMYFUNCTION("""COMPUTED_VALUE"""),"No")</f>
        <v>No</v>
      </c>
      <c r="H1180" s="5" t="str">
        <f ca="1">IFERROR(__xludf.DUMMYFUNCTION("""COMPUTED_VALUE"""),"Wounded")</f>
        <v>Wounded</v>
      </c>
    </row>
    <row r="1181" spans="1:8">
      <c r="A1181" s="5" t="str">
        <f ca="1">IFERROR(__xludf.DUMMYFUNCTION("""COMPUTED_VALUE"""),"20120110TXNOH")</f>
        <v>20120110TXNOH</v>
      </c>
      <c r="B1181" s="5">
        <f ca="1">IFERROR(__xludf.DUMMYFUNCTION("""COMPUTED_VALUE"""),18)</f>
        <v>18</v>
      </c>
      <c r="C1181" s="5" t="str">
        <f ca="1">IFERROR(__xludf.DUMMYFUNCTION("""COMPUTED_VALUE"""),"Male")</f>
        <v>Male</v>
      </c>
      <c r="D1181" s="5" t="str">
        <f ca="1">IFERROR(__xludf.DUMMYFUNCTION("""COMPUTED_VALUE"""),"Black")</f>
        <v>Black</v>
      </c>
      <c r="E1181" s="5" t="str">
        <f ca="1">IFERROR(__xludf.DUMMYFUNCTION("""COMPUTED_VALUE"""),"Student")</f>
        <v>Student</v>
      </c>
      <c r="F1181" s="5" t="str">
        <f ca="1">IFERROR(__xludf.DUMMYFUNCTION("""COMPUTED_VALUE"""),"Subdued by Students/Staff/Other")</f>
        <v>Subdued by Students/Staff/Other</v>
      </c>
      <c r="G1181" s="5" t="str">
        <f ca="1">IFERROR(__xludf.DUMMYFUNCTION("""COMPUTED_VALUE"""),"No")</f>
        <v>No</v>
      </c>
      <c r="H1181" s="5" t="str">
        <f ca="1">IFERROR(__xludf.DUMMYFUNCTION("""COMPUTED_VALUE"""),"None")</f>
        <v>None</v>
      </c>
    </row>
    <row r="1182" spans="1:8">
      <c r="A1182" s="5" t="str">
        <f ca="1">IFERROR(__xludf.DUMMYFUNCTION("""COMPUTED_VALUE"""),"20120104TXCUB")</f>
        <v>20120104TXCUB</v>
      </c>
      <c r="B1182" s="5" t="str">
        <f ca="1">IFERROR(__xludf.DUMMYFUNCTION("""COMPUTED_VALUE"""),"Child")</f>
        <v>Child</v>
      </c>
      <c r="C1182" s="5"/>
      <c r="D1182" s="5"/>
      <c r="E1182" s="5" t="str">
        <f ca="1">IFERROR(__xludf.DUMMYFUNCTION("""COMPUTED_VALUE"""),"Student")</f>
        <v>Student</v>
      </c>
      <c r="F1182" s="5" t="str">
        <f ca="1">IFERROR(__xludf.DUMMYFUNCTION("""COMPUTED_VALUE"""),"Apprehended/Killed by LE")</f>
        <v>Apprehended/Killed by LE</v>
      </c>
      <c r="G1182" s="5" t="str">
        <f ca="1">IFERROR(__xludf.DUMMYFUNCTION("""COMPUTED_VALUE"""),"Yes")</f>
        <v>Yes</v>
      </c>
      <c r="H1182" s="5" t="str">
        <f ca="1">IFERROR(__xludf.DUMMYFUNCTION("""COMPUTED_VALUE"""),"Fatal")</f>
        <v>Fatal</v>
      </c>
    </row>
    <row r="1183" spans="1:8">
      <c r="A1183" s="5" t="str">
        <f ca="1">IFERROR(__xludf.DUMMYFUNCTION("""COMPUTED_VALUE"""),"20111228MINOF")</f>
        <v>20111228MINOF</v>
      </c>
      <c r="B1183" s="5">
        <f ca="1">IFERROR(__xludf.DUMMYFUNCTION("""COMPUTED_VALUE"""),17)</f>
        <v>17</v>
      </c>
      <c r="C1183" s="5" t="str">
        <f ca="1">IFERROR(__xludf.DUMMYFUNCTION("""COMPUTED_VALUE"""),"Male")</f>
        <v>Male</v>
      </c>
      <c r="D1183" s="5" t="str">
        <f ca="1">IFERROR(__xludf.DUMMYFUNCTION("""COMPUTED_VALUE"""),"Black")</f>
        <v>Black</v>
      </c>
      <c r="E1183" s="5" t="str">
        <f ca="1">IFERROR(__xludf.DUMMYFUNCTION("""COMPUTED_VALUE"""),"Unknown")</f>
        <v>Unknown</v>
      </c>
      <c r="F1183" s="5" t="str">
        <f ca="1">IFERROR(__xludf.DUMMYFUNCTION("""COMPUTED_VALUE"""),"Fled/Apprehended")</f>
        <v>Fled/Apprehended</v>
      </c>
      <c r="G1183" s="5" t="str">
        <f ca="1">IFERROR(__xludf.DUMMYFUNCTION("""COMPUTED_VALUE"""),"No")</f>
        <v>No</v>
      </c>
      <c r="H1183" s="5" t="str">
        <f ca="1">IFERROR(__xludf.DUMMYFUNCTION("""COMPUTED_VALUE"""),"None")</f>
        <v>None</v>
      </c>
    </row>
    <row r="1184" spans="1:8">
      <c r="A1184" s="5" t="str">
        <f ca="1">IFERROR(__xludf.DUMMYFUNCTION("""COMPUTED_VALUE"""),"20111228MINOF")</f>
        <v>20111228MINOF</v>
      </c>
      <c r="B1184" s="5">
        <f ca="1">IFERROR(__xludf.DUMMYFUNCTION("""COMPUTED_VALUE"""),17)</f>
        <v>17</v>
      </c>
      <c r="C1184" s="5" t="str">
        <f ca="1">IFERROR(__xludf.DUMMYFUNCTION("""COMPUTED_VALUE"""),"Male")</f>
        <v>Male</v>
      </c>
      <c r="D1184" s="5" t="str">
        <f ca="1">IFERROR(__xludf.DUMMYFUNCTION("""COMPUTED_VALUE"""),"Black")</f>
        <v>Black</v>
      </c>
      <c r="E1184" s="5" t="str">
        <f ca="1">IFERROR(__xludf.DUMMYFUNCTION("""COMPUTED_VALUE"""),"Unknown")</f>
        <v>Unknown</v>
      </c>
      <c r="F1184" s="5" t="str">
        <f ca="1">IFERROR(__xludf.DUMMYFUNCTION("""COMPUTED_VALUE"""),"Fled/Apprehended")</f>
        <v>Fled/Apprehended</v>
      </c>
      <c r="G1184" s="5" t="str">
        <f ca="1">IFERROR(__xludf.DUMMYFUNCTION("""COMPUTED_VALUE"""),"No")</f>
        <v>No</v>
      </c>
      <c r="H1184" s="5" t="str">
        <f ca="1">IFERROR(__xludf.DUMMYFUNCTION("""COMPUTED_VALUE"""),"None")</f>
        <v>None</v>
      </c>
    </row>
    <row r="1185" spans="1:8">
      <c r="A1185" s="5" t="str">
        <f ca="1">IFERROR(__xludf.DUMMYFUNCTION("""COMPUTED_VALUE"""),"20111212TXHAE")</f>
        <v>20111212TXHAE</v>
      </c>
      <c r="B1185" s="5">
        <f ca="1">IFERROR(__xludf.DUMMYFUNCTION("""COMPUTED_VALUE"""),36)</f>
        <v>36</v>
      </c>
      <c r="C1185" s="5" t="str">
        <f ca="1">IFERROR(__xludf.DUMMYFUNCTION("""COMPUTED_VALUE"""),"Male")</f>
        <v>Male</v>
      </c>
      <c r="D1185" s="5" t="str">
        <f ca="1">IFERROR(__xludf.DUMMYFUNCTION("""COMPUTED_VALUE"""),"White")</f>
        <v>White</v>
      </c>
      <c r="E1185" s="5" t="str">
        <f ca="1">IFERROR(__xludf.DUMMYFUNCTION("""COMPUTED_VALUE"""),"No Relation")</f>
        <v>No Relation</v>
      </c>
      <c r="F1185" s="5" t="str">
        <f ca="1">IFERROR(__xludf.DUMMYFUNCTION("""COMPUTED_VALUE"""),"Surrendered")</f>
        <v>Surrendered</v>
      </c>
      <c r="G1185" s="5" t="str">
        <f ca="1">IFERROR(__xludf.DUMMYFUNCTION("""COMPUTED_VALUE"""),"No")</f>
        <v>No</v>
      </c>
      <c r="H1185" s="5" t="str">
        <f ca="1">IFERROR(__xludf.DUMMYFUNCTION("""COMPUTED_VALUE"""),"None")</f>
        <v>None</v>
      </c>
    </row>
    <row r="1186" spans="1:8">
      <c r="A1186" s="5" t="str">
        <f ca="1">IFERROR(__xludf.DUMMYFUNCTION("""COMPUTED_VALUE"""),"20111024NCCAF")</f>
        <v>20111024NCCAF</v>
      </c>
      <c r="B1186" s="5">
        <f ca="1">IFERROR(__xludf.DUMMYFUNCTION("""COMPUTED_VALUE"""),15)</f>
        <v>15</v>
      </c>
      <c r="C1186" s="5" t="str">
        <f ca="1">IFERROR(__xludf.DUMMYFUNCTION("""COMPUTED_VALUE"""),"Male")</f>
        <v>Male</v>
      </c>
      <c r="D1186" s="5" t="str">
        <f ca="1">IFERROR(__xludf.DUMMYFUNCTION("""COMPUTED_VALUE"""),"Black")</f>
        <v>Black</v>
      </c>
      <c r="E1186" s="5" t="str">
        <f ca="1">IFERROR(__xludf.DUMMYFUNCTION("""COMPUTED_VALUE"""),"Student")</f>
        <v>Student</v>
      </c>
      <c r="F1186" s="5" t="str">
        <f ca="1">IFERROR(__xludf.DUMMYFUNCTION("""COMPUTED_VALUE"""),"Fled/Apprehended")</f>
        <v>Fled/Apprehended</v>
      </c>
      <c r="G1186" s="5" t="str">
        <f ca="1">IFERROR(__xludf.DUMMYFUNCTION("""COMPUTED_VALUE"""),"No")</f>
        <v>No</v>
      </c>
      <c r="H1186" s="5" t="str">
        <f ca="1">IFERROR(__xludf.DUMMYFUNCTION("""COMPUTED_VALUE"""),"None")</f>
        <v>None</v>
      </c>
    </row>
    <row r="1187" spans="1:8">
      <c r="A1187" s="5" t="str">
        <f ca="1">IFERROR(__xludf.DUMMYFUNCTION("""COMPUTED_VALUE"""),"20110930ORWIP")</f>
        <v>20110930ORWIP</v>
      </c>
      <c r="B1187" s="5">
        <f ca="1">IFERROR(__xludf.DUMMYFUNCTION("""COMPUTED_VALUE"""),20)</f>
        <v>20</v>
      </c>
      <c r="C1187" s="5" t="str">
        <f ca="1">IFERROR(__xludf.DUMMYFUNCTION("""COMPUTED_VALUE"""),"Male")</f>
        <v>Male</v>
      </c>
      <c r="D1187" s="5" t="str">
        <f ca="1">IFERROR(__xludf.DUMMYFUNCTION("""COMPUTED_VALUE"""),"White")</f>
        <v>White</v>
      </c>
      <c r="E1187" s="5" t="str">
        <f ca="1">IFERROR(__xludf.DUMMYFUNCTION("""COMPUTED_VALUE"""),"Unknown")</f>
        <v>Unknown</v>
      </c>
      <c r="F1187" s="5" t="str">
        <f ca="1">IFERROR(__xludf.DUMMYFUNCTION("""COMPUTED_VALUE"""),"Fled/Apprehended")</f>
        <v>Fled/Apprehended</v>
      </c>
      <c r="G1187" s="5" t="str">
        <f ca="1">IFERROR(__xludf.DUMMYFUNCTION("""COMPUTED_VALUE"""),"No")</f>
        <v>No</v>
      </c>
      <c r="H1187" s="5" t="str">
        <f ca="1">IFERROR(__xludf.DUMMYFUNCTION("""COMPUTED_VALUE"""),"None")</f>
        <v>None</v>
      </c>
    </row>
    <row r="1188" spans="1:8">
      <c r="A1188" s="5" t="str">
        <f ca="1">IFERROR(__xludf.DUMMYFUNCTION("""COMPUTED_VALUE"""),"20110930ORWIP")</f>
        <v>20110930ORWIP</v>
      </c>
      <c r="B1188" s="5">
        <f ca="1">IFERROR(__xludf.DUMMYFUNCTION("""COMPUTED_VALUE"""),20)</f>
        <v>20</v>
      </c>
      <c r="C1188" s="5" t="str">
        <f ca="1">IFERROR(__xludf.DUMMYFUNCTION("""COMPUTED_VALUE"""),"Male")</f>
        <v>Male</v>
      </c>
      <c r="D1188" s="5" t="str">
        <f ca="1">IFERROR(__xludf.DUMMYFUNCTION("""COMPUTED_VALUE"""),"White")</f>
        <v>White</v>
      </c>
      <c r="E1188" s="5" t="str">
        <f ca="1">IFERROR(__xludf.DUMMYFUNCTION("""COMPUTED_VALUE"""),"Unknown")</f>
        <v>Unknown</v>
      </c>
      <c r="F1188" s="5" t="str">
        <f ca="1">IFERROR(__xludf.DUMMYFUNCTION("""COMPUTED_VALUE"""),"Fled/Apprehended")</f>
        <v>Fled/Apprehended</v>
      </c>
      <c r="G1188" s="5" t="str">
        <f ca="1">IFERROR(__xludf.DUMMYFUNCTION("""COMPUTED_VALUE"""),"No")</f>
        <v>No</v>
      </c>
      <c r="H1188" s="5" t="str">
        <f ca="1">IFERROR(__xludf.DUMMYFUNCTION("""COMPUTED_VALUE"""),"None")</f>
        <v>None</v>
      </c>
    </row>
    <row r="1189" spans="1:8">
      <c r="A1189" s="5" t="str">
        <f ca="1">IFERROR(__xludf.DUMMYFUNCTION("""COMPUTED_VALUE"""),"20110930NCGAC")</f>
        <v>20110930NCGAC</v>
      </c>
      <c r="B1189" s="5"/>
      <c r="C1189" s="5" t="str">
        <f ca="1">IFERROR(__xludf.DUMMYFUNCTION("""COMPUTED_VALUE"""),"Male")</f>
        <v>Male</v>
      </c>
      <c r="D1189" s="5"/>
      <c r="E1189" s="5" t="str">
        <f ca="1">IFERROR(__xludf.DUMMYFUNCTION("""COMPUTED_VALUE"""),"Unknown")</f>
        <v>Unknown</v>
      </c>
      <c r="F1189" s="5" t="str">
        <f ca="1">IFERROR(__xludf.DUMMYFUNCTION("""COMPUTED_VALUE"""),"Fled/Escaped")</f>
        <v>Fled/Escaped</v>
      </c>
      <c r="G1189" s="5" t="str">
        <f ca="1">IFERROR(__xludf.DUMMYFUNCTION("""COMPUTED_VALUE"""),"No")</f>
        <v>No</v>
      </c>
      <c r="H1189" s="5" t="str">
        <f ca="1">IFERROR(__xludf.DUMMYFUNCTION("""COMPUTED_VALUE"""),"None")</f>
        <v>None</v>
      </c>
    </row>
    <row r="1190" spans="1:8">
      <c r="A1190" s="5" t="str">
        <f ca="1">IFERROR(__xludf.DUMMYFUNCTION("""COMPUTED_VALUE"""),"20110923WAISS")</f>
        <v>20110923WAISS</v>
      </c>
      <c r="B1190" s="5">
        <f ca="1">IFERROR(__xludf.DUMMYFUNCTION("""COMPUTED_VALUE"""),51)</f>
        <v>51</v>
      </c>
      <c r="C1190" s="5" t="str">
        <f ca="1">IFERROR(__xludf.DUMMYFUNCTION("""COMPUTED_VALUE"""),"Male")</f>
        <v>Male</v>
      </c>
      <c r="D1190" s="5"/>
      <c r="E1190" s="5" t="str">
        <f ca="1">IFERROR(__xludf.DUMMYFUNCTION("""COMPUTED_VALUE"""),"No Relation")</f>
        <v>No Relation</v>
      </c>
      <c r="F1190" s="5" t="str">
        <f ca="1">IFERROR(__xludf.DUMMYFUNCTION("""COMPUTED_VALUE"""),"Apprehended/Killed by LE")</f>
        <v>Apprehended/Killed by LE</v>
      </c>
      <c r="G1190" s="5" t="str">
        <f ca="1">IFERROR(__xludf.DUMMYFUNCTION("""COMPUTED_VALUE"""),"Yes")</f>
        <v>Yes</v>
      </c>
      <c r="H1190" s="5" t="str">
        <f ca="1">IFERROR(__xludf.DUMMYFUNCTION("""COMPUTED_VALUE"""),"Fatal")</f>
        <v>Fatal</v>
      </c>
    </row>
    <row r="1191" spans="1:8">
      <c r="A1191" s="5" t="str">
        <f ca="1">IFERROR(__xludf.DUMMYFUNCTION("""COMPUTED_VALUE"""),"20110523HIHIP")</f>
        <v>20110523HIHIP</v>
      </c>
      <c r="B1191" s="5">
        <f ca="1">IFERROR(__xludf.DUMMYFUNCTION("""COMPUTED_VALUE"""),14)</f>
        <v>14</v>
      </c>
      <c r="C1191" s="5" t="str">
        <f ca="1">IFERROR(__xludf.DUMMYFUNCTION("""COMPUTED_VALUE"""),"Male")</f>
        <v>Male</v>
      </c>
      <c r="D1191" s="5" t="str">
        <f ca="1">IFERROR(__xludf.DUMMYFUNCTION("""COMPUTED_VALUE"""),"Hawaiian/Pacific Islander")</f>
        <v>Hawaiian/Pacific Islander</v>
      </c>
      <c r="E1191" s="5" t="str">
        <f ca="1">IFERROR(__xludf.DUMMYFUNCTION("""COMPUTED_VALUE"""),"Student")</f>
        <v>Student</v>
      </c>
      <c r="F1191" s="5" t="str">
        <f ca="1">IFERROR(__xludf.DUMMYFUNCTION("""COMPUTED_VALUE"""),"Surrendered")</f>
        <v>Surrendered</v>
      </c>
      <c r="G1191" s="5" t="str">
        <f ca="1">IFERROR(__xludf.DUMMYFUNCTION("""COMPUTED_VALUE"""),"No")</f>
        <v>No</v>
      </c>
      <c r="H1191" s="5" t="str">
        <f ca="1">IFERROR(__xludf.DUMMYFUNCTION("""COMPUTED_VALUE"""),"None")</f>
        <v>None</v>
      </c>
    </row>
    <row r="1192" spans="1:8">
      <c r="A1192" s="5" t="str">
        <f ca="1">IFERROR(__xludf.DUMMYFUNCTION("""COMPUTED_VALUE"""),"20110517WAHOE")</f>
        <v>20110517WAHOE</v>
      </c>
      <c r="B1192" s="5">
        <f ca="1">IFERROR(__xludf.DUMMYFUNCTION("""COMPUTED_VALUE"""),16)</f>
        <v>16</v>
      </c>
      <c r="C1192" s="5" t="str">
        <f ca="1">IFERROR(__xludf.DUMMYFUNCTION("""COMPUTED_VALUE"""),"Male")</f>
        <v>Male</v>
      </c>
      <c r="D1192" s="5"/>
      <c r="E1192" s="5" t="str">
        <f ca="1">IFERROR(__xludf.DUMMYFUNCTION("""COMPUTED_VALUE"""),"Unknown")</f>
        <v>Unknown</v>
      </c>
      <c r="F1192" s="5" t="str">
        <f ca="1">IFERROR(__xludf.DUMMYFUNCTION("""COMPUTED_VALUE"""),"Fled/Apprehended")</f>
        <v>Fled/Apprehended</v>
      </c>
      <c r="G1192" s="5" t="str">
        <f ca="1">IFERROR(__xludf.DUMMYFUNCTION("""COMPUTED_VALUE"""),"No")</f>
        <v>No</v>
      </c>
      <c r="H1192" s="5" t="str">
        <f ca="1">IFERROR(__xludf.DUMMYFUNCTION("""COMPUTED_VALUE"""),"None")</f>
        <v>None</v>
      </c>
    </row>
    <row r="1193" spans="1:8">
      <c r="A1193" s="5" t="str">
        <f ca="1">IFERROR(__xludf.DUMMYFUNCTION("""COMPUTED_VALUE"""),"20110419TXBEH")</f>
        <v>20110419TXBEH</v>
      </c>
      <c r="B1193" s="5">
        <f ca="1">IFERROR(__xludf.DUMMYFUNCTION("""COMPUTED_VALUE"""),6)</f>
        <v>6</v>
      </c>
      <c r="C1193" s="5" t="str">
        <f ca="1">IFERROR(__xludf.DUMMYFUNCTION("""COMPUTED_VALUE"""),"Male")</f>
        <v>Male</v>
      </c>
      <c r="D1193" s="5"/>
      <c r="E1193" s="5" t="str">
        <f ca="1">IFERROR(__xludf.DUMMYFUNCTION("""COMPUTED_VALUE"""),"Student")</f>
        <v>Student</v>
      </c>
      <c r="F1193" s="5" t="str">
        <f ca="1">IFERROR(__xludf.DUMMYFUNCTION("""COMPUTED_VALUE"""),"Unknown")</f>
        <v>Unknown</v>
      </c>
      <c r="G1193" s="5" t="str">
        <f ca="1">IFERROR(__xludf.DUMMYFUNCTION("""COMPUTED_VALUE"""),"No")</f>
        <v>No</v>
      </c>
      <c r="H1193" s="5" t="str">
        <f ca="1">IFERROR(__xludf.DUMMYFUNCTION("""COMPUTED_VALUE"""),"None")</f>
        <v>None</v>
      </c>
    </row>
    <row r="1194" spans="1:8">
      <c r="A1194" s="5" t="str">
        <f ca="1">IFERROR(__xludf.DUMMYFUNCTION("""COMPUTED_VALUE"""),"20110413FLSHA")</f>
        <v>20110413FLSHA</v>
      </c>
      <c r="B1194" s="5">
        <f ca="1">IFERROR(__xludf.DUMMYFUNCTION("""COMPUTED_VALUE"""),17)</f>
        <v>17</v>
      </c>
      <c r="C1194" s="5" t="str">
        <f ca="1">IFERROR(__xludf.DUMMYFUNCTION("""COMPUTED_VALUE"""),"Male")</f>
        <v>Male</v>
      </c>
      <c r="D1194" s="5"/>
      <c r="E1194" s="5" t="str">
        <f ca="1">IFERROR(__xludf.DUMMYFUNCTION("""COMPUTED_VALUE"""),"Unknown")</f>
        <v>Unknown</v>
      </c>
      <c r="F1194" s="5" t="str">
        <f ca="1">IFERROR(__xludf.DUMMYFUNCTION("""COMPUTED_VALUE"""),"Fled/Apprehended")</f>
        <v>Fled/Apprehended</v>
      </c>
      <c r="G1194" s="5" t="str">
        <f ca="1">IFERROR(__xludf.DUMMYFUNCTION("""COMPUTED_VALUE"""),"No")</f>
        <v>No</v>
      </c>
      <c r="H1194" s="5" t="str">
        <f ca="1">IFERROR(__xludf.DUMMYFUNCTION("""COMPUTED_VALUE"""),"None")</f>
        <v>None</v>
      </c>
    </row>
    <row r="1195" spans="1:8">
      <c r="A1195" s="5" t="str">
        <f ca="1">IFERROR(__xludf.DUMMYFUNCTION("""COMPUTED_VALUE"""),"20110330TXWOH")</f>
        <v>20110330TXWOH</v>
      </c>
      <c r="B1195" s="5" t="str">
        <f ca="1">IFERROR(__xludf.DUMMYFUNCTION("""COMPUTED_VALUE"""),"Teen")</f>
        <v>Teen</v>
      </c>
      <c r="C1195" s="5" t="str">
        <f ca="1">IFERROR(__xludf.DUMMYFUNCTION("""COMPUTED_VALUE"""),"Male")</f>
        <v>Male</v>
      </c>
      <c r="D1195" s="5" t="str">
        <f ca="1">IFERROR(__xludf.DUMMYFUNCTION("""COMPUTED_VALUE"""),"Black")</f>
        <v>Black</v>
      </c>
      <c r="E1195" s="5" t="str">
        <f ca="1">IFERROR(__xludf.DUMMYFUNCTION("""COMPUTED_VALUE"""),"Rival School Student")</f>
        <v>Rival School Student</v>
      </c>
      <c r="F1195" s="5" t="str">
        <f ca="1">IFERROR(__xludf.DUMMYFUNCTION("""COMPUTED_VALUE"""),"Fled/Escaped")</f>
        <v>Fled/Escaped</v>
      </c>
      <c r="G1195" s="5" t="str">
        <f ca="1">IFERROR(__xludf.DUMMYFUNCTION("""COMPUTED_VALUE"""),"No")</f>
        <v>No</v>
      </c>
      <c r="H1195" s="5" t="str">
        <f ca="1">IFERROR(__xludf.DUMMYFUNCTION("""COMPUTED_VALUE"""),"Wounded")</f>
        <v>Wounded</v>
      </c>
    </row>
    <row r="1196" spans="1:8">
      <c r="A1196" s="5" t="str">
        <f ca="1">IFERROR(__xludf.DUMMYFUNCTION("""COMPUTED_VALUE"""),"20110330TXWOH")</f>
        <v>20110330TXWOH</v>
      </c>
      <c r="B1196" s="5" t="str">
        <f ca="1">IFERROR(__xludf.DUMMYFUNCTION("""COMPUTED_VALUE"""),"Teen")</f>
        <v>Teen</v>
      </c>
      <c r="C1196" s="5" t="str">
        <f ca="1">IFERROR(__xludf.DUMMYFUNCTION("""COMPUTED_VALUE"""),"Male")</f>
        <v>Male</v>
      </c>
      <c r="D1196" s="5" t="str">
        <f ca="1">IFERROR(__xludf.DUMMYFUNCTION("""COMPUTED_VALUE"""),"Black")</f>
        <v>Black</v>
      </c>
      <c r="E1196" s="5" t="str">
        <f ca="1">IFERROR(__xludf.DUMMYFUNCTION("""COMPUTED_VALUE"""),"Rival School Student")</f>
        <v>Rival School Student</v>
      </c>
      <c r="F1196" s="5" t="str">
        <f ca="1">IFERROR(__xludf.DUMMYFUNCTION("""COMPUTED_VALUE"""),"Fled/Escaped")</f>
        <v>Fled/Escaped</v>
      </c>
      <c r="G1196" s="5" t="str">
        <f ca="1">IFERROR(__xludf.DUMMYFUNCTION("""COMPUTED_VALUE"""),"No")</f>
        <v>No</v>
      </c>
      <c r="H1196" s="5" t="str">
        <f ca="1">IFERROR(__xludf.DUMMYFUNCTION("""COMPUTED_VALUE"""),"Wounded")</f>
        <v>Wounded</v>
      </c>
    </row>
    <row r="1197" spans="1:8">
      <c r="A1197" s="5" t="str">
        <f ca="1">IFERROR(__xludf.DUMMYFUNCTION("""COMPUTED_VALUE"""),"20110330TXWOH")</f>
        <v>20110330TXWOH</v>
      </c>
      <c r="B1197" s="5"/>
      <c r="C1197" s="5" t="str">
        <f ca="1">IFERROR(__xludf.DUMMYFUNCTION("""COMPUTED_VALUE"""),"Male")</f>
        <v>Male</v>
      </c>
      <c r="D1197" s="5" t="str">
        <f ca="1">IFERROR(__xludf.DUMMYFUNCTION("""COMPUTED_VALUE"""),"Black")</f>
        <v>Black</v>
      </c>
      <c r="E1197" s="5" t="str">
        <f ca="1">IFERROR(__xludf.DUMMYFUNCTION("""COMPUTED_VALUE"""),"Unknown")</f>
        <v>Unknown</v>
      </c>
      <c r="F1197" s="5" t="str">
        <f ca="1">IFERROR(__xludf.DUMMYFUNCTION("""COMPUTED_VALUE"""),"Fled/Escaped")</f>
        <v>Fled/Escaped</v>
      </c>
      <c r="G1197" s="5" t="str">
        <f ca="1">IFERROR(__xludf.DUMMYFUNCTION("""COMPUTED_VALUE"""),"No")</f>
        <v>No</v>
      </c>
      <c r="H1197" s="5" t="str">
        <f ca="1">IFERROR(__xludf.DUMMYFUNCTION("""COMPUTED_VALUE"""),"None")</f>
        <v>None</v>
      </c>
    </row>
    <row r="1198" spans="1:8">
      <c r="A1198" s="5" t="str">
        <f ca="1">IFERROR(__xludf.DUMMYFUNCTION("""COMPUTED_VALUE"""),"20110325INMAM")</f>
        <v>20110325INMAM</v>
      </c>
      <c r="B1198" s="5">
        <f ca="1">IFERROR(__xludf.DUMMYFUNCTION("""COMPUTED_VALUE"""),16)</f>
        <v>16</v>
      </c>
      <c r="C1198" s="5" t="str">
        <f ca="1">IFERROR(__xludf.DUMMYFUNCTION("""COMPUTED_VALUE"""),"Male")</f>
        <v>Male</v>
      </c>
      <c r="D1198" s="5" t="str">
        <f ca="1">IFERROR(__xludf.DUMMYFUNCTION("""COMPUTED_VALUE"""),"White")</f>
        <v>White</v>
      </c>
      <c r="E1198" s="5" t="str">
        <f ca="1">IFERROR(__xludf.DUMMYFUNCTION("""COMPUTED_VALUE"""),"Former Student")</f>
        <v>Former Student</v>
      </c>
      <c r="F1198" s="5" t="str">
        <f ca="1">IFERROR(__xludf.DUMMYFUNCTION("""COMPUTED_VALUE"""),"Fled/Apprehended")</f>
        <v>Fled/Apprehended</v>
      </c>
      <c r="G1198" s="5" t="str">
        <f ca="1">IFERROR(__xludf.DUMMYFUNCTION("""COMPUTED_VALUE"""),"No")</f>
        <v>No</v>
      </c>
      <c r="H1198" s="5" t="str">
        <f ca="1">IFERROR(__xludf.DUMMYFUNCTION("""COMPUTED_VALUE"""),"None")</f>
        <v>None</v>
      </c>
    </row>
    <row r="1199" spans="1:8">
      <c r="A1199" s="5" t="str">
        <f ca="1">IFERROR(__xludf.DUMMYFUNCTION("""COMPUTED_VALUE"""),"20110202CALOP")</f>
        <v>20110202CALOP</v>
      </c>
      <c r="B1199" s="5">
        <f ca="1">IFERROR(__xludf.DUMMYFUNCTION("""COMPUTED_VALUE"""),44)</f>
        <v>44</v>
      </c>
      <c r="C1199" s="5" t="str">
        <f ca="1">IFERROR(__xludf.DUMMYFUNCTION("""COMPUTED_VALUE"""),"Male")</f>
        <v>Male</v>
      </c>
      <c r="D1199" s="5" t="str">
        <f ca="1">IFERROR(__xludf.DUMMYFUNCTION("""COMPUTED_VALUE"""),"White")</f>
        <v>White</v>
      </c>
      <c r="E1199" s="5" t="str">
        <f ca="1">IFERROR(__xludf.DUMMYFUNCTION("""COMPUTED_VALUE"""),"Other Staff")</f>
        <v>Other Staff</v>
      </c>
      <c r="F1199" s="5" t="str">
        <f ca="1">IFERROR(__xludf.DUMMYFUNCTION("""COMPUTED_VALUE"""),"Fled/Apprehended")</f>
        <v>Fled/Apprehended</v>
      </c>
      <c r="G1199" s="5" t="str">
        <f ca="1">IFERROR(__xludf.DUMMYFUNCTION("""COMPUTED_VALUE"""),"No")</f>
        <v>No</v>
      </c>
      <c r="H1199" s="5" t="str">
        <f ca="1">IFERROR(__xludf.DUMMYFUNCTION("""COMPUTED_VALUE"""),"None")</f>
        <v>None</v>
      </c>
    </row>
    <row r="1200" spans="1:8">
      <c r="A1200" s="5" t="str">
        <f ca="1">IFERROR(__xludf.DUMMYFUNCTION("""COMPUTED_VALUE"""),"20110118CAGAL")</f>
        <v>20110118CAGAL</v>
      </c>
      <c r="B1200" s="5">
        <f ca="1">IFERROR(__xludf.DUMMYFUNCTION("""COMPUTED_VALUE"""),17)</f>
        <v>17</v>
      </c>
      <c r="C1200" s="5" t="str">
        <f ca="1">IFERROR(__xludf.DUMMYFUNCTION("""COMPUTED_VALUE"""),"Male")</f>
        <v>Male</v>
      </c>
      <c r="D1200" s="5" t="str">
        <f ca="1">IFERROR(__xludf.DUMMYFUNCTION("""COMPUTED_VALUE"""),"Black")</f>
        <v>Black</v>
      </c>
      <c r="E1200" s="5" t="str">
        <f ca="1">IFERROR(__xludf.DUMMYFUNCTION("""COMPUTED_VALUE"""),"Student")</f>
        <v>Student</v>
      </c>
      <c r="F1200" s="5" t="str">
        <f ca="1">IFERROR(__xludf.DUMMYFUNCTION("""COMPUTED_VALUE"""),"Surrendered")</f>
        <v>Surrendered</v>
      </c>
      <c r="G1200" s="5" t="str">
        <f ca="1">IFERROR(__xludf.DUMMYFUNCTION("""COMPUTED_VALUE"""),"No")</f>
        <v>No</v>
      </c>
      <c r="H1200" s="5" t="str">
        <f ca="1">IFERROR(__xludf.DUMMYFUNCTION("""COMPUTED_VALUE"""),"None")</f>
        <v>None</v>
      </c>
    </row>
    <row r="1201" spans="1:8">
      <c r="A1201" s="5" t="str">
        <f ca="1">IFERROR(__xludf.DUMMYFUNCTION("""COMPUTED_VALUE"""),"20110105NEMIO")</f>
        <v>20110105NEMIO</v>
      </c>
      <c r="B1201" s="5">
        <f ca="1">IFERROR(__xludf.DUMMYFUNCTION("""COMPUTED_VALUE"""),17)</f>
        <v>17</v>
      </c>
      <c r="C1201" s="5" t="str">
        <f ca="1">IFERROR(__xludf.DUMMYFUNCTION("""COMPUTED_VALUE"""),"Male")</f>
        <v>Male</v>
      </c>
      <c r="D1201" s="5" t="str">
        <f ca="1">IFERROR(__xludf.DUMMYFUNCTION("""COMPUTED_VALUE"""),"Other")</f>
        <v>Other</v>
      </c>
      <c r="E1201" s="5" t="str">
        <f ca="1">IFERROR(__xludf.DUMMYFUNCTION("""COMPUTED_VALUE"""),"Student")</f>
        <v>Student</v>
      </c>
      <c r="F1201" s="5" t="str">
        <f ca="1">IFERROR(__xludf.DUMMYFUNCTION("""COMPUTED_VALUE"""),"Fled/Escaped")</f>
        <v>Fled/Escaped</v>
      </c>
      <c r="G1201" s="5" t="str">
        <f ca="1">IFERROR(__xludf.DUMMYFUNCTION("""COMPUTED_VALUE"""),"Yes")</f>
        <v>Yes</v>
      </c>
      <c r="H1201" s="5" t="str">
        <f ca="1">IFERROR(__xludf.DUMMYFUNCTION("""COMPUTED_VALUE"""),"Suicide")</f>
        <v>Suicide</v>
      </c>
    </row>
    <row r="1202" spans="1:8">
      <c r="A1202" s="5" t="str">
        <f ca="1">IFERROR(__xludf.DUMMYFUNCTION("""COMPUTED_VALUE"""),"20110104INCRC")</f>
        <v>20110104INCRC</v>
      </c>
      <c r="B1202" s="5"/>
      <c r="C1202" s="5"/>
      <c r="D1202" s="5"/>
      <c r="E1202" s="5" t="str">
        <f ca="1">IFERROR(__xludf.DUMMYFUNCTION("""COMPUTED_VALUE"""),"Unknown")</f>
        <v>Unknown</v>
      </c>
      <c r="F1202" s="5" t="str">
        <f ca="1">IFERROR(__xludf.DUMMYFUNCTION("""COMPUTED_VALUE"""),"Fled/Escaped")</f>
        <v>Fled/Escaped</v>
      </c>
      <c r="G1202" s="5" t="str">
        <f ca="1">IFERROR(__xludf.DUMMYFUNCTION("""COMPUTED_VALUE"""),"No")</f>
        <v>No</v>
      </c>
      <c r="H1202" s="5" t="str">
        <f ca="1">IFERROR(__xludf.DUMMYFUNCTION("""COMPUTED_VALUE"""),"None")</f>
        <v>None</v>
      </c>
    </row>
    <row r="1203" spans="1:8">
      <c r="A1203" s="5" t="str">
        <f ca="1">IFERROR(__xludf.DUMMYFUNCTION("""COMPUTED_VALUE"""),"20101206COAUA")</f>
        <v>20101206COAUA</v>
      </c>
      <c r="B1203" s="5">
        <f ca="1">IFERROR(__xludf.DUMMYFUNCTION("""COMPUTED_VALUE"""),23)</f>
        <v>23</v>
      </c>
      <c r="C1203" s="5" t="str">
        <f ca="1">IFERROR(__xludf.DUMMYFUNCTION("""COMPUTED_VALUE"""),"Male")</f>
        <v>Male</v>
      </c>
      <c r="D1203" s="5" t="str">
        <f ca="1">IFERROR(__xludf.DUMMYFUNCTION("""COMPUTED_VALUE"""),"White")</f>
        <v>White</v>
      </c>
      <c r="E1203" s="5" t="str">
        <f ca="1">IFERROR(__xludf.DUMMYFUNCTION("""COMPUTED_VALUE"""),"Former Student")</f>
        <v>Former Student</v>
      </c>
      <c r="F1203" s="5" t="str">
        <f ca="1">IFERROR(__xludf.DUMMYFUNCTION("""COMPUTED_VALUE"""),"Fled/Apprehended")</f>
        <v>Fled/Apprehended</v>
      </c>
      <c r="G1203" s="5" t="str">
        <f ca="1">IFERROR(__xludf.DUMMYFUNCTION("""COMPUTED_VALUE"""),"No")</f>
        <v>No</v>
      </c>
      <c r="H1203" s="5" t="str">
        <f ca="1">IFERROR(__xludf.DUMMYFUNCTION("""COMPUTED_VALUE"""),"None")</f>
        <v>None</v>
      </c>
    </row>
    <row r="1204" spans="1:8">
      <c r="A1204" s="5" t="str">
        <f ca="1">IFERROR(__xludf.DUMMYFUNCTION("""COMPUTED_VALUE"""),"20101129WIMAM")</f>
        <v>20101129WIMAM</v>
      </c>
      <c r="B1204" s="5">
        <f ca="1">IFERROR(__xludf.DUMMYFUNCTION("""COMPUTED_VALUE"""),15)</f>
        <v>15</v>
      </c>
      <c r="C1204" s="5" t="str">
        <f ca="1">IFERROR(__xludf.DUMMYFUNCTION("""COMPUTED_VALUE"""),"Male")</f>
        <v>Male</v>
      </c>
      <c r="D1204" s="5" t="str">
        <f ca="1">IFERROR(__xludf.DUMMYFUNCTION("""COMPUTED_VALUE"""),"White")</f>
        <v>White</v>
      </c>
      <c r="E1204" s="5" t="str">
        <f ca="1">IFERROR(__xludf.DUMMYFUNCTION("""COMPUTED_VALUE"""),"Student")</f>
        <v>Student</v>
      </c>
      <c r="F1204" s="5" t="str">
        <f ca="1">IFERROR(__xludf.DUMMYFUNCTION("""COMPUTED_VALUE"""),"Suicide")</f>
        <v>Suicide</v>
      </c>
      <c r="G1204" s="5" t="str">
        <f ca="1">IFERROR(__xludf.DUMMYFUNCTION("""COMPUTED_VALUE"""),"Yes")</f>
        <v>Yes</v>
      </c>
      <c r="H1204" s="5" t="str">
        <f ca="1">IFERROR(__xludf.DUMMYFUNCTION("""COMPUTED_VALUE"""),"Suicide")</f>
        <v>Suicide</v>
      </c>
    </row>
    <row r="1205" spans="1:8">
      <c r="A1205" s="5" t="str">
        <f ca="1">IFERROR(__xludf.DUMMYFUNCTION("""COMPUTED_VALUE"""),"20101023KSTOT")</f>
        <v>20101023KSTOT</v>
      </c>
      <c r="B1205" s="5">
        <f ca="1">IFERROR(__xludf.DUMMYFUNCTION("""COMPUTED_VALUE"""),19)</f>
        <v>19</v>
      </c>
      <c r="C1205" s="5" t="str">
        <f ca="1">IFERROR(__xludf.DUMMYFUNCTION("""COMPUTED_VALUE"""),"Male")</f>
        <v>Male</v>
      </c>
      <c r="D1205" s="5" t="str">
        <f ca="1">IFERROR(__xludf.DUMMYFUNCTION("""COMPUTED_VALUE"""),"White")</f>
        <v>White</v>
      </c>
      <c r="E1205" s="5" t="str">
        <f ca="1">IFERROR(__xludf.DUMMYFUNCTION("""COMPUTED_VALUE"""),"No Relation")</f>
        <v>No Relation</v>
      </c>
      <c r="F1205" s="5" t="str">
        <f ca="1">IFERROR(__xludf.DUMMYFUNCTION("""COMPUTED_VALUE"""),"Fled/Apprehended")</f>
        <v>Fled/Apprehended</v>
      </c>
      <c r="G1205" s="5" t="str">
        <f ca="1">IFERROR(__xludf.DUMMYFUNCTION("""COMPUTED_VALUE"""),"No")</f>
        <v>No</v>
      </c>
      <c r="H1205" s="5" t="str">
        <f ca="1">IFERROR(__xludf.DUMMYFUNCTION("""COMPUTED_VALUE"""),"None")</f>
        <v>None</v>
      </c>
    </row>
    <row r="1206" spans="1:8">
      <c r="A1206" s="5" t="str">
        <f ca="1">IFERROR(__xludf.DUMMYFUNCTION("""COMPUTED_VALUE"""),"20101023KSTOT")</f>
        <v>20101023KSTOT</v>
      </c>
      <c r="B1206" s="5">
        <f ca="1">IFERROR(__xludf.DUMMYFUNCTION("""COMPUTED_VALUE"""),21)</f>
        <v>21</v>
      </c>
      <c r="C1206" s="5" t="str">
        <f ca="1">IFERROR(__xludf.DUMMYFUNCTION("""COMPUTED_VALUE"""),"Male")</f>
        <v>Male</v>
      </c>
      <c r="D1206" s="5" t="str">
        <f ca="1">IFERROR(__xludf.DUMMYFUNCTION("""COMPUTED_VALUE"""),"White")</f>
        <v>White</v>
      </c>
      <c r="E1206" s="5" t="str">
        <f ca="1">IFERROR(__xludf.DUMMYFUNCTION("""COMPUTED_VALUE"""),"No Relation")</f>
        <v>No Relation</v>
      </c>
      <c r="F1206" s="5" t="str">
        <f ca="1">IFERROR(__xludf.DUMMYFUNCTION("""COMPUTED_VALUE"""),"Fled/Apprehended")</f>
        <v>Fled/Apprehended</v>
      </c>
      <c r="G1206" s="5" t="str">
        <f ca="1">IFERROR(__xludf.DUMMYFUNCTION("""COMPUTED_VALUE"""),"No")</f>
        <v>No</v>
      </c>
      <c r="H1206" s="5" t="str">
        <f ca="1">IFERROR(__xludf.DUMMYFUNCTION("""COMPUTED_VALUE"""),"None")</f>
        <v>None</v>
      </c>
    </row>
    <row r="1207" spans="1:8">
      <c r="A1207" s="5" t="str">
        <f ca="1">IFERROR(__xludf.DUMMYFUNCTION("""COMPUTED_VALUE"""),"20101008CAKEC")</f>
        <v>20101008CAKEC</v>
      </c>
      <c r="B1207" s="5">
        <f ca="1">IFERROR(__xludf.DUMMYFUNCTION("""COMPUTED_VALUE"""),41)</f>
        <v>41</v>
      </c>
      <c r="C1207" s="5" t="str">
        <f ca="1">IFERROR(__xludf.DUMMYFUNCTION("""COMPUTED_VALUE"""),"Male")</f>
        <v>Male</v>
      </c>
      <c r="D1207" s="5" t="str">
        <f ca="1">IFERROR(__xludf.DUMMYFUNCTION("""COMPUTED_VALUE"""),"White")</f>
        <v>White</v>
      </c>
      <c r="E1207" s="5" t="str">
        <f ca="1">IFERROR(__xludf.DUMMYFUNCTION("""COMPUTED_VALUE"""),"No Relation")</f>
        <v>No Relation</v>
      </c>
      <c r="F1207" s="5" t="str">
        <f ca="1">IFERROR(__xludf.DUMMYFUNCTION("""COMPUTED_VALUE"""),"Subdued by Students/Staff/Other")</f>
        <v>Subdued by Students/Staff/Other</v>
      </c>
      <c r="G1207" s="5" t="str">
        <f ca="1">IFERROR(__xludf.DUMMYFUNCTION("""COMPUTED_VALUE"""),"No")</f>
        <v>No</v>
      </c>
      <c r="H1207" s="5" t="str">
        <f ca="1">IFERROR(__xludf.DUMMYFUNCTION("""COMPUTED_VALUE"""),"None")</f>
        <v>None</v>
      </c>
    </row>
    <row r="1208" spans="1:8">
      <c r="A1208" s="5" t="str">
        <f ca="1">IFERROR(__xludf.DUMMYFUNCTION("""COMPUTED_VALUE"""),"20101001CAALS")</f>
        <v>20101001CAALS</v>
      </c>
      <c r="B1208" s="5"/>
      <c r="C1208" s="5"/>
      <c r="D1208" s="5"/>
      <c r="E1208" s="5" t="str">
        <f ca="1">IFERROR(__xludf.DUMMYFUNCTION("""COMPUTED_VALUE"""),"Unknown")</f>
        <v>Unknown</v>
      </c>
      <c r="F1208" s="5" t="str">
        <f ca="1">IFERROR(__xludf.DUMMYFUNCTION("""COMPUTED_VALUE"""),"Fled/Apprehended")</f>
        <v>Fled/Apprehended</v>
      </c>
      <c r="G1208" s="5" t="str">
        <f ca="1">IFERROR(__xludf.DUMMYFUNCTION("""COMPUTED_VALUE"""),"No")</f>
        <v>No</v>
      </c>
      <c r="H1208" s="5" t="str">
        <f ca="1">IFERROR(__xludf.DUMMYFUNCTION("""COMPUTED_VALUE"""),"None")</f>
        <v>None</v>
      </c>
    </row>
    <row r="1209" spans="1:8">
      <c r="A1209" s="5" t="str">
        <f ca="1">IFERROR(__xludf.DUMMYFUNCTION("""COMPUTED_VALUE"""),"20100921SCSOC")</f>
        <v>20100921SCSOC</v>
      </c>
      <c r="B1209" s="5">
        <f ca="1">IFERROR(__xludf.DUMMYFUNCTION("""COMPUTED_VALUE"""),15)</f>
        <v>15</v>
      </c>
      <c r="C1209" s="5" t="str">
        <f ca="1">IFERROR(__xludf.DUMMYFUNCTION("""COMPUTED_VALUE"""),"Male")</f>
        <v>Male</v>
      </c>
      <c r="D1209" s="5" t="str">
        <f ca="1">IFERROR(__xludf.DUMMYFUNCTION("""COMPUTED_VALUE"""),"White")</f>
        <v>White</v>
      </c>
      <c r="E1209" s="5" t="str">
        <f ca="1">IFERROR(__xludf.DUMMYFUNCTION("""COMPUTED_VALUE"""),"Student")</f>
        <v>Student</v>
      </c>
      <c r="F1209" s="5" t="str">
        <f ca="1">IFERROR(__xludf.DUMMYFUNCTION("""COMPUTED_VALUE"""),"Apprehended/Killed by SRO")</f>
        <v>Apprehended/Killed by SRO</v>
      </c>
      <c r="G1209" s="5" t="str">
        <f ca="1">IFERROR(__xludf.DUMMYFUNCTION("""COMPUTED_VALUE"""),"No")</f>
        <v>No</v>
      </c>
      <c r="H1209" s="5" t="str">
        <f ca="1">IFERROR(__xludf.DUMMYFUNCTION("""COMPUTED_VALUE"""),"None")</f>
        <v>None</v>
      </c>
    </row>
    <row r="1210" spans="1:8">
      <c r="A1210" s="5" t="str">
        <f ca="1">IFERROR(__xludf.DUMMYFUNCTION("""COMPUTED_VALUE"""),"20100908MIMUD")</f>
        <v>20100908MIMUD</v>
      </c>
      <c r="B1210" s="5">
        <f ca="1">IFERROR(__xludf.DUMMYFUNCTION("""COMPUTED_VALUE"""),17)</f>
        <v>17</v>
      </c>
      <c r="C1210" s="5" t="str">
        <f ca="1">IFERROR(__xludf.DUMMYFUNCTION("""COMPUTED_VALUE"""),"Male")</f>
        <v>Male</v>
      </c>
      <c r="D1210" s="5" t="str">
        <f ca="1">IFERROR(__xludf.DUMMYFUNCTION("""COMPUTED_VALUE"""),"Black")</f>
        <v>Black</v>
      </c>
      <c r="E1210" s="5" t="str">
        <f ca="1">IFERROR(__xludf.DUMMYFUNCTION("""COMPUTED_VALUE"""),"Student")</f>
        <v>Student</v>
      </c>
      <c r="F1210" s="5" t="str">
        <f ca="1">IFERROR(__xludf.DUMMYFUNCTION("""COMPUTED_VALUE"""),"Fled/Apprehended")</f>
        <v>Fled/Apprehended</v>
      </c>
      <c r="G1210" s="5" t="str">
        <f ca="1">IFERROR(__xludf.DUMMYFUNCTION("""COMPUTED_VALUE"""),"No")</f>
        <v>No</v>
      </c>
      <c r="H1210" s="5" t="str">
        <f ca="1">IFERROR(__xludf.DUMMYFUNCTION("""COMPUTED_VALUE"""),"None")</f>
        <v>None</v>
      </c>
    </row>
    <row r="1211" spans="1:8">
      <c r="A1211" s="5" t="str">
        <f ca="1">IFERROR(__xludf.DUMMYFUNCTION("""COMPUTED_VALUE"""),"20100830TNSUB")</f>
        <v>20100830TNSUB</v>
      </c>
      <c r="B1211" s="5">
        <f ca="1">IFERROR(__xludf.DUMMYFUNCTION("""COMPUTED_VALUE"""),62)</f>
        <v>62</v>
      </c>
      <c r="C1211" s="5" t="str">
        <f ca="1">IFERROR(__xludf.DUMMYFUNCTION("""COMPUTED_VALUE"""),"Male")</f>
        <v>Male</v>
      </c>
      <c r="D1211" s="5" t="str">
        <f ca="1">IFERROR(__xludf.DUMMYFUNCTION("""COMPUTED_VALUE"""),"White")</f>
        <v>White</v>
      </c>
      <c r="E1211" s="5" t="str">
        <f ca="1">IFERROR(__xludf.DUMMYFUNCTION("""COMPUTED_VALUE"""),"Relative")</f>
        <v>Relative</v>
      </c>
      <c r="F1211" s="5" t="str">
        <f ca="1">IFERROR(__xludf.DUMMYFUNCTION("""COMPUTED_VALUE"""),"Apprehended/Killed by SRO")</f>
        <v>Apprehended/Killed by SRO</v>
      </c>
      <c r="G1211" s="5" t="str">
        <f ca="1">IFERROR(__xludf.DUMMYFUNCTION("""COMPUTED_VALUE"""),"No")</f>
        <v>No</v>
      </c>
      <c r="H1211" s="5" t="str">
        <f ca="1">IFERROR(__xludf.DUMMYFUNCTION("""COMPUTED_VALUE"""),"None")</f>
        <v>None</v>
      </c>
    </row>
    <row r="1212" spans="1:8">
      <c r="A1212" s="5" t="str">
        <f ca="1">IFERROR(__xludf.DUMMYFUNCTION("""COMPUTED_VALUE"""),"20100518CASOS")</f>
        <v>20100518CASOS</v>
      </c>
      <c r="B1212" s="5">
        <f ca="1">IFERROR(__xludf.DUMMYFUNCTION("""COMPUTED_VALUE"""),17)</f>
        <v>17</v>
      </c>
      <c r="C1212" s="5" t="str">
        <f ca="1">IFERROR(__xludf.DUMMYFUNCTION("""COMPUTED_VALUE"""),"Male")</f>
        <v>Male</v>
      </c>
      <c r="D1212" s="5"/>
      <c r="E1212" s="5" t="str">
        <f ca="1">IFERROR(__xludf.DUMMYFUNCTION("""COMPUTED_VALUE"""),"Former Student")</f>
        <v>Former Student</v>
      </c>
      <c r="F1212" s="5" t="str">
        <f ca="1">IFERROR(__xludf.DUMMYFUNCTION("""COMPUTED_VALUE"""),"Fled/Apprehended")</f>
        <v>Fled/Apprehended</v>
      </c>
      <c r="G1212" s="5" t="str">
        <f ca="1">IFERROR(__xludf.DUMMYFUNCTION("""COMPUTED_VALUE"""),"No")</f>
        <v>No</v>
      </c>
      <c r="H1212" s="5" t="str">
        <f ca="1">IFERROR(__xludf.DUMMYFUNCTION("""COMPUTED_VALUE"""),"None")</f>
        <v>None</v>
      </c>
    </row>
    <row r="1213" spans="1:8">
      <c r="A1213" s="5" t="str">
        <f ca="1">IFERROR(__xludf.DUMMYFUNCTION("""COMPUTED_VALUE"""),"20100428VAWOP")</f>
        <v>20100428VAWOP</v>
      </c>
      <c r="B1213" s="5">
        <f ca="1">IFERROR(__xludf.DUMMYFUNCTION("""COMPUTED_VALUE"""),15)</f>
        <v>15</v>
      </c>
      <c r="C1213" s="5" t="str">
        <f ca="1">IFERROR(__xludf.DUMMYFUNCTION("""COMPUTED_VALUE"""),"Male")</f>
        <v>Male</v>
      </c>
      <c r="D1213" s="5" t="str">
        <f ca="1">IFERROR(__xludf.DUMMYFUNCTION("""COMPUTED_VALUE"""),"Black")</f>
        <v>Black</v>
      </c>
      <c r="E1213" s="5" t="str">
        <f ca="1">IFERROR(__xludf.DUMMYFUNCTION("""COMPUTED_VALUE"""),"Student")</f>
        <v>Student</v>
      </c>
      <c r="F1213" s="5" t="str">
        <f ca="1">IFERROR(__xludf.DUMMYFUNCTION("""COMPUTED_VALUE"""),"Fled/Apprehended")</f>
        <v>Fled/Apprehended</v>
      </c>
      <c r="G1213" s="5" t="str">
        <f ca="1">IFERROR(__xludf.DUMMYFUNCTION("""COMPUTED_VALUE"""),"No")</f>
        <v>No</v>
      </c>
      <c r="H1213" s="5" t="str">
        <f ca="1">IFERROR(__xludf.DUMMYFUNCTION("""COMPUTED_VALUE"""),"None")</f>
        <v>None</v>
      </c>
    </row>
    <row r="1214" spans="1:8">
      <c r="A1214" s="5" t="str">
        <f ca="1">IFERROR(__xludf.DUMMYFUNCTION("""COMPUTED_VALUE"""),"20100226WABIT")</f>
        <v>20100226WABIT</v>
      </c>
      <c r="B1214" s="5">
        <f ca="1">IFERROR(__xludf.DUMMYFUNCTION("""COMPUTED_VALUE"""),30)</f>
        <v>30</v>
      </c>
      <c r="C1214" s="5" t="str">
        <f ca="1">IFERROR(__xludf.DUMMYFUNCTION("""COMPUTED_VALUE"""),"Male")</f>
        <v>Male</v>
      </c>
      <c r="D1214" s="5" t="str">
        <f ca="1">IFERROR(__xludf.DUMMYFUNCTION("""COMPUTED_VALUE"""),"White")</f>
        <v>White</v>
      </c>
      <c r="E1214" s="5" t="str">
        <f ca="1">IFERROR(__xludf.DUMMYFUNCTION("""COMPUTED_VALUE"""),"Intimate Relationship")</f>
        <v>Intimate Relationship</v>
      </c>
      <c r="F1214" s="5" t="str">
        <f ca="1">IFERROR(__xludf.DUMMYFUNCTION("""COMPUTED_VALUE"""),"Fled/Apprehended")</f>
        <v>Fled/Apprehended</v>
      </c>
      <c r="G1214" s="5" t="str">
        <f ca="1">IFERROR(__xludf.DUMMYFUNCTION("""COMPUTED_VALUE"""),"No")</f>
        <v>No</v>
      </c>
      <c r="H1214" s="5" t="str">
        <f ca="1">IFERROR(__xludf.DUMMYFUNCTION("""COMPUTED_VALUE"""),"None")</f>
        <v>None</v>
      </c>
    </row>
    <row r="1215" spans="1:8">
      <c r="A1215" s="5" t="str">
        <f ca="1">IFERROR(__xludf.DUMMYFUNCTION("""COMPUTED_VALUE"""),"20100223CODEL")</f>
        <v>20100223CODEL</v>
      </c>
      <c r="B1215" s="5">
        <f ca="1">IFERROR(__xludf.DUMMYFUNCTION("""COMPUTED_VALUE"""),32)</f>
        <v>32</v>
      </c>
      <c r="C1215" s="5" t="str">
        <f ca="1">IFERROR(__xludf.DUMMYFUNCTION("""COMPUTED_VALUE"""),"Male")</f>
        <v>Male</v>
      </c>
      <c r="D1215" s="5" t="str">
        <f ca="1">IFERROR(__xludf.DUMMYFUNCTION("""COMPUTED_VALUE"""),"White")</f>
        <v>White</v>
      </c>
      <c r="E1215" s="5" t="str">
        <f ca="1">IFERROR(__xludf.DUMMYFUNCTION("""COMPUTED_VALUE"""),"Former Student")</f>
        <v>Former Student</v>
      </c>
      <c r="F1215" s="5" t="str">
        <f ca="1">IFERROR(__xludf.DUMMYFUNCTION("""COMPUTED_VALUE"""),"Subdued by Students/Staff/Other")</f>
        <v>Subdued by Students/Staff/Other</v>
      </c>
      <c r="G1215" s="5" t="str">
        <f ca="1">IFERROR(__xludf.DUMMYFUNCTION("""COMPUTED_VALUE"""),"No")</f>
        <v>No</v>
      </c>
      <c r="H1215" s="5" t="str">
        <f ca="1">IFERROR(__xludf.DUMMYFUNCTION("""COMPUTED_VALUE"""),"None")</f>
        <v>None</v>
      </c>
    </row>
    <row r="1216" spans="1:8">
      <c r="A1216" s="5" t="str">
        <f ca="1">IFERROR(__xludf.DUMMYFUNCTION("""COMPUTED_VALUE"""),"20100210TNINK")</f>
        <v>20100210TNINK</v>
      </c>
      <c r="B1216" s="5">
        <f ca="1">IFERROR(__xludf.DUMMYFUNCTION("""COMPUTED_VALUE"""),48)</f>
        <v>48</v>
      </c>
      <c r="C1216" s="5" t="str">
        <f ca="1">IFERROR(__xludf.DUMMYFUNCTION("""COMPUTED_VALUE"""),"Male")</f>
        <v>Male</v>
      </c>
      <c r="D1216" s="5"/>
      <c r="E1216" s="5" t="str">
        <f ca="1">IFERROR(__xludf.DUMMYFUNCTION("""COMPUTED_VALUE"""),"Teacher")</f>
        <v>Teacher</v>
      </c>
      <c r="F1216" s="5" t="str">
        <f ca="1">IFERROR(__xludf.DUMMYFUNCTION("""COMPUTED_VALUE"""),"Fled/Apprehended")</f>
        <v>Fled/Apprehended</v>
      </c>
      <c r="G1216" s="5" t="str">
        <f ca="1">IFERROR(__xludf.DUMMYFUNCTION("""COMPUTED_VALUE"""),"No")</f>
        <v>No</v>
      </c>
      <c r="H1216" s="5" t="str">
        <f ca="1">IFERROR(__xludf.DUMMYFUNCTION("""COMPUTED_VALUE"""),"None")</f>
        <v>None</v>
      </c>
    </row>
    <row r="1217" spans="1:8">
      <c r="A1217" s="5" t="str">
        <f ca="1">IFERROR(__xludf.DUMMYFUNCTION("""COMPUTED_VALUE"""),"20100205ALDIM")</f>
        <v>20100205ALDIM</v>
      </c>
      <c r="B1217" s="5">
        <f ca="1">IFERROR(__xludf.DUMMYFUNCTION("""COMPUTED_VALUE"""),14)</f>
        <v>14</v>
      </c>
      <c r="C1217" s="5" t="str">
        <f ca="1">IFERROR(__xludf.DUMMYFUNCTION("""COMPUTED_VALUE"""),"Male")</f>
        <v>Male</v>
      </c>
      <c r="D1217" s="5" t="str">
        <f ca="1">IFERROR(__xludf.DUMMYFUNCTION("""COMPUTED_VALUE"""),"Middle Eastern")</f>
        <v>Middle Eastern</v>
      </c>
      <c r="E1217" s="5" t="str">
        <f ca="1">IFERROR(__xludf.DUMMYFUNCTION("""COMPUTED_VALUE"""),"Student")</f>
        <v>Student</v>
      </c>
      <c r="F1217" s="5" t="str">
        <f ca="1">IFERROR(__xludf.DUMMYFUNCTION("""COMPUTED_VALUE"""),"Apprehended/Killed by SRO")</f>
        <v>Apprehended/Killed by SRO</v>
      </c>
      <c r="G1217" s="5" t="str">
        <f ca="1">IFERROR(__xludf.DUMMYFUNCTION("""COMPUTED_VALUE"""),"No")</f>
        <v>No</v>
      </c>
      <c r="H1217" s="5" t="str">
        <f ca="1">IFERROR(__xludf.DUMMYFUNCTION("""COMPUTED_VALUE"""),"None")</f>
        <v>None</v>
      </c>
    </row>
    <row r="1218" spans="1:8">
      <c r="A1218" s="5" t="str">
        <f ca="1">IFERROR(__xludf.DUMMYFUNCTION("""COMPUTED_VALUE"""),"20100120ALLIL")</f>
        <v>20100120ALLIL</v>
      </c>
      <c r="B1218" s="5">
        <f ca="1">IFERROR(__xludf.DUMMYFUNCTION("""COMPUTED_VALUE"""),32)</f>
        <v>32</v>
      </c>
      <c r="C1218" s="5" t="str">
        <f ca="1">IFERROR(__xludf.DUMMYFUNCTION("""COMPUTED_VALUE"""),"Male")</f>
        <v>Male</v>
      </c>
      <c r="D1218" s="5" t="str">
        <f ca="1">IFERROR(__xludf.DUMMYFUNCTION("""COMPUTED_VALUE"""),"Black")</f>
        <v>Black</v>
      </c>
      <c r="E1218" s="5" t="str">
        <f ca="1">IFERROR(__xludf.DUMMYFUNCTION("""COMPUTED_VALUE"""),"Intimate Relationship")</f>
        <v>Intimate Relationship</v>
      </c>
      <c r="F1218" s="5" t="str">
        <f ca="1">IFERROR(__xludf.DUMMYFUNCTION("""COMPUTED_VALUE"""),"Fled/Apprehended")</f>
        <v>Fled/Apprehended</v>
      </c>
      <c r="G1218" s="5" t="str">
        <f ca="1">IFERROR(__xludf.DUMMYFUNCTION("""COMPUTED_VALUE"""),"No")</f>
        <v>No</v>
      </c>
      <c r="H1218" s="5" t="str">
        <f ca="1">IFERROR(__xludf.DUMMYFUNCTION("""COMPUTED_VALUE"""),"None")</f>
        <v>None</v>
      </c>
    </row>
    <row r="1219" spans="1:8">
      <c r="A1219" s="5" t="str">
        <f ca="1">IFERROR(__xludf.DUMMYFUNCTION("""COMPUTED_VALUE"""),"20091211LABOS")</f>
        <v>20091211LABOS</v>
      </c>
      <c r="B1219" s="5">
        <f ca="1">IFERROR(__xludf.DUMMYFUNCTION("""COMPUTED_VALUE"""),28)</f>
        <v>28</v>
      </c>
      <c r="C1219" s="5" t="str">
        <f ca="1">IFERROR(__xludf.DUMMYFUNCTION("""COMPUTED_VALUE"""),"Male")</f>
        <v>Male</v>
      </c>
      <c r="D1219" s="5"/>
      <c r="E1219" s="5" t="str">
        <f ca="1">IFERROR(__xludf.DUMMYFUNCTION("""COMPUTED_VALUE"""),"Intimate Relationship")</f>
        <v>Intimate Relationship</v>
      </c>
      <c r="F1219" s="5" t="str">
        <f ca="1">IFERROR(__xludf.DUMMYFUNCTION("""COMPUTED_VALUE"""),"Fled/Apprehended")</f>
        <v>Fled/Apprehended</v>
      </c>
      <c r="G1219" s="5" t="str">
        <f ca="1">IFERROR(__xludf.DUMMYFUNCTION("""COMPUTED_VALUE"""),"No")</f>
        <v>No</v>
      </c>
      <c r="H1219" s="5" t="str">
        <f ca="1">IFERROR(__xludf.DUMMYFUNCTION("""COMPUTED_VALUE"""),"None")</f>
        <v>None</v>
      </c>
    </row>
    <row r="1220" spans="1:8">
      <c r="A1220" s="5" t="str">
        <f ca="1">IFERROR(__xludf.DUMMYFUNCTION("""COMPUTED_VALUE"""),"20091106PAHAW")</f>
        <v>20091106PAHAW</v>
      </c>
      <c r="B1220" s="5">
        <f ca="1">IFERROR(__xludf.DUMMYFUNCTION("""COMPUTED_VALUE"""),15)</f>
        <v>15</v>
      </c>
      <c r="C1220" s="5" t="str">
        <f ca="1">IFERROR(__xludf.DUMMYFUNCTION("""COMPUTED_VALUE"""),"Male")</f>
        <v>Male</v>
      </c>
      <c r="D1220" s="5"/>
      <c r="E1220" s="5" t="str">
        <f ca="1">IFERROR(__xludf.DUMMYFUNCTION("""COMPUTED_VALUE"""),"Student")</f>
        <v>Student</v>
      </c>
      <c r="F1220" s="5" t="str">
        <f ca="1">IFERROR(__xludf.DUMMYFUNCTION("""COMPUTED_VALUE"""),"Fled/Apprehended")</f>
        <v>Fled/Apprehended</v>
      </c>
      <c r="G1220" s="5" t="str">
        <f ca="1">IFERROR(__xludf.DUMMYFUNCTION("""COMPUTED_VALUE"""),"No")</f>
        <v>No</v>
      </c>
      <c r="H1220" s="5" t="str">
        <f ca="1">IFERROR(__xludf.DUMMYFUNCTION("""COMPUTED_VALUE"""),"None")</f>
        <v>None</v>
      </c>
    </row>
    <row r="1221" spans="1:8">
      <c r="A1221" s="5" t="str">
        <f ca="1">IFERROR(__xludf.DUMMYFUNCTION("""COMPUTED_VALUE"""),"20091030CAWIL")</f>
        <v>20091030CAWIL</v>
      </c>
      <c r="B1221" s="5">
        <f ca="1">IFERROR(__xludf.DUMMYFUNCTION("""COMPUTED_VALUE"""),18)</f>
        <v>18</v>
      </c>
      <c r="C1221" s="5" t="str">
        <f ca="1">IFERROR(__xludf.DUMMYFUNCTION("""COMPUTED_VALUE"""),"Male")</f>
        <v>Male</v>
      </c>
      <c r="D1221" s="5" t="str">
        <f ca="1">IFERROR(__xludf.DUMMYFUNCTION("""COMPUTED_VALUE"""),"Black")</f>
        <v>Black</v>
      </c>
      <c r="E1221" s="5" t="str">
        <f ca="1">IFERROR(__xludf.DUMMYFUNCTION("""COMPUTED_VALUE"""),"Nonstudent Using Athletic Facilities/Attending Game")</f>
        <v>Nonstudent Using Athletic Facilities/Attending Game</v>
      </c>
      <c r="F1221" s="5" t="str">
        <f ca="1">IFERROR(__xludf.DUMMYFUNCTION("""COMPUTED_VALUE"""),"Fled/Apprehended")</f>
        <v>Fled/Apprehended</v>
      </c>
      <c r="G1221" s="5" t="str">
        <f ca="1">IFERROR(__xludf.DUMMYFUNCTION("""COMPUTED_VALUE"""),"No")</f>
        <v>No</v>
      </c>
      <c r="H1221" s="5" t="str">
        <f ca="1">IFERROR(__xludf.DUMMYFUNCTION("""COMPUTED_VALUE"""),"None")</f>
        <v>None</v>
      </c>
    </row>
    <row r="1222" spans="1:8">
      <c r="A1222" s="5" t="str">
        <f ca="1">IFERROR(__xludf.DUMMYFUNCTION("""COMPUTED_VALUE"""),"20091016SCCAC")</f>
        <v>20091016SCCAC</v>
      </c>
      <c r="B1222" s="5" t="str">
        <f ca="1">IFERROR(__xludf.DUMMYFUNCTION("""COMPUTED_VALUE"""),"Adult")</f>
        <v>Adult</v>
      </c>
      <c r="C1222" s="5" t="str">
        <f ca="1">IFERROR(__xludf.DUMMYFUNCTION("""COMPUTED_VALUE"""),"Male")</f>
        <v>Male</v>
      </c>
      <c r="D1222" s="5"/>
      <c r="E1222" s="5" t="str">
        <f ca="1">IFERROR(__xludf.DUMMYFUNCTION("""COMPUTED_VALUE"""),"Police Officer/SRO")</f>
        <v>Police Officer/SRO</v>
      </c>
      <c r="F1222" s="5" t="str">
        <f ca="1">IFERROR(__xludf.DUMMYFUNCTION("""COMPUTED_VALUE"""),"Law Enforcement")</f>
        <v>Law Enforcement</v>
      </c>
      <c r="G1222" s="5" t="str">
        <f ca="1">IFERROR(__xludf.DUMMYFUNCTION("""COMPUTED_VALUE"""),"No")</f>
        <v>No</v>
      </c>
      <c r="H1222" s="5" t="str">
        <f ca="1">IFERROR(__xludf.DUMMYFUNCTION("""COMPUTED_VALUE"""),"None")</f>
        <v>None</v>
      </c>
    </row>
    <row r="1223" spans="1:8">
      <c r="A1223" s="5" t="str">
        <f ca="1">IFERROR(__xludf.DUMMYFUNCTION("""COMPUTED_VALUE"""),"20091008NYMAM")</f>
        <v>20091008NYMAM</v>
      </c>
      <c r="B1223" s="5">
        <f ca="1">IFERROR(__xludf.DUMMYFUNCTION("""COMPUTED_VALUE"""),28)</f>
        <v>28</v>
      </c>
      <c r="C1223" s="5" t="str">
        <f ca="1">IFERROR(__xludf.DUMMYFUNCTION("""COMPUTED_VALUE"""),"Male")</f>
        <v>Male</v>
      </c>
      <c r="D1223" s="5"/>
      <c r="E1223" s="5" t="str">
        <f ca="1">IFERROR(__xludf.DUMMYFUNCTION("""COMPUTED_VALUE"""),"No Relation")</f>
        <v>No Relation</v>
      </c>
      <c r="F1223" s="5" t="str">
        <f ca="1">IFERROR(__xludf.DUMMYFUNCTION("""COMPUTED_VALUE"""),"Unknown")</f>
        <v>Unknown</v>
      </c>
      <c r="G1223" s="5" t="str">
        <f ca="1">IFERROR(__xludf.DUMMYFUNCTION("""COMPUTED_VALUE"""),"No")</f>
        <v>No</v>
      </c>
      <c r="H1223" s="5" t="str">
        <f ca="1">IFERROR(__xludf.DUMMYFUNCTION("""COMPUTED_VALUE"""),"None")</f>
        <v>None</v>
      </c>
    </row>
    <row r="1224" spans="1:8">
      <c r="A1224" s="5" t="str">
        <f ca="1">IFERROR(__xludf.DUMMYFUNCTION("""COMPUTED_VALUE"""),"20090916VAVIG")</f>
        <v>20090916VAVIG</v>
      </c>
      <c r="B1224" s="5">
        <f ca="1">IFERROR(__xludf.DUMMYFUNCTION("""COMPUTED_VALUE"""),16)</f>
        <v>16</v>
      </c>
      <c r="C1224" s="5" t="str">
        <f ca="1">IFERROR(__xludf.DUMMYFUNCTION("""COMPUTED_VALUE"""),"Male")</f>
        <v>Male</v>
      </c>
      <c r="D1224" s="5"/>
      <c r="E1224" s="5" t="str">
        <f ca="1">IFERROR(__xludf.DUMMYFUNCTION("""COMPUTED_VALUE"""),"Student")</f>
        <v>Student</v>
      </c>
      <c r="F1224" s="5" t="str">
        <f ca="1">IFERROR(__xludf.DUMMYFUNCTION("""COMPUTED_VALUE"""),"Fled/Apprehended")</f>
        <v>Fled/Apprehended</v>
      </c>
      <c r="G1224" s="5" t="str">
        <f ca="1">IFERROR(__xludf.DUMMYFUNCTION("""COMPUTED_VALUE"""),"No")</f>
        <v>No</v>
      </c>
      <c r="H1224" s="5" t="str">
        <f ca="1">IFERROR(__xludf.DUMMYFUNCTION("""COMPUTED_VALUE"""),"None")</f>
        <v>None</v>
      </c>
    </row>
    <row r="1225" spans="1:8">
      <c r="A1225" s="5" t="str">
        <f ca="1">IFERROR(__xludf.DUMMYFUNCTION("""COMPUTED_VALUE"""),"20090908CTSTS")</f>
        <v>20090908CTSTS</v>
      </c>
      <c r="B1225" s="5">
        <f ca="1">IFERROR(__xludf.DUMMYFUNCTION("""COMPUTED_VALUE"""),16)</f>
        <v>16</v>
      </c>
      <c r="C1225" s="5" t="str">
        <f ca="1">IFERROR(__xludf.DUMMYFUNCTION("""COMPUTED_VALUE"""),"Male")</f>
        <v>Male</v>
      </c>
      <c r="D1225" s="5"/>
      <c r="E1225" s="5" t="str">
        <f ca="1">IFERROR(__xludf.DUMMYFUNCTION("""COMPUTED_VALUE"""),"Student")</f>
        <v>Student</v>
      </c>
      <c r="F1225" s="5" t="str">
        <f ca="1">IFERROR(__xludf.DUMMYFUNCTION("""COMPUTED_VALUE"""),"Fled/Apprehended")</f>
        <v>Fled/Apprehended</v>
      </c>
      <c r="G1225" s="5" t="str">
        <f ca="1">IFERROR(__xludf.DUMMYFUNCTION("""COMPUTED_VALUE"""),"No")</f>
        <v>No</v>
      </c>
      <c r="H1225" s="5" t="str">
        <f ca="1">IFERROR(__xludf.DUMMYFUNCTION("""COMPUTED_VALUE"""),"None")</f>
        <v>None</v>
      </c>
    </row>
    <row r="1226" spans="1:8">
      <c r="A1226" s="5" t="str">
        <f ca="1">IFERROR(__xludf.DUMMYFUNCTION("""COMPUTED_VALUE"""),"20090827NCWEF")</f>
        <v>20090827NCWEF</v>
      </c>
      <c r="B1226" s="5">
        <f ca="1">IFERROR(__xludf.DUMMYFUNCTION("""COMPUTED_VALUE"""),16)</f>
        <v>16</v>
      </c>
      <c r="C1226" s="5" t="str">
        <f ca="1">IFERROR(__xludf.DUMMYFUNCTION("""COMPUTED_VALUE"""),"Male")</f>
        <v>Male</v>
      </c>
      <c r="D1226" s="5"/>
      <c r="E1226" s="5" t="str">
        <f ca="1">IFERROR(__xludf.DUMMYFUNCTION("""COMPUTED_VALUE"""),"Student")</f>
        <v>Student</v>
      </c>
      <c r="F1226" s="5" t="str">
        <f ca="1">IFERROR(__xludf.DUMMYFUNCTION("""COMPUTED_VALUE"""),"Fled/Apprehended")</f>
        <v>Fled/Apprehended</v>
      </c>
      <c r="G1226" s="5" t="str">
        <f ca="1">IFERROR(__xludf.DUMMYFUNCTION("""COMPUTED_VALUE"""),"No")</f>
        <v>No</v>
      </c>
      <c r="H1226" s="5" t="str">
        <f ca="1">IFERROR(__xludf.DUMMYFUNCTION("""COMPUTED_VALUE"""),"None")</f>
        <v>None</v>
      </c>
    </row>
    <row r="1227" spans="1:8">
      <c r="A1227" s="5" t="str">
        <f ca="1">IFERROR(__xludf.DUMMYFUNCTION("""COMPUTED_VALUE"""),"20090624IAAPP")</f>
        <v>20090624IAAPP</v>
      </c>
      <c r="B1227" s="5">
        <f ca="1">IFERROR(__xludf.DUMMYFUNCTION("""COMPUTED_VALUE"""),24)</f>
        <v>24</v>
      </c>
      <c r="C1227" s="5" t="str">
        <f ca="1">IFERROR(__xludf.DUMMYFUNCTION("""COMPUTED_VALUE"""),"Male")</f>
        <v>Male</v>
      </c>
      <c r="D1227" s="5" t="str">
        <f ca="1">IFERROR(__xludf.DUMMYFUNCTION("""COMPUTED_VALUE"""),"White")</f>
        <v>White</v>
      </c>
      <c r="E1227" s="5" t="str">
        <f ca="1">IFERROR(__xludf.DUMMYFUNCTION("""COMPUTED_VALUE"""),"Former Student")</f>
        <v>Former Student</v>
      </c>
      <c r="F1227" s="5" t="str">
        <f ca="1">IFERROR(__xludf.DUMMYFUNCTION("""COMPUTED_VALUE"""),"Fled/Apprehended")</f>
        <v>Fled/Apprehended</v>
      </c>
      <c r="G1227" s="5" t="str">
        <f ca="1">IFERROR(__xludf.DUMMYFUNCTION("""COMPUTED_VALUE"""),"No")</f>
        <v>No</v>
      </c>
      <c r="H1227" s="5" t="str">
        <f ca="1">IFERROR(__xludf.DUMMYFUNCTION("""COMPUTED_VALUE"""),"None")</f>
        <v>None</v>
      </c>
    </row>
    <row r="1228" spans="1:8">
      <c r="A1228" s="5" t="str">
        <f ca="1">IFERROR(__xludf.DUMMYFUNCTION("""COMPUTED_VALUE"""),"20090615CAINS")</f>
        <v>20090615CAINS</v>
      </c>
      <c r="B1228" s="5"/>
      <c r="C1228" s="5" t="str">
        <f ca="1">IFERROR(__xludf.DUMMYFUNCTION("""COMPUTED_VALUE"""),"Male")</f>
        <v>Male</v>
      </c>
      <c r="D1228" s="5"/>
      <c r="E1228" s="5" t="str">
        <f ca="1">IFERROR(__xludf.DUMMYFUNCTION("""COMPUTED_VALUE"""),"Unknown")</f>
        <v>Unknown</v>
      </c>
      <c r="F1228" s="5" t="str">
        <f ca="1">IFERROR(__xludf.DUMMYFUNCTION("""COMPUTED_VALUE"""),"Fled/Apprehended")</f>
        <v>Fled/Apprehended</v>
      </c>
      <c r="G1228" s="5" t="str">
        <f ca="1">IFERROR(__xludf.DUMMYFUNCTION("""COMPUTED_VALUE"""),"No")</f>
        <v>No</v>
      </c>
      <c r="H1228" s="5" t="str">
        <f ca="1">IFERROR(__xludf.DUMMYFUNCTION("""COMPUTED_VALUE"""),"None")</f>
        <v>None</v>
      </c>
    </row>
    <row r="1229" spans="1:8">
      <c r="A1229" s="5" t="str">
        <f ca="1">IFERROR(__xludf.DUMMYFUNCTION("""COMPUTED_VALUE"""),"20090518LALAL")</f>
        <v>20090518LALAL</v>
      </c>
      <c r="B1229" s="5">
        <f ca="1">IFERROR(__xludf.DUMMYFUNCTION("""COMPUTED_VALUE"""),15)</f>
        <v>15</v>
      </c>
      <c r="C1229" s="5" t="str">
        <f ca="1">IFERROR(__xludf.DUMMYFUNCTION("""COMPUTED_VALUE"""),"Male")</f>
        <v>Male</v>
      </c>
      <c r="D1229" s="5" t="str">
        <f ca="1">IFERROR(__xludf.DUMMYFUNCTION("""COMPUTED_VALUE"""),"White")</f>
        <v>White</v>
      </c>
      <c r="E1229" s="5" t="str">
        <f ca="1">IFERROR(__xludf.DUMMYFUNCTION("""COMPUTED_VALUE"""),"Student")</f>
        <v>Student</v>
      </c>
      <c r="F1229" s="5" t="str">
        <f ca="1">IFERROR(__xludf.DUMMYFUNCTION("""COMPUTED_VALUE"""),"Suicide")</f>
        <v>Suicide</v>
      </c>
      <c r="G1229" s="5" t="str">
        <f ca="1">IFERROR(__xludf.DUMMYFUNCTION("""COMPUTED_VALUE"""),"Yes")</f>
        <v>Yes</v>
      </c>
      <c r="H1229" s="5" t="str">
        <f ca="1">IFERROR(__xludf.DUMMYFUNCTION("""COMPUTED_VALUE"""),"Suicide")</f>
        <v>Suicide</v>
      </c>
    </row>
    <row r="1230" spans="1:8">
      <c r="A1230" s="5" t="str">
        <f ca="1">IFERROR(__xludf.DUMMYFUNCTION("""COMPUTED_VALUE"""),"20090505NYCAC")</f>
        <v>20090505NYCAC</v>
      </c>
      <c r="B1230" s="5">
        <f ca="1">IFERROR(__xludf.DUMMYFUNCTION("""COMPUTED_VALUE"""),17)</f>
        <v>17</v>
      </c>
      <c r="C1230" s="5" t="str">
        <f ca="1">IFERROR(__xludf.DUMMYFUNCTION("""COMPUTED_VALUE"""),"Male")</f>
        <v>Male</v>
      </c>
      <c r="D1230" s="5" t="str">
        <f ca="1">IFERROR(__xludf.DUMMYFUNCTION("""COMPUTED_VALUE"""),"White")</f>
        <v>White</v>
      </c>
      <c r="E1230" s="5" t="str">
        <f ca="1">IFERROR(__xludf.DUMMYFUNCTION("""COMPUTED_VALUE"""),"Student")</f>
        <v>Student</v>
      </c>
      <c r="F1230" s="5" t="str">
        <f ca="1">IFERROR(__xludf.DUMMYFUNCTION("""COMPUTED_VALUE"""),"Suicide")</f>
        <v>Suicide</v>
      </c>
      <c r="G1230" s="5" t="str">
        <f ca="1">IFERROR(__xludf.DUMMYFUNCTION("""COMPUTED_VALUE"""),"Yes")</f>
        <v>Yes</v>
      </c>
      <c r="H1230" s="5" t="str">
        <f ca="1">IFERROR(__xludf.DUMMYFUNCTION("""COMPUTED_VALUE"""),"Suicide")</f>
        <v>Suicide</v>
      </c>
    </row>
    <row r="1231" spans="1:8">
      <c r="A1231" s="5" t="str">
        <f ca="1">IFERROR(__xludf.DUMMYFUNCTION("""COMPUTED_VALUE"""),"20090501WISHS")</f>
        <v>20090501WISHS</v>
      </c>
      <c r="B1231" s="5">
        <f ca="1">IFERROR(__xludf.DUMMYFUNCTION("""COMPUTED_VALUE"""),17)</f>
        <v>17</v>
      </c>
      <c r="C1231" s="5" t="str">
        <f ca="1">IFERROR(__xludf.DUMMYFUNCTION("""COMPUTED_VALUE"""),"Male")</f>
        <v>Male</v>
      </c>
      <c r="D1231" s="5"/>
      <c r="E1231" s="5" t="str">
        <f ca="1">IFERROR(__xludf.DUMMYFUNCTION("""COMPUTED_VALUE"""),"Student")</f>
        <v>Student</v>
      </c>
      <c r="F1231" s="5" t="str">
        <f ca="1">IFERROR(__xludf.DUMMYFUNCTION("""COMPUTED_VALUE"""),"Suicide")</f>
        <v>Suicide</v>
      </c>
      <c r="G1231" s="5" t="str">
        <f ca="1">IFERROR(__xludf.DUMMYFUNCTION("""COMPUTED_VALUE"""),"Yes")</f>
        <v>Yes</v>
      </c>
      <c r="H1231" s="5" t="str">
        <f ca="1">IFERROR(__xludf.DUMMYFUNCTION("""COMPUTED_VALUE"""),"Suicide")</f>
        <v>Suicide</v>
      </c>
    </row>
    <row r="1232" spans="1:8">
      <c r="A1232" s="5" t="str">
        <f ca="1">IFERROR(__xludf.DUMMYFUNCTION("""COMPUTED_VALUE"""),"20090413CALOL")</f>
        <v>20090413CALOL</v>
      </c>
      <c r="B1232" s="5"/>
      <c r="C1232" s="5" t="str">
        <f ca="1">IFERROR(__xludf.DUMMYFUNCTION("""COMPUTED_VALUE"""),"Male")</f>
        <v>Male</v>
      </c>
      <c r="D1232" s="5" t="str">
        <f ca="1">IFERROR(__xludf.DUMMYFUNCTION("""COMPUTED_VALUE"""),"Hispanic")</f>
        <v>Hispanic</v>
      </c>
      <c r="E1232" s="5" t="str">
        <f ca="1">IFERROR(__xludf.DUMMYFUNCTION("""COMPUTED_VALUE"""),"Unknown")</f>
        <v>Unknown</v>
      </c>
      <c r="F1232" s="5" t="str">
        <f ca="1">IFERROR(__xludf.DUMMYFUNCTION("""COMPUTED_VALUE"""),"Fled/Escaped")</f>
        <v>Fled/Escaped</v>
      </c>
      <c r="G1232" s="5" t="str">
        <f ca="1">IFERROR(__xludf.DUMMYFUNCTION("""COMPUTED_VALUE"""),"No")</f>
        <v>No</v>
      </c>
      <c r="H1232" s="5" t="str">
        <f ca="1">IFERROR(__xludf.DUMMYFUNCTION("""COMPUTED_VALUE"""),"None")</f>
        <v>None</v>
      </c>
    </row>
    <row r="1233" spans="1:8">
      <c r="A1233" s="5" t="str">
        <f ca="1">IFERROR(__xludf.DUMMYFUNCTION("""COMPUTED_VALUE"""),"20090311TXCYH")</f>
        <v>20090311TXCYH</v>
      </c>
      <c r="B1233" s="5" t="str">
        <f ca="1">IFERROR(__xludf.DUMMYFUNCTION("""COMPUTED_VALUE"""),"Teen")</f>
        <v>Teen</v>
      </c>
      <c r="C1233" s="5" t="str">
        <f ca="1">IFERROR(__xludf.DUMMYFUNCTION("""COMPUTED_VALUE"""),"Male")</f>
        <v>Male</v>
      </c>
      <c r="D1233" s="5"/>
      <c r="E1233" s="5" t="str">
        <f ca="1">IFERROR(__xludf.DUMMYFUNCTION("""COMPUTED_VALUE"""),"Student")</f>
        <v>Student</v>
      </c>
      <c r="F1233" s="5" t="str">
        <f ca="1">IFERROR(__xludf.DUMMYFUNCTION("""COMPUTED_VALUE"""),"Unknown")</f>
        <v>Unknown</v>
      </c>
      <c r="G1233" s="5" t="str">
        <f ca="1">IFERROR(__xludf.DUMMYFUNCTION("""COMPUTED_VALUE"""),"No")</f>
        <v>No</v>
      </c>
      <c r="H1233" s="5" t="str">
        <f ca="1">IFERROR(__xludf.DUMMYFUNCTION("""COMPUTED_VALUE"""),"None")</f>
        <v>None</v>
      </c>
    </row>
    <row r="1234" spans="1:8">
      <c r="A1234" s="5" t="str">
        <f ca="1">IFERROR(__xludf.DUMMYFUNCTION("""COMPUTED_VALUE"""),"20090310FLRIJ")</f>
        <v>20090310FLRIJ</v>
      </c>
      <c r="B1234" s="5" t="str">
        <f ca="1">IFERROR(__xludf.DUMMYFUNCTION("""COMPUTED_VALUE"""),"Teen")</f>
        <v>Teen</v>
      </c>
      <c r="C1234" s="5" t="str">
        <f ca="1">IFERROR(__xludf.DUMMYFUNCTION("""COMPUTED_VALUE"""),"Male")</f>
        <v>Male</v>
      </c>
      <c r="D1234" s="5"/>
      <c r="E1234" s="5" t="str">
        <f ca="1">IFERROR(__xludf.DUMMYFUNCTION("""COMPUTED_VALUE"""),"Student")</f>
        <v>Student</v>
      </c>
      <c r="F1234" s="5" t="str">
        <f ca="1">IFERROR(__xludf.DUMMYFUNCTION("""COMPUTED_VALUE"""),"Fled/Escaped")</f>
        <v>Fled/Escaped</v>
      </c>
      <c r="G1234" s="5" t="str">
        <f ca="1">IFERROR(__xludf.DUMMYFUNCTION("""COMPUTED_VALUE"""),"No")</f>
        <v>No</v>
      </c>
      <c r="H1234" s="5" t="str">
        <f ca="1">IFERROR(__xludf.DUMMYFUNCTION("""COMPUTED_VALUE"""),"None")</f>
        <v>None</v>
      </c>
    </row>
    <row r="1235" spans="1:8">
      <c r="A1235" s="5" t="str">
        <f ca="1">IFERROR(__xludf.DUMMYFUNCTION("""COMPUTED_VALUE"""),"20090310FLRIJ")</f>
        <v>20090310FLRIJ</v>
      </c>
      <c r="B1235" s="5" t="str">
        <f ca="1">IFERROR(__xludf.DUMMYFUNCTION("""COMPUTED_VALUE"""),"Teen")</f>
        <v>Teen</v>
      </c>
      <c r="C1235" s="5" t="str">
        <f ca="1">IFERROR(__xludf.DUMMYFUNCTION("""COMPUTED_VALUE"""),"Male")</f>
        <v>Male</v>
      </c>
      <c r="D1235" s="5"/>
      <c r="E1235" s="5" t="str">
        <f ca="1">IFERROR(__xludf.DUMMYFUNCTION("""COMPUTED_VALUE"""),"Student")</f>
        <v>Student</v>
      </c>
      <c r="F1235" s="5" t="str">
        <f ca="1">IFERROR(__xludf.DUMMYFUNCTION("""COMPUTED_VALUE"""),"Fled/Escaped")</f>
        <v>Fled/Escaped</v>
      </c>
      <c r="G1235" s="5" t="str">
        <f ca="1">IFERROR(__xludf.DUMMYFUNCTION("""COMPUTED_VALUE"""),"No")</f>
        <v>No</v>
      </c>
      <c r="H1235" s="5" t="str">
        <f ca="1">IFERROR(__xludf.DUMMYFUNCTION("""COMPUTED_VALUE"""),"None")</f>
        <v>None</v>
      </c>
    </row>
    <row r="1236" spans="1:8">
      <c r="A1236" s="5" t="str">
        <f ca="1">IFERROR(__xludf.DUMMYFUNCTION("""COMPUTED_VALUE"""),"20090306NCWEF")</f>
        <v>20090306NCWEF</v>
      </c>
      <c r="B1236" s="5">
        <f ca="1">IFERROR(__xludf.DUMMYFUNCTION("""COMPUTED_VALUE"""),19)</f>
        <v>19</v>
      </c>
      <c r="C1236" s="5" t="str">
        <f ca="1">IFERROR(__xludf.DUMMYFUNCTION("""COMPUTED_VALUE"""),"Male")</f>
        <v>Male</v>
      </c>
      <c r="D1236" s="5"/>
      <c r="E1236" s="5" t="str">
        <f ca="1">IFERROR(__xludf.DUMMYFUNCTION("""COMPUTED_VALUE"""),"Unknown")</f>
        <v>Unknown</v>
      </c>
      <c r="F1236" s="5" t="str">
        <f ca="1">IFERROR(__xludf.DUMMYFUNCTION("""COMPUTED_VALUE"""),"Fled/Apprehended")</f>
        <v>Fled/Apprehended</v>
      </c>
      <c r="G1236" s="5" t="str">
        <f ca="1">IFERROR(__xludf.DUMMYFUNCTION("""COMPUTED_VALUE"""),"No")</f>
        <v>No</v>
      </c>
      <c r="H1236" s="5" t="str">
        <f ca="1">IFERROR(__xludf.DUMMYFUNCTION("""COMPUTED_VALUE"""),"None")</f>
        <v>None</v>
      </c>
    </row>
    <row r="1237" spans="1:8">
      <c r="A1237" s="5" t="str">
        <f ca="1">IFERROR(__xludf.DUMMYFUNCTION("""COMPUTED_VALUE"""),"20090302SDROS")</f>
        <v>20090302SDROS</v>
      </c>
      <c r="B1237" s="5">
        <f ca="1">IFERROR(__xludf.DUMMYFUNCTION("""COMPUTED_VALUE"""),10)</f>
        <v>10</v>
      </c>
      <c r="C1237" s="5" t="str">
        <f ca="1">IFERROR(__xludf.DUMMYFUNCTION("""COMPUTED_VALUE"""),"Male")</f>
        <v>Male</v>
      </c>
      <c r="D1237" s="5"/>
      <c r="E1237" s="5" t="str">
        <f ca="1">IFERROR(__xludf.DUMMYFUNCTION("""COMPUTED_VALUE"""),"Student")</f>
        <v>Student</v>
      </c>
      <c r="F1237" s="5" t="str">
        <f ca="1">IFERROR(__xludf.DUMMYFUNCTION("""COMPUTED_VALUE"""),"Apprehended/Killed by LE")</f>
        <v>Apprehended/Killed by LE</v>
      </c>
      <c r="G1237" s="5" t="str">
        <f ca="1">IFERROR(__xludf.DUMMYFUNCTION("""COMPUTED_VALUE"""),"No")</f>
        <v>No</v>
      </c>
      <c r="H1237" s="5" t="str">
        <f ca="1">IFERROR(__xludf.DUMMYFUNCTION("""COMPUTED_VALUE"""),"None")</f>
        <v>None</v>
      </c>
    </row>
    <row r="1238" spans="1:8">
      <c r="A1238" s="5" t="str">
        <f ca="1">IFERROR(__xludf.DUMMYFUNCTION("""COMPUTED_VALUE"""),"20090223CTBRN")</f>
        <v>20090223CTBRN</v>
      </c>
      <c r="B1238" s="5">
        <f ca="1">IFERROR(__xludf.DUMMYFUNCTION("""COMPUTED_VALUE"""),19)</f>
        <v>19</v>
      </c>
      <c r="C1238" s="5" t="str">
        <f ca="1">IFERROR(__xludf.DUMMYFUNCTION("""COMPUTED_VALUE"""),"Male")</f>
        <v>Male</v>
      </c>
      <c r="D1238" s="5"/>
      <c r="E1238" s="5" t="str">
        <f ca="1">IFERROR(__xludf.DUMMYFUNCTION("""COMPUTED_VALUE"""),"Nonstudent")</f>
        <v>Nonstudent</v>
      </c>
      <c r="F1238" s="5" t="str">
        <f ca="1">IFERROR(__xludf.DUMMYFUNCTION("""COMPUTED_VALUE"""),"Fled/Escaped")</f>
        <v>Fled/Escaped</v>
      </c>
      <c r="G1238" s="5" t="str">
        <f ca="1">IFERROR(__xludf.DUMMYFUNCTION("""COMPUTED_VALUE"""),"No")</f>
        <v>No</v>
      </c>
      <c r="H1238" s="5" t="str">
        <f ca="1">IFERROR(__xludf.DUMMYFUNCTION("""COMPUTED_VALUE"""),"Wounded")</f>
        <v>Wounded</v>
      </c>
    </row>
    <row r="1239" spans="1:8">
      <c r="A1239" s="5" t="str">
        <f ca="1">IFERROR(__xludf.DUMMYFUNCTION("""COMPUTED_VALUE"""),"20090220CAJOH")</f>
        <v>20090220CAJOH</v>
      </c>
      <c r="B1239" s="5"/>
      <c r="C1239" s="5" t="str">
        <f ca="1">IFERROR(__xludf.DUMMYFUNCTION("""COMPUTED_VALUE"""),"Male")</f>
        <v>Male</v>
      </c>
      <c r="D1239" s="5"/>
      <c r="E1239" s="5" t="str">
        <f ca="1">IFERROR(__xludf.DUMMYFUNCTION("""COMPUTED_VALUE"""),"Unknown")</f>
        <v>Unknown</v>
      </c>
      <c r="F1239" s="5" t="str">
        <f ca="1">IFERROR(__xludf.DUMMYFUNCTION("""COMPUTED_VALUE"""),"Fled/Escaped")</f>
        <v>Fled/Escaped</v>
      </c>
      <c r="G1239" s="5" t="str">
        <f ca="1">IFERROR(__xludf.DUMMYFUNCTION("""COMPUTED_VALUE"""),"No")</f>
        <v>No</v>
      </c>
      <c r="H1239" s="5" t="str">
        <f ca="1">IFERROR(__xludf.DUMMYFUNCTION("""COMPUTED_VALUE"""),"None")</f>
        <v>None</v>
      </c>
    </row>
    <row r="1240" spans="1:8">
      <c r="A1240" s="5" t="str">
        <f ca="1">IFERROR(__xludf.DUMMYFUNCTION("""COMPUTED_VALUE"""),"20090217MICED")</f>
        <v>20090217MICED</v>
      </c>
      <c r="B1240" s="5">
        <f ca="1">IFERROR(__xludf.DUMMYFUNCTION("""COMPUTED_VALUE"""),17)</f>
        <v>17</v>
      </c>
      <c r="C1240" s="5" t="str">
        <f ca="1">IFERROR(__xludf.DUMMYFUNCTION("""COMPUTED_VALUE"""),"Male")</f>
        <v>Male</v>
      </c>
      <c r="D1240" s="5"/>
      <c r="E1240" s="5" t="str">
        <f ca="1">IFERROR(__xludf.DUMMYFUNCTION("""COMPUTED_VALUE"""),"Nonstudent")</f>
        <v>Nonstudent</v>
      </c>
      <c r="F1240" s="5" t="str">
        <f ca="1">IFERROR(__xludf.DUMMYFUNCTION("""COMPUTED_VALUE"""),"Fled/Escaped")</f>
        <v>Fled/Escaped</v>
      </c>
      <c r="G1240" s="5" t="str">
        <f ca="1">IFERROR(__xludf.DUMMYFUNCTION("""COMPUTED_VALUE"""),"No")</f>
        <v>No</v>
      </c>
      <c r="H1240" s="5" t="str">
        <f ca="1">IFERROR(__xludf.DUMMYFUNCTION("""COMPUTED_VALUE"""),"Wounded")</f>
        <v>Wounded</v>
      </c>
    </row>
    <row r="1241" spans="1:8">
      <c r="A1241" s="5" t="str">
        <f ca="1">IFERROR(__xludf.DUMMYFUNCTION("""COMPUTED_VALUE"""),"20090217MICED")</f>
        <v>20090217MICED</v>
      </c>
      <c r="B1241" s="5">
        <f ca="1">IFERROR(__xludf.DUMMYFUNCTION("""COMPUTED_VALUE"""),19)</f>
        <v>19</v>
      </c>
      <c r="C1241" s="5" t="str">
        <f ca="1">IFERROR(__xludf.DUMMYFUNCTION("""COMPUTED_VALUE"""),"Male")</f>
        <v>Male</v>
      </c>
      <c r="D1241" s="5"/>
      <c r="E1241" s="5" t="str">
        <f ca="1">IFERROR(__xludf.DUMMYFUNCTION("""COMPUTED_VALUE"""),"Nonstudent")</f>
        <v>Nonstudent</v>
      </c>
      <c r="F1241" s="5" t="str">
        <f ca="1">IFERROR(__xludf.DUMMYFUNCTION("""COMPUTED_VALUE"""),"Fled/Escaped")</f>
        <v>Fled/Escaped</v>
      </c>
      <c r="G1241" s="5" t="str">
        <f ca="1">IFERROR(__xludf.DUMMYFUNCTION("""COMPUTED_VALUE"""),"No")</f>
        <v>No</v>
      </c>
      <c r="H1241" s="5" t="str">
        <f ca="1">IFERROR(__xludf.DUMMYFUNCTION("""COMPUTED_VALUE"""),"Wounded")</f>
        <v>Wounded</v>
      </c>
    </row>
    <row r="1242" spans="1:8">
      <c r="A1242" s="5" t="str">
        <f ca="1">IFERROR(__xludf.DUMMYFUNCTION("""COMPUTED_VALUE"""),"20090211NCSCZ")</f>
        <v>20090211NCSCZ</v>
      </c>
      <c r="B1242" s="5">
        <f ca="1">IFERROR(__xludf.DUMMYFUNCTION("""COMPUTED_VALUE"""),11)</f>
        <v>11</v>
      </c>
      <c r="C1242" s="5" t="str">
        <f ca="1">IFERROR(__xludf.DUMMYFUNCTION("""COMPUTED_VALUE"""),"Male")</f>
        <v>Male</v>
      </c>
      <c r="D1242" s="5"/>
      <c r="E1242" s="5" t="str">
        <f ca="1">IFERROR(__xludf.DUMMYFUNCTION("""COMPUTED_VALUE"""),"Student")</f>
        <v>Student</v>
      </c>
      <c r="F1242" s="5" t="str">
        <f ca="1">IFERROR(__xludf.DUMMYFUNCTION("""COMPUTED_VALUE"""),"Surrendered")</f>
        <v>Surrendered</v>
      </c>
      <c r="G1242" s="5" t="str">
        <f ca="1">IFERROR(__xludf.DUMMYFUNCTION("""COMPUTED_VALUE"""),"No")</f>
        <v>No</v>
      </c>
      <c r="H1242" s="5" t="str">
        <f ca="1">IFERROR(__xludf.DUMMYFUNCTION("""COMPUTED_VALUE"""),"None")</f>
        <v>None</v>
      </c>
    </row>
    <row r="1243" spans="1:8">
      <c r="A1243" s="5" t="str">
        <f ca="1">IFERROR(__xludf.DUMMYFUNCTION("""COMPUTED_VALUE"""),"20090210CABAE")</f>
        <v>20090210CABAE</v>
      </c>
      <c r="B1243" s="5">
        <f ca="1">IFERROR(__xludf.DUMMYFUNCTION("""COMPUTED_VALUE"""),9)</f>
        <v>9</v>
      </c>
      <c r="C1243" s="5" t="str">
        <f ca="1">IFERROR(__xludf.DUMMYFUNCTION("""COMPUTED_VALUE"""),"Male")</f>
        <v>Male</v>
      </c>
      <c r="D1243" s="5"/>
      <c r="E1243" s="5" t="str">
        <f ca="1">IFERROR(__xludf.DUMMYFUNCTION("""COMPUTED_VALUE"""),"Student")</f>
        <v>Student</v>
      </c>
      <c r="F1243" s="5" t="str">
        <f ca="1">IFERROR(__xludf.DUMMYFUNCTION("""COMPUTED_VALUE"""),"Unknown")</f>
        <v>Unknown</v>
      </c>
      <c r="G1243" s="5" t="str">
        <f ca="1">IFERROR(__xludf.DUMMYFUNCTION("""COMPUTED_VALUE"""),"No")</f>
        <v>No</v>
      </c>
      <c r="H1243" s="5" t="str">
        <f ca="1">IFERROR(__xludf.DUMMYFUNCTION("""COMPUTED_VALUE"""),"None")</f>
        <v>None</v>
      </c>
    </row>
    <row r="1244" spans="1:8">
      <c r="A1244" s="5" t="str">
        <f ca="1">IFERROR(__xludf.DUMMYFUNCTION("""COMPUTED_VALUE"""),"20090127NCCLC")</f>
        <v>20090127NCCLC</v>
      </c>
      <c r="B1244" s="5">
        <f ca="1">IFERROR(__xludf.DUMMYFUNCTION("""COMPUTED_VALUE"""),18)</f>
        <v>18</v>
      </c>
      <c r="C1244" s="5" t="str">
        <f ca="1">IFERROR(__xludf.DUMMYFUNCTION("""COMPUTED_VALUE"""),"Male")</f>
        <v>Male</v>
      </c>
      <c r="D1244" s="5" t="str">
        <f ca="1">IFERROR(__xludf.DUMMYFUNCTION("""COMPUTED_VALUE"""),"Black")</f>
        <v>Black</v>
      </c>
      <c r="E1244" s="5" t="str">
        <f ca="1">IFERROR(__xludf.DUMMYFUNCTION("""COMPUTED_VALUE"""),"Nonstudent Using Athletic Facilities/Attending Game")</f>
        <v>Nonstudent Using Athletic Facilities/Attending Game</v>
      </c>
      <c r="F1244" s="5" t="str">
        <f ca="1">IFERROR(__xludf.DUMMYFUNCTION("""COMPUTED_VALUE"""),"Fled/Apprehended")</f>
        <v>Fled/Apprehended</v>
      </c>
      <c r="G1244" s="5" t="str">
        <f ca="1">IFERROR(__xludf.DUMMYFUNCTION("""COMPUTED_VALUE"""),"No")</f>
        <v>No</v>
      </c>
      <c r="H1244" s="5" t="str">
        <f ca="1">IFERROR(__xludf.DUMMYFUNCTION("""COMPUTED_VALUE"""),"None")</f>
        <v>None</v>
      </c>
    </row>
    <row r="1245" spans="1:8">
      <c r="A1245" s="5" t="str">
        <f ca="1">IFERROR(__xludf.DUMMYFUNCTION("""COMPUTED_VALUE"""),"20090123ILCAC")</f>
        <v>20090123ILCAC</v>
      </c>
      <c r="B1245" s="5">
        <f ca="1">IFERROR(__xludf.DUMMYFUNCTION("""COMPUTED_VALUE"""),18)</f>
        <v>18</v>
      </c>
      <c r="C1245" s="5" t="str">
        <f ca="1">IFERROR(__xludf.DUMMYFUNCTION("""COMPUTED_VALUE"""),"Male")</f>
        <v>Male</v>
      </c>
      <c r="D1245" s="5"/>
      <c r="E1245" s="5" t="str">
        <f ca="1">IFERROR(__xludf.DUMMYFUNCTION("""COMPUTED_VALUE"""),"Nonstudent Using Athletic Facilities/Attending Game")</f>
        <v>Nonstudent Using Athletic Facilities/Attending Game</v>
      </c>
      <c r="F1245" s="5" t="str">
        <f ca="1">IFERROR(__xludf.DUMMYFUNCTION("""COMPUTED_VALUE"""),"Fled/Apprehended")</f>
        <v>Fled/Apprehended</v>
      </c>
      <c r="G1245" s="5" t="str">
        <f ca="1">IFERROR(__xludf.DUMMYFUNCTION("""COMPUTED_VALUE"""),"No")</f>
        <v>No</v>
      </c>
      <c r="H1245" s="5" t="str">
        <f ca="1">IFERROR(__xludf.DUMMYFUNCTION("""COMPUTED_VALUE"""),"None")</f>
        <v>None</v>
      </c>
    </row>
    <row r="1246" spans="1:8">
      <c r="A1246" s="5" t="str">
        <f ca="1">IFERROR(__xludf.DUMMYFUNCTION("""COMPUTED_VALUE"""),"20090120PAEAE")</f>
        <v>20090120PAEAE</v>
      </c>
      <c r="B1246" s="5">
        <f ca="1">IFERROR(__xludf.DUMMYFUNCTION("""COMPUTED_VALUE"""),15)</f>
        <v>15</v>
      </c>
      <c r="C1246" s="5" t="str">
        <f ca="1">IFERROR(__xludf.DUMMYFUNCTION("""COMPUTED_VALUE"""),"Male")</f>
        <v>Male</v>
      </c>
      <c r="D1246" s="5" t="str">
        <f ca="1">IFERROR(__xludf.DUMMYFUNCTION("""COMPUTED_VALUE"""),"Hispanic")</f>
        <v>Hispanic</v>
      </c>
      <c r="E1246" s="5" t="str">
        <f ca="1">IFERROR(__xludf.DUMMYFUNCTION("""COMPUTED_VALUE"""),"No Relation")</f>
        <v>No Relation</v>
      </c>
      <c r="F1246" s="5" t="str">
        <f ca="1">IFERROR(__xludf.DUMMYFUNCTION("""COMPUTED_VALUE"""),"Fled/Apprehended")</f>
        <v>Fled/Apprehended</v>
      </c>
      <c r="G1246" s="5" t="str">
        <f ca="1">IFERROR(__xludf.DUMMYFUNCTION("""COMPUTED_VALUE"""),"No")</f>
        <v>No</v>
      </c>
      <c r="H1246" s="5" t="str">
        <f ca="1">IFERROR(__xludf.DUMMYFUNCTION("""COMPUTED_VALUE"""),"None")</f>
        <v>None</v>
      </c>
    </row>
    <row r="1247" spans="1:8">
      <c r="A1247" s="5" t="str">
        <f ca="1">IFERROR(__xludf.DUMMYFUNCTION("""COMPUTED_VALUE"""),"20090120MIBEM")</f>
        <v>20090120MIBEM</v>
      </c>
      <c r="B1247" s="5">
        <f ca="1">IFERROR(__xludf.DUMMYFUNCTION("""COMPUTED_VALUE"""),18)</f>
        <v>18</v>
      </c>
      <c r="C1247" s="5" t="str">
        <f ca="1">IFERROR(__xludf.DUMMYFUNCTION("""COMPUTED_VALUE"""),"Male")</f>
        <v>Male</v>
      </c>
      <c r="D1247" s="5"/>
      <c r="E1247" s="5" t="str">
        <f ca="1">IFERROR(__xludf.DUMMYFUNCTION("""COMPUTED_VALUE"""),"Nonstudent Using Athletic Facilities/Attending Game")</f>
        <v>Nonstudent Using Athletic Facilities/Attending Game</v>
      </c>
      <c r="F1247" s="5" t="str">
        <f ca="1">IFERROR(__xludf.DUMMYFUNCTION("""COMPUTED_VALUE"""),"Fled/Apprehended")</f>
        <v>Fled/Apprehended</v>
      </c>
      <c r="G1247" s="5" t="str">
        <f ca="1">IFERROR(__xludf.DUMMYFUNCTION("""COMPUTED_VALUE"""),"No")</f>
        <v>No</v>
      </c>
      <c r="H1247" s="5" t="str">
        <f ca="1">IFERROR(__xludf.DUMMYFUNCTION("""COMPUTED_VALUE"""),"None")</f>
        <v>None</v>
      </c>
    </row>
    <row r="1248" spans="1:8">
      <c r="A1248" s="5" t="str">
        <f ca="1">IFERROR(__xludf.DUMMYFUNCTION("""COMPUTED_VALUE"""),"20090120ILCOC")</f>
        <v>20090120ILCOC</v>
      </c>
      <c r="B1248" s="5">
        <f ca="1">IFERROR(__xludf.DUMMYFUNCTION("""COMPUTED_VALUE"""),16)</f>
        <v>16</v>
      </c>
      <c r="C1248" s="5" t="str">
        <f ca="1">IFERROR(__xludf.DUMMYFUNCTION("""COMPUTED_VALUE"""),"Male")</f>
        <v>Male</v>
      </c>
      <c r="D1248" s="5"/>
      <c r="E1248" s="5" t="str">
        <f ca="1">IFERROR(__xludf.DUMMYFUNCTION("""COMPUTED_VALUE"""),"Student")</f>
        <v>Student</v>
      </c>
      <c r="F1248" s="5" t="str">
        <f ca="1">IFERROR(__xludf.DUMMYFUNCTION("""COMPUTED_VALUE"""),"Fled/Apprehended")</f>
        <v>Fled/Apprehended</v>
      </c>
      <c r="G1248" s="5" t="str">
        <f ca="1">IFERROR(__xludf.DUMMYFUNCTION("""COMPUTED_VALUE"""),"No")</f>
        <v>No</v>
      </c>
      <c r="H1248" s="5" t="str">
        <f ca="1">IFERROR(__xludf.DUMMYFUNCTION("""COMPUTED_VALUE"""),"None")</f>
        <v>None</v>
      </c>
    </row>
    <row r="1249" spans="1:8">
      <c r="A1249" s="5" t="str">
        <f ca="1">IFERROR(__xludf.DUMMYFUNCTION("""COMPUTED_VALUE"""),"20090120ILCOC")</f>
        <v>20090120ILCOC</v>
      </c>
      <c r="B1249" s="5">
        <f ca="1">IFERROR(__xludf.DUMMYFUNCTION("""COMPUTED_VALUE"""),16)</f>
        <v>16</v>
      </c>
      <c r="C1249" s="5" t="str">
        <f ca="1">IFERROR(__xludf.DUMMYFUNCTION("""COMPUTED_VALUE"""),"Male")</f>
        <v>Male</v>
      </c>
      <c r="D1249" s="5"/>
      <c r="E1249" s="5" t="str">
        <f ca="1">IFERROR(__xludf.DUMMYFUNCTION("""COMPUTED_VALUE"""),"Student")</f>
        <v>Student</v>
      </c>
      <c r="F1249" s="5" t="str">
        <f ca="1">IFERROR(__xludf.DUMMYFUNCTION("""COMPUTED_VALUE"""),"Fled/Apprehended")</f>
        <v>Fled/Apprehended</v>
      </c>
      <c r="G1249" s="5" t="str">
        <f ca="1">IFERROR(__xludf.DUMMYFUNCTION("""COMPUTED_VALUE"""),"No")</f>
        <v>No</v>
      </c>
      <c r="H1249" s="5" t="str">
        <f ca="1">IFERROR(__xludf.DUMMYFUNCTION("""COMPUTED_VALUE"""),"None")</f>
        <v>None</v>
      </c>
    </row>
    <row r="1250" spans="1:8">
      <c r="A1250" s="5" t="str">
        <f ca="1">IFERROR(__xludf.DUMMYFUNCTION("""COMPUTED_VALUE"""),"20090114ILPEC")</f>
        <v>20090114ILPEC</v>
      </c>
      <c r="B1250" s="5"/>
      <c r="C1250" s="5"/>
      <c r="D1250" s="5"/>
      <c r="E1250" s="5" t="str">
        <f ca="1">IFERROR(__xludf.DUMMYFUNCTION("""COMPUTED_VALUE"""),"Unknown")</f>
        <v>Unknown</v>
      </c>
      <c r="F1250" s="5" t="str">
        <f ca="1">IFERROR(__xludf.DUMMYFUNCTION("""COMPUTED_VALUE"""),"Fled/Escaped")</f>
        <v>Fled/Escaped</v>
      </c>
      <c r="G1250" s="5" t="str">
        <f ca="1">IFERROR(__xludf.DUMMYFUNCTION("""COMPUTED_VALUE"""),"No")</f>
        <v>No</v>
      </c>
      <c r="H1250" s="5" t="str">
        <f ca="1">IFERROR(__xludf.DUMMYFUNCTION("""COMPUTED_VALUE"""),"None")</f>
        <v>None</v>
      </c>
    </row>
    <row r="1251" spans="1:8">
      <c r="A1251" s="5" t="str">
        <f ca="1">IFERROR(__xludf.DUMMYFUNCTION("""COMPUTED_VALUE"""),"20090109ILDUC")</f>
        <v>20090109ILDUC</v>
      </c>
      <c r="B1251" s="5">
        <f ca="1">IFERROR(__xludf.DUMMYFUNCTION("""COMPUTED_VALUE"""),18)</f>
        <v>18</v>
      </c>
      <c r="C1251" s="5" t="str">
        <f ca="1">IFERROR(__xludf.DUMMYFUNCTION("""COMPUTED_VALUE"""),"Male")</f>
        <v>Male</v>
      </c>
      <c r="D1251" s="5" t="str">
        <f ca="1">IFERROR(__xludf.DUMMYFUNCTION("""COMPUTED_VALUE"""),"Black")</f>
        <v>Black</v>
      </c>
      <c r="E1251" s="5" t="str">
        <f ca="1">IFERROR(__xludf.DUMMYFUNCTION("""COMPUTED_VALUE"""),"Student")</f>
        <v>Student</v>
      </c>
      <c r="F1251" s="5" t="str">
        <f ca="1">IFERROR(__xludf.DUMMYFUNCTION("""COMPUTED_VALUE"""),"Fled/Apprehended")</f>
        <v>Fled/Apprehended</v>
      </c>
      <c r="G1251" s="5" t="str">
        <f ca="1">IFERROR(__xludf.DUMMYFUNCTION("""COMPUTED_VALUE"""),"No")</f>
        <v>No</v>
      </c>
      <c r="H1251" s="5" t="str">
        <f ca="1">IFERROR(__xludf.DUMMYFUNCTION("""COMPUTED_VALUE"""),"None")</f>
        <v>None</v>
      </c>
    </row>
    <row r="1252" spans="1:8">
      <c r="A1252" s="5" t="str">
        <f ca="1">IFERROR(__xludf.DUMMYFUNCTION("""COMPUTED_VALUE"""),"20090108DEWIN")</f>
        <v>20090108DEWIN</v>
      </c>
      <c r="B1252" s="5" t="str">
        <f ca="1">IFERROR(__xludf.DUMMYFUNCTION("""COMPUTED_VALUE"""),"Adult")</f>
        <v>Adult</v>
      </c>
      <c r="C1252" s="5" t="str">
        <f ca="1">IFERROR(__xludf.DUMMYFUNCTION("""COMPUTED_VALUE"""),"Female")</f>
        <v>Female</v>
      </c>
      <c r="D1252" s="5"/>
      <c r="E1252" s="5" t="str">
        <f ca="1">IFERROR(__xludf.DUMMYFUNCTION("""COMPUTED_VALUE"""),"Police Officer/SRO")</f>
        <v>Police Officer/SRO</v>
      </c>
      <c r="F1252" s="5" t="str">
        <f ca="1">IFERROR(__xludf.DUMMYFUNCTION("""COMPUTED_VALUE"""),"Law Enforcement")</f>
        <v>Law Enforcement</v>
      </c>
      <c r="G1252" s="5" t="str">
        <f ca="1">IFERROR(__xludf.DUMMYFUNCTION("""COMPUTED_VALUE"""),"No")</f>
        <v>No</v>
      </c>
      <c r="H1252" s="5" t="str">
        <f ca="1">IFERROR(__xludf.DUMMYFUNCTION("""COMPUTED_VALUE"""),"None")</f>
        <v>None</v>
      </c>
    </row>
    <row r="1253" spans="1:8">
      <c r="A1253" s="5" t="str">
        <f ca="1">IFERROR(__xludf.DUMMYFUNCTION("""COMPUTED_VALUE"""),"20081231OKKEN")</f>
        <v>20081231OKKEN</v>
      </c>
      <c r="B1253" s="5">
        <f ca="1">IFERROR(__xludf.DUMMYFUNCTION("""COMPUTED_VALUE"""),68)</f>
        <v>68</v>
      </c>
      <c r="C1253" s="5" t="str">
        <f ca="1">IFERROR(__xludf.DUMMYFUNCTION("""COMPUTED_VALUE"""),"Male")</f>
        <v>Male</v>
      </c>
      <c r="D1253" s="5"/>
      <c r="E1253" s="5" t="str">
        <f ca="1">IFERROR(__xludf.DUMMYFUNCTION("""COMPUTED_VALUE"""),"Unknown")</f>
        <v>Unknown</v>
      </c>
      <c r="F1253" s="5" t="str">
        <f ca="1">IFERROR(__xludf.DUMMYFUNCTION("""COMPUTED_VALUE"""),"Suicide")</f>
        <v>Suicide</v>
      </c>
      <c r="G1253" s="5" t="str">
        <f ca="1">IFERROR(__xludf.DUMMYFUNCTION("""COMPUTED_VALUE"""),"Yes")</f>
        <v>Yes</v>
      </c>
      <c r="H1253" s="5" t="str">
        <f ca="1">IFERROR(__xludf.DUMMYFUNCTION("""COMPUTED_VALUE"""),"Suicide")</f>
        <v>Suicide</v>
      </c>
    </row>
    <row r="1254" spans="1:8">
      <c r="A1254" s="5" t="str">
        <f ca="1">IFERROR(__xludf.DUMMYFUNCTION("""COMPUTED_VALUE"""),"20081231GASHS")</f>
        <v>20081231GASHS</v>
      </c>
      <c r="B1254" s="5">
        <f ca="1">IFERROR(__xludf.DUMMYFUNCTION("""COMPUTED_VALUE"""),18)</f>
        <v>18</v>
      </c>
      <c r="C1254" s="5" t="str">
        <f ca="1">IFERROR(__xludf.DUMMYFUNCTION("""COMPUTED_VALUE"""),"Female")</f>
        <v>Female</v>
      </c>
      <c r="D1254" s="5"/>
      <c r="E1254" s="5" t="str">
        <f ca="1">IFERROR(__xludf.DUMMYFUNCTION("""COMPUTED_VALUE"""),"Unknown")</f>
        <v>Unknown</v>
      </c>
      <c r="F1254" s="5" t="str">
        <f ca="1">IFERROR(__xludf.DUMMYFUNCTION("""COMPUTED_VALUE"""),"Unknown")</f>
        <v>Unknown</v>
      </c>
      <c r="G1254" s="5" t="str">
        <f ca="1">IFERROR(__xludf.DUMMYFUNCTION("""COMPUTED_VALUE"""),"No")</f>
        <v>No</v>
      </c>
      <c r="H1254" s="5" t="str">
        <f ca="1">IFERROR(__xludf.DUMMYFUNCTION("""COMPUTED_VALUE"""),"None")</f>
        <v>None</v>
      </c>
    </row>
    <row r="1255" spans="1:8">
      <c r="A1255" s="5" t="str">
        <f ca="1">IFERROR(__xludf.DUMMYFUNCTION("""COMPUTED_VALUE"""),"20081227PAWIP")</f>
        <v>20081227PAWIP</v>
      </c>
      <c r="B1255" s="5"/>
      <c r="C1255" s="5"/>
      <c r="D1255" s="5"/>
      <c r="E1255" s="5" t="str">
        <f ca="1">IFERROR(__xludf.DUMMYFUNCTION("""COMPUTED_VALUE"""),"Unknown")</f>
        <v>Unknown</v>
      </c>
      <c r="F1255" s="5" t="str">
        <f ca="1">IFERROR(__xludf.DUMMYFUNCTION("""COMPUTED_VALUE"""),"Fled/Escaped")</f>
        <v>Fled/Escaped</v>
      </c>
      <c r="G1255" s="5" t="str">
        <f ca="1">IFERROR(__xludf.DUMMYFUNCTION("""COMPUTED_VALUE"""),"No")</f>
        <v>No</v>
      </c>
      <c r="H1255" s="5" t="str">
        <f ca="1">IFERROR(__xludf.DUMMYFUNCTION("""COMPUTED_VALUE"""),"None")</f>
        <v>None</v>
      </c>
    </row>
    <row r="1256" spans="1:8">
      <c r="A1256" s="5" t="str">
        <f ca="1">IFERROR(__xludf.DUMMYFUNCTION("""COMPUTED_VALUE"""),"20081222FLLAL")</f>
        <v>20081222FLLAL</v>
      </c>
      <c r="B1256" s="5">
        <f ca="1">IFERROR(__xludf.DUMMYFUNCTION("""COMPUTED_VALUE"""),47)</f>
        <v>47</v>
      </c>
      <c r="C1256" s="5" t="str">
        <f ca="1">IFERROR(__xludf.DUMMYFUNCTION("""COMPUTED_VALUE"""),"Female")</f>
        <v>Female</v>
      </c>
      <c r="D1256" s="5" t="str">
        <f ca="1">IFERROR(__xludf.DUMMYFUNCTION("""COMPUTED_VALUE"""),"White")</f>
        <v>White</v>
      </c>
      <c r="E1256" s="5" t="str">
        <f ca="1">IFERROR(__xludf.DUMMYFUNCTION("""COMPUTED_VALUE"""),"Unknown")</f>
        <v>Unknown</v>
      </c>
      <c r="F1256" s="5" t="str">
        <f ca="1">IFERROR(__xludf.DUMMYFUNCTION("""COMPUTED_VALUE"""),"Suicide")</f>
        <v>Suicide</v>
      </c>
      <c r="G1256" s="5" t="str">
        <f ca="1">IFERROR(__xludf.DUMMYFUNCTION("""COMPUTED_VALUE"""),"Yes")</f>
        <v>Yes</v>
      </c>
      <c r="H1256" s="5" t="str">
        <f ca="1">IFERROR(__xludf.DUMMYFUNCTION("""COMPUTED_VALUE"""),"Suicide")</f>
        <v>Suicide</v>
      </c>
    </row>
    <row r="1257" spans="1:8">
      <c r="A1257" s="5" t="str">
        <f ca="1">IFERROR(__xludf.DUMMYFUNCTION("""COMPUTED_VALUE"""),"20081221SCSUS")</f>
        <v>20081221SCSUS</v>
      </c>
      <c r="B1257" s="5">
        <f ca="1">IFERROR(__xludf.DUMMYFUNCTION("""COMPUTED_VALUE"""),22)</f>
        <v>22</v>
      </c>
      <c r="C1257" s="5" t="str">
        <f ca="1">IFERROR(__xludf.DUMMYFUNCTION("""COMPUTED_VALUE"""),"Male")</f>
        <v>Male</v>
      </c>
      <c r="D1257" s="5"/>
      <c r="E1257" s="5" t="str">
        <f ca="1">IFERROR(__xludf.DUMMYFUNCTION("""COMPUTED_VALUE"""),"Unknown")</f>
        <v>Unknown</v>
      </c>
      <c r="F1257" s="5" t="str">
        <f ca="1">IFERROR(__xludf.DUMMYFUNCTION("""COMPUTED_VALUE"""),"Fled/Apprehended")</f>
        <v>Fled/Apprehended</v>
      </c>
      <c r="G1257" s="5" t="str">
        <f ca="1">IFERROR(__xludf.DUMMYFUNCTION("""COMPUTED_VALUE"""),"No")</f>
        <v>No</v>
      </c>
      <c r="H1257" s="5" t="str">
        <f ca="1">IFERROR(__xludf.DUMMYFUNCTION("""COMPUTED_VALUE"""),"None")</f>
        <v>None</v>
      </c>
    </row>
    <row r="1258" spans="1:8">
      <c r="A1258" s="5" t="str">
        <f ca="1">IFERROR(__xludf.DUMMYFUNCTION("""COMPUTED_VALUE"""),"20081212NYWIM")</f>
        <v>20081212NYWIM</v>
      </c>
      <c r="B1258" s="5">
        <f ca="1">IFERROR(__xludf.DUMMYFUNCTION("""COMPUTED_VALUE"""),27)</f>
        <v>27</v>
      </c>
      <c r="C1258" s="5" t="str">
        <f ca="1">IFERROR(__xludf.DUMMYFUNCTION("""COMPUTED_VALUE"""),"Male")</f>
        <v>Male</v>
      </c>
      <c r="D1258" s="5" t="str">
        <f ca="1">IFERROR(__xludf.DUMMYFUNCTION("""COMPUTED_VALUE"""),"Black")</f>
        <v>Black</v>
      </c>
      <c r="E1258" s="5" t="str">
        <f ca="1">IFERROR(__xludf.DUMMYFUNCTION("""COMPUTED_VALUE"""),"Unknown")</f>
        <v>Unknown</v>
      </c>
      <c r="F1258" s="5" t="str">
        <f ca="1">IFERROR(__xludf.DUMMYFUNCTION("""COMPUTED_VALUE"""),"Fled/Apprehended")</f>
        <v>Fled/Apprehended</v>
      </c>
      <c r="G1258" s="5" t="str">
        <f ca="1">IFERROR(__xludf.DUMMYFUNCTION("""COMPUTED_VALUE"""),"No")</f>
        <v>No</v>
      </c>
      <c r="H1258" s="5" t="str">
        <f ca="1">IFERROR(__xludf.DUMMYFUNCTION("""COMPUTED_VALUE"""),"None")</f>
        <v>None</v>
      </c>
    </row>
    <row r="1259" spans="1:8">
      <c r="A1259" s="5" t="str">
        <f ca="1">IFERROR(__xludf.DUMMYFUNCTION("""COMPUTED_VALUE"""),"20081212NCGUA")</f>
        <v>20081212NCGUA</v>
      </c>
      <c r="B1259" s="5">
        <f ca="1">IFERROR(__xludf.DUMMYFUNCTION("""COMPUTED_VALUE"""),16)</f>
        <v>16</v>
      </c>
      <c r="C1259" s="5" t="str">
        <f ca="1">IFERROR(__xludf.DUMMYFUNCTION("""COMPUTED_VALUE"""),"Female")</f>
        <v>Female</v>
      </c>
      <c r="D1259" s="5"/>
      <c r="E1259" s="5" t="str">
        <f ca="1">IFERROR(__xludf.DUMMYFUNCTION("""COMPUTED_VALUE"""),"Unknown")</f>
        <v>Unknown</v>
      </c>
      <c r="F1259" s="5" t="str">
        <f ca="1">IFERROR(__xludf.DUMMYFUNCTION("""COMPUTED_VALUE"""),"Surrendered")</f>
        <v>Surrendered</v>
      </c>
      <c r="G1259" s="5" t="str">
        <f ca="1">IFERROR(__xludf.DUMMYFUNCTION("""COMPUTED_VALUE"""),"No")</f>
        <v>No</v>
      </c>
      <c r="H1259" s="5" t="str">
        <f ca="1">IFERROR(__xludf.DUMMYFUNCTION("""COMPUTED_VALUE"""),"None")</f>
        <v>None</v>
      </c>
    </row>
    <row r="1260" spans="1:8">
      <c r="A1260" s="5" t="str">
        <f ca="1">IFERROR(__xludf.DUMMYFUNCTION("""COMPUTED_VALUE"""),"20081205MNSHF")</f>
        <v>20081205MNSHF</v>
      </c>
      <c r="B1260" s="5">
        <f ca="1">IFERROR(__xludf.DUMMYFUNCTION("""COMPUTED_VALUE"""),34)</f>
        <v>34</v>
      </c>
      <c r="C1260" s="5" t="str">
        <f ca="1">IFERROR(__xludf.DUMMYFUNCTION("""COMPUTED_VALUE"""),"Male")</f>
        <v>Male</v>
      </c>
      <c r="D1260" s="5"/>
      <c r="E1260" s="5" t="str">
        <f ca="1">IFERROR(__xludf.DUMMYFUNCTION("""COMPUTED_VALUE"""),"Teacher")</f>
        <v>Teacher</v>
      </c>
      <c r="F1260" s="5" t="str">
        <f ca="1">IFERROR(__xludf.DUMMYFUNCTION("""COMPUTED_VALUE"""),"Suicide")</f>
        <v>Suicide</v>
      </c>
      <c r="G1260" s="5" t="str">
        <f ca="1">IFERROR(__xludf.DUMMYFUNCTION("""COMPUTED_VALUE"""),"Yes")</f>
        <v>Yes</v>
      </c>
      <c r="H1260" s="5" t="str">
        <f ca="1">IFERROR(__xludf.DUMMYFUNCTION("""COMPUTED_VALUE"""),"Suicide")</f>
        <v>Suicide</v>
      </c>
    </row>
    <row r="1261" spans="1:8">
      <c r="A1261" s="5" t="str">
        <f ca="1">IFERROR(__xludf.DUMMYFUNCTION("""COMPUTED_VALUE"""),"20081202CAKIK")</f>
        <v>20081202CAKIK</v>
      </c>
      <c r="B1261" s="5">
        <f ca="1">IFERROR(__xludf.DUMMYFUNCTION("""COMPUTED_VALUE"""),17)</f>
        <v>17</v>
      </c>
      <c r="C1261" s="5" t="str">
        <f ca="1">IFERROR(__xludf.DUMMYFUNCTION("""COMPUTED_VALUE"""),"Male")</f>
        <v>Male</v>
      </c>
      <c r="D1261" s="5"/>
      <c r="E1261" s="5" t="str">
        <f ca="1">IFERROR(__xludf.DUMMYFUNCTION("""COMPUTED_VALUE"""),"Unknown")</f>
        <v>Unknown</v>
      </c>
      <c r="F1261" s="5" t="str">
        <f ca="1">IFERROR(__xludf.DUMMYFUNCTION("""COMPUTED_VALUE"""),"Fled/Apprehended")</f>
        <v>Fled/Apprehended</v>
      </c>
      <c r="G1261" s="5" t="str">
        <f ca="1">IFERROR(__xludf.DUMMYFUNCTION("""COMPUTED_VALUE"""),"No")</f>
        <v>No</v>
      </c>
      <c r="H1261" s="5" t="str">
        <f ca="1">IFERROR(__xludf.DUMMYFUNCTION("""COMPUTED_VALUE"""),"None")</f>
        <v>None</v>
      </c>
    </row>
    <row r="1262" spans="1:8">
      <c r="A1262" s="5" t="str">
        <f ca="1">IFERROR(__xludf.DUMMYFUNCTION("""COMPUTED_VALUE"""),"20081130CAOAG")</f>
        <v>20081130CAOAG</v>
      </c>
      <c r="B1262" s="5" t="str">
        <f ca="1">IFERROR(__xludf.DUMMYFUNCTION("""COMPUTED_VALUE"""),"Adult")</f>
        <v>Adult</v>
      </c>
      <c r="C1262" s="5" t="str">
        <f ca="1">IFERROR(__xludf.DUMMYFUNCTION("""COMPUTED_VALUE"""),"Male")</f>
        <v>Male</v>
      </c>
      <c r="D1262" s="5"/>
      <c r="E1262" s="5" t="str">
        <f ca="1">IFERROR(__xludf.DUMMYFUNCTION("""COMPUTED_VALUE"""),"No Relation")</f>
        <v>No Relation</v>
      </c>
      <c r="F1262" s="5" t="str">
        <f ca="1">IFERROR(__xludf.DUMMYFUNCTION("""COMPUTED_VALUE"""),"Fled/Escaped")</f>
        <v>Fled/Escaped</v>
      </c>
      <c r="G1262" s="5" t="str">
        <f ca="1">IFERROR(__xludf.DUMMYFUNCTION("""COMPUTED_VALUE"""),"No")</f>
        <v>No</v>
      </c>
      <c r="H1262" s="5" t="str">
        <f ca="1">IFERROR(__xludf.DUMMYFUNCTION("""COMPUTED_VALUE"""),"None")</f>
        <v>None</v>
      </c>
    </row>
    <row r="1263" spans="1:8">
      <c r="A1263" s="5" t="str">
        <f ca="1">IFERROR(__xludf.DUMMYFUNCTION("""COMPUTED_VALUE"""),"20081125TXNOH")</f>
        <v>20081125TXNOH</v>
      </c>
      <c r="B1263" s="5">
        <f ca="1">IFERROR(__xludf.DUMMYFUNCTION("""COMPUTED_VALUE"""),18)</f>
        <v>18</v>
      </c>
      <c r="C1263" s="5" t="str">
        <f ca="1">IFERROR(__xludf.DUMMYFUNCTION("""COMPUTED_VALUE"""),"Male")</f>
        <v>Male</v>
      </c>
      <c r="D1263" s="5"/>
      <c r="E1263" s="5" t="str">
        <f ca="1">IFERROR(__xludf.DUMMYFUNCTION("""COMPUTED_VALUE"""),"Unknown")</f>
        <v>Unknown</v>
      </c>
      <c r="F1263" s="5" t="str">
        <f ca="1">IFERROR(__xludf.DUMMYFUNCTION("""COMPUTED_VALUE"""),"Fled/Escaped")</f>
        <v>Fled/Escaped</v>
      </c>
      <c r="G1263" s="5" t="str">
        <f ca="1">IFERROR(__xludf.DUMMYFUNCTION("""COMPUTED_VALUE"""),"No")</f>
        <v>No</v>
      </c>
      <c r="H1263" s="5" t="str">
        <f ca="1">IFERROR(__xludf.DUMMYFUNCTION("""COMPUTED_VALUE"""),"None")</f>
        <v>None</v>
      </c>
    </row>
    <row r="1264" spans="1:8">
      <c r="A1264" s="5" t="str">
        <f ca="1">IFERROR(__xludf.DUMMYFUNCTION("""COMPUTED_VALUE"""),"20081118CACOO")</f>
        <v>20081118CACOO</v>
      </c>
      <c r="B1264" s="5">
        <f ca="1">IFERROR(__xludf.DUMMYFUNCTION("""COMPUTED_VALUE"""),13)</f>
        <v>13</v>
      </c>
      <c r="C1264" s="5" t="str">
        <f ca="1">IFERROR(__xludf.DUMMYFUNCTION("""COMPUTED_VALUE"""),"Male")</f>
        <v>Male</v>
      </c>
      <c r="D1264" s="5"/>
      <c r="E1264" s="5" t="str">
        <f ca="1">IFERROR(__xludf.DUMMYFUNCTION("""COMPUTED_VALUE"""),"Student")</f>
        <v>Student</v>
      </c>
      <c r="F1264" s="5" t="str">
        <f ca="1">IFERROR(__xludf.DUMMYFUNCTION("""COMPUTED_VALUE"""),"Surrendered")</f>
        <v>Surrendered</v>
      </c>
      <c r="G1264" s="5" t="str">
        <f ca="1">IFERROR(__xludf.DUMMYFUNCTION("""COMPUTED_VALUE"""),"No")</f>
        <v>No</v>
      </c>
      <c r="H1264" s="5" t="str">
        <f ca="1">IFERROR(__xludf.DUMMYFUNCTION("""COMPUTED_VALUE"""),"None")</f>
        <v>None</v>
      </c>
    </row>
    <row r="1265" spans="1:8">
      <c r="A1265" s="5" t="str">
        <f ca="1">IFERROR(__xludf.DUMMYFUNCTION("""COMPUTED_VALUE"""),"20081118CACEC")</f>
        <v>20081118CACEC</v>
      </c>
      <c r="B1265" s="5">
        <f ca="1">IFERROR(__xludf.DUMMYFUNCTION("""COMPUTED_VALUE"""),18)</f>
        <v>18</v>
      </c>
      <c r="C1265" s="5" t="str">
        <f ca="1">IFERROR(__xludf.DUMMYFUNCTION("""COMPUTED_VALUE"""),"Male")</f>
        <v>Male</v>
      </c>
      <c r="D1265" s="5"/>
      <c r="E1265" s="5" t="str">
        <f ca="1">IFERROR(__xludf.DUMMYFUNCTION("""COMPUTED_VALUE"""),"Student")</f>
        <v>Student</v>
      </c>
      <c r="F1265" s="5" t="str">
        <f ca="1">IFERROR(__xludf.DUMMYFUNCTION("""COMPUTED_VALUE"""),"Fled/Apprehended")</f>
        <v>Fled/Apprehended</v>
      </c>
      <c r="G1265" s="5" t="str">
        <f ca="1">IFERROR(__xludf.DUMMYFUNCTION("""COMPUTED_VALUE"""),"No")</f>
        <v>No</v>
      </c>
      <c r="H1265" s="5" t="str">
        <f ca="1">IFERROR(__xludf.DUMMYFUNCTION("""COMPUTED_VALUE"""),"None")</f>
        <v>None</v>
      </c>
    </row>
    <row r="1266" spans="1:8">
      <c r="A1266" s="5" t="str">
        <f ca="1">IFERROR(__xludf.DUMMYFUNCTION("""COMPUTED_VALUE"""),"20081115UTDES")</f>
        <v>20081115UTDES</v>
      </c>
      <c r="B1266" s="5">
        <f ca="1">IFERROR(__xludf.DUMMYFUNCTION("""COMPUTED_VALUE"""),15)</f>
        <v>15</v>
      </c>
      <c r="C1266" s="5" t="str">
        <f ca="1">IFERROR(__xludf.DUMMYFUNCTION("""COMPUTED_VALUE"""),"Male")</f>
        <v>Male</v>
      </c>
      <c r="D1266" s="5"/>
      <c r="E1266" s="5" t="str">
        <f ca="1">IFERROR(__xludf.DUMMYFUNCTION("""COMPUTED_VALUE"""),"Student")</f>
        <v>Student</v>
      </c>
      <c r="F1266" s="5" t="str">
        <f ca="1">IFERROR(__xludf.DUMMYFUNCTION("""COMPUTED_VALUE"""),"Other")</f>
        <v>Other</v>
      </c>
      <c r="G1266" s="5" t="str">
        <f ca="1">IFERROR(__xludf.DUMMYFUNCTION("""COMPUTED_VALUE"""),"No")</f>
        <v>No</v>
      </c>
      <c r="H1266" s="5" t="str">
        <f ca="1">IFERROR(__xludf.DUMMYFUNCTION("""COMPUTED_VALUE"""),"None")</f>
        <v>None</v>
      </c>
    </row>
    <row r="1267" spans="1:8">
      <c r="A1267" s="5" t="str">
        <f ca="1">IFERROR(__xludf.DUMMYFUNCTION("""COMPUTED_VALUE"""),"20081115COTHL")</f>
        <v>20081115COTHL</v>
      </c>
      <c r="B1267" s="5">
        <f ca="1">IFERROR(__xludf.DUMMYFUNCTION("""COMPUTED_VALUE"""),18)</f>
        <v>18</v>
      </c>
      <c r="C1267" s="5" t="str">
        <f ca="1">IFERROR(__xludf.DUMMYFUNCTION("""COMPUTED_VALUE"""),"Male")</f>
        <v>Male</v>
      </c>
      <c r="D1267" s="5"/>
      <c r="E1267" s="5" t="str">
        <f ca="1">IFERROR(__xludf.DUMMYFUNCTION("""COMPUTED_VALUE"""),"Student")</f>
        <v>Student</v>
      </c>
      <c r="F1267" s="5" t="str">
        <f ca="1">IFERROR(__xludf.DUMMYFUNCTION("""COMPUTED_VALUE"""),"Apprehended/Killed by LE")</f>
        <v>Apprehended/Killed by LE</v>
      </c>
      <c r="G1267" s="5" t="str">
        <f ca="1">IFERROR(__xludf.DUMMYFUNCTION("""COMPUTED_VALUE"""),"No")</f>
        <v>No</v>
      </c>
      <c r="H1267" s="5" t="str">
        <f ca="1">IFERROR(__xludf.DUMMYFUNCTION("""COMPUTED_VALUE"""),"None")</f>
        <v>None</v>
      </c>
    </row>
    <row r="1268" spans="1:8">
      <c r="A1268" s="5" t="str">
        <f ca="1">IFERROR(__xludf.DUMMYFUNCTION("""COMPUTED_VALUE"""),"20081112FLDIF")</f>
        <v>20081112FLDIF</v>
      </c>
      <c r="B1268" s="5">
        <f ca="1">IFERROR(__xludf.DUMMYFUNCTION("""COMPUTED_VALUE"""),15)</f>
        <v>15</v>
      </c>
      <c r="C1268" s="5" t="str">
        <f ca="1">IFERROR(__xludf.DUMMYFUNCTION("""COMPUTED_VALUE"""),"Female")</f>
        <v>Female</v>
      </c>
      <c r="D1268" s="5" t="str">
        <f ca="1">IFERROR(__xludf.DUMMYFUNCTION("""COMPUTED_VALUE"""),"Black")</f>
        <v>Black</v>
      </c>
      <c r="E1268" s="5" t="str">
        <f ca="1">IFERROR(__xludf.DUMMYFUNCTION("""COMPUTED_VALUE"""),"Student")</f>
        <v>Student</v>
      </c>
      <c r="F1268" s="5" t="str">
        <f ca="1">IFERROR(__xludf.DUMMYFUNCTION("""COMPUTED_VALUE"""),"Fled/Apprehended")</f>
        <v>Fled/Apprehended</v>
      </c>
      <c r="G1268" s="5" t="str">
        <f ca="1">IFERROR(__xludf.DUMMYFUNCTION("""COMPUTED_VALUE"""),"No")</f>
        <v>No</v>
      </c>
      <c r="H1268" s="5" t="str">
        <f ca="1">IFERROR(__xludf.DUMMYFUNCTION("""COMPUTED_VALUE"""),"None")</f>
        <v>None</v>
      </c>
    </row>
    <row r="1269" spans="1:8">
      <c r="A1269" s="5" t="str">
        <f ca="1">IFERROR(__xludf.DUMMYFUNCTION("""COMPUTED_VALUE"""),"20081103CAELO")</f>
        <v>20081103CAELO</v>
      </c>
      <c r="B1269" s="5"/>
      <c r="C1269" s="5"/>
      <c r="D1269" s="5"/>
      <c r="E1269" s="5" t="str">
        <f ca="1">IFERROR(__xludf.DUMMYFUNCTION("""COMPUTED_VALUE"""),"Unknown")</f>
        <v>Unknown</v>
      </c>
      <c r="F1269" s="5" t="str">
        <f ca="1">IFERROR(__xludf.DUMMYFUNCTION("""COMPUTED_VALUE"""),"Fled/Escaped")</f>
        <v>Fled/Escaped</v>
      </c>
      <c r="G1269" s="5" t="str">
        <f ca="1">IFERROR(__xludf.DUMMYFUNCTION("""COMPUTED_VALUE"""),"No")</f>
        <v>No</v>
      </c>
      <c r="H1269" s="5" t="str">
        <f ca="1">IFERROR(__xludf.DUMMYFUNCTION("""COMPUTED_VALUE"""),"None")</f>
        <v>None</v>
      </c>
    </row>
    <row r="1270" spans="1:8">
      <c r="A1270" s="5" t="str">
        <f ca="1">IFERROR(__xludf.DUMMYFUNCTION("""COMPUTED_VALUE"""),"20081103CABEB")</f>
        <v>20081103CABEB</v>
      </c>
      <c r="B1270" s="5"/>
      <c r="C1270" s="5"/>
      <c r="D1270" s="5"/>
      <c r="E1270" s="5" t="str">
        <f ca="1">IFERROR(__xludf.DUMMYFUNCTION("""COMPUTED_VALUE"""),"Unknown")</f>
        <v>Unknown</v>
      </c>
      <c r="F1270" s="5" t="str">
        <f ca="1">IFERROR(__xludf.DUMMYFUNCTION("""COMPUTED_VALUE"""),"Fled/Escaped")</f>
        <v>Fled/Escaped</v>
      </c>
      <c r="G1270" s="5" t="str">
        <f ca="1">IFERROR(__xludf.DUMMYFUNCTION("""COMPUTED_VALUE"""),"No")</f>
        <v>No</v>
      </c>
      <c r="H1270" s="5" t="str">
        <f ca="1">IFERROR(__xludf.DUMMYFUNCTION("""COMPUTED_VALUE"""),"None")</f>
        <v>None</v>
      </c>
    </row>
    <row r="1271" spans="1:8">
      <c r="A1271" s="5" t="str">
        <f ca="1">IFERROR(__xludf.DUMMYFUNCTION("""COMPUTED_VALUE"""),"20081031MESTS")</f>
        <v>20081031MESTS</v>
      </c>
      <c r="B1271" s="5">
        <f ca="1">IFERROR(__xludf.DUMMYFUNCTION("""COMPUTED_VALUE"""),55)</f>
        <v>55</v>
      </c>
      <c r="C1271" s="5" t="str">
        <f ca="1">IFERROR(__xludf.DUMMYFUNCTION("""COMPUTED_VALUE"""),"Male")</f>
        <v>Male</v>
      </c>
      <c r="D1271" s="5"/>
      <c r="E1271" s="5" t="str">
        <f ca="1">IFERROR(__xludf.DUMMYFUNCTION("""COMPUTED_VALUE"""),"No Relation")</f>
        <v>No Relation</v>
      </c>
      <c r="F1271" s="5" t="str">
        <f ca="1">IFERROR(__xludf.DUMMYFUNCTION("""COMPUTED_VALUE"""),"Apprehended/Killed by LE")</f>
        <v>Apprehended/Killed by LE</v>
      </c>
      <c r="G1271" s="5" t="str">
        <f ca="1">IFERROR(__xludf.DUMMYFUNCTION("""COMPUTED_VALUE"""),"No")</f>
        <v>No</v>
      </c>
      <c r="H1271" s="5" t="str">
        <f ca="1">IFERROR(__xludf.DUMMYFUNCTION("""COMPUTED_VALUE"""),"None")</f>
        <v>None</v>
      </c>
    </row>
    <row r="1272" spans="1:8">
      <c r="A1272" s="5" t="str">
        <f ca="1">IFERROR(__xludf.DUMMYFUNCTION("""COMPUTED_VALUE"""),"20081029CAELG")</f>
        <v>20081029CAELG</v>
      </c>
      <c r="B1272" s="5">
        <f ca="1">IFERROR(__xludf.DUMMYFUNCTION("""COMPUTED_VALUE"""),10)</f>
        <v>10</v>
      </c>
      <c r="C1272" s="5" t="str">
        <f ca="1">IFERROR(__xludf.DUMMYFUNCTION("""COMPUTED_VALUE"""),"Male")</f>
        <v>Male</v>
      </c>
      <c r="D1272" s="5"/>
      <c r="E1272" s="5" t="str">
        <f ca="1">IFERROR(__xludf.DUMMYFUNCTION("""COMPUTED_VALUE"""),"Student")</f>
        <v>Student</v>
      </c>
      <c r="F1272" s="5" t="str">
        <f ca="1">IFERROR(__xludf.DUMMYFUNCTION("""COMPUTED_VALUE"""),"Subdued by Students/Staff/Other")</f>
        <v>Subdued by Students/Staff/Other</v>
      </c>
      <c r="G1272" s="5" t="str">
        <f ca="1">IFERROR(__xludf.DUMMYFUNCTION("""COMPUTED_VALUE"""),"No")</f>
        <v>No</v>
      </c>
      <c r="H1272" s="5" t="str">
        <f ca="1">IFERROR(__xludf.DUMMYFUNCTION("""COMPUTED_VALUE"""),"None")</f>
        <v>None</v>
      </c>
    </row>
    <row r="1273" spans="1:8">
      <c r="A1273" s="5" t="str">
        <f ca="1">IFERROR(__xludf.DUMMYFUNCTION("""COMPUTED_VALUE"""),"20081023ALPRP")</f>
        <v>20081023ALPRP</v>
      </c>
      <c r="B1273" s="5">
        <f ca="1">IFERROR(__xludf.DUMMYFUNCTION("""COMPUTED_VALUE"""),50)</f>
        <v>50</v>
      </c>
      <c r="C1273" s="5" t="str">
        <f ca="1">IFERROR(__xludf.DUMMYFUNCTION("""COMPUTED_VALUE"""),"Male")</f>
        <v>Male</v>
      </c>
      <c r="D1273" s="5"/>
      <c r="E1273" s="5" t="str">
        <f ca="1">IFERROR(__xludf.DUMMYFUNCTION("""COMPUTED_VALUE"""),"Parent")</f>
        <v>Parent</v>
      </c>
      <c r="F1273" s="5" t="str">
        <f ca="1">IFERROR(__xludf.DUMMYFUNCTION("""COMPUTED_VALUE"""),"Surrendered")</f>
        <v>Surrendered</v>
      </c>
      <c r="G1273" s="5" t="str">
        <f ca="1">IFERROR(__xludf.DUMMYFUNCTION("""COMPUTED_VALUE"""),"No")</f>
        <v>No</v>
      </c>
      <c r="H1273" s="5" t="str">
        <f ca="1">IFERROR(__xludf.DUMMYFUNCTION("""COMPUTED_VALUE"""),"None")</f>
        <v>None</v>
      </c>
    </row>
    <row r="1274" spans="1:8">
      <c r="A1274" s="5" t="str">
        <f ca="1">IFERROR(__xludf.DUMMYFUNCTION("""COMPUTED_VALUE"""),"20081020CAVAA")</f>
        <v>20081020CAVAA</v>
      </c>
      <c r="B1274" s="5">
        <f ca="1">IFERROR(__xludf.DUMMYFUNCTION("""COMPUTED_VALUE"""),14)</f>
        <v>14</v>
      </c>
      <c r="C1274" s="5" t="str">
        <f ca="1">IFERROR(__xludf.DUMMYFUNCTION("""COMPUTED_VALUE"""),"Male")</f>
        <v>Male</v>
      </c>
      <c r="D1274" s="5" t="str">
        <f ca="1">IFERROR(__xludf.DUMMYFUNCTION("""COMPUTED_VALUE"""),"White")</f>
        <v>White</v>
      </c>
      <c r="E1274" s="5" t="str">
        <f ca="1">IFERROR(__xludf.DUMMYFUNCTION("""COMPUTED_VALUE"""),"Student")</f>
        <v>Student</v>
      </c>
      <c r="F1274" s="5" t="str">
        <f ca="1">IFERROR(__xludf.DUMMYFUNCTION("""COMPUTED_VALUE"""),"Suicide")</f>
        <v>Suicide</v>
      </c>
      <c r="G1274" s="5" t="str">
        <f ca="1">IFERROR(__xludf.DUMMYFUNCTION("""COMPUTED_VALUE"""),"Yes")</f>
        <v>Yes</v>
      </c>
      <c r="H1274" s="5" t="str">
        <f ca="1">IFERROR(__xludf.DUMMYFUNCTION("""COMPUTED_VALUE"""),"Suicide")</f>
        <v>Suicide</v>
      </c>
    </row>
    <row r="1275" spans="1:8">
      <c r="A1275" s="5" t="str">
        <f ca="1">IFERROR(__xludf.DUMMYFUNCTION("""COMPUTED_VALUE"""),"20081016MIHED")</f>
        <v>20081016MIHED</v>
      </c>
      <c r="B1275" s="5">
        <f ca="1">IFERROR(__xludf.DUMMYFUNCTION("""COMPUTED_VALUE"""),15)</f>
        <v>15</v>
      </c>
      <c r="C1275" s="5" t="str">
        <f ca="1">IFERROR(__xludf.DUMMYFUNCTION("""COMPUTED_VALUE"""),"Male")</f>
        <v>Male</v>
      </c>
      <c r="D1275" s="5" t="str">
        <f ca="1">IFERROR(__xludf.DUMMYFUNCTION("""COMPUTED_VALUE"""),"Black")</f>
        <v>Black</v>
      </c>
      <c r="E1275" s="5" t="str">
        <f ca="1">IFERROR(__xludf.DUMMYFUNCTION("""COMPUTED_VALUE"""),"Student")</f>
        <v>Student</v>
      </c>
      <c r="F1275" s="5" t="str">
        <f ca="1">IFERROR(__xludf.DUMMYFUNCTION("""COMPUTED_VALUE"""),"Fled/Apprehended")</f>
        <v>Fled/Apprehended</v>
      </c>
      <c r="G1275" s="5" t="str">
        <f ca="1">IFERROR(__xludf.DUMMYFUNCTION("""COMPUTED_VALUE"""),"No")</f>
        <v>No</v>
      </c>
      <c r="H1275" s="5" t="str">
        <f ca="1">IFERROR(__xludf.DUMMYFUNCTION("""COMPUTED_VALUE"""),"None")</f>
        <v>None</v>
      </c>
    </row>
    <row r="1276" spans="1:8">
      <c r="A1276" s="5" t="str">
        <f ca="1">IFERROR(__xludf.DUMMYFUNCTION("""COMPUTED_VALUE"""),"20080919CAGEA")</f>
        <v>20080919CAGEA</v>
      </c>
      <c r="B1276" s="5"/>
      <c r="C1276" s="5" t="str">
        <f ca="1">IFERROR(__xludf.DUMMYFUNCTION("""COMPUTED_VALUE"""),"Male")</f>
        <v>Male</v>
      </c>
      <c r="D1276" s="5"/>
      <c r="E1276" s="5" t="str">
        <f ca="1">IFERROR(__xludf.DUMMYFUNCTION("""COMPUTED_VALUE"""),"Unknown")</f>
        <v>Unknown</v>
      </c>
      <c r="F1276" s="5" t="str">
        <f ca="1">IFERROR(__xludf.DUMMYFUNCTION("""COMPUTED_VALUE"""),"Fled/Escaped")</f>
        <v>Fled/Escaped</v>
      </c>
      <c r="G1276" s="5" t="str">
        <f ca="1">IFERROR(__xludf.DUMMYFUNCTION("""COMPUTED_VALUE"""),"No")</f>
        <v>No</v>
      </c>
      <c r="H1276" s="5" t="str">
        <f ca="1">IFERROR(__xludf.DUMMYFUNCTION("""COMPUTED_VALUE"""),"None")</f>
        <v>None</v>
      </c>
    </row>
    <row r="1277" spans="1:8">
      <c r="A1277" s="5" t="str">
        <f ca="1">IFERROR(__xludf.DUMMYFUNCTION("""COMPUTED_VALUE"""),"20080915CAMIS")</f>
        <v>20080915CAMIS</v>
      </c>
      <c r="B1277" s="5">
        <f ca="1">IFERROR(__xludf.DUMMYFUNCTION("""COMPUTED_VALUE"""),17)</f>
        <v>17</v>
      </c>
      <c r="C1277" s="5" t="str">
        <f ca="1">IFERROR(__xludf.DUMMYFUNCTION("""COMPUTED_VALUE"""),"Male")</f>
        <v>Male</v>
      </c>
      <c r="D1277" s="5"/>
      <c r="E1277" s="5" t="str">
        <f ca="1">IFERROR(__xludf.DUMMYFUNCTION("""COMPUTED_VALUE"""),"Student")</f>
        <v>Student</v>
      </c>
      <c r="F1277" s="5" t="str">
        <f ca="1">IFERROR(__xludf.DUMMYFUNCTION("""COMPUTED_VALUE"""),"Suicide")</f>
        <v>Suicide</v>
      </c>
      <c r="G1277" s="5" t="str">
        <f ca="1">IFERROR(__xludf.DUMMYFUNCTION("""COMPUTED_VALUE"""),"Yes")</f>
        <v>Yes</v>
      </c>
      <c r="H1277" s="5" t="str">
        <f ca="1">IFERROR(__xludf.DUMMYFUNCTION("""COMPUTED_VALUE"""),"Suicide")</f>
        <v>Suicide</v>
      </c>
    </row>
    <row r="1278" spans="1:8">
      <c r="A1278" s="5" t="str">
        <f ca="1">IFERROR(__xludf.DUMMYFUNCTION("""COMPUTED_VALUE"""),"20080902OHSOW")</f>
        <v>20080902OHSOW</v>
      </c>
      <c r="B1278" s="5">
        <f ca="1">IFERROR(__xludf.DUMMYFUNCTION("""COMPUTED_VALUE"""),15)</f>
        <v>15</v>
      </c>
      <c r="C1278" s="5" t="str">
        <f ca="1">IFERROR(__xludf.DUMMYFUNCTION("""COMPUTED_VALUE"""),"Male")</f>
        <v>Male</v>
      </c>
      <c r="D1278" s="5"/>
      <c r="E1278" s="5" t="str">
        <f ca="1">IFERROR(__xludf.DUMMYFUNCTION("""COMPUTED_VALUE"""),"Student")</f>
        <v>Student</v>
      </c>
      <c r="F1278" s="5" t="str">
        <f ca="1">IFERROR(__xludf.DUMMYFUNCTION("""COMPUTED_VALUE"""),"Surrendered")</f>
        <v>Surrendered</v>
      </c>
      <c r="G1278" s="5" t="str">
        <f ca="1">IFERROR(__xludf.DUMMYFUNCTION("""COMPUTED_VALUE"""),"No")</f>
        <v>No</v>
      </c>
      <c r="H1278" s="5" t="str">
        <f ca="1">IFERROR(__xludf.DUMMYFUNCTION("""COMPUTED_VALUE"""),"None")</f>
        <v>None</v>
      </c>
    </row>
    <row r="1279" spans="1:8">
      <c r="A1279" s="5" t="str">
        <f ca="1">IFERROR(__xludf.DUMMYFUNCTION("""COMPUTED_VALUE"""),"20080821TNCEK")</f>
        <v>20080821TNCEK</v>
      </c>
      <c r="B1279" s="5">
        <f ca="1">IFERROR(__xludf.DUMMYFUNCTION("""COMPUTED_VALUE"""),15)</f>
        <v>15</v>
      </c>
      <c r="C1279" s="5" t="str">
        <f ca="1">IFERROR(__xludf.DUMMYFUNCTION("""COMPUTED_VALUE"""),"Male")</f>
        <v>Male</v>
      </c>
      <c r="D1279" s="5" t="str">
        <f ca="1">IFERROR(__xludf.DUMMYFUNCTION("""COMPUTED_VALUE"""),"Hispanic")</f>
        <v>Hispanic</v>
      </c>
      <c r="E1279" s="5" t="str">
        <f ca="1">IFERROR(__xludf.DUMMYFUNCTION("""COMPUTED_VALUE"""),"Student")</f>
        <v>Student</v>
      </c>
      <c r="F1279" s="5" t="str">
        <f ca="1">IFERROR(__xludf.DUMMYFUNCTION("""COMPUTED_VALUE"""),"Fled/Apprehended")</f>
        <v>Fled/Apprehended</v>
      </c>
      <c r="G1279" s="5" t="str">
        <f ca="1">IFERROR(__xludf.DUMMYFUNCTION("""COMPUTED_VALUE"""),"No")</f>
        <v>No</v>
      </c>
      <c r="H1279" s="5" t="str">
        <f ca="1">IFERROR(__xludf.DUMMYFUNCTION("""COMPUTED_VALUE"""),"None")</f>
        <v>None</v>
      </c>
    </row>
    <row r="1280" spans="1:8">
      <c r="A1280" s="5" t="str">
        <f ca="1">IFERROR(__xludf.DUMMYFUNCTION("""COMPUTED_VALUE"""),"20080814WALAF")</f>
        <v>20080814WALAF</v>
      </c>
      <c r="B1280" s="5">
        <f ca="1">IFERROR(__xludf.DUMMYFUNCTION("""COMPUTED_VALUE"""),17)</f>
        <v>17</v>
      </c>
      <c r="C1280" s="5" t="str">
        <f ca="1">IFERROR(__xludf.DUMMYFUNCTION("""COMPUTED_VALUE"""),"Male")</f>
        <v>Male</v>
      </c>
      <c r="D1280" s="5" t="str">
        <f ca="1">IFERROR(__xludf.DUMMYFUNCTION("""COMPUTED_VALUE"""),"Hispanic")</f>
        <v>Hispanic</v>
      </c>
      <c r="E1280" s="5" t="str">
        <f ca="1">IFERROR(__xludf.DUMMYFUNCTION("""COMPUTED_VALUE"""),"Relative")</f>
        <v>Relative</v>
      </c>
      <c r="F1280" s="5" t="str">
        <f ca="1">IFERROR(__xludf.DUMMYFUNCTION("""COMPUTED_VALUE"""),"Fled/Apprehended")</f>
        <v>Fled/Apprehended</v>
      </c>
      <c r="G1280" s="5" t="str">
        <f ca="1">IFERROR(__xludf.DUMMYFUNCTION("""COMPUTED_VALUE"""),"No")</f>
        <v>No</v>
      </c>
      <c r="H1280" s="5" t="str">
        <f ca="1">IFERROR(__xludf.DUMMYFUNCTION("""COMPUTED_VALUE"""),"None")</f>
        <v>None</v>
      </c>
    </row>
    <row r="1281" spans="1:8">
      <c r="A1281" s="5" t="str">
        <f ca="1">IFERROR(__xludf.DUMMYFUNCTION("""COMPUTED_VALUE"""),"20080811WAWAK")</f>
        <v>20080811WAWAK</v>
      </c>
      <c r="B1281" s="5">
        <f ca="1">IFERROR(__xludf.DUMMYFUNCTION("""COMPUTED_VALUE"""),49)</f>
        <v>49</v>
      </c>
      <c r="C1281" s="5" t="str">
        <f ca="1">IFERROR(__xludf.DUMMYFUNCTION("""COMPUTED_VALUE"""),"Male")</f>
        <v>Male</v>
      </c>
      <c r="D1281" s="5"/>
      <c r="E1281" s="5" t="str">
        <f ca="1">IFERROR(__xludf.DUMMYFUNCTION("""COMPUTED_VALUE"""),"No Relation")</f>
        <v>No Relation</v>
      </c>
      <c r="F1281" s="5" t="str">
        <f ca="1">IFERROR(__xludf.DUMMYFUNCTION("""COMPUTED_VALUE"""),"Unknown")</f>
        <v>Unknown</v>
      </c>
      <c r="G1281" s="5" t="str">
        <f ca="1">IFERROR(__xludf.DUMMYFUNCTION("""COMPUTED_VALUE"""),"No")</f>
        <v>No</v>
      </c>
      <c r="H1281" s="5" t="str">
        <f ca="1">IFERROR(__xludf.DUMMYFUNCTION("""COMPUTED_VALUE"""),"None")</f>
        <v>None</v>
      </c>
    </row>
    <row r="1282" spans="1:8">
      <c r="A1282" s="5" t="str">
        <f ca="1">IFERROR(__xludf.DUMMYFUNCTION("""COMPUTED_VALUE"""),"20080516LAMAT")</f>
        <v>20080516LAMAT</v>
      </c>
      <c r="B1282" s="5" t="str">
        <f ca="1">IFERROR(__xludf.DUMMYFUNCTION("""COMPUTED_VALUE"""),"Teen")</f>
        <v>Teen</v>
      </c>
      <c r="C1282" s="5" t="str">
        <f ca="1">IFERROR(__xludf.DUMMYFUNCTION("""COMPUTED_VALUE"""),"Male")</f>
        <v>Male</v>
      </c>
      <c r="D1282" s="5"/>
      <c r="E1282" s="5" t="str">
        <f ca="1">IFERROR(__xludf.DUMMYFUNCTION("""COMPUTED_VALUE"""),"Student")</f>
        <v>Student</v>
      </c>
      <c r="F1282" s="5" t="str">
        <f ca="1">IFERROR(__xludf.DUMMYFUNCTION("""COMPUTED_VALUE"""),"Suicide")</f>
        <v>Suicide</v>
      </c>
      <c r="G1282" s="5" t="str">
        <f ca="1">IFERROR(__xludf.DUMMYFUNCTION("""COMPUTED_VALUE"""),"Yes")</f>
        <v>Yes</v>
      </c>
      <c r="H1282" s="5" t="str">
        <f ca="1">IFERROR(__xludf.DUMMYFUNCTION("""COMPUTED_VALUE"""),"Suicide")</f>
        <v>Suicide</v>
      </c>
    </row>
    <row r="1283" spans="1:8">
      <c r="A1283" s="5" t="str">
        <f ca="1">IFERROR(__xludf.DUMMYFUNCTION("""COMPUTED_VALUE"""),"20080416CAROF")</f>
        <v>20080416CAROF</v>
      </c>
      <c r="B1283" s="5" t="str">
        <f ca="1">IFERROR(__xludf.DUMMYFUNCTION("""COMPUTED_VALUE"""),"Adult")</f>
        <v>Adult</v>
      </c>
      <c r="C1283" s="5"/>
      <c r="D1283" s="5"/>
      <c r="E1283" s="5" t="str">
        <f ca="1">IFERROR(__xludf.DUMMYFUNCTION("""COMPUTED_VALUE"""),"Police Officer/SRO")</f>
        <v>Police Officer/SRO</v>
      </c>
      <c r="F1283" s="5" t="str">
        <f ca="1">IFERROR(__xludf.DUMMYFUNCTION("""COMPUTED_VALUE"""),"Law Enforcement")</f>
        <v>Law Enforcement</v>
      </c>
      <c r="G1283" s="5" t="str">
        <f ca="1">IFERROR(__xludf.DUMMYFUNCTION("""COMPUTED_VALUE"""),"No")</f>
        <v>No</v>
      </c>
      <c r="H1283" s="5" t="str">
        <f ca="1">IFERROR(__xludf.DUMMYFUNCTION("""COMPUTED_VALUE"""),"None")</f>
        <v>None</v>
      </c>
    </row>
    <row r="1284" spans="1:8">
      <c r="A1284" s="5" t="str">
        <f ca="1">IFERROR(__xludf.DUMMYFUNCTION("""COMPUTED_VALUE"""),"20080306ALDAM")</f>
        <v>20080306ALDAM</v>
      </c>
      <c r="B1284" s="5">
        <f ca="1">IFERROR(__xludf.DUMMYFUNCTION("""COMPUTED_VALUE"""),18)</f>
        <v>18</v>
      </c>
      <c r="C1284" s="5" t="str">
        <f ca="1">IFERROR(__xludf.DUMMYFUNCTION("""COMPUTED_VALUE"""),"Male")</f>
        <v>Male</v>
      </c>
      <c r="D1284" s="5"/>
      <c r="E1284" s="5" t="str">
        <f ca="1">IFERROR(__xludf.DUMMYFUNCTION("""COMPUTED_VALUE"""),"Student")</f>
        <v>Student</v>
      </c>
      <c r="F1284" s="5" t="str">
        <f ca="1">IFERROR(__xludf.DUMMYFUNCTION("""COMPUTED_VALUE"""),"Suicide")</f>
        <v>Suicide</v>
      </c>
      <c r="G1284" s="5" t="str">
        <f ca="1">IFERROR(__xludf.DUMMYFUNCTION("""COMPUTED_VALUE"""),"Yes")</f>
        <v>Yes</v>
      </c>
      <c r="H1284" s="5" t="str">
        <f ca="1">IFERROR(__xludf.DUMMYFUNCTION("""COMPUTED_VALUE"""),"Suicide")</f>
        <v>Suicide</v>
      </c>
    </row>
    <row r="1285" spans="1:8">
      <c r="A1285" s="5" t="str">
        <f ca="1">IFERROR(__xludf.DUMMYFUNCTION("""COMPUTED_VALUE"""),"20080214CAEOO")</f>
        <v>20080214CAEOO</v>
      </c>
      <c r="B1285" s="5">
        <f ca="1">IFERROR(__xludf.DUMMYFUNCTION("""COMPUTED_VALUE"""),14)</f>
        <v>14</v>
      </c>
      <c r="C1285" s="5" t="str">
        <f ca="1">IFERROR(__xludf.DUMMYFUNCTION("""COMPUTED_VALUE"""),"Male")</f>
        <v>Male</v>
      </c>
      <c r="D1285" s="5"/>
      <c r="E1285" s="5" t="str">
        <f ca="1">IFERROR(__xludf.DUMMYFUNCTION("""COMPUTED_VALUE"""),"Student")</f>
        <v>Student</v>
      </c>
      <c r="F1285" s="5" t="str">
        <f ca="1">IFERROR(__xludf.DUMMYFUNCTION("""COMPUTED_VALUE"""),"Fled/Apprehended")</f>
        <v>Fled/Apprehended</v>
      </c>
      <c r="G1285" s="5" t="str">
        <f ca="1">IFERROR(__xludf.DUMMYFUNCTION("""COMPUTED_VALUE"""),"No")</f>
        <v>No</v>
      </c>
      <c r="H1285" s="5" t="str">
        <f ca="1">IFERROR(__xludf.DUMMYFUNCTION("""COMPUTED_VALUE"""),"None")</f>
        <v>None</v>
      </c>
    </row>
    <row r="1286" spans="1:8">
      <c r="A1286" s="5" t="str">
        <f ca="1">IFERROR(__xludf.DUMMYFUNCTION("""COMPUTED_VALUE"""),"20080211TNMIM")</f>
        <v>20080211TNMIM</v>
      </c>
      <c r="B1286" s="5">
        <f ca="1">IFERROR(__xludf.DUMMYFUNCTION("""COMPUTED_VALUE"""),17)</f>
        <v>17</v>
      </c>
      <c r="C1286" s="5" t="str">
        <f ca="1">IFERROR(__xludf.DUMMYFUNCTION("""COMPUTED_VALUE"""),"Male")</f>
        <v>Male</v>
      </c>
      <c r="D1286" s="5"/>
      <c r="E1286" s="5" t="str">
        <f ca="1">IFERROR(__xludf.DUMMYFUNCTION("""COMPUTED_VALUE"""),"Student")</f>
        <v>Student</v>
      </c>
      <c r="F1286" s="5" t="str">
        <f ca="1">IFERROR(__xludf.DUMMYFUNCTION("""COMPUTED_VALUE"""),"Surrendered")</f>
        <v>Surrendered</v>
      </c>
      <c r="G1286" s="5" t="str">
        <f ca="1">IFERROR(__xludf.DUMMYFUNCTION("""COMPUTED_VALUE"""),"No")</f>
        <v>No</v>
      </c>
      <c r="H1286" s="5" t="str">
        <f ca="1">IFERROR(__xludf.DUMMYFUNCTION("""COMPUTED_VALUE"""),"None")</f>
        <v>None</v>
      </c>
    </row>
    <row r="1287" spans="1:8">
      <c r="A1287" s="5" t="str">
        <f ca="1">IFERROR(__xludf.DUMMYFUNCTION("""COMPUTED_VALUE"""),"20080204TNHAM")</f>
        <v>20080204TNHAM</v>
      </c>
      <c r="B1287" s="5">
        <f ca="1">IFERROR(__xludf.DUMMYFUNCTION("""COMPUTED_VALUE"""),16)</f>
        <v>16</v>
      </c>
      <c r="C1287" s="5" t="str">
        <f ca="1">IFERROR(__xludf.DUMMYFUNCTION("""COMPUTED_VALUE"""),"Male")</f>
        <v>Male</v>
      </c>
      <c r="D1287" s="5" t="str">
        <f ca="1">IFERROR(__xludf.DUMMYFUNCTION("""COMPUTED_VALUE"""),"Black")</f>
        <v>Black</v>
      </c>
      <c r="E1287" s="5" t="str">
        <f ca="1">IFERROR(__xludf.DUMMYFUNCTION("""COMPUTED_VALUE"""),"Student")</f>
        <v>Student</v>
      </c>
      <c r="F1287" s="5" t="str">
        <f ca="1">IFERROR(__xludf.DUMMYFUNCTION("""COMPUTED_VALUE"""),"Fled/Apprehended")</f>
        <v>Fled/Apprehended</v>
      </c>
      <c r="G1287" s="5" t="str">
        <f ca="1">IFERROR(__xludf.DUMMYFUNCTION("""COMPUTED_VALUE"""),"No")</f>
        <v>No</v>
      </c>
      <c r="H1287" s="5" t="str">
        <f ca="1">IFERROR(__xludf.DUMMYFUNCTION("""COMPUTED_VALUE"""),"None")</f>
        <v>None</v>
      </c>
    </row>
    <row r="1288" spans="1:8">
      <c r="A1288" s="5" t="str">
        <f ca="1">IFERROR(__xludf.DUMMYFUNCTION("""COMPUTED_VALUE"""),"20071221CABAU")</f>
        <v>20071221CABAU</v>
      </c>
      <c r="B1288" s="5">
        <f ca="1">IFERROR(__xludf.DUMMYFUNCTION("""COMPUTED_VALUE"""),21)</f>
        <v>21</v>
      </c>
      <c r="C1288" s="5" t="str">
        <f ca="1">IFERROR(__xludf.DUMMYFUNCTION("""COMPUTED_VALUE"""),"Male")</f>
        <v>Male</v>
      </c>
      <c r="D1288" s="5" t="str">
        <f ca="1">IFERROR(__xludf.DUMMYFUNCTION("""COMPUTED_VALUE"""),"Hispanic")</f>
        <v>Hispanic</v>
      </c>
      <c r="E1288" s="5" t="str">
        <f ca="1">IFERROR(__xludf.DUMMYFUNCTION("""COMPUTED_VALUE"""),"No Relation")</f>
        <v>No Relation</v>
      </c>
      <c r="F1288" s="5" t="str">
        <f ca="1">IFERROR(__xludf.DUMMYFUNCTION("""COMPUTED_VALUE"""),"Fled/Apprehended")</f>
        <v>Fled/Apprehended</v>
      </c>
      <c r="G1288" s="5" t="str">
        <f ca="1">IFERROR(__xludf.DUMMYFUNCTION("""COMPUTED_VALUE"""),"No")</f>
        <v>No</v>
      </c>
      <c r="H1288" s="5" t="str">
        <f ca="1">IFERROR(__xludf.DUMMYFUNCTION("""COMPUTED_VALUE"""),"None")</f>
        <v>None</v>
      </c>
    </row>
    <row r="1289" spans="1:8">
      <c r="A1289" s="5" t="str">
        <f ca="1">IFERROR(__xludf.DUMMYFUNCTION("""COMPUTED_VALUE"""),"20071126NYHOH")</f>
        <v>20071126NYHOH</v>
      </c>
      <c r="B1289" s="5">
        <f ca="1">IFERROR(__xludf.DUMMYFUNCTION("""COMPUTED_VALUE"""),17)</f>
        <v>17</v>
      </c>
      <c r="C1289" s="5" t="str">
        <f ca="1">IFERROR(__xludf.DUMMYFUNCTION("""COMPUTED_VALUE"""),"Male")</f>
        <v>Male</v>
      </c>
      <c r="D1289" s="5" t="str">
        <f ca="1">IFERROR(__xludf.DUMMYFUNCTION("""COMPUTED_VALUE"""),"White")</f>
        <v>White</v>
      </c>
      <c r="E1289" s="5" t="str">
        <f ca="1">IFERROR(__xludf.DUMMYFUNCTION("""COMPUTED_VALUE"""),"Student")</f>
        <v>Student</v>
      </c>
      <c r="F1289" s="5" t="str">
        <f ca="1">IFERROR(__xludf.DUMMYFUNCTION("""COMPUTED_VALUE"""),"Unknown")</f>
        <v>Unknown</v>
      </c>
      <c r="G1289" s="5" t="str">
        <f ca="1">IFERROR(__xludf.DUMMYFUNCTION("""COMPUTED_VALUE"""),"No")</f>
        <v>No</v>
      </c>
      <c r="H1289" s="5" t="str">
        <f ca="1">IFERROR(__xludf.DUMMYFUNCTION("""COMPUTED_VALUE"""),"None")</f>
        <v>None</v>
      </c>
    </row>
    <row r="1290" spans="1:8">
      <c r="A1290" s="5" t="str">
        <f ca="1">IFERROR(__xludf.DUMMYFUNCTION("""COMPUTED_VALUE"""),"20071105LAJOR")</f>
        <v>20071105LAJOR</v>
      </c>
      <c r="B1290" s="5">
        <f ca="1">IFERROR(__xludf.DUMMYFUNCTION("""COMPUTED_VALUE"""),13)</f>
        <v>13</v>
      </c>
      <c r="C1290" s="5" t="str">
        <f ca="1">IFERROR(__xludf.DUMMYFUNCTION("""COMPUTED_VALUE"""),"Male")</f>
        <v>Male</v>
      </c>
      <c r="D1290" s="5"/>
      <c r="E1290" s="5" t="str">
        <f ca="1">IFERROR(__xludf.DUMMYFUNCTION("""COMPUTED_VALUE"""),"Student")</f>
        <v>Student</v>
      </c>
      <c r="F1290" s="5" t="str">
        <f ca="1">IFERROR(__xludf.DUMMYFUNCTION("""COMPUTED_VALUE"""),"Suicide")</f>
        <v>Suicide</v>
      </c>
      <c r="G1290" s="5" t="str">
        <f ca="1">IFERROR(__xludf.DUMMYFUNCTION("""COMPUTED_VALUE"""),"Yes")</f>
        <v>Yes</v>
      </c>
      <c r="H1290" s="5" t="str">
        <f ca="1">IFERROR(__xludf.DUMMYFUNCTION("""COMPUTED_VALUE"""),"Suicide")</f>
        <v>Suicide</v>
      </c>
    </row>
    <row r="1291" spans="1:8">
      <c r="A1291" s="5" t="str">
        <f ca="1">IFERROR(__xludf.DUMMYFUNCTION("""COMPUTED_VALUE"""),"20071024TNMAM")</f>
        <v>20071024TNMAM</v>
      </c>
      <c r="B1291" s="5">
        <f ca="1">IFERROR(__xludf.DUMMYFUNCTION("""COMPUTED_VALUE"""),15)</f>
        <v>15</v>
      </c>
      <c r="C1291" s="5" t="str">
        <f ca="1">IFERROR(__xludf.DUMMYFUNCTION("""COMPUTED_VALUE"""),"Male")</f>
        <v>Male</v>
      </c>
      <c r="D1291" s="5"/>
      <c r="E1291" s="5" t="str">
        <f ca="1">IFERROR(__xludf.DUMMYFUNCTION("""COMPUTED_VALUE"""),"Student")</f>
        <v>Student</v>
      </c>
      <c r="F1291" s="5" t="str">
        <f ca="1">IFERROR(__xludf.DUMMYFUNCTION("""COMPUTED_VALUE"""),"Unknown")</f>
        <v>Unknown</v>
      </c>
      <c r="G1291" s="5" t="str">
        <f ca="1">IFERROR(__xludf.DUMMYFUNCTION("""COMPUTED_VALUE"""),"No")</f>
        <v>No</v>
      </c>
      <c r="H1291" s="5" t="str">
        <f ca="1">IFERROR(__xludf.DUMMYFUNCTION("""COMPUTED_VALUE"""),"None")</f>
        <v>None</v>
      </c>
    </row>
    <row r="1292" spans="1:8">
      <c r="A1292" s="5" t="str">
        <f ca="1">IFERROR(__xludf.DUMMYFUNCTION("""COMPUTED_VALUE"""),"20071010OHSUC")</f>
        <v>20071010OHSUC</v>
      </c>
      <c r="B1292" s="5">
        <f ca="1">IFERROR(__xludf.DUMMYFUNCTION("""COMPUTED_VALUE"""),14)</f>
        <v>14</v>
      </c>
      <c r="C1292" s="5" t="str">
        <f ca="1">IFERROR(__xludf.DUMMYFUNCTION("""COMPUTED_VALUE"""),"Male")</f>
        <v>Male</v>
      </c>
      <c r="D1292" s="5" t="str">
        <f ca="1">IFERROR(__xludf.DUMMYFUNCTION("""COMPUTED_VALUE"""),"White")</f>
        <v>White</v>
      </c>
      <c r="E1292" s="5" t="str">
        <f ca="1">IFERROR(__xludf.DUMMYFUNCTION("""COMPUTED_VALUE"""),"Student")</f>
        <v>Student</v>
      </c>
      <c r="F1292" s="5" t="str">
        <f ca="1">IFERROR(__xludf.DUMMYFUNCTION("""COMPUTED_VALUE"""),"Suicide")</f>
        <v>Suicide</v>
      </c>
      <c r="G1292" s="5" t="str">
        <f ca="1">IFERROR(__xludf.DUMMYFUNCTION("""COMPUTED_VALUE"""),"Yes")</f>
        <v>Yes</v>
      </c>
      <c r="H1292" s="5" t="str">
        <f ca="1">IFERROR(__xludf.DUMMYFUNCTION("""COMPUTED_VALUE"""),"Suicide")</f>
        <v>Suicide</v>
      </c>
    </row>
    <row r="1293" spans="1:8">
      <c r="A1293" s="5" t="str">
        <f ca="1">IFERROR(__xludf.DUMMYFUNCTION("""COMPUTED_VALUE"""),"20071001CTPLM")</f>
        <v>20071001CTPLM</v>
      </c>
      <c r="B1293" s="5">
        <f ca="1">IFERROR(__xludf.DUMMYFUNCTION("""COMPUTED_VALUE"""),15)</f>
        <v>15</v>
      </c>
      <c r="C1293" s="5" t="str">
        <f ca="1">IFERROR(__xludf.DUMMYFUNCTION("""COMPUTED_VALUE"""),"Male")</f>
        <v>Male</v>
      </c>
      <c r="D1293" s="5"/>
      <c r="E1293" s="5" t="str">
        <f ca="1">IFERROR(__xludf.DUMMYFUNCTION("""COMPUTED_VALUE"""),"Student")</f>
        <v>Student</v>
      </c>
      <c r="F1293" s="5" t="str">
        <f ca="1">IFERROR(__xludf.DUMMYFUNCTION("""COMPUTED_VALUE"""),"Fled/Apprehended")</f>
        <v>Fled/Apprehended</v>
      </c>
      <c r="G1293" s="5" t="str">
        <f ca="1">IFERROR(__xludf.DUMMYFUNCTION("""COMPUTED_VALUE"""),"No")</f>
        <v>No</v>
      </c>
      <c r="H1293" s="5" t="str">
        <f ca="1">IFERROR(__xludf.DUMMYFUNCTION("""COMPUTED_VALUE"""),"None")</f>
        <v>None</v>
      </c>
    </row>
    <row r="1294" spans="1:8">
      <c r="A1294" s="5" t="str">
        <f ca="1">IFERROR(__xludf.DUMMYFUNCTION("""COMPUTED_VALUE"""),"20070930AZSSP")</f>
        <v>20070930AZSSP</v>
      </c>
      <c r="B1294" s="5">
        <f ca="1">IFERROR(__xludf.DUMMYFUNCTION("""COMPUTED_VALUE"""),18)</f>
        <v>18</v>
      </c>
      <c r="C1294" s="5" t="str">
        <f ca="1">IFERROR(__xludf.DUMMYFUNCTION("""COMPUTED_VALUE"""),"Male")</f>
        <v>Male</v>
      </c>
      <c r="D1294" s="5" t="str">
        <f ca="1">IFERROR(__xludf.DUMMYFUNCTION("""COMPUTED_VALUE"""),"Other")</f>
        <v>Other</v>
      </c>
      <c r="E1294" s="5" t="str">
        <f ca="1">IFERROR(__xludf.DUMMYFUNCTION("""COMPUTED_VALUE"""),"Unknown")</f>
        <v>Unknown</v>
      </c>
      <c r="F1294" s="5" t="str">
        <f ca="1">IFERROR(__xludf.DUMMYFUNCTION("""COMPUTED_VALUE"""),"Fled/Escaped")</f>
        <v>Fled/Escaped</v>
      </c>
      <c r="G1294" s="5" t="str">
        <f ca="1">IFERROR(__xludf.DUMMYFUNCTION("""COMPUTED_VALUE"""),"No")</f>
        <v>No</v>
      </c>
      <c r="H1294" s="5" t="str">
        <f ca="1">IFERROR(__xludf.DUMMYFUNCTION("""COMPUTED_VALUE"""),"None")</f>
        <v>None</v>
      </c>
    </row>
    <row r="1295" spans="1:8">
      <c r="A1295" s="5" t="str">
        <f ca="1">IFERROR(__xludf.DUMMYFUNCTION("""COMPUTED_VALUE"""),"20070928CALAO")</f>
        <v>20070928CALAO</v>
      </c>
      <c r="B1295" s="5">
        <f ca="1">IFERROR(__xludf.DUMMYFUNCTION("""COMPUTED_VALUE"""),17)</f>
        <v>17</v>
      </c>
      <c r="C1295" s="5" t="str">
        <f ca="1">IFERROR(__xludf.DUMMYFUNCTION("""COMPUTED_VALUE"""),"Male")</f>
        <v>Male</v>
      </c>
      <c r="D1295" s="5" t="str">
        <f ca="1">IFERROR(__xludf.DUMMYFUNCTION("""COMPUTED_VALUE"""),"White")</f>
        <v>White</v>
      </c>
      <c r="E1295" s="5" t="str">
        <f ca="1">IFERROR(__xludf.DUMMYFUNCTION("""COMPUTED_VALUE"""),"Student")</f>
        <v>Student</v>
      </c>
      <c r="F1295" s="5" t="str">
        <f ca="1">IFERROR(__xludf.DUMMYFUNCTION("""COMPUTED_VALUE"""),"Surrendered")</f>
        <v>Surrendered</v>
      </c>
      <c r="G1295" s="5" t="str">
        <f ca="1">IFERROR(__xludf.DUMMYFUNCTION("""COMPUTED_VALUE"""),"No")</f>
        <v>No</v>
      </c>
      <c r="H1295" s="5" t="str">
        <f ca="1">IFERROR(__xludf.DUMMYFUNCTION("""COMPUTED_VALUE"""),"None")</f>
        <v>None</v>
      </c>
    </row>
    <row r="1296" spans="1:8">
      <c r="A1296" s="5" t="str">
        <f ca="1">IFERROR(__xludf.DUMMYFUNCTION("""COMPUTED_VALUE"""),"20070804NJMON")</f>
        <v>20070804NJMON</v>
      </c>
      <c r="B1296" s="5">
        <f ca="1">IFERROR(__xludf.DUMMYFUNCTION("""COMPUTED_VALUE"""),19)</f>
        <v>19</v>
      </c>
      <c r="C1296" s="5" t="str">
        <f ca="1">IFERROR(__xludf.DUMMYFUNCTION("""COMPUTED_VALUE"""),"Male")</f>
        <v>Male</v>
      </c>
      <c r="D1296" s="5"/>
      <c r="E1296" s="5" t="str">
        <f ca="1">IFERROR(__xludf.DUMMYFUNCTION("""COMPUTED_VALUE"""),"Unknown")</f>
        <v>Unknown</v>
      </c>
      <c r="F1296" s="5" t="str">
        <f ca="1">IFERROR(__xludf.DUMMYFUNCTION("""COMPUTED_VALUE"""),"Fled/Apprehended")</f>
        <v>Fled/Apprehended</v>
      </c>
      <c r="G1296" s="5" t="str">
        <f ca="1">IFERROR(__xludf.DUMMYFUNCTION("""COMPUTED_VALUE"""),"No")</f>
        <v>No</v>
      </c>
      <c r="H1296" s="5" t="str">
        <f ca="1">IFERROR(__xludf.DUMMYFUNCTION("""COMPUTED_VALUE"""),"None")</f>
        <v>None</v>
      </c>
    </row>
    <row r="1297" spans="1:8">
      <c r="A1297" s="5" t="str">
        <f ca="1">IFERROR(__xludf.DUMMYFUNCTION("""COMPUTED_VALUE"""),"20070709ILCAC")</f>
        <v>20070709ILCAC</v>
      </c>
      <c r="B1297" s="5"/>
      <c r="C1297" s="5" t="str">
        <f ca="1">IFERROR(__xludf.DUMMYFUNCTION("""COMPUTED_VALUE"""),"Male")</f>
        <v>Male</v>
      </c>
      <c r="D1297" s="5"/>
      <c r="E1297" s="5" t="str">
        <f ca="1">IFERROR(__xludf.DUMMYFUNCTION("""COMPUTED_VALUE"""),"Unknown")</f>
        <v>Unknown</v>
      </c>
      <c r="F1297" s="5" t="str">
        <f ca="1">IFERROR(__xludf.DUMMYFUNCTION("""COMPUTED_VALUE"""),"Fled/Escaped")</f>
        <v>Fled/Escaped</v>
      </c>
      <c r="G1297" s="5" t="str">
        <f ca="1">IFERROR(__xludf.DUMMYFUNCTION("""COMPUTED_VALUE"""),"No")</f>
        <v>No</v>
      </c>
      <c r="H1297" s="5" t="str">
        <f ca="1">IFERROR(__xludf.DUMMYFUNCTION("""COMPUTED_VALUE"""),"None")</f>
        <v>None</v>
      </c>
    </row>
    <row r="1298" spans="1:8">
      <c r="A1298" s="5" t="str">
        <f ca="1">IFERROR(__xludf.DUMMYFUNCTION("""COMPUTED_VALUE"""),"20070628TXDAD")</f>
        <v>20070628TXDAD</v>
      </c>
      <c r="B1298" s="5">
        <f ca="1">IFERROR(__xludf.DUMMYFUNCTION("""COMPUTED_VALUE"""),17)</f>
        <v>17</v>
      </c>
      <c r="C1298" s="5" t="str">
        <f ca="1">IFERROR(__xludf.DUMMYFUNCTION("""COMPUTED_VALUE"""),"Male")</f>
        <v>Male</v>
      </c>
      <c r="D1298" s="5"/>
      <c r="E1298" s="5" t="str">
        <f ca="1">IFERROR(__xludf.DUMMYFUNCTION("""COMPUTED_VALUE"""),"Rival School Student")</f>
        <v>Rival School Student</v>
      </c>
      <c r="F1298" s="5" t="str">
        <f ca="1">IFERROR(__xludf.DUMMYFUNCTION("""COMPUTED_VALUE"""),"Fled/Apprehended")</f>
        <v>Fled/Apprehended</v>
      </c>
      <c r="G1298" s="5" t="str">
        <f ca="1">IFERROR(__xludf.DUMMYFUNCTION("""COMPUTED_VALUE"""),"No")</f>
        <v>No</v>
      </c>
      <c r="H1298" s="5" t="str">
        <f ca="1">IFERROR(__xludf.DUMMYFUNCTION("""COMPUTED_VALUE"""),"None")</f>
        <v>None</v>
      </c>
    </row>
    <row r="1299" spans="1:8">
      <c r="A1299" s="5" t="str">
        <f ca="1">IFERROR(__xludf.DUMMYFUNCTION("""COMPUTED_VALUE"""),"20070617SCBRB")</f>
        <v>20070617SCBRB</v>
      </c>
      <c r="B1299" s="5">
        <f ca="1">IFERROR(__xludf.DUMMYFUNCTION("""COMPUTED_VALUE"""),21)</f>
        <v>21</v>
      </c>
      <c r="C1299" s="5" t="str">
        <f ca="1">IFERROR(__xludf.DUMMYFUNCTION("""COMPUTED_VALUE"""),"Male")</f>
        <v>Male</v>
      </c>
      <c r="D1299" s="5"/>
      <c r="E1299" s="5" t="str">
        <f ca="1">IFERROR(__xludf.DUMMYFUNCTION("""COMPUTED_VALUE"""),"No Relation")</f>
        <v>No Relation</v>
      </c>
      <c r="F1299" s="5" t="str">
        <f ca="1">IFERROR(__xludf.DUMMYFUNCTION("""COMPUTED_VALUE"""),"Surrendered")</f>
        <v>Surrendered</v>
      </c>
      <c r="G1299" s="5" t="str">
        <f ca="1">IFERROR(__xludf.DUMMYFUNCTION("""COMPUTED_VALUE"""),"No")</f>
        <v>No</v>
      </c>
      <c r="H1299" s="5" t="str">
        <f ca="1">IFERROR(__xludf.DUMMYFUNCTION("""COMPUTED_VALUE"""),"None")</f>
        <v>None</v>
      </c>
    </row>
    <row r="1300" spans="1:8">
      <c r="A1300" s="5" t="str">
        <f ca="1">IFERROR(__xludf.DUMMYFUNCTION("""COMPUTED_VALUE"""),"20070531NCNOG")</f>
        <v>20070531NCNOG</v>
      </c>
      <c r="B1300" s="5"/>
      <c r="C1300" s="5" t="str">
        <f ca="1">IFERROR(__xludf.DUMMYFUNCTION("""COMPUTED_VALUE"""),"Male")</f>
        <v>Male</v>
      </c>
      <c r="D1300" s="5"/>
      <c r="E1300" s="5" t="str">
        <f ca="1">IFERROR(__xludf.DUMMYFUNCTION("""COMPUTED_VALUE"""),"Unknown")</f>
        <v>Unknown</v>
      </c>
      <c r="F1300" s="5" t="str">
        <f ca="1">IFERROR(__xludf.DUMMYFUNCTION("""COMPUTED_VALUE"""),"Fled/Escaped")</f>
        <v>Fled/Escaped</v>
      </c>
      <c r="G1300" s="5" t="str">
        <f ca="1">IFERROR(__xludf.DUMMYFUNCTION("""COMPUTED_VALUE"""),"No")</f>
        <v>No</v>
      </c>
      <c r="H1300" s="5" t="str">
        <f ca="1">IFERROR(__xludf.DUMMYFUNCTION("""COMPUTED_VALUE"""),"None")</f>
        <v>None</v>
      </c>
    </row>
    <row r="1301" spans="1:8">
      <c r="A1301" s="5" t="str">
        <f ca="1">IFERROR(__xludf.DUMMYFUNCTION("""COMPUTED_VALUE"""),"20070530NCVAG")</f>
        <v>20070530NCVAG</v>
      </c>
      <c r="B1301" s="5"/>
      <c r="C1301" s="5" t="str">
        <f ca="1">IFERROR(__xludf.DUMMYFUNCTION("""COMPUTED_VALUE"""),"Male")</f>
        <v>Male</v>
      </c>
      <c r="D1301" s="5"/>
      <c r="E1301" s="5" t="str">
        <f ca="1">IFERROR(__xludf.DUMMYFUNCTION("""COMPUTED_VALUE"""),"Unknown")</f>
        <v>Unknown</v>
      </c>
      <c r="F1301" s="5" t="str">
        <f ca="1">IFERROR(__xludf.DUMMYFUNCTION("""COMPUTED_VALUE"""),"Fled/Escaped")</f>
        <v>Fled/Escaped</v>
      </c>
      <c r="G1301" s="5" t="str">
        <f ca="1">IFERROR(__xludf.DUMMYFUNCTION("""COMPUTED_VALUE"""),"No")</f>
        <v>No</v>
      </c>
      <c r="H1301" s="5" t="str">
        <f ca="1">IFERROR(__xludf.DUMMYFUNCTION("""COMPUTED_VALUE"""),"None")</f>
        <v>None</v>
      </c>
    </row>
    <row r="1302" spans="1:8">
      <c r="A1302" s="5" t="str">
        <f ca="1">IFERROR(__xludf.DUMMYFUNCTION("""COMPUTED_VALUE"""),"20070523RIOAC")</f>
        <v>20070523RIOAC</v>
      </c>
      <c r="B1302" s="5">
        <f ca="1">IFERROR(__xludf.DUMMYFUNCTION("""COMPUTED_VALUE"""),11)</f>
        <v>11</v>
      </c>
      <c r="C1302" s="5" t="str">
        <f ca="1">IFERROR(__xludf.DUMMYFUNCTION("""COMPUTED_VALUE"""),"Male")</f>
        <v>Male</v>
      </c>
      <c r="D1302" s="5"/>
      <c r="E1302" s="5" t="str">
        <f ca="1">IFERROR(__xludf.DUMMYFUNCTION("""COMPUTED_VALUE"""),"Student")</f>
        <v>Student</v>
      </c>
      <c r="F1302" s="5" t="str">
        <f ca="1">IFERROR(__xludf.DUMMYFUNCTION("""COMPUTED_VALUE"""),"Subdued by Students/Staff/Other")</f>
        <v>Subdued by Students/Staff/Other</v>
      </c>
      <c r="G1302" s="5" t="str">
        <f ca="1">IFERROR(__xludf.DUMMYFUNCTION("""COMPUTED_VALUE"""),"No")</f>
        <v>No</v>
      </c>
      <c r="H1302" s="5" t="str">
        <f ca="1">IFERROR(__xludf.DUMMYFUNCTION("""COMPUTED_VALUE"""),"None")</f>
        <v>None</v>
      </c>
    </row>
    <row r="1303" spans="1:8">
      <c r="A1303" s="5" t="str">
        <f ca="1">IFERROR(__xludf.DUMMYFUNCTION("""COMPUTED_VALUE"""),"20070515TXLIL")</f>
        <v>20070515TXLIL</v>
      </c>
      <c r="B1303" s="5">
        <f ca="1">IFERROR(__xludf.DUMMYFUNCTION("""COMPUTED_VALUE"""),14)</f>
        <v>14</v>
      </c>
      <c r="C1303" s="5" t="str">
        <f ca="1">IFERROR(__xludf.DUMMYFUNCTION("""COMPUTED_VALUE"""),"Male")</f>
        <v>Male</v>
      </c>
      <c r="D1303" s="5"/>
      <c r="E1303" s="5" t="str">
        <f ca="1">IFERROR(__xludf.DUMMYFUNCTION("""COMPUTED_VALUE"""),"Student")</f>
        <v>Student</v>
      </c>
      <c r="F1303" s="5" t="str">
        <f ca="1">IFERROR(__xludf.DUMMYFUNCTION("""COMPUTED_VALUE"""),"Surrendered")</f>
        <v>Surrendered</v>
      </c>
      <c r="G1303" s="5" t="str">
        <f ca="1">IFERROR(__xludf.DUMMYFUNCTION("""COMPUTED_VALUE"""),"No")</f>
        <v>No</v>
      </c>
      <c r="H1303" s="5" t="str">
        <f ca="1">IFERROR(__xludf.DUMMYFUNCTION("""COMPUTED_VALUE"""),"None")</f>
        <v>None</v>
      </c>
    </row>
    <row r="1304" spans="1:8">
      <c r="A1304" s="5" t="str">
        <f ca="1">IFERROR(__xludf.DUMMYFUNCTION("""COMPUTED_VALUE"""),"20070512TXWEM")</f>
        <v>20070512TXWEM</v>
      </c>
      <c r="B1304" s="5">
        <f ca="1">IFERROR(__xludf.DUMMYFUNCTION("""COMPUTED_VALUE"""),17)</f>
        <v>17</v>
      </c>
      <c r="C1304" s="5" t="str">
        <f ca="1">IFERROR(__xludf.DUMMYFUNCTION("""COMPUTED_VALUE"""),"Male")</f>
        <v>Male</v>
      </c>
      <c r="D1304" s="5"/>
      <c r="E1304" s="5" t="str">
        <f ca="1">IFERROR(__xludf.DUMMYFUNCTION("""COMPUTED_VALUE"""),"Student")</f>
        <v>Student</v>
      </c>
      <c r="F1304" s="5" t="str">
        <f ca="1">IFERROR(__xludf.DUMMYFUNCTION("""COMPUTED_VALUE"""),"Fled/Apprehended")</f>
        <v>Fled/Apprehended</v>
      </c>
      <c r="G1304" s="5" t="str">
        <f ca="1">IFERROR(__xludf.DUMMYFUNCTION("""COMPUTED_VALUE"""),"No")</f>
        <v>No</v>
      </c>
      <c r="H1304" s="5" t="str">
        <f ca="1">IFERROR(__xludf.DUMMYFUNCTION("""COMPUTED_VALUE"""),"None")</f>
        <v>None</v>
      </c>
    </row>
    <row r="1305" spans="1:8">
      <c r="A1305" s="5" t="str">
        <f ca="1">IFERROR(__xludf.DUMMYFUNCTION("""COMPUTED_VALUE"""),"20070510MIHED")</f>
        <v>20070510MIHED</v>
      </c>
      <c r="B1305" s="5"/>
      <c r="C1305" s="5"/>
      <c r="D1305" s="5"/>
      <c r="E1305" s="5" t="str">
        <f ca="1">IFERROR(__xludf.DUMMYFUNCTION("""COMPUTED_VALUE"""),"Unknown")</f>
        <v>Unknown</v>
      </c>
      <c r="F1305" s="5" t="str">
        <f ca="1">IFERROR(__xludf.DUMMYFUNCTION("""COMPUTED_VALUE"""),"Fled/Escaped")</f>
        <v>Fled/Escaped</v>
      </c>
      <c r="G1305" s="5" t="str">
        <f ca="1">IFERROR(__xludf.DUMMYFUNCTION("""COMPUTED_VALUE"""),"No")</f>
        <v>No</v>
      </c>
      <c r="H1305" s="5" t="str">
        <f ca="1">IFERROR(__xludf.DUMMYFUNCTION("""COMPUTED_VALUE"""),"Wounded")</f>
        <v>Wounded</v>
      </c>
    </row>
    <row r="1306" spans="1:8">
      <c r="A1306" s="5" t="str">
        <f ca="1">IFERROR(__xludf.DUMMYFUNCTION("""COMPUTED_VALUE"""),"20070504TXTIE")</f>
        <v>20070504TXTIE</v>
      </c>
      <c r="B1306" s="5">
        <f ca="1">IFERROR(__xludf.DUMMYFUNCTION("""COMPUTED_VALUE"""),15)</f>
        <v>15</v>
      </c>
      <c r="C1306" s="5" t="str">
        <f ca="1">IFERROR(__xludf.DUMMYFUNCTION("""COMPUTED_VALUE"""),"Female")</f>
        <v>Female</v>
      </c>
      <c r="D1306" s="5"/>
      <c r="E1306" s="5" t="str">
        <f ca="1">IFERROR(__xludf.DUMMYFUNCTION("""COMPUTED_VALUE"""),"Student")</f>
        <v>Student</v>
      </c>
      <c r="F1306" s="5" t="str">
        <f ca="1">IFERROR(__xludf.DUMMYFUNCTION("""COMPUTED_VALUE"""),"Suicide")</f>
        <v>Suicide</v>
      </c>
      <c r="G1306" s="5" t="str">
        <f ca="1">IFERROR(__xludf.DUMMYFUNCTION("""COMPUTED_VALUE"""),"Yes")</f>
        <v>Yes</v>
      </c>
      <c r="H1306" s="5" t="str">
        <f ca="1">IFERROR(__xludf.DUMMYFUNCTION("""COMPUTED_VALUE"""),"Suicide")</f>
        <v>Suicide</v>
      </c>
    </row>
    <row r="1307" spans="1:8">
      <c r="A1307" s="5" t="str">
        <f ca="1">IFERROR(__xludf.DUMMYFUNCTION("""COMPUTED_VALUE"""),"20070503OHGED")</f>
        <v>20070503OHGED</v>
      </c>
      <c r="B1307" s="5">
        <f ca="1">IFERROR(__xludf.DUMMYFUNCTION("""COMPUTED_VALUE"""),16)</f>
        <v>16</v>
      </c>
      <c r="C1307" s="5" t="str">
        <f ca="1">IFERROR(__xludf.DUMMYFUNCTION("""COMPUTED_VALUE"""),"Male")</f>
        <v>Male</v>
      </c>
      <c r="D1307" s="5"/>
      <c r="E1307" s="5" t="str">
        <f ca="1">IFERROR(__xludf.DUMMYFUNCTION("""COMPUTED_VALUE"""),"Unknown")</f>
        <v>Unknown</v>
      </c>
      <c r="F1307" s="5" t="str">
        <f ca="1">IFERROR(__xludf.DUMMYFUNCTION("""COMPUTED_VALUE"""),"Apprehended/Killed by LE")</f>
        <v>Apprehended/Killed by LE</v>
      </c>
      <c r="G1307" s="5" t="str">
        <f ca="1">IFERROR(__xludf.DUMMYFUNCTION("""COMPUTED_VALUE"""),"No")</f>
        <v>No</v>
      </c>
      <c r="H1307" s="5" t="str">
        <f ca="1">IFERROR(__xludf.DUMMYFUNCTION("""COMPUTED_VALUE"""),"None")</f>
        <v>None</v>
      </c>
    </row>
    <row r="1308" spans="1:8">
      <c r="A1308" s="5" t="str">
        <f ca="1">IFERROR(__xludf.DUMMYFUNCTION("""COMPUTED_VALUE"""),"20070418NCNOH")</f>
        <v>20070418NCNOH</v>
      </c>
      <c r="B1308" s="5">
        <f ca="1">IFERROR(__xludf.DUMMYFUNCTION("""COMPUTED_VALUE"""),16)</f>
        <v>16</v>
      </c>
      <c r="C1308" s="5" t="str">
        <f ca="1">IFERROR(__xludf.DUMMYFUNCTION("""COMPUTED_VALUE"""),"Male")</f>
        <v>Male</v>
      </c>
      <c r="D1308" s="5"/>
      <c r="E1308" s="5" t="str">
        <f ca="1">IFERROR(__xludf.DUMMYFUNCTION("""COMPUTED_VALUE"""),"Student")</f>
        <v>Student</v>
      </c>
      <c r="F1308" s="5" t="str">
        <f ca="1">IFERROR(__xludf.DUMMYFUNCTION("""COMPUTED_VALUE"""),"Suicide")</f>
        <v>Suicide</v>
      </c>
      <c r="G1308" s="5" t="str">
        <f ca="1">IFERROR(__xludf.DUMMYFUNCTION("""COMPUTED_VALUE"""),"Yes")</f>
        <v>Yes</v>
      </c>
      <c r="H1308" s="5" t="str">
        <f ca="1">IFERROR(__xludf.DUMMYFUNCTION("""COMPUTED_VALUE"""),"Suicide")</f>
        <v>Suicide</v>
      </c>
    </row>
    <row r="1309" spans="1:8">
      <c r="A1309" s="5" t="str">
        <f ca="1">IFERROR(__xludf.DUMMYFUNCTION("""COMPUTED_VALUE"""),"20070410ORSPG")</f>
        <v>20070410ORSPG</v>
      </c>
      <c r="B1309" s="5">
        <f ca="1">IFERROR(__xludf.DUMMYFUNCTION("""COMPUTED_VALUE"""),15)</f>
        <v>15</v>
      </c>
      <c r="C1309" s="5" t="str">
        <f ca="1">IFERROR(__xludf.DUMMYFUNCTION("""COMPUTED_VALUE"""),"Male")</f>
        <v>Male</v>
      </c>
      <c r="D1309" s="5"/>
      <c r="E1309" s="5" t="str">
        <f ca="1">IFERROR(__xludf.DUMMYFUNCTION("""COMPUTED_VALUE"""),"Student")</f>
        <v>Student</v>
      </c>
      <c r="F1309" s="5" t="str">
        <f ca="1">IFERROR(__xludf.DUMMYFUNCTION("""COMPUTED_VALUE"""),"Fled/Apprehended")</f>
        <v>Fled/Apprehended</v>
      </c>
      <c r="G1309" s="5" t="str">
        <f ca="1">IFERROR(__xludf.DUMMYFUNCTION("""COMPUTED_VALUE"""),"No")</f>
        <v>No</v>
      </c>
      <c r="H1309" s="5" t="str">
        <f ca="1">IFERROR(__xludf.DUMMYFUNCTION("""COMPUTED_VALUE"""),"None")</f>
        <v>None</v>
      </c>
    </row>
    <row r="1310" spans="1:8">
      <c r="A1310" s="5" t="str">
        <f ca="1">IFERROR(__xludf.DUMMYFUNCTION("""COMPUTED_VALUE"""),"20070410ILCHC")</f>
        <v>20070410ILCHC</v>
      </c>
      <c r="B1310" s="5">
        <f ca="1">IFERROR(__xludf.DUMMYFUNCTION("""COMPUTED_VALUE"""),15)</f>
        <v>15</v>
      </c>
      <c r="C1310" s="5" t="str">
        <f ca="1">IFERROR(__xludf.DUMMYFUNCTION("""COMPUTED_VALUE"""),"Male")</f>
        <v>Male</v>
      </c>
      <c r="D1310" s="5"/>
      <c r="E1310" s="5" t="str">
        <f ca="1">IFERROR(__xludf.DUMMYFUNCTION("""COMPUTED_VALUE"""),"Student")</f>
        <v>Student</v>
      </c>
      <c r="F1310" s="5" t="str">
        <f ca="1">IFERROR(__xludf.DUMMYFUNCTION("""COMPUTED_VALUE"""),"Fled/Apprehended")</f>
        <v>Fled/Apprehended</v>
      </c>
      <c r="G1310" s="5" t="str">
        <f ca="1">IFERROR(__xludf.DUMMYFUNCTION("""COMPUTED_VALUE"""),"No")</f>
        <v>No</v>
      </c>
      <c r="H1310" s="5" t="str">
        <f ca="1">IFERROR(__xludf.DUMMYFUNCTION("""COMPUTED_VALUE"""),"None")</f>
        <v>None</v>
      </c>
    </row>
    <row r="1311" spans="1:8">
      <c r="A1311" s="5" t="str">
        <f ca="1">IFERROR(__xludf.DUMMYFUNCTION("""COMPUTED_VALUE"""),"20070329SCMYM")</f>
        <v>20070329SCMYM</v>
      </c>
      <c r="B1311" s="5">
        <f ca="1">IFERROR(__xludf.DUMMYFUNCTION("""COMPUTED_VALUE"""),18)</f>
        <v>18</v>
      </c>
      <c r="C1311" s="5" t="str">
        <f ca="1">IFERROR(__xludf.DUMMYFUNCTION("""COMPUTED_VALUE"""),"Male")</f>
        <v>Male</v>
      </c>
      <c r="D1311" s="5"/>
      <c r="E1311" s="5" t="str">
        <f ca="1">IFERROR(__xludf.DUMMYFUNCTION("""COMPUTED_VALUE"""),"Student")</f>
        <v>Student</v>
      </c>
      <c r="F1311" s="5" t="str">
        <f ca="1">IFERROR(__xludf.DUMMYFUNCTION("""COMPUTED_VALUE"""),"Surrendered")</f>
        <v>Surrendered</v>
      </c>
      <c r="G1311" s="5" t="str">
        <f ca="1">IFERROR(__xludf.DUMMYFUNCTION("""COMPUTED_VALUE"""),"No")</f>
        <v>No</v>
      </c>
      <c r="H1311" s="5" t="str">
        <f ca="1">IFERROR(__xludf.DUMMYFUNCTION("""COMPUTED_VALUE"""),"Wounded")</f>
        <v>Wounded</v>
      </c>
    </row>
    <row r="1312" spans="1:8">
      <c r="A1312" s="5" t="str">
        <f ca="1">IFERROR(__xludf.DUMMYFUNCTION("""COMPUTED_VALUE"""),"20070327CTSAH")</f>
        <v>20070327CTSAH</v>
      </c>
      <c r="B1312" s="5"/>
      <c r="C1312" s="5" t="str">
        <f ca="1">IFERROR(__xludf.DUMMYFUNCTION("""COMPUTED_VALUE"""),"Male")</f>
        <v>Male</v>
      </c>
      <c r="D1312" s="5"/>
      <c r="E1312" s="5" t="str">
        <f ca="1">IFERROR(__xludf.DUMMYFUNCTION("""COMPUTED_VALUE"""),"Unknown")</f>
        <v>Unknown</v>
      </c>
      <c r="F1312" s="5" t="str">
        <f ca="1">IFERROR(__xludf.DUMMYFUNCTION("""COMPUTED_VALUE"""),"Fled/Escaped")</f>
        <v>Fled/Escaped</v>
      </c>
      <c r="G1312" s="5" t="str">
        <f ca="1">IFERROR(__xludf.DUMMYFUNCTION("""COMPUTED_VALUE"""),"No")</f>
        <v>No</v>
      </c>
      <c r="H1312" s="5" t="str">
        <f ca="1">IFERROR(__xludf.DUMMYFUNCTION("""COMPUTED_VALUE"""),"None")</f>
        <v>None</v>
      </c>
    </row>
    <row r="1313" spans="1:8">
      <c r="A1313" s="5" t="str">
        <f ca="1">IFERROR(__xludf.DUMMYFUNCTION("""COMPUTED_VALUE"""),"20070323FLUNO")</f>
        <v>20070323FLUNO</v>
      </c>
      <c r="B1313" s="5">
        <f ca="1">IFERROR(__xludf.DUMMYFUNCTION("""COMPUTED_VALUE"""),10)</f>
        <v>10</v>
      </c>
      <c r="C1313" s="5" t="str">
        <f ca="1">IFERROR(__xludf.DUMMYFUNCTION("""COMPUTED_VALUE"""),"Male")</f>
        <v>Male</v>
      </c>
      <c r="D1313" s="5"/>
      <c r="E1313" s="5" t="str">
        <f ca="1">IFERROR(__xludf.DUMMYFUNCTION("""COMPUTED_VALUE"""),"Student")</f>
        <v>Student</v>
      </c>
      <c r="F1313" s="5" t="str">
        <f ca="1">IFERROR(__xludf.DUMMYFUNCTION("""COMPUTED_VALUE"""),"Unknown")</f>
        <v>Unknown</v>
      </c>
      <c r="G1313" s="5" t="str">
        <f ca="1">IFERROR(__xludf.DUMMYFUNCTION("""COMPUTED_VALUE"""),"No")</f>
        <v>No</v>
      </c>
      <c r="H1313" s="5" t="str">
        <f ca="1">IFERROR(__xludf.DUMMYFUNCTION("""COMPUTED_VALUE"""),"None")</f>
        <v>None</v>
      </c>
    </row>
    <row r="1314" spans="1:8">
      <c r="A1314" s="5" t="str">
        <f ca="1">IFERROR(__xludf.DUMMYFUNCTION("""COMPUTED_VALUE"""),"20070308TNEAC")</f>
        <v>20070308TNEAC</v>
      </c>
      <c r="B1314" s="5">
        <f ca="1">IFERROR(__xludf.DUMMYFUNCTION("""COMPUTED_VALUE"""),62)</f>
        <v>62</v>
      </c>
      <c r="C1314" s="5" t="str">
        <f ca="1">IFERROR(__xludf.DUMMYFUNCTION("""COMPUTED_VALUE"""),"Male")</f>
        <v>Male</v>
      </c>
      <c r="D1314" s="5"/>
      <c r="E1314" s="5" t="str">
        <f ca="1">IFERROR(__xludf.DUMMYFUNCTION("""COMPUTED_VALUE"""),"Other Staff")</f>
        <v>Other Staff</v>
      </c>
      <c r="F1314" s="5" t="str">
        <f ca="1">IFERROR(__xludf.DUMMYFUNCTION("""COMPUTED_VALUE"""),"Suicide")</f>
        <v>Suicide</v>
      </c>
      <c r="G1314" s="5" t="str">
        <f ca="1">IFERROR(__xludf.DUMMYFUNCTION("""COMPUTED_VALUE"""),"No")</f>
        <v>No</v>
      </c>
      <c r="H1314" s="5" t="str">
        <f ca="1">IFERROR(__xludf.DUMMYFUNCTION("""COMPUTED_VALUE"""),"Wounded")</f>
        <v>Wounded</v>
      </c>
    </row>
    <row r="1315" spans="1:8">
      <c r="A1315" s="5" t="str">
        <f ca="1">IFERROR(__xludf.DUMMYFUNCTION("""COMPUTED_VALUE"""),"20070307TXGRG")</f>
        <v>20070307TXGRG</v>
      </c>
      <c r="B1315" s="5">
        <f ca="1">IFERROR(__xludf.DUMMYFUNCTION("""COMPUTED_VALUE"""),16)</f>
        <v>16</v>
      </c>
      <c r="C1315" s="5" t="str">
        <f ca="1">IFERROR(__xludf.DUMMYFUNCTION("""COMPUTED_VALUE"""),"Male")</f>
        <v>Male</v>
      </c>
      <c r="D1315" s="5"/>
      <c r="E1315" s="5" t="str">
        <f ca="1">IFERROR(__xludf.DUMMYFUNCTION("""COMPUTED_VALUE"""),"Student")</f>
        <v>Student</v>
      </c>
      <c r="F1315" s="5" t="str">
        <f ca="1">IFERROR(__xludf.DUMMYFUNCTION("""COMPUTED_VALUE"""),"Suicide")</f>
        <v>Suicide</v>
      </c>
      <c r="G1315" s="5" t="str">
        <f ca="1">IFERROR(__xludf.DUMMYFUNCTION("""COMPUTED_VALUE"""),"Yes")</f>
        <v>Yes</v>
      </c>
      <c r="H1315" s="5" t="str">
        <f ca="1">IFERROR(__xludf.DUMMYFUNCTION("""COMPUTED_VALUE"""),"Suicide")</f>
        <v>Suicide</v>
      </c>
    </row>
    <row r="1316" spans="1:8">
      <c r="A1316" s="5" t="str">
        <f ca="1">IFERROR(__xludf.DUMMYFUNCTION("""COMPUTED_VALUE"""),"20070307MIHEM")</f>
        <v>20070307MIHEM</v>
      </c>
      <c r="B1316" s="5">
        <f ca="1">IFERROR(__xludf.DUMMYFUNCTION("""COMPUTED_VALUE"""),17)</f>
        <v>17</v>
      </c>
      <c r="C1316" s="5" t="str">
        <f ca="1">IFERROR(__xludf.DUMMYFUNCTION("""COMPUTED_VALUE"""),"Male")</f>
        <v>Male</v>
      </c>
      <c r="D1316" s="5"/>
      <c r="E1316" s="5" t="str">
        <f ca="1">IFERROR(__xludf.DUMMYFUNCTION("""COMPUTED_VALUE"""),"Intimate Relationship")</f>
        <v>Intimate Relationship</v>
      </c>
      <c r="F1316" s="5" t="str">
        <f ca="1">IFERROR(__xludf.DUMMYFUNCTION("""COMPUTED_VALUE"""),"Suicide")</f>
        <v>Suicide</v>
      </c>
      <c r="G1316" s="5" t="str">
        <f ca="1">IFERROR(__xludf.DUMMYFUNCTION("""COMPUTED_VALUE"""),"Yes")</f>
        <v>Yes</v>
      </c>
      <c r="H1316" s="5" t="str">
        <f ca="1">IFERROR(__xludf.DUMMYFUNCTION("""COMPUTED_VALUE"""),"Suicide")</f>
        <v>Suicide</v>
      </c>
    </row>
    <row r="1317" spans="1:8">
      <c r="A1317" s="5" t="str">
        <f ca="1">IFERROR(__xludf.DUMMYFUNCTION("""COMPUTED_VALUE"""),"20070307CACEC")</f>
        <v>20070307CACEC</v>
      </c>
      <c r="B1317" s="5"/>
      <c r="C1317" s="5" t="str">
        <f ca="1">IFERROR(__xludf.DUMMYFUNCTION("""COMPUTED_VALUE"""),"Male")</f>
        <v>Male</v>
      </c>
      <c r="D1317" s="5"/>
      <c r="E1317" s="5" t="str">
        <f ca="1">IFERROR(__xludf.DUMMYFUNCTION("""COMPUTED_VALUE"""),"No Relation")</f>
        <v>No Relation</v>
      </c>
      <c r="F1317" s="5" t="str">
        <f ca="1">IFERROR(__xludf.DUMMYFUNCTION("""COMPUTED_VALUE"""),"Fled/Escaped")</f>
        <v>Fled/Escaped</v>
      </c>
      <c r="G1317" s="5" t="str">
        <f ca="1">IFERROR(__xludf.DUMMYFUNCTION("""COMPUTED_VALUE"""),"No")</f>
        <v>No</v>
      </c>
      <c r="H1317" s="5" t="str">
        <f ca="1">IFERROR(__xludf.DUMMYFUNCTION("""COMPUTED_VALUE"""),"None")</f>
        <v>None</v>
      </c>
    </row>
    <row r="1318" spans="1:8">
      <c r="A1318" s="5" t="str">
        <f ca="1">IFERROR(__xludf.DUMMYFUNCTION("""COMPUTED_VALUE"""),"20070227GACLA")</f>
        <v>20070227GACLA</v>
      </c>
      <c r="B1318" s="5">
        <f ca="1">IFERROR(__xludf.DUMMYFUNCTION("""COMPUTED_VALUE"""),10)</f>
        <v>10</v>
      </c>
      <c r="C1318" s="5" t="str">
        <f ca="1">IFERROR(__xludf.DUMMYFUNCTION("""COMPUTED_VALUE"""),"Male")</f>
        <v>Male</v>
      </c>
      <c r="D1318" s="5"/>
      <c r="E1318" s="5" t="str">
        <f ca="1">IFERROR(__xludf.DUMMYFUNCTION("""COMPUTED_VALUE"""),"Student")</f>
        <v>Student</v>
      </c>
      <c r="F1318" s="5" t="str">
        <f ca="1">IFERROR(__xludf.DUMMYFUNCTION("""COMPUTED_VALUE"""),"Unknown")</f>
        <v>Unknown</v>
      </c>
      <c r="G1318" s="5" t="str">
        <f ca="1">IFERROR(__xludf.DUMMYFUNCTION("""COMPUTED_VALUE"""),"No")</f>
        <v>No</v>
      </c>
      <c r="H1318" s="5" t="str">
        <f ca="1">IFERROR(__xludf.DUMMYFUNCTION("""COMPUTED_VALUE"""),"None")</f>
        <v>None</v>
      </c>
    </row>
    <row r="1319" spans="1:8">
      <c r="A1319" s="5" t="str">
        <f ca="1">IFERROR(__xludf.DUMMYFUNCTION("""COMPUTED_VALUE"""),"20070226CASLA")</f>
        <v>20070226CASLA</v>
      </c>
      <c r="B1319" s="5">
        <f ca="1">IFERROR(__xludf.DUMMYFUNCTION("""COMPUTED_VALUE"""),12)</f>
        <v>12</v>
      </c>
      <c r="C1319" s="5" t="str">
        <f ca="1">IFERROR(__xludf.DUMMYFUNCTION("""COMPUTED_VALUE"""),"Male")</f>
        <v>Male</v>
      </c>
      <c r="D1319" s="5"/>
      <c r="E1319" s="5" t="str">
        <f ca="1">IFERROR(__xludf.DUMMYFUNCTION("""COMPUTED_VALUE"""),"Student")</f>
        <v>Student</v>
      </c>
      <c r="F1319" s="5" t="str">
        <f ca="1">IFERROR(__xludf.DUMMYFUNCTION("""COMPUTED_VALUE"""),"Unknown")</f>
        <v>Unknown</v>
      </c>
      <c r="G1319" s="5" t="str">
        <f ca="1">IFERROR(__xludf.DUMMYFUNCTION("""COMPUTED_VALUE"""),"No")</f>
        <v>No</v>
      </c>
      <c r="H1319" s="5" t="str">
        <f ca="1">IFERROR(__xludf.DUMMYFUNCTION("""COMPUTED_VALUE"""),"None")</f>
        <v>None</v>
      </c>
    </row>
    <row r="1320" spans="1:8">
      <c r="A1320" s="5" t="str">
        <f ca="1">IFERROR(__xludf.DUMMYFUNCTION("""COMPUTED_VALUE"""),"20070208TXSTP")</f>
        <v>20070208TXSTP</v>
      </c>
      <c r="B1320" s="5" t="str">
        <f ca="1">IFERROR(__xludf.DUMMYFUNCTION("""COMPUTED_VALUE"""),"Teen")</f>
        <v>Teen</v>
      </c>
      <c r="C1320" s="5" t="str">
        <f ca="1">IFERROR(__xludf.DUMMYFUNCTION("""COMPUTED_VALUE"""),"Male")</f>
        <v>Male</v>
      </c>
      <c r="D1320" s="5"/>
      <c r="E1320" s="5" t="str">
        <f ca="1">IFERROR(__xludf.DUMMYFUNCTION("""COMPUTED_VALUE"""),"Student")</f>
        <v>Student</v>
      </c>
      <c r="F1320" s="5" t="str">
        <f ca="1">IFERROR(__xludf.DUMMYFUNCTION("""COMPUTED_VALUE"""),"Unknown")</f>
        <v>Unknown</v>
      </c>
      <c r="G1320" s="5" t="str">
        <f ca="1">IFERROR(__xludf.DUMMYFUNCTION("""COMPUTED_VALUE"""),"No")</f>
        <v>No</v>
      </c>
      <c r="H1320" s="5" t="str">
        <f ca="1">IFERROR(__xludf.DUMMYFUNCTION("""COMPUTED_VALUE"""),"None")</f>
        <v>None</v>
      </c>
    </row>
    <row r="1321" spans="1:8">
      <c r="A1321" s="5" t="str">
        <f ca="1">IFERROR(__xludf.DUMMYFUNCTION("""COMPUTED_VALUE"""),"20070208ORCRP")</f>
        <v>20070208ORCRP</v>
      </c>
      <c r="B1321" s="5">
        <f ca="1">IFERROR(__xludf.DUMMYFUNCTION("""COMPUTED_VALUE"""),18)</f>
        <v>18</v>
      </c>
      <c r="C1321" s="5" t="str">
        <f ca="1">IFERROR(__xludf.DUMMYFUNCTION("""COMPUTED_VALUE"""),"Male")</f>
        <v>Male</v>
      </c>
      <c r="D1321" s="5"/>
      <c r="E1321" s="5" t="str">
        <f ca="1">IFERROR(__xludf.DUMMYFUNCTION("""COMPUTED_VALUE"""),"Student")</f>
        <v>Student</v>
      </c>
      <c r="F1321" s="5" t="str">
        <f ca="1">IFERROR(__xludf.DUMMYFUNCTION("""COMPUTED_VALUE"""),"Suicide")</f>
        <v>Suicide</v>
      </c>
      <c r="G1321" s="5" t="str">
        <f ca="1">IFERROR(__xludf.DUMMYFUNCTION("""COMPUTED_VALUE"""),"Yes")</f>
        <v>Yes</v>
      </c>
      <c r="H1321" s="5" t="str">
        <f ca="1">IFERROR(__xludf.DUMMYFUNCTION("""COMPUTED_VALUE"""),"Suicide")</f>
        <v>Suicide</v>
      </c>
    </row>
    <row r="1322" spans="1:8">
      <c r="A1322" s="5" t="str">
        <f ca="1">IFERROR(__xludf.DUMMYFUNCTION("""COMPUTED_VALUE"""),"20070207FLPAJ")</f>
        <v>20070207FLPAJ</v>
      </c>
      <c r="B1322" s="5">
        <f ca="1">IFERROR(__xludf.DUMMYFUNCTION("""COMPUTED_VALUE"""),16)</f>
        <v>16</v>
      </c>
      <c r="C1322" s="5" t="str">
        <f ca="1">IFERROR(__xludf.DUMMYFUNCTION("""COMPUTED_VALUE"""),"Male")</f>
        <v>Male</v>
      </c>
      <c r="D1322" s="5"/>
      <c r="E1322" s="5" t="str">
        <f ca="1">IFERROR(__xludf.DUMMYFUNCTION("""COMPUTED_VALUE"""),"Student")</f>
        <v>Student</v>
      </c>
      <c r="F1322" s="5" t="str">
        <f ca="1">IFERROR(__xludf.DUMMYFUNCTION("""COMPUTED_VALUE"""),"Fled/Apprehended")</f>
        <v>Fled/Apprehended</v>
      </c>
      <c r="G1322" s="5" t="str">
        <f ca="1">IFERROR(__xludf.DUMMYFUNCTION("""COMPUTED_VALUE"""),"No")</f>
        <v>No</v>
      </c>
      <c r="H1322" s="5" t="str">
        <f ca="1">IFERROR(__xludf.DUMMYFUNCTION("""COMPUTED_VALUE"""),"None")</f>
        <v>None</v>
      </c>
    </row>
    <row r="1323" spans="1:8">
      <c r="A1323" s="5" t="str">
        <f ca="1">IFERROR(__xludf.DUMMYFUNCTION("""COMPUTED_VALUE"""),"20070131ILHIC")</f>
        <v>20070131ILHIC</v>
      </c>
      <c r="B1323" s="5"/>
      <c r="C1323" s="5" t="str">
        <f ca="1">IFERROR(__xludf.DUMMYFUNCTION("""COMPUTED_VALUE"""),"Male")</f>
        <v>Male</v>
      </c>
      <c r="D1323" s="5"/>
      <c r="E1323" s="5" t="str">
        <f ca="1">IFERROR(__xludf.DUMMYFUNCTION("""COMPUTED_VALUE"""),"Nonstudent")</f>
        <v>Nonstudent</v>
      </c>
      <c r="F1323" s="5" t="str">
        <f ca="1">IFERROR(__xludf.DUMMYFUNCTION("""COMPUTED_VALUE"""),"Fled/Escaped")</f>
        <v>Fled/Escaped</v>
      </c>
      <c r="G1323" s="5" t="str">
        <f ca="1">IFERROR(__xludf.DUMMYFUNCTION("""COMPUTED_VALUE"""),"No")</f>
        <v>No</v>
      </c>
      <c r="H1323" s="5" t="str">
        <f ca="1">IFERROR(__xludf.DUMMYFUNCTION("""COMPUTED_VALUE"""),"None")</f>
        <v>None</v>
      </c>
    </row>
    <row r="1324" spans="1:8">
      <c r="A1324" s="5" t="str">
        <f ca="1">IFERROR(__xludf.DUMMYFUNCTION("""COMPUTED_VALUE"""),"20070124TNHAS")</f>
        <v>20070124TNHAS</v>
      </c>
      <c r="B1324" s="5">
        <f ca="1">IFERROR(__xludf.DUMMYFUNCTION("""COMPUTED_VALUE"""),17)</f>
        <v>17</v>
      </c>
      <c r="C1324" s="5" t="str">
        <f ca="1">IFERROR(__xludf.DUMMYFUNCTION("""COMPUTED_VALUE"""),"Male")</f>
        <v>Male</v>
      </c>
      <c r="D1324" s="5"/>
      <c r="E1324" s="5" t="str">
        <f ca="1">IFERROR(__xludf.DUMMYFUNCTION("""COMPUTED_VALUE"""),"Student")</f>
        <v>Student</v>
      </c>
      <c r="F1324" s="5" t="str">
        <f ca="1">IFERROR(__xludf.DUMMYFUNCTION("""COMPUTED_VALUE"""),"Attempted Suicide")</f>
        <v>Attempted Suicide</v>
      </c>
      <c r="G1324" s="5" t="str">
        <f ca="1">IFERROR(__xludf.DUMMYFUNCTION("""COMPUTED_VALUE"""),"No")</f>
        <v>No</v>
      </c>
      <c r="H1324" s="5" t="str">
        <f ca="1">IFERROR(__xludf.DUMMYFUNCTION("""COMPUTED_VALUE"""),"Wounded")</f>
        <v>Wounded</v>
      </c>
    </row>
    <row r="1325" spans="1:8">
      <c r="A1325" s="5" t="str">
        <f ca="1">IFERROR(__xludf.DUMMYFUNCTION("""COMPUTED_VALUE"""),"20070118PAWIP")</f>
        <v>20070118PAWIP</v>
      </c>
      <c r="B1325" s="5" t="str">
        <f ca="1">IFERROR(__xludf.DUMMYFUNCTION("""COMPUTED_VALUE"""),"Teen")</f>
        <v>Teen</v>
      </c>
      <c r="C1325" s="5" t="str">
        <f ca="1">IFERROR(__xludf.DUMMYFUNCTION("""COMPUTED_VALUE"""),"Male")</f>
        <v>Male</v>
      </c>
      <c r="D1325" s="5"/>
      <c r="E1325" s="5" t="str">
        <f ca="1">IFERROR(__xludf.DUMMYFUNCTION("""COMPUTED_VALUE"""),"Student")</f>
        <v>Student</v>
      </c>
      <c r="F1325" s="5" t="str">
        <f ca="1">IFERROR(__xludf.DUMMYFUNCTION("""COMPUTED_VALUE"""),"Fled/Escaped")</f>
        <v>Fled/Escaped</v>
      </c>
      <c r="G1325" s="5" t="str">
        <f ca="1">IFERROR(__xludf.DUMMYFUNCTION("""COMPUTED_VALUE"""),"No")</f>
        <v>No</v>
      </c>
      <c r="H1325" s="5" t="str">
        <f ca="1">IFERROR(__xludf.DUMMYFUNCTION("""COMPUTED_VALUE"""),"None")</f>
        <v>None</v>
      </c>
    </row>
    <row r="1326" spans="1:8">
      <c r="A1326" s="5" t="str">
        <f ca="1">IFERROR(__xludf.DUMMYFUNCTION("""COMPUTED_VALUE"""),"20070109NVWEL")</f>
        <v>20070109NVWEL</v>
      </c>
      <c r="B1326" s="5" t="str">
        <f ca="1">IFERROR(__xludf.DUMMYFUNCTION("""COMPUTED_VALUE"""),"Adult")</f>
        <v>Adult</v>
      </c>
      <c r="C1326" s="5" t="str">
        <f ca="1">IFERROR(__xludf.DUMMYFUNCTION("""COMPUTED_VALUE"""),"Male")</f>
        <v>Male</v>
      </c>
      <c r="D1326" s="5"/>
      <c r="E1326" s="5" t="str">
        <f ca="1">IFERROR(__xludf.DUMMYFUNCTION("""COMPUTED_VALUE"""),"No Relation")</f>
        <v>No Relation</v>
      </c>
      <c r="F1326" s="5" t="str">
        <f ca="1">IFERROR(__xludf.DUMMYFUNCTION("""COMPUTED_VALUE"""),"Fled/Apprehended")</f>
        <v>Fled/Apprehended</v>
      </c>
      <c r="G1326" s="5" t="str">
        <f ca="1">IFERROR(__xludf.DUMMYFUNCTION("""COMPUTED_VALUE"""),"No")</f>
        <v>No</v>
      </c>
      <c r="H1326" s="5" t="str">
        <f ca="1">IFERROR(__xludf.DUMMYFUNCTION("""COMPUTED_VALUE"""),"None")</f>
        <v>None</v>
      </c>
    </row>
    <row r="1327" spans="1:8">
      <c r="A1327" s="5" t="str">
        <f ca="1">IFERROR(__xludf.DUMMYFUNCTION("""COMPUTED_VALUE"""),"20070109CAGRV")</f>
        <v>20070109CAGRV</v>
      </c>
      <c r="B1327" s="5"/>
      <c r="C1327" s="5" t="str">
        <f ca="1">IFERROR(__xludf.DUMMYFUNCTION("""COMPUTED_VALUE"""),"Male")</f>
        <v>Male</v>
      </c>
      <c r="D1327" s="5"/>
      <c r="E1327" s="5" t="str">
        <f ca="1">IFERROR(__xludf.DUMMYFUNCTION("""COMPUTED_VALUE"""),"Unknown")</f>
        <v>Unknown</v>
      </c>
      <c r="F1327" s="5" t="str">
        <f ca="1">IFERROR(__xludf.DUMMYFUNCTION("""COMPUTED_VALUE"""),"Fled/Escaped")</f>
        <v>Fled/Escaped</v>
      </c>
      <c r="G1327" s="5" t="str">
        <f ca="1">IFERROR(__xludf.DUMMYFUNCTION("""COMPUTED_VALUE"""),"No")</f>
        <v>No</v>
      </c>
      <c r="H1327" s="5" t="str">
        <f ca="1">IFERROR(__xludf.DUMMYFUNCTION("""COMPUTED_VALUE"""),"None")</f>
        <v>None</v>
      </c>
    </row>
    <row r="1328" spans="1:8">
      <c r="A1328" s="5" t="str">
        <f ca="1">IFERROR(__xludf.DUMMYFUNCTION("""COMPUTED_VALUE"""),"20070108OHROC")</f>
        <v>20070108OHROC</v>
      </c>
      <c r="B1328" s="5">
        <f ca="1">IFERROR(__xludf.DUMMYFUNCTION("""COMPUTED_VALUE"""),16)</f>
        <v>16</v>
      </c>
      <c r="C1328" s="5" t="str">
        <f ca="1">IFERROR(__xludf.DUMMYFUNCTION("""COMPUTED_VALUE"""),"Male")</f>
        <v>Male</v>
      </c>
      <c r="D1328" s="5"/>
      <c r="E1328" s="5" t="str">
        <f ca="1">IFERROR(__xludf.DUMMYFUNCTION("""COMPUTED_VALUE"""),"Student")</f>
        <v>Student</v>
      </c>
      <c r="F1328" s="5" t="str">
        <f ca="1">IFERROR(__xludf.DUMMYFUNCTION("""COMPUTED_VALUE"""),"Fled/Apprehended")</f>
        <v>Fled/Apprehended</v>
      </c>
      <c r="G1328" s="5" t="str">
        <f ca="1">IFERROR(__xludf.DUMMYFUNCTION("""COMPUTED_VALUE"""),"No")</f>
        <v>No</v>
      </c>
      <c r="H1328" s="5" t="str">
        <f ca="1">IFERROR(__xludf.DUMMYFUNCTION("""COMPUTED_VALUE"""),"None")</f>
        <v>None</v>
      </c>
    </row>
    <row r="1329" spans="1:8">
      <c r="A1329" s="5" t="str">
        <f ca="1">IFERROR(__xludf.DUMMYFUNCTION("""COMPUTED_VALUE"""),"20070104MINOD")</f>
        <v>20070104MINOD</v>
      </c>
      <c r="B1329" s="5"/>
      <c r="C1329" s="5" t="str">
        <f ca="1">IFERROR(__xludf.DUMMYFUNCTION("""COMPUTED_VALUE"""),"Male")</f>
        <v>Male</v>
      </c>
      <c r="D1329" s="5"/>
      <c r="E1329" s="5" t="str">
        <f ca="1">IFERROR(__xludf.DUMMYFUNCTION("""COMPUTED_VALUE"""),"Unknown")</f>
        <v>Unknown</v>
      </c>
      <c r="F1329" s="5" t="str">
        <f ca="1">IFERROR(__xludf.DUMMYFUNCTION("""COMPUTED_VALUE"""),"Fled/Escaped")</f>
        <v>Fled/Escaped</v>
      </c>
      <c r="G1329" s="5" t="str">
        <f ca="1">IFERROR(__xludf.DUMMYFUNCTION("""COMPUTED_VALUE"""),"No")</f>
        <v>No</v>
      </c>
      <c r="H1329" s="5" t="str">
        <f ca="1">IFERROR(__xludf.DUMMYFUNCTION("""COMPUTED_VALUE"""),"None")</f>
        <v>None</v>
      </c>
    </row>
    <row r="1330" spans="1:8">
      <c r="A1330" s="5" t="str">
        <f ca="1">IFERROR(__xludf.DUMMYFUNCTION("""COMPUTED_VALUE"""),"20070103WAHET")</f>
        <v>20070103WAHET</v>
      </c>
      <c r="B1330" s="5">
        <f ca="1">IFERROR(__xludf.DUMMYFUNCTION("""COMPUTED_VALUE"""),18)</f>
        <v>18</v>
      </c>
      <c r="C1330" s="5" t="str">
        <f ca="1">IFERROR(__xludf.DUMMYFUNCTION("""COMPUTED_VALUE"""),"Male")</f>
        <v>Male</v>
      </c>
      <c r="D1330" s="5" t="str">
        <f ca="1">IFERROR(__xludf.DUMMYFUNCTION("""COMPUTED_VALUE"""),"Asian")</f>
        <v>Asian</v>
      </c>
      <c r="E1330" s="5" t="str">
        <f ca="1">IFERROR(__xludf.DUMMYFUNCTION("""COMPUTED_VALUE"""),"Student")</f>
        <v>Student</v>
      </c>
      <c r="F1330" s="5" t="str">
        <f ca="1">IFERROR(__xludf.DUMMYFUNCTION("""COMPUTED_VALUE"""),"Surrendered")</f>
        <v>Surrendered</v>
      </c>
      <c r="G1330" s="5" t="str">
        <f ca="1">IFERROR(__xludf.DUMMYFUNCTION("""COMPUTED_VALUE"""),"No")</f>
        <v>No</v>
      </c>
      <c r="H1330" s="5" t="str">
        <f ca="1">IFERROR(__xludf.DUMMYFUNCTION("""COMPUTED_VALUE"""),"None")</f>
        <v>None</v>
      </c>
    </row>
    <row r="1331" spans="1:8">
      <c r="A1331" s="5" t="str">
        <f ca="1">IFERROR(__xludf.DUMMYFUNCTION("""COMPUTED_VALUE"""),"20070102NCWEF")</f>
        <v>20070102NCWEF</v>
      </c>
      <c r="B1331" s="5">
        <f ca="1">IFERROR(__xludf.DUMMYFUNCTION("""COMPUTED_VALUE"""),14)</f>
        <v>14</v>
      </c>
      <c r="C1331" s="5" t="str">
        <f ca="1">IFERROR(__xludf.DUMMYFUNCTION("""COMPUTED_VALUE"""),"Male")</f>
        <v>Male</v>
      </c>
      <c r="D1331" s="5"/>
      <c r="E1331" s="5" t="str">
        <f ca="1">IFERROR(__xludf.DUMMYFUNCTION("""COMPUTED_VALUE"""),"Student")</f>
        <v>Student</v>
      </c>
      <c r="F1331" s="5" t="str">
        <f ca="1">IFERROR(__xludf.DUMMYFUNCTION("""COMPUTED_VALUE"""),"Fled/Apprehended")</f>
        <v>Fled/Apprehended</v>
      </c>
      <c r="G1331" s="5" t="str">
        <f ca="1">IFERROR(__xludf.DUMMYFUNCTION("""COMPUTED_VALUE"""),"No")</f>
        <v>No</v>
      </c>
      <c r="H1331" s="5" t="str">
        <f ca="1">IFERROR(__xludf.DUMMYFUNCTION("""COMPUTED_VALUE"""),"None")</f>
        <v>None</v>
      </c>
    </row>
    <row r="1332" spans="1:8">
      <c r="A1332" s="5" t="str">
        <f ca="1">IFERROR(__xludf.DUMMYFUNCTION("""COMPUTED_VALUE"""),"20061214PAMCC")</f>
        <v>20061214PAMCC</v>
      </c>
      <c r="B1332" s="5">
        <f ca="1">IFERROR(__xludf.DUMMYFUNCTION("""COMPUTED_VALUE"""),17)</f>
        <v>17</v>
      </c>
      <c r="C1332" s="5" t="str">
        <f ca="1">IFERROR(__xludf.DUMMYFUNCTION("""COMPUTED_VALUE"""),"Male")</f>
        <v>Male</v>
      </c>
      <c r="D1332" s="5" t="str">
        <f ca="1">IFERROR(__xludf.DUMMYFUNCTION("""COMPUTED_VALUE"""),"White")</f>
        <v>White</v>
      </c>
      <c r="E1332" s="5" t="str">
        <f ca="1">IFERROR(__xludf.DUMMYFUNCTION("""COMPUTED_VALUE"""),"Student")</f>
        <v>Student</v>
      </c>
      <c r="F1332" s="5" t="str">
        <f ca="1">IFERROR(__xludf.DUMMYFUNCTION("""COMPUTED_VALUE"""),"Suicide")</f>
        <v>Suicide</v>
      </c>
      <c r="G1332" s="5" t="str">
        <f ca="1">IFERROR(__xludf.DUMMYFUNCTION("""COMPUTED_VALUE"""),"Yes")</f>
        <v>Yes</v>
      </c>
      <c r="H1332" s="5" t="str">
        <f ca="1">IFERROR(__xludf.DUMMYFUNCTION("""COMPUTED_VALUE"""),"Suicide")</f>
        <v>Suicide</v>
      </c>
    </row>
    <row r="1333" spans="1:8">
      <c r="A1333" s="5" t="str">
        <f ca="1">IFERROR(__xludf.DUMMYFUNCTION("""COMPUTED_VALUE"""),"20061213PABAB")</f>
        <v>20061213PABAB</v>
      </c>
      <c r="B1333" s="5" t="str">
        <f ca="1">IFERROR(__xludf.DUMMYFUNCTION("""COMPUTED_VALUE"""),"Teen")</f>
        <v>Teen</v>
      </c>
      <c r="C1333" s="5" t="str">
        <f ca="1">IFERROR(__xludf.DUMMYFUNCTION("""COMPUTED_VALUE"""),"Male")</f>
        <v>Male</v>
      </c>
      <c r="D1333" s="5"/>
      <c r="E1333" s="5" t="str">
        <f ca="1">IFERROR(__xludf.DUMMYFUNCTION("""COMPUTED_VALUE"""),"Student")</f>
        <v>Student</v>
      </c>
      <c r="F1333" s="5" t="str">
        <f ca="1">IFERROR(__xludf.DUMMYFUNCTION("""COMPUTED_VALUE"""),"Unknown")</f>
        <v>Unknown</v>
      </c>
      <c r="G1333" s="5" t="str">
        <f ca="1">IFERROR(__xludf.DUMMYFUNCTION("""COMPUTED_VALUE"""),"No")</f>
        <v>No</v>
      </c>
      <c r="H1333" s="5" t="str">
        <f ca="1">IFERROR(__xludf.DUMMYFUNCTION("""COMPUTED_VALUE"""),"None")</f>
        <v>None</v>
      </c>
    </row>
    <row r="1334" spans="1:8">
      <c r="A1334" s="5" t="str">
        <f ca="1">IFERROR(__xludf.DUMMYFUNCTION("""COMPUTED_VALUE"""),"20061212PASPS")</f>
        <v>20061212PASPS</v>
      </c>
      <c r="B1334" s="5">
        <f ca="1">IFERROR(__xludf.DUMMYFUNCTION("""COMPUTED_VALUE"""),16)</f>
        <v>16</v>
      </c>
      <c r="C1334" s="5" t="str">
        <f ca="1">IFERROR(__xludf.DUMMYFUNCTION("""COMPUTED_VALUE"""),"Male")</f>
        <v>Male</v>
      </c>
      <c r="D1334" s="5"/>
      <c r="E1334" s="5" t="str">
        <f ca="1">IFERROR(__xludf.DUMMYFUNCTION("""COMPUTED_VALUE"""),"Student")</f>
        <v>Student</v>
      </c>
      <c r="F1334" s="5" t="str">
        <f ca="1">IFERROR(__xludf.DUMMYFUNCTION("""COMPUTED_VALUE"""),"Suicide")</f>
        <v>Suicide</v>
      </c>
      <c r="G1334" s="5" t="str">
        <f ca="1">IFERROR(__xludf.DUMMYFUNCTION("""COMPUTED_VALUE"""),"Yes")</f>
        <v>Yes</v>
      </c>
      <c r="H1334" s="5" t="str">
        <f ca="1">IFERROR(__xludf.DUMMYFUNCTION("""COMPUTED_VALUE"""),"Suicide")</f>
        <v>Suicide</v>
      </c>
    </row>
    <row r="1335" spans="1:8">
      <c r="A1335" s="5" t="str">
        <f ca="1">IFERROR(__xludf.DUMMYFUNCTION("""COMPUTED_VALUE"""),"20061211ILCLC")</f>
        <v>20061211ILCLC</v>
      </c>
      <c r="B1335" s="5">
        <f ca="1">IFERROR(__xludf.DUMMYFUNCTION("""COMPUTED_VALUE"""),17)</f>
        <v>17</v>
      </c>
      <c r="C1335" s="5" t="str">
        <f ca="1">IFERROR(__xludf.DUMMYFUNCTION("""COMPUTED_VALUE"""),"Male")</f>
        <v>Male</v>
      </c>
      <c r="D1335" s="5"/>
      <c r="E1335" s="5" t="str">
        <f ca="1">IFERROR(__xludf.DUMMYFUNCTION("""COMPUTED_VALUE"""),"Student")</f>
        <v>Student</v>
      </c>
      <c r="F1335" s="5" t="str">
        <f ca="1">IFERROR(__xludf.DUMMYFUNCTION("""COMPUTED_VALUE"""),"Fled/Apprehended")</f>
        <v>Fled/Apprehended</v>
      </c>
      <c r="G1335" s="5" t="str">
        <f ca="1">IFERROR(__xludf.DUMMYFUNCTION("""COMPUTED_VALUE"""),"No")</f>
        <v>No</v>
      </c>
      <c r="H1335" s="5" t="str">
        <f ca="1">IFERROR(__xludf.DUMMYFUNCTION("""COMPUTED_VALUE"""),"None")</f>
        <v>None</v>
      </c>
    </row>
    <row r="1336" spans="1:8">
      <c r="A1336" s="5" t="str">
        <f ca="1">IFERROR(__xludf.DUMMYFUNCTION("""COMPUTED_VALUE"""),"20061207NENOO")</f>
        <v>20061207NENOO</v>
      </c>
      <c r="B1336" s="5">
        <f ca="1">IFERROR(__xludf.DUMMYFUNCTION("""COMPUTED_VALUE"""),17)</f>
        <v>17</v>
      </c>
      <c r="C1336" s="5" t="str">
        <f ca="1">IFERROR(__xludf.DUMMYFUNCTION("""COMPUTED_VALUE"""),"Male")</f>
        <v>Male</v>
      </c>
      <c r="D1336" s="5"/>
      <c r="E1336" s="5" t="str">
        <f ca="1">IFERROR(__xludf.DUMMYFUNCTION("""COMPUTED_VALUE"""),"Student")</f>
        <v>Student</v>
      </c>
      <c r="F1336" s="5" t="str">
        <f ca="1">IFERROR(__xludf.DUMMYFUNCTION("""COMPUTED_VALUE"""),"Fled/Apprehended")</f>
        <v>Fled/Apprehended</v>
      </c>
      <c r="G1336" s="5" t="str">
        <f ca="1">IFERROR(__xludf.DUMMYFUNCTION("""COMPUTED_VALUE"""),"No")</f>
        <v>No</v>
      </c>
      <c r="H1336" s="5" t="str">
        <f ca="1">IFERROR(__xludf.DUMMYFUNCTION("""COMPUTED_VALUE"""),"None")</f>
        <v>None</v>
      </c>
    </row>
    <row r="1337" spans="1:8">
      <c r="A1337" s="5" t="str">
        <f ca="1">IFERROR(__xludf.DUMMYFUNCTION("""COMPUTED_VALUE"""),"20061201NCJOT")</f>
        <v>20061201NCJOT</v>
      </c>
      <c r="B1337" s="5">
        <f ca="1">IFERROR(__xludf.DUMMYFUNCTION("""COMPUTED_VALUE"""),20)</f>
        <v>20</v>
      </c>
      <c r="C1337" s="5" t="str">
        <f ca="1">IFERROR(__xludf.DUMMYFUNCTION("""COMPUTED_VALUE"""),"Male")</f>
        <v>Male</v>
      </c>
      <c r="D1337" s="5"/>
      <c r="E1337" s="5" t="str">
        <f ca="1">IFERROR(__xludf.DUMMYFUNCTION("""COMPUTED_VALUE"""),"Nonstudent Using Athletic Facilities/Attending Game")</f>
        <v>Nonstudent Using Athletic Facilities/Attending Game</v>
      </c>
      <c r="F1337" s="5" t="str">
        <f ca="1">IFERROR(__xludf.DUMMYFUNCTION("""COMPUTED_VALUE"""),"Fled/Apprehended")</f>
        <v>Fled/Apprehended</v>
      </c>
      <c r="G1337" s="5" t="str">
        <f ca="1">IFERROR(__xludf.DUMMYFUNCTION("""COMPUTED_VALUE"""),"No")</f>
        <v>No</v>
      </c>
      <c r="H1337" s="5" t="str">
        <f ca="1">IFERROR(__xludf.DUMMYFUNCTION("""COMPUTED_VALUE"""),"None")</f>
        <v>None</v>
      </c>
    </row>
    <row r="1338" spans="1:8">
      <c r="A1338" s="5" t="str">
        <f ca="1">IFERROR(__xludf.DUMMYFUNCTION("""COMPUTED_VALUE"""),"20061122GASAA")</f>
        <v>20061122GASAA</v>
      </c>
      <c r="B1338" s="5"/>
      <c r="C1338" s="5" t="str">
        <f ca="1">IFERROR(__xludf.DUMMYFUNCTION("""COMPUTED_VALUE"""),"Male")</f>
        <v>Male</v>
      </c>
      <c r="D1338" s="5"/>
      <c r="E1338" s="5" t="str">
        <f ca="1">IFERROR(__xludf.DUMMYFUNCTION("""COMPUTED_VALUE"""),"Unknown")</f>
        <v>Unknown</v>
      </c>
      <c r="F1338" s="5" t="str">
        <f ca="1">IFERROR(__xludf.DUMMYFUNCTION("""COMPUTED_VALUE"""),"Fled/Escaped")</f>
        <v>Fled/Escaped</v>
      </c>
      <c r="G1338" s="5" t="str">
        <f ca="1">IFERROR(__xludf.DUMMYFUNCTION("""COMPUTED_VALUE"""),"No")</f>
        <v>No</v>
      </c>
      <c r="H1338" s="5" t="str">
        <f ca="1">IFERROR(__xludf.DUMMYFUNCTION("""COMPUTED_VALUE"""),"None")</f>
        <v>None</v>
      </c>
    </row>
    <row r="1339" spans="1:8">
      <c r="A1339" s="5" t="str">
        <f ca="1">IFERROR(__xludf.DUMMYFUNCTION("""COMPUTED_VALUE"""),"20061111CALIO")</f>
        <v>20061111CALIO</v>
      </c>
      <c r="B1339" s="5" t="str">
        <f ca="1">IFERROR(__xludf.DUMMYFUNCTION("""COMPUTED_VALUE"""),"Adult")</f>
        <v>Adult</v>
      </c>
      <c r="C1339" s="5" t="str">
        <f ca="1">IFERROR(__xludf.DUMMYFUNCTION("""COMPUTED_VALUE"""),"Male")</f>
        <v>Male</v>
      </c>
      <c r="D1339" s="5"/>
      <c r="E1339" s="5" t="str">
        <f ca="1">IFERROR(__xludf.DUMMYFUNCTION("""COMPUTED_VALUE"""),"Nonstudent Using Athletic Facilities/Attending Game")</f>
        <v>Nonstudent Using Athletic Facilities/Attending Game</v>
      </c>
      <c r="F1339" s="5" t="str">
        <f ca="1">IFERROR(__xludf.DUMMYFUNCTION("""COMPUTED_VALUE"""),"Fled/Escaped")</f>
        <v>Fled/Escaped</v>
      </c>
      <c r="G1339" s="5" t="str">
        <f ca="1">IFERROR(__xludf.DUMMYFUNCTION("""COMPUTED_VALUE"""),"No")</f>
        <v>No</v>
      </c>
      <c r="H1339" s="5" t="str">
        <f ca="1">IFERROR(__xludf.DUMMYFUNCTION("""COMPUTED_VALUE"""),"None")</f>
        <v>None</v>
      </c>
    </row>
    <row r="1340" spans="1:8">
      <c r="A1340" s="5" t="str">
        <f ca="1">IFERROR(__xludf.DUMMYFUNCTION("""COMPUTED_VALUE"""),"20061031TNHAK")</f>
        <v>20061031TNHAK</v>
      </c>
      <c r="B1340" s="5">
        <f ca="1">IFERROR(__xludf.DUMMYFUNCTION("""COMPUTED_VALUE"""),39)</f>
        <v>39</v>
      </c>
      <c r="C1340" s="5" t="str">
        <f ca="1">IFERROR(__xludf.DUMMYFUNCTION("""COMPUTED_VALUE"""),"Male")</f>
        <v>Male</v>
      </c>
      <c r="D1340" s="5"/>
      <c r="E1340" s="5" t="str">
        <f ca="1">IFERROR(__xludf.DUMMYFUNCTION("""COMPUTED_VALUE"""),"No Relation")</f>
        <v>No Relation</v>
      </c>
      <c r="F1340" s="5" t="str">
        <f ca="1">IFERROR(__xludf.DUMMYFUNCTION("""COMPUTED_VALUE"""),"Fled/Apprehended")</f>
        <v>Fled/Apprehended</v>
      </c>
      <c r="G1340" s="5" t="str">
        <f ca="1">IFERROR(__xludf.DUMMYFUNCTION("""COMPUTED_VALUE"""),"No")</f>
        <v>No</v>
      </c>
      <c r="H1340" s="5" t="str">
        <f ca="1">IFERROR(__xludf.DUMMYFUNCTION("""COMPUTED_VALUE"""),"None")</f>
        <v>None</v>
      </c>
    </row>
    <row r="1341" spans="1:8">
      <c r="A1341" s="5" t="str">
        <f ca="1">IFERROR(__xludf.DUMMYFUNCTION("""COMPUTED_VALUE"""),"20061017TXSEK")</f>
        <v>20061017TXSEK</v>
      </c>
      <c r="B1341" s="5">
        <f ca="1">IFERROR(__xludf.DUMMYFUNCTION("""COMPUTED_VALUE"""),16)</f>
        <v>16</v>
      </c>
      <c r="C1341" s="5" t="str">
        <f ca="1">IFERROR(__xludf.DUMMYFUNCTION("""COMPUTED_VALUE"""),"Female")</f>
        <v>Female</v>
      </c>
      <c r="D1341" s="5"/>
      <c r="E1341" s="5" t="str">
        <f ca="1">IFERROR(__xludf.DUMMYFUNCTION("""COMPUTED_VALUE"""),"Student")</f>
        <v>Student</v>
      </c>
      <c r="F1341" s="5" t="str">
        <f ca="1">IFERROR(__xludf.DUMMYFUNCTION("""COMPUTED_VALUE"""),"Suicide")</f>
        <v>Suicide</v>
      </c>
      <c r="G1341" s="5" t="str">
        <f ca="1">IFERROR(__xludf.DUMMYFUNCTION("""COMPUTED_VALUE"""),"Yes")</f>
        <v>Yes</v>
      </c>
      <c r="H1341" s="5" t="str">
        <f ca="1">IFERROR(__xludf.DUMMYFUNCTION("""COMPUTED_VALUE"""),"Suicide")</f>
        <v>Suicide</v>
      </c>
    </row>
    <row r="1342" spans="1:8">
      <c r="A1342" s="5" t="str">
        <f ca="1">IFERROR(__xludf.DUMMYFUNCTION("""COMPUTED_VALUE"""),"20061012MDGRB")</f>
        <v>20061012MDGRB</v>
      </c>
      <c r="B1342" s="5">
        <f ca="1">IFERROR(__xludf.DUMMYFUNCTION("""COMPUTED_VALUE"""),8)</f>
        <v>8</v>
      </c>
      <c r="C1342" s="5" t="str">
        <f ca="1">IFERROR(__xludf.DUMMYFUNCTION("""COMPUTED_VALUE"""),"Male")</f>
        <v>Male</v>
      </c>
      <c r="D1342" s="5"/>
      <c r="E1342" s="5" t="str">
        <f ca="1">IFERROR(__xludf.DUMMYFUNCTION("""COMPUTED_VALUE"""),"Student")</f>
        <v>Student</v>
      </c>
      <c r="F1342" s="5" t="str">
        <f ca="1">IFERROR(__xludf.DUMMYFUNCTION("""COMPUTED_VALUE"""),"Unknown")</f>
        <v>Unknown</v>
      </c>
      <c r="G1342" s="5" t="str">
        <f ca="1">IFERROR(__xludf.DUMMYFUNCTION("""COMPUTED_VALUE"""),"No")</f>
        <v>No</v>
      </c>
      <c r="H1342" s="5" t="str">
        <f ca="1">IFERROR(__xludf.DUMMYFUNCTION("""COMPUTED_VALUE"""),"None")</f>
        <v>None</v>
      </c>
    </row>
    <row r="1343" spans="1:8">
      <c r="A1343" s="5" t="str">
        <f ca="1">IFERROR(__xludf.DUMMYFUNCTION("""COMPUTED_VALUE"""),"20061010NYPOP")</f>
        <v>20061010NYPOP</v>
      </c>
      <c r="B1343" s="5" t="str">
        <f ca="1">IFERROR(__xludf.DUMMYFUNCTION("""COMPUTED_VALUE"""),"Teen")</f>
        <v>Teen</v>
      </c>
      <c r="C1343" s="5" t="str">
        <f ca="1">IFERROR(__xludf.DUMMYFUNCTION("""COMPUTED_VALUE"""),"Male")</f>
        <v>Male</v>
      </c>
      <c r="D1343" s="5"/>
      <c r="E1343" s="5" t="str">
        <f ca="1">IFERROR(__xludf.DUMMYFUNCTION("""COMPUTED_VALUE"""),"Student")</f>
        <v>Student</v>
      </c>
      <c r="F1343" s="5" t="str">
        <f ca="1">IFERROR(__xludf.DUMMYFUNCTION("""COMPUTED_VALUE"""),"Fled/Apprehended")</f>
        <v>Fled/Apprehended</v>
      </c>
      <c r="G1343" s="5" t="str">
        <f ca="1">IFERROR(__xludf.DUMMYFUNCTION("""COMPUTED_VALUE"""),"No")</f>
        <v>No</v>
      </c>
      <c r="H1343" s="5" t="str">
        <f ca="1">IFERROR(__xludf.DUMMYFUNCTION("""COMPUTED_VALUE"""),"None")</f>
        <v>None</v>
      </c>
    </row>
    <row r="1344" spans="1:8">
      <c r="A1344" s="5" t="str">
        <f ca="1">IFERROR(__xludf.DUMMYFUNCTION("""COMPUTED_VALUE"""),"20061009MOMEJ")</f>
        <v>20061009MOMEJ</v>
      </c>
      <c r="B1344" s="5">
        <f ca="1">IFERROR(__xludf.DUMMYFUNCTION("""COMPUTED_VALUE"""),13)</f>
        <v>13</v>
      </c>
      <c r="C1344" s="5" t="str">
        <f ca="1">IFERROR(__xludf.DUMMYFUNCTION("""COMPUTED_VALUE"""),"Male")</f>
        <v>Male</v>
      </c>
      <c r="D1344" s="5" t="str">
        <f ca="1">IFERROR(__xludf.DUMMYFUNCTION("""COMPUTED_VALUE"""),"White")</f>
        <v>White</v>
      </c>
      <c r="E1344" s="5" t="str">
        <f ca="1">IFERROR(__xludf.DUMMYFUNCTION("""COMPUTED_VALUE"""),"Student")</f>
        <v>Student</v>
      </c>
      <c r="F1344" s="5" t="str">
        <f ca="1">IFERROR(__xludf.DUMMYFUNCTION("""COMPUTED_VALUE"""),"Surrendered")</f>
        <v>Surrendered</v>
      </c>
      <c r="G1344" s="5" t="str">
        <f ca="1">IFERROR(__xludf.DUMMYFUNCTION("""COMPUTED_VALUE"""),"No")</f>
        <v>No</v>
      </c>
      <c r="H1344" s="5" t="str">
        <f ca="1">IFERROR(__xludf.DUMMYFUNCTION("""COMPUTED_VALUE"""),"None")</f>
        <v>None</v>
      </c>
    </row>
    <row r="1345" spans="1:8">
      <c r="A1345" s="5" t="str">
        <f ca="1">IFERROR(__xludf.DUMMYFUNCTION("""COMPUTED_VALUE"""),"20061002PAWEN")</f>
        <v>20061002PAWEN</v>
      </c>
      <c r="B1345" s="5">
        <f ca="1">IFERROR(__xludf.DUMMYFUNCTION("""COMPUTED_VALUE"""),32)</f>
        <v>32</v>
      </c>
      <c r="C1345" s="5" t="str">
        <f ca="1">IFERROR(__xludf.DUMMYFUNCTION("""COMPUTED_VALUE"""),"Male")</f>
        <v>Male</v>
      </c>
      <c r="D1345" s="5" t="str">
        <f ca="1">IFERROR(__xludf.DUMMYFUNCTION("""COMPUTED_VALUE"""),"White")</f>
        <v>White</v>
      </c>
      <c r="E1345" s="5" t="str">
        <f ca="1">IFERROR(__xludf.DUMMYFUNCTION("""COMPUTED_VALUE"""),"No Relation")</f>
        <v>No Relation</v>
      </c>
      <c r="F1345" s="5" t="str">
        <f ca="1">IFERROR(__xludf.DUMMYFUNCTION("""COMPUTED_VALUE"""),"Suicide")</f>
        <v>Suicide</v>
      </c>
      <c r="G1345" s="5" t="str">
        <f ca="1">IFERROR(__xludf.DUMMYFUNCTION("""COMPUTED_VALUE"""),"Yes")</f>
        <v>Yes</v>
      </c>
      <c r="H1345" s="5" t="str">
        <f ca="1">IFERROR(__xludf.DUMMYFUNCTION("""COMPUTED_VALUE"""),"Suicide")</f>
        <v>Suicide</v>
      </c>
    </row>
    <row r="1346" spans="1:8">
      <c r="A1346" s="5" t="str">
        <f ca="1">IFERROR(__xludf.DUMMYFUNCTION("""COMPUTED_VALUE"""),"20060929WIWEC")</f>
        <v>20060929WIWEC</v>
      </c>
      <c r="B1346" s="5">
        <f ca="1">IFERROR(__xludf.DUMMYFUNCTION("""COMPUTED_VALUE"""),15)</f>
        <v>15</v>
      </c>
      <c r="C1346" s="5" t="str">
        <f ca="1">IFERROR(__xludf.DUMMYFUNCTION("""COMPUTED_VALUE"""),"Male")</f>
        <v>Male</v>
      </c>
      <c r="D1346" s="5" t="str">
        <f ca="1">IFERROR(__xludf.DUMMYFUNCTION("""COMPUTED_VALUE"""),"White")</f>
        <v>White</v>
      </c>
      <c r="E1346" s="5" t="str">
        <f ca="1">IFERROR(__xludf.DUMMYFUNCTION("""COMPUTED_VALUE"""),"Student")</f>
        <v>Student</v>
      </c>
      <c r="F1346" s="5" t="str">
        <f ca="1">IFERROR(__xludf.DUMMYFUNCTION("""COMPUTED_VALUE"""),"Subdued by Students/Staff/Other")</f>
        <v>Subdued by Students/Staff/Other</v>
      </c>
      <c r="G1346" s="5" t="str">
        <f ca="1">IFERROR(__xludf.DUMMYFUNCTION("""COMPUTED_VALUE"""),"No")</f>
        <v>No</v>
      </c>
      <c r="H1346" s="5" t="str">
        <f ca="1">IFERROR(__xludf.DUMMYFUNCTION("""COMPUTED_VALUE"""),"None")</f>
        <v>None</v>
      </c>
    </row>
    <row r="1347" spans="1:8">
      <c r="A1347" s="5" t="str">
        <f ca="1">IFERROR(__xludf.DUMMYFUNCTION("""COMPUTED_VALUE"""),"20060927COPLB")</f>
        <v>20060927COPLB</v>
      </c>
      <c r="B1347" s="5">
        <f ca="1">IFERROR(__xludf.DUMMYFUNCTION("""COMPUTED_VALUE"""),53)</f>
        <v>53</v>
      </c>
      <c r="C1347" s="5" t="str">
        <f ca="1">IFERROR(__xludf.DUMMYFUNCTION("""COMPUTED_VALUE"""),"Male")</f>
        <v>Male</v>
      </c>
      <c r="D1347" s="5" t="str">
        <f ca="1">IFERROR(__xludf.DUMMYFUNCTION("""COMPUTED_VALUE"""),"White")</f>
        <v>White</v>
      </c>
      <c r="E1347" s="5" t="str">
        <f ca="1">IFERROR(__xludf.DUMMYFUNCTION("""COMPUTED_VALUE"""),"Unknown")</f>
        <v>Unknown</v>
      </c>
      <c r="F1347" s="5" t="str">
        <f ca="1">IFERROR(__xludf.DUMMYFUNCTION("""COMPUTED_VALUE"""),"Suicide")</f>
        <v>Suicide</v>
      </c>
      <c r="G1347" s="5" t="str">
        <f ca="1">IFERROR(__xludf.DUMMYFUNCTION("""COMPUTED_VALUE"""),"Yes")</f>
        <v>Yes</v>
      </c>
      <c r="H1347" s="5" t="str">
        <f ca="1">IFERROR(__xludf.DUMMYFUNCTION("""COMPUTED_VALUE"""),"Suicide")</f>
        <v>Suicide</v>
      </c>
    </row>
    <row r="1348" spans="1:8">
      <c r="A1348" s="5" t="str">
        <f ca="1">IFERROR(__xludf.DUMMYFUNCTION("""COMPUTED_VALUE"""),"20060921DCCAW")</f>
        <v>20060921DCCAW</v>
      </c>
      <c r="B1348" s="5">
        <f ca="1">IFERROR(__xludf.DUMMYFUNCTION("""COMPUTED_VALUE"""),17)</f>
        <v>17</v>
      </c>
      <c r="C1348" s="5" t="str">
        <f ca="1">IFERROR(__xludf.DUMMYFUNCTION("""COMPUTED_VALUE"""),"Male")</f>
        <v>Male</v>
      </c>
      <c r="D1348" s="5"/>
      <c r="E1348" s="5" t="str">
        <f ca="1">IFERROR(__xludf.DUMMYFUNCTION("""COMPUTED_VALUE"""),"Student")</f>
        <v>Student</v>
      </c>
      <c r="F1348" s="5" t="str">
        <f ca="1">IFERROR(__xludf.DUMMYFUNCTION("""COMPUTED_VALUE"""),"Fled/Apprehended")</f>
        <v>Fled/Apprehended</v>
      </c>
      <c r="G1348" s="5" t="str">
        <f ca="1">IFERROR(__xludf.DUMMYFUNCTION("""COMPUTED_VALUE"""),"No")</f>
        <v>No</v>
      </c>
      <c r="H1348" s="5" t="str">
        <f ca="1">IFERROR(__xludf.DUMMYFUNCTION("""COMPUTED_VALUE"""),"None")</f>
        <v>None</v>
      </c>
    </row>
    <row r="1349" spans="1:8">
      <c r="A1349" s="5" t="str">
        <f ca="1">IFERROR(__xludf.DUMMYFUNCTION("""COMPUTED_VALUE"""),"20060913MOWEC")</f>
        <v>20060913MOWEC</v>
      </c>
      <c r="B1349" s="5">
        <f ca="1">IFERROR(__xludf.DUMMYFUNCTION("""COMPUTED_VALUE"""),17)</f>
        <v>17</v>
      </c>
      <c r="C1349" s="5" t="str">
        <f ca="1">IFERROR(__xludf.DUMMYFUNCTION("""COMPUTED_VALUE"""),"Male")</f>
        <v>Male</v>
      </c>
      <c r="D1349" s="5"/>
      <c r="E1349" s="5" t="str">
        <f ca="1">IFERROR(__xludf.DUMMYFUNCTION("""COMPUTED_VALUE"""),"Student")</f>
        <v>Student</v>
      </c>
      <c r="F1349" s="5" t="str">
        <f ca="1">IFERROR(__xludf.DUMMYFUNCTION("""COMPUTED_VALUE"""),"Apprehended/Killed by LE")</f>
        <v>Apprehended/Killed by LE</v>
      </c>
      <c r="G1349" s="5" t="str">
        <f ca="1">IFERROR(__xludf.DUMMYFUNCTION("""COMPUTED_VALUE"""),"No")</f>
        <v>No</v>
      </c>
      <c r="H1349" s="5" t="str">
        <f ca="1">IFERROR(__xludf.DUMMYFUNCTION("""COMPUTED_VALUE"""),"Wounded")</f>
        <v>Wounded</v>
      </c>
    </row>
    <row r="1350" spans="1:8">
      <c r="A1350" s="5" t="str">
        <f ca="1">IFERROR(__xludf.DUMMYFUNCTION("""COMPUTED_VALUE"""),"20060908TXSOF")</f>
        <v>20060908TXSOF</v>
      </c>
      <c r="B1350" s="5" t="str">
        <f ca="1">IFERROR(__xludf.DUMMYFUNCTION("""COMPUTED_VALUE"""),"Adult")</f>
        <v>Adult</v>
      </c>
      <c r="C1350" s="5" t="str">
        <f ca="1">IFERROR(__xludf.DUMMYFUNCTION("""COMPUTED_VALUE"""),"Male")</f>
        <v>Male</v>
      </c>
      <c r="D1350" s="5"/>
      <c r="E1350" s="5" t="str">
        <f ca="1">IFERROR(__xludf.DUMMYFUNCTION("""COMPUTED_VALUE"""),"Police Officer/SRO")</f>
        <v>Police Officer/SRO</v>
      </c>
      <c r="F1350" s="5" t="str">
        <f ca="1">IFERROR(__xludf.DUMMYFUNCTION("""COMPUTED_VALUE"""),"Law Enforcement")</f>
        <v>Law Enforcement</v>
      </c>
      <c r="G1350" s="5" t="str">
        <f ca="1">IFERROR(__xludf.DUMMYFUNCTION("""COMPUTED_VALUE"""),"No")</f>
        <v>No</v>
      </c>
      <c r="H1350" s="5" t="str">
        <f ca="1">IFERROR(__xludf.DUMMYFUNCTION("""COMPUTED_VALUE"""),"None")</f>
        <v>None</v>
      </c>
    </row>
    <row r="1351" spans="1:8">
      <c r="A1351" s="5" t="str">
        <f ca="1">IFERROR(__xludf.DUMMYFUNCTION("""COMPUTED_VALUE"""),"20060905TNKIM")</f>
        <v>20060905TNKIM</v>
      </c>
      <c r="B1351" s="5" t="str">
        <f ca="1">IFERROR(__xludf.DUMMYFUNCTION("""COMPUTED_VALUE"""),"Adult")</f>
        <v>Adult</v>
      </c>
      <c r="C1351" s="5"/>
      <c r="D1351" s="5"/>
      <c r="E1351" s="5" t="str">
        <f ca="1">IFERROR(__xludf.DUMMYFUNCTION("""COMPUTED_VALUE"""),"Parent")</f>
        <v>Parent</v>
      </c>
      <c r="F1351" s="5" t="str">
        <f ca="1">IFERROR(__xludf.DUMMYFUNCTION("""COMPUTED_VALUE"""),"Fled/Escaped")</f>
        <v>Fled/Escaped</v>
      </c>
      <c r="G1351" s="5" t="str">
        <f ca="1">IFERROR(__xludf.DUMMYFUNCTION("""COMPUTED_VALUE"""),"No")</f>
        <v>No</v>
      </c>
      <c r="H1351" s="5" t="str">
        <f ca="1">IFERROR(__xludf.DUMMYFUNCTION("""COMPUTED_VALUE"""),"None")</f>
        <v>None</v>
      </c>
    </row>
    <row r="1352" spans="1:8">
      <c r="A1352" s="5" t="str">
        <f ca="1">IFERROR(__xludf.DUMMYFUNCTION("""COMPUTED_VALUE"""),"20060831ALOXO")</f>
        <v>20060831ALOXO</v>
      </c>
      <c r="B1352" s="5">
        <f ca="1">IFERROR(__xludf.DUMMYFUNCTION("""COMPUTED_VALUE"""),21)</f>
        <v>21</v>
      </c>
      <c r="C1352" s="5" t="str">
        <f ca="1">IFERROR(__xludf.DUMMYFUNCTION("""COMPUTED_VALUE"""),"Male")</f>
        <v>Male</v>
      </c>
      <c r="D1352" s="5"/>
      <c r="E1352" s="5" t="str">
        <f ca="1">IFERROR(__xludf.DUMMYFUNCTION("""COMPUTED_VALUE"""),"Nonstudent Using Athletic Facilities/Attending Game")</f>
        <v>Nonstudent Using Athletic Facilities/Attending Game</v>
      </c>
      <c r="F1352" s="5" t="str">
        <f ca="1">IFERROR(__xludf.DUMMYFUNCTION("""COMPUTED_VALUE"""),"Fled/Apprehended")</f>
        <v>Fled/Apprehended</v>
      </c>
      <c r="G1352" s="5" t="str">
        <f ca="1">IFERROR(__xludf.DUMMYFUNCTION("""COMPUTED_VALUE"""),"No")</f>
        <v>No</v>
      </c>
      <c r="H1352" s="5" t="str">
        <f ca="1">IFERROR(__xludf.DUMMYFUNCTION("""COMPUTED_VALUE"""),"None")</f>
        <v>None</v>
      </c>
    </row>
    <row r="1353" spans="1:8">
      <c r="A1353" s="5" t="str">
        <f ca="1">IFERROR(__xludf.DUMMYFUNCTION("""COMPUTED_VALUE"""),"20060830NCORH")</f>
        <v>20060830NCORH</v>
      </c>
      <c r="B1353" s="5">
        <f ca="1">IFERROR(__xludf.DUMMYFUNCTION("""COMPUTED_VALUE"""),18)</f>
        <v>18</v>
      </c>
      <c r="C1353" s="5" t="str">
        <f ca="1">IFERROR(__xludf.DUMMYFUNCTION("""COMPUTED_VALUE"""),"Male")</f>
        <v>Male</v>
      </c>
      <c r="D1353" s="5" t="str">
        <f ca="1">IFERROR(__xludf.DUMMYFUNCTION("""COMPUTED_VALUE"""),"Hispanic")</f>
        <v>Hispanic</v>
      </c>
      <c r="E1353" s="5" t="str">
        <f ca="1">IFERROR(__xludf.DUMMYFUNCTION("""COMPUTED_VALUE"""),"Former Student")</f>
        <v>Former Student</v>
      </c>
      <c r="F1353" s="5" t="str">
        <f ca="1">IFERROR(__xludf.DUMMYFUNCTION("""COMPUTED_VALUE"""),"Surrendered")</f>
        <v>Surrendered</v>
      </c>
      <c r="G1353" s="5" t="str">
        <f ca="1">IFERROR(__xludf.DUMMYFUNCTION("""COMPUTED_VALUE"""),"No")</f>
        <v>No</v>
      </c>
      <c r="H1353" s="5" t="str">
        <f ca="1">IFERROR(__xludf.DUMMYFUNCTION("""COMPUTED_VALUE"""),"None")</f>
        <v>None</v>
      </c>
    </row>
    <row r="1354" spans="1:8">
      <c r="A1354" s="5" t="str">
        <f ca="1">IFERROR(__xludf.DUMMYFUNCTION("""COMPUTED_VALUE"""),"20060829DCANW")</f>
        <v>20060829DCANW</v>
      </c>
      <c r="B1354" s="5">
        <f ca="1">IFERROR(__xludf.DUMMYFUNCTION("""COMPUTED_VALUE"""),16)</f>
        <v>16</v>
      </c>
      <c r="C1354" s="5" t="str">
        <f ca="1">IFERROR(__xludf.DUMMYFUNCTION("""COMPUTED_VALUE"""),"Male")</f>
        <v>Male</v>
      </c>
      <c r="D1354" s="5"/>
      <c r="E1354" s="5" t="str">
        <f ca="1">IFERROR(__xludf.DUMMYFUNCTION("""COMPUTED_VALUE"""),"Student")</f>
        <v>Student</v>
      </c>
      <c r="F1354" s="5" t="str">
        <f ca="1">IFERROR(__xludf.DUMMYFUNCTION("""COMPUTED_VALUE"""),"Fled/Apprehended")</f>
        <v>Fled/Apprehended</v>
      </c>
      <c r="G1354" s="5" t="str">
        <f ca="1">IFERROR(__xludf.DUMMYFUNCTION("""COMPUTED_VALUE"""),"No")</f>
        <v>No</v>
      </c>
      <c r="H1354" s="5" t="str">
        <f ca="1">IFERROR(__xludf.DUMMYFUNCTION("""COMPUTED_VALUE"""),"None")</f>
        <v>None</v>
      </c>
    </row>
    <row r="1355" spans="1:8">
      <c r="A1355" s="5" t="str">
        <f ca="1">IFERROR(__xludf.DUMMYFUNCTION("""COMPUTED_VALUE"""),"20060824VTESE")</f>
        <v>20060824VTESE</v>
      </c>
      <c r="B1355" s="5">
        <f ca="1">IFERROR(__xludf.DUMMYFUNCTION("""COMPUTED_VALUE"""),26)</f>
        <v>26</v>
      </c>
      <c r="C1355" s="5" t="str">
        <f ca="1">IFERROR(__xludf.DUMMYFUNCTION("""COMPUTED_VALUE"""),"Male")</f>
        <v>Male</v>
      </c>
      <c r="D1355" s="5" t="str">
        <f ca="1">IFERROR(__xludf.DUMMYFUNCTION("""COMPUTED_VALUE"""),"Black")</f>
        <v>Black</v>
      </c>
      <c r="E1355" s="5" t="str">
        <f ca="1">IFERROR(__xludf.DUMMYFUNCTION("""COMPUTED_VALUE"""),"Intimate Relationship")</f>
        <v>Intimate Relationship</v>
      </c>
      <c r="F1355" s="5" t="str">
        <f ca="1">IFERROR(__xludf.DUMMYFUNCTION("""COMPUTED_VALUE"""),"Fled/Apprehended")</f>
        <v>Fled/Apprehended</v>
      </c>
      <c r="G1355" s="5" t="str">
        <f ca="1">IFERROR(__xludf.DUMMYFUNCTION("""COMPUTED_VALUE"""),"No")</f>
        <v>No</v>
      </c>
      <c r="H1355" s="5" t="str">
        <f ca="1">IFERROR(__xludf.DUMMYFUNCTION("""COMPUTED_VALUE"""),"Wounded")</f>
        <v>Wounded</v>
      </c>
    </row>
    <row r="1356" spans="1:8">
      <c r="A1356" s="5" t="str">
        <f ca="1">IFERROR(__xludf.DUMMYFUNCTION("""COMPUTED_VALUE"""),"20060821INCAN")</f>
        <v>20060821INCAN</v>
      </c>
      <c r="B1356" s="5">
        <f ca="1">IFERROR(__xludf.DUMMYFUNCTION("""COMPUTED_VALUE"""),16)</f>
        <v>16</v>
      </c>
      <c r="C1356" s="5" t="str">
        <f ca="1">IFERROR(__xludf.DUMMYFUNCTION("""COMPUTED_VALUE"""),"Male")</f>
        <v>Male</v>
      </c>
      <c r="D1356" s="5"/>
      <c r="E1356" s="5" t="str">
        <f ca="1">IFERROR(__xludf.DUMMYFUNCTION("""COMPUTED_VALUE"""),"Student")</f>
        <v>Student</v>
      </c>
      <c r="F1356" s="5" t="str">
        <f ca="1">IFERROR(__xludf.DUMMYFUNCTION("""COMPUTED_VALUE"""),"Suicide")</f>
        <v>Suicide</v>
      </c>
      <c r="G1356" s="5" t="str">
        <f ca="1">IFERROR(__xludf.DUMMYFUNCTION("""COMPUTED_VALUE"""),"Yes")</f>
        <v>Yes</v>
      </c>
      <c r="H1356" s="5" t="str">
        <f ca="1">IFERROR(__xludf.DUMMYFUNCTION("""COMPUTED_VALUE"""),"Suicide")</f>
        <v>Suicide</v>
      </c>
    </row>
    <row r="1357" spans="1:8">
      <c r="A1357" s="5" t="str">
        <f ca="1">IFERROR(__xludf.DUMMYFUNCTION("""COMPUTED_VALUE"""),"20060820GALYH")</f>
        <v>20060820GALYH</v>
      </c>
      <c r="B1357" s="5" t="str">
        <f ca="1">IFERROR(__xludf.DUMMYFUNCTION("""COMPUTED_VALUE"""),"Teen")</f>
        <v>Teen</v>
      </c>
      <c r="C1357" s="5" t="str">
        <f ca="1">IFERROR(__xludf.DUMMYFUNCTION("""COMPUTED_VALUE"""),"Male")</f>
        <v>Male</v>
      </c>
      <c r="D1357" s="5"/>
      <c r="E1357" s="5" t="str">
        <f ca="1">IFERROR(__xludf.DUMMYFUNCTION("""COMPUTED_VALUE"""),"Unknown")</f>
        <v>Unknown</v>
      </c>
      <c r="F1357" s="5" t="str">
        <f ca="1">IFERROR(__xludf.DUMMYFUNCTION("""COMPUTED_VALUE"""),"Fled/Escaped")</f>
        <v>Fled/Escaped</v>
      </c>
      <c r="G1357" s="5" t="str">
        <f ca="1">IFERROR(__xludf.DUMMYFUNCTION("""COMPUTED_VALUE"""),"No")</f>
        <v>No</v>
      </c>
      <c r="H1357" s="5" t="str">
        <f ca="1">IFERROR(__xludf.DUMMYFUNCTION("""COMPUTED_VALUE"""),"None")</f>
        <v>None</v>
      </c>
    </row>
    <row r="1358" spans="1:8">
      <c r="A1358" s="5" t="str">
        <f ca="1">IFERROR(__xludf.DUMMYFUNCTION("""COMPUTED_VALUE"""),"20060819OHSOY")</f>
        <v>20060819OHSOY</v>
      </c>
      <c r="B1358" s="5">
        <f ca="1">IFERROR(__xludf.DUMMYFUNCTION("""COMPUTED_VALUE"""),25)</f>
        <v>25</v>
      </c>
      <c r="C1358" s="5" t="str">
        <f ca="1">IFERROR(__xludf.DUMMYFUNCTION("""COMPUTED_VALUE"""),"Male")</f>
        <v>Male</v>
      </c>
      <c r="D1358" s="5"/>
      <c r="E1358" s="5" t="str">
        <f ca="1">IFERROR(__xludf.DUMMYFUNCTION("""COMPUTED_VALUE"""),"Nonstudent Using Athletic Facilities/Attending Game")</f>
        <v>Nonstudent Using Athletic Facilities/Attending Game</v>
      </c>
      <c r="F1358" s="5" t="str">
        <f ca="1">IFERROR(__xludf.DUMMYFUNCTION("""COMPUTED_VALUE"""),"Fled/Apprehended")</f>
        <v>Fled/Apprehended</v>
      </c>
      <c r="G1358" s="5" t="str">
        <f ca="1">IFERROR(__xludf.DUMMYFUNCTION("""COMPUTED_VALUE"""),"No")</f>
        <v>No</v>
      </c>
      <c r="H1358" s="5" t="str">
        <f ca="1">IFERROR(__xludf.DUMMYFUNCTION("""COMPUTED_VALUE"""),"None")</f>
        <v>None</v>
      </c>
    </row>
    <row r="1359" spans="1:8">
      <c r="A1359" s="5" t="str">
        <f ca="1">IFERROR(__xludf.DUMMYFUNCTION("""COMPUTED_VALUE"""),"20060817TXMEA")</f>
        <v>20060817TXMEA</v>
      </c>
      <c r="B1359" s="5">
        <f ca="1">IFERROR(__xludf.DUMMYFUNCTION("""COMPUTED_VALUE"""),20)</f>
        <v>20</v>
      </c>
      <c r="C1359" s="5" t="str">
        <f ca="1">IFERROR(__xludf.DUMMYFUNCTION("""COMPUTED_VALUE"""),"Male")</f>
        <v>Male</v>
      </c>
      <c r="D1359" s="5" t="str">
        <f ca="1">IFERROR(__xludf.DUMMYFUNCTION("""COMPUTED_VALUE"""),"Hispanic")</f>
        <v>Hispanic</v>
      </c>
      <c r="E1359" s="5" t="str">
        <f ca="1">IFERROR(__xludf.DUMMYFUNCTION("""COMPUTED_VALUE"""),"No Relation")</f>
        <v>No Relation</v>
      </c>
      <c r="F1359" s="5" t="str">
        <f ca="1">IFERROR(__xludf.DUMMYFUNCTION("""COMPUTED_VALUE"""),"Fled/Apprehended")</f>
        <v>Fled/Apprehended</v>
      </c>
      <c r="G1359" s="5" t="str">
        <f ca="1">IFERROR(__xludf.DUMMYFUNCTION("""COMPUTED_VALUE"""),"No")</f>
        <v>No</v>
      </c>
      <c r="H1359" s="5" t="str">
        <f ca="1">IFERROR(__xludf.DUMMYFUNCTION("""COMPUTED_VALUE"""),"None")</f>
        <v>None</v>
      </c>
    </row>
    <row r="1360" spans="1:8">
      <c r="A1360" s="5" t="str">
        <f ca="1">IFERROR(__xludf.DUMMYFUNCTION("""COMPUTED_VALUE"""),"20060817TXMEA")</f>
        <v>20060817TXMEA</v>
      </c>
      <c r="B1360" s="5">
        <f ca="1">IFERROR(__xludf.DUMMYFUNCTION("""COMPUTED_VALUE"""),17)</f>
        <v>17</v>
      </c>
      <c r="C1360" s="5" t="str">
        <f ca="1">IFERROR(__xludf.DUMMYFUNCTION("""COMPUTED_VALUE"""),"Male")</f>
        <v>Male</v>
      </c>
      <c r="D1360" s="5" t="str">
        <f ca="1">IFERROR(__xludf.DUMMYFUNCTION("""COMPUTED_VALUE"""),"Hispanic")</f>
        <v>Hispanic</v>
      </c>
      <c r="E1360" s="5" t="str">
        <f ca="1">IFERROR(__xludf.DUMMYFUNCTION("""COMPUTED_VALUE"""),"No Relation")</f>
        <v>No Relation</v>
      </c>
      <c r="F1360" s="5" t="str">
        <f ca="1">IFERROR(__xludf.DUMMYFUNCTION("""COMPUTED_VALUE"""),"Fled/Apprehended")</f>
        <v>Fled/Apprehended</v>
      </c>
      <c r="G1360" s="5" t="str">
        <f ca="1">IFERROR(__xludf.DUMMYFUNCTION("""COMPUTED_VALUE"""),"No")</f>
        <v>No</v>
      </c>
      <c r="H1360" s="5" t="str">
        <f ca="1">IFERROR(__xludf.DUMMYFUNCTION("""COMPUTED_VALUE"""),"None")</f>
        <v>None</v>
      </c>
    </row>
    <row r="1361" spans="1:8">
      <c r="A1361" s="5" t="str">
        <f ca="1">IFERROR(__xludf.DUMMYFUNCTION("""COMPUTED_VALUE"""),"20060815KYJTV")</f>
        <v>20060815KYJTV</v>
      </c>
      <c r="B1361" s="5">
        <f ca="1">IFERROR(__xludf.DUMMYFUNCTION("""COMPUTED_VALUE"""),13)</f>
        <v>13</v>
      </c>
      <c r="C1361" s="5" t="str">
        <f ca="1">IFERROR(__xludf.DUMMYFUNCTION("""COMPUTED_VALUE"""),"Male")</f>
        <v>Male</v>
      </c>
      <c r="D1361" s="5"/>
      <c r="E1361" s="5" t="str">
        <f ca="1">IFERROR(__xludf.DUMMYFUNCTION("""COMPUTED_VALUE"""),"Student")</f>
        <v>Student</v>
      </c>
      <c r="F1361" s="5" t="str">
        <f ca="1">IFERROR(__xludf.DUMMYFUNCTION("""COMPUTED_VALUE"""),"Surrendered")</f>
        <v>Surrendered</v>
      </c>
      <c r="G1361" s="5" t="str">
        <f ca="1">IFERROR(__xludf.DUMMYFUNCTION("""COMPUTED_VALUE"""),"No")</f>
        <v>No</v>
      </c>
      <c r="H1361" s="5" t="str">
        <f ca="1">IFERROR(__xludf.DUMMYFUNCTION("""COMPUTED_VALUE"""),"None")</f>
        <v>None</v>
      </c>
    </row>
    <row r="1362" spans="1:8">
      <c r="A1362" s="5" t="str">
        <f ca="1">IFERROR(__xludf.DUMMYFUNCTION("""COMPUTED_VALUE"""),"20060731FLYOT")</f>
        <v>20060731FLYOT</v>
      </c>
      <c r="B1362" s="5">
        <f ca="1">IFERROR(__xludf.DUMMYFUNCTION("""COMPUTED_VALUE"""),54)</f>
        <v>54</v>
      </c>
      <c r="C1362" s="5" t="str">
        <f ca="1">IFERROR(__xludf.DUMMYFUNCTION("""COMPUTED_VALUE"""),"Male")</f>
        <v>Male</v>
      </c>
      <c r="D1362" s="5" t="str">
        <f ca="1">IFERROR(__xludf.DUMMYFUNCTION("""COMPUTED_VALUE"""),"Hispanic")</f>
        <v>Hispanic</v>
      </c>
      <c r="E1362" s="5" t="str">
        <f ca="1">IFERROR(__xludf.DUMMYFUNCTION("""COMPUTED_VALUE"""),"Intimate Relationship")</f>
        <v>Intimate Relationship</v>
      </c>
      <c r="F1362" s="5" t="str">
        <f ca="1">IFERROR(__xludf.DUMMYFUNCTION("""COMPUTED_VALUE"""),"Suicide")</f>
        <v>Suicide</v>
      </c>
      <c r="G1362" s="5" t="str">
        <f ca="1">IFERROR(__xludf.DUMMYFUNCTION("""COMPUTED_VALUE"""),"Yes")</f>
        <v>Yes</v>
      </c>
      <c r="H1362" s="5" t="str">
        <f ca="1">IFERROR(__xludf.DUMMYFUNCTION("""COMPUTED_VALUE"""),"Suicide")</f>
        <v>Suicide</v>
      </c>
    </row>
    <row r="1363" spans="1:8">
      <c r="A1363" s="5" t="str">
        <f ca="1">IFERROR(__xludf.DUMMYFUNCTION("""COMPUTED_VALUE"""),"20060615MIPED")</f>
        <v>20060615MIPED</v>
      </c>
      <c r="B1363" s="5" t="str">
        <f ca="1">IFERROR(__xludf.DUMMYFUNCTION("""COMPUTED_VALUE"""),"Adult")</f>
        <v>Adult</v>
      </c>
      <c r="C1363" s="5" t="str">
        <f ca="1">IFERROR(__xludf.DUMMYFUNCTION("""COMPUTED_VALUE"""),"Male")</f>
        <v>Male</v>
      </c>
      <c r="D1363" s="5"/>
      <c r="E1363" s="5" t="str">
        <f ca="1">IFERROR(__xludf.DUMMYFUNCTION("""COMPUTED_VALUE"""),"No Relation")</f>
        <v>No Relation</v>
      </c>
      <c r="F1363" s="5" t="str">
        <f ca="1">IFERROR(__xludf.DUMMYFUNCTION("""COMPUTED_VALUE"""),"Fled/Escaped")</f>
        <v>Fled/Escaped</v>
      </c>
      <c r="G1363" s="5" t="str">
        <f ca="1">IFERROR(__xludf.DUMMYFUNCTION("""COMPUTED_VALUE"""),"No")</f>
        <v>No</v>
      </c>
      <c r="H1363" s="5" t="str">
        <f ca="1">IFERROR(__xludf.DUMMYFUNCTION("""COMPUTED_VALUE"""),"None")</f>
        <v>None</v>
      </c>
    </row>
    <row r="1364" spans="1:8">
      <c r="A1364" s="5" t="str">
        <f ca="1">IFERROR(__xludf.DUMMYFUNCTION("""COMPUTED_VALUE"""),"20060606INWIG")</f>
        <v>20060606INWIG</v>
      </c>
      <c r="B1364" s="5">
        <f ca="1">IFERROR(__xludf.DUMMYFUNCTION("""COMPUTED_VALUE"""),19)</f>
        <v>19</v>
      </c>
      <c r="C1364" s="5" t="str">
        <f ca="1">IFERROR(__xludf.DUMMYFUNCTION("""COMPUTED_VALUE"""),"Male")</f>
        <v>Male</v>
      </c>
      <c r="D1364" s="5"/>
      <c r="E1364" s="5" t="str">
        <f ca="1">IFERROR(__xludf.DUMMYFUNCTION("""COMPUTED_VALUE"""),"Relative")</f>
        <v>Relative</v>
      </c>
      <c r="F1364" s="5" t="str">
        <f ca="1">IFERROR(__xludf.DUMMYFUNCTION("""COMPUTED_VALUE"""),"Fled/Apprehended")</f>
        <v>Fled/Apprehended</v>
      </c>
      <c r="G1364" s="5" t="str">
        <f ca="1">IFERROR(__xludf.DUMMYFUNCTION("""COMPUTED_VALUE"""),"No")</f>
        <v>No</v>
      </c>
      <c r="H1364" s="5" t="str">
        <f ca="1">IFERROR(__xludf.DUMMYFUNCTION("""COMPUTED_VALUE"""),"None")</f>
        <v>None</v>
      </c>
    </row>
    <row r="1365" spans="1:8">
      <c r="A1365" s="5" t="str">
        <f ca="1">IFERROR(__xludf.DUMMYFUNCTION("""COMPUTED_VALUE"""),"20060605CAVEL")</f>
        <v>20060605CAVEL</v>
      </c>
      <c r="B1365" s="5"/>
      <c r="C1365" s="5" t="str">
        <f ca="1">IFERROR(__xludf.DUMMYFUNCTION("""COMPUTED_VALUE"""),"Male")</f>
        <v>Male</v>
      </c>
      <c r="D1365" s="5" t="str">
        <f ca="1">IFERROR(__xludf.DUMMYFUNCTION("""COMPUTED_VALUE"""),"Black")</f>
        <v>Black</v>
      </c>
      <c r="E1365" s="5" t="str">
        <f ca="1">IFERROR(__xludf.DUMMYFUNCTION("""COMPUTED_VALUE"""),"Unknown")</f>
        <v>Unknown</v>
      </c>
      <c r="F1365" s="5" t="str">
        <f ca="1">IFERROR(__xludf.DUMMYFUNCTION("""COMPUTED_VALUE"""),"Fled/Escaped")</f>
        <v>Fled/Escaped</v>
      </c>
      <c r="G1365" s="5" t="str">
        <f ca="1">IFERROR(__xludf.DUMMYFUNCTION("""COMPUTED_VALUE"""),"No")</f>
        <v>No</v>
      </c>
      <c r="H1365" s="5" t="str">
        <f ca="1">IFERROR(__xludf.DUMMYFUNCTION("""COMPUTED_VALUE"""),"None")</f>
        <v>None</v>
      </c>
    </row>
    <row r="1366" spans="1:8">
      <c r="A1366" s="5" t="str">
        <f ca="1">IFERROR(__xludf.DUMMYFUNCTION("""COMPUTED_VALUE"""),"20060525PANON")</f>
        <v>20060525PANON</v>
      </c>
      <c r="B1366" s="5">
        <f ca="1">IFERROR(__xludf.DUMMYFUNCTION("""COMPUTED_VALUE"""),18)</f>
        <v>18</v>
      </c>
      <c r="C1366" s="5" t="str">
        <f ca="1">IFERROR(__xludf.DUMMYFUNCTION("""COMPUTED_VALUE"""),"Male")</f>
        <v>Male</v>
      </c>
      <c r="D1366" s="5"/>
      <c r="E1366" s="5" t="str">
        <f ca="1">IFERROR(__xludf.DUMMYFUNCTION("""COMPUTED_VALUE"""),"Student")</f>
        <v>Student</v>
      </c>
      <c r="F1366" s="5" t="str">
        <f ca="1">IFERROR(__xludf.DUMMYFUNCTION("""COMPUTED_VALUE"""),"Surrendered")</f>
        <v>Surrendered</v>
      </c>
      <c r="G1366" s="5" t="str">
        <f ca="1">IFERROR(__xludf.DUMMYFUNCTION("""COMPUTED_VALUE"""),"No")</f>
        <v>No</v>
      </c>
      <c r="H1366" s="5" t="str">
        <f ca="1">IFERROR(__xludf.DUMMYFUNCTION("""COMPUTED_VALUE"""),"None")</f>
        <v>None</v>
      </c>
    </row>
    <row r="1367" spans="1:8">
      <c r="A1367" s="5" t="str">
        <f ca="1">IFERROR(__xludf.DUMMYFUNCTION("""COMPUTED_VALUE"""),"20060522SCBUI")</f>
        <v>20060522SCBUI</v>
      </c>
      <c r="B1367" s="5">
        <f ca="1">IFERROR(__xludf.DUMMYFUNCTION("""COMPUTED_VALUE"""),19)</f>
        <v>19</v>
      </c>
      <c r="C1367" s="5" t="str">
        <f ca="1">IFERROR(__xludf.DUMMYFUNCTION("""COMPUTED_VALUE"""),"Male")</f>
        <v>Male</v>
      </c>
      <c r="D1367" s="5"/>
      <c r="E1367" s="5" t="str">
        <f ca="1">IFERROR(__xludf.DUMMYFUNCTION("""COMPUTED_VALUE"""),"Student")</f>
        <v>Student</v>
      </c>
      <c r="F1367" s="5" t="str">
        <f ca="1">IFERROR(__xludf.DUMMYFUNCTION("""COMPUTED_VALUE"""),"Apprehended/Killed by SRO")</f>
        <v>Apprehended/Killed by SRO</v>
      </c>
      <c r="G1367" s="5" t="str">
        <f ca="1">IFERROR(__xludf.DUMMYFUNCTION("""COMPUTED_VALUE"""),"No")</f>
        <v>No</v>
      </c>
      <c r="H1367" s="5" t="str">
        <f ca="1">IFERROR(__xludf.DUMMYFUNCTION("""COMPUTED_VALUE"""),"None")</f>
        <v>None</v>
      </c>
    </row>
    <row r="1368" spans="1:8">
      <c r="A1368" s="5" t="str">
        <f ca="1">IFERROR(__xludf.DUMMYFUNCTION("""COMPUTED_VALUE"""),"20060505FLPAM")</f>
        <v>20060505FLPAM</v>
      </c>
      <c r="B1368" s="5" t="str">
        <f ca="1">IFERROR(__xludf.DUMMYFUNCTION("""COMPUTED_VALUE"""),"Teen")</f>
        <v>Teen</v>
      </c>
      <c r="C1368" s="5" t="str">
        <f ca="1">IFERROR(__xludf.DUMMYFUNCTION("""COMPUTED_VALUE"""),"Male")</f>
        <v>Male</v>
      </c>
      <c r="D1368" s="5"/>
      <c r="E1368" s="5" t="str">
        <f ca="1">IFERROR(__xludf.DUMMYFUNCTION("""COMPUTED_VALUE"""),"Student")</f>
        <v>Student</v>
      </c>
      <c r="F1368" s="5" t="str">
        <f ca="1">IFERROR(__xludf.DUMMYFUNCTION("""COMPUTED_VALUE"""),"Fled/Escaped")</f>
        <v>Fled/Escaped</v>
      </c>
      <c r="G1368" s="5" t="str">
        <f ca="1">IFERROR(__xludf.DUMMYFUNCTION("""COMPUTED_VALUE"""),"No")</f>
        <v>No</v>
      </c>
      <c r="H1368" s="5" t="str">
        <f ca="1">IFERROR(__xludf.DUMMYFUNCTION("""COMPUTED_VALUE"""),"None")</f>
        <v>None</v>
      </c>
    </row>
    <row r="1369" spans="1:8">
      <c r="A1369" s="5" t="str">
        <f ca="1">IFERROR(__xludf.DUMMYFUNCTION("""COMPUTED_VALUE"""),"20060424NCEAC")</f>
        <v>20060424NCEAC</v>
      </c>
      <c r="B1369" s="5">
        <f ca="1">IFERROR(__xludf.DUMMYFUNCTION("""COMPUTED_VALUE"""),17)</f>
        <v>17</v>
      </c>
      <c r="C1369" s="5" t="str">
        <f ca="1">IFERROR(__xludf.DUMMYFUNCTION("""COMPUTED_VALUE"""),"Male")</f>
        <v>Male</v>
      </c>
      <c r="D1369" s="5"/>
      <c r="E1369" s="5" t="str">
        <f ca="1">IFERROR(__xludf.DUMMYFUNCTION("""COMPUTED_VALUE"""),"Student")</f>
        <v>Student</v>
      </c>
      <c r="F1369" s="5" t="str">
        <f ca="1">IFERROR(__xludf.DUMMYFUNCTION("""COMPUTED_VALUE"""),"Fled/Apprehended")</f>
        <v>Fled/Apprehended</v>
      </c>
      <c r="G1369" s="5" t="str">
        <f ca="1">IFERROR(__xludf.DUMMYFUNCTION("""COMPUTED_VALUE"""),"No")</f>
        <v>No</v>
      </c>
      <c r="H1369" s="5" t="str">
        <f ca="1">IFERROR(__xludf.DUMMYFUNCTION("""COMPUTED_VALUE"""),"None")</f>
        <v>None</v>
      </c>
    </row>
    <row r="1370" spans="1:8">
      <c r="A1370" s="5" t="str">
        <f ca="1">IFERROR(__xludf.DUMMYFUNCTION("""COMPUTED_VALUE"""),"20060418TXWEH")</f>
        <v>20060418TXWEH</v>
      </c>
      <c r="B1370" s="5"/>
      <c r="C1370" s="5" t="str">
        <f ca="1">IFERROR(__xludf.DUMMYFUNCTION("""COMPUTED_VALUE"""),"Male")</f>
        <v>Male</v>
      </c>
      <c r="D1370" s="5"/>
      <c r="E1370" s="5" t="str">
        <f ca="1">IFERROR(__xludf.DUMMYFUNCTION("""COMPUTED_VALUE"""),"No Relation")</f>
        <v>No Relation</v>
      </c>
      <c r="F1370" s="5" t="str">
        <f ca="1">IFERROR(__xludf.DUMMYFUNCTION("""COMPUTED_VALUE"""),"Fled/Escaped")</f>
        <v>Fled/Escaped</v>
      </c>
      <c r="G1370" s="5" t="str">
        <f ca="1">IFERROR(__xludf.DUMMYFUNCTION("""COMPUTED_VALUE"""),"No")</f>
        <v>No</v>
      </c>
      <c r="H1370" s="5" t="str">
        <f ca="1">IFERROR(__xludf.DUMMYFUNCTION("""COMPUTED_VALUE"""),"None")</f>
        <v>None</v>
      </c>
    </row>
    <row r="1371" spans="1:8">
      <c r="A1371" s="5" t="str">
        <f ca="1">IFERROR(__xludf.DUMMYFUNCTION("""COMPUTED_VALUE"""),"20060405DCROW")</f>
        <v>20060405DCROW</v>
      </c>
      <c r="B1371" s="5"/>
      <c r="C1371" s="5"/>
      <c r="D1371" s="5"/>
      <c r="E1371" s="5" t="str">
        <f ca="1">IFERROR(__xludf.DUMMYFUNCTION("""COMPUTED_VALUE"""),"Unknown")</f>
        <v>Unknown</v>
      </c>
      <c r="F1371" s="5" t="str">
        <f ca="1">IFERROR(__xludf.DUMMYFUNCTION("""COMPUTED_VALUE"""),"Fled/Escaped")</f>
        <v>Fled/Escaped</v>
      </c>
      <c r="G1371" s="5" t="str">
        <f ca="1">IFERROR(__xludf.DUMMYFUNCTION("""COMPUTED_VALUE"""),"No")</f>
        <v>No</v>
      </c>
      <c r="H1371" s="5" t="str">
        <f ca="1">IFERROR(__xludf.DUMMYFUNCTION("""COMPUTED_VALUE"""),"None")</f>
        <v>None</v>
      </c>
    </row>
    <row r="1372" spans="1:8">
      <c r="A1372" s="5" t="str">
        <f ca="1">IFERROR(__xludf.DUMMYFUNCTION("""COMPUTED_VALUE"""),"20060314NVPIR")</f>
        <v>20060314NVPIR</v>
      </c>
      <c r="B1372" s="5">
        <f ca="1">IFERROR(__xludf.DUMMYFUNCTION("""COMPUTED_VALUE"""),14)</f>
        <v>14</v>
      </c>
      <c r="C1372" s="5" t="str">
        <f ca="1">IFERROR(__xludf.DUMMYFUNCTION("""COMPUTED_VALUE"""),"Male")</f>
        <v>Male</v>
      </c>
      <c r="D1372" s="5" t="str">
        <f ca="1">IFERROR(__xludf.DUMMYFUNCTION("""COMPUTED_VALUE"""),"White")</f>
        <v>White</v>
      </c>
      <c r="E1372" s="5" t="str">
        <f ca="1">IFERROR(__xludf.DUMMYFUNCTION("""COMPUTED_VALUE"""),"Student")</f>
        <v>Student</v>
      </c>
      <c r="F1372" s="5" t="str">
        <f ca="1">IFERROR(__xludf.DUMMYFUNCTION("""COMPUTED_VALUE"""),"Subdued by Students/Staff/Other")</f>
        <v>Subdued by Students/Staff/Other</v>
      </c>
      <c r="G1372" s="5" t="str">
        <f ca="1">IFERROR(__xludf.DUMMYFUNCTION("""COMPUTED_VALUE"""),"No")</f>
        <v>No</v>
      </c>
      <c r="H1372" s="5" t="str">
        <f ca="1">IFERROR(__xludf.DUMMYFUNCTION("""COMPUTED_VALUE"""),"None")</f>
        <v>None</v>
      </c>
    </row>
    <row r="1373" spans="1:8">
      <c r="A1373" s="5" t="str">
        <f ca="1">IFERROR(__xludf.DUMMYFUNCTION("""COMPUTED_VALUE"""),"20060310NYISN")</f>
        <v>20060310NYISN</v>
      </c>
      <c r="B1373" s="5">
        <f ca="1">IFERROR(__xludf.DUMMYFUNCTION("""COMPUTED_VALUE"""),14)</f>
        <v>14</v>
      </c>
      <c r="C1373" s="5" t="str">
        <f ca="1">IFERROR(__xludf.DUMMYFUNCTION("""COMPUTED_VALUE"""),"Male")</f>
        <v>Male</v>
      </c>
      <c r="D1373" s="5"/>
      <c r="E1373" s="5" t="str">
        <f ca="1">IFERROR(__xludf.DUMMYFUNCTION("""COMPUTED_VALUE"""),"Student")</f>
        <v>Student</v>
      </c>
      <c r="F1373" s="5" t="str">
        <f ca="1">IFERROR(__xludf.DUMMYFUNCTION("""COMPUTED_VALUE"""),"Surrendered")</f>
        <v>Surrendered</v>
      </c>
      <c r="G1373" s="5" t="str">
        <f ca="1">IFERROR(__xludf.DUMMYFUNCTION("""COMPUTED_VALUE"""),"No")</f>
        <v>No</v>
      </c>
      <c r="H1373" s="5" t="str">
        <f ca="1">IFERROR(__xludf.DUMMYFUNCTION("""COMPUTED_VALUE"""),"None")</f>
        <v>None</v>
      </c>
    </row>
    <row r="1374" spans="1:8">
      <c r="A1374" s="5" t="str">
        <f ca="1">IFERROR(__xludf.DUMMYFUNCTION("""COMPUTED_VALUE"""),"20060310NYISN")</f>
        <v>20060310NYISN</v>
      </c>
      <c r="B1374" s="5">
        <f ca="1">IFERROR(__xludf.DUMMYFUNCTION("""COMPUTED_VALUE"""),16)</f>
        <v>16</v>
      </c>
      <c r="C1374" s="5" t="str">
        <f ca="1">IFERROR(__xludf.DUMMYFUNCTION("""COMPUTED_VALUE"""),"Male")</f>
        <v>Male</v>
      </c>
      <c r="D1374" s="5"/>
      <c r="E1374" s="5" t="str">
        <f ca="1">IFERROR(__xludf.DUMMYFUNCTION("""COMPUTED_VALUE"""),"Student")</f>
        <v>Student</v>
      </c>
      <c r="F1374" s="5" t="str">
        <f ca="1">IFERROR(__xludf.DUMMYFUNCTION("""COMPUTED_VALUE"""),"Surrendered")</f>
        <v>Surrendered</v>
      </c>
      <c r="G1374" s="5" t="str">
        <f ca="1">IFERROR(__xludf.DUMMYFUNCTION("""COMPUTED_VALUE"""),"No")</f>
        <v>No</v>
      </c>
      <c r="H1374" s="5" t="str">
        <f ca="1">IFERROR(__xludf.DUMMYFUNCTION("""COMPUTED_VALUE"""),"None")</f>
        <v>None</v>
      </c>
    </row>
    <row r="1375" spans="1:8">
      <c r="A1375" s="5" t="str">
        <f ca="1">IFERROR(__xludf.DUMMYFUNCTION("""COMPUTED_VALUE"""),"20060223ORROR")</f>
        <v>20060223ORROR</v>
      </c>
      <c r="B1375" s="5">
        <f ca="1">IFERROR(__xludf.DUMMYFUNCTION("""COMPUTED_VALUE"""),14)</f>
        <v>14</v>
      </c>
      <c r="C1375" s="5" t="str">
        <f ca="1">IFERROR(__xludf.DUMMYFUNCTION("""COMPUTED_VALUE"""),"Male")</f>
        <v>Male</v>
      </c>
      <c r="D1375" s="5" t="str">
        <f ca="1">IFERROR(__xludf.DUMMYFUNCTION("""COMPUTED_VALUE"""),"White")</f>
        <v>White</v>
      </c>
      <c r="E1375" s="5" t="str">
        <f ca="1">IFERROR(__xludf.DUMMYFUNCTION("""COMPUTED_VALUE"""),"Student")</f>
        <v>Student</v>
      </c>
      <c r="F1375" s="5" t="str">
        <f ca="1">IFERROR(__xludf.DUMMYFUNCTION("""COMPUTED_VALUE"""),"Fled/Apprehended")</f>
        <v>Fled/Apprehended</v>
      </c>
      <c r="G1375" s="5" t="str">
        <f ca="1">IFERROR(__xludf.DUMMYFUNCTION("""COMPUTED_VALUE"""),"No")</f>
        <v>No</v>
      </c>
      <c r="H1375" s="5" t="str">
        <f ca="1">IFERROR(__xludf.DUMMYFUNCTION("""COMPUTED_VALUE"""),"None")</f>
        <v>None</v>
      </c>
    </row>
    <row r="1376" spans="1:8">
      <c r="A1376" s="5" t="str">
        <f ca="1">IFERROR(__xludf.DUMMYFUNCTION("""COMPUTED_VALUE"""),"20060221PAWEP")</f>
        <v>20060221PAWEP</v>
      </c>
      <c r="B1376" s="5">
        <f ca="1">IFERROR(__xludf.DUMMYFUNCTION("""COMPUTED_VALUE"""),23)</f>
        <v>23</v>
      </c>
      <c r="C1376" s="5" t="str">
        <f ca="1">IFERROR(__xludf.DUMMYFUNCTION("""COMPUTED_VALUE"""),"Male")</f>
        <v>Male</v>
      </c>
      <c r="D1376" s="5"/>
      <c r="E1376" s="5" t="str">
        <f ca="1">IFERROR(__xludf.DUMMYFUNCTION("""COMPUTED_VALUE"""),"No Relation")</f>
        <v>No Relation</v>
      </c>
      <c r="F1376" s="5" t="str">
        <f ca="1">IFERROR(__xludf.DUMMYFUNCTION("""COMPUTED_VALUE"""),"Fled/Apprehended")</f>
        <v>Fled/Apprehended</v>
      </c>
      <c r="G1376" s="5" t="str">
        <f ca="1">IFERROR(__xludf.DUMMYFUNCTION("""COMPUTED_VALUE"""),"No")</f>
        <v>No</v>
      </c>
      <c r="H1376" s="5" t="str">
        <f ca="1">IFERROR(__xludf.DUMMYFUNCTION("""COMPUTED_VALUE"""),"None")</f>
        <v>None</v>
      </c>
    </row>
    <row r="1377" spans="1:8">
      <c r="A1377" s="5" t="str">
        <f ca="1">IFERROR(__xludf.DUMMYFUNCTION("""COMPUTED_VALUE"""),"20060215PAWEY")</f>
        <v>20060215PAWEY</v>
      </c>
      <c r="B1377" s="5" t="str">
        <f ca="1">IFERROR(__xludf.DUMMYFUNCTION("""COMPUTED_VALUE"""),"Adult")</f>
        <v>Adult</v>
      </c>
      <c r="C1377" s="5" t="str">
        <f ca="1">IFERROR(__xludf.DUMMYFUNCTION("""COMPUTED_VALUE"""),"Male")</f>
        <v>Male</v>
      </c>
      <c r="D1377" s="5"/>
      <c r="E1377" s="5" t="str">
        <f ca="1">IFERROR(__xludf.DUMMYFUNCTION("""COMPUTED_VALUE"""),"Teacher")</f>
        <v>Teacher</v>
      </c>
      <c r="F1377" s="5" t="str">
        <f ca="1">IFERROR(__xludf.DUMMYFUNCTION("""COMPUTED_VALUE"""),"Suicide")</f>
        <v>Suicide</v>
      </c>
      <c r="G1377" s="5" t="str">
        <f ca="1">IFERROR(__xludf.DUMMYFUNCTION("""COMPUTED_VALUE"""),"Yes")</f>
        <v>Yes</v>
      </c>
      <c r="H1377" s="5" t="str">
        <f ca="1">IFERROR(__xludf.DUMMYFUNCTION("""COMPUTED_VALUE"""),"Suicide")</f>
        <v>Suicide</v>
      </c>
    </row>
    <row r="1378" spans="1:8">
      <c r="A1378" s="5" t="str">
        <f ca="1">IFERROR(__xludf.DUMMYFUNCTION("""COMPUTED_VALUE"""),"20060209DEWIN")</f>
        <v>20060209DEWIN</v>
      </c>
      <c r="B1378" s="5"/>
      <c r="C1378" s="5" t="str">
        <f ca="1">IFERROR(__xludf.DUMMYFUNCTION("""COMPUTED_VALUE"""),"Male")</f>
        <v>Male</v>
      </c>
      <c r="D1378" s="5"/>
      <c r="E1378" s="5" t="str">
        <f ca="1">IFERROR(__xludf.DUMMYFUNCTION("""COMPUTED_VALUE"""),"Nonstudent Using Athletic Facilities/Attending Game")</f>
        <v>Nonstudent Using Athletic Facilities/Attending Game</v>
      </c>
      <c r="F1378" s="5" t="str">
        <f ca="1">IFERROR(__xludf.DUMMYFUNCTION("""COMPUTED_VALUE"""),"Fled/Escaped")</f>
        <v>Fled/Escaped</v>
      </c>
      <c r="G1378" s="5" t="str">
        <f ca="1">IFERROR(__xludf.DUMMYFUNCTION("""COMPUTED_VALUE"""),"No")</f>
        <v>No</v>
      </c>
      <c r="H1378" s="5" t="str">
        <f ca="1">IFERROR(__xludf.DUMMYFUNCTION("""COMPUTED_VALUE"""),"None")</f>
        <v>None</v>
      </c>
    </row>
    <row r="1379" spans="1:8">
      <c r="A1379" s="5" t="str">
        <f ca="1">IFERROR(__xludf.DUMMYFUNCTION("""COMPUTED_VALUE"""),"20060203CALOC")</f>
        <v>20060203CALOC</v>
      </c>
      <c r="B1379" s="5">
        <f ca="1">IFERROR(__xludf.DUMMYFUNCTION("""COMPUTED_VALUE"""),9)</f>
        <v>9</v>
      </c>
      <c r="C1379" s="5" t="str">
        <f ca="1">IFERROR(__xludf.DUMMYFUNCTION("""COMPUTED_VALUE"""),"Male")</f>
        <v>Male</v>
      </c>
      <c r="D1379" s="5"/>
      <c r="E1379" s="5" t="str">
        <f ca="1">IFERROR(__xludf.DUMMYFUNCTION("""COMPUTED_VALUE"""),"Student")</f>
        <v>Student</v>
      </c>
      <c r="F1379" s="5" t="str">
        <f ca="1">IFERROR(__xludf.DUMMYFUNCTION("""COMPUTED_VALUE"""),"Unknown")</f>
        <v>Unknown</v>
      </c>
      <c r="G1379" s="5" t="str">
        <f ca="1">IFERROR(__xludf.DUMMYFUNCTION("""COMPUTED_VALUE"""),"No")</f>
        <v>No</v>
      </c>
      <c r="H1379" s="5" t="str">
        <f ca="1">IFERROR(__xludf.DUMMYFUNCTION("""COMPUTED_VALUE"""),"None")</f>
        <v>None</v>
      </c>
    </row>
    <row r="1380" spans="1:8">
      <c r="A1380" s="5" t="str">
        <f ca="1">IFERROR(__xludf.DUMMYFUNCTION("""COMPUTED_VALUE"""),"20060130MTCMG")</f>
        <v>20060130MTCMG</v>
      </c>
      <c r="B1380" s="5">
        <f ca="1">IFERROR(__xludf.DUMMYFUNCTION("""COMPUTED_VALUE"""),16)</f>
        <v>16</v>
      </c>
      <c r="C1380" s="5" t="str">
        <f ca="1">IFERROR(__xludf.DUMMYFUNCTION("""COMPUTED_VALUE"""),"Male")</f>
        <v>Male</v>
      </c>
      <c r="D1380" s="5"/>
      <c r="E1380" s="5" t="str">
        <f ca="1">IFERROR(__xludf.DUMMYFUNCTION("""COMPUTED_VALUE"""),"Student")</f>
        <v>Student</v>
      </c>
      <c r="F1380" s="5" t="str">
        <f ca="1">IFERROR(__xludf.DUMMYFUNCTION("""COMPUTED_VALUE"""),"Suicide")</f>
        <v>Suicide</v>
      </c>
      <c r="G1380" s="5" t="str">
        <f ca="1">IFERROR(__xludf.DUMMYFUNCTION("""COMPUTED_VALUE"""),"Yes")</f>
        <v>Yes</v>
      </c>
      <c r="H1380" s="5" t="str">
        <f ca="1">IFERROR(__xludf.DUMMYFUNCTION("""COMPUTED_VALUE"""),"Suicide")</f>
        <v>Suicide</v>
      </c>
    </row>
    <row r="1381" spans="1:8">
      <c r="A1381" s="5" t="str">
        <f ca="1">IFERROR(__xludf.DUMMYFUNCTION("""COMPUTED_VALUE"""),"20060127TXLAG")</f>
        <v>20060127TXLAG</v>
      </c>
      <c r="B1381" s="5">
        <f ca="1">IFERROR(__xludf.DUMMYFUNCTION("""COMPUTED_VALUE"""),16)</f>
        <v>16</v>
      </c>
      <c r="C1381" s="5" t="str">
        <f ca="1">IFERROR(__xludf.DUMMYFUNCTION("""COMPUTED_VALUE"""),"Male")</f>
        <v>Male</v>
      </c>
      <c r="D1381" s="5"/>
      <c r="E1381" s="5" t="str">
        <f ca="1">IFERROR(__xludf.DUMMYFUNCTION("""COMPUTED_VALUE"""),"Student")</f>
        <v>Student</v>
      </c>
      <c r="F1381" s="5" t="str">
        <f ca="1">IFERROR(__xludf.DUMMYFUNCTION("""COMPUTED_VALUE"""),"Unknown")</f>
        <v>Unknown</v>
      </c>
      <c r="G1381" s="5" t="str">
        <f ca="1">IFERROR(__xludf.DUMMYFUNCTION("""COMPUTED_VALUE"""),"No")</f>
        <v>No</v>
      </c>
      <c r="H1381" s="5" t="str">
        <f ca="1">IFERROR(__xludf.DUMMYFUNCTION("""COMPUTED_VALUE"""),"None")</f>
        <v>None</v>
      </c>
    </row>
    <row r="1382" spans="1:8">
      <c r="A1382" s="5" t="str">
        <f ca="1">IFERROR(__xludf.DUMMYFUNCTION("""COMPUTED_VALUE"""),"20060123CAWIV")</f>
        <v>20060123CAWIV</v>
      </c>
      <c r="B1382" s="5">
        <f ca="1">IFERROR(__xludf.DUMMYFUNCTION("""COMPUTED_VALUE"""),14)</f>
        <v>14</v>
      </c>
      <c r="C1382" s="5" t="str">
        <f ca="1">IFERROR(__xludf.DUMMYFUNCTION("""COMPUTED_VALUE"""),"Male")</f>
        <v>Male</v>
      </c>
      <c r="D1382" s="5"/>
      <c r="E1382" s="5" t="str">
        <f ca="1">IFERROR(__xludf.DUMMYFUNCTION("""COMPUTED_VALUE"""),"Student")</f>
        <v>Student</v>
      </c>
      <c r="F1382" s="5" t="str">
        <f ca="1">IFERROR(__xludf.DUMMYFUNCTION("""COMPUTED_VALUE"""),"Unknown")</f>
        <v>Unknown</v>
      </c>
      <c r="G1382" s="5" t="str">
        <f ca="1">IFERROR(__xludf.DUMMYFUNCTION("""COMPUTED_VALUE"""),"No")</f>
        <v>No</v>
      </c>
      <c r="H1382" s="5" t="str">
        <f ca="1">IFERROR(__xludf.DUMMYFUNCTION("""COMPUTED_VALUE"""),"None")</f>
        <v>None</v>
      </c>
    </row>
    <row r="1383" spans="1:8">
      <c r="A1383" s="5" t="str">
        <f ca="1">IFERROR(__xludf.DUMMYFUNCTION("""COMPUTED_VALUE"""),"20060119OHWIC")</f>
        <v>20060119OHWIC</v>
      </c>
      <c r="B1383" s="5">
        <f ca="1">IFERROR(__xludf.DUMMYFUNCTION("""COMPUTED_VALUE"""),19)</f>
        <v>19</v>
      </c>
      <c r="C1383" s="5" t="str">
        <f ca="1">IFERROR(__xludf.DUMMYFUNCTION("""COMPUTED_VALUE"""),"Male")</f>
        <v>Male</v>
      </c>
      <c r="D1383" s="5"/>
      <c r="E1383" s="5" t="str">
        <f ca="1">IFERROR(__xludf.DUMMYFUNCTION("""COMPUTED_VALUE"""),"Nonstudent")</f>
        <v>Nonstudent</v>
      </c>
      <c r="F1383" s="5" t="str">
        <f ca="1">IFERROR(__xludf.DUMMYFUNCTION("""COMPUTED_VALUE"""),"Fled/Apprehended")</f>
        <v>Fled/Apprehended</v>
      </c>
      <c r="G1383" s="5" t="str">
        <f ca="1">IFERROR(__xludf.DUMMYFUNCTION("""COMPUTED_VALUE"""),"No")</f>
        <v>No</v>
      </c>
      <c r="H1383" s="5" t="str">
        <f ca="1">IFERROR(__xludf.DUMMYFUNCTION("""COMPUTED_VALUE"""),"None")</f>
        <v>None</v>
      </c>
    </row>
    <row r="1384" spans="1:8">
      <c r="A1384" s="5" t="str">
        <f ca="1">IFERROR(__xludf.DUMMYFUNCTION("""COMPUTED_VALUE"""),"20060119OHWIC")</f>
        <v>20060119OHWIC</v>
      </c>
      <c r="B1384" s="5">
        <f ca="1">IFERROR(__xludf.DUMMYFUNCTION("""COMPUTED_VALUE"""),20)</f>
        <v>20</v>
      </c>
      <c r="C1384" s="5" t="str">
        <f ca="1">IFERROR(__xludf.DUMMYFUNCTION("""COMPUTED_VALUE"""),"Male")</f>
        <v>Male</v>
      </c>
      <c r="D1384" s="5"/>
      <c r="E1384" s="5" t="str">
        <f ca="1">IFERROR(__xludf.DUMMYFUNCTION("""COMPUTED_VALUE"""),"Nonstudent")</f>
        <v>Nonstudent</v>
      </c>
      <c r="F1384" s="5" t="str">
        <f ca="1">IFERROR(__xludf.DUMMYFUNCTION("""COMPUTED_VALUE"""),"Fled/Apprehended")</f>
        <v>Fled/Apprehended</v>
      </c>
      <c r="G1384" s="5" t="str">
        <f ca="1">IFERROR(__xludf.DUMMYFUNCTION("""COMPUTED_VALUE"""),"No")</f>
        <v>No</v>
      </c>
      <c r="H1384" s="5" t="str">
        <f ca="1">IFERROR(__xludf.DUMMYFUNCTION("""COMPUTED_VALUE"""),"None")</f>
        <v>None</v>
      </c>
    </row>
    <row r="1385" spans="1:8">
      <c r="A1385" s="5" t="str">
        <f ca="1">IFERROR(__xludf.DUMMYFUNCTION("""COMPUTED_VALUE"""),"20060118VAINC")</f>
        <v>20060118VAINC</v>
      </c>
      <c r="B1385" s="5">
        <f ca="1">IFERROR(__xludf.DUMMYFUNCTION("""COMPUTED_VALUE"""),20)</f>
        <v>20</v>
      </c>
      <c r="C1385" s="5" t="str">
        <f ca="1">IFERROR(__xludf.DUMMYFUNCTION("""COMPUTED_VALUE"""),"Male")</f>
        <v>Male</v>
      </c>
      <c r="D1385" s="5"/>
      <c r="E1385" s="5" t="str">
        <f ca="1">IFERROR(__xludf.DUMMYFUNCTION("""COMPUTED_VALUE"""),"Nonstudent")</f>
        <v>Nonstudent</v>
      </c>
      <c r="F1385" s="5" t="str">
        <f ca="1">IFERROR(__xludf.DUMMYFUNCTION("""COMPUTED_VALUE"""),"Fled/Apprehended")</f>
        <v>Fled/Apprehended</v>
      </c>
      <c r="G1385" s="5" t="str">
        <f ca="1">IFERROR(__xludf.DUMMYFUNCTION("""COMPUTED_VALUE"""),"No")</f>
        <v>No</v>
      </c>
      <c r="H1385" s="5" t="str">
        <f ca="1">IFERROR(__xludf.DUMMYFUNCTION("""COMPUTED_VALUE"""),"None")</f>
        <v>None</v>
      </c>
    </row>
    <row r="1386" spans="1:8">
      <c r="A1386" s="5" t="str">
        <f ca="1">IFERROR(__xludf.DUMMYFUNCTION("""COMPUTED_VALUE"""),"20060118TXPAA")</f>
        <v>20060118TXPAA</v>
      </c>
      <c r="B1386" s="5" t="str">
        <f ca="1">IFERROR(__xludf.DUMMYFUNCTION("""COMPUTED_VALUE"""),"Teen")</f>
        <v>Teen</v>
      </c>
      <c r="C1386" s="5" t="str">
        <f ca="1">IFERROR(__xludf.DUMMYFUNCTION("""COMPUTED_VALUE"""),"Male")</f>
        <v>Male</v>
      </c>
      <c r="D1386" s="5"/>
      <c r="E1386" s="5" t="str">
        <f ca="1">IFERROR(__xludf.DUMMYFUNCTION("""COMPUTED_VALUE"""),"Student")</f>
        <v>Student</v>
      </c>
      <c r="F1386" s="5" t="str">
        <f ca="1">IFERROR(__xludf.DUMMYFUNCTION("""COMPUTED_VALUE"""),"Surrendered")</f>
        <v>Surrendered</v>
      </c>
      <c r="G1386" s="5" t="str">
        <f ca="1">IFERROR(__xludf.DUMMYFUNCTION("""COMPUTED_VALUE"""),"No")</f>
        <v>No</v>
      </c>
      <c r="H1386" s="5" t="str">
        <f ca="1">IFERROR(__xludf.DUMMYFUNCTION("""COMPUTED_VALUE"""),"None")</f>
        <v>None</v>
      </c>
    </row>
    <row r="1387" spans="1:8">
      <c r="A1387" s="5" t="str">
        <f ca="1">IFERROR(__xludf.DUMMYFUNCTION("""COMPUTED_VALUE"""),"20060118MTFRA")</f>
        <v>20060118MTFRA</v>
      </c>
      <c r="B1387" s="5">
        <f ca="1">IFERROR(__xludf.DUMMYFUNCTION("""COMPUTED_VALUE"""),15)</f>
        <v>15</v>
      </c>
      <c r="C1387" s="5" t="str">
        <f ca="1">IFERROR(__xludf.DUMMYFUNCTION("""COMPUTED_VALUE"""),"Female")</f>
        <v>Female</v>
      </c>
      <c r="D1387" s="5"/>
      <c r="E1387" s="5" t="str">
        <f ca="1">IFERROR(__xludf.DUMMYFUNCTION("""COMPUTED_VALUE"""),"Student")</f>
        <v>Student</v>
      </c>
      <c r="F1387" s="5" t="str">
        <f ca="1">IFERROR(__xludf.DUMMYFUNCTION("""COMPUTED_VALUE"""),"Fled/Apprehended")</f>
        <v>Fled/Apprehended</v>
      </c>
      <c r="G1387" s="5" t="str">
        <f ca="1">IFERROR(__xludf.DUMMYFUNCTION("""COMPUTED_VALUE"""),"No")</f>
        <v>No</v>
      </c>
      <c r="H1387" s="5" t="str">
        <f ca="1">IFERROR(__xludf.DUMMYFUNCTION("""COMPUTED_VALUE"""),"None")</f>
        <v>None</v>
      </c>
    </row>
    <row r="1388" spans="1:8">
      <c r="A1388" s="5" t="str">
        <f ca="1">IFERROR(__xludf.DUMMYFUNCTION("""COMPUTED_VALUE"""),"20060113MIOSD")</f>
        <v>20060113MIOSD</v>
      </c>
      <c r="B1388" s="5" t="str">
        <f ca="1">IFERROR(__xludf.DUMMYFUNCTION("""COMPUTED_VALUE"""),"Teen")</f>
        <v>Teen</v>
      </c>
      <c r="C1388" s="5" t="str">
        <f ca="1">IFERROR(__xludf.DUMMYFUNCTION("""COMPUTED_VALUE"""),"Male")</f>
        <v>Male</v>
      </c>
      <c r="D1388" s="5"/>
      <c r="E1388" s="5" t="str">
        <f ca="1">IFERROR(__xludf.DUMMYFUNCTION("""COMPUTED_VALUE"""),"Student")</f>
        <v>Student</v>
      </c>
      <c r="F1388" s="5" t="str">
        <f ca="1">IFERROR(__xludf.DUMMYFUNCTION("""COMPUTED_VALUE"""),"Fled/Apprehended")</f>
        <v>Fled/Apprehended</v>
      </c>
      <c r="G1388" s="5" t="str">
        <f ca="1">IFERROR(__xludf.DUMMYFUNCTION("""COMPUTED_VALUE"""),"No")</f>
        <v>No</v>
      </c>
      <c r="H1388" s="5" t="str">
        <f ca="1">IFERROR(__xludf.DUMMYFUNCTION("""COMPUTED_VALUE"""),"None")</f>
        <v>None</v>
      </c>
    </row>
    <row r="1389" spans="1:8">
      <c r="A1389" s="5" t="str">
        <f ca="1">IFERROR(__xludf.DUMMYFUNCTION("""COMPUTED_VALUE"""),"20060113FLMIL")</f>
        <v>20060113FLMIL</v>
      </c>
      <c r="B1389" s="5">
        <f ca="1">IFERROR(__xludf.DUMMYFUNCTION("""COMPUTED_VALUE"""),15)</f>
        <v>15</v>
      </c>
      <c r="C1389" s="5" t="str">
        <f ca="1">IFERROR(__xludf.DUMMYFUNCTION("""COMPUTED_VALUE"""),"Male")</f>
        <v>Male</v>
      </c>
      <c r="D1389" s="5" t="str">
        <f ca="1">IFERROR(__xludf.DUMMYFUNCTION("""COMPUTED_VALUE"""),"White")</f>
        <v>White</v>
      </c>
      <c r="E1389" s="5" t="str">
        <f ca="1">IFERROR(__xludf.DUMMYFUNCTION("""COMPUTED_VALUE"""),"Student")</f>
        <v>Student</v>
      </c>
      <c r="F1389" s="5" t="str">
        <f ca="1">IFERROR(__xludf.DUMMYFUNCTION("""COMPUTED_VALUE"""),"Apprehended/Killed by LE")</f>
        <v>Apprehended/Killed by LE</v>
      </c>
      <c r="G1389" s="5" t="str">
        <f ca="1">IFERROR(__xludf.DUMMYFUNCTION("""COMPUTED_VALUE"""),"Yes")</f>
        <v>Yes</v>
      </c>
      <c r="H1389" s="5" t="str">
        <f ca="1">IFERROR(__xludf.DUMMYFUNCTION("""COMPUTED_VALUE"""),"Fatal")</f>
        <v>Fatal</v>
      </c>
    </row>
    <row r="1390" spans="1:8">
      <c r="A1390" s="5" t="str">
        <f ca="1">IFERROR(__xludf.DUMMYFUNCTION("""COMPUTED_VALUE"""),"20060113ALPIP")</f>
        <v>20060113ALPIP</v>
      </c>
      <c r="B1390" s="5">
        <f ca="1">IFERROR(__xludf.DUMMYFUNCTION("""COMPUTED_VALUE"""),20)</f>
        <v>20</v>
      </c>
      <c r="C1390" s="5" t="str">
        <f ca="1">IFERROR(__xludf.DUMMYFUNCTION("""COMPUTED_VALUE"""),"Male")</f>
        <v>Male</v>
      </c>
      <c r="D1390" s="5"/>
      <c r="E1390" s="5" t="str">
        <f ca="1">IFERROR(__xludf.DUMMYFUNCTION("""COMPUTED_VALUE"""),"Nonstudent Using Athletic Facilities/Attending Game")</f>
        <v>Nonstudent Using Athletic Facilities/Attending Game</v>
      </c>
      <c r="F1390" s="5" t="str">
        <f ca="1">IFERROR(__xludf.DUMMYFUNCTION("""COMPUTED_VALUE"""),"Apprehended/Killed by LE")</f>
        <v>Apprehended/Killed by LE</v>
      </c>
      <c r="G1390" s="5" t="str">
        <f ca="1">IFERROR(__xludf.DUMMYFUNCTION("""COMPUTED_VALUE"""),"No")</f>
        <v>No</v>
      </c>
      <c r="H1390" s="5" t="str">
        <f ca="1">IFERROR(__xludf.DUMMYFUNCTION("""COMPUTED_VALUE"""),"None")</f>
        <v>None</v>
      </c>
    </row>
    <row r="1391" spans="1:8">
      <c r="A1391" s="5" t="str">
        <f ca="1">IFERROR(__xludf.DUMMYFUNCTION("""COMPUTED_VALUE"""),"20060111WIMAM")</f>
        <v>20060111WIMAM</v>
      </c>
      <c r="B1391" s="5"/>
      <c r="C1391" s="5"/>
      <c r="D1391" s="5"/>
      <c r="E1391" s="5" t="str">
        <f ca="1">IFERROR(__xludf.DUMMYFUNCTION("""COMPUTED_VALUE"""),"Unknown")</f>
        <v>Unknown</v>
      </c>
      <c r="F1391" s="5" t="str">
        <f ca="1">IFERROR(__xludf.DUMMYFUNCTION("""COMPUTED_VALUE"""),"Fled/Escaped")</f>
        <v>Fled/Escaped</v>
      </c>
      <c r="G1391" s="5" t="str">
        <f ca="1">IFERROR(__xludf.DUMMYFUNCTION("""COMPUTED_VALUE"""),"No")</f>
        <v>No</v>
      </c>
      <c r="H1391" s="5" t="str">
        <f ca="1">IFERROR(__xludf.DUMMYFUNCTION("""COMPUTED_VALUE"""),"None")</f>
        <v>None</v>
      </c>
    </row>
    <row r="1392" spans="1:8">
      <c r="A1392" s="5" t="str">
        <f ca="1">IFERROR(__xludf.DUMMYFUNCTION("""COMPUTED_VALUE"""),"20060110DEMOW")</f>
        <v>20060110DEMOW</v>
      </c>
      <c r="B1392" s="5" t="str">
        <f ca="1">IFERROR(__xludf.DUMMYFUNCTION("""COMPUTED_VALUE"""),"Teen")</f>
        <v>Teen</v>
      </c>
      <c r="C1392" s="5" t="str">
        <f ca="1">IFERROR(__xludf.DUMMYFUNCTION("""COMPUTED_VALUE"""),"Male")</f>
        <v>Male</v>
      </c>
      <c r="D1392" s="5"/>
      <c r="E1392" s="5" t="str">
        <f ca="1">IFERROR(__xludf.DUMMYFUNCTION("""COMPUTED_VALUE"""),"Student")</f>
        <v>Student</v>
      </c>
      <c r="F1392" s="5" t="str">
        <f ca="1">IFERROR(__xludf.DUMMYFUNCTION("""COMPUTED_VALUE"""),"Fled/Escaped")</f>
        <v>Fled/Escaped</v>
      </c>
      <c r="G1392" s="5" t="str">
        <f ca="1">IFERROR(__xludf.DUMMYFUNCTION("""COMPUTED_VALUE"""),"No")</f>
        <v>No</v>
      </c>
      <c r="H1392" s="5" t="str">
        <f ca="1">IFERROR(__xludf.DUMMYFUNCTION("""COMPUTED_VALUE"""),"None")</f>
        <v>None</v>
      </c>
    </row>
    <row r="1393" spans="1:8">
      <c r="A1393" s="5" t="str">
        <f ca="1">IFERROR(__xludf.DUMMYFUNCTION("""COMPUTED_VALUE"""),"20060103NJLIJ")</f>
        <v>20060103NJLIJ</v>
      </c>
      <c r="B1393" s="5" t="str">
        <f ca="1">IFERROR(__xludf.DUMMYFUNCTION("""COMPUTED_VALUE"""),"Teen")</f>
        <v>Teen</v>
      </c>
      <c r="C1393" s="5" t="str">
        <f ca="1">IFERROR(__xludf.DUMMYFUNCTION("""COMPUTED_VALUE"""),"Male")</f>
        <v>Male</v>
      </c>
      <c r="D1393" s="5"/>
      <c r="E1393" s="5" t="str">
        <f ca="1">IFERROR(__xludf.DUMMYFUNCTION("""COMPUTED_VALUE"""),"Student")</f>
        <v>Student</v>
      </c>
      <c r="F1393" s="5" t="str">
        <f ca="1">IFERROR(__xludf.DUMMYFUNCTION("""COMPUTED_VALUE"""),"Fled/Escaped")</f>
        <v>Fled/Escaped</v>
      </c>
      <c r="G1393" s="5" t="str">
        <f ca="1">IFERROR(__xludf.DUMMYFUNCTION("""COMPUTED_VALUE"""),"No")</f>
        <v>No</v>
      </c>
      <c r="H1393" s="5" t="str">
        <f ca="1">IFERROR(__xludf.DUMMYFUNCTION("""COMPUTED_VALUE"""),"None")</f>
        <v>None</v>
      </c>
    </row>
    <row r="1394" spans="1:8">
      <c r="A1394" s="5" t="str">
        <f ca="1">IFERROR(__xludf.DUMMYFUNCTION("""COMPUTED_VALUE"""),"20051206MICED")</f>
        <v>20051206MICED</v>
      </c>
      <c r="B1394" s="5"/>
      <c r="C1394" s="5"/>
      <c r="D1394" s="5"/>
      <c r="E1394" s="5" t="str">
        <f ca="1">IFERROR(__xludf.DUMMYFUNCTION("""COMPUTED_VALUE"""),"Nonstudent")</f>
        <v>Nonstudent</v>
      </c>
      <c r="F1394" s="5" t="str">
        <f ca="1">IFERROR(__xludf.DUMMYFUNCTION("""COMPUTED_VALUE"""),"Fled/Escaped")</f>
        <v>Fled/Escaped</v>
      </c>
      <c r="G1394" s="5" t="str">
        <f ca="1">IFERROR(__xludf.DUMMYFUNCTION("""COMPUTED_VALUE"""),"No")</f>
        <v>No</v>
      </c>
      <c r="H1394" s="5" t="str">
        <f ca="1">IFERROR(__xludf.DUMMYFUNCTION("""COMPUTED_VALUE"""),"None")</f>
        <v>None</v>
      </c>
    </row>
    <row r="1395" spans="1:8">
      <c r="A1395" s="5" t="str">
        <f ca="1">IFERROR(__xludf.DUMMYFUNCTION("""COMPUTED_VALUE"""),"20051206CASAG")</f>
        <v>20051206CASAG</v>
      </c>
      <c r="B1395" s="5"/>
      <c r="C1395" s="5" t="str">
        <f ca="1">IFERROR(__xludf.DUMMYFUNCTION("""COMPUTED_VALUE"""),"Male")</f>
        <v>Male</v>
      </c>
      <c r="D1395" s="5" t="str">
        <f ca="1">IFERROR(__xludf.DUMMYFUNCTION("""COMPUTED_VALUE"""),"Hispanic")</f>
        <v>Hispanic</v>
      </c>
      <c r="E1395" s="5" t="str">
        <f ca="1">IFERROR(__xludf.DUMMYFUNCTION("""COMPUTED_VALUE"""),"Unknown")</f>
        <v>Unknown</v>
      </c>
      <c r="F1395" s="5" t="str">
        <f ca="1">IFERROR(__xludf.DUMMYFUNCTION("""COMPUTED_VALUE"""),"Fled/Escaped")</f>
        <v>Fled/Escaped</v>
      </c>
      <c r="G1395" s="5" t="str">
        <f ca="1">IFERROR(__xludf.DUMMYFUNCTION("""COMPUTED_VALUE"""),"No")</f>
        <v>No</v>
      </c>
      <c r="H1395" s="5" t="str">
        <f ca="1">IFERROR(__xludf.DUMMYFUNCTION("""COMPUTED_VALUE"""),"None")</f>
        <v>None</v>
      </c>
    </row>
    <row r="1396" spans="1:8">
      <c r="A1396" s="5" t="str">
        <f ca="1">IFERROR(__xludf.DUMMYFUNCTION("""COMPUTED_VALUE"""),"20051205MABOR")</f>
        <v>20051205MABOR</v>
      </c>
      <c r="B1396" s="5">
        <f ca="1">IFERROR(__xludf.DUMMYFUNCTION("""COMPUTED_VALUE"""),17)</f>
        <v>17</v>
      </c>
      <c r="C1396" s="5" t="str">
        <f ca="1">IFERROR(__xludf.DUMMYFUNCTION("""COMPUTED_VALUE"""),"Male")</f>
        <v>Male</v>
      </c>
      <c r="D1396" s="5" t="str">
        <f ca="1">IFERROR(__xludf.DUMMYFUNCTION("""COMPUTED_VALUE"""),"Black")</f>
        <v>Black</v>
      </c>
      <c r="E1396" s="5" t="str">
        <f ca="1">IFERROR(__xludf.DUMMYFUNCTION("""COMPUTED_VALUE"""),"Student")</f>
        <v>Student</v>
      </c>
      <c r="F1396" s="5" t="str">
        <f ca="1">IFERROR(__xludf.DUMMYFUNCTION("""COMPUTED_VALUE"""),"Surrendered")</f>
        <v>Surrendered</v>
      </c>
      <c r="G1396" s="5" t="str">
        <f ca="1">IFERROR(__xludf.DUMMYFUNCTION("""COMPUTED_VALUE"""),"No")</f>
        <v>No</v>
      </c>
      <c r="H1396" s="5" t="str">
        <f ca="1">IFERROR(__xludf.DUMMYFUNCTION("""COMPUTED_VALUE"""),"None")</f>
        <v>None</v>
      </c>
    </row>
    <row r="1397" spans="1:8">
      <c r="A1397" s="5" t="str">
        <f ca="1">IFERROR(__xludf.DUMMYFUNCTION("""COMPUTED_VALUE"""),"20051116TXIRS")</f>
        <v>20051116TXIRS</v>
      </c>
      <c r="B1397" s="5" t="str">
        <f ca="1">IFERROR(__xludf.DUMMYFUNCTION("""COMPUTED_VALUE"""),"Adult")</f>
        <v>Adult</v>
      </c>
      <c r="C1397" s="5" t="str">
        <f ca="1">IFERROR(__xludf.DUMMYFUNCTION("""COMPUTED_VALUE"""),"Male")</f>
        <v>Male</v>
      </c>
      <c r="D1397" s="5"/>
      <c r="E1397" s="5" t="str">
        <f ca="1">IFERROR(__xludf.DUMMYFUNCTION("""COMPUTED_VALUE"""),"Police Officer/SRO")</f>
        <v>Police Officer/SRO</v>
      </c>
      <c r="F1397" s="5" t="str">
        <f ca="1">IFERROR(__xludf.DUMMYFUNCTION("""COMPUTED_VALUE"""),"Law Enforcement")</f>
        <v>Law Enforcement</v>
      </c>
      <c r="G1397" s="5" t="str">
        <f ca="1">IFERROR(__xludf.DUMMYFUNCTION("""COMPUTED_VALUE"""),"No")</f>
        <v>No</v>
      </c>
      <c r="H1397" s="5" t="str">
        <f ca="1">IFERROR(__xludf.DUMMYFUNCTION("""COMPUTED_VALUE"""),"None")</f>
        <v>None</v>
      </c>
    </row>
    <row r="1398" spans="1:8">
      <c r="A1398" s="5" t="str">
        <f ca="1">IFERROR(__xludf.DUMMYFUNCTION("""COMPUTED_VALUE"""),"20051115FLPAM")</f>
        <v>20051115FLPAM</v>
      </c>
      <c r="B1398" s="5">
        <f ca="1">IFERROR(__xludf.DUMMYFUNCTION("""COMPUTED_VALUE"""),17)</f>
        <v>17</v>
      </c>
      <c r="C1398" s="5" t="str">
        <f ca="1">IFERROR(__xludf.DUMMYFUNCTION("""COMPUTED_VALUE"""),"Female")</f>
        <v>Female</v>
      </c>
      <c r="D1398" s="5"/>
      <c r="E1398" s="5" t="str">
        <f ca="1">IFERROR(__xludf.DUMMYFUNCTION("""COMPUTED_VALUE"""),"Student")</f>
        <v>Student</v>
      </c>
      <c r="F1398" s="5" t="str">
        <f ca="1">IFERROR(__xludf.DUMMYFUNCTION("""COMPUTED_VALUE"""),"Surrendered")</f>
        <v>Surrendered</v>
      </c>
      <c r="G1398" s="5" t="str">
        <f ca="1">IFERROR(__xludf.DUMMYFUNCTION("""COMPUTED_VALUE"""),"No")</f>
        <v>No</v>
      </c>
      <c r="H1398" s="5" t="str">
        <f ca="1">IFERROR(__xludf.DUMMYFUNCTION("""COMPUTED_VALUE"""),"None")</f>
        <v>None</v>
      </c>
    </row>
    <row r="1399" spans="1:8">
      <c r="A1399" s="5" t="str">
        <f ca="1">IFERROR(__xludf.DUMMYFUNCTION("""COMPUTED_VALUE"""),"20051108TNCAJ")</f>
        <v>20051108TNCAJ</v>
      </c>
      <c r="B1399" s="5">
        <f ca="1">IFERROR(__xludf.DUMMYFUNCTION("""COMPUTED_VALUE"""),15)</f>
        <v>15</v>
      </c>
      <c r="C1399" s="5" t="str">
        <f ca="1">IFERROR(__xludf.DUMMYFUNCTION("""COMPUTED_VALUE"""),"Male")</f>
        <v>Male</v>
      </c>
      <c r="D1399" s="5" t="str">
        <f ca="1">IFERROR(__xludf.DUMMYFUNCTION("""COMPUTED_VALUE"""),"White")</f>
        <v>White</v>
      </c>
      <c r="E1399" s="5" t="str">
        <f ca="1">IFERROR(__xludf.DUMMYFUNCTION("""COMPUTED_VALUE"""),"Student")</f>
        <v>Student</v>
      </c>
      <c r="F1399" s="5" t="str">
        <f ca="1">IFERROR(__xludf.DUMMYFUNCTION("""COMPUTED_VALUE"""),"Subdued by Students/Staff/Other")</f>
        <v>Subdued by Students/Staff/Other</v>
      </c>
      <c r="G1399" s="5" t="str">
        <f ca="1">IFERROR(__xludf.DUMMYFUNCTION("""COMPUTED_VALUE"""),"No")</f>
        <v>No</v>
      </c>
      <c r="H1399" s="5" t="str">
        <f ca="1">IFERROR(__xludf.DUMMYFUNCTION("""COMPUTED_VALUE"""),"None")</f>
        <v>None</v>
      </c>
    </row>
    <row r="1400" spans="1:8">
      <c r="A1400" s="5" t="str">
        <f ca="1">IFERROR(__xludf.DUMMYFUNCTION("""COMPUTED_VALUE"""),"20051028NYFAF")</f>
        <v>20051028NYFAF</v>
      </c>
      <c r="B1400" s="5"/>
      <c r="C1400" s="5" t="str">
        <f ca="1">IFERROR(__xludf.DUMMYFUNCTION("""COMPUTED_VALUE"""),"Male")</f>
        <v>Male</v>
      </c>
      <c r="D1400" s="5"/>
      <c r="E1400" s="5" t="str">
        <f ca="1">IFERROR(__xludf.DUMMYFUNCTION("""COMPUTED_VALUE"""),"Unknown")</f>
        <v>Unknown</v>
      </c>
      <c r="F1400" s="5" t="str">
        <f ca="1">IFERROR(__xludf.DUMMYFUNCTION("""COMPUTED_VALUE"""),"Fled/Escaped")</f>
        <v>Fled/Escaped</v>
      </c>
      <c r="G1400" s="5" t="str">
        <f ca="1">IFERROR(__xludf.DUMMYFUNCTION("""COMPUTED_VALUE"""),"No")</f>
        <v>No</v>
      </c>
      <c r="H1400" s="5" t="str">
        <f ca="1">IFERROR(__xludf.DUMMYFUNCTION("""COMPUTED_VALUE"""),"None")</f>
        <v>None</v>
      </c>
    </row>
    <row r="1401" spans="1:8">
      <c r="A1401" s="5" t="str">
        <f ca="1">IFERROR(__xludf.DUMMYFUNCTION("""COMPUTED_VALUE"""),"20051028MDANA")</f>
        <v>20051028MDANA</v>
      </c>
      <c r="B1401" s="5">
        <f ca="1">IFERROR(__xludf.DUMMYFUNCTION("""COMPUTED_VALUE"""),17)</f>
        <v>17</v>
      </c>
      <c r="C1401" s="5" t="str">
        <f ca="1">IFERROR(__xludf.DUMMYFUNCTION("""COMPUTED_VALUE"""),"Male")</f>
        <v>Male</v>
      </c>
      <c r="D1401" s="5"/>
      <c r="E1401" s="5" t="str">
        <f ca="1">IFERROR(__xludf.DUMMYFUNCTION("""COMPUTED_VALUE"""),"Student")</f>
        <v>Student</v>
      </c>
      <c r="F1401" s="5" t="str">
        <f ca="1">IFERROR(__xludf.DUMMYFUNCTION("""COMPUTED_VALUE"""),"Fled/Apprehended")</f>
        <v>Fled/Apprehended</v>
      </c>
      <c r="G1401" s="5" t="str">
        <f ca="1">IFERROR(__xludf.DUMMYFUNCTION("""COMPUTED_VALUE"""),"No")</f>
        <v>No</v>
      </c>
      <c r="H1401" s="5" t="str">
        <f ca="1">IFERROR(__xludf.DUMMYFUNCTION("""COMPUTED_VALUE"""),"None")</f>
        <v>None</v>
      </c>
    </row>
    <row r="1402" spans="1:8">
      <c r="A1402" s="5" t="str">
        <f ca="1">IFERROR(__xludf.DUMMYFUNCTION("""COMPUTED_VALUE"""),"20051027CABIF")</f>
        <v>20051027CABIF</v>
      </c>
      <c r="B1402" s="5" t="str">
        <f ca="1">IFERROR(__xludf.DUMMYFUNCTION("""COMPUTED_VALUE"""),"Adult")</f>
        <v>Adult</v>
      </c>
      <c r="C1402" s="5" t="str">
        <f ca="1">IFERROR(__xludf.DUMMYFUNCTION("""COMPUTED_VALUE"""),"Male")</f>
        <v>Male</v>
      </c>
      <c r="D1402" s="5"/>
      <c r="E1402" s="5" t="str">
        <f ca="1">IFERROR(__xludf.DUMMYFUNCTION("""COMPUTED_VALUE"""),"No Relation")</f>
        <v>No Relation</v>
      </c>
      <c r="F1402" s="5" t="str">
        <f ca="1">IFERROR(__xludf.DUMMYFUNCTION("""COMPUTED_VALUE"""),"Fled/Escaped")</f>
        <v>Fled/Escaped</v>
      </c>
      <c r="G1402" s="5" t="str">
        <f ca="1">IFERROR(__xludf.DUMMYFUNCTION("""COMPUTED_VALUE"""),"No")</f>
        <v>No</v>
      </c>
      <c r="H1402" s="5" t="str">
        <f ca="1">IFERROR(__xludf.DUMMYFUNCTION("""COMPUTED_VALUE"""),"None")</f>
        <v>None</v>
      </c>
    </row>
    <row r="1403" spans="1:8">
      <c r="A1403" s="5" t="str">
        <f ca="1">IFERROR(__xludf.DUMMYFUNCTION("""COMPUTED_VALUE"""),"20051020MISAS")</f>
        <v>20051020MISAS</v>
      </c>
      <c r="B1403" s="5">
        <f ca="1">IFERROR(__xludf.DUMMYFUNCTION("""COMPUTED_VALUE"""),15)</f>
        <v>15</v>
      </c>
      <c r="C1403" s="5" t="str">
        <f ca="1">IFERROR(__xludf.DUMMYFUNCTION("""COMPUTED_VALUE"""),"Male")</f>
        <v>Male</v>
      </c>
      <c r="D1403" s="5"/>
      <c r="E1403" s="5" t="str">
        <f ca="1">IFERROR(__xludf.DUMMYFUNCTION("""COMPUTED_VALUE"""),"Student")</f>
        <v>Student</v>
      </c>
      <c r="F1403" s="5" t="str">
        <f ca="1">IFERROR(__xludf.DUMMYFUNCTION("""COMPUTED_VALUE"""),"Fled/Apprehended")</f>
        <v>Fled/Apprehended</v>
      </c>
      <c r="G1403" s="5" t="str">
        <f ca="1">IFERROR(__xludf.DUMMYFUNCTION("""COMPUTED_VALUE"""),"No")</f>
        <v>No</v>
      </c>
      <c r="H1403" s="5" t="str">
        <f ca="1">IFERROR(__xludf.DUMMYFUNCTION("""COMPUTED_VALUE"""),"None")</f>
        <v>None</v>
      </c>
    </row>
    <row r="1404" spans="1:8">
      <c r="A1404" s="5" t="str">
        <f ca="1">IFERROR(__xludf.DUMMYFUNCTION("""COMPUTED_VALUE"""),"20051019CASAS")</f>
        <v>20051019CASAS</v>
      </c>
      <c r="B1404" s="5">
        <f ca="1">IFERROR(__xludf.DUMMYFUNCTION("""COMPUTED_VALUE"""),17)</f>
        <v>17</v>
      </c>
      <c r="C1404" s="5" t="str">
        <f ca="1">IFERROR(__xludf.DUMMYFUNCTION("""COMPUTED_VALUE"""),"Male")</f>
        <v>Male</v>
      </c>
      <c r="D1404" s="5"/>
      <c r="E1404" s="5" t="str">
        <f ca="1">IFERROR(__xludf.DUMMYFUNCTION("""COMPUTED_VALUE"""),"Student")</f>
        <v>Student</v>
      </c>
      <c r="F1404" s="5" t="str">
        <f ca="1">IFERROR(__xludf.DUMMYFUNCTION("""COMPUTED_VALUE"""),"Fled/Apprehended")</f>
        <v>Fled/Apprehended</v>
      </c>
      <c r="G1404" s="5" t="str">
        <f ca="1">IFERROR(__xludf.DUMMYFUNCTION("""COMPUTED_VALUE"""),"No")</f>
        <v>No</v>
      </c>
      <c r="H1404" s="5" t="str">
        <f ca="1">IFERROR(__xludf.DUMMYFUNCTION("""COMPUTED_VALUE"""),"None")</f>
        <v>None</v>
      </c>
    </row>
    <row r="1405" spans="1:8">
      <c r="A1405" s="5" t="str">
        <f ca="1">IFERROR(__xludf.DUMMYFUNCTION("""COMPUTED_VALUE"""),"20051014NYSAN")</f>
        <v>20051014NYSAN</v>
      </c>
      <c r="B1405" s="5" t="str">
        <f ca="1">IFERROR(__xludf.DUMMYFUNCTION("""COMPUTED_VALUE"""),"Teen")</f>
        <v>Teen</v>
      </c>
      <c r="C1405" s="5" t="str">
        <f ca="1">IFERROR(__xludf.DUMMYFUNCTION("""COMPUTED_VALUE"""),"Male")</f>
        <v>Male</v>
      </c>
      <c r="D1405" s="5"/>
      <c r="E1405" s="5" t="str">
        <f ca="1">IFERROR(__xludf.DUMMYFUNCTION("""COMPUTED_VALUE"""),"Student")</f>
        <v>Student</v>
      </c>
      <c r="F1405" s="5" t="str">
        <f ca="1">IFERROR(__xludf.DUMMYFUNCTION("""COMPUTED_VALUE"""),"Fled/Escaped")</f>
        <v>Fled/Escaped</v>
      </c>
      <c r="G1405" s="5" t="str">
        <f ca="1">IFERROR(__xludf.DUMMYFUNCTION("""COMPUTED_VALUE"""),"No")</f>
        <v>No</v>
      </c>
      <c r="H1405" s="5" t="str">
        <f ca="1">IFERROR(__xludf.DUMMYFUNCTION("""COMPUTED_VALUE"""),"None")</f>
        <v>None</v>
      </c>
    </row>
    <row r="1406" spans="1:8">
      <c r="A1406" s="5" t="str">
        <f ca="1">IFERROR(__xludf.DUMMYFUNCTION("""COMPUTED_VALUE"""),"20051011MIFAF")</f>
        <v>20051011MIFAF</v>
      </c>
      <c r="B1406" s="5">
        <f ca="1">IFERROR(__xludf.DUMMYFUNCTION("""COMPUTED_VALUE"""),17)</f>
        <v>17</v>
      </c>
      <c r="C1406" s="5" t="str">
        <f ca="1">IFERROR(__xludf.DUMMYFUNCTION("""COMPUTED_VALUE"""),"Male")</f>
        <v>Male</v>
      </c>
      <c r="D1406" s="5"/>
      <c r="E1406" s="5" t="str">
        <f ca="1">IFERROR(__xludf.DUMMYFUNCTION("""COMPUTED_VALUE"""),"Student")</f>
        <v>Student</v>
      </c>
      <c r="F1406" s="5" t="str">
        <f ca="1">IFERROR(__xludf.DUMMYFUNCTION("""COMPUTED_VALUE"""),"Surrendered")</f>
        <v>Surrendered</v>
      </c>
      <c r="G1406" s="5" t="str">
        <f ca="1">IFERROR(__xludf.DUMMYFUNCTION("""COMPUTED_VALUE"""),"No")</f>
        <v>No</v>
      </c>
      <c r="H1406" s="5" t="str">
        <f ca="1">IFERROR(__xludf.DUMMYFUNCTION("""COMPUTED_VALUE"""),"None")</f>
        <v>None</v>
      </c>
    </row>
    <row r="1407" spans="1:8">
      <c r="A1407" s="5" t="str">
        <f ca="1">IFERROR(__xludf.DUMMYFUNCTION("""COMPUTED_VALUE"""),"20050924MISAS")</f>
        <v>20050924MISAS</v>
      </c>
      <c r="B1407" s="5"/>
      <c r="C1407" s="5"/>
      <c r="D1407" s="5"/>
      <c r="E1407" s="5" t="str">
        <f ca="1">IFERROR(__xludf.DUMMYFUNCTION("""COMPUTED_VALUE"""),"Unknown")</f>
        <v>Unknown</v>
      </c>
      <c r="F1407" s="5" t="str">
        <f ca="1">IFERROR(__xludf.DUMMYFUNCTION("""COMPUTED_VALUE"""),"Fled/Escaped")</f>
        <v>Fled/Escaped</v>
      </c>
      <c r="G1407" s="5" t="str">
        <f ca="1">IFERROR(__xludf.DUMMYFUNCTION("""COMPUTED_VALUE"""),"No")</f>
        <v>No</v>
      </c>
      <c r="H1407" s="5" t="str">
        <f ca="1">IFERROR(__xludf.DUMMYFUNCTION("""COMPUTED_VALUE"""),"None")</f>
        <v>None</v>
      </c>
    </row>
    <row r="1408" spans="1:8">
      <c r="A1408" s="5" t="str">
        <f ca="1">IFERROR(__xludf.DUMMYFUNCTION("""COMPUTED_VALUE"""),"20050913ILHAC")</f>
        <v>20050913ILHAC</v>
      </c>
      <c r="B1408" s="5">
        <f ca="1">IFERROR(__xludf.DUMMYFUNCTION("""COMPUTED_VALUE"""),15)</f>
        <v>15</v>
      </c>
      <c r="C1408" s="5" t="str">
        <f ca="1">IFERROR(__xludf.DUMMYFUNCTION("""COMPUTED_VALUE"""),"Male")</f>
        <v>Male</v>
      </c>
      <c r="D1408" s="5" t="str">
        <f ca="1">IFERROR(__xludf.DUMMYFUNCTION("""COMPUTED_VALUE"""),"Black")</f>
        <v>Black</v>
      </c>
      <c r="E1408" s="5" t="str">
        <f ca="1">IFERROR(__xludf.DUMMYFUNCTION("""COMPUTED_VALUE"""),"Student")</f>
        <v>Student</v>
      </c>
      <c r="F1408" s="5" t="str">
        <f ca="1">IFERROR(__xludf.DUMMYFUNCTION("""COMPUTED_VALUE"""),"Apprehended/Killed by LE")</f>
        <v>Apprehended/Killed by LE</v>
      </c>
      <c r="G1408" s="5" t="str">
        <f ca="1">IFERROR(__xludf.DUMMYFUNCTION("""COMPUTED_VALUE"""),"No")</f>
        <v>No</v>
      </c>
      <c r="H1408" s="5" t="str">
        <f ca="1">IFERROR(__xludf.DUMMYFUNCTION("""COMPUTED_VALUE"""),"None")</f>
        <v>None</v>
      </c>
    </row>
    <row r="1409" spans="1:8">
      <c r="A1409" s="5" t="str">
        <f ca="1">IFERROR(__xludf.DUMMYFUNCTION("""COMPUTED_VALUE"""),"20050902FLSOJ")</f>
        <v>20050902FLSOJ</v>
      </c>
      <c r="B1409" s="5">
        <f ca="1">IFERROR(__xludf.DUMMYFUNCTION("""COMPUTED_VALUE"""),21)</f>
        <v>21</v>
      </c>
      <c r="C1409" s="5" t="str">
        <f ca="1">IFERROR(__xludf.DUMMYFUNCTION("""COMPUTED_VALUE"""),"Male")</f>
        <v>Male</v>
      </c>
      <c r="D1409" s="5"/>
      <c r="E1409" s="5" t="str">
        <f ca="1">IFERROR(__xludf.DUMMYFUNCTION("""COMPUTED_VALUE"""),"No Relation")</f>
        <v>No Relation</v>
      </c>
      <c r="F1409" s="5" t="str">
        <f ca="1">IFERROR(__xludf.DUMMYFUNCTION("""COMPUTED_VALUE"""),"Fled/Escaped")</f>
        <v>Fled/Escaped</v>
      </c>
      <c r="G1409" s="5" t="str">
        <f ca="1">IFERROR(__xludf.DUMMYFUNCTION("""COMPUTED_VALUE"""),"No")</f>
        <v>No</v>
      </c>
      <c r="H1409" s="5" t="str">
        <f ca="1">IFERROR(__xludf.DUMMYFUNCTION("""COMPUTED_VALUE"""),"None")</f>
        <v>None</v>
      </c>
    </row>
    <row r="1410" spans="1:8">
      <c r="A1410" s="5" t="str">
        <f ca="1">IFERROR(__xludf.DUMMYFUNCTION("""COMPUTED_VALUE"""),"20050901AKDIA")</f>
        <v>20050901AKDIA</v>
      </c>
      <c r="B1410" s="5">
        <f ca="1">IFERROR(__xludf.DUMMYFUNCTION("""COMPUTED_VALUE"""),15)</f>
        <v>15</v>
      </c>
      <c r="C1410" s="5" t="str">
        <f ca="1">IFERROR(__xludf.DUMMYFUNCTION("""COMPUTED_VALUE"""),"Male")</f>
        <v>Male</v>
      </c>
      <c r="D1410" s="5"/>
      <c r="E1410" s="5" t="str">
        <f ca="1">IFERROR(__xludf.DUMMYFUNCTION("""COMPUTED_VALUE"""),"Student")</f>
        <v>Student</v>
      </c>
      <c r="F1410" s="5" t="str">
        <f ca="1">IFERROR(__xludf.DUMMYFUNCTION("""COMPUTED_VALUE"""),"Fled/Apprehended")</f>
        <v>Fled/Apprehended</v>
      </c>
      <c r="G1410" s="5" t="str">
        <f ca="1">IFERROR(__xludf.DUMMYFUNCTION("""COMPUTED_VALUE"""),"No")</f>
        <v>No</v>
      </c>
      <c r="H1410" s="5" t="str">
        <f ca="1">IFERROR(__xludf.DUMMYFUNCTION("""COMPUTED_VALUE"""),"None")</f>
        <v>None</v>
      </c>
    </row>
    <row r="1411" spans="1:8">
      <c r="A1411" s="5" t="str">
        <f ca="1">IFERROR(__xludf.DUMMYFUNCTION("""COMPUTED_VALUE"""),"20050825TNMAD")</f>
        <v>20050825TNMAD</v>
      </c>
      <c r="B1411" s="5" t="str">
        <f ca="1">IFERROR(__xludf.DUMMYFUNCTION("""COMPUTED_VALUE"""),"Teen")</f>
        <v>Teen</v>
      </c>
      <c r="C1411" s="5" t="str">
        <f ca="1">IFERROR(__xludf.DUMMYFUNCTION("""COMPUTED_VALUE"""),"Male")</f>
        <v>Male</v>
      </c>
      <c r="D1411" s="5"/>
      <c r="E1411" s="5" t="str">
        <f ca="1">IFERROR(__xludf.DUMMYFUNCTION("""COMPUTED_VALUE"""),"Student")</f>
        <v>Student</v>
      </c>
      <c r="F1411" s="5" t="str">
        <f ca="1">IFERROR(__xludf.DUMMYFUNCTION("""COMPUTED_VALUE"""),"Apprehended/Killed by LE")</f>
        <v>Apprehended/Killed by LE</v>
      </c>
      <c r="G1411" s="5" t="str">
        <f ca="1">IFERROR(__xludf.DUMMYFUNCTION("""COMPUTED_VALUE"""),"No")</f>
        <v>No</v>
      </c>
      <c r="H1411" s="5" t="str">
        <f ca="1">IFERROR(__xludf.DUMMYFUNCTION("""COMPUTED_VALUE"""),"None")</f>
        <v>None</v>
      </c>
    </row>
    <row r="1412" spans="1:8">
      <c r="A1412" s="5" t="str">
        <f ca="1">IFERROR(__xludf.DUMMYFUNCTION("""COMPUTED_VALUE"""),"20050819GAMOM")</f>
        <v>20050819GAMOM</v>
      </c>
      <c r="B1412" s="5"/>
      <c r="C1412" s="5" t="str">
        <f ca="1">IFERROR(__xludf.DUMMYFUNCTION("""COMPUTED_VALUE"""),"Male")</f>
        <v>Male</v>
      </c>
      <c r="D1412" s="5"/>
      <c r="E1412" s="5" t="str">
        <f ca="1">IFERROR(__xludf.DUMMYFUNCTION("""COMPUTED_VALUE"""),"Unknown")</f>
        <v>Unknown</v>
      </c>
      <c r="F1412" s="5" t="str">
        <f ca="1">IFERROR(__xludf.DUMMYFUNCTION("""COMPUTED_VALUE"""),"Fled/Escaped")</f>
        <v>Fled/Escaped</v>
      </c>
      <c r="G1412" s="5" t="str">
        <f ca="1">IFERROR(__xludf.DUMMYFUNCTION("""COMPUTED_VALUE"""),"No")</f>
        <v>No</v>
      </c>
      <c r="H1412" s="5" t="str">
        <f ca="1">IFERROR(__xludf.DUMMYFUNCTION("""COMPUTED_VALUE"""),"None")</f>
        <v>None</v>
      </c>
    </row>
    <row r="1413" spans="1:8">
      <c r="A1413" s="5" t="str">
        <f ca="1">IFERROR(__xludf.DUMMYFUNCTION("""COMPUTED_VALUE"""),"20050817CAPLB")</f>
        <v>20050817CAPLB</v>
      </c>
      <c r="B1413" s="5">
        <f ca="1">IFERROR(__xludf.DUMMYFUNCTION("""COMPUTED_VALUE"""),26)</f>
        <v>26</v>
      </c>
      <c r="C1413" s="5" t="str">
        <f ca="1">IFERROR(__xludf.DUMMYFUNCTION("""COMPUTED_VALUE"""),"Male")</f>
        <v>Male</v>
      </c>
      <c r="D1413" s="5"/>
      <c r="E1413" s="5" t="str">
        <f ca="1">IFERROR(__xludf.DUMMYFUNCTION("""COMPUTED_VALUE"""),"No Relation")</f>
        <v>No Relation</v>
      </c>
      <c r="F1413" s="5" t="str">
        <f ca="1">IFERROR(__xludf.DUMMYFUNCTION("""COMPUTED_VALUE"""),"Fled/Apprehended")</f>
        <v>Fled/Apprehended</v>
      </c>
      <c r="G1413" s="5" t="str">
        <f ca="1">IFERROR(__xludf.DUMMYFUNCTION("""COMPUTED_VALUE"""),"No")</f>
        <v>No</v>
      </c>
      <c r="H1413" s="5" t="str">
        <f ca="1">IFERROR(__xludf.DUMMYFUNCTION("""COMPUTED_VALUE"""),"None")</f>
        <v>None</v>
      </c>
    </row>
    <row r="1414" spans="1:8">
      <c r="A1414" s="5" t="str">
        <f ca="1">IFERROR(__xludf.DUMMYFUNCTION("""COMPUTED_VALUE"""),"20050816VICOE")</f>
        <v>20050816VICOE</v>
      </c>
      <c r="B1414" s="5" t="str">
        <f ca="1">IFERROR(__xludf.DUMMYFUNCTION("""COMPUTED_VALUE"""),"Adult")</f>
        <v>Adult</v>
      </c>
      <c r="C1414" s="5" t="str">
        <f ca="1">IFERROR(__xludf.DUMMYFUNCTION("""COMPUTED_VALUE"""),"Male")</f>
        <v>Male</v>
      </c>
      <c r="D1414" s="5"/>
      <c r="E1414" s="5" t="str">
        <f ca="1">IFERROR(__xludf.DUMMYFUNCTION("""COMPUTED_VALUE"""),"No Relation")</f>
        <v>No Relation</v>
      </c>
      <c r="F1414" s="5" t="str">
        <f ca="1">IFERROR(__xludf.DUMMYFUNCTION("""COMPUTED_VALUE"""),"Fled/Escaped")</f>
        <v>Fled/Escaped</v>
      </c>
      <c r="G1414" s="5" t="str">
        <f ca="1">IFERROR(__xludf.DUMMYFUNCTION("""COMPUTED_VALUE"""),"No")</f>
        <v>No</v>
      </c>
      <c r="H1414" s="5" t="str">
        <f ca="1">IFERROR(__xludf.DUMMYFUNCTION("""COMPUTED_VALUE"""),"None")</f>
        <v>None</v>
      </c>
    </row>
    <row r="1415" spans="1:8">
      <c r="A1415" s="5" t="str">
        <f ca="1">IFERROR(__xludf.DUMMYFUNCTION("""COMPUTED_VALUE"""),"20050816VICOE")</f>
        <v>20050816VICOE</v>
      </c>
      <c r="B1415" s="5" t="str">
        <f ca="1">IFERROR(__xludf.DUMMYFUNCTION("""COMPUTED_VALUE"""),"Adult")</f>
        <v>Adult</v>
      </c>
      <c r="C1415" s="5" t="str">
        <f ca="1">IFERROR(__xludf.DUMMYFUNCTION("""COMPUTED_VALUE"""),"Male")</f>
        <v>Male</v>
      </c>
      <c r="D1415" s="5"/>
      <c r="E1415" s="5" t="str">
        <f ca="1">IFERROR(__xludf.DUMMYFUNCTION("""COMPUTED_VALUE"""),"No Relation")</f>
        <v>No Relation</v>
      </c>
      <c r="F1415" s="5" t="str">
        <f ca="1">IFERROR(__xludf.DUMMYFUNCTION("""COMPUTED_VALUE"""),"Fled/Escaped")</f>
        <v>Fled/Escaped</v>
      </c>
      <c r="G1415" s="5" t="str">
        <f ca="1">IFERROR(__xludf.DUMMYFUNCTION("""COMPUTED_VALUE"""),"No")</f>
        <v>No</v>
      </c>
      <c r="H1415" s="5" t="str">
        <f ca="1">IFERROR(__xludf.DUMMYFUNCTION("""COMPUTED_VALUE"""),"None")</f>
        <v>None</v>
      </c>
    </row>
    <row r="1416" spans="1:8">
      <c r="A1416" s="5" t="str">
        <f ca="1">IFERROR(__xludf.DUMMYFUNCTION("""COMPUTED_VALUE"""),"20050718NJWEN")</f>
        <v>20050718NJWEN</v>
      </c>
      <c r="B1416" s="5">
        <f ca="1">IFERROR(__xludf.DUMMYFUNCTION("""COMPUTED_VALUE"""),25)</f>
        <v>25</v>
      </c>
      <c r="C1416" s="5" t="str">
        <f ca="1">IFERROR(__xludf.DUMMYFUNCTION("""COMPUTED_VALUE"""),"Male")</f>
        <v>Male</v>
      </c>
      <c r="D1416" s="5"/>
      <c r="E1416" s="5" t="str">
        <f ca="1">IFERROR(__xludf.DUMMYFUNCTION("""COMPUTED_VALUE"""),"Relative")</f>
        <v>Relative</v>
      </c>
      <c r="F1416" s="5" t="str">
        <f ca="1">IFERROR(__xludf.DUMMYFUNCTION("""COMPUTED_VALUE"""),"Fled/Apprehended")</f>
        <v>Fled/Apprehended</v>
      </c>
      <c r="G1416" s="5" t="str">
        <f ca="1">IFERROR(__xludf.DUMMYFUNCTION("""COMPUTED_VALUE"""),"No")</f>
        <v>No</v>
      </c>
      <c r="H1416" s="5" t="str">
        <f ca="1">IFERROR(__xludf.DUMMYFUNCTION("""COMPUTED_VALUE"""),"Wounded")</f>
        <v>Wounded</v>
      </c>
    </row>
    <row r="1417" spans="1:8">
      <c r="A1417" s="5" t="str">
        <f ca="1">IFERROR(__xludf.DUMMYFUNCTION("""COMPUTED_VALUE"""),"20050612NJBAA")</f>
        <v>20050612NJBAA</v>
      </c>
      <c r="B1417" s="5" t="str">
        <f ca="1">IFERROR(__xludf.DUMMYFUNCTION("""COMPUTED_VALUE"""),"Adult")</f>
        <v>Adult</v>
      </c>
      <c r="C1417" s="5" t="str">
        <f ca="1">IFERROR(__xludf.DUMMYFUNCTION("""COMPUTED_VALUE"""),"Male")</f>
        <v>Male</v>
      </c>
      <c r="D1417" s="5"/>
      <c r="E1417" s="5" t="str">
        <f ca="1">IFERROR(__xludf.DUMMYFUNCTION("""COMPUTED_VALUE"""),"No Relation")</f>
        <v>No Relation</v>
      </c>
      <c r="F1417" s="5" t="str">
        <f ca="1">IFERROR(__xludf.DUMMYFUNCTION("""COMPUTED_VALUE"""),"Fled/Escaped")</f>
        <v>Fled/Escaped</v>
      </c>
      <c r="G1417" s="5" t="str">
        <f ca="1">IFERROR(__xludf.DUMMYFUNCTION("""COMPUTED_VALUE"""),"No")</f>
        <v>No</v>
      </c>
      <c r="H1417" s="5" t="str">
        <f ca="1">IFERROR(__xludf.DUMMYFUNCTION("""COMPUTED_VALUE"""),"None")</f>
        <v>None</v>
      </c>
    </row>
    <row r="1418" spans="1:8">
      <c r="A1418" s="5" t="str">
        <f ca="1">IFERROR(__xludf.DUMMYFUNCTION("""COMPUTED_VALUE"""),"20050608NYARP")</f>
        <v>20050608NYARP</v>
      </c>
      <c r="B1418" s="5">
        <f ca="1">IFERROR(__xludf.DUMMYFUNCTION("""COMPUTED_VALUE"""),17)</f>
        <v>17</v>
      </c>
      <c r="C1418" s="5" t="str">
        <f ca="1">IFERROR(__xludf.DUMMYFUNCTION("""COMPUTED_VALUE"""),"Male")</f>
        <v>Male</v>
      </c>
      <c r="D1418" s="5"/>
      <c r="E1418" s="5" t="str">
        <f ca="1">IFERROR(__xludf.DUMMYFUNCTION("""COMPUTED_VALUE"""),"Student")</f>
        <v>Student</v>
      </c>
      <c r="F1418" s="5" t="str">
        <f ca="1">IFERROR(__xludf.DUMMYFUNCTION("""COMPUTED_VALUE"""),"Fled/Apprehended")</f>
        <v>Fled/Apprehended</v>
      </c>
      <c r="G1418" s="5" t="str">
        <f ca="1">IFERROR(__xludf.DUMMYFUNCTION("""COMPUTED_VALUE"""),"No")</f>
        <v>No</v>
      </c>
      <c r="H1418" s="5" t="str">
        <f ca="1">IFERROR(__xludf.DUMMYFUNCTION("""COMPUTED_VALUE"""),"None")</f>
        <v>None</v>
      </c>
    </row>
    <row r="1419" spans="1:8">
      <c r="A1419" s="5" t="str">
        <f ca="1">IFERROR(__xludf.DUMMYFUNCTION("""COMPUTED_VALUE"""),"20050524LABOS")</f>
        <v>20050524LABOS</v>
      </c>
      <c r="B1419" s="5">
        <f ca="1">IFERROR(__xludf.DUMMYFUNCTION("""COMPUTED_VALUE"""),16)</f>
        <v>16</v>
      </c>
      <c r="C1419" s="5" t="str">
        <f ca="1">IFERROR(__xludf.DUMMYFUNCTION("""COMPUTED_VALUE"""),"Male")</f>
        <v>Male</v>
      </c>
      <c r="D1419" s="5"/>
      <c r="E1419" s="5" t="str">
        <f ca="1">IFERROR(__xludf.DUMMYFUNCTION("""COMPUTED_VALUE"""),"Student")</f>
        <v>Student</v>
      </c>
      <c r="F1419" s="5" t="str">
        <f ca="1">IFERROR(__xludf.DUMMYFUNCTION("""COMPUTED_VALUE"""),"Fled/Apprehended")</f>
        <v>Fled/Apprehended</v>
      </c>
      <c r="G1419" s="5" t="str">
        <f ca="1">IFERROR(__xludf.DUMMYFUNCTION("""COMPUTED_VALUE"""),"No")</f>
        <v>No</v>
      </c>
      <c r="H1419" s="5" t="str">
        <f ca="1">IFERROR(__xludf.DUMMYFUNCTION("""COMPUTED_VALUE"""),"Wounded")</f>
        <v>Wounded</v>
      </c>
    </row>
    <row r="1420" spans="1:8">
      <c r="A1420" s="5" t="str">
        <f ca="1">IFERROR(__xludf.DUMMYFUNCTION("""COMPUTED_VALUE"""),"20050524COACD")</f>
        <v>20050524COACD</v>
      </c>
      <c r="B1420" s="5"/>
      <c r="C1420" s="5"/>
      <c r="D1420" s="5"/>
      <c r="E1420" s="5" t="str">
        <f ca="1">IFERROR(__xludf.DUMMYFUNCTION("""COMPUTED_VALUE"""),"Unknown")</f>
        <v>Unknown</v>
      </c>
      <c r="F1420" s="5" t="str">
        <f ca="1">IFERROR(__xludf.DUMMYFUNCTION("""COMPUTED_VALUE"""),"Fled/Escaped")</f>
        <v>Fled/Escaped</v>
      </c>
      <c r="G1420" s="5" t="str">
        <f ca="1">IFERROR(__xludf.DUMMYFUNCTION("""COMPUTED_VALUE"""),"No")</f>
        <v>No</v>
      </c>
      <c r="H1420" s="5" t="str">
        <f ca="1">IFERROR(__xludf.DUMMYFUNCTION("""COMPUTED_VALUE"""),"None")</f>
        <v>None</v>
      </c>
    </row>
    <row r="1421" spans="1:8">
      <c r="A1421" s="5" t="str">
        <f ca="1">IFERROR(__xludf.DUMMYFUNCTION("""COMPUTED_VALUE"""),"20050520ILLOM")</f>
        <v>20050520ILLOM</v>
      </c>
      <c r="B1421" s="5">
        <f ca="1">IFERROR(__xludf.DUMMYFUNCTION("""COMPUTED_VALUE"""),19)</f>
        <v>19</v>
      </c>
      <c r="C1421" s="5" t="str">
        <f ca="1">IFERROR(__xludf.DUMMYFUNCTION("""COMPUTED_VALUE"""),"Male")</f>
        <v>Male</v>
      </c>
      <c r="D1421" s="5"/>
      <c r="E1421" s="5" t="str">
        <f ca="1">IFERROR(__xludf.DUMMYFUNCTION("""COMPUTED_VALUE"""),"Former Student")</f>
        <v>Former Student</v>
      </c>
      <c r="F1421" s="5" t="str">
        <f ca="1">IFERROR(__xludf.DUMMYFUNCTION("""COMPUTED_VALUE"""),"Unknown")</f>
        <v>Unknown</v>
      </c>
      <c r="G1421" s="5" t="str">
        <f ca="1">IFERROR(__xludf.DUMMYFUNCTION("""COMPUTED_VALUE"""),"No")</f>
        <v>No</v>
      </c>
      <c r="H1421" s="5" t="str">
        <f ca="1">IFERROR(__xludf.DUMMYFUNCTION("""COMPUTED_VALUE"""),"None")</f>
        <v>None</v>
      </c>
    </row>
    <row r="1422" spans="1:8">
      <c r="A1422" s="5" t="str">
        <f ca="1">IFERROR(__xludf.DUMMYFUNCTION("""COMPUTED_VALUE"""),"20050517PAHIL")</f>
        <v>20050517PAHIL</v>
      </c>
      <c r="B1422" s="5">
        <f ca="1">IFERROR(__xludf.DUMMYFUNCTION("""COMPUTED_VALUE"""),47)</f>
        <v>47</v>
      </c>
      <c r="C1422" s="5" t="str">
        <f ca="1">IFERROR(__xludf.DUMMYFUNCTION("""COMPUTED_VALUE"""),"Male")</f>
        <v>Male</v>
      </c>
      <c r="D1422" s="5"/>
      <c r="E1422" s="5" t="str">
        <f ca="1">IFERROR(__xludf.DUMMYFUNCTION("""COMPUTED_VALUE"""),"Intimate Relationship")</f>
        <v>Intimate Relationship</v>
      </c>
      <c r="F1422" s="5" t="str">
        <f ca="1">IFERROR(__xludf.DUMMYFUNCTION("""COMPUTED_VALUE"""),"Suicide")</f>
        <v>Suicide</v>
      </c>
      <c r="G1422" s="5" t="str">
        <f ca="1">IFERROR(__xludf.DUMMYFUNCTION("""COMPUTED_VALUE"""),"Yes")</f>
        <v>Yes</v>
      </c>
      <c r="H1422" s="5" t="str">
        <f ca="1">IFERROR(__xludf.DUMMYFUNCTION("""COMPUTED_VALUE"""),"Suicide")</f>
        <v>Suicide</v>
      </c>
    </row>
    <row r="1423" spans="1:8">
      <c r="A1423" s="5" t="str">
        <f ca="1">IFERROR(__xludf.DUMMYFUNCTION("""COMPUTED_VALUE"""),"20050514TXBER")</f>
        <v>20050514TXBER</v>
      </c>
      <c r="B1423" s="5">
        <f ca="1">IFERROR(__xludf.DUMMYFUNCTION("""COMPUTED_VALUE"""),17)</f>
        <v>17</v>
      </c>
      <c r="C1423" s="5" t="str">
        <f ca="1">IFERROR(__xludf.DUMMYFUNCTION("""COMPUTED_VALUE"""),"Male")</f>
        <v>Male</v>
      </c>
      <c r="D1423" s="5"/>
      <c r="E1423" s="5" t="str">
        <f ca="1">IFERROR(__xludf.DUMMYFUNCTION("""COMPUTED_VALUE"""),"Rival School Student")</f>
        <v>Rival School Student</v>
      </c>
      <c r="F1423" s="5" t="str">
        <f ca="1">IFERROR(__xludf.DUMMYFUNCTION("""COMPUTED_VALUE"""),"Fled/Apprehended")</f>
        <v>Fled/Apprehended</v>
      </c>
      <c r="G1423" s="5" t="str">
        <f ca="1">IFERROR(__xludf.DUMMYFUNCTION("""COMPUTED_VALUE"""),"No")</f>
        <v>No</v>
      </c>
      <c r="H1423" s="5" t="str">
        <f ca="1">IFERROR(__xludf.DUMMYFUNCTION("""COMPUTED_VALUE"""),"None")</f>
        <v>None</v>
      </c>
    </row>
    <row r="1424" spans="1:8">
      <c r="A1424" s="5" t="str">
        <f ca="1">IFERROR(__xludf.DUMMYFUNCTION("""COMPUTED_VALUE"""),"20050429OHDAC")</f>
        <v>20050429OHDAC</v>
      </c>
      <c r="B1424" s="5">
        <f ca="1">IFERROR(__xludf.DUMMYFUNCTION("""COMPUTED_VALUE"""),17)</f>
        <v>17</v>
      </c>
      <c r="C1424" s="5" t="str">
        <f ca="1">IFERROR(__xludf.DUMMYFUNCTION("""COMPUTED_VALUE"""),"Male")</f>
        <v>Male</v>
      </c>
      <c r="D1424" s="5"/>
      <c r="E1424" s="5" t="str">
        <f ca="1">IFERROR(__xludf.DUMMYFUNCTION("""COMPUTED_VALUE"""),"Unknown")</f>
        <v>Unknown</v>
      </c>
      <c r="F1424" s="5" t="str">
        <f ca="1">IFERROR(__xludf.DUMMYFUNCTION("""COMPUTED_VALUE"""),"Fled/Apprehended")</f>
        <v>Fled/Apprehended</v>
      </c>
      <c r="G1424" s="5" t="str">
        <f ca="1">IFERROR(__xludf.DUMMYFUNCTION("""COMPUTED_VALUE"""),"No")</f>
        <v>No</v>
      </c>
      <c r="H1424" s="5" t="str">
        <f ca="1">IFERROR(__xludf.DUMMYFUNCTION("""COMPUTED_VALUE"""),"None")</f>
        <v>None</v>
      </c>
    </row>
    <row r="1425" spans="1:8">
      <c r="A1425" s="5" t="str">
        <f ca="1">IFERROR(__xludf.DUMMYFUNCTION("""COMPUTED_VALUE"""),"20050427LALER")</f>
        <v>20050427LALER</v>
      </c>
      <c r="B1425" s="5">
        <f ca="1">IFERROR(__xludf.DUMMYFUNCTION("""COMPUTED_VALUE"""),15)</f>
        <v>15</v>
      </c>
      <c r="C1425" s="5" t="str">
        <f ca="1">IFERROR(__xludf.DUMMYFUNCTION("""COMPUTED_VALUE"""),"Male")</f>
        <v>Male</v>
      </c>
      <c r="D1425" s="5"/>
      <c r="E1425" s="5" t="str">
        <f ca="1">IFERROR(__xludf.DUMMYFUNCTION("""COMPUTED_VALUE"""),"Student")</f>
        <v>Student</v>
      </c>
      <c r="F1425" s="5" t="str">
        <f ca="1">IFERROR(__xludf.DUMMYFUNCTION("""COMPUTED_VALUE"""),"Fled/Apprehended")</f>
        <v>Fled/Apprehended</v>
      </c>
      <c r="G1425" s="5" t="str">
        <f ca="1">IFERROR(__xludf.DUMMYFUNCTION("""COMPUTED_VALUE"""),"No")</f>
        <v>No</v>
      </c>
      <c r="H1425" s="5" t="str">
        <f ca="1">IFERROR(__xludf.DUMMYFUNCTION("""COMPUTED_VALUE"""),"None")</f>
        <v>None</v>
      </c>
    </row>
    <row r="1426" spans="1:8">
      <c r="A1426" s="5" t="str">
        <f ca="1">IFERROR(__xludf.DUMMYFUNCTION("""COMPUTED_VALUE"""),"20050407TXCAC")</f>
        <v>20050407TXCAC</v>
      </c>
      <c r="B1426" s="5">
        <f ca="1">IFERROR(__xludf.DUMMYFUNCTION("""COMPUTED_VALUE"""),45)</f>
        <v>45</v>
      </c>
      <c r="C1426" s="5" t="str">
        <f ca="1">IFERROR(__xludf.DUMMYFUNCTION("""COMPUTED_VALUE"""),"Male")</f>
        <v>Male</v>
      </c>
      <c r="D1426" s="5" t="str">
        <f ca="1">IFERROR(__xludf.DUMMYFUNCTION("""COMPUTED_VALUE"""),"White")</f>
        <v>White</v>
      </c>
      <c r="E1426" s="5" t="str">
        <f ca="1">IFERROR(__xludf.DUMMYFUNCTION("""COMPUTED_VALUE"""),"Parent")</f>
        <v>Parent</v>
      </c>
      <c r="F1426" s="5" t="str">
        <f ca="1">IFERROR(__xludf.DUMMYFUNCTION("""COMPUTED_VALUE"""),"Fled/Apprehended")</f>
        <v>Fled/Apprehended</v>
      </c>
      <c r="G1426" s="5" t="str">
        <f ca="1">IFERROR(__xludf.DUMMYFUNCTION("""COMPUTED_VALUE"""),"No")</f>
        <v>No</v>
      </c>
      <c r="H1426" s="5" t="str">
        <f ca="1">IFERROR(__xludf.DUMMYFUNCTION("""COMPUTED_VALUE"""),"None")</f>
        <v>None</v>
      </c>
    </row>
    <row r="1427" spans="1:8">
      <c r="A1427" s="5" t="str">
        <f ca="1">IFERROR(__xludf.DUMMYFUNCTION("""COMPUTED_VALUE"""),"20050330TNEAM")</f>
        <v>20050330TNEAM</v>
      </c>
      <c r="B1427" s="5">
        <f ca="1">IFERROR(__xludf.DUMMYFUNCTION("""COMPUTED_VALUE"""),17)</f>
        <v>17</v>
      </c>
      <c r="C1427" s="5" t="str">
        <f ca="1">IFERROR(__xludf.DUMMYFUNCTION("""COMPUTED_VALUE"""),"Male")</f>
        <v>Male</v>
      </c>
      <c r="D1427" s="5"/>
      <c r="E1427" s="5" t="str">
        <f ca="1">IFERROR(__xludf.DUMMYFUNCTION("""COMPUTED_VALUE"""),"Student")</f>
        <v>Student</v>
      </c>
      <c r="F1427" s="5" t="str">
        <f ca="1">IFERROR(__xludf.DUMMYFUNCTION("""COMPUTED_VALUE"""),"Fled/Apprehended")</f>
        <v>Fled/Apprehended</v>
      </c>
      <c r="G1427" s="5" t="str">
        <f ca="1">IFERROR(__xludf.DUMMYFUNCTION("""COMPUTED_VALUE"""),"No")</f>
        <v>No</v>
      </c>
      <c r="H1427" s="5" t="str">
        <f ca="1">IFERROR(__xludf.DUMMYFUNCTION("""COMPUTED_VALUE"""),"Wounded")</f>
        <v>Wounded</v>
      </c>
    </row>
    <row r="1428" spans="1:8">
      <c r="A1428" s="5" t="str">
        <f ca="1">IFERROR(__xludf.DUMMYFUNCTION("""COMPUTED_VALUE"""),"20050324TNFAM")</f>
        <v>20050324TNFAM</v>
      </c>
      <c r="B1428" s="5">
        <f ca="1">IFERROR(__xludf.DUMMYFUNCTION("""COMPUTED_VALUE"""),17)</f>
        <v>17</v>
      </c>
      <c r="C1428" s="5" t="str">
        <f ca="1">IFERROR(__xludf.DUMMYFUNCTION("""COMPUTED_VALUE"""),"Female")</f>
        <v>Female</v>
      </c>
      <c r="D1428" s="5"/>
      <c r="E1428" s="5" t="str">
        <f ca="1">IFERROR(__xludf.DUMMYFUNCTION("""COMPUTED_VALUE"""),"Student")</f>
        <v>Student</v>
      </c>
      <c r="F1428" s="5" t="str">
        <f ca="1">IFERROR(__xludf.DUMMYFUNCTION("""COMPUTED_VALUE"""),"Unknown")</f>
        <v>Unknown</v>
      </c>
      <c r="G1428" s="5" t="str">
        <f ca="1">IFERROR(__xludf.DUMMYFUNCTION("""COMPUTED_VALUE"""),"No")</f>
        <v>No</v>
      </c>
      <c r="H1428" s="5" t="str">
        <f ca="1">IFERROR(__xludf.DUMMYFUNCTION("""COMPUTED_VALUE"""),"Wounded")</f>
        <v>Wounded</v>
      </c>
    </row>
    <row r="1429" spans="1:8">
      <c r="A1429" s="5" t="str">
        <f ca="1">IFERROR(__xludf.DUMMYFUNCTION("""COMPUTED_VALUE"""),"20050321NYNEB")</f>
        <v>20050321NYNEB</v>
      </c>
      <c r="B1429" s="5">
        <f ca="1">IFERROR(__xludf.DUMMYFUNCTION("""COMPUTED_VALUE"""),15)</f>
        <v>15</v>
      </c>
      <c r="C1429" s="5" t="str">
        <f ca="1">IFERROR(__xludf.DUMMYFUNCTION("""COMPUTED_VALUE"""),"Male")</f>
        <v>Male</v>
      </c>
      <c r="D1429" s="5"/>
      <c r="E1429" s="5" t="str">
        <f ca="1">IFERROR(__xludf.DUMMYFUNCTION("""COMPUTED_VALUE"""),"Student")</f>
        <v>Student</v>
      </c>
      <c r="F1429" s="5" t="str">
        <f ca="1">IFERROR(__xludf.DUMMYFUNCTION("""COMPUTED_VALUE"""),"Fled/Apprehended")</f>
        <v>Fled/Apprehended</v>
      </c>
      <c r="G1429" s="5" t="str">
        <f ca="1">IFERROR(__xludf.DUMMYFUNCTION("""COMPUTED_VALUE"""),"No")</f>
        <v>No</v>
      </c>
      <c r="H1429" s="5" t="str">
        <f ca="1">IFERROR(__xludf.DUMMYFUNCTION("""COMPUTED_VALUE"""),"Wounded")</f>
        <v>Wounded</v>
      </c>
    </row>
    <row r="1430" spans="1:8">
      <c r="A1430" s="5" t="str">
        <f ca="1">IFERROR(__xludf.DUMMYFUNCTION("""COMPUTED_VALUE"""),"20050321MNRER")</f>
        <v>20050321MNRER</v>
      </c>
      <c r="B1430" s="5">
        <f ca="1">IFERROR(__xludf.DUMMYFUNCTION("""COMPUTED_VALUE"""),16)</f>
        <v>16</v>
      </c>
      <c r="C1430" s="5" t="str">
        <f ca="1">IFERROR(__xludf.DUMMYFUNCTION("""COMPUTED_VALUE"""),"Male")</f>
        <v>Male</v>
      </c>
      <c r="D1430" s="5" t="str">
        <f ca="1">IFERROR(__xludf.DUMMYFUNCTION("""COMPUTED_VALUE"""),"Native American/Alaska Native")</f>
        <v>Native American/Alaska Native</v>
      </c>
      <c r="E1430" s="5" t="str">
        <f ca="1">IFERROR(__xludf.DUMMYFUNCTION("""COMPUTED_VALUE"""),"Former Student")</f>
        <v>Former Student</v>
      </c>
      <c r="F1430" s="5" t="str">
        <f ca="1">IFERROR(__xludf.DUMMYFUNCTION("""COMPUTED_VALUE"""),"Suicide")</f>
        <v>Suicide</v>
      </c>
      <c r="G1430" s="5" t="str">
        <f ca="1">IFERROR(__xludf.DUMMYFUNCTION("""COMPUTED_VALUE"""),"Yes")</f>
        <v>Yes</v>
      </c>
      <c r="H1430" s="5" t="str">
        <f ca="1">IFERROR(__xludf.DUMMYFUNCTION("""COMPUTED_VALUE"""),"Suicide")</f>
        <v>Suicide</v>
      </c>
    </row>
    <row r="1431" spans="1:8">
      <c r="A1431" s="5" t="str">
        <f ca="1">IFERROR(__xludf.DUMMYFUNCTION("""COMPUTED_VALUE"""),"20050317LAOPA")</f>
        <v>20050317LAOPA</v>
      </c>
      <c r="B1431" s="5"/>
      <c r="C1431" s="5" t="str">
        <f ca="1">IFERROR(__xludf.DUMMYFUNCTION("""COMPUTED_VALUE"""),"Male")</f>
        <v>Male</v>
      </c>
      <c r="D1431" s="5"/>
      <c r="E1431" s="5" t="str">
        <f ca="1">IFERROR(__xludf.DUMMYFUNCTION("""COMPUTED_VALUE"""),"Student")</f>
        <v>Student</v>
      </c>
      <c r="F1431" s="5" t="str">
        <f ca="1">IFERROR(__xludf.DUMMYFUNCTION("""COMPUTED_VALUE"""),"Fled/Escaped")</f>
        <v>Fled/Escaped</v>
      </c>
      <c r="G1431" s="5" t="str">
        <f ca="1">IFERROR(__xludf.DUMMYFUNCTION("""COMPUTED_VALUE"""),"No")</f>
        <v>No</v>
      </c>
      <c r="H1431" s="5" t="str">
        <f ca="1">IFERROR(__xludf.DUMMYFUNCTION("""COMPUTED_VALUE"""),"None")</f>
        <v>None</v>
      </c>
    </row>
    <row r="1432" spans="1:8">
      <c r="A1432" s="5" t="str">
        <f ca="1">IFERROR(__xludf.DUMMYFUNCTION("""COMPUTED_VALUE"""),"20050317CALOL")</f>
        <v>20050317CALOL</v>
      </c>
      <c r="B1432" s="5">
        <f ca="1">IFERROR(__xludf.DUMMYFUNCTION("""COMPUTED_VALUE"""),18)</f>
        <v>18</v>
      </c>
      <c r="C1432" s="5" t="str">
        <f ca="1">IFERROR(__xludf.DUMMYFUNCTION("""COMPUTED_VALUE"""),"Male")</f>
        <v>Male</v>
      </c>
      <c r="D1432" s="5" t="str">
        <f ca="1">IFERROR(__xludf.DUMMYFUNCTION("""COMPUTED_VALUE"""),"Black")</f>
        <v>Black</v>
      </c>
      <c r="E1432" s="5" t="str">
        <f ca="1">IFERROR(__xludf.DUMMYFUNCTION("""COMPUTED_VALUE"""),"No Relation")</f>
        <v>No Relation</v>
      </c>
      <c r="F1432" s="5" t="str">
        <f ca="1">IFERROR(__xludf.DUMMYFUNCTION("""COMPUTED_VALUE"""),"Fled/Apprehended")</f>
        <v>Fled/Apprehended</v>
      </c>
      <c r="G1432" s="5" t="str">
        <f ca="1">IFERROR(__xludf.DUMMYFUNCTION("""COMPUTED_VALUE"""),"No")</f>
        <v>No</v>
      </c>
      <c r="H1432" s="5" t="str">
        <f ca="1">IFERROR(__xludf.DUMMYFUNCTION("""COMPUTED_VALUE"""),"None")</f>
        <v>None</v>
      </c>
    </row>
    <row r="1433" spans="1:8">
      <c r="A1433" s="5" t="str">
        <f ca="1">IFERROR(__xludf.DUMMYFUNCTION("""COMPUTED_VALUE"""),"20050316PACAP")</f>
        <v>20050316PACAP</v>
      </c>
      <c r="B1433" s="5">
        <f ca="1">IFERROR(__xludf.DUMMYFUNCTION("""COMPUTED_VALUE"""),21)</f>
        <v>21</v>
      </c>
      <c r="C1433" s="5" t="str">
        <f ca="1">IFERROR(__xludf.DUMMYFUNCTION("""COMPUTED_VALUE"""),"Male")</f>
        <v>Male</v>
      </c>
      <c r="D1433" s="5"/>
      <c r="E1433" s="5" t="str">
        <f ca="1">IFERROR(__xludf.DUMMYFUNCTION("""COMPUTED_VALUE"""),"No Relation")</f>
        <v>No Relation</v>
      </c>
      <c r="F1433" s="5" t="str">
        <f ca="1">IFERROR(__xludf.DUMMYFUNCTION("""COMPUTED_VALUE"""),"Fled/Apprehended")</f>
        <v>Fled/Apprehended</v>
      </c>
      <c r="G1433" s="5" t="str">
        <f ca="1">IFERROR(__xludf.DUMMYFUNCTION("""COMPUTED_VALUE"""),"No")</f>
        <v>No</v>
      </c>
      <c r="H1433" s="5" t="str">
        <f ca="1">IFERROR(__xludf.DUMMYFUNCTION("""COMPUTED_VALUE"""),"None")</f>
        <v>None</v>
      </c>
    </row>
    <row r="1434" spans="1:8">
      <c r="A1434" s="5" t="str">
        <f ca="1">IFERROR(__xludf.DUMMYFUNCTION("""COMPUTED_VALUE"""),"20050314OHLEC")</f>
        <v>20050314OHLEC</v>
      </c>
      <c r="B1434" s="5">
        <f ca="1">IFERROR(__xludf.DUMMYFUNCTION("""COMPUTED_VALUE"""),7)</f>
        <v>7</v>
      </c>
      <c r="C1434" s="5" t="str">
        <f ca="1">IFERROR(__xludf.DUMMYFUNCTION("""COMPUTED_VALUE"""),"Male")</f>
        <v>Male</v>
      </c>
      <c r="D1434" s="5"/>
      <c r="E1434" s="5" t="str">
        <f ca="1">IFERROR(__xludf.DUMMYFUNCTION("""COMPUTED_VALUE"""),"Student")</f>
        <v>Student</v>
      </c>
      <c r="F1434" s="5" t="str">
        <f ca="1">IFERROR(__xludf.DUMMYFUNCTION("""COMPUTED_VALUE"""),"Surrendered")</f>
        <v>Surrendered</v>
      </c>
      <c r="G1434" s="5" t="str">
        <f ca="1">IFERROR(__xludf.DUMMYFUNCTION("""COMPUTED_VALUE"""),"No")</f>
        <v>No</v>
      </c>
      <c r="H1434" s="5" t="str">
        <f ca="1">IFERROR(__xludf.DUMMYFUNCTION("""COMPUTED_VALUE"""),"None")</f>
        <v>None</v>
      </c>
    </row>
    <row r="1435" spans="1:8">
      <c r="A1435" s="5" t="str">
        <f ca="1">IFERROR(__xludf.DUMMYFUNCTION("""COMPUTED_VALUE"""),"20050310TXZAD")</f>
        <v>20050310TXZAD</v>
      </c>
      <c r="B1435" s="5"/>
      <c r="C1435" s="5" t="str">
        <f ca="1">IFERROR(__xludf.DUMMYFUNCTION("""COMPUTED_VALUE"""),"Male")</f>
        <v>Male</v>
      </c>
      <c r="D1435" s="5"/>
      <c r="E1435" s="5" t="str">
        <f ca="1">IFERROR(__xludf.DUMMYFUNCTION("""COMPUTED_VALUE"""),"Unknown")</f>
        <v>Unknown</v>
      </c>
      <c r="F1435" s="5" t="str">
        <f ca="1">IFERROR(__xludf.DUMMYFUNCTION("""COMPUTED_VALUE"""),"Fled/Escaped")</f>
        <v>Fled/Escaped</v>
      </c>
      <c r="G1435" s="5" t="str">
        <f ca="1">IFERROR(__xludf.DUMMYFUNCTION("""COMPUTED_VALUE"""),"No")</f>
        <v>No</v>
      </c>
      <c r="H1435" s="5" t="str">
        <f ca="1">IFERROR(__xludf.DUMMYFUNCTION("""COMPUTED_VALUE"""),"None")</f>
        <v>None</v>
      </c>
    </row>
    <row r="1436" spans="1:8">
      <c r="A1436" s="5" t="str">
        <f ca="1">IFERROR(__xludf.DUMMYFUNCTION("""COMPUTED_VALUE"""),"20050309TNMAN")</f>
        <v>20050309TNMAN</v>
      </c>
      <c r="B1436" s="5">
        <f ca="1">IFERROR(__xludf.DUMMYFUNCTION("""COMPUTED_VALUE"""),16)</f>
        <v>16</v>
      </c>
      <c r="C1436" s="5" t="str">
        <f ca="1">IFERROR(__xludf.DUMMYFUNCTION("""COMPUTED_VALUE"""),"Male")</f>
        <v>Male</v>
      </c>
      <c r="D1436" s="5"/>
      <c r="E1436" s="5" t="str">
        <f ca="1">IFERROR(__xludf.DUMMYFUNCTION("""COMPUTED_VALUE"""),"Former Student")</f>
        <v>Former Student</v>
      </c>
      <c r="F1436" s="5" t="str">
        <f ca="1">IFERROR(__xludf.DUMMYFUNCTION("""COMPUTED_VALUE"""),"Fled/Escaped")</f>
        <v>Fled/Escaped</v>
      </c>
      <c r="G1436" s="5" t="str">
        <f ca="1">IFERROR(__xludf.DUMMYFUNCTION("""COMPUTED_VALUE"""),"No")</f>
        <v>No</v>
      </c>
      <c r="H1436" s="5" t="str">
        <f ca="1">IFERROR(__xludf.DUMMYFUNCTION("""COMPUTED_VALUE"""),"None")</f>
        <v>None</v>
      </c>
    </row>
    <row r="1437" spans="1:8">
      <c r="A1437" s="5" t="str">
        <f ca="1">IFERROR(__xludf.DUMMYFUNCTION("""COMPUTED_VALUE"""),"20050302TNSTD")</f>
        <v>20050302TNSTD</v>
      </c>
      <c r="B1437" s="5">
        <f ca="1">IFERROR(__xludf.DUMMYFUNCTION("""COMPUTED_VALUE"""),14)</f>
        <v>14</v>
      </c>
      <c r="C1437" s="5" t="str">
        <f ca="1">IFERROR(__xludf.DUMMYFUNCTION("""COMPUTED_VALUE"""),"Male")</f>
        <v>Male</v>
      </c>
      <c r="D1437" s="5" t="str">
        <f ca="1">IFERROR(__xludf.DUMMYFUNCTION("""COMPUTED_VALUE"""),"White")</f>
        <v>White</v>
      </c>
      <c r="E1437" s="5" t="str">
        <f ca="1">IFERROR(__xludf.DUMMYFUNCTION("""COMPUTED_VALUE"""),"Student")</f>
        <v>Student</v>
      </c>
      <c r="F1437" s="5" t="str">
        <f ca="1">IFERROR(__xludf.DUMMYFUNCTION("""COMPUTED_VALUE"""),"Fled/Apprehended")</f>
        <v>Fled/Apprehended</v>
      </c>
      <c r="G1437" s="5" t="str">
        <f ca="1">IFERROR(__xludf.DUMMYFUNCTION("""COMPUTED_VALUE"""),"No")</f>
        <v>No</v>
      </c>
      <c r="H1437" s="5" t="str">
        <f ca="1">IFERROR(__xludf.DUMMYFUNCTION("""COMPUTED_VALUE"""),"None")</f>
        <v>None</v>
      </c>
    </row>
    <row r="1438" spans="1:8">
      <c r="A1438" s="5" t="str">
        <f ca="1">IFERROR(__xludf.DUMMYFUNCTION("""COMPUTED_VALUE"""),"20050208ILBOC")</f>
        <v>20050208ILBOC</v>
      </c>
      <c r="B1438" s="5" t="str">
        <f ca="1">IFERROR(__xludf.DUMMYFUNCTION("""COMPUTED_VALUE"""),"Teen")</f>
        <v>Teen</v>
      </c>
      <c r="C1438" s="5" t="str">
        <f ca="1">IFERROR(__xludf.DUMMYFUNCTION("""COMPUTED_VALUE"""),"Male")</f>
        <v>Male</v>
      </c>
      <c r="D1438" s="5"/>
      <c r="E1438" s="5" t="str">
        <f ca="1">IFERROR(__xludf.DUMMYFUNCTION("""COMPUTED_VALUE"""),"Student")</f>
        <v>Student</v>
      </c>
      <c r="F1438" s="5" t="str">
        <f ca="1">IFERROR(__xludf.DUMMYFUNCTION("""COMPUTED_VALUE"""),"Fled/Escaped")</f>
        <v>Fled/Escaped</v>
      </c>
      <c r="G1438" s="5" t="str">
        <f ca="1">IFERROR(__xludf.DUMMYFUNCTION("""COMPUTED_VALUE"""),"No")</f>
        <v>No</v>
      </c>
      <c r="H1438" s="5" t="str">
        <f ca="1">IFERROR(__xludf.DUMMYFUNCTION("""COMPUTED_VALUE"""),"None")</f>
        <v>None</v>
      </c>
    </row>
    <row r="1439" spans="1:8">
      <c r="A1439" s="5" t="str">
        <f ca="1">IFERROR(__xludf.DUMMYFUNCTION("""COMPUTED_VALUE"""),"20050204GAMCA")</f>
        <v>20050204GAMCA</v>
      </c>
      <c r="B1439" s="5">
        <f ca="1">IFERROR(__xludf.DUMMYFUNCTION("""COMPUTED_VALUE"""),19)</f>
        <v>19</v>
      </c>
      <c r="C1439" s="5" t="str">
        <f ca="1">IFERROR(__xludf.DUMMYFUNCTION("""COMPUTED_VALUE"""),"Male")</f>
        <v>Male</v>
      </c>
      <c r="D1439" s="5"/>
      <c r="E1439" s="5" t="str">
        <f ca="1">IFERROR(__xludf.DUMMYFUNCTION("""COMPUTED_VALUE"""),"Relative")</f>
        <v>Relative</v>
      </c>
      <c r="F1439" s="5" t="str">
        <f ca="1">IFERROR(__xludf.DUMMYFUNCTION("""COMPUTED_VALUE"""),"Unknown")</f>
        <v>Unknown</v>
      </c>
      <c r="G1439" s="5" t="str">
        <f ca="1">IFERROR(__xludf.DUMMYFUNCTION("""COMPUTED_VALUE"""),"No")</f>
        <v>No</v>
      </c>
      <c r="H1439" s="5" t="str">
        <f ca="1">IFERROR(__xludf.DUMMYFUNCTION("""COMPUTED_VALUE"""),"None")</f>
        <v>None</v>
      </c>
    </row>
    <row r="1440" spans="1:8">
      <c r="A1440" s="5" t="str">
        <f ca="1">IFERROR(__xludf.DUMMYFUNCTION("""COMPUTED_VALUE"""),"20050126ILWOP")</f>
        <v>20050126ILWOP</v>
      </c>
      <c r="B1440" s="5">
        <f ca="1">IFERROR(__xludf.DUMMYFUNCTION("""COMPUTED_VALUE"""),15)</f>
        <v>15</v>
      </c>
      <c r="C1440" s="5" t="str">
        <f ca="1">IFERROR(__xludf.DUMMYFUNCTION("""COMPUTED_VALUE"""),"Male")</f>
        <v>Male</v>
      </c>
      <c r="D1440" s="5"/>
      <c r="E1440" s="5" t="str">
        <f ca="1">IFERROR(__xludf.DUMMYFUNCTION("""COMPUTED_VALUE"""),"Student")</f>
        <v>Student</v>
      </c>
      <c r="F1440" s="5" t="str">
        <f ca="1">IFERROR(__xludf.DUMMYFUNCTION("""COMPUTED_VALUE"""),"Fled/Apprehended")</f>
        <v>Fled/Apprehended</v>
      </c>
      <c r="G1440" s="5" t="str">
        <f ca="1">IFERROR(__xludf.DUMMYFUNCTION("""COMPUTED_VALUE"""),"No")</f>
        <v>No</v>
      </c>
      <c r="H1440" s="5" t="str">
        <f ca="1">IFERROR(__xludf.DUMMYFUNCTION("""COMPUTED_VALUE"""),"None")</f>
        <v>None</v>
      </c>
    </row>
    <row r="1441" spans="1:8">
      <c r="A1441" s="5" t="str">
        <f ca="1">IFERROR(__xludf.DUMMYFUNCTION("""COMPUTED_VALUE"""),"20050105PAMUN")</f>
        <v>20050105PAMUN</v>
      </c>
      <c r="B1441" s="5">
        <f ca="1">IFERROR(__xludf.DUMMYFUNCTION("""COMPUTED_VALUE"""),16)</f>
        <v>16</v>
      </c>
      <c r="C1441" s="5" t="str">
        <f ca="1">IFERROR(__xludf.DUMMYFUNCTION("""COMPUTED_VALUE"""),"Male")</f>
        <v>Male</v>
      </c>
      <c r="D1441" s="5"/>
      <c r="E1441" s="5" t="str">
        <f ca="1">IFERROR(__xludf.DUMMYFUNCTION("""COMPUTED_VALUE"""),"Unknown")</f>
        <v>Unknown</v>
      </c>
      <c r="F1441" s="5" t="str">
        <f ca="1">IFERROR(__xludf.DUMMYFUNCTION("""COMPUTED_VALUE"""),"Fled/Apprehended")</f>
        <v>Fled/Apprehended</v>
      </c>
      <c r="G1441" s="5" t="str">
        <f ca="1">IFERROR(__xludf.DUMMYFUNCTION("""COMPUTED_VALUE"""),"No")</f>
        <v>No</v>
      </c>
      <c r="H1441" s="5" t="str">
        <f ca="1">IFERROR(__xludf.DUMMYFUNCTION("""COMPUTED_VALUE"""),"None")</f>
        <v>None</v>
      </c>
    </row>
    <row r="1442" spans="1:8">
      <c r="A1442" s="5" t="str">
        <f ca="1">IFERROR(__xludf.DUMMYFUNCTION("""COMPUTED_VALUE"""),"20041231TXRIR")</f>
        <v>20041231TXRIR</v>
      </c>
      <c r="B1442" s="5">
        <f ca="1">IFERROR(__xludf.DUMMYFUNCTION("""COMPUTED_VALUE"""),38)</f>
        <v>38</v>
      </c>
      <c r="C1442" s="5" t="str">
        <f ca="1">IFERROR(__xludf.DUMMYFUNCTION("""COMPUTED_VALUE"""),"Male")</f>
        <v>Male</v>
      </c>
      <c r="D1442" s="5"/>
      <c r="E1442" s="5" t="str">
        <f ca="1">IFERROR(__xludf.DUMMYFUNCTION("""COMPUTED_VALUE"""),"Other Staff")</f>
        <v>Other Staff</v>
      </c>
      <c r="F1442" s="5" t="str">
        <f ca="1">IFERROR(__xludf.DUMMYFUNCTION("""COMPUTED_VALUE"""),"Suicide")</f>
        <v>Suicide</v>
      </c>
      <c r="G1442" s="5" t="str">
        <f ca="1">IFERROR(__xludf.DUMMYFUNCTION("""COMPUTED_VALUE"""),"Yes")</f>
        <v>Yes</v>
      </c>
      <c r="H1442" s="5" t="str">
        <f ca="1">IFERROR(__xludf.DUMMYFUNCTION("""COMPUTED_VALUE"""),"Suicide")</f>
        <v>Suicide</v>
      </c>
    </row>
    <row r="1443" spans="1:8">
      <c r="A1443" s="5" t="str">
        <f ca="1">IFERROR(__xludf.DUMMYFUNCTION("""COMPUTED_VALUE"""),"20041213LALAL")</f>
        <v>20041213LALAL</v>
      </c>
      <c r="B1443" s="5"/>
      <c r="C1443" s="5" t="str">
        <f ca="1">IFERROR(__xludf.DUMMYFUNCTION("""COMPUTED_VALUE"""),"Male")</f>
        <v>Male</v>
      </c>
      <c r="D1443" s="5"/>
      <c r="E1443" s="5" t="str">
        <f ca="1">IFERROR(__xludf.DUMMYFUNCTION("""COMPUTED_VALUE"""),"Unknown")</f>
        <v>Unknown</v>
      </c>
      <c r="F1443" s="5" t="str">
        <f ca="1">IFERROR(__xludf.DUMMYFUNCTION("""COMPUTED_VALUE"""),"Fled/Escaped")</f>
        <v>Fled/Escaped</v>
      </c>
      <c r="G1443" s="5" t="str">
        <f ca="1">IFERROR(__xludf.DUMMYFUNCTION("""COMPUTED_VALUE"""),"No")</f>
        <v>No</v>
      </c>
      <c r="H1443" s="5" t="str">
        <f ca="1">IFERROR(__xludf.DUMMYFUNCTION("""COMPUTED_VALUE"""),"None")</f>
        <v>None</v>
      </c>
    </row>
    <row r="1444" spans="1:8">
      <c r="A1444" s="5" t="str">
        <f ca="1">IFERROR(__xludf.DUMMYFUNCTION("""COMPUTED_VALUE"""),"20041209WALAS")</f>
        <v>20041209WALAS</v>
      </c>
      <c r="B1444" s="5">
        <f ca="1">IFERROR(__xludf.DUMMYFUNCTION("""COMPUTED_VALUE"""),16)</f>
        <v>16</v>
      </c>
      <c r="C1444" s="5" t="str">
        <f ca="1">IFERROR(__xludf.DUMMYFUNCTION("""COMPUTED_VALUE"""),"Male")</f>
        <v>Male</v>
      </c>
      <c r="D1444" s="5"/>
      <c r="E1444" s="5" t="str">
        <f ca="1">IFERROR(__xludf.DUMMYFUNCTION("""COMPUTED_VALUE"""),"Student")</f>
        <v>Student</v>
      </c>
      <c r="F1444" s="5" t="str">
        <f ca="1">IFERROR(__xludf.DUMMYFUNCTION("""COMPUTED_VALUE"""),"Suicide")</f>
        <v>Suicide</v>
      </c>
      <c r="G1444" s="5" t="str">
        <f ca="1">IFERROR(__xludf.DUMMYFUNCTION("""COMPUTED_VALUE"""),"Yes")</f>
        <v>Yes</v>
      </c>
      <c r="H1444" s="5" t="str">
        <f ca="1">IFERROR(__xludf.DUMMYFUNCTION("""COMPUTED_VALUE"""),"Suicide")</f>
        <v>Suicide</v>
      </c>
    </row>
    <row r="1445" spans="1:8">
      <c r="A1445" s="5" t="str">
        <f ca="1">IFERROR(__xludf.DUMMYFUNCTION("""COMPUTED_VALUE"""),"20041119FLTEJ")</f>
        <v>20041119FLTEJ</v>
      </c>
      <c r="B1445" s="5" t="str">
        <f ca="1">IFERROR(__xludf.DUMMYFUNCTION("""COMPUTED_VALUE"""),"Teen")</f>
        <v>Teen</v>
      </c>
      <c r="C1445" s="5" t="str">
        <f ca="1">IFERROR(__xludf.DUMMYFUNCTION("""COMPUTED_VALUE"""),"Male")</f>
        <v>Male</v>
      </c>
      <c r="D1445" s="5"/>
      <c r="E1445" s="5" t="str">
        <f ca="1">IFERROR(__xludf.DUMMYFUNCTION("""COMPUTED_VALUE"""),"Student")</f>
        <v>Student</v>
      </c>
      <c r="F1445" s="5" t="str">
        <f ca="1">IFERROR(__xludf.DUMMYFUNCTION("""COMPUTED_VALUE"""),"Surrendered")</f>
        <v>Surrendered</v>
      </c>
      <c r="G1445" s="5" t="str">
        <f ca="1">IFERROR(__xludf.DUMMYFUNCTION("""COMPUTED_VALUE"""),"No")</f>
        <v>No</v>
      </c>
      <c r="H1445" s="5" t="str">
        <f ca="1">IFERROR(__xludf.DUMMYFUNCTION("""COMPUTED_VALUE"""),"None")</f>
        <v>None</v>
      </c>
    </row>
    <row r="1446" spans="1:8">
      <c r="A1446" s="5" t="str">
        <f ca="1">IFERROR(__xludf.DUMMYFUNCTION("""COMPUTED_VALUE"""),"20041117FLAPA")</f>
        <v>20041117FLAPA</v>
      </c>
      <c r="B1446" s="5">
        <f ca="1">IFERROR(__xludf.DUMMYFUNCTION("""COMPUTED_VALUE"""),14)</f>
        <v>14</v>
      </c>
      <c r="C1446" s="5" t="str">
        <f ca="1">IFERROR(__xludf.DUMMYFUNCTION("""COMPUTED_VALUE"""),"Male")</f>
        <v>Male</v>
      </c>
      <c r="D1446" s="5"/>
      <c r="E1446" s="5" t="str">
        <f ca="1">IFERROR(__xludf.DUMMYFUNCTION("""COMPUTED_VALUE"""),"Student")</f>
        <v>Student</v>
      </c>
      <c r="F1446" s="5" t="str">
        <f ca="1">IFERROR(__xludf.DUMMYFUNCTION("""COMPUTED_VALUE"""),"Apprehended/Killed by LE")</f>
        <v>Apprehended/Killed by LE</v>
      </c>
      <c r="G1446" s="5" t="str">
        <f ca="1">IFERROR(__xludf.DUMMYFUNCTION("""COMPUTED_VALUE"""),"No")</f>
        <v>No</v>
      </c>
      <c r="H1446" s="5" t="str">
        <f ca="1">IFERROR(__xludf.DUMMYFUNCTION("""COMPUTED_VALUE"""),"None")</f>
        <v>None</v>
      </c>
    </row>
    <row r="1447" spans="1:8">
      <c r="A1447" s="5" t="str">
        <f ca="1">IFERROR(__xludf.DUMMYFUNCTION("""COMPUTED_VALUE"""),"20041116SCBAB")</f>
        <v>20041116SCBAB</v>
      </c>
      <c r="B1447" s="5">
        <f ca="1">IFERROR(__xludf.DUMMYFUNCTION("""COMPUTED_VALUE"""),20)</f>
        <v>20</v>
      </c>
      <c r="C1447" s="5" t="str">
        <f ca="1">IFERROR(__xludf.DUMMYFUNCTION("""COMPUTED_VALUE"""),"Male")</f>
        <v>Male</v>
      </c>
      <c r="D1447" s="5"/>
      <c r="E1447" s="5" t="str">
        <f ca="1">IFERROR(__xludf.DUMMYFUNCTION("""COMPUTED_VALUE"""),"Nonstudent Using Athletic Facilities/Attending Game")</f>
        <v>Nonstudent Using Athletic Facilities/Attending Game</v>
      </c>
      <c r="F1447" s="5" t="str">
        <f ca="1">IFERROR(__xludf.DUMMYFUNCTION("""COMPUTED_VALUE"""),"Fled/Apprehended")</f>
        <v>Fled/Apprehended</v>
      </c>
      <c r="G1447" s="5" t="str">
        <f ca="1">IFERROR(__xludf.DUMMYFUNCTION("""COMPUTED_VALUE"""),"No")</f>
        <v>No</v>
      </c>
      <c r="H1447" s="5" t="str">
        <f ca="1">IFERROR(__xludf.DUMMYFUNCTION("""COMPUTED_VALUE"""),"None")</f>
        <v>None</v>
      </c>
    </row>
    <row r="1448" spans="1:8">
      <c r="A1448" s="5" t="str">
        <f ca="1">IFERROR(__xludf.DUMMYFUNCTION("""COMPUTED_VALUE"""),"20041115INBRG")</f>
        <v>20041115INBRG</v>
      </c>
      <c r="B1448" s="5">
        <f ca="1">IFERROR(__xludf.DUMMYFUNCTION("""COMPUTED_VALUE"""),22)</f>
        <v>22</v>
      </c>
      <c r="C1448" s="5" t="str">
        <f ca="1">IFERROR(__xludf.DUMMYFUNCTION("""COMPUTED_VALUE"""),"Male")</f>
        <v>Male</v>
      </c>
      <c r="D1448" s="5"/>
      <c r="E1448" s="5" t="str">
        <f ca="1">IFERROR(__xludf.DUMMYFUNCTION("""COMPUTED_VALUE"""),"Parent")</f>
        <v>Parent</v>
      </c>
      <c r="F1448" s="5" t="str">
        <f ca="1">IFERROR(__xludf.DUMMYFUNCTION("""COMPUTED_VALUE"""),"Fled/Apprehended")</f>
        <v>Fled/Apprehended</v>
      </c>
      <c r="G1448" s="5" t="str">
        <f ca="1">IFERROR(__xludf.DUMMYFUNCTION("""COMPUTED_VALUE"""),"No")</f>
        <v>No</v>
      </c>
      <c r="H1448" s="5" t="str">
        <f ca="1">IFERROR(__xludf.DUMMYFUNCTION("""COMPUTED_VALUE"""),"None")</f>
        <v>None</v>
      </c>
    </row>
    <row r="1449" spans="1:8">
      <c r="A1449" s="5" t="str">
        <f ca="1">IFERROR(__xludf.DUMMYFUNCTION("""COMPUTED_VALUE"""),"20041115INBRG")</f>
        <v>20041115INBRG</v>
      </c>
      <c r="B1449" s="5">
        <f ca="1">IFERROR(__xludf.DUMMYFUNCTION("""COMPUTED_VALUE"""),22)</f>
        <v>22</v>
      </c>
      <c r="C1449" s="5" t="str">
        <f ca="1">IFERROR(__xludf.DUMMYFUNCTION("""COMPUTED_VALUE"""),"Male")</f>
        <v>Male</v>
      </c>
      <c r="D1449" s="5"/>
      <c r="E1449" s="5" t="str">
        <f ca="1">IFERROR(__xludf.DUMMYFUNCTION("""COMPUTED_VALUE"""),"Parent")</f>
        <v>Parent</v>
      </c>
      <c r="F1449" s="5" t="str">
        <f ca="1">IFERROR(__xludf.DUMMYFUNCTION("""COMPUTED_VALUE"""),"Fled/Apprehended")</f>
        <v>Fled/Apprehended</v>
      </c>
      <c r="G1449" s="5" t="str">
        <f ca="1">IFERROR(__xludf.DUMMYFUNCTION("""COMPUTED_VALUE"""),"No")</f>
        <v>No</v>
      </c>
      <c r="H1449" s="5" t="str">
        <f ca="1">IFERROR(__xludf.DUMMYFUNCTION("""COMPUTED_VALUE"""),"None")</f>
        <v>None</v>
      </c>
    </row>
    <row r="1450" spans="1:8">
      <c r="A1450" s="5" t="str">
        <f ca="1">IFERROR(__xludf.DUMMYFUNCTION("""COMPUTED_VALUE"""),"20041115ALPAB")</f>
        <v>20041115ALPAB</v>
      </c>
      <c r="B1450" s="5">
        <f ca="1">IFERROR(__xludf.DUMMYFUNCTION("""COMPUTED_VALUE"""),20)</f>
        <v>20</v>
      </c>
      <c r="C1450" s="5" t="str">
        <f ca="1">IFERROR(__xludf.DUMMYFUNCTION("""COMPUTED_VALUE"""),"Male")</f>
        <v>Male</v>
      </c>
      <c r="D1450" s="5"/>
      <c r="E1450" s="5" t="str">
        <f ca="1">IFERROR(__xludf.DUMMYFUNCTION("""COMPUTED_VALUE"""),"Nonstudent Using Athletic Facilities/Attending Game")</f>
        <v>Nonstudent Using Athletic Facilities/Attending Game</v>
      </c>
      <c r="F1450" s="5" t="str">
        <f ca="1">IFERROR(__xludf.DUMMYFUNCTION("""COMPUTED_VALUE"""),"Fled/Apprehended")</f>
        <v>Fled/Apprehended</v>
      </c>
      <c r="G1450" s="5" t="str">
        <f ca="1">IFERROR(__xludf.DUMMYFUNCTION("""COMPUTED_VALUE"""),"No")</f>
        <v>No</v>
      </c>
      <c r="H1450" s="5" t="str">
        <f ca="1">IFERROR(__xludf.DUMMYFUNCTION("""COMPUTED_VALUE"""),"None")</f>
        <v>None</v>
      </c>
    </row>
    <row r="1451" spans="1:8">
      <c r="A1451" s="5" t="str">
        <f ca="1">IFERROR(__xludf.DUMMYFUNCTION("""COMPUTED_VALUE"""),"20041022CATYH")</f>
        <v>20041022CATYH</v>
      </c>
      <c r="B1451" s="5"/>
      <c r="C1451" s="5"/>
      <c r="D1451" s="5"/>
      <c r="E1451" s="5" t="str">
        <f ca="1">IFERROR(__xludf.DUMMYFUNCTION("""COMPUTED_VALUE"""),"Unknown")</f>
        <v>Unknown</v>
      </c>
      <c r="F1451" s="5" t="str">
        <f ca="1">IFERROR(__xludf.DUMMYFUNCTION("""COMPUTED_VALUE"""),"Fled/Escaped")</f>
        <v>Fled/Escaped</v>
      </c>
      <c r="G1451" s="5" t="str">
        <f ca="1">IFERROR(__xludf.DUMMYFUNCTION("""COMPUTED_VALUE"""),"No")</f>
        <v>No</v>
      </c>
      <c r="H1451" s="5" t="str">
        <f ca="1">IFERROR(__xludf.DUMMYFUNCTION("""COMPUTED_VALUE"""),"None")</f>
        <v>None</v>
      </c>
    </row>
    <row r="1452" spans="1:8">
      <c r="A1452" s="5" t="str">
        <f ca="1">IFERROR(__xludf.DUMMYFUNCTION("""COMPUTED_VALUE"""),"20041021MDTHB")</f>
        <v>20041021MDTHB</v>
      </c>
      <c r="B1452" s="5">
        <f ca="1">IFERROR(__xludf.DUMMYFUNCTION("""COMPUTED_VALUE"""),16)</f>
        <v>16</v>
      </c>
      <c r="C1452" s="5" t="str">
        <f ca="1">IFERROR(__xludf.DUMMYFUNCTION("""COMPUTED_VALUE"""),"Male")</f>
        <v>Male</v>
      </c>
      <c r="D1452" s="5"/>
      <c r="E1452" s="5" t="str">
        <f ca="1">IFERROR(__xludf.DUMMYFUNCTION("""COMPUTED_VALUE"""),"Student")</f>
        <v>Student</v>
      </c>
      <c r="F1452" s="5" t="str">
        <f ca="1">IFERROR(__xludf.DUMMYFUNCTION("""COMPUTED_VALUE"""),"Fled/Apprehended")</f>
        <v>Fled/Apprehended</v>
      </c>
      <c r="G1452" s="5" t="str">
        <f ca="1">IFERROR(__xludf.DUMMYFUNCTION("""COMPUTED_VALUE"""),"No")</f>
        <v>No</v>
      </c>
      <c r="H1452" s="5" t="str">
        <f ca="1">IFERROR(__xludf.DUMMYFUNCTION("""COMPUTED_VALUE"""),"None")</f>
        <v>None</v>
      </c>
    </row>
    <row r="1453" spans="1:8">
      <c r="A1453" s="5" t="str">
        <f ca="1">IFERROR(__xludf.DUMMYFUNCTION("""COMPUTED_VALUE"""),"20041015CABIB")</f>
        <v>20041015CABIB</v>
      </c>
      <c r="B1453" s="5">
        <f ca="1">IFERROR(__xludf.DUMMYFUNCTION("""COMPUTED_VALUE"""),19)</f>
        <v>19</v>
      </c>
      <c r="C1453" s="5" t="str">
        <f ca="1">IFERROR(__xludf.DUMMYFUNCTION("""COMPUTED_VALUE"""),"Male")</f>
        <v>Male</v>
      </c>
      <c r="D1453" s="5"/>
      <c r="E1453" s="5" t="str">
        <f ca="1">IFERROR(__xludf.DUMMYFUNCTION("""COMPUTED_VALUE"""),"Unknown")</f>
        <v>Unknown</v>
      </c>
      <c r="F1453" s="5" t="str">
        <f ca="1">IFERROR(__xludf.DUMMYFUNCTION("""COMPUTED_VALUE"""),"Fled/Apprehended")</f>
        <v>Fled/Apprehended</v>
      </c>
      <c r="G1453" s="5" t="str">
        <f ca="1">IFERROR(__xludf.DUMMYFUNCTION("""COMPUTED_VALUE"""),"No")</f>
        <v>No</v>
      </c>
      <c r="H1453" s="5" t="str">
        <f ca="1">IFERROR(__xludf.DUMMYFUNCTION("""COMPUTED_VALUE"""),"None")</f>
        <v>None</v>
      </c>
    </row>
    <row r="1454" spans="1:8">
      <c r="A1454" s="5" t="str">
        <f ca="1">IFERROR(__xludf.DUMMYFUNCTION("""COMPUTED_VALUE"""),"20041012CALAS")</f>
        <v>20041012CALAS</v>
      </c>
      <c r="B1454" s="5">
        <f ca="1">IFERROR(__xludf.DUMMYFUNCTION("""COMPUTED_VALUE"""),25)</f>
        <v>25</v>
      </c>
      <c r="C1454" s="5" t="str">
        <f ca="1">IFERROR(__xludf.DUMMYFUNCTION("""COMPUTED_VALUE"""),"Male")</f>
        <v>Male</v>
      </c>
      <c r="D1454" s="5"/>
      <c r="E1454" s="5" t="str">
        <f ca="1">IFERROR(__xludf.DUMMYFUNCTION("""COMPUTED_VALUE"""),"No Relation")</f>
        <v>No Relation</v>
      </c>
      <c r="F1454" s="5" t="str">
        <f ca="1">IFERROR(__xludf.DUMMYFUNCTION("""COMPUTED_VALUE"""),"Apprehended/Killed by Other")</f>
        <v>Apprehended/Killed by Other</v>
      </c>
      <c r="G1454" s="5" t="str">
        <f ca="1">IFERROR(__xludf.DUMMYFUNCTION("""COMPUTED_VALUE"""),"Yes")</f>
        <v>Yes</v>
      </c>
      <c r="H1454" s="5" t="str">
        <f ca="1">IFERROR(__xludf.DUMMYFUNCTION("""COMPUTED_VALUE"""),"Fatal")</f>
        <v>Fatal</v>
      </c>
    </row>
    <row r="1455" spans="1:8">
      <c r="A1455" s="5" t="str">
        <f ca="1">IFERROR(__xludf.DUMMYFUNCTION("""COMPUTED_VALUE"""),"20041012CALAS")</f>
        <v>20041012CALAS</v>
      </c>
      <c r="B1455" s="5">
        <f ca="1">IFERROR(__xludf.DUMMYFUNCTION("""COMPUTED_VALUE"""),25)</f>
        <v>25</v>
      </c>
      <c r="C1455" s="5" t="str">
        <f ca="1">IFERROR(__xludf.DUMMYFUNCTION("""COMPUTED_VALUE"""),"Male")</f>
        <v>Male</v>
      </c>
      <c r="D1455" s="5"/>
      <c r="E1455" s="5" t="str">
        <f ca="1">IFERROR(__xludf.DUMMYFUNCTION("""COMPUTED_VALUE"""),"No Relation")</f>
        <v>No Relation</v>
      </c>
      <c r="F1455" s="5" t="str">
        <f ca="1">IFERROR(__xludf.DUMMYFUNCTION("""COMPUTED_VALUE"""),"Apprehended/Killed by Other")</f>
        <v>Apprehended/Killed by Other</v>
      </c>
      <c r="G1455" s="5" t="str">
        <f ca="1">IFERROR(__xludf.DUMMYFUNCTION("""COMPUTED_VALUE"""),"Yes")</f>
        <v>Yes</v>
      </c>
      <c r="H1455" s="5" t="str">
        <f ca="1">IFERROR(__xludf.DUMMYFUNCTION("""COMPUTED_VALUE"""),"Fatal")</f>
        <v>Fatal</v>
      </c>
    </row>
    <row r="1456" spans="1:8">
      <c r="A1456" s="5" t="str">
        <f ca="1">IFERROR(__xludf.DUMMYFUNCTION("""COMPUTED_VALUE"""),"20041007MANEN")</f>
        <v>20041007MANEN</v>
      </c>
      <c r="B1456" s="5">
        <f ca="1">IFERROR(__xludf.DUMMYFUNCTION("""COMPUTED_VALUE"""),15)</f>
        <v>15</v>
      </c>
      <c r="C1456" s="5" t="str">
        <f ca="1">IFERROR(__xludf.DUMMYFUNCTION("""COMPUTED_VALUE"""),"Male")</f>
        <v>Male</v>
      </c>
      <c r="D1456" s="5"/>
      <c r="E1456" s="5" t="str">
        <f ca="1">IFERROR(__xludf.DUMMYFUNCTION("""COMPUTED_VALUE"""),"Student")</f>
        <v>Student</v>
      </c>
      <c r="F1456" s="5" t="str">
        <f ca="1">IFERROR(__xludf.DUMMYFUNCTION("""COMPUTED_VALUE"""),"Suicide")</f>
        <v>Suicide</v>
      </c>
      <c r="G1456" s="5" t="str">
        <f ca="1">IFERROR(__xludf.DUMMYFUNCTION("""COMPUTED_VALUE"""),"Yes")</f>
        <v>Yes</v>
      </c>
      <c r="H1456" s="5" t="str">
        <f ca="1">IFERROR(__xludf.DUMMYFUNCTION("""COMPUTED_VALUE"""),"Suicide")</f>
        <v>Suicide</v>
      </c>
    </row>
    <row r="1457" spans="1:8">
      <c r="A1457" s="5" t="str">
        <f ca="1">IFERROR(__xludf.DUMMYFUNCTION("""COMPUTED_VALUE"""),"20041002NEJEG")</f>
        <v>20041002NEJEG</v>
      </c>
      <c r="B1457" s="5">
        <f ca="1">IFERROR(__xludf.DUMMYFUNCTION("""COMPUTED_VALUE"""),20)</f>
        <v>20</v>
      </c>
      <c r="C1457" s="5" t="str">
        <f ca="1">IFERROR(__xludf.DUMMYFUNCTION("""COMPUTED_VALUE"""),"Male")</f>
        <v>Male</v>
      </c>
      <c r="D1457" s="5"/>
      <c r="E1457" s="5" t="str">
        <f ca="1">IFERROR(__xludf.DUMMYFUNCTION("""COMPUTED_VALUE"""),"No Relation")</f>
        <v>No Relation</v>
      </c>
      <c r="F1457" s="5" t="str">
        <f ca="1">IFERROR(__xludf.DUMMYFUNCTION("""COMPUTED_VALUE"""),"Fled/Apprehended")</f>
        <v>Fled/Apprehended</v>
      </c>
      <c r="G1457" s="5" t="str">
        <f ca="1">IFERROR(__xludf.DUMMYFUNCTION("""COMPUTED_VALUE"""),"No")</f>
        <v>No</v>
      </c>
      <c r="H1457" s="5" t="str">
        <f ca="1">IFERROR(__xludf.DUMMYFUNCTION("""COMPUTED_VALUE"""),"None")</f>
        <v>None</v>
      </c>
    </row>
    <row r="1458" spans="1:8">
      <c r="A1458" s="5" t="str">
        <f ca="1">IFERROR(__xludf.DUMMYFUNCTION("""COMPUTED_VALUE"""),"20040915INWIG")</f>
        <v>20040915INWIG</v>
      </c>
      <c r="B1458" s="5">
        <f ca="1">IFERROR(__xludf.DUMMYFUNCTION("""COMPUTED_VALUE"""),16)</f>
        <v>16</v>
      </c>
      <c r="C1458" s="5" t="str">
        <f ca="1">IFERROR(__xludf.DUMMYFUNCTION("""COMPUTED_VALUE"""),"Male")</f>
        <v>Male</v>
      </c>
      <c r="D1458" s="5"/>
      <c r="E1458" s="5" t="str">
        <f ca="1">IFERROR(__xludf.DUMMYFUNCTION("""COMPUTED_VALUE"""),"Student")</f>
        <v>Student</v>
      </c>
      <c r="F1458" s="5" t="str">
        <f ca="1">IFERROR(__xludf.DUMMYFUNCTION("""COMPUTED_VALUE"""),"Fled/Apprehended")</f>
        <v>Fled/Apprehended</v>
      </c>
      <c r="G1458" s="5" t="str">
        <f ca="1">IFERROR(__xludf.DUMMYFUNCTION("""COMPUTED_VALUE"""),"No")</f>
        <v>No</v>
      </c>
      <c r="H1458" s="5" t="str">
        <f ca="1">IFERROR(__xludf.DUMMYFUNCTION("""COMPUTED_VALUE"""),"None")</f>
        <v>None</v>
      </c>
    </row>
    <row r="1459" spans="1:8">
      <c r="A1459" s="5" t="str">
        <f ca="1">IFERROR(__xludf.DUMMYFUNCTION("""COMPUTED_VALUE"""),"20040912LABON")</f>
        <v>20040912LABON</v>
      </c>
      <c r="B1459" s="5">
        <f ca="1">IFERROR(__xludf.DUMMYFUNCTION("""COMPUTED_VALUE"""),34)</f>
        <v>34</v>
      </c>
      <c r="C1459" s="5" t="str">
        <f ca="1">IFERROR(__xludf.DUMMYFUNCTION("""COMPUTED_VALUE"""),"Female")</f>
        <v>Female</v>
      </c>
      <c r="D1459" s="5"/>
      <c r="E1459" s="5" t="str">
        <f ca="1">IFERROR(__xludf.DUMMYFUNCTION("""COMPUTED_VALUE"""),"Unknown")</f>
        <v>Unknown</v>
      </c>
      <c r="F1459" s="5" t="str">
        <f ca="1">IFERROR(__xludf.DUMMYFUNCTION("""COMPUTED_VALUE"""),"Unknown")</f>
        <v>Unknown</v>
      </c>
      <c r="G1459" s="5" t="str">
        <f ca="1">IFERROR(__xludf.DUMMYFUNCTION("""COMPUTED_VALUE"""),"No")</f>
        <v>No</v>
      </c>
      <c r="H1459" s="5" t="str">
        <f ca="1">IFERROR(__xludf.DUMMYFUNCTION("""COMPUTED_VALUE"""),"None")</f>
        <v>None</v>
      </c>
    </row>
    <row r="1460" spans="1:8">
      <c r="A1460" s="5" t="str">
        <f ca="1">IFERROR(__xludf.DUMMYFUNCTION("""COMPUTED_VALUE"""),"20040830ILPRM")</f>
        <v>20040830ILPRM</v>
      </c>
      <c r="B1460" s="5" t="str">
        <f ca="1">IFERROR(__xludf.DUMMYFUNCTION("""COMPUTED_VALUE"""),"Adult")</f>
        <v>Adult</v>
      </c>
      <c r="C1460" s="5" t="str">
        <f ca="1">IFERROR(__xludf.DUMMYFUNCTION("""COMPUTED_VALUE"""),"Male")</f>
        <v>Male</v>
      </c>
      <c r="D1460" s="5" t="str">
        <f ca="1">IFERROR(__xludf.DUMMYFUNCTION("""COMPUTED_VALUE"""),"Black")</f>
        <v>Black</v>
      </c>
      <c r="E1460" s="5" t="str">
        <f ca="1">IFERROR(__xludf.DUMMYFUNCTION("""COMPUTED_VALUE"""),"No Relation")</f>
        <v>No Relation</v>
      </c>
      <c r="F1460" s="5" t="str">
        <f ca="1">IFERROR(__xludf.DUMMYFUNCTION("""COMPUTED_VALUE"""),"Fled/Escaped")</f>
        <v>Fled/Escaped</v>
      </c>
      <c r="G1460" s="5" t="str">
        <f ca="1">IFERROR(__xludf.DUMMYFUNCTION("""COMPUTED_VALUE"""),"No")</f>
        <v>No</v>
      </c>
      <c r="H1460" s="5" t="str">
        <f ca="1">IFERROR(__xludf.DUMMYFUNCTION("""COMPUTED_VALUE"""),"None")</f>
        <v>None</v>
      </c>
    </row>
    <row r="1461" spans="1:8">
      <c r="A1461" s="5" t="str">
        <f ca="1">IFERROR(__xludf.DUMMYFUNCTION("""COMPUTED_VALUE"""),"20040824TNHAM")</f>
        <v>20040824TNHAM</v>
      </c>
      <c r="B1461" s="5">
        <f ca="1">IFERROR(__xludf.DUMMYFUNCTION("""COMPUTED_VALUE"""),16)</f>
        <v>16</v>
      </c>
      <c r="C1461" s="5" t="str">
        <f ca="1">IFERROR(__xludf.DUMMYFUNCTION("""COMPUTED_VALUE"""),"Male")</f>
        <v>Male</v>
      </c>
      <c r="D1461" s="5"/>
      <c r="E1461" s="5" t="str">
        <f ca="1">IFERROR(__xludf.DUMMYFUNCTION("""COMPUTED_VALUE"""),"Student")</f>
        <v>Student</v>
      </c>
      <c r="F1461" s="5" t="str">
        <f ca="1">IFERROR(__xludf.DUMMYFUNCTION("""COMPUTED_VALUE"""),"Unknown")</f>
        <v>Unknown</v>
      </c>
      <c r="G1461" s="5" t="str">
        <f ca="1">IFERROR(__xludf.DUMMYFUNCTION("""COMPUTED_VALUE"""),"No")</f>
        <v>No</v>
      </c>
      <c r="H1461" s="5" t="str">
        <f ca="1">IFERROR(__xludf.DUMMYFUNCTION("""COMPUTED_VALUE"""),"None")</f>
        <v>None</v>
      </c>
    </row>
    <row r="1462" spans="1:8">
      <c r="A1462" s="5" t="str">
        <f ca="1">IFERROR(__xludf.DUMMYFUNCTION("""COMPUTED_VALUE"""),"20040803ALHUB")</f>
        <v>20040803ALHUB</v>
      </c>
      <c r="B1462" s="5">
        <f ca="1">IFERROR(__xludf.DUMMYFUNCTION("""COMPUTED_VALUE"""),17)</f>
        <v>17</v>
      </c>
      <c r="C1462" s="5" t="str">
        <f ca="1">IFERROR(__xludf.DUMMYFUNCTION("""COMPUTED_VALUE"""),"Male")</f>
        <v>Male</v>
      </c>
      <c r="D1462" s="5"/>
      <c r="E1462" s="5" t="str">
        <f ca="1">IFERROR(__xludf.DUMMYFUNCTION("""COMPUTED_VALUE"""),"Student")</f>
        <v>Student</v>
      </c>
      <c r="F1462" s="5" t="str">
        <f ca="1">IFERROR(__xludf.DUMMYFUNCTION("""COMPUTED_VALUE"""),"Fled/Apprehended")</f>
        <v>Fled/Apprehended</v>
      </c>
      <c r="G1462" s="5" t="str">
        <f ca="1">IFERROR(__xludf.DUMMYFUNCTION("""COMPUTED_VALUE"""),"No")</f>
        <v>No</v>
      </c>
      <c r="H1462" s="5" t="str">
        <f ca="1">IFERROR(__xludf.DUMMYFUNCTION("""COMPUTED_VALUE"""),"None")</f>
        <v>None</v>
      </c>
    </row>
    <row r="1463" spans="1:8">
      <c r="A1463" s="5" t="str">
        <f ca="1">IFERROR(__xludf.DUMMYFUNCTION("""COMPUTED_VALUE"""),"20040609CACAO")</f>
        <v>20040609CACAO</v>
      </c>
      <c r="B1463" s="5"/>
      <c r="C1463" s="5" t="str">
        <f ca="1">IFERROR(__xludf.DUMMYFUNCTION("""COMPUTED_VALUE"""),"Male")</f>
        <v>Male</v>
      </c>
      <c r="D1463" s="5"/>
      <c r="E1463" s="5" t="str">
        <f ca="1">IFERROR(__xludf.DUMMYFUNCTION("""COMPUTED_VALUE"""),"Unknown")</f>
        <v>Unknown</v>
      </c>
      <c r="F1463" s="5" t="str">
        <f ca="1">IFERROR(__xludf.DUMMYFUNCTION("""COMPUTED_VALUE"""),"Fled/Escaped")</f>
        <v>Fled/Escaped</v>
      </c>
      <c r="G1463" s="5" t="str">
        <f ca="1">IFERROR(__xludf.DUMMYFUNCTION("""COMPUTED_VALUE"""),"No")</f>
        <v>No</v>
      </c>
      <c r="H1463" s="5" t="str">
        <f ca="1">IFERROR(__xludf.DUMMYFUNCTION("""COMPUTED_VALUE"""),"None")</f>
        <v>None</v>
      </c>
    </row>
    <row r="1464" spans="1:8">
      <c r="A1464" s="5" t="str">
        <f ca="1">IFERROR(__xludf.DUMMYFUNCTION("""COMPUTED_VALUE"""),"20040524UTWES")</f>
        <v>20040524UTWES</v>
      </c>
      <c r="B1464" s="5">
        <f ca="1">IFERROR(__xludf.DUMMYFUNCTION("""COMPUTED_VALUE"""),52)</f>
        <v>52</v>
      </c>
      <c r="C1464" s="5" t="str">
        <f ca="1">IFERROR(__xludf.DUMMYFUNCTION("""COMPUTED_VALUE"""),"Male")</f>
        <v>Male</v>
      </c>
      <c r="D1464" s="5"/>
      <c r="E1464" s="5" t="str">
        <f ca="1">IFERROR(__xludf.DUMMYFUNCTION("""COMPUTED_VALUE"""),"Intimate Relationship")</f>
        <v>Intimate Relationship</v>
      </c>
      <c r="F1464" s="5" t="str">
        <f ca="1">IFERROR(__xludf.DUMMYFUNCTION("""COMPUTED_VALUE"""),"Suicide")</f>
        <v>Suicide</v>
      </c>
      <c r="G1464" s="5" t="str">
        <f ca="1">IFERROR(__xludf.DUMMYFUNCTION("""COMPUTED_VALUE"""),"Yes")</f>
        <v>Yes</v>
      </c>
      <c r="H1464" s="5" t="str">
        <f ca="1">IFERROR(__xludf.DUMMYFUNCTION("""COMPUTED_VALUE"""),"Suicide")</f>
        <v>Suicide</v>
      </c>
    </row>
    <row r="1465" spans="1:8">
      <c r="A1465" s="5" t="str">
        <f ca="1">IFERROR(__xludf.DUMMYFUNCTION("""COMPUTED_VALUE"""),"20040512CAEAM")</f>
        <v>20040512CAEAM</v>
      </c>
      <c r="B1465" s="5">
        <f ca="1">IFERROR(__xludf.DUMMYFUNCTION("""COMPUTED_VALUE"""),20)</f>
        <v>20</v>
      </c>
      <c r="C1465" s="5" t="str">
        <f ca="1">IFERROR(__xludf.DUMMYFUNCTION("""COMPUTED_VALUE"""),"Male")</f>
        <v>Male</v>
      </c>
      <c r="D1465" s="5"/>
      <c r="E1465" s="5" t="str">
        <f ca="1">IFERROR(__xludf.DUMMYFUNCTION("""COMPUTED_VALUE"""),"Gang Member")</f>
        <v>Gang Member</v>
      </c>
      <c r="F1465" s="5" t="str">
        <f ca="1">IFERROR(__xludf.DUMMYFUNCTION("""COMPUTED_VALUE"""),"Fled/Apprehended")</f>
        <v>Fled/Apprehended</v>
      </c>
      <c r="G1465" s="5" t="str">
        <f ca="1">IFERROR(__xludf.DUMMYFUNCTION("""COMPUTED_VALUE"""),"No")</f>
        <v>No</v>
      </c>
      <c r="H1465" s="5" t="str">
        <f ca="1">IFERROR(__xludf.DUMMYFUNCTION("""COMPUTED_VALUE"""),"None")</f>
        <v>None</v>
      </c>
    </row>
    <row r="1466" spans="1:8">
      <c r="A1466" s="5" t="str">
        <f ca="1">IFERROR(__xludf.DUMMYFUNCTION("""COMPUTED_VALUE"""),"20040507MDRAR")</f>
        <v>20040507MDRAR</v>
      </c>
      <c r="B1466" s="5">
        <f ca="1">IFERROR(__xludf.DUMMYFUNCTION("""COMPUTED_VALUE"""),17)</f>
        <v>17</v>
      </c>
      <c r="C1466" s="5" t="str">
        <f ca="1">IFERROR(__xludf.DUMMYFUNCTION("""COMPUTED_VALUE"""),"Male")</f>
        <v>Male</v>
      </c>
      <c r="D1466" s="5" t="str">
        <f ca="1">IFERROR(__xludf.DUMMYFUNCTION("""COMPUTED_VALUE"""),"Black")</f>
        <v>Black</v>
      </c>
      <c r="E1466" s="5" t="str">
        <f ca="1">IFERROR(__xludf.DUMMYFUNCTION("""COMPUTED_VALUE"""),"Unknown")</f>
        <v>Unknown</v>
      </c>
      <c r="F1466" s="5" t="str">
        <f ca="1">IFERROR(__xludf.DUMMYFUNCTION("""COMPUTED_VALUE"""),"Fled/Apprehended")</f>
        <v>Fled/Apprehended</v>
      </c>
      <c r="G1466" s="5" t="str">
        <f ca="1">IFERROR(__xludf.DUMMYFUNCTION("""COMPUTED_VALUE"""),"No")</f>
        <v>No</v>
      </c>
      <c r="H1466" s="5" t="str">
        <f ca="1">IFERROR(__xludf.DUMMYFUNCTION("""COMPUTED_VALUE"""),"None")</f>
        <v>None</v>
      </c>
    </row>
    <row r="1467" spans="1:8">
      <c r="A1467" s="5" t="str">
        <f ca="1">IFERROR(__xludf.DUMMYFUNCTION("""COMPUTED_VALUE"""),"20040507MDRAR")</f>
        <v>20040507MDRAR</v>
      </c>
      <c r="B1467" s="5">
        <f ca="1">IFERROR(__xludf.DUMMYFUNCTION("""COMPUTED_VALUE"""),21)</f>
        <v>21</v>
      </c>
      <c r="C1467" s="5" t="str">
        <f ca="1">IFERROR(__xludf.DUMMYFUNCTION("""COMPUTED_VALUE"""),"Male")</f>
        <v>Male</v>
      </c>
      <c r="D1467" s="5" t="str">
        <f ca="1">IFERROR(__xludf.DUMMYFUNCTION("""COMPUTED_VALUE"""),"Black")</f>
        <v>Black</v>
      </c>
      <c r="E1467" s="5" t="str">
        <f ca="1">IFERROR(__xludf.DUMMYFUNCTION("""COMPUTED_VALUE"""),"Student")</f>
        <v>Student</v>
      </c>
      <c r="F1467" s="5" t="str">
        <f ca="1">IFERROR(__xludf.DUMMYFUNCTION("""COMPUTED_VALUE"""),"Fled/Apprehended")</f>
        <v>Fled/Apprehended</v>
      </c>
      <c r="G1467" s="5" t="str">
        <f ca="1">IFERROR(__xludf.DUMMYFUNCTION("""COMPUTED_VALUE"""),"No")</f>
        <v>No</v>
      </c>
      <c r="H1467" s="5" t="str">
        <f ca="1">IFERROR(__xludf.DUMMYFUNCTION("""COMPUTED_VALUE"""),"None")</f>
        <v>None</v>
      </c>
    </row>
    <row r="1468" spans="1:8">
      <c r="A1468" s="5" t="str">
        <f ca="1">IFERROR(__xludf.DUMMYFUNCTION("""COMPUTED_VALUE"""),"20040504TXKAH")</f>
        <v>20040504TXKAH</v>
      </c>
      <c r="B1468" s="5" t="str">
        <f ca="1">IFERROR(__xludf.DUMMYFUNCTION("""COMPUTED_VALUE"""),"Teen")</f>
        <v>Teen</v>
      </c>
      <c r="C1468" s="5" t="str">
        <f ca="1">IFERROR(__xludf.DUMMYFUNCTION("""COMPUTED_VALUE"""),"Male")</f>
        <v>Male</v>
      </c>
      <c r="D1468" s="5"/>
      <c r="E1468" s="5" t="str">
        <f ca="1">IFERROR(__xludf.DUMMYFUNCTION("""COMPUTED_VALUE"""),"Unknown")</f>
        <v>Unknown</v>
      </c>
      <c r="F1468" s="5" t="str">
        <f ca="1">IFERROR(__xludf.DUMMYFUNCTION("""COMPUTED_VALUE"""),"Fled/Escaped")</f>
        <v>Fled/Escaped</v>
      </c>
      <c r="G1468" s="5" t="str">
        <f ca="1">IFERROR(__xludf.DUMMYFUNCTION("""COMPUTED_VALUE"""),"No")</f>
        <v>No</v>
      </c>
      <c r="H1468" s="5" t="str">
        <f ca="1">IFERROR(__xludf.DUMMYFUNCTION("""COMPUTED_VALUE"""),"None")</f>
        <v>None</v>
      </c>
    </row>
    <row r="1469" spans="1:8">
      <c r="A1469" s="5" t="str">
        <f ca="1">IFERROR(__xludf.DUMMYFUNCTION("""COMPUTED_VALUE"""),"20040317WACRJ")</f>
        <v>20040317WACRJ</v>
      </c>
      <c r="B1469" s="5">
        <f ca="1">IFERROR(__xludf.DUMMYFUNCTION("""COMPUTED_VALUE"""),13)</f>
        <v>13</v>
      </c>
      <c r="C1469" s="5" t="str">
        <f ca="1">IFERROR(__xludf.DUMMYFUNCTION("""COMPUTED_VALUE"""),"Male")</f>
        <v>Male</v>
      </c>
      <c r="D1469" s="5"/>
      <c r="E1469" s="5" t="str">
        <f ca="1">IFERROR(__xludf.DUMMYFUNCTION("""COMPUTED_VALUE"""),"Student")</f>
        <v>Student</v>
      </c>
      <c r="F1469" s="5" t="str">
        <f ca="1">IFERROR(__xludf.DUMMYFUNCTION("""COMPUTED_VALUE"""),"Suicide")</f>
        <v>Suicide</v>
      </c>
      <c r="G1469" s="5" t="str">
        <f ca="1">IFERROR(__xludf.DUMMYFUNCTION("""COMPUTED_VALUE"""),"Yes")</f>
        <v>Yes</v>
      </c>
      <c r="H1469" s="5" t="str">
        <f ca="1">IFERROR(__xludf.DUMMYFUNCTION("""COMPUTED_VALUE"""),"Suicide")</f>
        <v>Suicide</v>
      </c>
    </row>
    <row r="1470" spans="1:8">
      <c r="A1470" s="5" t="str">
        <f ca="1">IFERROR(__xludf.DUMMYFUNCTION("""COMPUTED_VALUE"""),"20040305CASAL")</f>
        <v>20040305CASAL</v>
      </c>
      <c r="B1470" s="5"/>
      <c r="C1470" s="5" t="str">
        <f ca="1">IFERROR(__xludf.DUMMYFUNCTION("""COMPUTED_VALUE"""),"Male")</f>
        <v>Male</v>
      </c>
      <c r="D1470" s="5"/>
      <c r="E1470" s="5" t="str">
        <f ca="1">IFERROR(__xludf.DUMMYFUNCTION("""COMPUTED_VALUE"""),"Unknown")</f>
        <v>Unknown</v>
      </c>
      <c r="F1470" s="5" t="str">
        <f ca="1">IFERROR(__xludf.DUMMYFUNCTION("""COMPUTED_VALUE"""),"Fled/Escaped")</f>
        <v>Fled/Escaped</v>
      </c>
      <c r="G1470" s="5" t="str">
        <f ca="1">IFERROR(__xludf.DUMMYFUNCTION("""COMPUTED_VALUE"""),"No")</f>
        <v>No</v>
      </c>
      <c r="H1470" s="5" t="str">
        <f ca="1">IFERROR(__xludf.DUMMYFUNCTION("""COMPUTED_VALUE"""),"None")</f>
        <v>None</v>
      </c>
    </row>
    <row r="1471" spans="1:8">
      <c r="A1471" s="5" t="str">
        <f ca="1">IFERROR(__xludf.DUMMYFUNCTION("""COMPUTED_VALUE"""),"20040220LAGAS")</f>
        <v>20040220LAGAS</v>
      </c>
      <c r="B1471" s="5">
        <f ca="1">IFERROR(__xludf.DUMMYFUNCTION("""COMPUTED_VALUE"""),41)</f>
        <v>41</v>
      </c>
      <c r="C1471" s="5" t="str">
        <f ca="1">IFERROR(__xludf.DUMMYFUNCTION("""COMPUTED_VALUE"""),"Male")</f>
        <v>Male</v>
      </c>
      <c r="D1471" s="5"/>
      <c r="E1471" s="5" t="str">
        <f ca="1">IFERROR(__xludf.DUMMYFUNCTION("""COMPUTED_VALUE"""),"Intimate Relationship")</f>
        <v>Intimate Relationship</v>
      </c>
      <c r="F1471" s="5" t="str">
        <f ca="1">IFERROR(__xludf.DUMMYFUNCTION("""COMPUTED_VALUE"""),"Fled/Escaped")</f>
        <v>Fled/Escaped</v>
      </c>
      <c r="G1471" s="5" t="str">
        <f ca="1">IFERROR(__xludf.DUMMYFUNCTION("""COMPUTED_VALUE"""),"Yes")</f>
        <v>Yes</v>
      </c>
      <c r="H1471" s="5" t="str">
        <f ca="1">IFERROR(__xludf.DUMMYFUNCTION("""COMPUTED_VALUE"""),"Suicide")</f>
        <v>Suicide</v>
      </c>
    </row>
    <row r="1472" spans="1:8">
      <c r="A1472" s="5" t="str">
        <f ca="1">IFERROR(__xludf.DUMMYFUNCTION("""COMPUTED_VALUE"""),"20040213OHCOD")</f>
        <v>20040213OHCOD</v>
      </c>
      <c r="B1472" s="5">
        <f ca="1">IFERROR(__xludf.DUMMYFUNCTION("""COMPUTED_VALUE"""),17)</f>
        <v>17</v>
      </c>
      <c r="C1472" s="5" t="str">
        <f ca="1">IFERROR(__xludf.DUMMYFUNCTION("""COMPUTED_VALUE"""),"Male")</f>
        <v>Male</v>
      </c>
      <c r="D1472" s="5"/>
      <c r="E1472" s="5" t="str">
        <f ca="1">IFERROR(__xludf.DUMMYFUNCTION("""COMPUTED_VALUE"""),"Student")</f>
        <v>Student</v>
      </c>
      <c r="F1472" s="5" t="str">
        <f ca="1">IFERROR(__xludf.DUMMYFUNCTION("""COMPUTED_VALUE"""),"Fled/Apprehended")</f>
        <v>Fled/Apprehended</v>
      </c>
      <c r="G1472" s="5" t="str">
        <f ca="1">IFERROR(__xludf.DUMMYFUNCTION("""COMPUTED_VALUE"""),"No")</f>
        <v>No</v>
      </c>
      <c r="H1472" s="5" t="str">
        <f ca="1">IFERROR(__xludf.DUMMYFUNCTION("""COMPUTED_VALUE"""),"None")</f>
        <v>None</v>
      </c>
    </row>
    <row r="1473" spans="1:8">
      <c r="A1473" s="5" t="str">
        <f ca="1">IFERROR(__xludf.DUMMYFUNCTION("""COMPUTED_VALUE"""),"20040211PATMP")</f>
        <v>20040211PATMP</v>
      </c>
      <c r="B1473" s="5">
        <f ca="1">IFERROR(__xludf.DUMMYFUNCTION("""COMPUTED_VALUE"""),22)</f>
        <v>22</v>
      </c>
      <c r="C1473" s="5" t="str">
        <f ca="1">IFERROR(__xludf.DUMMYFUNCTION("""COMPUTED_VALUE"""),"Male")</f>
        <v>Male</v>
      </c>
      <c r="D1473" s="5" t="str">
        <f ca="1">IFERROR(__xludf.DUMMYFUNCTION("""COMPUTED_VALUE"""),"Black")</f>
        <v>Black</v>
      </c>
      <c r="E1473" s="5" t="str">
        <f ca="1">IFERROR(__xludf.DUMMYFUNCTION("""COMPUTED_VALUE"""),"No Relation")</f>
        <v>No Relation</v>
      </c>
      <c r="F1473" s="5" t="str">
        <f ca="1">IFERROR(__xludf.DUMMYFUNCTION("""COMPUTED_VALUE"""),"Fled/Apprehended")</f>
        <v>Fled/Apprehended</v>
      </c>
      <c r="G1473" s="5" t="str">
        <f ca="1">IFERROR(__xludf.DUMMYFUNCTION("""COMPUTED_VALUE"""),"No")</f>
        <v>No</v>
      </c>
      <c r="H1473" s="5" t="str">
        <f ca="1">IFERROR(__xludf.DUMMYFUNCTION("""COMPUTED_VALUE"""),"None")</f>
        <v>None</v>
      </c>
    </row>
    <row r="1474" spans="1:8">
      <c r="A1474" s="5" t="str">
        <f ca="1">IFERROR(__xludf.DUMMYFUNCTION("""COMPUTED_VALUE"""),"20040211PATMP")</f>
        <v>20040211PATMP</v>
      </c>
      <c r="B1474" s="5">
        <f ca="1">IFERROR(__xludf.DUMMYFUNCTION("""COMPUTED_VALUE"""),21)</f>
        <v>21</v>
      </c>
      <c r="C1474" s="5" t="str">
        <f ca="1">IFERROR(__xludf.DUMMYFUNCTION("""COMPUTED_VALUE"""),"Male")</f>
        <v>Male</v>
      </c>
      <c r="D1474" s="5" t="str">
        <f ca="1">IFERROR(__xludf.DUMMYFUNCTION("""COMPUTED_VALUE"""),"Black")</f>
        <v>Black</v>
      </c>
      <c r="E1474" s="5" t="str">
        <f ca="1">IFERROR(__xludf.DUMMYFUNCTION("""COMPUTED_VALUE"""),"No Relation")</f>
        <v>No Relation</v>
      </c>
      <c r="F1474" s="5" t="str">
        <f ca="1">IFERROR(__xludf.DUMMYFUNCTION("""COMPUTED_VALUE"""),"Fled/Apprehended")</f>
        <v>Fled/Apprehended</v>
      </c>
      <c r="G1474" s="5" t="str">
        <f ca="1">IFERROR(__xludf.DUMMYFUNCTION("""COMPUTED_VALUE"""),"No")</f>
        <v>No</v>
      </c>
      <c r="H1474" s="5" t="str">
        <f ca="1">IFERROR(__xludf.DUMMYFUNCTION("""COMPUTED_VALUE"""),"None")</f>
        <v>None</v>
      </c>
    </row>
    <row r="1475" spans="1:8">
      <c r="A1475" s="5" t="str">
        <f ca="1">IFERROR(__xludf.DUMMYFUNCTION("""COMPUTED_VALUE"""),"20040209NYCOE")</f>
        <v>20040209NYCOE</v>
      </c>
      <c r="B1475" s="5">
        <f ca="1">IFERROR(__xludf.DUMMYFUNCTION("""COMPUTED_VALUE"""),16)</f>
        <v>16</v>
      </c>
      <c r="C1475" s="5" t="str">
        <f ca="1">IFERROR(__xludf.DUMMYFUNCTION("""COMPUTED_VALUE"""),"Male")</f>
        <v>Male</v>
      </c>
      <c r="D1475" s="5" t="str">
        <f ca="1">IFERROR(__xludf.DUMMYFUNCTION("""COMPUTED_VALUE"""),"White")</f>
        <v>White</v>
      </c>
      <c r="E1475" s="5" t="str">
        <f ca="1">IFERROR(__xludf.DUMMYFUNCTION("""COMPUTED_VALUE"""),"Student")</f>
        <v>Student</v>
      </c>
      <c r="F1475" s="5" t="str">
        <f ca="1">IFERROR(__xludf.DUMMYFUNCTION("""COMPUTED_VALUE"""),"Subdued by Students/Staff/Other")</f>
        <v>Subdued by Students/Staff/Other</v>
      </c>
      <c r="G1475" s="5" t="str">
        <f ca="1">IFERROR(__xludf.DUMMYFUNCTION("""COMPUTED_VALUE"""),"No")</f>
        <v>No</v>
      </c>
      <c r="H1475" s="5" t="str">
        <f ca="1">IFERROR(__xludf.DUMMYFUNCTION("""COMPUTED_VALUE"""),"None")</f>
        <v>None</v>
      </c>
    </row>
    <row r="1476" spans="1:8">
      <c r="A1476" s="5" t="str">
        <f ca="1">IFERROR(__xludf.DUMMYFUNCTION("""COMPUTED_VALUE"""),"20040206LAFAS")</f>
        <v>20040206LAFAS</v>
      </c>
      <c r="B1476" s="5" t="str">
        <f ca="1">IFERROR(__xludf.DUMMYFUNCTION("""COMPUTED_VALUE"""),"Adult")</f>
        <v>Adult</v>
      </c>
      <c r="C1476" s="5"/>
      <c r="D1476" s="5"/>
      <c r="E1476" s="5" t="str">
        <f ca="1">IFERROR(__xludf.DUMMYFUNCTION("""COMPUTED_VALUE"""),"Police Officer/SRO")</f>
        <v>Police Officer/SRO</v>
      </c>
      <c r="F1476" s="5" t="str">
        <f ca="1">IFERROR(__xludf.DUMMYFUNCTION("""COMPUTED_VALUE"""),"Law Enforcement")</f>
        <v>Law Enforcement</v>
      </c>
      <c r="G1476" s="5" t="str">
        <f ca="1">IFERROR(__xludf.DUMMYFUNCTION("""COMPUTED_VALUE"""),"No")</f>
        <v>No</v>
      </c>
      <c r="H1476" s="5" t="str">
        <f ca="1">IFERROR(__xludf.DUMMYFUNCTION("""COMPUTED_VALUE"""),"None")</f>
        <v>None</v>
      </c>
    </row>
    <row r="1477" spans="1:8">
      <c r="A1477" s="5" t="str">
        <f ca="1">IFERROR(__xludf.DUMMYFUNCTION("""COMPUTED_VALUE"""),"20040203TXYOH")</f>
        <v>20040203TXYOH</v>
      </c>
      <c r="B1477" s="5">
        <f ca="1">IFERROR(__xludf.DUMMYFUNCTION("""COMPUTED_VALUE"""),12)</f>
        <v>12</v>
      </c>
      <c r="C1477" s="5" t="str">
        <f ca="1">IFERROR(__xludf.DUMMYFUNCTION("""COMPUTED_VALUE"""),"Male")</f>
        <v>Male</v>
      </c>
      <c r="D1477" s="5"/>
      <c r="E1477" s="5" t="str">
        <f ca="1">IFERROR(__xludf.DUMMYFUNCTION("""COMPUTED_VALUE"""),"Student")</f>
        <v>Student</v>
      </c>
      <c r="F1477" s="5" t="str">
        <f ca="1">IFERROR(__xludf.DUMMYFUNCTION("""COMPUTED_VALUE"""),"Surrendered")</f>
        <v>Surrendered</v>
      </c>
      <c r="G1477" s="5" t="str">
        <f ca="1">IFERROR(__xludf.DUMMYFUNCTION("""COMPUTED_VALUE"""),"No")</f>
        <v>No</v>
      </c>
      <c r="H1477" s="5" t="str">
        <f ca="1">IFERROR(__xludf.DUMMYFUNCTION("""COMPUTED_VALUE"""),"Wounded")</f>
        <v>Wounded</v>
      </c>
    </row>
    <row r="1478" spans="1:8">
      <c r="A1478" s="5" t="str">
        <f ca="1">IFERROR(__xludf.DUMMYFUNCTION("""COMPUTED_VALUE"""),"20040202DCBAW")</f>
        <v>20040202DCBAW</v>
      </c>
      <c r="B1478" s="5">
        <f ca="1">IFERROR(__xludf.DUMMYFUNCTION("""COMPUTED_VALUE"""),18)</f>
        <v>18</v>
      </c>
      <c r="C1478" s="5" t="str">
        <f ca="1">IFERROR(__xludf.DUMMYFUNCTION("""COMPUTED_VALUE"""),"Male")</f>
        <v>Male</v>
      </c>
      <c r="D1478" s="5" t="str">
        <f ca="1">IFERROR(__xludf.DUMMYFUNCTION("""COMPUTED_VALUE"""),"Black")</f>
        <v>Black</v>
      </c>
      <c r="E1478" s="5" t="str">
        <f ca="1">IFERROR(__xludf.DUMMYFUNCTION("""COMPUTED_VALUE"""),"Student")</f>
        <v>Student</v>
      </c>
      <c r="F1478" s="5" t="str">
        <f ca="1">IFERROR(__xludf.DUMMYFUNCTION("""COMPUTED_VALUE"""),"Fled/Apprehended")</f>
        <v>Fled/Apprehended</v>
      </c>
      <c r="G1478" s="5" t="str">
        <f ca="1">IFERROR(__xludf.DUMMYFUNCTION("""COMPUTED_VALUE"""),"No")</f>
        <v>No</v>
      </c>
      <c r="H1478" s="5" t="str">
        <f ca="1">IFERROR(__xludf.DUMMYFUNCTION("""COMPUTED_VALUE"""),"None")</f>
        <v>None</v>
      </c>
    </row>
    <row r="1479" spans="1:8">
      <c r="A1479" s="5" t="str">
        <f ca="1">IFERROR(__xludf.DUMMYFUNCTION("""COMPUTED_VALUE"""),"20040121NVFAH")</f>
        <v>20040121NVFAH</v>
      </c>
      <c r="B1479" s="5">
        <f ca="1">IFERROR(__xludf.DUMMYFUNCTION("""COMPUTED_VALUE"""),40)</f>
        <v>40</v>
      </c>
      <c r="C1479" s="5" t="str">
        <f ca="1">IFERROR(__xludf.DUMMYFUNCTION("""COMPUTED_VALUE"""),"Male")</f>
        <v>Male</v>
      </c>
      <c r="D1479" s="5" t="str">
        <f ca="1">IFERROR(__xludf.DUMMYFUNCTION("""COMPUTED_VALUE"""),"Black")</f>
        <v>Black</v>
      </c>
      <c r="E1479" s="5" t="str">
        <f ca="1">IFERROR(__xludf.DUMMYFUNCTION("""COMPUTED_VALUE"""),"Intimate Relationship")</f>
        <v>Intimate Relationship</v>
      </c>
      <c r="F1479" s="5" t="str">
        <f ca="1">IFERROR(__xludf.DUMMYFUNCTION("""COMPUTED_VALUE"""),"Apprehended/Killed by LE")</f>
        <v>Apprehended/Killed by LE</v>
      </c>
      <c r="G1479" s="5" t="str">
        <f ca="1">IFERROR(__xludf.DUMMYFUNCTION("""COMPUTED_VALUE"""),"Yes")</f>
        <v>Yes</v>
      </c>
      <c r="H1479" s="5" t="str">
        <f ca="1">IFERROR(__xludf.DUMMYFUNCTION("""COMPUTED_VALUE"""),"Fatal")</f>
        <v>Fatal</v>
      </c>
    </row>
    <row r="1480" spans="1:8">
      <c r="A1480" s="5" t="str">
        <f ca="1">IFERROR(__xludf.DUMMYFUNCTION("""COMPUTED_VALUE"""),"20040115CAPOP")</f>
        <v>20040115CAPOP</v>
      </c>
      <c r="B1480" s="5">
        <f ca="1">IFERROR(__xludf.DUMMYFUNCTION("""COMPUTED_VALUE"""),17)</f>
        <v>17</v>
      </c>
      <c r="C1480" s="5" t="str">
        <f ca="1">IFERROR(__xludf.DUMMYFUNCTION("""COMPUTED_VALUE"""),"Male")</f>
        <v>Male</v>
      </c>
      <c r="D1480" s="5"/>
      <c r="E1480" s="5" t="str">
        <f ca="1">IFERROR(__xludf.DUMMYFUNCTION("""COMPUTED_VALUE"""),"Student")</f>
        <v>Student</v>
      </c>
      <c r="F1480" s="5" t="str">
        <f ca="1">IFERROR(__xludf.DUMMYFUNCTION("""COMPUTED_VALUE"""),"Unknown")</f>
        <v>Unknown</v>
      </c>
      <c r="G1480" s="5" t="str">
        <f ca="1">IFERROR(__xludf.DUMMYFUNCTION("""COMPUTED_VALUE"""),"No")</f>
        <v>No</v>
      </c>
      <c r="H1480" s="5" t="str">
        <f ca="1">IFERROR(__xludf.DUMMYFUNCTION("""COMPUTED_VALUE"""),"None")</f>
        <v>None</v>
      </c>
    </row>
    <row r="1481" spans="1:8">
      <c r="A1481" s="5" t="str">
        <f ca="1">IFERROR(__xludf.DUMMYFUNCTION("""COMPUTED_VALUE"""),"20031229FLABE")</f>
        <v>20031229FLABE</v>
      </c>
      <c r="B1481" s="5">
        <f ca="1">IFERROR(__xludf.DUMMYFUNCTION("""COMPUTED_VALUE"""),16)</f>
        <v>16</v>
      </c>
      <c r="C1481" s="5" t="str">
        <f ca="1">IFERROR(__xludf.DUMMYFUNCTION("""COMPUTED_VALUE"""),"Male")</f>
        <v>Male</v>
      </c>
      <c r="D1481" s="5"/>
      <c r="E1481" s="5" t="str">
        <f ca="1">IFERROR(__xludf.DUMMYFUNCTION("""COMPUTED_VALUE"""),"Unknown")</f>
        <v>Unknown</v>
      </c>
      <c r="F1481" s="5" t="str">
        <f ca="1">IFERROR(__xludf.DUMMYFUNCTION("""COMPUTED_VALUE"""),"Fled/Apprehended")</f>
        <v>Fled/Apprehended</v>
      </c>
      <c r="G1481" s="5" t="str">
        <f ca="1">IFERROR(__xludf.DUMMYFUNCTION("""COMPUTED_VALUE"""),"No")</f>
        <v>No</v>
      </c>
      <c r="H1481" s="5" t="str">
        <f ca="1">IFERROR(__xludf.DUMMYFUNCTION("""COMPUTED_VALUE"""),"Wounded")</f>
        <v>Wounded</v>
      </c>
    </row>
    <row r="1482" spans="1:8">
      <c r="A1482" s="5" t="str">
        <f ca="1">IFERROR(__xludf.DUMMYFUNCTION("""COMPUTED_VALUE"""),"20031222NJCOW")</f>
        <v>20031222NJCOW</v>
      </c>
      <c r="B1482" s="5">
        <f ca="1">IFERROR(__xludf.DUMMYFUNCTION("""COMPUTED_VALUE"""),23)</f>
        <v>23</v>
      </c>
      <c r="C1482" s="5" t="str">
        <f ca="1">IFERROR(__xludf.DUMMYFUNCTION("""COMPUTED_VALUE"""),"Male")</f>
        <v>Male</v>
      </c>
      <c r="D1482" s="5"/>
      <c r="E1482" s="5" t="str">
        <f ca="1">IFERROR(__xludf.DUMMYFUNCTION("""COMPUTED_VALUE"""),"Nonstudent Using Athletic Facilities/Attending Game")</f>
        <v>Nonstudent Using Athletic Facilities/Attending Game</v>
      </c>
      <c r="F1482" s="5" t="str">
        <f ca="1">IFERROR(__xludf.DUMMYFUNCTION("""COMPUTED_VALUE"""),"Fled/Apprehended")</f>
        <v>Fled/Apprehended</v>
      </c>
      <c r="G1482" s="5" t="str">
        <f ca="1">IFERROR(__xludf.DUMMYFUNCTION("""COMPUTED_VALUE"""),"No")</f>
        <v>No</v>
      </c>
      <c r="H1482" s="5" t="str">
        <f ca="1">IFERROR(__xludf.DUMMYFUNCTION("""COMPUTED_VALUE"""),"None")</f>
        <v>None</v>
      </c>
    </row>
    <row r="1483" spans="1:8">
      <c r="A1483" s="5" t="str">
        <f ca="1">IFERROR(__xludf.DUMMYFUNCTION("""COMPUTED_VALUE"""),"20031217MDOLM")</f>
        <v>20031217MDOLM</v>
      </c>
      <c r="B1483" s="5"/>
      <c r="C1483" s="5"/>
      <c r="D1483" s="5"/>
      <c r="E1483" s="5" t="str">
        <f ca="1">IFERROR(__xludf.DUMMYFUNCTION("""COMPUTED_VALUE"""),"Unknown")</f>
        <v>Unknown</v>
      </c>
      <c r="F1483" s="5" t="str">
        <f ca="1">IFERROR(__xludf.DUMMYFUNCTION("""COMPUTED_VALUE"""),"Fled/Escaped")</f>
        <v>Fled/Escaped</v>
      </c>
      <c r="G1483" s="5" t="str">
        <f ca="1">IFERROR(__xludf.DUMMYFUNCTION("""COMPUTED_VALUE"""),"No")</f>
        <v>No</v>
      </c>
      <c r="H1483" s="5" t="str">
        <f ca="1">IFERROR(__xludf.DUMMYFUNCTION("""COMPUTED_VALUE"""),"None")</f>
        <v>None</v>
      </c>
    </row>
    <row r="1484" spans="1:8">
      <c r="A1484" s="5" t="str">
        <f ca="1">IFERROR(__xludf.DUMMYFUNCTION("""COMPUTED_VALUE"""),"20031205ILCAC")</f>
        <v>20031205ILCAC</v>
      </c>
      <c r="B1484" s="5">
        <f ca="1">IFERROR(__xludf.DUMMYFUNCTION("""COMPUTED_VALUE"""),17)</f>
        <v>17</v>
      </c>
      <c r="C1484" s="5" t="str">
        <f ca="1">IFERROR(__xludf.DUMMYFUNCTION("""COMPUTED_VALUE"""),"Male")</f>
        <v>Male</v>
      </c>
      <c r="D1484" s="5"/>
      <c r="E1484" s="5" t="str">
        <f ca="1">IFERROR(__xludf.DUMMYFUNCTION("""COMPUTED_VALUE"""),"Student")</f>
        <v>Student</v>
      </c>
      <c r="F1484" s="5" t="str">
        <f ca="1">IFERROR(__xludf.DUMMYFUNCTION("""COMPUTED_VALUE"""),"Fled/Apprehended")</f>
        <v>Fled/Apprehended</v>
      </c>
      <c r="G1484" s="5" t="str">
        <f ca="1">IFERROR(__xludf.DUMMYFUNCTION("""COMPUTED_VALUE"""),"No")</f>
        <v>No</v>
      </c>
      <c r="H1484" s="5" t="str">
        <f ca="1">IFERROR(__xludf.DUMMYFUNCTION("""COMPUTED_VALUE"""),"None")</f>
        <v>None</v>
      </c>
    </row>
    <row r="1485" spans="1:8">
      <c r="A1485" s="5" t="str">
        <f ca="1">IFERROR(__xludf.DUMMYFUNCTION("""COMPUTED_VALUE"""),"20031204OKDOO")</f>
        <v>20031204OKDOO</v>
      </c>
      <c r="B1485" s="5">
        <f ca="1">IFERROR(__xludf.DUMMYFUNCTION("""COMPUTED_VALUE"""),18)</f>
        <v>18</v>
      </c>
      <c r="C1485" s="5" t="str">
        <f ca="1">IFERROR(__xludf.DUMMYFUNCTION("""COMPUTED_VALUE"""),"Male")</f>
        <v>Male</v>
      </c>
      <c r="D1485" s="5"/>
      <c r="E1485" s="5" t="str">
        <f ca="1">IFERROR(__xludf.DUMMYFUNCTION("""COMPUTED_VALUE"""),"Student")</f>
        <v>Student</v>
      </c>
      <c r="F1485" s="5" t="str">
        <f ca="1">IFERROR(__xludf.DUMMYFUNCTION("""COMPUTED_VALUE"""),"Fled/Apprehended")</f>
        <v>Fled/Apprehended</v>
      </c>
      <c r="G1485" s="5" t="str">
        <f ca="1">IFERROR(__xludf.DUMMYFUNCTION("""COMPUTED_VALUE"""),"No")</f>
        <v>No</v>
      </c>
      <c r="H1485" s="5" t="str">
        <f ca="1">IFERROR(__xludf.DUMMYFUNCTION("""COMPUTED_VALUE"""),"None")</f>
        <v>None</v>
      </c>
    </row>
    <row r="1486" spans="1:8">
      <c r="A1486" s="5" t="str">
        <f ca="1">IFERROR(__xludf.DUMMYFUNCTION("""COMPUTED_VALUE"""),"20031202ILFEC")</f>
        <v>20031202ILFEC</v>
      </c>
      <c r="B1486" s="5" t="str">
        <f ca="1">IFERROR(__xludf.DUMMYFUNCTION("""COMPUTED_VALUE"""),"Adult")</f>
        <v>Adult</v>
      </c>
      <c r="C1486" s="5" t="str">
        <f ca="1">IFERROR(__xludf.DUMMYFUNCTION("""COMPUTED_VALUE"""),"Male")</f>
        <v>Male</v>
      </c>
      <c r="D1486" s="5"/>
      <c r="E1486" s="5" t="str">
        <f ca="1">IFERROR(__xludf.DUMMYFUNCTION("""COMPUTED_VALUE"""),"Police Officer/SRO")</f>
        <v>Police Officer/SRO</v>
      </c>
      <c r="F1486" s="5" t="str">
        <f ca="1">IFERROR(__xludf.DUMMYFUNCTION("""COMPUTED_VALUE"""),"Apprehended/Killed by LE")</f>
        <v>Apprehended/Killed by LE</v>
      </c>
      <c r="G1486" s="5" t="str">
        <f ca="1">IFERROR(__xludf.DUMMYFUNCTION("""COMPUTED_VALUE"""),"Yes")</f>
        <v>Yes</v>
      </c>
      <c r="H1486" s="5" t="str">
        <f ca="1">IFERROR(__xludf.DUMMYFUNCTION("""COMPUTED_VALUE"""),"Fatal")</f>
        <v>Fatal</v>
      </c>
    </row>
    <row r="1487" spans="1:8">
      <c r="A1487" s="5" t="str">
        <f ca="1">IFERROR(__xludf.DUMMYFUNCTION("""COMPUTED_VALUE"""),"20031113NCEAC")</f>
        <v>20031113NCEAC</v>
      </c>
      <c r="B1487" s="5">
        <f ca="1">IFERROR(__xludf.DUMMYFUNCTION("""COMPUTED_VALUE"""),15)</f>
        <v>15</v>
      </c>
      <c r="C1487" s="5" t="str">
        <f ca="1">IFERROR(__xludf.DUMMYFUNCTION("""COMPUTED_VALUE"""),"Male")</f>
        <v>Male</v>
      </c>
      <c r="D1487" s="5"/>
      <c r="E1487" s="5" t="str">
        <f ca="1">IFERROR(__xludf.DUMMYFUNCTION("""COMPUTED_VALUE"""),"Student")</f>
        <v>Student</v>
      </c>
      <c r="F1487" s="5" t="str">
        <f ca="1">IFERROR(__xludf.DUMMYFUNCTION("""COMPUTED_VALUE"""),"Unknown")</f>
        <v>Unknown</v>
      </c>
      <c r="G1487" s="5" t="str">
        <f ca="1">IFERROR(__xludf.DUMMYFUNCTION("""COMPUTED_VALUE"""),"No")</f>
        <v>No</v>
      </c>
      <c r="H1487" s="5" t="str">
        <f ca="1">IFERROR(__xludf.DUMMYFUNCTION("""COMPUTED_VALUE"""),"None")</f>
        <v>None</v>
      </c>
    </row>
    <row r="1488" spans="1:8">
      <c r="A1488" s="5" t="str">
        <f ca="1">IFERROR(__xludf.DUMMYFUNCTION("""COMPUTED_VALUE"""),"20031108TXHIS")</f>
        <v>20031108TXHIS</v>
      </c>
      <c r="B1488" s="5">
        <f ca="1">IFERROR(__xludf.DUMMYFUNCTION("""COMPUTED_VALUE"""),21)</f>
        <v>21</v>
      </c>
      <c r="C1488" s="5" t="str">
        <f ca="1">IFERROR(__xludf.DUMMYFUNCTION("""COMPUTED_VALUE"""),"Male")</f>
        <v>Male</v>
      </c>
      <c r="D1488" s="5"/>
      <c r="E1488" s="5" t="str">
        <f ca="1">IFERROR(__xludf.DUMMYFUNCTION("""COMPUTED_VALUE"""),"Nonstudent Using Athletic Facilities/Attending Game")</f>
        <v>Nonstudent Using Athletic Facilities/Attending Game</v>
      </c>
      <c r="F1488" s="5" t="str">
        <f ca="1">IFERROR(__xludf.DUMMYFUNCTION("""COMPUTED_VALUE"""),"Fled/Apprehended")</f>
        <v>Fled/Apprehended</v>
      </c>
      <c r="G1488" s="5" t="str">
        <f ca="1">IFERROR(__xludf.DUMMYFUNCTION("""COMPUTED_VALUE"""),"No")</f>
        <v>No</v>
      </c>
      <c r="H1488" s="5" t="str">
        <f ca="1">IFERROR(__xludf.DUMMYFUNCTION("""COMPUTED_VALUE"""),"None")</f>
        <v>None</v>
      </c>
    </row>
    <row r="1489" spans="1:8">
      <c r="A1489" s="5" t="str">
        <f ca="1">IFERROR(__xludf.DUMMYFUNCTION("""COMPUTED_VALUE"""),"20031030DCANW")</f>
        <v>20031030DCANW</v>
      </c>
      <c r="B1489" s="5"/>
      <c r="C1489" s="5" t="str">
        <f ca="1">IFERROR(__xludf.DUMMYFUNCTION("""COMPUTED_VALUE"""),"Male")</f>
        <v>Male</v>
      </c>
      <c r="D1489" s="5"/>
      <c r="E1489" s="5" t="str">
        <f ca="1">IFERROR(__xludf.DUMMYFUNCTION("""COMPUTED_VALUE"""),"Unknown")</f>
        <v>Unknown</v>
      </c>
      <c r="F1489" s="5" t="str">
        <f ca="1">IFERROR(__xludf.DUMMYFUNCTION("""COMPUTED_VALUE"""),"Fled/Escaped")</f>
        <v>Fled/Escaped</v>
      </c>
      <c r="G1489" s="5" t="str">
        <f ca="1">IFERROR(__xludf.DUMMYFUNCTION("""COMPUTED_VALUE"""),"No")</f>
        <v>No</v>
      </c>
      <c r="H1489" s="5" t="str">
        <f ca="1">IFERROR(__xludf.DUMMYFUNCTION("""COMPUTED_VALUE"""),"None")</f>
        <v>None</v>
      </c>
    </row>
    <row r="1490" spans="1:8">
      <c r="A1490" s="5" t="str">
        <f ca="1">IFERROR(__xludf.DUMMYFUNCTION("""COMPUTED_VALUE"""),"20031029LAMAM")</f>
        <v>20031029LAMAM</v>
      </c>
      <c r="B1490" s="5">
        <f ca="1">IFERROR(__xludf.DUMMYFUNCTION("""COMPUTED_VALUE"""),14)</f>
        <v>14</v>
      </c>
      <c r="C1490" s="5" t="str">
        <f ca="1">IFERROR(__xludf.DUMMYFUNCTION("""COMPUTED_VALUE"""),"Male")</f>
        <v>Male</v>
      </c>
      <c r="D1490" s="5"/>
      <c r="E1490" s="5" t="str">
        <f ca="1">IFERROR(__xludf.DUMMYFUNCTION("""COMPUTED_VALUE"""),"Student")</f>
        <v>Student</v>
      </c>
      <c r="F1490" s="5" t="str">
        <f ca="1">IFERROR(__xludf.DUMMYFUNCTION("""COMPUTED_VALUE"""),"Apprehended/Killed by LE")</f>
        <v>Apprehended/Killed by LE</v>
      </c>
      <c r="G1490" s="5" t="str">
        <f ca="1">IFERROR(__xludf.DUMMYFUNCTION("""COMPUTED_VALUE"""),"No")</f>
        <v>No</v>
      </c>
      <c r="H1490" s="5" t="str">
        <f ca="1">IFERROR(__xludf.DUMMYFUNCTION("""COMPUTED_VALUE"""),"None")</f>
        <v>None</v>
      </c>
    </row>
    <row r="1491" spans="1:8">
      <c r="A1491" s="5" t="str">
        <f ca="1">IFERROR(__xludf.DUMMYFUNCTION("""COMPUTED_VALUE"""),"20031007OHKEA")</f>
        <v>20031007OHKEA</v>
      </c>
      <c r="B1491" s="5">
        <f ca="1">IFERROR(__xludf.DUMMYFUNCTION("""COMPUTED_VALUE"""),17)</f>
        <v>17</v>
      </c>
      <c r="C1491" s="5" t="str">
        <f ca="1">IFERROR(__xludf.DUMMYFUNCTION("""COMPUTED_VALUE"""),"Male")</f>
        <v>Male</v>
      </c>
      <c r="D1491" s="5"/>
      <c r="E1491" s="5" t="str">
        <f ca="1">IFERROR(__xludf.DUMMYFUNCTION("""COMPUTED_VALUE"""),"Student")</f>
        <v>Student</v>
      </c>
      <c r="F1491" s="5" t="str">
        <f ca="1">IFERROR(__xludf.DUMMYFUNCTION("""COMPUTED_VALUE"""),"Fled/Apprehended")</f>
        <v>Fled/Apprehended</v>
      </c>
      <c r="G1491" s="5" t="str">
        <f ca="1">IFERROR(__xludf.DUMMYFUNCTION("""COMPUTED_VALUE"""),"No")</f>
        <v>No</v>
      </c>
      <c r="H1491" s="5" t="str">
        <f ca="1">IFERROR(__xludf.DUMMYFUNCTION("""COMPUTED_VALUE"""),"None")</f>
        <v>None</v>
      </c>
    </row>
    <row r="1492" spans="1:8">
      <c r="A1492" s="5" t="str">
        <f ca="1">IFERROR(__xludf.DUMMYFUNCTION("""COMPUTED_VALUE"""),"20031001CARIS")</f>
        <v>20031001CARIS</v>
      </c>
      <c r="B1492" s="5">
        <f ca="1">IFERROR(__xludf.DUMMYFUNCTION("""COMPUTED_VALUE"""),18)</f>
        <v>18</v>
      </c>
      <c r="C1492" s="5" t="str">
        <f ca="1">IFERROR(__xludf.DUMMYFUNCTION("""COMPUTED_VALUE"""),"Male")</f>
        <v>Male</v>
      </c>
      <c r="D1492" s="5"/>
      <c r="E1492" s="5" t="str">
        <f ca="1">IFERROR(__xludf.DUMMYFUNCTION("""COMPUTED_VALUE"""),"Police Officer/SRO")</f>
        <v>Police Officer/SRO</v>
      </c>
      <c r="F1492" s="5" t="str">
        <f ca="1">IFERROR(__xludf.DUMMYFUNCTION("""COMPUTED_VALUE"""),"Apprehended/Killed by LE")</f>
        <v>Apprehended/Killed by LE</v>
      </c>
      <c r="G1492" s="5" t="str">
        <f ca="1">IFERROR(__xludf.DUMMYFUNCTION("""COMPUTED_VALUE"""),"No")</f>
        <v>No</v>
      </c>
      <c r="H1492" s="5" t="str">
        <f ca="1">IFERROR(__xludf.DUMMYFUNCTION("""COMPUTED_VALUE"""),"Wounded")</f>
        <v>Wounded</v>
      </c>
    </row>
    <row r="1493" spans="1:8">
      <c r="A1493" s="5" t="str">
        <f ca="1">IFERROR(__xludf.DUMMYFUNCTION("""COMPUTED_VALUE"""),"20030925NCBUL")</f>
        <v>20030925NCBUL</v>
      </c>
      <c r="B1493" s="5">
        <f ca="1">IFERROR(__xludf.DUMMYFUNCTION("""COMPUTED_VALUE"""),13)</f>
        <v>13</v>
      </c>
      <c r="C1493" s="5" t="str">
        <f ca="1">IFERROR(__xludf.DUMMYFUNCTION("""COMPUTED_VALUE"""),"Male")</f>
        <v>Male</v>
      </c>
      <c r="D1493" s="5"/>
      <c r="E1493" s="5" t="str">
        <f ca="1">IFERROR(__xludf.DUMMYFUNCTION("""COMPUTED_VALUE"""),"Student")</f>
        <v>Student</v>
      </c>
      <c r="F1493" s="5" t="str">
        <f ca="1">IFERROR(__xludf.DUMMYFUNCTION("""COMPUTED_VALUE"""),"Apprehended/Killed by LE")</f>
        <v>Apprehended/Killed by LE</v>
      </c>
      <c r="G1493" s="5" t="str">
        <f ca="1">IFERROR(__xludf.DUMMYFUNCTION("""COMPUTED_VALUE"""),"No")</f>
        <v>No</v>
      </c>
      <c r="H1493" s="5" t="str">
        <f ca="1">IFERROR(__xludf.DUMMYFUNCTION("""COMPUTED_VALUE"""),"None")</f>
        <v>None</v>
      </c>
    </row>
    <row r="1494" spans="1:8">
      <c r="A1494" s="5" t="str">
        <f ca="1">IFERROR(__xludf.DUMMYFUNCTION("""COMPUTED_VALUE"""),"20030924MNROC")</f>
        <v>20030924MNROC</v>
      </c>
      <c r="B1494" s="5">
        <f ca="1">IFERROR(__xludf.DUMMYFUNCTION("""COMPUTED_VALUE"""),16)</f>
        <v>16</v>
      </c>
      <c r="C1494" s="5" t="str">
        <f ca="1">IFERROR(__xludf.DUMMYFUNCTION("""COMPUTED_VALUE"""),"Male")</f>
        <v>Male</v>
      </c>
      <c r="D1494" s="5" t="str">
        <f ca="1">IFERROR(__xludf.DUMMYFUNCTION("""COMPUTED_VALUE"""),"White")</f>
        <v>White</v>
      </c>
      <c r="E1494" s="5" t="str">
        <f ca="1">IFERROR(__xludf.DUMMYFUNCTION("""COMPUTED_VALUE"""),"Student")</f>
        <v>Student</v>
      </c>
      <c r="F1494" s="5" t="str">
        <f ca="1">IFERROR(__xludf.DUMMYFUNCTION("""COMPUTED_VALUE"""),"Surrendered")</f>
        <v>Surrendered</v>
      </c>
      <c r="G1494" s="5" t="str">
        <f ca="1">IFERROR(__xludf.DUMMYFUNCTION("""COMPUTED_VALUE"""),"No")</f>
        <v>No</v>
      </c>
      <c r="H1494" s="5" t="str">
        <f ca="1">IFERROR(__xludf.DUMMYFUNCTION("""COMPUTED_VALUE"""),"None")</f>
        <v>None</v>
      </c>
    </row>
    <row r="1495" spans="1:8">
      <c r="A1495" s="5" t="str">
        <f ca="1">IFERROR(__xludf.DUMMYFUNCTION("""COMPUTED_VALUE"""),"20030922WALES")</f>
        <v>20030922WALES</v>
      </c>
      <c r="B1495" s="5">
        <f ca="1">IFERROR(__xludf.DUMMYFUNCTION("""COMPUTED_VALUE"""),16)</f>
        <v>16</v>
      </c>
      <c r="C1495" s="5" t="str">
        <f ca="1">IFERROR(__xludf.DUMMYFUNCTION("""COMPUTED_VALUE"""),"Male")</f>
        <v>Male</v>
      </c>
      <c r="D1495" s="5" t="str">
        <f ca="1">IFERROR(__xludf.DUMMYFUNCTION("""COMPUTED_VALUE"""),"White")</f>
        <v>White</v>
      </c>
      <c r="E1495" s="5" t="str">
        <f ca="1">IFERROR(__xludf.DUMMYFUNCTION("""COMPUTED_VALUE"""),"Student")</f>
        <v>Student</v>
      </c>
      <c r="F1495" s="5" t="str">
        <f ca="1">IFERROR(__xludf.DUMMYFUNCTION("""COMPUTED_VALUE"""),"Apprehended/Killed by LE")</f>
        <v>Apprehended/Killed by LE</v>
      </c>
      <c r="G1495" s="5" t="str">
        <f ca="1">IFERROR(__xludf.DUMMYFUNCTION("""COMPUTED_VALUE"""),"No")</f>
        <v>No</v>
      </c>
      <c r="H1495" s="5" t="str">
        <f ca="1">IFERROR(__xludf.DUMMYFUNCTION("""COMPUTED_VALUE"""),"None")</f>
        <v>None</v>
      </c>
    </row>
    <row r="1496" spans="1:8">
      <c r="A1496" s="5" t="str">
        <f ca="1">IFERROR(__xludf.DUMMYFUNCTION("""COMPUTED_VALUE"""),"20030917MDOKE")</f>
        <v>20030917MDOKE</v>
      </c>
      <c r="B1496" s="5">
        <f ca="1">IFERROR(__xludf.DUMMYFUNCTION("""COMPUTED_VALUE"""),13)</f>
        <v>13</v>
      </c>
      <c r="C1496" s="5" t="str">
        <f ca="1">IFERROR(__xludf.DUMMYFUNCTION("""COMPUTED_VALUE"""),"Male")</f>
        <v>Male</v>
      </c>
      <c r="D1496" s="5"/>
      <c r="E1496" s="5" t="str">
        <f ca="1">IFERROR(__xludf.DUMMYFUNCTION("""COMPUTED_VALUE"""),"Student")</f>
        <v>Student</v>
      </c>
      <c r="F1496" s="5" t="str">
        <f ca="1">IFERROR(__xludf.DUMMYFUNCTION("""COMPUTED_VALUE"""),"Surrendered")</f>
        <v>Surrendered</v>
      </c>
      <c r="G1496" s="5" t="str">
        <f ca="1">IFERROR(__xludf.DUMMYFUNCTION("""COMPUTED_VALUE"""),"No")</f>
        <v>No</v>
      </c>
      <c r="H1496" s="5" t="str">
        <f ca="1">IFERROR(__xludf.DUMMYFUNCTION("""COMPUTED_VALUE"""),"None")</f>
        <v>None</v>
      </c>
    </row>
    <row r="1497" spans="1:8">
      <c r="A1497" s="5" t="str">
        <f ca="1">IFERROR(__xludf.DUMMYFUNCTION("""COMPUTED_VALUE"""),"20030917MACHB")</f>
        <v>20030917MACHB</v>
      </c>
      <c r="B1497" s="5">
        <f ca="1">IFERROR(__xludf.DUMMYFUNCTION("""COMPUTED_VALUE"""),14)</f>
        <v>14</v>
      </c>
      <c r="C1497" s="5" t="str">
        <f ca="1">IFERROR(__xludf.DUMMYFUNCTION("""COMPUTED_VALUE"""),"Male")</f>
        <v>Male</v>
      </c>
      <c r="D1497" s="5"/>
      <c r="E1497" s="5" t="str">
        <f ca="1">IFERROR(__xludf.DUMMYFUNCTION("""COMPUTED_VALUE"""),"Student")</f>
        <v>Student</v>
      </c>
      <c r="F1497" s="5" t="str">
        <f ca="1">IFERROR(__xludf.DUMMYFUNCTION("""COMPUTED_VALUE"""),"Fled/Apprehended")</f>
        <v>Fled/Apprehended</v>
      </c>
      <c r="G1497" s="5" t="str">
        <f ca="1">IFERROR(__xludf.DUMMYFUNCTION("""COMPUTED_VALUE"""),"No")</f>
        <v>No</v>
      </c>
      <c r="H1497" s="5" t="str">
        <f ca="1">IFERROR(__xludf.DUMMYFUNCTION("""COMPUTED_VALUE"""),"None")</f>
        <v>None</v>
      </c>
    </row>
    <row r="1498" spans="1:8">
      <c r="A1498" s="5" t="str">
        <f ca="1">IFERROR(__xludf.DUMMYFUNCTION("""COMPUTED_VALUE"""),"20030910MSVIV")</f>
        <v>20030910MSVIV</v>
      </c>
      <c r="B1498" s="5">
        <f ca="1">IFERROR(__xludf.DUMMYFUNCTION("""COMPUTED_VALUE"""),20)</f>
        <v>20</v>
      </c>
      <c r="C1498" s="5" t="str">
        <f ca="1">IFERROR(__xludf.DUMMYFUNCTION("""COMPUTED_VALUE"""),"Male")</f>
        <v>Male</v>
      </c>
      <c r="D1498" s="5"/>
      <c r="E1498" s="5" t="str">
        <f ca="1">IFERROR(__xludf.DUMMYFUNCTION("""COMPUTED_VALUE"""),"No Relation")</f>
        <v>No Relation</v>
      </c>
      <c r="F1498" s="5" t="str">
        <f ca="1">IFERROR(__xludf.DUMMYFUNCTION("""COMPUTED_VALUE"""),"Fled/Apprehended")</f>
        <v>Fled/Apprehended</v>
      </c>
      <c r="G1498" s="5" t="str">
        <f ca="1">IFERROR(__xludf.DUMMYFUNCTION("""COMPUTED_VALUE"""),"No")</f>
        <v>No</v>
      </c>
      <c r="H1498" s="5" t="str">
        <f ca="1">IFERROR(__xludf.DUMMYFUNCTION("""COMPUTED_VALUE"""),"None")</f>
        <v>None</v>
      </c>
    </row>
    <row r="1499" spans="1:8">
      <c r="A1499" s="5" t="str">
        <f ca="1">IFERROR(__xludf.DUMMYFUNCTION("""COMPUTED_VALUE"""),"20030604PAROW")</f>
        <v>20030604PAROW</v>
      </c>
      <c r="B1499" s="5">
        <f ca="1">IFERROR(__xludf.DUMMYFUNCTION("""COMPUTED_VALUE"""),12)</f>
        <v>12</v>
      </c>
      <c r="C1499" s="5" t="str">
        <f ca="1">IFERROR(__xludf.DUMMYFUNCTION("""COMPUTED_VALUE"""),"Male")</f>
        <v>Male</v>
      </c>
      <c r="D1499" s="5"/>
      <c r="E1499" s="5" t="str">
        <f ca="1">IFERROR(__xludf.DUMMYFUNCTION("""COMPUTED_VALUE"""),"Student")</f>
        <v>Student</v>
      </c>
      <c r="F1499" s="5" t="str">
        <f ca="1">IFERROR(__xludf.DUMMYFUNCTION("""COMPUTED_VALUE"""),"Suicide")</f>
        <v>Suicide</v>
      </c>
      <c r="G1499" s="5" t="str">
        <f ca="1">IFERROR(__xludf.DUMMYFUNCTION("""COMPUTED_VALUE"""),"Yes")</f>
        <v>Yes</v>
      </c>
      <c r="H1499" s="5" t="str">
        <f ca="1">IFERROR(__xludf.DUMMYFUNCTION("""COMPUTED_VALUE"""),"Suicide")</f>
        <v>Suicide</v>
      </c>
    </row>
    <row r="1500" spans="1:8">
      <c r="A1500" s="5" t="str">
        <f ca="1">IFERROR(__xludf.DUMMYFUNCTION("""COMPUTED_VALUE"""),"20030513PAFOJ")</f>
        <v>20030513PAFOJ</v>
      </c>
      <c r="B1500" s="5">
        <f ca="1">IFERROR(__xludf.DUMMYFUNCTION("""COMPUTED_VALUE"""),18)</f>
        <v>18</v>
      </c>
      <c r="C1500" s="5" t="str">
        <f ca="1">IFERROR(__xludf.DUMMYFUNCTION("""COMPUTED_VALUE"""),"Male")</f>
        <v>Male</v>
      </c>
      <c r="D1500" s="5"/>
      <c r="E1500" s="5" t="str">
        <f ca="1">IFERROR(__xludf.DUMMYFUNCTION("""COMPUTED_VALUE"""),"Student")</f>
        <v>Student</v>
      </c>
      <c r="F1500" s="5" t="str">
        <f ca="1">IFERROR(__xludf.DUMMYFUNCTION("""COMPUTED_VALUE"""),"Suicide")</f>
        <v>Suicide</v>
      </c>
      <c r="G1500" s="5" t="str">
        <f ca="1">IFERROR(__xludf.DUMMYFUNCTION("""COMPUTED_VALUE"""),"Yes")</f>
        <v>Yes</v>
      </c>
      <c r="H1500" s="5" t="str">
        <f ca="1">IFERROR(__xludf.DUMMYFUNCTION("""COMPUTED_VALUE"""),"Suicide")</f>
        <v>Suicide</v>
      </c>
    </row>
    <row r="1501" spans="1:8">
      <c r="A1501" s="5" t="str">
        <f ca="1">IFERROR(__xludf.DUMMYFUNCTION("""COMPUTED_VALUE"""),"20030424PARER")</f>
        <v>20030424PARER</v>
      </c>
      <c r="B1501" s="5">
        <f ca="1">IFERROR(__xludf.DUMMYFUNCTION("""COMPUTED_VALUE"""),14)</f>
        <v>14</v>
      </c>
      <c r="C1501" s="5" t="str">
        <f ca="1">IFERROR(__xludf.DUMMYFUNCTION("""COMPUTED_VALUE"""),"Male")</f>
        <v>Male</v>
      </c>
      <c r="D1501" s="5" t="str">
        <f ca="1">IFERROR(__xludf.DUMMYFUNCTION("""COMPUTED_VALUE"""),"White")</f>
        <v>White</v>
      </c>
      <c r="E1501" s="5" t="str">
        <f ca="1">IFERROR(__xludf.DUMMYFUNCTION("""COMPUTED_VALUE"""),"Student")</f>
        <v>Student</v>
      </c>
      <c r="F1501" s="5" t="str">
        <f ca="1">IFERROR(__xludf.DUMMYFUNCTION("""COMPUTED_VALUE"""),"Suicide")</f>
        <v>Suicide</v>
      </c>
      <c r="G1501" s="5" t="str">
        <f ca="1">IFERROR(__xludf.DUMMYFUNCTION("""COMPUTED_VALUE"""),"Yes")</f>
        <v>Yes</v>
      </c>
      <c r="H1501" s="5" t="str">
        <f ca="1">IFERROR(__xludf.DUMMYFUNCTION("""COMPUTED_VALUE"""),"Suicide")</f>
        <v>Suicide</v>
      </c>
    </row>
    <row r="1502" spans="1:8">
      <c r="A1502" s="5" t="str">
        <f ca="1">IFERROR(__xludf.DUMMYFUNCTION("""COMPUTED_VALUE"""),"20030416TXGRA")</f>
        <v>20030416TXGRA</v>
      </c>
      <c r="B1502" s="5">
        <f ca="1">IFERROR(__xludf.DUMMYFUNCTION("""COMPUTED_VALUE"""),12)</f>
        <v>12</v>
      </c>
      <c r="C1502" s="5" t="str">
        <f ca="1">IFERROR(__xludf.DUMMYFUNCTION("""COMPUTED_VALUE"""),"Female")</f>
        <v>Female</v>
      </c>
      <c r="D1502" s="5"/>
      <c r="E1502" s="5" t="str">
        <f ca="1">IFERROR(__xludf.DUMMYFUNCTION("""COMPUTED_VALUE"""),"Student")</f>
        <v>Student</v>
      </c>
      <c r="F1502" s="5" t="str">
        <f ca="1">IFERROR(__xludf.DUMMYFUNCTION("""COMPUTED_VALUE"""),"Suicide")</f>
        <v>Suicide</v>
      </c>
      <c r="G1502" s="5" t="str">
        <f ca="1">IFERROR(__xludf.DUMMYFUNCTION("""COMPUTED_VALUE"""),"Yes")</f>
        <v>Yes</v>
      </c>
      <c r="H1502" s="5" t="str">
        <f ca="1">IFERROR(__xludf.DUMMYFUNCTION("""COMPUTED_VALUE"""),"Suicide")</f>
        <v>Suicide</v>
      </c>
    </row>
    <row r="1503" spans="1:8">
      <c r="A1503" s="5" t="str">
        <f ca="1">IFERROR(__xludf.DUMMYFUNCTION("""COMPUTED_VALUE"""),"20030414LAJON")</f>
        <v>20030414LAJON</v>
      </c>
      <c r="B1503" s="5">
        <f ca="1">IFERROR(__xludf.DUMMYFUNCTION("""COMPUTED_VALUE"""),17)</f>
        <v>17</v>
      </c>
      <c r="C1503" s="5" t="str">
        <f ca="1">IFERROR(__xludf.DUMMYFUNCTION("""COMPUTED_VALUE"""),"Male")</f>
        <v>Male</v>
      </c>
      <c r="D1503" s="5" t="str">
        <f ca="1">IFERROR(__xludf.DUMMYFUNCTION("""COMPUTED_VALUE"""),"Black")</f>
        <v>Black</v>
      </c>
      <c r="E1503" s="5" t="str">
        <f ca="1">IFERROR(__xludf.DUMMYFUNCTION("""COMPUTED_VALUE"""),"Rival School Student")</f>
        <v>Rival School Student</v>
      </c>
      <c r="F1503" s="5" t="str">
        <f ca="1">IFERROR(__xludf.DUMMYFUNCTION("""COMPUTED_VALUE"""),"Fled/Apprehended")</f>
        <v>Fled/Apprehended</v>
      </c>
      <c r="G1503" s="5" t="str">
        <f ca="1">IFERROR(__xludf.DUMMYFUNCTION("""COMPUTED_VALUE"""),"No")</f>
        <v>No</v>
      </c>
      <c r="H1503" s="5" t="str">
        <f ca="1">IFERROR(__xludf.DUMMYFUNCTION("""COMPUTED_VALUE"""),"None")</f>
        <v>None</v>
      </c>
    </row>
    <row r="1504" spans="1:8">
      <c r="A1504" s="5" t="str">
        <f ca="1">IFERROR(__xludf.DUMMYFUNCTION("""COMPUTED_VALUE"""),"20030414LAJON")</f>
        <v>20030414LAJON</v>
      </c>
      <c r="B1504" s="5">
        <f ca="1">IFERROR(__xludf.DUMMYFUNCTION("""COMPUTED_VALUE"""),17)</f>
        <v>17</v>
      </c>
      <c r="C1504" s="5" t="str">
        <f ca="1">IFERROR(__xludf.DUMMYFUNCTION("""COMPUTED_VALUE"""),"Male")</f>
        <v>Male</v>
      </c>
      <c r="D1504" s="5" t="str">
        <f ca="1">IFERROR(__xludf.DUMMYFUNCTION("""COMPUTED_VALUE"""),"Black")</f>
        <v>Black</v>
      </c>
      <c r="E1504" s="5" t="str">
        <f ca="1">IFERROR(__xludf.DUMMYFUNCTION("""COMPUTED_VALUE"""),"Rival School Student")</f>
        <v>Rival School Student</v>
      </c>
      <c r="F1504" s="5" t="str">
        <f ca="1">IFERROR(__xludf.DUMMYFUNCTION("""COMPUTED_VALUE"""),"Fled/Apprehended")</f>
        <v>Fled/Apprehended</v>
      </c>
      <c r="G1504" s="5" t="str">
        <f ca="1">IFERROR(__xludf.DUMMYFUNCTION("""COMPUTED_VALUE"""),"No")</f>
        <v>No</v>
      </c>
      <c r="H1504" s="5" t="str">
        <f ca="1">IFERROR(__xludf.DUMMYFUNCTION("""COMPUTED_VALUE"""),"None")</f>
        <v>None</v>
      </c>
    </row>
    <row r="1505" spans="1:8">
      <c r="A1505" s="5" t="str">
        <f ca="1">IFERROR(__xludf.DUMMYFUNCTION("""COMPUTED_VALUE"""),"20030414LAJON")</f>
        <v>20030414LAJON</v>
      </c>
      <c r="B1505" s="5">
        <f ca="1">IFERROR(__xludf.DUMMYFUNCTION("""COMPUTED_VALUE"""),18)</f>
        <v>18</v>
      </c>
      <c r="C1505" s="5" t="str">
        <f ca="1">IFERROR(__xludf.DUMMYFUNCTION("""COMPUTED_VALUE"""),"Male")</f>
        <v>Male</v>
      </c>
      <c r="D1505" s="5" t="str">
        <f ca="1">IFERROR(__xludf.DUMMYFUNCTION("""COMPUTED_VALUE"""),"Black")</f>
        <v>Black</v>
      </c>
      <c r="E1505" s="5" t="str">
        <f ca="1">IFERROR(__xludf.DUMMYFUNCTION("""COMPUTED_VALUE"""),"Rival School Student")</f>
        <v>Rival School Student</v>
      </c>
      <c r="F1505" s="5" t="str">
        <f ca="1">IFERROR(__xludf.DUMMYFUNCTION("""COMPUTED_VALUE"""),"Fled/Apprehended")</f>
        <v>Fled/Apprehended</v>
      </c>
      <c r="G1505" s="5" t="str">
        <f ca="1">IFERROR(__xludf.DUMMYFUNCTION("""COMPUTED_VALUE"""),"No")</f>
        <v>No</v>
      </c>
      <c r="H1505" s="5" t="str">
        <f ca="1">IFERROR(__xludf.DUMMYFUNCTION("""COMPUTED_VALUE"""),"None")</f>
        <v>None</v>
      </c>
    </row>
    <row r="1506" spans="1:8">
      <c r="A1506" s="5" t="str">
        <f ca="1">IFERROR(__xludf.DUMMYFUNCTION("""COMPUTED_VALUE"""),"20030414LAFAS")</f>
        <v>20030414LAFAS</v>
      </c>
      <c r="B1506" s="5">
        <f ca="1">IFERROR(__xludf.DUMMYFUNCTION("""COMPUTED_VALUE"""),18)</f>
        <v>18</v>
      </c>
      <c r="C1506" s="5" t="str">
        <f ca="1">IFERROR(__xludf.DUMMYFUNCTION("""COMPUTED_VALUE"""),"Male")</f>
        <v>Male</v>
      </c>
      <c r="D1506" s="5"/>
      <c r="E1506" s="5" t="str">
        <f ca="1">IFERROR(__xludf.DUMMYFUNCTION("""COMPUTED_VALUE"""),"Student")</f>
        <v>Student</v>
      </c>
      <c r="F1506" s="5" t="str">
        <f ca="1">IFERROR(__xludf.DUMMYFUNCTION("""COMPUTED_VALUE"""),"Fled/Apprehended")</f>
        <v>Fled/Apprehended</v>
      </c>
      <c r="G1506" s="5" t="str">
        <f ca="1">IFERROR(__xludf.DUMMYFUNCTION("""COMPUTED_VALUE"""),"No")</f>
        <v>No</v>
      </c>
      <c r="H1506" s="5" t="str">
        <f ca="1">IFERROR(__xludf.DUMMYFUNCTION("""COMPUTED_VALUE"""),"None")</f>
        <v>None</v>
      </c>
    </row>
    <row r="1507" spans="1:8">
      <c r="A1507" s="5" t="str">
        <f ca="1">IFERROR(__xludf.DUMMYFUNCTION("""COMPUTED_VALUE"""),"20030410CAWAW")</f>
        <v>20030410CAWAW</v>
      </c>
      <c r="B1507" s="5">
        <f ca="1">IFERROR(__xludf.DUMMYFUNCTION("""COMPUTED_VALUE"""),18)</f>
        <v>18</v>
      </c>
      <c r="C1507" s="5" t="str">
        <f ca="1">IFERROR(__xludf.DUMMYFUNCTION("""COMPUTED_VALUE"""),"Male")</f>
        <v>Male</v>
      </c>
      <c r="D1507" s="5"/>
      <c r="E1507" s="5" t="str">
        <f ca="1">IFERROR(__xludf.DUMMYFUNCTION("""COMPUTED_VALUE"""),"Student")</f>
        <v>Student</v>
      </c>
      <c r="F1507" s="5" t="str">
        <f ca="1">IFERROR(__xludf.DUMMYFUNCTION("""COMPUTED_VALUE"""),"Suicide")</f>
        <v>Suicide</v>
      </c>
      <c r="G1507" s="5" t="str">
        <f ca="1">IFERROR(__xludf.DUMMYFUNCTION("""COMPUTED_VALUE"""),"Yes")</f>
        <v>Yes</v>
      </c>
      <c r="H1507" s="5" t="str">
        <f ca="1">IFERROR(__xludf.DUMMYFUNCTION("""COMPUTED_VALUE"""),"Suicide")</f>
        <v>Suicide</v>
      </c>
    </row>
    <row r="1508" spans="1:8">
      <c r="A1508" s="5" t="str">
        <f ca="1">IFERROR(__xludf.DUMMYFUNCTION("""COMPUTED_VALUE"""),"20030401DCCAW")</f>
        <v>20030401DCCAW</v>
      </c>
      <c r="B1508" s="5">
        <f ca="1">IFERROR(__xludf.DUMMYFUNCTION("""COMPUTED_VALUE"""),15)</f>
        <v>15</v>
      </c>
      <c r="C1508" s="5" t="str">
        <f ca="1">IFERROR(__xludf.DUMMYFUNCTION("""COMPUTED_VALUE"""),"Male")</f>
        <v>Male</v>
      </c>
      <c r="D1508" s="5"/>
      <c r="E1508" s="5" t="str">
        <f ca="1">IFERROR(__xludf.DUMMYFUNCTION("""COMPUTED_VALUE"""),"Student")</f>
        <v>Student</v>
      </c>
      <c r="F1508" s="5" t="str">
        <f ca="1">IFERROR(__xludf.DUMMYFUNCTION("""COMPUTED_VALUE"""),"Fled/Apprehended")</f>
        <v>Fled/Apprehended</v>
      </c>
      <c r="G1508" s="5" t="str">
        <f ca="1">IFERROR(__xludf.DUMMYFUNCTION("""COMPUTED_VALUE"""),"No")</f>
        <v>No</v>
      </c>
      <c r="H1508" s="5" t="str">
        <f ca="1">IFERROR(__xludf.DUMMYFUNCTION("""COMPUTED_VALUE"""),"None")</f>
        <v>None</v>
      </c>
    </row>
    <row r="1509" spans="1:8">
      <c r="A1509" s="5" t="str">
        <f ca="1">IFERROR(__xludf.DUMMYFUNCTION("""COMPUTED_VALUE"""),"20030330CAROW")</f>
        <v>20030330CAROW</v>
      </c>
      <c r="B1509" s="5">
        <f ca="1">IFERROR(__xludf.DUMMYFUNCTION("""COMPUTED_VALUE"""),20)</f>
        <v>20</v>
      </c>
      <c r="C1509" s="5" t="str">
        <f ca="1">IFERROR(__xludf.DUMMYFUNCTION("""COMPUTED_VALUE"""),"Male")</f>
        <v>Male</v>
      </c>
      <c r="D1509" s="5"/>
      <c r="E1509" s="5" t="str">
        <f ca="1">IFERROR(__xludf.DUMMYFUNCTION("""COMPUTED_VALUE"""),"No Relation")</f>
        <v>No Relation</v>
      </c>
      <c r="F1509" s="5" t="str">
        <f ca="1">IFERROR(__xludf.DUMMYFUNCTION("""COMPUTED_VALUE"""),"Fled/Apprehended")</f>
        <v>Fled/Apprehended</v>
      </c>
      <c r="G1509" s="5" t="str">
        <f ca="1">IFERROR(__xludf.DUMMYFUNCTION("""COMPUTED_VALUE"""),"No")</f>
        <v>No</v>
      </c>
      <c r="H1509" s="5" t="str">
        <f ca="1">IFERROR(__xludf.DUMMYFUNCTION("""COMPUTED_VALUE"""),"None")</f>
        <v>None</v>
      </c>
    </row>
    <row r="1510" spans="1:8">
      <c r="A1510" s="5" t="str">
        <f ca="1">IFERROR(__xludf.DUMMYFUNCTION("""COMPUTED_VALUE"""),"20030321MSNOM")</f>
        <v>20030321MSNOM</v>
      </c>
      <c r="B1510" s="5">
        <f ca="1">IFERROR(__xludf.DUMMYFUNCTION("""COMPUTED_VALUE"""),15)</f>
        <v>15</v>
      </c>
      <c r="C1510" s="5" t="str">
        <f ca="1">IFERROR(__xludf.DUMMYFUNCTION("""COMPUTED_VALUE"""),"Male")</f>
        <v>Male</v>
      </c>
      <c r="D1510" s="5"/>
      <c r="E1510" s="5" t="str">
        <f ca="1">IFERROR(__xludf.DUMMYFUNCTION("""COMPUTED_VALUE"""),"Student")</f>
        <v>Student</v>
      </c>
      <c r="F1510" s="5" t="str">
        <f ca="1">IFERROR(__xludf.DUMMYFUNCTION("""COMPUTED_VALUE"""),"Suicide")</f>
        <v>Suicide</v>
      </c>
      <c r="G1510" s="5" t="str">
        <f ca="1">IFERROR(__xludf.DUMMYFUNCTION("""COMPUTED_VALUE"""),"Yes")</f>
        <v>Yes</v>
      </c>
      <c r="H1510" s="5" t="str">
        <f ca="1">IFERROR(__xludf.DUMMYFUNCTION("""COMPUTED_VALUE"""),"Suicide")</f>
        <v>Suicide</v>
      </c>
    </row>
    <row r="1511" spans="1:8">
      <c r="A1511" s="5" t="str">
        <f ca="1">IFERROR(__xludf.DUMMYFUNCTION("""COMPUTED_VALUE"""),"20030318IACLG")</f>
        <v>20030318IACLG</v>
      </c>
      <c r="B1511" s="5">
        <f ca="1">IFERROR(__xludf.DUMMYFUNCTION("""COMPUTED_VALUE"""),17)</f>
        <v>17</v>
      </c>
      <c r="C1511" s="5" t="str">
        <f ca="1">IFERROR(__xludf.DUMMYFUNCTION("""COMPUTED_VALUE"""),"Male")</f>
        <v>Male</v>
      </c>
      <c r="D1511" s="5"/>
      <c r="E1511" s="5" t="str">
        <f ca="1">IFERROR(__xludf.DUMMYFUNCTION("""COMPUTED_VALUE"""),"Student")</f>
        <v>Student</v>
      </c>
      <c r="F1511" s="5" t="str">
        <f ca="1">IFERROR(__xludf.DUMMYFUNCTION("""COMPUTED_VALUE"""),"Attempted Suicide")</f>
        <v>Attempted Suicide</v>
      </c>
      <c r="G1511" s="5" t="str">
        <f ca="1">IFERROR(__xludf.DUMMYFUNCTION("""COMPUTED_VALUE"""),"No")</f>
        <v>No</v>
      </c>
      <c r="H1511" s="5" t="str">
        <f ca="1">IFERROR(__xludf.DUMMYFUNCTION("""COMPUTED_VALUE"""),"Wounded")</f>
        <v>Wounded</v>
      </c>
    </row>
    <row r="1512" spans="1:8">
      <c r="A1512" s="5" t="str">
        <f ca="1">IFERROR(__xludf.DUMMYFUNCTION("""COMPUTED_VALUE"""),"20030205CORAW")</f>
        <v>20030205CORAW</v>
      </c>
      <c r="B1512" s="5">
        <f ca="1">IFERROR(__xludf.DUMMYFUNCTION("""COMPUTED_VALUE"""),14)</f>
        <v>14</v>
      </c>
      <c r="C1512" s="5" t="str">
        <f ca="1">IFERROR(__xludf.DUMMYFUNCTION("""COMPUTED_VALUE"""),"Male")</f>
        <v>Male</v>
      </c>
      <c r="D1512" s="5"/>
      <c r="E1512" s="5" t="str">
        <f ca="1">IFERROR(__xludf.DUMMYFUNCTION("""COMPUTED_VALUE"""),"Student")</f>
        <v>Student</v>
      </c>
      <c r="F1512" s="5" t="str">
        <f ca="1">IFERROR(__xludf.DUMMYFUNCTION("""COMPUTED_VALUE"""),"Fled/Apprehended")</f>
        <v>Fled/Apprehended</v>
      </c>
      <c r="G1512" s="5" t="str">
        <f ca="1">IFERROR(__xludf.DUMMYFUNCTION("""COMPUTED_VALUE"""),"No")</f>
        <v>No</v>
      </c>
      <c r="H1512" s="5" t="str">
        <f ca="1">IFERROR(__xludf.DUMMYFUNCTION("""COMPUTED_VALUE"""),"None")</f>
        <v>None</v>
      </c>
    </row>
    <row r="1513" spans="1:8">
      <c r="A1513" s="5" t="str">
        <f ca="1">IFERROR(__xludf.DUMMYFUNCTION("""COMPUTED_VALUE"""),"20030130OKJEJ")</f>
        <v>20030130OKJEJ</v>
      </c>
      <c r="B1513" s="5">
        <f ca="1">IFERROR(__xludf.DUMMYFUNCTION("""COMPUTED_VALUE"""),17)</f>
        <v>17</v>
      </c>
      <c r="C1513" s="5" t="str">
        <f ca="1">IFERROR(__xludf.DUMMYFUNCTION("""COMPUTED_VALUE"""),"Male")</f>
        <v>Male</v>
      </c>
      <c r="D1513" s="5"/>
      <c r="E1513" s="5" t="str">
        <f ca="1">IFERROR(__xludf.DUMMYFUNCTION("""COMPUTED_VALUE"""),"Student")</f>
        <v>Student</v>
      </c>
      <c r="F1513" s="5" t="str">
        <f ca="1">IFERROR(__xludf.DUMMYFUNCTION("""COMPUTED_VALUE"""),"Surrendered")</f>
        <v>Surrendered</v>
      </c>
      <c r="G1513" s="5" t="str">
        <f ca="1">IFERROR(__xludf.DUMMYFUNCTION("""COMPUTED_VALUE"""),"No")</f>
        <v>No</v>
      </c>
      <c r="H1513" s="5" t="str">
        <f ca="1">IFERROR(__xludf.DUMMYFUNCTION("""COMPUTED_VALUE"""),"None")</f>
        <v>None</v>
      </c>
    </row>
    <row r="1514" spans="1:8">
      <c r="A1514" s="5" t="str">
        <f ca="1">IFERROR(__xludf.DUMMYFUNCTION("""COMPUTED_VALUE"""),"20030121KYWEO")</f>
        <v>20030121KYWEO</v>
      </c>
      <c r="B1514" s="5">
        <f ca="1">IFERROR(__xludf.DUMMYFUNCTION("""COMPUTED_VALUE"""),12)</f>
        <v>12</v>
      </c>
      <c r="C1514" s="5" t="str">
        <f ca="1">IFERROR(__xludf.DUMMYFUNCTION("""COMPUTED_VALUE"""),"Male")</f>
        <v>Male</v>
      </c>
      <c r="D1514" s="5"/>
      <c r="E1514" s="5" t="str">
        <f ca="1">IFERROR(__xludf.DUMMYFUNCTION("""COMPUTED_VALUE"""),"Student")</f>
        <v>Student</v>
      </c>
      <c r="F1514" s="5" t="str">
        <f ca="1">IFERROR(__xludf.DUMMYFUNCTION("""COMPUTED_VALUE"""),"Surrendered")</f>
        <v>Surrendered</v>
      </c>
      <c r="G1514" s="5" t="str">
        <f ca="1">IFERROR(__xludf.DUMMYFUNCTION("""COMPUTED_VALUE"""),"No")</f>
        <v>No</v>
      </c>
      <c r="H1514" s="5" t="str">
        <f ca="1">IFERROR(__xludf.DUMMYFUNCTION("""COMPUTED_VALUE"""),"None")</f>
        <v>None</v>
      </c>
    </row>
    <row r="1515" spans="1:8">
      <c r="A1515" s="5" t="str">
        <f ca="1">IFERROR(__xludf.DUMMYFUNCTION("""COMPUTED_VALUE"""),"20021216ILENC")</f>
        <v>20021216ILENC</v>
      </c>
      <c r="B1515" s="5">
        <f ca="1">IFERROR(__xludf.DUMMYFUNCTION("""COMPUTED_VALUE"""),17)</f>
        <v>17</v>
      </c>
      <c r="C1515" s="5" t="str">
        <f ca="1">IFERROR(__xludf.DUMMYFUNCTION("""COMPUTED_VALUE"""),"Male")</f>
        <v>Male</v>
      </c>
      <c r="D1515" s="5"/>
      <c r="E1515" s="5" t="str">
        <f ca="1">IFERROR(__xludf.DUMMYFUNCTION("""COMPUTED_VALUE"""),"Student")</f>
        <v>Student</v>
      </c>
      <c r="F1515" s="5" t="str">
        <f ca="1">IFERROR(__xludf.DUMMYFUNCTION("""COMPUTED_VALUE"""),"Fled/Apprehended")</f>
        <v>Fled/Apprehended</v>
      </c>
      <c r="G1515" s="5" t="str">
        <f ca="1">IFERROR(__xludf.DUMMYFUNCTION("""COMPUTED_VALUE"""),"No")</f>
        <v>No</v>
      </c>
      <c r="H1515" s="5" t="str">
        <f ca="1">IFERROR(__xludf.DUMMYFUNCTION("""COMPUTED_VALUE"""),"None")</f>
        <v>None</v>
      </c>
    </row>
    <row r="1516" spans="1:8">
      <c r="A1516" s="5" t="str">
        <f ca="1">IFERROR(__xludf.DUMMYFUNCTION("""COMPUTED_VALUE"""),"20021212WAWIC")</f>
        <v>20021212WAWIC</v>
      </c>
      <c r="B1516" s="5">
        <f ca="1">IFERROR(__xludf.DUMMYFUNCTION("""COMPUTED_VALUE"""),13)</f>
        <v>13</v>
      </c>
      <c r="C1516" s="5" t="str">
        <f ca="1">IFERROR(__xludf.DUMMYFUNCTION("""COMPUTED_VALUE"""),"Male")</f>
        <v>Male</v>
      </c>
      <c r="D1516" s="5"/>
      <c r="E1516" s="5" t="str">
        <f ca="1">IFERROR(__xludf.DUMMYFUNCTION("""COMPUTED_VALUE"""),"Student")</f>
        <v>Student</v>
      </c>
      <c r="F1516" s="5" t="str">
        <f ca="1">IFERROR(__xludf.DUMMYFUNCTION("""COMPUTED_VALUE"""),"Suicide")</f>
        <v>Suicide</v>
      </c>
      <c r="G1516" s="5" t="str">
        <f ca="1">IFERROR(__xludf.DUMMYFUNCTION("""COMPUTED_VALUE"""),"Yes")</f>
        <v>Yes</v>
      </c>
      <c r="H1516" s="5" t="str">
        <f ca="1">IFERROR(__xludf.DUMMYFUNCTION("""COMPUTED_VALUE"""),"Suicide")</f>
        <v>Suicide</v>
      </c>
    </row>
    <row r="1517" spans="1:8">
      <c r="A1517" s="5" t="str">
        <f ca="1">IFERROR(__xludf.DUMMYFUNCTION("""COMPUTED_VALUE"""),"20021202MIOSD")</f>
        <v>20021202MIOSD</v>
      </c>
      <c r="B1517" s="5">
        <f ca="1">IFERROR(__xludf.DUMMYFUNCTION("""COMPUTED_VALUE"""),15)</f>
        <v>15</v>
      </c>
      <c r="C1517" s="5" t="str">
        <f ca="1">IFERROR(__xludf.DUMMYFUNCTION("""COMPUTED_VALUE"""),"Male")</f>
        <v>Male</v>
      </c>
      <c r="D1517" s="5"/>
      <c r="E1517" s="5" t="str">
        <f ca="1">IFERROR(__xludf.DUMMYFUNCTION("""COMPUTED_VALUE"""),"Student")</f>
        <v>Student</v>
      </c>
      <c r="F1517" s="5" t="str">
        <f ca="1">IFERROR(__xludf.DUMMYFUNCTION("""COMPUTED_VALUE"""),"Unknown")</f>
        <v>Unknown</v>
      </c>
      <c r="G1517" s="5" t="str">
        <f ca="1">IFERROR(__xludf.DUMMYFUNCTION("""COMPUTED_VALUE"""),"No")</f>
        <v>No</v>
      </c>
      <c r="H1517" s="5" t="str">
        <f ca="1">IFERROR(__xludf.DUMMYFUNCTION("""COMPUTED_VALUE"""),"Wounded")</f>
        <v>Wounded</v>
      </c>
    </row>
    <row r="1518" spans="1:8">
      <c r="A1518" s="5" t="str">
        <f ca="1">IFERROR(__xludf.DUMMYFUNCTION("""COMPUTED_VALUE"""),"20021115TXSCS")</f>
        <v>20021115TXSCS</v>
      </c>
      <c r="B1518" s="5">
        <f ca="1">IFERROR(__xludf.DUMMYFUNCTION("""COMPUTED_VALUE"""),18)</f>
        <v>18</v>
      </c>
      <c r="C1518" s="5" t="str">
        <f ca="1">IFERROR(__xludf.DUMMYFUNCTION("""COMPUTED_VALUE"""),"Male")</f>
        <v>Male</v>
      </c>
      <c r="D1518" s="5"/>
      <c r="E1518" s="5" t="str">
        <f ca="1">IFERROR(__xludf.DUMMYFUNCTION("""COMPUTED_VALUE"""),"Former Student")</f>
        <v>Former Student</v>
      </c>
      <c r="F1518" s="5" t="str">
        <f ca="1">IFERROR(__xludf.DUMMYFUNCTION("""COMPUTED_VALUE"""),"Subdued by Students/Staff/Other")</f>
        <v>Subdued by Students/Staff/Other</v>
      </c>
      <c r="G1518" s="5" t="str">
        <f ca="1">IFERROR(__xludf.DUMMYFUNCTION("""COMPUTED_VALUE"""),"No")</f>
        <v>No</v>
      </c>
      <c r="H1518" s="5" t="str">
        <f ca="1">IFERROR(__xludf.DUMMYFUNCTION("""COMPUTED_VALUE"""),"None")</f>
        <v>None</v>
      </c>
    </row>
    <row r="1519" spans="1:8">
      <c r="A1519" s="5" t="str">
        <f ca="1">IFERROR(__xludf.DUMMYFUNCTION("""COMPUTED_VALUE"""),"20021115CAAML")</f>
        <v>20021115CAAML</v>
      </c>
      <c r="B1519" s="5"/>
      <c r="C1519" s="5"/>
      <c r="D1519" s="5"/>
      <c r="E1519" s="5" t="str">
        <f ca="1">IFERROR(__xludf.DUMMYFUNCTION("""COMPUTED_VALUE"""),"Unknown")</f>
        <v>Unknown</v>
      </c>
      <c r="F1519" s="5" t="str">
        <f ca="1">IFERROR(__xludf.DUMMYFUNCTION("""COMPUTED_VALUE"""),"Fled/Escaped")</f>
        <v>Fled/Escaped</v>
      </c>
      <c r="G1519" s="5" t="str">
        <f ca="1">IFERROR(__xludf.DUMMYFUNCTION("""COMPUTED_VALUE"""),"No")</f>
        <v>No</v>
      </c>
      <c r="H1519" s="5" t="str">
        <f ca="1">IFERROR(__xludf.DUMMYFUNCTION("""COMPUTED_VALUE"""),"None")</f>
        <v>None</v>
      </c>
    </row>
    <row r="1520" spans="1:8">
      <c r="A1520" s="5" t="str">
        <f ca="1">IFERROR(__xludf.DUMMYFUNCTION("""COMPUTED_VALUE"""),"20021107MOSTL")</f>
        <v>20021107MOSTL</v>
      </c>
      <c r="B1520" s="5">
        <f ca="1">IFERROR(__xludf.DUMMYFUNCTION("""COMPUTED_VALUE"""),43)</f>
        <v>43</v>
      </c>
      <c r="C1520" s="5" t="str">
        <f ca="1">IFERROR(__xludf.DUMMYFUNCTION("""COMPUTED_VALUE"""),"Male")</f>
        <v>Male</v>
      </c>
      <c r="D1520" s="5"/>
      <c r="E1520" s="5" t="str">
        <f ca="1">IFERROR(__xludf.DUMMYFUNCTION("""COMPUTED_VALUE"""),"Parent")</f>
        <v>Parent</v>
      </c>
      <c r="F1520" s="5" t="str">
        <f ca="1">IFERROR(__xludf.DUMMYFUNCTION("""COMPUTED_VALUE"""),"Fled/Apprehended")</f>
        <v>Fled/Apprehended</v>
      </c>
      <c r="G1520" s="5" t="str">
        <f ca="1">IFERROR(__xludf.DUMMYFUNCTION("""COMPUTED_VALUE"""),"No")</f>
        <v>No</v>
      </c>
      <c r="H1520" s="5" t="str">
        <f ca="1">IFERROR(__xludf.DUMMYFUNCTION("""COMPUTED_VALUE"""),"None")</f>
        <v>None</v>
      </c>
    </row>
    <row r="1521" spans="1:8">
      <c r="A1521" s="5" t="str">
        <f ca="1">IFERROR(__xludf.DUMMYFUNCTION("""COMPUTED_VALUE"""),"20021029NJLIJ")</f>
        <v>20021029NJLIJ</v>
      </c>
      <c r="B1521" s="5">
        <f ca="1">IFERROR(__xludf.DUMMYFUNCTION("""COMPUTED_VALUE"""),15)</f>
        <v>15</v>
      </c>
      <c r="C1521" s="5" t="str">
        <f ca="1">IFERROR(__xludf.DUMMYFUNCTION("""COMPUTED_VALUE"""),"Male")</f>
        <v>Male</v>
      </c>
      <c r="D1521" s="5"/>
      <c r="E1521" s="5" t="str">
        <f ca="1">IFERROR(__xludf.DUMMYFUNCTION("""COMPUTED_VALUE"""),"Student")</f>
        <v>Student</v>
      </c>
      <c r="F1521" s="5" t="str">
        <f ca="1">IFERROR(__xludf.DUMMYFUNCTION("""COMPUTED_VALUE"""),"Fled/Apprehended")</f>
        <v>Fled/Apprehended</v>
      </c>
      <c r="G1521" s="5" t="str">
        <f ca="1">IFERROR(__xludf.DUMMYFUNCTION("""COMPUTED_VALUE"""),"No")</f>
        <v>No</v>
      </c>
      <c r="H1521" s="5" t="str">
        <f ca="1">IFERROR(__xludf.DUMMYFUNCTION("""COMPUTED_VALUE"""),"None")</f>
        <v>None</v>
      </c>
    </row>
    <row r="1522" spans="1:8">
      <c r="A1522" s="5" t="str">
        <f ca="1">IFERROR(__xludf.DUMMYFUNCTION("""COMPUTED_VALUE"""),"20021007MDBEB")</f>
        <v>20021007MDBEB</v>
      </c>
      <c r="B1522" s="5">
        <f ca="1">IFERROR(__xludf.DUMMYFUNCTION("""COMPUTED_VALUE"""),17)</f>
        <v>17</v>
      </c>
      <c r="C1522" s="5" t="str">
        <f ca="1">IFERROR(__xludf.DUMMYFUNCTION("""COMPUTED_VALUE"""),"Male")</f>
        <v>Male</v>
      </c>
      <c r="D1522" s="5" t="str">
        <f ca="1">IFERROR(__xludf.DUMMYFUNCTION("""COMPUTED_VALUE"""),"Black")</f>
        <v>Black</v>
      </c>
      <c r="E1522" s="5" t="str">
        <f ca="1">IFERROR(__xludf.DUMMYFUNCTION("""COMPUTED_VALUE"""),"No Relation")</f>
        <v>No Relation</v>
      </c>
      <c r="F1522" s="5" t="str">
        <f ca="1">IFERROR(__xludf.DUMMYFUNCTION("""COMPUTED_VALUE"""),"Fled/Apprehended")</f>
        <v>Fled/Apprehended</v>
      </c>
      <c r="G1522" s="5" t="str">
        <f ca="1">IFERROR(__xludf.DUMMYFUNCTION("""COMPUTED_VALUE"""),"No")</f>
        <v>No</v>
      </c>
      <c r="H1522" s="5" t="str">
        <f ca="1">IFERROR(__xludf.DUMMYFUNCTION("""COMPUTED_VALUE"""),"None")</f>
        <v>None</v>
      </c>
    </row>
    <row r="1523" spans="1:8">
      <c r="A1523" s="5" t="str">
        <f ca="1">IFERROR(__xludf.DUMMYFUNCTION("""COMPUTED_VALUE"""),"20021004TXPAS")</f>
        <v>20021004TXPAS</v>
      </c>
      <c r="B1523" s="5">
        <f ca="1">IFERROR(__xludf.DUMMYFUNCTION("""COMPUTED_VALUE"""),13)</f>
        <v>13</v>
      </c>
      <c r="C1523" s="5" t="str">
        <f ca="1">IFERROR(__xludf.DUMMYFUNCTION("""COMPUTED_VALUE"""),"Female")</f>
        <v>Female</v>
      </c>
      <c r="D1523" s="5"/>
      <c r="E1523" s="5" t="str">
        <f ca="1">IFERROR(__xludf.DUMMYFUNCTION("""COMPUTED_VALUE"""),"Student")</f>
        <v>Student</v>
      </c>
      <c r="F1523" s="5" t="str">
        <f ca="1">IFERROR(__xludf.DUMMYFUNCTION("""COMPUTED_VALUE"""),"Suicide")</f>
        <v>Suicide</v>
      </c>
      <c r="G1523" s="5" t="str">
        <f ca="1">IFERROR(__xludf.DUMMYFUNCTION("""COMPUTED_VALUE"""),"Yes")</f>
        <v>Yes</v>
      </c>
      <c r="H1523" s="5" t="str">
        <f ca="1">IFERROR(__xludf.DUMMYFUNCTION("""COMPUTED_VALUE"""),"Suicide")</f>
        <v>Suicide</v>
      </c>
    </row>
    <row r="1524" spans="1:8">
      <c r="A1524" s="5" t="str">
        <f ca="1">IFERROR(__xludf.DUMMYFUNCTION("""COMPUTED_VALUE"""),"20021004MTCMG")</f>
        <v>20021004MTCMG</v>
      </c>
      <c r="B1524" s="5">
        <f ca="1">IFERROR(__xludf.DUMMYFUNCTION("""COMPUTED_VALUE"""),18)</f>
        <v>18</v>
      </c>
      <c r="C1524" s="5" t="str">
        <f ca="1">IFERROR(__xludf.DUMMYFUNCTION("""COMPUTED_VALUE"""),"Male")</f>
        <v>Male</v>
      </c>
      <c r="D1524" s="5" t="str">
        <f ca="1">IFERROR(__xludf.DUMMYFUNCTION("""COMPUTED_VALUE"""),"White")</f>
        <v>White</v>
      </c>
      <c r="E1524" s="5" t="str">
        <f ca="1">IFERROR(__xludf.DUMMYFUNCTION("""COMPUTED_VALUE"""),"Relative")</f>
        <v>Relative</v>
      </c>
      <c r="F1524" s="5" t="str">
        <f ca="1">IFERROR(__xludf.DUMMYFUNCTION("""COMPUTED_VALUE"""),"Fled/Apprehended")</f>
        <v>Fled/Apprehended</v>
      </c>
      <c r="G1524" s="5" t="str">
        <f ca="1">IFERROR(__xludf.DUMMYFUNCTION("""COMPUTED_VALUE"""),"No")</f>
        <v>No</v>
      </c>
      <c r="H1524" s="5" t="str">
        <f ca="1">IFERROR(__xludf.DUMMYFUNCTION("""COMPUTED_VALUE"""),"None")</f>
        <v>None</v>
      </c>
    </row>
    <row r="1525" spans="1:8">
      <c r="A1525" s="5" t="str">
        <f ca="1">IFERROR(__xludf.DUMMYFUNCTION("""COMPUTED_VALUE"""),"20020426LAABN")</f>
        <v>20020426LAABN</v>
      </c>
      <c r="B1525" s="5">
        <f ca="1">IFERROR(__xludf.DUMMYFUNCTION("""COMPUTED_VALUE"""),38)</f>
        <v>38</v>
      </c>
      <c r="C1525" s="5" t="str">
        <f ca="1">IFERROR(__xludf.DUMMYFUNCTION("""COMPUTED_VALUE"""),"Male")</f>
        <v>Male</v>
      </c>
      <c r="D1525" s="5"/>
      <c r="E1525" s="5" t="str">
        <f ca="1">IFERROR(__xludf.DUMMYFUNCTION("""COMPUTED_VALUE"""),"Security Guard")</f>
        <v>Security Guard</v>
      </c>
      <c r="F1525" s="5" t="str">
        <f ca="1">IFERROR(__xludf.DUMMYFUNCTION("""COMPUTED_VALUE"""),"Surrendered")</f>
        <v>Surrendered</v>
      </c>
      <c r="G1525" s="5" t="str">
        <f ca="1">IFERROR(__xludf.DUMMYFUNCTION("""COMPUTED_VALUE"""),"No")</f>
        <v>No</v>
      </c>
      <c r="H1525" s="5" t="str">
        <f ca="1">IFERROR(__xludf.DUMMYFUNCTION("""COMPUTED_VALUE"""),"None")</f>
        <v>None</v>
      </c>
    </row>
    <row r="1526" spans="1:8">
      <c r="A1526" s="5" t="str">
        <f ca="1">IFERROR(__xludf.DUMMYFUNCTION("""COMPUTED_VALUE"""),"20020406MDLEB")</f>
        <v>20020406MDLEB</v>
      </c>
      <c r="B1526" s="5" t="str">
        <f ca="1">IFERROR(__xludf.DUMMYFUNCTION("""COMPUTED_VALUE"""),"Adult")</f>
        <v>Adult</v>
      </c>
      <c r="C1526" s="5" t="str">
        <f ca="1">IFERROR(__xludf.DUMMYFUNCTION("""COMPUTED_VALUE"""),"Male")</f>
        <v>Male</v>
      </c>
      <c r="D1526" s="5" t="str">
        <f ca="1">IFERROR(__xludf.DUMMYFUNCTION("""COMPUTED_VALUE"""),"N/A")</f>
        <v>N/A</v>
      </c>
      <c r="E1526" s="5" t="str">
        <f ca="1">IFERROR(__xludf.DUMMYFUNCTION("""COMPUTED_VALUE"""),"Police Officer/SRO")</f>
        <v>Police Officer/SRO</v>
      </c>
      <c r="F1526" s="5" t="str">
        <f ca="1">IFERROR(__xludf.DUMMYFUNCTION("""COMPUTED_VALUE"""),"Law Enforcement")</f>
        <v>Law Enforcement</v>
      </c>
      <c r="G1526" s="5" t="str">
        <f ca="1">IFERROR(__xludf.DUMMYFUNCTION("""COMPUTED_VALUE"""),"No")</f>
        <v>No</v>
      </c>
      <c r="H1526" s="5" t="str">
        <f ca="1">IFERROR(__xludf.DUMMYFUNCTION("""COMPUTED_VALUE"""),"None")</f>
        <v>None</v>
      </c>
    </row>
    <row r="1527" spans="1:8">
      <c r="A1527" s="5" t="str">
        <f ca="1">IFERROR(__xludf.DUMMYFUNCTION("""COMPUTED_VALUE"""),"20020322CAJOC")</f>
        <v>20020322CAJOC</v>
      </c>
      <c r="B1527" s="5">
        <f ca="1">IFERROR(__xludf.DUMMYFUNCTION("""COMPUTED_VALUE"""),13)</f>
        <v>13</v>
      </c>
      <c r="C1527" s="5" t="str">
        <f ca="1">IFERROR(__xludf.DUMMYFUNCTION("""COMPUTED_VALUE"""),"Male")</f>
        <v>Male</v>
      </c>
      <c r="D1527" s="5"/>
      <c r="E1527" s="5" t="str">
        <f ca="1">IFERROR(__xludf.DUMMYFUNCTION("""COMPUTED_VALUE"""),"Student")</f>
        <v>Student</v>
      </c>
      <c r="F1527" s="5" t="str">
        <f ca="1">IFERROR(__xludf.DUMMYFUNCTION("""COMPUTED_VALUE"""),"Surrendered")</f>
        <v>Surrendered</v>
      </c>
      <c r="G1527" s="5" t="str">
        <f ca="1">IFERROR(__xludf.DUMMYFUNCTION("""COMPUTED_VALUE"""),"No")</f>
        <v>No</v>
      </c>
      <c r="H1527" s="5" t="str">
        <f ca="1">IFERROR(__xludf.DUMMYFUNCTION("""COMPUTED_VALUE"""),"None")</f>
        <v>None</v>
      </c>
    </row>
    <row r="1528" spans="1:8">
      <c r="A1528" s="5" t="str">
        <f ca="1">IFERROR(__xludf.DUMMYFUNCTION("""COMPUTED_VALUE"""),"20020207ILROC")</f>
        <v>20020207ILROC</v>
      </c>
      <c r="B1528" s="5">
        <f ca="1">IFERROR(__xludf.DUMMYFUNCTION("""COMPUTED_VALUE"""),15)</f>
        <v>15</v>
      </c>
      <c r="C1528" s="5" t="str">
        <f ca="1">IFERROR(__xludf.DUMMYFUNCTION("""COMPUTED_VALUE"""),"Male")</f>
        <v>Male</v>
      </c>
      <c r="D1528" s="5"/>
      <c r="E1528" s="5" t="str">
        <f ca="1">IFERROR(__xludf.DUMMYFUNCTION("""COMPUTED_VALUE"""),"Student")</f>
        <v>Student</v>
      </c>
      <c r="F1528" s="5" t="str">
        <f ca="1">IFERROR(__xludf.DUMMYFUNCTION("""COMPUTED_VALUE"""),"Fled/Apprehended")</f>
        <v>Fled/Apprehended</v>
      </c>
      <c r="G1528" s="5" t="str">
        <f ca="1">IFERROR(__xludf.DUMMYFUNCTION("""COMPUTED_VALUE"""),"No")</f>
        <v>No</v>
      </c>
      <c r="H1528" s="5" t="str">
        <f ca="1">IFERROR(__xludf.DUMMYFUNCTION("""COMPUTED_VALUE"""),"None")</f>
        <v>None</v>
      </c>
    </row>
    <row r="1529" spans="1:8">
      <c r="A1529" s="5" t="str">
        <f ca="1">IFERROR(__xludf.DUMMYFUNCTION("""COMPUTED_VALUE"""),"20020206CAGAL")</f>
        <v>20020206CAGAL</v>
      </c>
      <c r="B1529" s="5">
        <f ca="1">IFERROR(__xludf.DUMMYFUNCTION("""COMPUTED_VALUE"""),17)</f>
        <v>17</v>
      </c>
      <c r="C1529" s="5" t="str">
        <f ca="1">IFERROR(__xludf.DUMMYFUNCTION("""COMPUTED_VALUE"""),"Male")</f>
        <v>Male</v>
      </c>
      <c r="D1529" s="5"/>
      <c r="E1529" s="5" t="str">
        <f ca="1">IFERROR(__xludf.DUMMYFUNCTION("""COMPUTED_VALUE"""),"Student")</f>
        <v>Student</v>
      </c>
      <c r="F1529" s="5" t="str">
        <f ca="1">IFERROR(__xludf.DUMMYFUNCTION("""COMPUTED_VALUE"""),"Fled/Apprehended")</f>
        <v>Fled/Apprehended</v>
      </c>
      <c r="G1529" s="5" t="str">
        <f ca="1">IFERROR(__xludf.DUMMYFUNCTION("""COMPUTED_VALUE"""),"No")</f>
        <v>No</v>
      </c>
      <c r="H1529" s="5" t="str">
        <f ca="1">IFERROR(__xludf.DUMMYFUNCTION("""COMPUTED_VALUE"""),"None")</f>
        <v>None</v>
      </c>
    </row>
    <row r="1530" spans="1:8">
      <c r="A1530" s="5" t="str">
        <f ca="1">IFERROR(__xludf.DUMMYFUNCTION("""COMPUTED_VALUE"""),"20020201TXBRB")</f>
        <v>20020201TXBRB</v>
      </c>
      <c r="B1530" s="5">
        <f ca="1">IFERROR(__xludf.DUMMYFUNCTION("""COMPUTED_VALUE"""),39)</f>
        <v>39</v>
      </c>
      <c r="C1530" s="5" t="str">
        <f ca="1">IFERROR(__xludf.DUMMYFUNCTION("""COMPUTED_VALUE"""),"Male")</f>
        <v>Male</v>
      </c>
      <c r="D1530" s="5"/>
      <c r="E1530" s="5" t="str">
        <f ca="1">IFERROR(__xludf.DUMMYFUNCTION("""COMPUTED_VALUE"""),"Other Staff")</f>
        <v>Other Staff</v>
      </c>
      <c r="F1530" s="5" t="str">
        <f ca="1">IFERROR(__xludf.DUMMYFUNCTION("""COMPUTED_VALUE"""),"Unknown")</f>
        <v>Unknown</v>
      </c>
      <c r="G1530" s="5" t="str">
        <f ca="1">IFERROR(__xludf.DUMMYFUNCTION("""COMPUTED_VALUE"""),"No")</f>
        <v>No</v>
      </c>
      <c r="H1530" s="5" t="str">
        <f ca="1">IFERROR(__xludf.DUMMYFUNCTION("""COMPUTED_VALUE"""),"None")</f>
        <v>None</v>
      </c>
    </row>
    <row r="1531" spans="1:8">
      <c r="A1531" s="5" t="str">
        <f ca="1">IFERROR(__xludf.DUMMYFUNCTION("""COMPUTED_VALUE"""),"20020124PAOLO")</f>
        <v>20020124PAOLO</v>
      </c>
      <c r="B1531" s="5">
        <f ca="1">IFERROR(__xludf.DUMMYFUNCTION("""COMPUTED_VALUE"""),63)</f>
        <v>63</v>
      </c>
      <c r="C1531" s="5" t="str">
        <f ca="1">IFERROR(__xludf.DUMMYFUNCTION("""COMPUTED_VALUE"""),"Male")</f>
        <v>Male</v>
      </c>
      <c r="D1531" s="5"/>
      <c r="E1531" s="5" t="str">
        <f ca="1">IFERROR(__xludf.DUMMYFUNCTION("""COMPUTED_VALUE"""),"Other Staff")</f>
        <v>Other Staff</v>
      </c>
      <c r="F1531" s="5" t="str">
        <f ca="1">IFERROR(__xludf.DUMMYFUNCTION("""COMPUTED_VALUE"""),"Surrendered")</f>
        <v>Surrendered</v>
      </c>
      <c r="G1531" s="5" t="str">
        <f ca="1">IFERROR(__xludf.DUMMYFUNCTION("""COMPUTED_VALUE"""),"No")</f>
        <v>No</v>
      </c>
      <c r="H1531" s="5" t="str">
        <f ca="1">IFERROR(__xludf.DUMMYFUNCTION("""COMPUTED_VALUE"""),"None")</f>
        <v>None</v>
      </c>
    </row>
    <row r="1532" spans="1:8">
      <c r="A1532" s="5" t="str">
        <f ca="1">IFERROR(__xludf.DUMMYFUNCTION("""COMPUTED_VALUE"""),"20020115NYMAN")</f>
        <v>20020115NYMAN</v>
      </c>
      <c r="B1532" s="5">
        <f ca="1">IFERROR(__xludf.DUMMYFUNCTION("""COMPUTED_VALUE"""),18)</f>
        <v>18</v>
      </c>
      <c r="C1532" s="5" t="str">
        <f ca="1">IFERROR(__xludf.DUMMYFUNCTION("""COMPUTED_VALUE"""),"Male")</f>
        <v>Male</v>
      </c>
      <c r="D1532" s="5" t="str">
        <f ca="1">IFERROR(__xludf.DUMMYFUNCTION("""COMPUTED_VALUE"""),"Hispanic")</f>
        <v>Hispanic</v>
      </c>
      <c r="E1532" s="5" t="str">
        <f ca="1">IFERROR(__xludf.DUMMYFUNCTION("""COMPUTED_VALUE"""),"Student")</f>
        <v>Student</v>
      </c>
      <c r="F1532" s="5" t="str">
        <f ca="1">IFERROR(__xludf.DUMMYFUNCTION("""COMPUTED_VALUE"""),"Fled/Apprehended")</f>
        <v>Fled/Apprehended</v>
      </c>
      <c r="G1532" s="5" t="str">
        <f ca="1">IFERROR(__xludf.DUMMYFUNCTION("""COMPUTED_VALUE"""),"No")</f>
        <v>No</v>
      </c>
      <c r="H1532" s="5" t="str">
        <f ca="1">IFERROR(__xludf.DUMMYFUNCTION("""COMPUTED_VALUE"""),"None")</f>
        <v>None</v>
      </c>
    </row>
    <row r="1533" spans="1:8">
      <c r="A1533" s="5" t="str">
        <f ca="1">IFERROR(__xludf.DUMMYFUNCTION("""COMPUTED_VALUE"""),"20020111MSRAJ")</f>
        <v>20020111MSRAJ</v>
      </c>
      <c r="B1533" s="5">
        <f ca="1">IFERROR(__xludf.DUMMYFUNCTION("""COMPUTED_VALUE"""),18)</f>
        <v>18</v>
      </c>
      <c r="C1533" s="5" t="str">
        <f ca="1">IFERROR(__xludf.DUMMYFUNCTION("""COMPUTED_VALUE"""),"Male")</f>
        <v>Male</v>
      </c>
      <c r="D1533" s="5" t="str">
        <f ca="1">IFERROR(__xludf.DUMMYFUNCTION("""COMPUTED_VALUE"""),"Black")</f>
        <v>Black</v>
      </c>
      <c r="E1533" s="5" t="str">
        <f ca="1">IFERROR(__xludf.DUMMYFUNCTION("""COMPUTED_VALUE"""),"Student")</f>
        <v>Student</v>
      </c>
      <c r="F1533" s="5" t="str">
        <f ca="1">IFERROR(__xludf.DUMMYFUNCTION("""COMPUTED_VALUE"""),"Surrendered")</f>
        <v>Surrendered</v>
      </c>
      <c r="G1533" s="5" t="str">
        <f ca="1">IFERROR(__xludf.DUMMYFUNCTION("""COMPUTED_VALUE"""),"No")</f>
        <v>No</v>
      </c>
      <c r="H1533" s="5" t="str">
        <f ca="1">IFERROR(__xludf.DUMMYFUNCTION("""COMPUTED_VALUE"""),"None")</f>
        <v>None</v>
      </c>
    </row>
    <row r="1534" spans="1:8">
      <c r="A1534" s="5" t="str">
        <f ca="1">IFERROR(__xludf.DUMMYFUNCTION("""COMPUTED_VALUE"""),"20011130TXFRF")</f>
        <v>20011130TXFRF</v>
      </c>
      <c r="B1534" s="5">
        <f ca="1">IFERROR(__xludf.DUMMYFUNCTION("""COMPUTED_VALUE"""),54)</f>
        <v>54</v>
      </c>
      <c r="C1534" s="5" t="str">
        <f ca="1">IFERROR(__xludf.DUMMYFUNCTION("""COMPUTED_VALUE"""),"Female")</f>
        <v>Female</v>
      </c>
      <c r="D1534" s="5"/>
      <c r="E1534" s="5" t="str">
        <f ca="1">IFERROR(__xludf.DUMMYFUNCTION("""COMPUTED_VALUE"""),"Teacher")</f>
        <v>Teacher</v>
      </c>
      <c r="F1534" s="5" t="str">
        <f ca="1">IFERROR(__xludf.DUMMYFUNCTION("""COMPUTED_VALUE"""),"Surrendered")</f>
        <v>Surrendered</v>
      </c>
      <c r="G1534" s="5" t="str">
        <f ca="1">IFERROR(__xludf.DUMMYFUNCTION("""COMPUTED_VALUE"""),"No")</f>
        <v>No</v>
      </c>
      <c r="H1534" s="5" t="str">
        <f ca="1">IFERROR(__xludf.DUMMYFUNCTION("""COMPUTED_VALUE"""),"None")</f>
        <v>None</v>
      </c>
    </row>
    <row r="1535" spans="1:8">
      <c r="A1535" s="5" t="str">
        <f ca="1">IFERROR(__xludf.DUMMYFUNCTION("""COMPUTED_VALUE"""),"20011112MICAC")</f>
        <v>20011112MICAC</v>
      </c>
      <c r="B1535" s="5">
        <f ca="1">IFERROR(__xludf.DUMMYFUNCTION("""COMPUTED_VALUE"""),17)</f>
        <v>17</v>
      </c>
      <c r="C1535" s="5" t="str">
        <f ca="1">IFERROR(__xludf.DUMMYFUNCTION("""COMPUTED_VALUE"""),"Male")</f>
        <v>Male</v>
      </c>
      <c r="D1535" s="5"/>
      <c r="E1535" s="5" t="str">
        <f ca="1">IFERROR(__xludf.DUMMYFUNCTION("""COMPUTED_VALUE"""),"Former Student")</f>
        <v>Former Student</v>
      </c>
      <c r="F1535" s="5" t="str">
        <f ca="1">IFERROR(__xludf.DUMMYFUNCTION("""COMPUTED_VALUE"""),"Suicide")</f>
        <v>Suicide</v>
      </c>
      <c r="G1535" s="5" t="str">
        <f ca="1">IFERROR(__xludf.DUMMYFUNCTION("""COMPUTED_VALUE"""),"Yes")</f>
        <v>Yes</v>
      </c>
      <c r="H1535" s="5" t="str">
        <f ca="1">IFERROR(__xludf.DUMMYFUNCTION("""COMPUTED_VALUE"""),"Suicide")</f>
        <v>Suicide</v>
      </c>
    </row>
    <row r="1536" spans="1:8">
      <c r="A1536" s="5" t="str">
        <f ca="1">IFERROR(__xludf.DUMMYFUNCTION("""COMPUTED_VALUE"""),"20011026MIBES")</f>
        <v>20011026MIBES</v>
      </c>
      <c r="B1536" s="5" t="str">
        <f ca="1">IFERROR(__xludf.DUMMYFUNCTION("""COMPUTED_VALUE"""),"Teen")</f>
        <v>Teen</v>
      </c>
      <c r="C1536" s="5" t="str">
        <f ca="1">IFERROR(__xludf.DUMMYFUNCTION("""COMPUTED_VALUE"""),"Male")</f>
        <v>Male</v>
      </c>
      <c r="D1536" s="5"/>
      <c r="E1536" s="5" t="str">
        <f ca="1">IFERROR(__xludf.DUMMYFUNCTION("""COMPUTED_VALUE"""),"Student")</f>
        <v>Student</v>
      </c>
      <c r="F1536" s="5" t="str">
        <f ca="1">IFERROR(__xludf.DUMMYFUNCTION("""COMPUTED_VALUE"""),"Unknown")</f>
        <v>Unknown</v>
      </c>
      <c r="G1536" s="5" t="str">
        <f ca="1">IFERROR(__xludf.DUMMYFUNCTION("""COMPUTED_VALUE"""),"No")</f>
        <v>No</v>
      </c>
      <c r="H1536" s="5" t="str">
        <f ca="1">IFERROR(__xludf.DUMMYFUNCTION("""COMPUTED_VALUE"""),"None")</f>
        <v>None</v>
      </c>
    </row>
    <row r="1537" spans="1:8">
      <c r="A1537" s="5" t="str">
        <f ca="1">IFERROR(__xludf.DUMMYFUNCTION("""COMPUTED_VALUE"""),"20011026CARER")</f>
        <v>20011026CARER</v>
      </c>
      <c r="B1537" s="5">
        <f ca="1">IFERROR(__xludf.DUMMYFUNCTION("""COMPUTED_VALUE"""),17)</f>
        <v>17</v>
      </c>
      <c r="C1537" s="5" t="str">
        <f ca="1">IFERROR(__xludf.DUMMYFUNCTION("""COMPUTED_VALUE"""),"Male")</f>
        <v>Male</v>
      </c>
      <c r="D1537" s="5"/>
      <c r="E1537" s="5" t="str">
        <f ca="1">IFERROR(__xludf.DUMMYFUNCTION("""COMPUTED_VALUE"""),"Student")</f>
        <v>Student</v>
      </c>
      <c r="F1537" s="5" t="str">
        <f ca="1">IFERROR(__xludf.DUMMYFUNCTION("""COMPUTED_VALUE"""),"Surrendered")</f>
        <v>Surrendered</v>
      </c>
      <c r="G1537" s="5" t="str">
        <f ca="1">IFERROR(__xludf.DUMMYFUNCTION("""COMPUTED_VALUE"""),"No")</f>
        <v>No</v>
      </c>
      <c r="H1537" s="5" t="str">
        <f ca="1">IFERROR(__xludf.DUMMYFUNCTION("""COMPUTED_VALUE"""),"None")</f>
        <v>None</v>
      </c>
    </row>
    <row r="1538" spans="1:8">
      <c r="A1538" s="5" t="str">
        <f ca="1">IFERROR(__xludf.DUMMYFUNCTION("""COMPUTED_VALUE"""),"20011012UTTAT")</f>
        <v>20011012UTTAT</v>
      </c>
      <c r="B1538" s="5">
        <f ca="1">IFERROR(__xludf.DUMMYFUNCTION("""COMPUTED_VALUE"""),17)</f>
        <v>17</v>
      </c>
      <c r="C1538" s="5" t="str">
        <f ca="1">IFERROR(__xludf.DUMMYFUNCTION("""COMPUTED_VALUE"""),"Male")</f>
        <v>Male</v>
      </c>
      <c r="D1538" s="5"/>
      <c r="E1538" s="5" t="str">
        <f ca="1">IFERROR(__xludf.DUMMYFUNCTION("""COMPUTED_VALUE"""),"Student")</f>
        <v>Student</v>
      </c>
      <c r="F1538" s="5" t="str">
        <f ca="1">IFERROR(__xludf.DUMMYFUNCTION("""COMPUTED_VALUE"""),"Suicide")</f>
        <v>Suicide</v>
      </c>
      <c r="G1538" s="5" t="str">
        <f ca="1">IFERROR(__xludf.DUMMYFUNCTION("""COMPUTED_VALUE"""),"Yes")</f>
        <v>Yes</v>
      </c>
      <c r="H1538" s="5" t="str">
        <f ca="1">IFERROR(__xludf.DUMMYFUNCTION("""COMPUTED_VALUE"""),"Suicide")</f>
        <v>Suicide</v>
      </c>
    </row>
    <row r="1539" spans="1:8">
      <c r="A1539" s="5" t="str">
        <f ca="1">IFERROR(__xludf.DUMMYFUNCTION("""COMPUTED_VALUE"""),"20010921MDLAB")</f>
        <v>20010921MDLAB</v>
      </c>
      <c r="B1539" s="5">
        <f ca="1">IFERROR(__xludf.DUMMYFUNCTION("""COMPUTED_VALUE"""),16)</f>
        <v>16</v>
      </c>
      <c r="C1539" s="5" t="str">
        <f ca="1">IFERROR(__xludf.DUMMYFUNCTION("""COMPUTED_VALUE"""),"Male")</f>
        <v>Male</v>
      </c>
      <c r="D1539" s="5"/>
      <c r="E1539" s="5" t="str">
        <f ca="1">IFERROR(__xludf.DUMMYFUNCTION("""COMPUTED_VALUE"""),"Student")</f>
        <v>Student</v>
      </c>
      <c r="F1539" s="5" t="str">
        <f ca="1">IFERROR(__xludf.DUMMYFUNCTION("""COMPUTED_VALUE"""),"Fled/Apprehended")</f>
        <v>Fled/Apprehended</v>
      </c>
      <c r="G1539" s="5" t="str">
        <f ca="1">IFERROR(__xludf.DUMMYFUNCTION("""COMPUTED_VALUE"""),"No")</f>
        <v>No</v>
      </c>
      <c r="H1539" s="5" t="str">
        <f ca="1">IFERROR(__xludf.DUMMYFUNCTION("""COMPUTED_VALUE"""),"None")</f>
        <v>None</v>
      </c>
    </row>
    <row r="1540" spans="1:8">
      <c r="A1540" s="5" t="str">
        <f ca="1">IFERROR(__xludf.DUMMYFUNCTION("""COMPUTED_VALUE"""),"20010912KYLAC")</f>
        <v>20010912KYLAC</v>
      </c>
      <c r="B1540" s="5">
        <f ca="1">IFERROR(__xludf.DUMMYFUNCTION("""COMPUTED_VALUE"""),30)</f>
        <v>30</v>
      </c>
      <c r="C1540" s="5" t="str">
        <f ca="1">IFERROR(__xludf.DUMMYFUNCTION("""COMPUTED_VALUE"""),"Female")</f>
        <v>Female</v>
      </c>
      <c r="D1540" s="5" t="str">
        <f ca="1">IFERROR(__xludf.DUMMYFUNCTION("""COMPUTED_VALUE"""),"White")</f>
        <v>White</v>
      </c>
      <c r="E1540" s="5" t="str">
        <f ca="1">IFERROR(__xludf.DUMMYFUNCTION("""COMPUTED_VALUE"""),"Parent")</f>
        <v>Parent</v>
      </c>
      <c r="F1540" s="5" t="str">
        <f ca="1">IFERROR(__xludf.DUMMYFUNCTION("""COMPUTED_VALUE"""),"Surrendered")</f>
        <v>Surrendered</v>
      </c>
      <c r="G1540" s="5" t="str">
        <f ca="1">IFERROR(__xludf.DUMMYFUNCTION("""COMPUTED_VALUE"""),"No")</f>
        <v>No</v>
      </c>
      <c r="H1540" s="5" t="str">
        <f ca="1">IFERROR(__xludf.DUMMYFUNCTION("""COMPUTED_VALUE"""),"None")</f>
        <v>None</v>
      </c>
    </row>
    <row r="1541" spans="1:8">
      <c r="A1541" s="5" t="str">
        <f ca="1">IFERROR(__xludf.DUMMYFUNCTION("""COMPUTED_VALUE"""),"20010730CABEL")</f>
        <v>20010730CABEL</v>
      </c>
      <c r="B1541" s="5"/>
      <c r="C1541" s="5" t="str">
        <f ca="1">IFERROR(__xludf.DUMMYFUNCTION("""COMPUTED_VALUE"""),"Male")</f>
        <v>Male</v>
      </c>
      <c r="D1541" s="5"/>
      <c r="E1541" s="5" t="str">
        <f ca="1">IFERROR(__xludf.DUMMYFUNCTION("""COMPUTED_VALUE"""),"No Relation")</f>
        <v>No Relation</v>
      </c>
      <c r="F1541" s="5" t="str">
        <f ca="1">IFERROR(__xludf.DUMMYFUNCTION("""COMPUTED_VALUE"""),"Fled/Escaped")</f>
        <v>Fled/Escaped</v>
      </c>
      <c r="G1541" s="5" t="str">
        <f ca="1">IFERROR(__xludf.DUMMYFUNCTION("""COMPUTED_VALUE"""),"No")</f>
        <v>No</v>
      </c>
      <c r="H1541" s="5" t="str">
        <f ca="1">IFERROR(__xludf.DUMMYFUNCTION("""COMPUTED_VALUE"""),"None")</f>
        <v>None</v>
      </c>
    </row>
    <row r="1542" spans="1:8">
      <c r="A1542" s="5" t="str">
        <f ca="1">IFERROR(__xludf.DUMMYFUNCTION("""COMPUTED_VALUE"""),"20010607TXOUA")</f>
        <v>20010607TXOUA</v>
      </c>
      <c r="B1542" s="5" t="str">
        <f ca="1">IFERROR(__xludf.DUMMYFUNCTION("""COMPUTED_VALUE"""),"Adult")</f>
        <v>Adult</v>
      </c>
      <c r="C1542" s="5"/>
      <c r="D1542" s="5"/>
      <c r="E1542" s="5" t="str">
        <f ca="1">IFERROR(__xludf.DUMMYFUNCTION("""COMPUTED_VALUE"""),"Police Officer/SRO")</f>
        <v>Police Officer/SRO</v>
      </c>
      <c r="F1542" s="5" t="str">
        <f ca="1">IFERROR(__xludf.DUMMYFUNCTION("""COMPUTED_VALUE"""),"Law Enforcement")</f>
        <v>Law Enforcement</v>
      </c>
      <c r="G1542" s="5" t="str">
        <f ca="1">IFERROR(__xludf.DUMMYFUNCTION("""COMPUTED_VALUE"""),"No")</f>
        <v>No</v>
      </c>
      <c r="H1542" s="5" t="str">
        <f ca="1">IFERROR(__xludf.DUMMYFUNCTION("""COMPUTED_VALUE"""),"None")</f>
        <v>None</v>
      </c>
    </row>
    <row r="1543" spans="1:8">
      <c r="A1543" s="5" t="str">
        <f ca="1">IFERROR(__xludf.DUMMYFUNCTION("""COMPUTED_VALUE"""),"20010515TXENE")</f>
        <v>20010515TXENE</v>
      </c>
      <c r="B1543" s="5">
        <f ca="1">IFERROR(__xludf.DUMMYFUNCTION("""COMPUTED_VALUE"""),16)</f>
        <v>16</v>
      </c>
      <c r="C1543" s="5" t="str">
        <f ca="1">IFERROR(__xludf.DUMMYFUNCTION("""COMPUTED_VALUE"""),"Male")</f>
        <v>Male</v>
      </c>
      <c r="D1543" s="5"/>
      <c r="E1543" s="5" t="str">
        <f ca="1">IFERROR(__xludf.DUMMYFUNCTION("""COMPUTED_VALUE"""),"Student")</f>
        <v>Student</v>
      </c>
      <c r="F1543" s="5" t="str">
        <f ca="1">IFERROR(__xludf.DUMMYFUNCTION("""COMPUTED_VALUE"""),"Suicide")</f>
        <v>Suicide</v>
      </c>
      <c r="G1543" s="5" t="str">
        <f ca="1">IFERROR(__xludf.DUMMYFUNCTION("""COMPUTED_VALUE"""),"Yes")</f>
        <v>Yes</v>
      </c>
      <c r="H1543" s="5" t="str">
        <f ca="1">IFERROR(__xludf.DUMMYFUNCTION("""COMPUTED_VALUE"""),"Suicide")</f>
        <v>Suicide</v>
      </c>
    </row>
    <row r="1544" spans="1:8">
      <c r="A1544" s="5" t="str">
        <f ca="1">IFERROR(__xludf.DUMMYFUNCTION("""COMPUTED_VALUE"""),"20010425OHJOC")</f>
        <v>20010425OHJOC</v>
      </c>
      <c r="B1544" s="5"/>
      <c r="C1544" s="5"/>
      <c r="D1544" s="5"/>
      <c r="E1544" s="5" t="str">
        <f ca="1">IFERROR(__xludf.DUMMYFUNCTION("""COMPUTED_VALUE"""),"Unknown")</f>
        <v>Unknown</v>
      </c>
      <c r="F1544" s="5" t="str">
        <f ca="1">IFERROR(__xludf.DUMMYFUNCTION("""COMPUTED_VALUE"""),"Fled/Escaped")</f>
        <v>Fled/Escaped</v>
      </c>
      <c r="G1544" s="5" t="str">
        <f ca="1">IFERROR(__xludf.DUMMYFUNCTION("""COMPUTED_VALUE"""),"No")</f>
        <v>No</v>
      </c>
      <c r="H1544" s="5" t="str">
        <f ca="1">IFERROR(__xludf.DUMMYFUNCTION("""COMPUTED_VALUE"""),"None")</f>
        <v>None</v>
      </c>
    </row>
    <row r="1545" spans="1:8">
      <c r="A1545" s="5" t="str">
        <f ca="1">IFERROR(__xludf.DUMMYFUNCTION("""COMPUTED_VALUE"""),"20010420LAMOM")</f>
        <v>20010420LAMOM</v>
      </c>
      <c r="B1545" s="5">
        <f ca="1">IFERROR(__xludf.DUMMYFUNCTION("""COMPUTED_VALUE"""),14)</f>
        <v>14</v>
      </c>
      <c r="C1545" s="5" t="str">
        <f ca="1">IFERROR(__xludf.DUMMYFUNCTION("""COMPUTED_VALUE"""),"Male")</f>
        <v>Male</v>
      </c>
      <c r="D1545" s="5"/>
      <c r="E1545" s="5" t="str">
        <f ca="1">IFERROR(__xludf.DUMMYFUNCTION("""COMPUTED_VALUE"""),"Student")</f>
        <v>Student</v>
      </c>
      <c r="F1545" s="5" t="str">
        <f ca="1">IFERROR(__xludf.DUMMYFUNCTION("""COMPUTED_VALUE"""),"Apprehended/Killed by LE")</f>
        <v>Apprehended/Killed by LE</v>
      </c>
      <c r="G1545" s="5" t="str">
        <f ca="1">IFERROR(__xludf.DUMMYFUNCTION("""COMPUTED_VALUE"""),"No")</f>
        <v>No</v>
      </c>
      <c r="H1545" s="5" t="str">
        <f ca="1">IFERROR(__xludf.DUMMYFUNCTION("""COMPUTED_VALUE"""),"None")</f>
        <v>None</v>
      </c>
    </row>
    <row r="1546" spans="1:8">
      <c r="A1546" s="5" t="str">
        <f ca="1">IFERROR(__xludf.DUMMYFUNCTION("""COMPUTED_VALUE"""),"20010410WAWAM")</f>
        <v>20010410WAWAM</v>
      </c>
      <c r="B1546" s="5">
        <f ca="1">IFERROR(__xludf.DUMMYFUNCTION("""COMPUTED_VALUE"""),16)</f>
        <v>16</v>
      </c>
      <c r="C1546" s="5" t="str">
        <f ca="1">IFERROR(__xludf.DUMMYFUNCTION("""COMPUTED_VALUE"""),"Male")</f>
        <v>Male</v>
      </c>
      <c r="D1546" s="5"/>
      <c r="E1546" s="5" t="str">
        <f ca="1">IFERROR(__xludf.DUMMYFUNCTION("""COMPUTED_VALUE"""),"Student")</f>
        <v>Student</v>
      </c>
      <c r="F1546" s="5" t="str">
        <f ca="1">IFERROR(__xludf.DUMMYFUNCTION("""COMPUTED_VALUE"""),"Surrendered")</f>
        <v>Surrendered</v>
      </c>
      <c r="G1546" s="5" t="str">
        <f ca="1">IFERROR(__xludf.DUMMYFUNCTION("""COMPUTED_VALUE"""),"No")</f>
        <v>No</v>
      </c>
      <c r="H1546" s="5" t="str">
        <f ca="1">IFERROR(__xludf.DUMMYFUNCTION("""COMPUTED_VALUE"""),"None")</f>
        <v>None</v>
      </c>
    </row>
    <row r="1547" spans="1:8">
      <c r="A1547" s="5" t="str">
        <f ca="1">IFERROR(__xludf.DUMMYFUNCTION("""COMPUTED_VALUE"""),"20010402TXKLH")</f>
        <v>20010402TXKLH</v>
      </c>
      <c r="B1547" s="5">
        <f ca="1">IFERROR(__xludf.DUMMYFUNCTION("""COMPUTED_VALUE"""),13)</f>
        <v>13</v>
      </c>
      <c r="C1547" s="5" t="str">
        <f ca="1">IFERROR(__xludf.DUMMYFUNCTION("""COMPUTED_VALUE"""),"Female")</f>
        <v>Female</v>
      </c>
      <c r="D1547" s="5"/>
      <c r="E1547" s="5" t="str">
        <f ca="1">IFERROR(__xludf.DUMMYFUNCTION("""COMPUTED_VALUE"""),"Student")</f>
        <v>Student</v>
      </c>
      <c r="F1547" s="5" t="str">
        <f ca="1">IFERROR(__xludf.DUMMYFUNCTION("""COMPUTED_VALUE"""),"Suicide")</f>
        <v>Suicide</v>
      </c>
      <c r="G1547" s="5" t="str">
        <f ca="1">IFERROR(__xludf.DUMMYFUNCTION("""COMPUTED_VALUE"""),"Yes")</f>
        <v>Yes</v>
      </c>
      <c r="H1547" s="5" t="str">
        <f ca="1">IFERROR(__xludf.DUMMYFUNCTION("""COMPUTED_VALUE"""),"Suicide")</f>
        <v>Suicide</v>
      </c>
    </row>
    <row r="1548" spans="1:8">
      <c r="A1548" s="5" t="str">
        <f ca="1">IFERROR(__xludf.DUMMYFUNCTION("""COMPUTED_VALUE"""),"20010330INLEG")</f>
        <v>20010330INLEG</v>
      </c>
      <c r="B1548" s="5">
        <f ca="1">IFERROR(__xludf.DUMMYFUNCTION("""COMPUTED_VALUE"""),17)</f>
        <v>17</v>
      </c>
      <c r="C1548" s="5" t="str">
        <f ca="1">IFERROR(__xludf.DUMMYFUNCTION("""COMPUTED_VALUE"""),"Male")</f>
        <v>Male</v>
      </c>
      <c r="D1548" s="5" t="str">
        <f ca="1">IFERROR(__xludf.DUMMYFUNCTION("""COMPUTED_VALUE"""),"Black")</f>
        <v>Black</v>
      </c>
      <c r="E1548" s="5" t="str">
        <f ca="1">IFERROR(__xludf.DUMMYFUNCTION("""COMPUTED_VALUE"""),"Former Student")</f>
        <v>Former Student</v>
      </c>
      <c r="F1548" s="5" t="str">
        <f ca="1">IFERROR(__xludf.DUMMYFUNCTION("""COMPUTED_VALUE"""),"Fled/Apprehended")</f>
        <v>Fled/Apprehended</v>
      </c>
      <c r="G1548" s="5" t="str">
        <f ca="1">IFERROR(__xludf.DUMMYFUNCTION("""COMPUTED_VALUE"""),"No")</f>
        <v>No</v>
      </c>
      <c r="H1548" s="5" t="str">
        <f ca="1">IFERROR(__xludf.DUMMYFUNCTION("""COMPUTED_VALUE"""),"None")</f>
        <v>None</v>
      </c>
    </row>
    <row r="1549" spans="1:8">
      <c r="A1549" s="5" t="str">
        <f ca="1">IFERROR(__xludf.DUMMYFUNCTION("""COMPUTED_VALUE"""),"20010322CAGRE")</f>
        <v>20010322CAGRE</v>
      </c>
      <c r="B1549" s="5">
        <f ca="1">IFERROR(__xludf.DUMMYFUNCTION("""COMPUTED_VALUE"""),18)</f>
        <v>18</v>
      </c>
      <c r="C1549" s="5" t="str">
        <f ca="1">IFERROR(__xludf.DUMMYFUNCTION("""COMPUTED_VALUE"""),"Male")</f>
        <v>Male</v>
      </c>
      <c r="D1549" s="5" t="str">
        <f ca="1">IFERROR(__xludf.DUMMYFUNCTION("""COMPUTED_VALUE"""),"White")</f>
        <v>White</v>
      </c>
      <c r="E1549" s="5" t="str">
        <f ca="1">IFERROR(__xludf.DUMMYFUNCTION("""COMPUTED_VALUE"""),"Student")</f>
        <v>Student</v>
      </c>
      <c r="F1549" s="5" t="str">
        <f ca="1">IFERROR(__xludf.DUMMYFUNCTION("""COMPUTED_VALUE"""),"Fled/Apprehended")</f>
        <v>Fled/Apprehended</v>
      </c>
      <c r="G1549" s="5" t="str">
        <f ca="1">IFERROR(__xludf.DUMMYFUNCTION("""COMPUTED_VALUE"""),"Yes")</f>
        <v>Yes</v>
      </c>
      <c r="H1549" s="5" t="str">
        <f ca="1">IFERROR(__xludf.DUMMYFUNCTION("""COMPUTED_VALUE"""),"Suicide")</f>
        <v>Suicide</v>
      </c>
    </row>
    <row r="1550" spans="1:8">
      <c r="A1550" s="5" t="str">
        <f ca="1">IFERROR(__xludf.DUMMYFUNCTION("""COMPUTED_VALUE"""),"20010307WAKEC")</f>
        <v>20010307WAKEC</v>
      </c>
      <c r="B1550" s="5">
        <f ca="1">IFERROR(__xludf.DUMMYFUNCTION("""COMPUTED_VALUE"""),16)</f>
        <v>16</v>
      </c>
      <c r="C1550" s="5" t="str">
        <f ca="1">IFERROR(__xludf.DUMMYFUNCTION("""COMPUTED_VALUE"""),"Male")</f>
        <v>Male</v>
      </c>
      <c r="D1550" s="5"/>
      <c r="E1550" s="5" t="str">
        <f ca="1">IFERROR(__xludf.DUMMYFUNCTION("""COMPUTED_VALUE"""),"Student")</f>
        <v>Student</v>
      </c>
      <c r="F1550" s="5" t="str">
        <f ca="1">IFERROR(__xludf.DUMMYFUNCTION("""COMPUTED_VALUE"""),"Surrendered")</f>
        <v>Surrendered</v>
      </c>
      <c r="G1550" s="5" t="str">
        <f ca="1">IFERROR(__xludf.DUMMYFUNCTION("""COMPUTED_VALUE"""),"No")</f>
        <v>No</v>
      </c>
      <c r="H1550" s="5" t="str">
        <f ca="1">IFERROR(__xludf.DUMMYFUNCTION("""COMPUTED_VALUE"""),"None")</f>
        <v>None</v>
      </c>
    </row>
    <row r="1551" spans="1:8">
      <c r="A1551" s="5" t="str">
        <f ca="1">IFERROR(__xludf.DUMMYFUNCTION("""COMPUTED_VALUE"""),"20010307PABIW")</f>
        <v>20010307PABIW</v>
      </c>
      <c r="B1551" s="5">
        <f ca="1">IFERROR(__xludf.DUMMYFUNCTION("""COMPUTED_VALUE"""),14)</f>
        <v>14</v>
      </c>
      <c r="C1551" s="5" t="str">
        <f ca="1">IFERROR(__xludf.DUMMYFUNCTION("""COMPUTED_VALUE"""),"Female")</f>
        <v>Female</v>
      </c>
      <c r="D1551" s="5" t="str">
        <f ca="1">IFERROR(__xludf.DUMMYFUNCTION("""COMPUTED_VALUE"""),"White")</f>
        <v>White</v>
      </c>
      <c r="E1551" s="5" t="str">
        <f ca="1">IFERROR(__xludf.DUMMYFUNCTION("""COMPUTED_VALUE"""),"Student")</f>
        <v>Student</v>
      </c>
      <c r="F1551" s="5" t="str">
        <f ca="1">IFERROR(__xludf.DUMMYFUNCTION("""COMPUTED_VALUE"""),"Surrendered")</f>
        <v>Surrendered</v>
      </c>
      <c r="G1551" s="5" t="str">
        <f ca="1">IFERROR(__xludf.DUMMYFUNCTION("""COMPUTED_VALUE"""),"No")</f>
        <v>No</v>
      </c>
      <c r="H1551" s="5" t="str">
        <f ca="1">IFERROR(__xludf.DUMMYFUNCTION("""COMPUTED_VALUE"""),"None")</f>
        <v>None</v>
      </c>
    </row>
    <row r="1552" spans="1:8">
      <c r="A1552" s="5" t="str">
        <f ca="1">IFERROR(__xludf.DUMMYFUNCTION("""COMPUTED_VALUE"""),"20010306MDLAL")</f>
        <v>20010306MDLAL</v>
      </c>
      <c r="B1552" s="5">
        <f ca="1">IFERROR(__xludf.DUMMYFUNCTION("""COMPUTED_VALUE"""),14)</f>
        <v>14</v>
      </c>
      <c r="C1552" s="5" t="str">
        <f ca="1">IFERROR(__xludf.DUMMYFUNCTION("""COMPUTED_VALUE"""),"Male")</f>
        <v>Male</v>
      </c>
      <c r="D1552" s="5"/>
      <c r="E1552" s="5" t="str">
        <f ca="1">IFERROR(__xludf.DUMMYFUNCTION("""COMPUTED_VALUE"""),"Student")</f>
        <v>Student</v>
      </c>
      <c r="F1552" s="5" t="str">
        <f ca="1">IFERROR(__xludf.DUMMYFUNCTION("""COMPUTED_VALUE"""),"Fled/Apprehended")</f>
        <v>Fled/Apprehended</v>
      </c>
      <c r="G1552" s="5" t="str">
        <f ca="1">IFERROR(__xludf.DUMMYFUNCTION("""COMPUTED_VALUE"""),"No")</f>
        <v>No</v>
      </c>
      <c r="H1552" s="5" t="str">
        <f ca="1">IFERROR(__xludf.DUMMYFUNCTION("""COMPUTED_VALUE"""),"None")</f>
        <v>None</v>
      </c>
    </row>
    <row r="1553" spans="1:8">
      <c r="A1553" s="5" t="str">
        <f ca="1">IFERROR(__xludf.DUMMYFUNCTION("""COMPUTED_VALUE"""),"20010305CASAS")</f>
        <v>20010305CASAS</v>
      </c>
      <c r="B1553" s="5">
        <f ca="1">IFERROR(__xludf.DUMMYFUNCTION("""COMPUTED_VALUE"""),15)</f>
        <v>15</v>
      </c>
      <c r="C1553" s="5" t="str">
        <f ca="1">IFERROR(__xludf.DUMMYFUNCTION("""COMPUTED_VALUE"""),"Male")</f>
        <v>Male</v>
      </c>
      <c r="D1553" s="5" t="str">
        <f ca="1">IFERROR(__xludf.DUMMYFUNCTION("""COMPUTED_VALUE"""),"White")</f>
        <v>White</v>
      </c>
      <c r="E1553" s="5" t="str">
        <f ca="1">IFERROR(__xludf.DUMMYFUNCTION("""COMPUTED_VALUE"""),"Student")</f>
        <v>Student</v>
      </c>
      <c r="F1553" s="5" t="str">
        <f ca="1">IFERROR(__xludf.DUMMYFUNCTION("""COMPUTED_VALUE"""),"Apprehended/Killed by LE")</f>
        <v>Apprehended/Killed by LE</v>
      </c>
      <c r="G1553" s="5" t="str">
        <f ca="1">IFERROR(__xludf.DUMMYFUNCTION("""COMPUTED_VALUE"""),"No")</f>
        <v>No</v>
      </c>
      <c r="H1553" s="5" t="str">
        <f ca="1">IFERROR(__xludf.DUMMYFUNCTION("""COMPUTED_VALUE"""),"None")</f>
        <v>None</v>
      </c>
    </row>
    <row r="1554" spans="1:8">
      <c r="A1554" s="5" t="str">
        <f ca="1">IFERROR(__xludf.DUMMYFUNCTION("""COMPUTED_VALUE"""),"20010302CAHOS")</f>
        <v>20010302CAHOS</v>
      </c>
      <c r="B1554" s="5">
        <f ca="1">IFERROR(__xludf.DUMMYFUNCTION("""COMPUTED_VALUE"""),18)</f>
        <v>18</v>
      </c>
      <c r="C1554" s="5" t="str">
        <f ca="1">IFERROR(__xludf.DUMMYFUNCTION("""COMPUTED_VALUE"""),"Male")</f>
        <v>Male</v>
      </c>
      <c r="D1554" s="5"/>
      <c r="E1554" s="5" t="str">
        <f ca="1">IFERROR(__xludf.DUMMYFUNCTION("""COMPUTED_VALUE"""),"Student")</f>
        <v>Student</v>
      </c>
      <c r="F1554" s="5" t="str">
        <f ca="1">IFERROR(__xludf.DUMMYFUNCTION("""COMPUTED_VALUE"""),"Suicide")</f>
        <v>Suicide</v>
      </c>
      <c r="G1554" s="5" t="str">
        <f ca="1">IFERROR(__xludf.DUMMYFUNCTION("""COMPUTED_VALUE"""),"Yes")</f>
        <v>Yes</v>
      </c>
      <c r="H1554" s="5" t="str">
        <f ca="1">IFERROR(__xludf.DUMMYFUNCTION("""COMPUTED_VALUE"""),"Suicide")</f>
        <v>Suicide</v>
      </c>
    </row>
    <row r="1555" spans="1:8">
      <c r="A1555" s="5" t="str">
        <f ca="1">IFERROR(__xludf.DUMMYFUNCTION("""COMPUTED_VALUE"""),"20010202MIOSD")</f>
        <v>20010202MIOSD</v>
      </c>
      <c r="B1555" s="5" t="str">
        <f ca="1">IFERROR(__xludf.DUMMYFUNCTION("""COMPUTED_VALUE"""),"Teen")</f>
        <v>Teen</v>
      </c>
      <c r="C1555" s="5" t="str">
        <f ca="1">IFERROR(__xludf.DUMMYFUNCTION("""COMPUTED_VALUE"""),"Male")</f>
        <v>Male</v>
      </c>
      <c r="D1555" s="5"/>
      <c r="E1555" s="5" t="str">
        <f ca="1">IFERROR(__xludf.DUMMYFUNCTION("""COMPUTED_VALUE"""),"Student")</f>
        <v>Student</v>
      </c>
      <c r="F1555" s="5" t="str">
        <f ca="1">IFERROR(__xludf.DUMMYFUNCTION("""COMPUTED_VALUE"""),"Fled/Escaped")</f>
        <v>Fled/Escaped</v>
      </c>
      <c r="G1555" s="5" t="str">
        <f ca="1">IFERROR(__xludf.DUMMYFUNCTION("""COMPUTED_VALUE"""),"No")</f>
        <v>No</v>
      </c>
      <c r="H1555" s="5" t="str">
        <f ca="1">IFERROR(__xludf.DUMMYFUNCTION("""COMPUTED_VALUE"""),"None")</f>
        <v>None</v>
      </c>
    </row>
    <row r="1556" spans="1:8">
      <c r="A1556" s="5" t="str">
        <f ca="1">IFERROR(__xludf.DUMMYFUNCTION("""COMPUTED_VALUE"""),"20010117MDLAB")</f>
        <v>20010117MDLAB</v>
      </c>
      <c r="B1556" s="5">
        <f ca="1">IFERROR(__xludf.DUMMYFUNCTION("""COMPUTED_VALUE"""),19)</f>
        <v>19</v>
      </c>
      <c r="C1556" s="5" t="str">
        <f ca="1">IFERROR(__xludf.DUMMYFUNCTION("""COMPUTED_VALUE"""),"Male")</f>
        <v>Male</v>
      </c>
      <c r="D1556" s="5"/>
      <c r="E1556" s="5" t="str">
        <f ca="1">IFERROR(__xludf.DUMMYFUNCTION("""COMPUTED_VALUE"""),"Unknown")</f>
        <v>Unknown</v>
      </c>
      <c r="F1556" s="5" t="str">
        <f ca="1">IFERROR(__xludf.DUMMYFUNCTION("""COMPUTED_VALUE"""),"Fled/Apprehended")</f>
        <v>Fled/Apprehended</v>
      </c>
      <c r="G1556" s="5" t="str">
        <f ca="1">IFERROR(__xludf.DUMMYFUNCTION("""COMPUTED_VALUE"""),"No")</f>
        <v>No</v>
      </c>
      <c r="H1556" s="5" t="str">
        <f ca="1">IFERROR(__xludf.DUMMYFUNCTION("""COMPUTED_VALUE"""),"None")</f>
        <v>None</v>
      </c>
    </row>
    <row r="1557" spans="1:8">
      <c r="A1557" s="5" t="str">
        <f ca="1">IFERROR(__xludf.DUMMYFUNCTION("""COMPUTED_VALUE"""),"20010110CAHUO")</f>
        <v>20010110CAHUO</v>
      </c>
      <c r="B1557" s="5">
        <f ca="1">IFERROR(__xludf.DUMMYFUNCTION("""COMPUTED_VALUE"""),17)</f>
        <v>17</v>
      </c>
      <c r="C1557" s="5" t="str">
        <f ca="1">IFERROR(__xludf.DUMMYFUNCTION("""COMPUTED_VALUE"""),"Male")</f>
        <v>Male</v>
      </c>
      <c r="D1557" s="5" t="str">
        <f ca="1">IFERROR(__xludf.DUMMYFUNCTION("""COMPUTED_VALUE"""),"Hispanic")</f>
        <v>Hispanic</v>
      </c>
      <c r="E1557" s="5" t="str">
        <f ca="1">IFERROR(__xludf.DUMMYFUNCTION("""COMPUTED_VALUE"""),"Nonstudent")</f>
        <v>Nonstudent</v>
      </c>
      <c r="F1557" s="5" t="str">
        <f ca="1">IFERROR(__xludf.DUMMYFUNCTION("""COMPUTED_VALUE"""),"Apprehended/Killed by LE")</f>
        <v>Apprehended/Killed by LE</v>
      </c>
      <c r="G1557" s="5" t="str">
        <f ca="1">IFERROR(__xludf.DUMMYFUNCTION("""COMPUTED_VALUE"""),"Yes")</f>
        <v>Yes</v>
      </c>
      <c r="H1557" s="5" t="str">
        <f ca="1">IFERROR(__xludf.DUMMYFUNCTION("""COMPUTED_VALUE"""),"Fatal")</f>
        <v>Fatal</v>
      </c>
    </row>
    <row r="1558" spans="1:8">
      <c r="A1558" s="5" t="str">
        <f ca="1">IFERROR(__xludf.DUMMYFUNCTION("""COMPUTED_VALUE"""),"20010103CABAS")</f>
        <v>20010103CABAS</v>
      </c>
      <c r="B1558" s="5">
        <f ca="1">IFERROR(__xludf.DUMMYFUNCTION("""COMPUTED_VALUE"""),15)</f>
        <v>15</v>
      </c>
      <c r="C1558" s="5" t="str">
        <f ca="1">IFERROR(__xludf.DUMMYFUNCTION("""COMPUTED_VALUE"""),"Male")</f>
        <v>Male</v>
      </c>
      <c r="D1558" s="5"/>
      <c r="E1558" s="5" t="str">
        <f ca="1">IFERROR(__xludf.DUMMYFUNCTION("""COMPUTED_VALUE"""),"Student")</f>
        <v>Student</v>
      </c>
      <c r="F1558" s="5" t="str">
        <f ca="1">IFERROR(__xludf.DUMMYFUNCTION("""COMPUTED_VALUE"""),"Fled/Apprehended")</f>
        <v>Fled/Apprehended</v>
      </c>
      <c r="G1558" s="5" t="str">
        <f ca="1">IFERROR(__xludf.DUMMYFUNCTION("""COMPUTED_VALUE"""),"No")</f>
        <v>No</v>
      </c>
      <c r="H1558" s="5" t="str">
        <f ca="1">IFERROR(__xludf.DUMMYFUNCTION("""COMPUTED_VALUE"""),"Wounded")</f>
        <v>Wounded</v>
      </c>
    </row>
    <row r="1559" spans="1:8">
      <c r="A1559" s="5" t="str">
        <f ca="1">IFERROR(__xludf.DUMMYFUNCTION("""COMPUTED_VALUE"""),"20001221FLNOM")</f>
        <v>20001221FLNOM</v>
      </c>
      <c r="B1559" s="5" t="str">
        <f ca="1">IFERROR(__xludf.DUMMYFUNCTION("""COMPUTED_VALUE"""),"Teen")</f>
        <v>Teen</v>
      </c>
      <c r="C1559" s="5" t="str">
        <f ca="1">IFERROR(__xludf.DUMMYFUNCTION("""COMPUTED_VALUE"""),"Male")</f>
        <v>Male</v>
      </c>
      <c r="D1559" s="5"/>
      <c r="E1559" s="5" t="str">
        <f ca="1">IFERROR(__xludf.DUMMYFUNCTION("""COMPUTED_VALUE"""),"No Relation")</f>
        <v>No Relation</v>
      </c>
      <c r="F1559" s="5" t="str">
        <f ca="1">IFERROR(__xludf.DUMMYFUNCTION("""COMPUTED_VALUE"""),"Fled/Escaped")</f>
        <v>Fled/Escaped</v>
      </c>
      <c r="G1559" s="5" t="str">
        <f ca="1">IFERROR(__xludf.DUMMYFUNCTION("""COMPUTED_VALUE"""),"No")</f>
        <v>No</v>
      </c>
      <c r="H1559" s="5" t="str">
        <f ca="1">IFERROR(__xludf.DUMMYFUNCTION("""COMPUTED_VALUE"""),"None")</f>
        <v>None</v>
      </c>
    </row>
    <row r="1560" spans="1:8">
      <c r="A1560" s="5" t="str">
        <f ca="1">IFERROR(__xludf.DUMMYFUNCTION("""COMPUTED_VALUE"""),"20001207CARIR")</f>
        <v>20001207CARIR</v>
      </c>
      <c r="B1560" s="5" t="str">
        <f ca="1">IFERROR(__xludf.DUMMYFUNCTION("""COMPUTED_VALUE"""),"Teen")</f>
        <v>Teen</v>
      </c>
      <c r="C1560" s="5"/>
      <c r="D1560" s="5"/>
      <c r="E1560" s="5" t="str">
        <f ca="1">IFERROR(__xludf.DUMMYFUNCTION("""COMPUTED_VALUE"""),"Unknown")</f>
        <v>Unknown</v>
      </c>
      <c r="F1560" s="5" t="str">
        <f ca="1">IFERROR(__xludf.DUMMYFUNCTION("""COMPUTED_VALUE"""),"Fled/Escaped")</f>
        <v>Fled/Escaped</v>
      </c>
      <c r="G1560" s="5" t="str">
        <f ca="1">IFERROR(__xludf.DUMMYFUNCTION("""COMPUTED_VALUE"""),"No")</f>
        <v>No</v>
      </c>
      <c r="H1560" s="5" t="str">
        <f ca="1">IFERROR(__xludf.DUMMYFUNCTION("""COMPUTED_VALUE"""),"None")</f>
        <v>None</v>
      </c>
    </row>
    <row r="1561" spans="1:8">
      <c r="A1561" s="5" t="str">
        <f ca="1">IFERROR(__xludf.DUMMYFUNCTION("""COMPUTED_VALUE"""),"20001201CAJUS")</f>
        <v>20001201CAJUS</v>
      </c>
      <c r="B1561" s="5">
        <f ca="1">IFERROR(__xludf.DUMMYFUNCTION("""COMPUTED_VALUE"""),15)</f>
        <v>15</v>
      </c>
      <c r="C1561" s="5" t="str">
        <f ca="1">IFERROR(__xludf.DUMMYFUNCTION("""COMPUTED_VALUE"""),"Male")</f>
        <v>Male</v>
      </c>
      <c r="D1561" s="5"/>
      <c r="E1561" s="5" t="str">
        <f ca="1">IFERROR(__xludf.DUMMYFUNCTION("""COMPUTED_VALUE"""),"Student")</f>
        <v>Student</v>
      </c>
      <c r="F1561" s="5" t="str">
        <f ca="1">IFERROR(__xludf.DUMMYFUNCTION("""COMPUTED_VALUE"""),"Surrendered")</f>
        <v>Surrendered</v>
      </c>
      <c r="G1561" s="5" t="str">
        <f ca="1">IFERROR(__xludf.DUMMYFUNCTION("""COMPUTED_VALUE"""),"No")</f>
        <v>No</v>
      </c>
      <c r="H1561" s="5" t="str">
        <f ca="1">IFERROR(__xludf.DUMMYFUNCTION("""COMPUTED_VALUE"""),"Wounded")</f>
        <v>Wounded</v>
      </c>
    </row>
    <row r="1562" spans="1:8">
      <c r="A1562" s="5" t="str">
        <f ca="1">IFERROR(__xludf.DUMMYFUNCTION("""COMPUTED_VALUE"""),"20001201CAGRL")</f>
        <v>20001201CAGRL</v>
      </c>
      <c r="B1562" s="5">
        <f ca="1">IFERROR(__xludf.DUMMYFUNCTION("""COMPUTED_VALUE"""),17)</f>
        <v>17</v>
      </c>
      <c r="C1562" s="5" t="str">
        <f ca="1">IFERROR(__xludf.DUMMYFUNCTION("""COMPUTED_VALUE"""),"Male")</f>
        <v>Male</v>
      </c>
      <c r="D1562" s="5"/>
      <c r="E1562" s="5" t="str">
        <f ca="1">IFERROR(__xludf.DUMMYFUNCTION("""COMPUTED_VALUE"""),"Student")</f>
        <v>Student</v>
      </c>
      <c r="F1562" s="5" t="str">
        <f ca="1">IFERROR(__xludf.DUMMYFUNCTION("""COMPUTED_VALUE"""),"Suicide")</f>
        <v>Suicide</v>
      </c>
      <c r="G1562" s="5" t="str">
        <f ca="1">IFERROR(__xludf.DUMMYFUNCTION("""COMPUTED_VALUE"""),"Yes")</f>
        <v>Yes</v>
      </c>
      <c r="H1562" s="5" t="str">
        <f ca="1">IFERROR(__xludf.DUMMYFUNCTION("""COMPUTED_VALUE"""),"Suicide")</f>
        <v>Suicide</v>
      </c>
    </row>
    <row r="1563" spans="1:8">
      <c r="A1563" s="5" t="str">
        <f ca="1">IFERROR(__xludf.DUMMYFUNCTION("""COMPUTED_VALUE"""),"20001101TXNEC")</f>
        <v>20001101TXNEC</v>
      </c>
      <c r="B1563" s="5">
        <f ca="1">IFERROR(__xludf.DUMMYFUNCTION("""COMPUTED_VALUE"""),15)</f>
        <v>15</v>
      </c>
      <c r="C1563" s="5" t="str">
        <f ca="1">IFERROR(__xludf.DUMMYFUNCTION("""COMPUTED_VALUE"""),"Male")</f>
        <v>Male</v>
      </c>
      <c r="D1563" s="5"/>
      <c r="E1563" s="5" t="str">
        <f ca="1">IFERROR(__xludf.DUMMYFUNCTION("""COMPUTED_VALUE"""),"Student")</f>
        <v>Student</v>
      </c>
      <c r="F1563" s="5" t="str">
        <f ca="1">IFERROR(__xludf.DUMMYFUNCTION("""COMPUTED_VALUE"""),"Apprehended/Killed by LE")</f>
        <v>Apprehended/Killed by LE</v>
      </c>
      <c r="G1563" s="5" t="str">
        <f ca="1">IFERROR(__xludf.DUMMYFUNCTION("""COMPUTED_VALUE"""),"No")</f>
        <v>No</v>
      </c>
      <c r="H1563" s="5" t="str">
        <f ca="1">IFERROR(__xludf.DUMMYFUNCTION("""COMPUTED_VALUE"""),"None")</f>
        <v>None</v>
      </c>
    </row>
    <row r="1564" spans="1:8">
      <c r="A1564" s="5" t="str">
        <f ca="1">IFERROR(__xludf.DUMMYFUNCTION("""COMPUTED_VALUE"""),"20001024AZPIG")</f>
        <v>20001024AZPIG</v>
      </c>
      <c r="B1564" s="5">
        <f ca="1">IFERROR(__xludf.DUMMYFUNCTION("""COMPUTED_VALUE"""),14)</f>
        <v>14</v>
      </c>
      <c r="C1564" s="5" t="str">
        <f ca="1">IFERROR(__xludf.DUMMYFUNCTION("""COMPUTED_VALUE"""),"Male")</f>
        <v>Male</v>
      </c>
      <c r="D1564" s="5"/>
      <c r="E1564" s="5" t="str">
        <f ca="1">IFERROR(__xludf.DUMMYFUNCTION("""COMPUTED_VALUE"""),"Former Student")</f>
        <v>Former Student</v>
      </c>
      <c r="F1564" s="5" t="str">
        <f ca="1">IFERROR(__xludf.DUMMYFUNCTION("""COMPUTED_VALUE"""),"Surrendered")</f>
        <v>Surrendered</v>
      </c>
      <c r="G1564" s="5" t="str">
        <f ca="1">IFERROR(__xludf.DUMMYFUNCTION("""COMPUTED_VALUE"""),"No")</f>
        <v>No</v>
      </c>
      <c r="H1564" s="5" t="str">
        <f ca="1">IFERROR(__xludf.DUMMYFUNCTION("""COMPUTED_VALUE"""),"None")</f>
        <v>None</v>
      </c>
    </row>
    <row r="1565" spans="1:8">
      <c r="A1565" s="5" t="str">
        <f ca="1">IFERROR(__xludf.DUMMYFUNCTION("""COMPUTED_VALUE"""),"20001005MNMIM")</f>
        <v>20001005MNMIM</v>
      </c>
      <c r="B1565" s="5"/>
      <c r="C1565" s="5" t="str">
        <f ca="1">IFERROR(__xludf.DUMMYFUNCTION("""COMPUTED_VALUE"""),"Male")</f>
        <v>Male</v>
      </c>
      <c r="D1565" s="5"/>
      <c r="E1565" s="5" t="str">
        <f ca="1">IFERROR(__xludf.DUMMYFUNCTION("""COMPUTED_VALUE"""),"Nonstudent")</f>
        <v>Nonstudent</v>
      </c>
      <c r="F1565" s="5" t="str">
        <f ca="1">IFERROR(__xludf.DUMMYFUNCTION("""COMPUTED_VALUE"""),"Fled/Escaped")</f>
        <v>Fled/Escaped</v>
      </c>
      <c r="G1565" s="5" t="str">
        <f ca="1">IFERROR(__xludf.DUMMYFUNCTION("""COMPUTED_VALUE"""),"No")</f>
        <v>No</v>
      </c>
      <c r="H1565" s="5" t="str">
        <f ca="1">IFERROR(__xludf.DUMMYFUNCTION("""COMPUTED_VALUE"""),"None")</f>
        <v>None</v>
      </c>
    </row>
    <row r="1566" spans="1:8">
      <c r="A1566" s="5" t="str">
        <f ca="1">IFERROR(__xludf.DUMMYFUNCTION("""COMPUTED_VALUE"""),"20000926LACAN")</f>
        <v>20000926LACAN</v>
      </c>
      <c r="B1566" s="5">
        <f ca="1">IFERROR(__xludf.DUMMYFUNCTION("""COMPUTED_VALUE"""),13)</f>
        <v>13</v>
      </c>
      <c r="C1566" s="5" t="str">
        <f ca="1">IFERROR(__xludf.DUMMYFUNCTION("""COMPUTED_VALUE"""),"Male")</f>
        <v>Male</v>
      </c>
      <c r="D1566" s="5" t="str">
        <f ca="1">IFERROR(__xludf.DUMMYFUNCTION("""COMPUTED_VALUE"""),"Black")</f>
        <v>Black</v>
      </c>
      <c r="E1566" s="5" t="str">
        <f ca="1">IFERROR(__xludf.DUMMYFUNCTION("""COMPUTED_VALUE"""),"Student")</f>
        <v>Student</v>
      </c>
      <c r="F1566" s="5" t="str">
        <f ca="1">IFERROR(__xludf.DUMMYFUNCTION("""COMPUTED_VALUE"""),"Apprehended/Killed by LE")</f>
        <v>Apprehended/Killed by LE</v>
      </c>
      <c r="G1566" s="5" t="str">
        <f ca="1">IFERROR(__xludf.DUMMYFUNCTION("""COMPUTED_VALUE"""),"No")</f>
        <v>No</v>
      </c>
      <c r="H1566" s="5" t="str">
        <f ca="1">IFERROR(__xludf.DUMMYFUNCTION("""COMPUTED_VALUE"""),"None")</f>
        <v>None</v>
      </c>
    </row>
    <row r="1567" spans="1:8">
      <c r="A1567" s="5" t="str">
        <f ca="1">IFERROR(__xludf.DUMMYFUNCTION("""COMPUTED_VALUE"""),"20000926LACAN")</f>
        <v>20000926LACAN</v>
      </c>
      <c r="B1567" s="5">
        <f ca="1">IFERROR(__xludf.DUMMYFUNCTION("""COMPUTED_VALUE"""),15)</f>
        <v>15</v>
      </c>
      <c r="C1567" s="5" t="str">
        <f ca="1">IFERROR(__xludf.DUMMYFUNCTION("""COMPUTED_VALUE"""),"Male")</f>
        <v>Male</v>
      </c>
      <c r="D1567" s="5" t="str">
        <f ca="1">IFERROR(__xludf.DUMMYFUNCTION("""COMPUTED_VALUE"""),"Black")</f>
        <v>Black</v>
      </c>
      <c r="E1567" s="5" t="str">
        <f ca="1">IFERROR(__xludf.DUMMYFUNCTION("""COMPUTED_VALUE"""),"Student")</f>
        <v>Student</v>
      </c>
      <c r="F1567" s="5" t="str">
        <f ca="1">IFERROR(__xludf.DUMMYFUNCTION("""COMPUTED_VALUE"""),"Apprehended/Killed by LE")</f>
        <v>Apprehended/Killed by LE</v>
      </c>
      <c r="G1567" s="5" t="str">
        <f ca="1">IFERROR(__xludf.DUMMYFUNCTION("""COMPUTED_VALUE"""),"No")</f>
        <v>No</v>
      </c>
      <c r="H1567" s="5" t="str">
        <f ca="1">IFERROR(__xludf.DUMMYFUNCTION("""COMPUTED_VALUE"""),"None")</f>
        <v>None</v>
      </c>
    </row>
    <row r="1568" spans="1:8">
      <c r="A1568" s="5" t="str">
        <f ca="1">IFERROR(__xludf.DUMMYFUNCTION("""COMPUTED_VALUE"""),"20000918OHMOM")</f>
        <v>20000918OHMOM</v>
      </c>
      <c r="B1568" s="5">
        <f ca="1">IFERROR(__xludf.DUMMYFUNCTION("""COMPUTED_VALUE"""),14)</f>
        <v>14</v>
      </c>
      <c r="C1568" s="5" t="str">
        <f ca="1">IFERROR(__xludf.DUMMYFUNCTION("""COMPUTED_VALUE"""),"Male")</f>
        <v>Male</v>
      </c>
      <c r="D1568" s="5"/>
      <c r="E1568" s="5" t="str">
        <f ca="1">IFERROR(__xludf.DUMMYFUNCTION("""COMPUTED_VALUE"""),"Student")</f>
        <v>Student</v>
      </c>
      <c r="F1568" s="5" t="str">
        <f ca="1">IFERROR(__xludf.DUMMYFUNCTION("""COMPUTED_VALUE"""),"Surrendered")</f>
        <v>Surrendered</v>
      </c>
      <c r="G1568" s="5" t="str">
        <f ca="1">IFERROR(__xludf.DUMMYFUNCTION("""COMPUTED_VALUE"""),"No")</f>
        <v>No</v>
      </c>
      <c r="H1568" s="5" t="str">
        <f ca="1">IFERROR(__xludf.DUMMYFUNCTION("""COMPUTED_VALUE"""),"None")</f>
        <v>None</v>
      </c>
    </row>
    <row r="1569" spans="1:8">
      <c r="A1569" s="5" t="str">
        <f ca="1">IFERROR(__xludf.DUMMYFUNCTION("""COMPUTED_VALUE"""),"20000907ILLOR")</f>
        <v>20000907ILLOR</v>
      </c>
      <c r="B1569" s="5">
        <f ca="1">IFERROR(__xludf.DUMMYFUNCTION("""COMPUTED_VALUE"""),19)</f>
        <v>19</v>
      </c>
      <c r="C1569" s="5" t="str">
        <f ca="1">IFERROR(__xludf.DUMMYFUNCTION("""COMPUTED_VALUE"""),"Male")</f>
        <v>Male</v>
      </c>
      <c r="D1569" s="5" t="str">
        <f ca="1">IFERROR(__xludf.DUMMYFUNCTION("""COMPUTED_VALUE"""),"White")</f>
        <v>White</v>
      </c>
      <c r="E1569" s="5" t="str">
        <f ca="1">IFERROR(__xludf.DUMMYFUNCTION("""COMPUTED_VALUE"""),"No Relation")</f>
        <v>No Relation</v>
      </c>
      <c r="F1569" s="5" t="str">
        <f ca="1">IFERROR(__xludf.DUMMYFUNCTION("""COMPUTED_VALUE"""),"Fled/Apprehended")</f>
        <v>Fled/Apprehended</v>
      </c>
      <c r="G1569" s="5" t="str">
        <f ca="1">IFERROR(__xludf.DUMMYFUNCTION("""COMPUTED_VALUE"""),"No")</f>
        <v>No</v>
      </c>
      <c r="H1569" s="5" t="str">
        <f ca="1">IFERROR(__xludf.DUMMYFUNCTION("""COMPUTED_VALUE"""),"None")</f>
        <v>None</v>
      </c>
    </row>
    <row r="1570" spans="1:8">
      <c r="A1570" s="5" t="str">
        <f ca="1">IFERROR(__xludf.DUMMYFUNCTION("""COMPUTED_VALUE"""),"20000905OHBIB")</f>
        <v>20000905OHBIB</v>
      </c>
      <c r="B1570" s="5">
        <f ca="1">IFERROR(__xludf.DUMMYFUNCTION("""COMPUTED_VALUE"""),66)</f>
        <v>66</v>
      </c>
      <c r="C1570" s="5" t="str">
        <f ca="1">IFERROR(__xludf.DUMMYFUNCTION("""COMPUTED_VALUE"""),"Male")</f>
        <v>Male</v>
      </c>
      <c r="D1570" s="5"/>
      <c r="E1570" s="5" t="str">
        <f ca="1">IFERROR(__xludf.DUMMYFUNCTION("""COMPUTED_VALUE"""),"Intimate Relationship")</f>
        <v>Intimate Relationship</v>
      </c>
      <c r="F1570" s="5" t="str">
        <f ca="1">IFERROR(__xludf.DUMMYFUNCTION("""COMPUTED_VALUE"""),"Fled/Escaped")</f>
        <v>Fled/Escaped</v>
      </c>
      <c r="G1570" s="5" t="str">
        <f ca="1">IFERROR(__xludf.DUMMYFUNCTION("""COMPUTED_VALUE"""),"Yes")</f>
        <v>Yes</v>
      </c>
      <c r="H1570" s="5" t="str">
        <f ca="1">IFERROR(__xludf.DUMMYFUNCTION("""COMPUTED_VALUE"""),"Suicide")</f>
        <v>Suicide</v>
      </c>
    </row>
    <row r="1571" spans="1:8">
      <c r="A1571" s="5" t="str">
        <f ca="1">IFERROR(__xludf.DUMMYFUNCTION("""COMPUTED_VALUE"""),"20000726OHTIC")</f>
        <v>20000726OHTIC</v>
      </c>
      <c r="B1571" s="5">
        <f ca="1">IFERROR(__xludf.DUMMYFUNCTION("""COMPUTED_VALUE"""),18)</f>
        <v>18</v>
      </c>
      <c r="C1571" s="5" t="str">
        <f ca="1">IFERROR(__xludf.DUMMYFUNCTION("""COMPUTED_VALUE"""),"Male")</f>
        <v>Male</v>
      </c>
      <c r="D1571" s="5"/>
      <c r="E1571" s="5" t="str">
        <f ca="1">IFERROR(__xludf.DUMMYFUNCTION("""COMPUTED_VALUE"""),"Student")</f>
        <v>Student</v>
      </c>
      <c r="F1571" s="5" t="str">
        <f ca="1">IFERROR(__xludf.DUMMYFUNCTION("""COMPUTED_VALUE"""),"Fled/Apprehended")</f>
        <v>Fled/Apprehended</v>
      </c>
      <c r="G1571" s="5" t="str">
        <f ca="1">IFERROR(__xludf.DUMMYFUNCTION("""COMPUTED_VALUE"""),"No")</f>
        <v>No</v>
      </c>
      <c r="H1571" s="5" t="str">
        <f ca="1">IFERROR(__xludf.DUMMYFUNCTION("""COMPUTED_VALUE"""),"None")</f>
        <v>None</v>
      </c>
    </row>
    <row r="1572" spans="1:8">
      <c r="A1572" s="5" t="str">
        <f ca="1">IFERROR(__xludf.DUMMYFUNCTION("""COMPUTED_VALUE"""),"20000717WADIR")</f>
        <v>20000717WADIR</v>
      </c>
      <c r="B1572" s="5">
        <f ca="1">IFERROR(__xludf.DUMMYFUNCTION("""COMPUTED_VALUE"""),13)</f>
        <v>13</v>
      </c>
      <c r="C1572" s="5" t="str">
        <f ca="1">IFERROR(__xludf.DUMMYFUNCTION("""COMPUTED_VALUE"""),"Male")</f>
        <v>Male</v>
      </c>
      <c r="D1572" s="5"/>
      <c r="E1572" s="5" t="str">
        <f ca="1">IFERROR(__xludf.DUMMYFUNCTION("""COMPUTED_VALUE"""),"Student")</f>
        <v>Student</v>
      </c>
      <c r="F1572" s="5" t="str">
        <f ca="1">IFERROR(__xludf.DUMMYFUNCTION("""COMPUTED_VALUE"""),"Fled/Apprehended")</f>
        <v>Fled/Apprehended</v>
      </c>
      <c r="G1572" s="5" t="str">
        <f ca="1">IFERROR(__xludf.DUMMYFUNCTION("""COMPUTED_VALUE"""),"No")</f>
        <v>No</v>
      </c>
      <c r="H1572" s="5" t="str">
        <f ca="1">IFERROR(__xludf.DUMMYFUNCTION("""COMPUTED_VALUE"""),"None")</f>
        <v>None</v>
      </c>
    </row>
    <row r="1573" spans="1:8">
      <c r="A1573" s="5" t="str">
        <f ca="1">IFERROR(__xludf.DUMMYFUNCTION("""COMPUTED_VALUE"""),"20000526FLLAL")</f>
        <v>20000526FLLAL</v>
      </c>
      <c r="B1573" s="5">
        <f ca="1">IFERROR(__xludf.DUMMYFUNCTION("""COMPUTED_VALUE"""),13)</f>
        <v>13</v>
      </c>
      <c r="C1573" s="5" t="str">
        <f ca="1">IFERROR(__xludf.DUMMYFUNCTION("""COMPUTED_VALUE"""),"Male")</f>
        <v>Male</v>
      </c>
      <c r="D1573" s="5" t="str">
        <f ca="1">IFERROR(__xludf.DUMMYFUNCTION("""COMPUTED_VALUE"""),"Black")</f>
        <v>Black</v>
      </c>
      <c r="E1573" s="5" t="str">
        <f ca="1">IFERROR(__xludf.DUMMYFUNCTION("""COMPUTED_VALUE"""),"Student")</f>
        <v>Student</v>
      </c>
      <c r="F1573" s="5" t="str">
        <f ca="1">IFERROR(__xludf.DUMMYFUNCTION("""COMPUTED_VALUE"""),"Subdued by Students/Staff/Other")</f>
        <v>Subdued by Students/Staff/Other</v>
      </c>
      <c r="G1573" s="5" t="str">
        <f ca="1">IFERROR(__xludf.DUMMYFUNCTION("""COMPUTED_VALUE"""),"No")</f>
        <v>No</v>
      </c>
      <c r="H1573" s="5" t="str">
        <f ca="1">IFERROR(__xludf.DUMMYFUNCTION("""COMPUTED_VALUE"""),"None")</f>
        <v>None</v>
      </c>
    </row>
    <row r="1574" spans="1:8">
      <c r="A1574" s="5" t="str">
        <f ca="1">IFERROR(__xludf.DUMMYFUNCTION("""COMPUTED_VALUE"""),"20000510AZCAS")</f>
        <v>20000510AZCAS</v>
      </c>
      <c r="B1574" s="5">
        <f ca="1">IFERROR(__xludf.DUMMYFUNCTION("""COMPUTED_VALUE"""),39)</f>
        <v>39</v>
      </c>
      <c r="C1574" s="5" t="str">
        <f ca="1">IFERROR(__xludf.DUMMYFUNCTION("""COMPUTED_VALUE"""),"Male")</f>
        <v>Male</v>
      </c>
      <c r="D1574" s="5"/>
      <c r="E1574" s="5" t="str">
        <f ca="1">IFERROR(__xludf.DUMMYFUNCTION("""COMPUTED_VALUE"""),"Intimate Relationship")</f>
        <v>Intimate Relationship</v>
      </c>
      <c r="F1574" s="5" t="str">
        <f ca="1">IFERROR(__xludf.DUMMYFUNCTION("""COMPUTED_VALUE"""),"Suicide")</f>
        <v>Suicide</v>
      </c>
      <c r="G1574" s="5" t="str">
        <f ca="1">IFERROR(__xludf.DUMMYFUNCTION("""COMPUTED_VALUE"""),"Yes")</f>
        <v>Yes</v>
      </c>
      <c r="H1574" s="5" t="str">
        <f ca="1">IFERROR(__xludf.DUMMYFUNCTION("""COMPUTED_VALUE"""),"Suicide")</f>
        <v>Suicide</v>
      </c>
    </row>
    <row r="1575" spans="1:8">
      <c r="A1575" s="5" t="str">
        <f ca="1">IFERROR(__xludf.DUMMYFUNCTION("""COMPUTED_VALUE"""),"20000502COTHD")</f>
        <v>20000502COTHD</v>
      </c>
      <c r="B1575" s="5">
        <f ca="1">IFERROR(__xludf.DUMMYFUNCTION("""COMPUTED_VALUE"""),16)</f>
        <v>16</v>
      </c>
      <c r="C1575" s="5" t="str">
        <f ca="1">IFERROR(__xludf.DUMMYFUNCTION("""COMPUTED_VALUE"""),"Male")</f>
        <v>Male</v>
      </c>
      <c r="D1575" s="5"/>
      <c r="E1575" s="5" t="str">
        <f ca="1">IFERROR(__xludf.DUMMYFUNCTION("""COMPUTED_VALUE"""),"Student")</f>
        <v>Student</v>
      </c>
      <c r="F1575" s="5" t="str">
        <f ca="1">IFERROR(__xludf.DUMMYFUNCTION("""COMPUTED_VALUE"""),"Attempted Suicide")</f>
        <v>Attempted Suicide</v>
      </c>
      <c r="G1575" s="5" t="str">
        <f ca="1">IFERROR(__xludf.DUMMYFUNCTION("""COMPUTED_VALUE"""),"No")</f>
        <v>No</v>
      </c>
      <c r="H1575" s="5" t="str">
        <f ca="1">IFERROR(__xludf.DUMMYFUNCTION("""COMPUTED_VALUE"""),"Wounded")</f>
        <v>Wounded</v>
      </c>
    </row>
    <row r="1576" spans="1:8">
      <c r="A1576" s="5" t="str">
        <f ca="1">IFERROR(__xludf.DUMMYFUNCTION("""COMPUTED_VALUE"""),"20000410AZLAT")</f>
        <v>20000410AZLAT</v>
      </c>
      <c r="B1576" s="5">
        <f ca="1">IFERROR(__xludf.DUMMYFUNCTION("""COMPUTED_VALUE"""),35)</f>
        <v>35</v>
      </c>
      <c r="C1576" s="5" t="str">
        <f ca="1">IFERROR(__xludf.DUMMYFUNCTION("""COMPUTED_VALUE"""),"Female")</f>
        <v>Female</v>
      </c>
      <c r="D1576" s="5"/>
      <c r="E1576" s="5" t="str">
        <f ca="1">IFERROR(__xludf.DUMMYFUNCTION("""COMPUTED_VALUE"""),"Teacher")</f>
        <v>Teacher</v>
      </c>
      <c r="F1576" s="5" t="str">
        <f ca="1">IFERROR(__xludf.DUMMYFUNCTION("""COMPUTED_VALUE"""),"Surrendered")</f>
        <v>Surrendered</v>
      </c>
      <c r="G1576" s="5" t="str">
        <f ca="1">IFERROR(__xludf.DUMMYFUNCTION("""COMPUTED_VALUE"""),"No")</f>
        <v>No</v>
      </c>
      <c r="H1576" s="5" t="str">
        <f ca="1">IFERROR(__xludf.DUMMYFUNCTION("""COMPUTED_VALUE"""),"Wounded")</f>
        <v>Wounded</v>
      </c>
    </row>
    <row r="1577" spans="1:8">
      <c r="A1577" s="5" t="str">
        <f ca="1">IFERROR(__xludf.DUMMYFUNCTION("""COMPUTED_VALUE"""),"20000406OKHUH")</f>
        <v>20000406OKHUH</v>
      </c>
      <c r="B1577" s="5">
        <f ca="1">IFERROR(__xludf.DUMMYFUNCTION("""COMPUTED_VALUE"""),35)</f>
        <v>35</v>
      </c>
      <c r="C1577" s="5" t="str">
        <f ca="1">IFERROR(__xludf.DUMMYFUNCTION("""COMPUTED_VALUE"""),"Female")</f>
        <v>Female</v>
      </c>
      <c r="D1577" s="5"/>
      <c r="E1577" s="5" t="str">
        <f ca="1">IFERROR(__xludf.DUMMYFUNCTION("""COMPUTED_VALUE"""),"Parent")</f>
        <v>Parent</v>
      </c>
      <c r="F1577" s="5" t="str">
        <f ca="1">IFERROR(__xludf.DUMMYFUNCTION("""COMPUTED_VALUE"""),"Apprehended/Killed by LE")</f>
        <v>Apprehended/Killed by LE</v>
      </c>
      <c r="G1577" s="5" t="str">
        <f ca="1">IFERROR(__xludf.DUMMYFUNCTION("""COMPUTED_VALUE"""),"No")</f>
        <v>No</v>
      </c>
      <c r="H1577" s="5" t="str">
        <f ca="1">IFERROR(__xludf.DUMMYFUNCTION("""COMPUTED_VALUE"""),"None")</f>
        <v>None</v>
      </c>
    </row>
    <row r="1578" spans="1:8">
      <c r="A1578" s="5" t="str">
        <f ca="1">IFERROR(__xludf.DUMMYFUNCTION("""COMPUTED_VALUE"""),"20000323OHMCL")</f>
        <v>20000323OHMCL</v>
      </c>
      <c r="B1578" s="5">
        <f ca="1">IFERROR(__xludf.DUMMYFUNCTION("""COMPUTED_VALUE"""),13)</f>
        <v>13</v>
      </c>
      <c r="C1578" s="5" t="str">
        <f ca="1">IFERROR(__xludf.DUMMYFUNCTION("""COMPUTED_VALUE"""),"Male")</f>
        <v>Male</v>
      </c>
      <c r="D1578" s="5"/>
      <c r="E1578" s="5" t="str">
        <f ca="1">IFERROR(__xludf.DUMMYFUNCTION("""COMPUTED_VALUE"""),"Student")</f>
        <v>Student</v>
      </c>
      <c r="F1578" s="5" t="str">
        <f ca="1">IFERROR(__xludf.DUMMYFUNCTION("""COMPUTED_VALUE"""),"Surrendered")</f>
        <v>Surrendered</v>
      </c>
      <c r="G1578" s="5" t="str">
        <f ca="1">IFERROR(__xludf.DUMMYFUNCTION("""COMPUTED_VALUE"""),"No")</f>
        <v>No</v>
      </c>
      <c r="H1578" s="5" t="str">
        <f ca="1">IFERROR(__xludf.DUMMYFUNCTION("""COMPUTED_VALUE"""),"None")</f>
        <v>None</v>
      </c>
    </row>
    <row r="1579" spans="1:8">
      <c r="A1579" s="5" t="str">
        <f ca="1">IFERROR(__xludf.DUMMYFUNCTION("""COMPUTED_VALUE"""),"20000310GABES")</f>
        <v>20000310GABES</v>
      </c>
      <c r="B1579" s="5">
        <f ca="1">IFERROR(__xludf.DUMMYFUNCTION("""COMPUTED_VALUE"""),19)</f>
        <v>19</v>
      </c>
      <c r="C1579" s="5" t="str">
        <f ca="1">IFERROR(__xludf.DUMMYFUNCTION("""COMPUTED_VALUE"""),"Male")</f>
        <v>Male</v>
      </c>
      <c r="D1579" s="5"/>
      <c r="E1579" s="5" t="str">
        <f ca="1">IFERROR(__xludf.DUMMYFUNCTION("""COMPUTED_VALUE"""),"Nonstudent Using Athletic Facilities/Attending Game")</f>
        <v>Nonstudent Using Athletic Facilities/Attending Game</v>
      </c>
      <c r="F1579" s="5" t="str">
        <f ca="1">IFERROR(__xludf.DUMMYFUNCTION("""COMPUTED_VALUE"""),"Fled/Apprehended")</f>
        <v>Fled/Apprehended</v>
      </c>
      <c r="G1579" s="5" t="str">
        <f ca="1">IFERROR(__xludf.DUMMYFUNCTION("""COMPUTED_VALUE"""),"No")</f>
        <v>No</v>
      </c>
      <c r="H1579" s="5" t="str">
        <f ca="1">IFERROR(__xludf.DUMMYFUNCTION("""COMPUTED_VALUE"""),"None")</f>
        <v>None</v>
      </c>
    </row>
    <row r="1580" spans="1:8">
      <c r="A1580" s="5" t="str">
        <f ca="1">IFERROR(__xludf.DUMMYFUNCTION("""COMPUTED_VALUE"""),"20000229MIBUF")</f>
        <v>20000229MIBUF</v>
      </c>
      <c r="B1580" s="5">
        <f ca="1">IFERROR(__xludf.DUMMYFUNCTION("""COMPUTED_VALUE"""),6)</f>
        <v>6</v>
      </c>
      <c r="C1580" s="5" t="str">
        <f ca="1">IFERROR(__xludf.DUMMYFUNCTION("""COMPUTED_VALUE"""),"Male")</f>
        <v>Male</v>
      </c>
      <c r="D1580" s="5" t="str">
        <f ca="1">IFERROR(__xludf.DUMMYFUNCTION("""COMPUTED_VALUE"""),"Black")</f>
        <v>Black</v>
      </c>
      <c r="E1580" s="5" t="str">
        <f ca="1">IFERROR(__xludf.DUMMYFUNCTION("""COMPUTED_VALUE"""),"Student")</f>
        <v>Student</v>
      </c>
      <c r="F1580" s="5" t="str">
        <f ca="1">IFERROR(__xludf.DUMMYFUNCTION("""COMPUTED_VALUE"""),"Unknown")</f>
        <v>Unknown</v>
      </c>
      <c r="G1580" s="5" t="str">
        <f ca="1">IFERROR(__xludf.DUMMYFUNCTION("""COMPUTED_VALUE"""),"No")</f>
        <v>No</v>
      </c>
      <c r="H1580" s="5" t="str">
        <f ca="1">IFERROR(__xludf.DUMMYFUNCTION("""COMPUTED_VALUE"""),"None")</f>
        <v>None</v>
      </c>
    </row>
    <row r="1581" spans="1:8">
      <c r="A1581" s="5" t="str">
        <f ca="1">IFERROR(__xludf.DUMMYFUNCTION("""COMPUTED_VALUE"""),"20000214ILDUC")</f>
        <v>20000214ILDUC</v>
      </c>
      <c r="B1581" s="5">
        <f ca="1">IFERROR(__xludf.DUMMYFUNCTION("""COMPUTED_VALUE"""),12)</f>
        <v>12</v>
      </c>
      <c r="C1581" s="5" t="str">
        <f ca="1">IFERROR(__xludf.DUMMYFUNCTION("""COMPUTED_VALUE"""),"Male")</f>
        <v>Male</v>
      </c>
      <c r="D1581" s="5"/>
      <c r="E1581" s="5" t="str">
        <f ca="1">IFERROR(__xludf.DUMMYFUNCTION("""COMPUTED_VALUE"""),"Student")</f>
        <v>Student</v>
      </c>
      <c r="F1581" s="5" t="str">
        <f ca="1">IFERROR(__xludf.DUMMYFUNCTION("""COMPUTED_VALUE"""),"Fled/Escaped")</f>
        <v>Fled/Escaped</v>
      </c>
      <c r="G1581" s="5" t="str">
        <f ca="1">IFERROR(__xludf.DUMMYFUNCTION("""COMPUTED_VALUE"""),"No")</f>
        <v>No</v>
      </c>
      <c r="H1581" s="5" t="str">
        <f ca="1">IFERROR(__xludf.DUMMYFUNCTION("""COMPUTED_VALUE"""),"None")</f>
        <v>None</v>
      </c>
    </row>
    <row r="1582" spans="1:8">
      <c r="A1582" s="5" t="str">
        <f ca="1">IFERROR(__xludf.DUMMYFUNCTION("""COMPUTED_VALUE"""),"20000210PAPEY")</f>
        <v>20000210PAPEY</v>
      </c>
      <c r="B1582" s="5">
        <f ca="1">IFERROR(__xludf.DUMMYFUNCTION("""COMPUTED_VALUE"""),13)</f>
        <v>13</v>
      </c>
      <c r="C1582" s="5" t="str">
        <f ca="1">IFERROR(__xludf.DUMMYFUNCTION("""COMPUTED_VALUE"""),"Male")</f>
        <v>Male</v>
      </c>
      <c r="D1582" s="5"/>
      <c r="E1582" s="5" t="str">
        <f ca="1">IFERROR(__xludf.DUMMYFUNCTION("""COMPUTED_VALUE"""),"Student")</f>
        <v>Student</v>
      </c>
      <c r="F1582" s="5" t="str">
        <f ca="1">IFERROR(__xludf.DUMMYFUNCTION("""COMPUTED_VALUE"""),"Fled/Apprehended")</f>
        <v>Fled/Apprehended</v>
      </c>
      <c r="G1582" s="5" t="str">
        <f ca="1">IFERROR(__xludf.DUMMYFUNCTION("""COMPUTED_VALUE"""),"No")</f>
        <v>No</v>
      </c>
      <c r="H1582" s="5" t="str">
        <f ca="1">IFERROR(__xludf.DUMMYFUNCTION("""COMPUTED_VALUE"""),"None")</f>
        <v>None</v>
      </c>
    </row>
    <row r="1583" spans="1:8">
      <c r="A1583" s="5" t="str">
        <f ca="1">IFERROR(__xludf.DUMMYFUNCTION("""COMPUTED_VALUE"""),"20000126NESOO")</f>
        <v>20000126NESOO</v>
      </c>
      <c r="B1583" s="5" t="str">
        <f ca="1">IFERROR(__xludf.DUMMYFUNCTION("""COMPUTED_VALUE"""),"Teen")</f>
        <v>Teen</v>
      </c>
      <c r="C1583" s="5" t="str">
        <f ca="1">IFERROR(__xludf.DUMMYFUNCTION("""COMPUTED_VALUE"""),"Male")</f>
        <v>Male</v>
      </c>
      <c r="D1583" s="5"/>
      <c r="E1583" s="5" t="str">
        <f ca="1">IFERROR(__xludf.DUMMYFUNCTION("""COMPUTED_VALUE"""),"Student")</f>
        <v>Student</v>
      </c>
      <c r="F1583" s="5" t="str">
        <f ca="1">IFERROR(__xludf.DUMMYFUNCTION("""COMPUTED_VALUE"""),"Fled/Escaped")</f>
        <v>Fled/Escaped</v>
      </c>
      <c r="G1583" s="5" t="str">
        <f ca="1">IFERROR(__xludf.DUMMYFUNCTION("""COMPUTED_VALUE"""),"No")</f>
        <v>No</v>
      </c>
      <c r="H1583" s="5" t="str">
        <f ca="1">IFERROR(__xludf.DUMMYFUNCTION("""COMPUTED_VALUE"""),"None")</f>
        <v>None</v>
      </c>
    </row>
    <row r="1584" spans="1:8">
      <c r="A1584" s="5" t="str">
        <f ca="1">IFERROR(__xludf.DUMMYFUNCTION("""COMPUTED_VALUE"""),"20000126CAALM")</f>
        <v>20000126CAALM</v>
      </c>
      <c r="B1584" s="5">
        <f ca="1">IFERROR(__xludf.DUMMYFUNCTION("""COMPUTED_VALUE"""),13)</f>
        <v>13</v>
      </c>
      <c r="C1584" s="5" t="str">
        <f ca="1">IFERROR(__xludf.DUMMYFUNCTION("""COMPUTED_VALUE"""),"Male")</f>
        <v>Male</v>
      </c>
      <c r="D1584" s="5"/>
      <c r="E1584" s="5" t="str">
        <f ca="1">IFERROR(__xludf.DUMMYFUNCTION("""COMPUTED_VALUE"""),"Student")</f>
        <v>Student</v>
      </c>
      <c r="F1584" s="5" t="str">
        <f ca="1">IFERROR(__xludf.DUMMYFUNCTION("""COMPUTED_VALUE"""),"Fled/Apprehended")</f>
        <v>Fled/Apprehended</v>
      </c>
      <c r="G1584" s="5" t="str">
        <f ca="1">IFERROR(__xludf.DUMMYFUNCTION("""COMPUTED_VALUE"""),"No")</f>
        <v>No</v>
      </c>
      <c r="H1584" s="5" t="str">
        <f ca="1">IFERROR(__xludf.DUMMYFUNCTION("""COMPUTED_VALUE"""),"None")</f>
        <v>None</v>
      </c>
    </row>
    <row r="1585" spans="1:8">
      <c r="A1585" s="5" t="str">
        <f ca="1">IFERROR(__xludf.DUMMYFUNCTION("""COMPUTED_VALUE"""),"20000120NCERA")</f>
        <v>20000120NCERA</v>
      </c>
      <c r="B1585" s="5">
        <f ca="1">IFERROR(__xludf.DUMMYFUNCTION("""COMPUTED_VALUE"""),17)</f>
        <v>17</v>
      </c>
      <c r="C1585" s="5" t="str">
        <f ca="1">IFERROR(__xludf.DUMMYFUNCTION("""COMPUTED_VALUE"""),"Male")</f>
        <v>Male</v>
      </c>
      <c r="D1585" s="5"/>
      <c r="E1585" s="5" t="str">
        <f ca="1">IFERROR(__xludf.DUMMYFUNCTION("""COMPUTED_VALUE"""),"Former Student")</f>
        <v>Former Student</v>
      </c>
      <c r="F1585" s="5" t="str">
        <f ca="1">IFERROR(__xludf.DUMMYFUNCTION("""COMPUTED_VALUE"""),"Fled/Apprehended")</f>
        <v>Fled/Apprehended</v>
      </c>
      <c r="G1585" s="5" t="str">
        <f ca="1">IFERROR(__xludf.DUMMYFUNCTION("""COMPUTED_VALUE"""),"No")</f>
        <v>No</v>
      </c>
      <c r="H1585" s="5" t="str">
        <f ca="1">IFERROR(__xludf.DUMMYFUNCTION("""COMPUTED_VALUE"""),"None")</f>
        <v>None</v>
      </c>
    </row>
    <row r="1586" spans="1:8">
      <c r="A1586" s="5" t="str">
        <f ca="1">IFERROR(__xludf.DUMMYFUNCTION("""COMPUTED_VALUE"""),"20000119FLRIN")</f>
        <v>20000119FLRIN</v>
      </c>
      <c r="B1586" s="5">
        <f ca="1">IFERROR(__xludf.DUMMYFUNCTION("""COMPUTED_VALUE"""),16)</f>
        <v>16</v>
      </c>
      <c r="C1586" s="5" t="str">
        <f ca="1">IFERROR(__xludf.DUMMYFUNCTION("""COMPUTED_VALUE"""),"Male")</f>
        <v>Male</v>
      </c>
      <c r="D1586" s="5" t="str">
        <f ca="1">IFERROR(__xludf.DUMMYFUNCTION("""COMPUTED_VALUE"""),"White")</f>
        <v>White</v>
      </c>
      <c r="E1586" s="5" t="str">
        <f ca="1">IFERROR(__xludf.DUMMYFUNCTION("""COMPUTED_VALUE"""),"Student")</f>
        <v>Student</v>
      </c>
      <c r="F1586" s="5" t="str">
        <f ca="1">IFERROR(__xludf.DUMMYFUNCTION("""COMPUTED_VALUE"""),"Unknown")</f>
        <v>Unknown</v>
      </c>
      <c r="G1586" s="5" t="str">
        <f ca="1">IFERROR(__xludf.DUMMYFUNCTION("""COMPUTED_VALUE"""),"No")</f>
        <v>No</v>
      </c>
      <c r="H1586" s="5" t="str">
        <f ca="1">IFERROR(__xludf.DUMMYFUNCTION("""COMPUTED_VALUE"""),"None")</f>
        <v>None</v>
      </c>
    </row>
    <row r="1587" spans="1:8">
      <c r="A1587" s="5" t="str">
        <f ca="1">IFERROR(__xludf.DUMMYFUNCTION("""COMPUTED_VALUE"""),"20000113NMALA")</f>
        <v>20000113NMALA</v>
      </c>
      <c r="B1587" s="5" t="str">
        <f ca="1">IFERROR(__xludf.DUMMYFUNCTION("""COMPUTED_VALUE"""),"Teen")</f>
        <v>Teen</v>
      </c>
      <c r="C1587" s="5" t="str">
        <f ca="1">IFERROR(__xludf.DUMMYFUNCTION("""COMPUTED_VALUE"""),"Male")</f>
        <v>Male</v>
      </c>
      <c r="D1587" s="5"/>
      <c r="E1587" s="5" t="str">
        <f ca="1">IFERROR(__xludf.DUMMYFUNCTION("""COMPUTED_VALUE"""),"Rival School Student")</f>
        <v>Rival School Student</v>
      </c>
      <c r="F1587" s="5" t="str">
        <f ca="1">IFERROR(__xludf.DUMMYFUNCTION("""COMPUTED_VALUE"""),"Fled/Apprehended")</f>
        <v>Fled/Apprehended</v>
      </c>
      <c r="G1587" s="5" t="str">
        <f ca="1">IFERROR(__xludf.DUMMYFUNCTION("""COMPUTED_VALUE"""),"No")</f>
        <v>No</v>
      </c>
      <c r="H1587" s="5" t="str">
        <f ca="1">IFERROR(__xludf.DUMMYFUNCTION("""COMPUTED_VALUE"""),"None")</f>
        <v>None</v>
      </c>
    </row>
    <row r="1588" spans="1:8">
      <c r="A1588" s="5" t="str">
        <f ca="1">IFERROR(__xludf.DUMMYFUNCTION("""COMPUTED_VALUE"""),"20000110AKBAA")</f>
        <v>20000110AKBAA</v>
      </c>
      <c r="B1588" s="5">
        <f ca="1">IFERROR(__xludf.DUMMYFUNCTION("""COMPUTED_VALUE"""),16)</f>
        <v>16</v>
      </c>
      <c r="C1588" s="5" t="str">
        <f ca="1">IFERROR(__xludf.DUMMYFUNCTION("""COMPUTED_VALUE"""),"Male")</f>
        <v>Male</v>
      </c>
      <c r="D1588" s="5"/>
      <c r="E1588" s="5" t="str">
        <f ca="1">IFERROR(__xludf.DUMMYFUNCTION("""COMPUTED_VALUE"""),"Student")</f>
        <v>Student</v>
      </c>
      <c r="F1588" s="5" t="str">
        <f ca="1">IFERROR(__xludf.DUMMYFUNCTION("""COMPUTED_VALUE"""),"Fled/Escaped")</f>
        <v>Fled/Escaped</v>
      </c>
      <c r="G1588" s="5" t="str">
        <f ca="1">IFERROR(__xludf.DUMMYFUNCTION("""COMPUTED_VALUE"""),"No")</f>
        <v>No</v>
      </c>
      <c r="H1588" s="5" t="str">
        <f ca="1">IFERROR(__xludf.DUMMYFUNCTION("""COMPUTED_VALUE"""),"None")</f>
        <v>None</v>
      </c>
    </row>
    <row r="1589" spans="1:8">
      <c r="A1589" s="5" t="str">
        <f ca="1">IFERROR(__xludf.DUMMYFUNCTION("""COMPUTED_VALUE"""),"19991206OKFOF")</f>
        <v>19991206OKFOF</v>
      </c>
      <c r="B1589" s="5">
        <f ca="1">IFERROR(__xludf.DUMMYFUNCTION("""COMPUTED_VALUE"""),13)</f>
        <v>13</v>
      </c>
      <c r="C1589" s="5" t="str">
        <f ca="1">IFERROR(__xludf.DUMMYFUNCTION("""COMPUTED_VALUE"""),"Male")</f>
        <v>Male</v>
      </c>
      <c r="D1589" s="5" t="str">
        <f ca="1">IFERROR(__xludf.DUMMYFUNCTION("""COMPUTED_VALUE"""),"White")</f>
        <v>White</v>
      </c>
      <c r="E1589" s="5" t="str">
        <f ca="1">IFERROR(__xludf.DUMMYFUNCTION("""COMPUTED_VALUE"""),"Student")</f>
        <v>Student</v>
      </c>
      <c r="F1589" s="5" t="str">
        <f ca="1">IFERROR(__xludf.DUMMYFUNCTION("""COMPUTED_VALUE"""),"Subdued by Students/Staff/Other")</f>
        <v>Subdued by Students/Staff/Other</v>
      </c>
      <c r="G1589" s="5" t="str">
        <f ca="1">IFERROR(__xludf.DUMMYFUNCTION("""COMPUTED_VALUE"""),"No")</f>
        <v>No</v>
      </c>
      <c r="H1589" s="5" t="str">
        <f ca="1">IFERROR(__xludf.DUMMYFUNCTION("""COMPUTED_VALUE"""),"None")</f>
        <v>None</v>
      </c>
    </row>
    <row r="1590" spans="1:8">
      <c r="A1590" s="5" t="str">
        <f ca="1">IFERROR(__xludf.DUMMYFUNCTION("""COMPUTED_VALUE"""),"19991119NMDED")</f>
        <v>19991119NMDED</v>
      </c>
      <c r="B1590" s="5">
        <f ca="1">IFERROR(__xludf.DUMMYFUNCTION("""COMPUTED_VALUE"""),13)</f>
        <v>13</v>
      </c>
      <c r="C1590" s="5" t="str">
        <f ca="1">IFERROR(__xludf.DUMMYFUNCTION("""COMPUTED_VALUE"""),"Male")</f>
        <v>Male</v>
      </c>
      <c r="D1590" s="5" t="str">
        <f ca="1">IFERROR(__xludf.DUMMYFUNCTION("""COMPUTED_VALUE"""),"Hispanic")</f>
        <v>Hispanic</v>
      </c>
      <c r="E1590" s="5" t="str">
        <f ca="1">IFERROR(__xludf.DUMMYFUNCTION("""COMPUTED_VALUE"""),"Student")</f>
        <v>Student</v>
      </c>
      <c r="F1590" s="5" t="str">
        <f ca="1">IFERROR(__xludf.DUMMYFUNCTION("""COMPUTED_VALUE"""),"Surrendered")</f>
        <v>Surrendered</v>
      </c>
      <c r="G1590" s="5" t="str">
        <f ca="1">IFERROR(__xludf.DUMMYFUNCTION("""COMPUTED_VALUE"""),"No")</f>
        <v>No</v>
      </c>
      <c r="H1590" s="5" t="str">
        <f ca="1">IFERROR(__xludf.DUMMYFUNCTION("""COMPUTED_VALUE"""),"None")</f>
        <v>None</v>
      </c>
    </row>
    <row r="1591" spans="1:8">
      <c r="A1591" s="5" t="str">
        <f ca="1">IFERROR(__xludf.DUMMYFUNCTION("""COMPUTED_VALUE"""),"19991117TXDID")</f>
        <v>19991117TXDID</v>
      </c>
      <c r="B1591" s="5">
        <f ca="1">IFERROR(__xludf.DUMMYFUNCTION("""COMPUTED_VALUE"""),16)</f>
        <v>16</v>
      </c>
      <c r="C1591" s="5" t="str">
        <f ca="1">IFERROR(__xludf.DUMMYFUNCTION("""COMPUTED_VALUE"""),"Male")</f>
        <v>Male</v>
      </c>
      <c r="D1591" s="5"/>
      <c r="E1591" s="5" t="str">
        <f ca="1">IFERROR(__xludf.DUMMYFUNCTION("""COMPUTED_VALUE"""),"Student")</f>
        <v>Student</v>
      </c>
      <c r="F1591" s="5" t="str">
        <f ca="1">IFERROR(__xludf.DUMMYFUNCTION("""COMPUTED_VALUE"""),"Fled/Apprehended")</f>
        <v>Fled/Apprehended</v>
      </c>
      <c r="G1591" s="5" t="str">
        <f ca="1">IFERROR(__xludf.DUMMYFUNCTION("""COMPUTED_VALUE"""),"No")</f>
        <v>No</v>
      </c>
      <c r="H1591" s="5" t="str">
        <f ca="1">IFERROR(__xludf.DUMMYFUNCTION("""COMPUTED_VALUE"""),"None")</f>
        <v>None</v>
      </c>
    </row>
    <row r="1592" spans="1:8">
      <c r="A1592" s="5" t="str">
        <f ca="1">IFERROR(__xludf.DUMMYFUNCTION("""COMPUTED_VALUE"""),"19991026WVGUB")</f>
        <v>19991026WVGUB</v>
      </c>
      <c r="B1592" s="5">
        <f ca="1">IFERROR(__xludf.DUMMYFUNCTION("""COMPUTED_VALUE"""),66)</f>
        <v>66</v>
      </c>
      <c r="C1592" s="5" t="str">
        <f ca="1">IFERROR(__xludf.DUMMYFUNCTION("""COMPUTED_VALUE"""),"Male")</f>
        <v>Male</v>
      </c>
      <c r="D1592" s="5"/>
      <c r="E1592" s="5" t="str">
        <f ca="1">IFERROR(__xludf.DUMMYFUNCTION("""COMPUTED_VALUE"""),"Other Staff")</f>
        <v>Other Staff</v>
      </c>
      <c r="F1592" s="5" t="str">
        <f ca="1">IFERROR(__xludf.DUMMYFUNCTION("""COMPUTED_VALUE"""),"Suicide")</f>
        <v>Suicide</v>
      </c>
      <c r="G1592" s="5" t="str">
        <f ca="1">IFERROR(__xludf.DUMMYFUNCTION("""COMPUTED_VALUE"""),"Yes")</f>
        <v>Yes</v>
      </c>
      <c r="H1592" s="5" t="str">
        <f ca="1">IFERROR(__xludf.DUMMYFUNCTION("""COMPUTED_VALUE"""),"Suicide")</f>
        <v>Suicide</v>
      </c>
    </row>
    <row r="1593" spans="1:8">
      <c r="A1593" s="5" t="str">
        <f ca="1">IFERROR(__xludf.DUMMYFUNCTION("""COMPUTED_VALUE"""),"19991026PAMAP")</f>
        <v>19991026PAMAP</v>
      </c>
      <c r="B1593" s="5">
        <f ca="1">IFERROR(__xludf.DUMMYFUNCTION("""COMPUTED_VALUE"""),19)</f>
        <v>19</v>
      </c>
      <c r="C1593" s="5" t="str">
        <f ca="1">IFERROR(__xludf.DUMMYFUNCTION("""COMPUTED_VALUE"""),"Male")</f>
        <v>Male</v>
      </c>
      <c r="D1593" s="5"/>
      <c r="E1593" s="5" t="str">
        <f ca="1">IFERROR(__xludf.DUMMYFUNCTION("""COMPUTED_VALUE"""),"Former Student")</f>
        <v>Former Student</v>
      </c>
      <c r="F1593" s="5" t="str">
        <f ca="1">IFERROR(__xludf.DUMMYFUNCTION("""COMPUTED_VALUE"""),"Fled/Apprehended")</f>
        <v>Fled/Apprehended</v>
      </c>
      <c r="G1593" s="5" t="str">
        <f ca="1">IFERROR(__xludf.DUMMYFUNCTION("""COMPUTED_VALUE"""),"No")</f>
        <v>No</v>
      </c>
      <c r="H1593" s="5" t="str">
        <f ca="1">IFERROR(__xludf.DUMMYFUNCTION("""COMPUTED_VALUE"""),"None")</f>
        <v>None</v>
      </c>
    </row>
    <row r="1594" spans="1:8">
      <c r="A1594" s="5" t="str">
        <f ca="1">IFERROR(__xludf.DUMMYFUNCTION("""COMPUTED_VALUE"""),"19991021CASAP")</f>
        <v>19991021CASAP</v>
      </c>
      <c r="B1594" s="5" t="str">
        <f ca="1">IFERROR(__xludf.DUMMYFUNCTION("""COMPUTED_VALUE"""),"Teen")</f>
        <v>Teen</v>
      </c>
      <c r="C1594" s="5" t="str">
        <f ca="1">IFERROR(__xludf.DUMMYFUNCTION("""COMPUTED_VALUE"""),"Male")</f>
        <v>Male</v>
      </c>
      <c r="D1594" s="5"/>
      <c r="E1594" s="5" t="str">
        <f ca="1">IFERROR(__xludf.DUMMYFUNCTION("""COMPUTED_VALUE"""),"Unknown")</f>
        <v>Unknown</v>
      </c>
      <c r="F1594" s="5" t="str">
        <f ca="1">IFERROR(__xludf.DUMMYFUNCTION("""COMPUTED_VALUE"""),"Fled/Escaped")</f>
        <v>Fled/Escaped</v>
      </c>
      <c r="G1594" s="5" t="str">
        <f ca="1">IFERROR(__xludf.DUMMYFUNCTION("""COMPUTED_VALUE"""),"No")</f>
        <v>No</v>
      </c>
      <c r="H1594" s="5" t="str">
        <f ca="1">IFERROR(__xludf.DUMMYFUNCTION("""COMPUTED_VALUE"""),"None")</f>
        <v>None</v>
      </c>
    </row>
    <row r="1595" spans="1:8">
      <c r="A1595" s="5" t="str">
        <f ca="1">IFERROR(__xludf.DUMMYFUNCTION("""COMPUTED_VALUE"""),"19991011NVCLL")</f>
        <v>19991011NVCLL</v>
      </c>
      <c r="B1595" s="5">
        <f ca="1">IFERROR(__xludf.DUMMYFUNCTION("""COMPUTED_VALUE"""),18)</f>
        <v>18</v>
      </c>
      <c r="C1595" s="5" t="str">
        <f ca="1">IFERROR(__xludf.DUMMYFUNCTION("""COMPUTED_VALUE"""),"Male")</f>
        <v>Male</v>
      </c>
      <c r="D1595" s="5" t="str">
        <f ca="1">IFERROR(__xludf.DUMMYFUNCTION("""COMPUTED_VALUE"""),"Hispanic")</f>
        <v>Hispanic</v>
      </c>
      <c r="E1595" s="5" t="str">
        <f ca="1">IFERROR(__xludf.DUMMYFUNCTION("""COMPUTED_VALUE"""),"Unknown")</f>
        <v>Unknown</v>
      </c>
      <c r="F1595" s="5" t="str">
        <f ca="1">IFERROR(__xludf.DUMMYFUNCTION("""COMPUTED_VALUE"""),"Fled/Apprehended")</f>
        <v>Fled/Apprehended</v>
      </c>
      <c r="G1595" s="5" t="str">
        <f ca="1">IFERROR(__xludf.DUMMYFUNCTION("""COMPUTED_VALUE"""),"No")</f>
        <v>No</v>
      </c>
      <c r="H1595" s="5" t="str">
        <f ca="1">IFERROR(__xludf.DUMMYFUNCTION("""COMPUTED_VALUE"""),"None")</f>
        <v>None</v>
      </c>
    </row>
    <row r="1596" spans="1:8">
      <c r="A1596" s="5" t="str">
        <f ca="1">IFERROR(__xludf.DUMMYFUNCTION("""COMPUTED_VALUE"""),"19991004SDJOP")</f>
        <v>19991004SDJOP</v>
      </c>
      <c r="B1596" s="5">
        <f ca="1">IFERROR(__xludf.DUMMYFUNCTION("""COMPUTED_VALUE"""),17)</f>
        <v>17</v>
      </c>
      <c r="C1596" s="5" t="str">
        <f ca="1">IFERROR(__xludf.DUMMYFUNCTION("""COMPUTED_VALUE"""),"Male")</f>
        <v>Male</v>
      </c>
      <c r="D1596" s="5"/>
      <c r="E1596" s="5" t="str">
        <f ca="1">IFERROR(__xludf.DUMMYFUNCTION("""COMPUTED_VALUE"""),"Student")</f>
        <v>Student</v>
      </c>
      <c r="F1596" s="5" t="str">
        <f ca="1">IFERROR(__xludf.DUMMYFUNCTION("""COMPUTED_VALUE"""),"Fled/Apprehended")</f>
        <v>Fled/Apprehended</v>
      </c>
      <c r="G1596" s="5" t="str">
        <f ca="1">IFERROR(__xludf.DUMMYFUNCTION("""COMPUTED_VALUE"""),"No")</f>
        <v>No</v>
      </c>
      <c r="H1596" s="5" t="str">
        <f ca="1">IFERROR(__xludf.DUMMYFUNCTION("""COMPUTED_VALUE"""),"None")</f>
        <v>None</v>
      </c>
    </row>
    <row r="1597" spans="1:8">
      <c r="A1597" s="5" t="str">
        <f ca="1">IFERROR(__xludf.DUMMYFUNCTION("""COMPUTED_VALUE"""),"19990927FLEGT")</f>
        <v>19990927FLEGT</v>
      </c>
      <c r="B1597" s="5"/>
      <c r="C1597" s="5"/>
      <c r="D1597" s="5"/>
      <c r="E1597" s="5" t="str">
        <f ca="1">IFERROR(__xludf.DUMMYFUNCTION("""COMPUTED_VALUE"""),"Unknown")</f>
        <v>Unknown</v>
      </c>
      <c r="F1597" s="5" t="str">
        <f ca="1">IFERROR(__xludf.DUMMYFUNCTION("""COMPUTED_VALUE"""),"Unknown")</f>
        <v>Unknown</v>
      </c>
      <c r="G1597" s="5" t="str">
        <f ca="1">IFERROR(__xludf.DUMMYFUNCTION("""COMPUTED_VALUE"""),"No")</f>
        <v>No</v>
      </c>
      <c r="H1597" s="5" t="str">
        <f ca="1">IFERROR(__xludf.DUMMYFUNCTION("""COMPUTED_VALUE"""),"None")</f>
        <v>None</v>
      </c>
    </row>
    <row r="1598" spans="1:8">
      <c r="A1598" s="5" t="str">
        <f ca="1">IFERROR(__xludf.DUMMYFUNCTION("""COMPUTED_VALUE"""),"19990909CASAS")</f>
        <v>19990909CASAS</v>
      </c>
      <c r="B1598" s="5">
        <f ca="1">IFERROR(__xludf.DUMMYFUNCTION("""COMPUTED_VALUE"""),16)</f>
        <v>16</v>
      </c>
      <c r="C1598" s="5" t="str">
        <f ca="1">IFERROR(__xludf.DUMMYFUNCTION("""COMPUTED_VALUE"""),"Male")</f>
        <v>Male</v>
      </c>
      <c r="D1598" s="5"/>
      <c r="E1598" s="5" t="str">
        <f ca="1">IFERROR(__xludf.DUMMYFUNCTION("""COMPUTED_VALUE"""),"Student")</f>
        <v>Student</v>
      </c>
      <c r="F1598" s="5" t="str">
        <f ca="1">IFERROR(__xludf.DUMMYFUNCTION("""COMPUTED_VALUE"""),"Suicide")</f>
        <v>Suicide</v>
      </c>
      <c r="G1598" s="5" t="str">
        <f ca="1">IFERROR(__xludf.DUMMYFUNCTION("""COMPUTED_VALUE"""),"Yes")</f>
        <v>Yes</v>
      </c>
      <c r="H1598" s="5" t="str">
        <f ca="1">IFERROR(__xludf.DUMMYFUNCTION("""COMPUTED_VALUE"""),"Suicide")</f>
        <v>Suicide</v>
      </c>
    </row>
    <row r="1599" spans="1:8">
      <c r="A1599" s="5" t="str">
        <f ca="1">IFERROR(__xludf.DUMMYFUNCTION("""COMPUTED_VALUE"""),"19990825GAJAM")</f>
        <v>19990825GAJAM</v>
      </c>
      <c r="B1599" s="5">
        <f ca="1">IFERROR(__xludf.DUMMYFUNCTION("""COMPUTED_VALUE"""),16)</f>
        <v>16</v>
      </c>
      <c r="C1599" s="5" t="str">
        <f ca="1">IFERROR(__xludf.DUMMYFUNCTION("""COMPUTED_VALUE"""),"Female")</f>
        <v>Female</v>
      </c>
      <c r="D1599" s="5"/>
      <c r="E1599" s="5" t="str">
        <f ca="1">IFERROR(__xludf.DUMMYFUNCTION("""COMPUTED_VALUE"""),"Student")</f>
        <v>Student</v>
      </c>
      <c r="F1599" s="5" t="str">
        <f ca="1">IFERROR(__xludf.DUMMYFUNCTION("""COMPUTED_VALUE"""),"Suicide")</f>
        <v>Suicide</v>
      </c>
      <c r="G1599" s="5" t="str">
        <f ca="1">IFERROR(__xludf.DUMMYFUNCTION("""COMPUTED_VALUE"""),"Yes")</f>
        <v>Yes</v>
      </c>
      <c r="H1599" s="5" t="str">
        <f ca="1">IFERROR(__xludf.DUMMYFUNCTION("""COMPUTED_VALUE"""),"Suicide")</f>
        <v>Suicide</v>
      </c>
    </row>
    <row r="1600" spans="1:8">
      <c r="A1600" s="5" t="str">
        <f ca="1">IFERROR(__xludf.DUMMYFUNCTION("""COMPUTED_VALUE"""),"19990520GAHEC")</f>
        <v>19990520GAHEC</v>
      </c>
      <c r="B1600" s="5">
        <f ca="1">IFERROR(__xludf.DUMMYFUNCTION("""COMPUTED_VALUE"""),15)</f>
        <v>15</v>
      </c>
      <c r="C1600" s="5" t="str">
        <f ca="1">IFERROR(__xludf.DUMMYFUNCTION("""COMPUTED_VALUE"""),"Male")</f>
        <v>Male</v>
      </c>
      <c r="D1600" s="5" t="str">
        <f ca="1">IFERROR(__xludf.DUMMYFUNCTION("""COMPUTED_VALUE"""),"White")</f>
        <v>White</v>
      </c>
      <c r="E1600" s="5" t="str">
        <f ca="1">IFERROR(__xludf.DUMMYFUNCTION("""COMPUTED_VALUE"""),"Student")</f>
        <v>Student</v>
      </c>
      <c r="F1600" s="5" t="str">
        <f ca="1">IFERROR(__xludf.DUMMYFUNCTION("""COMPUTED_VALUE"""),"Fled/Apprehended")</f>
        <v>Fled/Apprehended</v>
      </c>
      <c r="G1600" s="5" t="str">
        <f ca="1">IFERROR(__xludf.DUMMYFUNCTION("""COMPUTED_VALUE"""),"No")</f>
        <v>No</v>
      </c>
      <c r="H1600" s="5" t="str">
        <f ca="1">IFERROR(__xludf.DUMMYFUNCTION("""COMPUTED_VALUE"""),"None")</f>
        <v>None</v>
      </c>
    </row>
    <row r="1601" spans="1:8">
      <c r="A1601" s="5" t="str">
        <f ca="1">IFERROR(__xludf.DUMMYFUNCTION("""COMPUTED_VALUE"""),"19990422LASCB")</f>
        <v>19990422LASCB</v>
      </c>
      <c r="B1601" s="5">
        <f ca="1">IFERROR(__xludf.DUMMYFUNCTION("""COMPUTED_VALUE"""),14)</f>
        <v>14</v>
      </c>
      <c r="C1601" s="5" t="str">
        <f ca="1">IFERROR(__xludf.DUMMYFUNCTION("""COMPUTED_VALUE"""),"Male")</f>
        <v>Male</v>
      </c>
      <c r="D1601" s="5"/>
      <c r="E1601" s="5" t="str">
        <f ca="1">IFERROR(__xludf.DUMMYFUNCTION("""COMPUTED_VALUE"""),"Former Student")</f>
        <v>Former Student</v>
      </c>
      <c r="F1601" s="5" t="str">
        <f ca="1">IFERROR(__xludf.DUMMYFUNCTION("""COMPUTED_VALUE"""),"Fled/Apprehended")</f>
        <v>Fled/Apprehended</v>
      </c>
      <c r="G1601" s="5" t="str">
        <f ca="1">IFERROR(__xludf.DUMMYFUNCTION("""COMPUTED_VALUE"""),"No")</f>
        <v>No</v>
      </c>
      <c r="H1601" s="5" t="str">
        <f ca="1">IFERROR(__xludf.DUMMYFUNCTION("""COMPUTED_VALUE"""),"None")</f>
        <v>None</v>
      </c>
    </row>
    <row r="1602" spans="1:8">
      <c r="A1602" s="5" t="str">
        <f ca="1">IFERROR(__xludf.DUMMYFUNCTION("""COMPUTED_VALUE"""),"19990422GAMAA")</f>
        <v>19990422GAMAA</v>
      </c>
      <c r="B1602" s="5">
        <f ca="1">IFERROR(__xludf.DUMMYFUNCTION("""COMPUTED_VALUE"""),17)</f>
        <v>17</v>
      </c>
      <c r="C1602" s="5" t="str">
        <f ca="1">IFERROR(__xludf.DUMMYFUNCTION("""COMPUTED_VALUE"""),"Male")</f>
        <v>Male</v>
      </c>
      <c r="D1602" s="5"/>
      <c r="E1602" s="5" t="str">
        <f ca="1">IFERROR(__xludf.DUMMYFUNCTION("""COMPUTED_VALUE"""),"Student")</f>
        <v>Student</v>
      </c>
      <c r="F1602" s="5" t="str">
        <f ca="1">IFERROR(__xludf.DUMMYFUNCTION("""COMPUTED_VALUE"""),"Fled/Apprehended")</f>
        <v>Fled/Apprehended</v>
      </c>
      <c r="G1602" s="5" t="str">
        <f ca="1">IFERROR(__xludf.DUMMYFUNCTION("""COMPUTED_VALUE"""),"No")</f>
        <v>No</v>
      </c>
      <c r="H1602" s="5" t="str">
        <f ca="1">IFERROR(__xludf.DUMMYFUNCTION("""COMPUTED_VALUE"""),"None")</f>
        <v>None</v>
      </c>
    </row>
    <row r="1603" spans="1:8">
      <c r="A1603" s="5" t="str">
        <f ca="1">IFERROR(__xludf.DUMMYFUNCTION("""COMPUTED_VALUE"""),"19990420COCOL")</f>
        <v>19990420COCOL</v>
      </c>
      <c r="B1603" s="5">
        <f ca="1">IFERROR(__xludf.DUMMYFUNCTION("""COMPUTED_VALUE"""),17)</f>
        <v>17</v>
      </c>
      <c r="C1603" s="5" t="str">
        <f ca="1">IFERROR(__xludf.DUMMYFUNCTION("""COMPUTED_VALUE"""),"Male")</f>
        <v>Male</v>
      </c>
      <c r="D1603" s="5" t="str">
        <f ca="1">IFERROR(__xludf.DUMMYFUNCTION("""COMPUTED_VALUE"""),"White")</f>
        <v>White</v>
      </c>
      <c r="E1603" s="5" t="str">
        <f ca="1">IFERROR(__xludf.DUMMYFUNCTION("""COMPUTED_VALUE"""),"Student")</f>
        <v>Student</v>
      </c>
      <c r="F1603" s="5" t="str">
        <f ca="1">IFERROR(__xludf.DUMMYFUNCTION("""COMPUTED_VALUE"""),"Suicide")</f>
        <v>Suicide</v>
      </c>
      <c r="G1603" s="5" t="str">
        <f ca="1">IFERROR(__xludf.DUMMYFUNCTION("""COMPUTED_VALUE"""),"Yes")</f>
        <v>Yes</v>
      </c>
      <c r="H1603" s="5" t="str">
        <f ca="1">IFERROR(__xludf.DUMMYFUNCTION("""COMPUTED_VALUE"""),"Suicide")</f>
        <v>Suicide</v>
      </c>
    </row>
    <row r="1604" spans="1:8">
      <c r="A1604" s="5" t="str">
        <f ca="1">IFERROR(__xludf.DUMMYFUNCTION("""COMPUTED_VALUE"""),"19990420COCOL")</f>
        <v>19990420COCOL</v>
      </c>
      <c r="B1604" s="5">
        <f ca="1">IFERROR(__xludf.DUMMYFUNCTION("""COMPUTED_VALUE"""),18)</f>
        <v>18</v>
      </c>
      <c r="C1604" s="5" t="str">
        <f ca="1">IFERROR(__xludf.DUMMYFUNCTION("""COMPUTED_VALUE"""),"Male")</f>
        <v>Male</v>
      </c>
      <c r="D1604" s="5" t="str">
        <f ca="1">IFERROR(__xludf.DUMMYFUNCTION("""COMPUTED_VALUE"""),"White")</f>
        <v>White</v>
      </c>
      <c r="E1604" s="5" t="str">
        <f ca="1">IFERROR(__xludf.DUMMYFUNCTION("""COMPUTED_VALUE"""),"Student")</f>
        <v>Student</v>
      </c>
      <c r="F1604" s="5" t="str">
        <f ca="1">IFERROR(__xludf.DUMMYFUNCTION("""COMPUTED_VALUE"""),"Suicide")</f>
        <v>Suicide</v>
      </c>
      <c r="G1604" s="5" t="str">
        <f ca="1">IFERROR(__xludf.DUMMYFUNCTION("""COMPUTED_VALUE"""),"Yes")</f>
        <v>Yes</v>
      </c>
      <c r="H1604" s="5" t="str">
        <f ca="1">IFERROR(__xludf.DUMMYFUNCTION("""COMPUTED_VALUE"""),"Suicide")</f>
        <v>Suicide</v>
      </c>
    </row>
    <row r="1605" spans="1:8">
      <c r="A1605" s="5" t="str">
        <f ca="1">IFERROR(__xludf.DUMMYFUNCTION("""COMPUTED_VALUE"""),"19990416IDNON")</f>
        <v>19990416IDNON</v>
      </c>
      <c r="B1605" s="5">
        <f ca="1">IFERROR(__xludf.DUMMYFUNCTION("""COMPUTED_VALUE"""),16)</f>
        <v>16</v>
      </c>
      <c r="C1605" s="5" t="str">
        <f ca="1">IFERROR(__xludf.DUMMYFUNCTION("""COMPUTED_VALUE"""),"Male")</f>
        <v>Male</v>
      </c>
      <c r="D1605" s="5" t="str">
        <f ca="1">IFERROR(__xludf.DUMMYFUNCTION("""COMPUTED_VALUE"""),"White")</f>
        <v>White</v>
      </c>
      <c r="E1605" s="5" t="str">
        <f ca="1">IFERROR(__xludf.DUMMYFUNCTION("""COMPUTED_VALUE"""),"Student")</f>
        <v>Student</v>
      </c>
      <c r="F1605" s="5" t="str">
        <f ca="1">IFERROR(__xludf.DUMMYFUNCTION("""COMPUTED_VALUE"""),"Surrendered")</f>
        <v>Surrendered</v>
      </c>
      <c r="G1605" s="5" t="str">
        <f ca="1">IFERROR(__xludf.DUMMYFUNCTION("""COMPUTED_VALUE"""),"No")</f>
        <v>No</v>
      </c>
      <c r="H1605" s="5" t="str">
        <f ca="1">IFERROR(__xludf.DUMMYFUNCTION("""COMPUTED_VALUE"""),"None")</f>
        <v>None</v>
      </c>
    </row>
    <row r="1606" spans="1:8">
      <c r="A1606" s="5" t="str">
        <f ca="1">IFERROR(__xludf.DUMMYFUNCTION("""COMPUTED_VALUE"""),"19990304ILNIS")</f>
        <v>19990304ILNIS</v>
      </c>
      <c r="B1606" s="5">
        <f ca="1">IFERROR(__xludf.DUMMYFUNCTION("""COMPUTED_VALUE"""),26)</f>
        <v>26</v>
      </c>
      <c r="C1606" s="5" t="str">
        <f ca="1">IFERROR(__xludf.DUMMYFUNCTION("""COMPUTED_VALUE"""),"Male")</f>
        <v>Male</v>
      </c>
      <c r="D1606" s="5"/>
      <c r="E1606" s="5" t="str">
        <f ca="1">IFERROR(__xludf.DUMMYFUNCTION("""COMPUTED_VALUE"""),"Nonstudent Using Athletic Facilities/Attending Game")</f>
        <v>Nonstudent Using Athletic Facilities/Attending Game</v>
      </c>
      <c r="F1606" s="5" t="str">
        <f ca="1">IFERROR(__xludf.DUMMYFUNCTION("""COMPUTED_VALUE"""),"Fled/Escaped")</f>
        <v>Fled/Escaped</v>
      </c>
      <c r="G1606" s="5" t="str">
        <f ca="1">IFERROR(__xludf.DUMMYFUNCTION("""COMPUTED_VALUE"""),"Yes")</f>
        <v>Yes</v>
      </c>
      <c r="H1606" s="5" t="str">
        <f ca="1">IFERROR(__xludf.DUMMYFUNCTION("""COMPUTED_VALUE"""),"Suicide")</f>
        <v>Suicide</v>
      </c>
    </row>
    <row r="1607" spans="1:8">
      <c r="A1607" s="5" t="str">
        <f ca="1">IFERROR(__xludf.DUMMYFUNCTION("""COMPUTED_VALUE"""),"19990211MSJEP")</f>
        <v>19990211MSJEP</v>
      </c>
      <c r="B1607" s="5">
        <f ca="1">IFERROR(__xludf.DUMMYFUNCTION("""COMPUTED_VALUE"""),44)</f>
        <v>44</v>
      </c>
      <c r="C1607" s="5" t="str">
        <f ca="1">IFERROR(__xludf.DUMMYFUNCTION("""COMPUTED_VALUE"""),"Male")</f>
        <v>Male</v>
      </c>
      <c r="D1607" s="5"/>
      <c r="E1607" s="5" t="str">
        <f ca="1">IFERROR(__xludf.DUMMYFUNCTION("""COMPUTED_VALUE"""),"Unknown")</f>
        <v>Unknown</v>
      </c>
      <c r="F1607" s="5" t="str">
        <f ca="1">IFERROR(__xludf.DUMMYFUNCTION("""COMPUTED_VALUE"""),"Surrendered")</f>
        <v>Surrendered</v>
      </c>
      <c r="G1607" s="5" t="str">
        <f ca="1">IFERROR(__xludf.DUMMYFUNCTION("""COMPUTED_VALUE"""),"No")</f>
        <v>No</v>
      </c>
      <c r="H1607" s="5" t="str">
        <f ca="1">IFERROR(__xludf.DUMMYFUNCTION("""COMPUTED_VALUE"""),"None")</f>
        <v>None</v>
      </c>
    </row>
    <row r="1608" spans="1:8">
      <c r="A1608" s="5" t="str">
        <f ca="1">IFERROR(__xludf.DUMMYFUNCTION("""COMPUTED_VALUE"""),"19990211ILOME")</f>
        <v>19990211ILOME</v>
      </c>
      <c r="B1608" s="5"/>
      <c r="C1608" s="5" t="str">
        <f ca="1">IFERROR(__xludf.DUMMYFUNCTION("""COMPUTED_VALUE"""),"Male")</f>
        <v>Male</v>
      </c>
      <c r="D1608" s="5"/>
      <c r="E1608" s="5" t="str">
        <f ca="1">IFERROR(__xludf.DUMMYFUNCTION("""COMPUTED_VALUE"""),"Unknown")</f>
        <v>Unknown</v>
      </c>
      <c r="F1608" s="5" t="str">
        <f ca="1">IFERROR(__xludf.DUMMYFUNCTION("""COMPUTED_VALUE"""),"Fled/Escaped")</f>
        <v>Fled/Escaped</v>
      </c>
      <c r="G1608" s="5" t="str">
        <f ca="1">IFERROR(__xludf.DUMMYFUNCTION("""COMPUTED_VALUE"""),"No")</f>
        <v>No</v>
      </c>
      <c r="H1608" s="5" t="str">
        <f ca="1">IFERROR(__xludf.DUMMYFUNCTION("""COMPUTED_VALUE"""),"None")</f>
        <v>None</v>
      </c>
    </row>
    <row r="1609" spans="1:8">
      <c r="A1609" s="5" t="str">
        <f ca="1">IFERROR(__xludf.DUMMYFUNCTION("""COMPUTED_VALUE"""),"19990121TXRIN")</f>
        <v>19990121TXRIN</v>
      </c>
      <c r="B1609" s="5">
        <f ca="1">IFERROR(__xludf.DUMMYFUNCTION("""COMPUTED_VALUE"""),16)</f>
        <v>16</v>
      </c>
      <c r="C1609" s="5" t="str">
        <f ca="1">IFERROR(__xludf.DUMMYFUNCTION("""COMPUTED_VALUE"""),"Male")</f>
        <v>Male</v>
      </c>
      <c r="D1609" s="5"/>
      <c r="E1609" s="5" t="str">
        <f ca="1">IFERROR(__xludf.DUMMYFUNCTION("""COMPUTED_VALUE"""),"Student")</f>
        <v>Student</v>
      </c>
      <c r="F1609" s="5" t="str">
        <f ca="1">IFERROR(__xludf.DUMMYFUNCTION("""COMPUTED_VALUE"""),"Suicide")</f>
        <v>Suicide</v>
      </c>
      <c r="G1609" s="5" t="str">
        <f ca="1">IFERROR(__xludf.DUMMYFUNCTION("""COMPUTED_VALUE"""),"Yes")</f>
        <v>Yes</v>
      </c>
      <c r="H1609" s="5" t="str">
        <f ca="1">IFERROR(__xludf.DUMMYFUNCTION("""COMPUTED_VALUE"""),"Suicide")</f>
        <v>Suicide</v>
      </c>
    </row>
    <row r="1610" spans="1:8">
      <c r="A1610" s="5" t="str">
        <f ca="1">IFERROR(__xludf.DUMMYFUNCTION("""COMPUTED_VALUE"""),"19990114NYHAN")</f>
        <v>19990114NYHAN</v>
      </c>
      <c r="B1610" s="5">
        <f ca="1">IFERROR(__xludf.DUMMYFUNCTION("""COMPUTED_VALUE"""),16)</f>
        <v>16</v>
      </c>
      <c r="C1610" s="5" t="str">
        <f ca="1">IFERROR(__xludf.DUMMYFUNCTION("""COMPUTED_VALUE"""),"Male")</f>
        <v>Male</v>
      </c>
      <c r="D1610" s="5"/>
      <c r="E1610" s="5" t="str">
        <f ca="1">IFERROR(__xludf.DUMMYFUNCTION("""COMPUTED_VALUE"""),"Unknown")</f>
        <v>Unknown</v>
      </c>
      <c r="F1610" s="5" t="str">
        <f ca="1">IFERROR(__xludf.DUMMYFUNCTION("""COMPUTED_VALUE"""),"Fled/Apprehended")</f>
        <v>Fled/Apprehended</v>
      </c>
      <c r="G1610" s="5" t="str">
        <f ca="1">IFERROR(__xludf.DUMMYFUNCTION("""COMPUTED_VALUE"""),"No")</f>
        <v>No</v>
      </c>
      <c r="H1610" s="5" t="str">
        <f ca="1">IFERROR(__xludf.DUMMYFUNCTION("""COMPUTED_VALUE"""),"None")</f>
        <v>None</v>
      </c>
    </row>
    <row r="1611" spans="1:8">
      <c r="A1611" s="5" t="str">
        <f ca="1">IFERROR(__xludf.DUMMYFUNCTION("""COMPUTED_VALUE"""),"19990108GACEC")</f>
        <v>19990108GACEC</v>
      </c>
      <c r="B1611" s="5">
        <f ca="1">IFERROR(__xludf.DUMMYFUNCTION("""COMPUTED_VALUE"""),15)</f>
        <v>15</v>
      </c>
      <c r="C1611" s="5" t="str">
        <f ca="1">IFERROR(__xludf.DUMMYFUNCTION("""COMPUTED_VALUE"""),"Female")</f>
        <v>Female</v>
      </c>
      <c r="D1611" s="5"/>
      <c r="E1611" s="5" t="str">
        <f ca="1">IFERROR(__xludf.DUMMYFUNCTION("""COMPUTED_VALUE"""),"Student")</f>
        <v>Student</v>
      </c>
      <c r="F1611" s="5" t="str">
        <f ca="1">IFERROR(__xludf.DUMMYFUNCTION("""COMPUTED_VALUE"""),"Suicide")</f>
        <v>Suicide</v>
      </c>
      <c r="G1611" s="5" t="str">
        <f ca="1">IFERROR(__xludf.DUMMYFUNCTION("""COMPUTED_VALUE"""),"Yes")</f>
        <v>Yes</v>
      </c>
      <c r="H1611" s="5" t="str">
        <f ca="1">IFERROR(__xludf.DUMMYFUNCTION("""COMPUTED_VALUE"""),"Suicide")</f>
        <v>Suicide</v>
      </c>
    </row>
    <row r="1612" spans="1:8">
      <c r="A1612" s="5" t="str">
        <f ca="1">IFERROR(__xludf.DUMMYFUNCTION("""COMPUTED_VALUE"""),"19990108GACEC")</f>
        <v>19990108GACEC</v>
      </c>
      <c r="B1612" s="5">
        <f ca="1">IFERROR(__xludf.DUMMYFUNCTION("""COMPUTED_VALUE"""),17)</f>
        <v>17</v>
      </c>
      <c r="C1612" s="5" t="str">
        <f ca="1">IFERROR(__xludf.DUMMYFUNCTION("""COMPUTED_VALUE"""),"Male")</f>
        <v>Male</v>
      </c>
      <c r="D1612" s="5"/>
      <c r="E1612" s="5" t="str">
        <f ca="1">IFERROR(__xludf.DUMMYFUNCTION("""COMPUTED_VALUE"""),"Student")</f>
        <v>Student</v>
      </c>
      <c r="F1612" s="5" t="str">
        <f ca="1">IFERROR(__xludf.DUMMYFUNCTION("""COMPUTED_VALUE"""),"Suicide")</f>
        <v>Suicide</v>
      </c>
      <c r="G1612" s="5" t="str">
        <f ca="1">IFERROR(__xludf.DUMMYFUNCTION("""COMPUTED_VALUE"""),"Yes")</f>
        <v>Yes</v>
      </c>
      <c r="H1612" s="5" t="str">
        <f ca="1">IFERROR(__xludf.DUMMYFUNCTION("""COMPUTED_VALUE"""),"Suicide")</f>
        <v>Suicide</v>
      </c>
    </row>
    <row r="1613" spans="1:8">
      <c r="A1613" s="5" t="str">
        <f ca="1">IFERROR(__xludf.DUMMYFUNCTION("""COMPUTED_VALUE"""),"19981211INBEI")</f>
        <v>19981211INBEI</v>
      </c>
      <c r="B1613" s="5" t="str">
        <f ca="1">IFERROR(__xludf.DUMMYFUNCTION("""COMPUTED_VALUE"""),"Teen")</f>
        <v>Teen</v>
      </c>
      <c r="C1613" s="5" t="str">
        <f ca="1">IFERROR(__xludf.DUMMYFUNCTION("""COMPUTED_VALUE"""),"Male")</f>
        <v>Male</v>
      </c>
      <c r="D1613" s="5"/>
      <c r="E1613" s="5" t="str">
        <f ca="1">IFERROR(__xludf.DUMMYFUNCTION("""COMPUTED_VALUE"""),"Student")</f>
        <v>Student</v>
      </c>
      <c r="F1613" s="5" t="str">
        <f ca="1">IFERROR(__xludf.DUMMYFUNCTION("""COMPUTED_VALUE"""),"Unknown")</f>
        <v>Unknown</v>
      </c>
      <c r="G1613" s="5" t="str">
        <f ca="1">IFERROR(__xludf.DUMMYFUNCTION("""COMPUTED_VALUE"""),"No")</f>
        <v>No</v>
      </c>
      <c r="H1613" s="5" t="str">
        <f ca="1">IFERROR(__xludf.DUMMYFUNCTION("""COMPUTED_VALUE"""),"None")</f>
        <v>None</v>
      </c>
    </row>
    <row r="1614" spans="1:8">
      <c r="A1614" s="5" t="str">
        <f ca="1">IFERROR(__xludf.DUMMYFUNCTION("""COMPUTED_VALUE"""),"19981203INERG")</f>
        <v>19981203INERG</v>
      </c>
      <c r="B1614" s="5">
        <f ca="1">IFERROR(__xludf.DUMMYFUNCTION("""COMPUTED_VALUE"""),36)</f>
        <v>36</v>
      </c>
      <c r="C1614" s="5" t="str">
        <f ca="1">IFERROR(__xludf.DUMMYFUNCTION("""COMPUTED_VALUE"""),"Female")</f>
        <v>Female</v>
      </c>
      <c r="D1614" s="5"/>
      <c r="E1614" s="5" t="str">
        <f ca="1">IFERROR(__xludf.DUMMYFUNCTION("""COMPUTED_VALUE"""),"Parent")</f>
        <v>Parent</v>
      </c>
      <c r="F1614" s="5" t="str">
        <f ca="1">IFERROR(__xludf.DUMMYFUNCTION("""COMPUTED_VALUE"""),"Fled/Apprehended")</f>
        <v>Fled/Apprehended</v>
      </c>
      <c r="G1614" s="5" t="str">
        <f ca="1">IFERROR(__xludf.DUMMYFUNCTION("""COMPUTED_VALUE"""),"No")</f>
        <v>No</v>
      </c>
      <c r="H1614" s="5" t="str">
        <f ca="1">IFERROR(__xludf.DUMMYFUNCTION("""COMPUTED_VALUE"""),"None")</f>
        <v>None</v>
      </c>
    </row>
    <row r="1615" spans="1:8">
      <c r="A1615" s="5" t="str">
        <f ca="1">IFERROR(__xludf.DUMMYFUNCTION("""COMPUTED_VALUE"""),"19981130NYHAH")</f>
        <v>19981130NYHAH</v>
      </c>
      <c r="B1615" s="5">
        <f ca="1">IFERROR(__xludf.DUMMYFUNCTION("""COMPUTED_VALUE"""),14)</f>
        <v>14</v>
      </c>
      <c r="C1615" s="5" t="str">
        <f ca="1">IFERROR(__xludf.DUMMYFUNCTION("""COMPUTED_VALUE"""),"Female")</f>
        <v>Female</v>
      </c>
      <c r="D1615" s="5"/>
      <c r="E1615" s="5" t="str">
        <f ca="1">IFERROR(__xludf.DUMMYFUNCTION("""COMPUTED_VALUE"""),"Student")</f>
        <v>Student</v>
      </c>
      <c r="F1615" s="5" t="str">
        <f ca="1">IFERROR(__xludf.DUMMYFUNCTION("""COMPUTED_VALUE"""),"Suicide")</f>
        <v>Suicide</v>
      </c>
      <c r="G1615" s="5" t="str">
        <f ca="1">IFERROR(__xludf.DUMMYFUNCTION("""COMPUTED_VALUE"""),"Yes")</f>
        <v>Yes</v>
      </c>
      <c r="H1615" s="5" t="str">
        <f ca="1">IFERROR(__xludf.DUMMYFUNCTION("""COMPUTED_VALUE"""),"Suicide")</f>
        <v>Suicide</v>
      </c>
    </row>
    <row r="1616" spans="1:8">
      <c r="A1616" s="5" t="str">
        <f ca="1">IFERROR(__xludf.DUMMYFUNCTION("""COMPUTED_VALUE"""),"19981103PAMAP")</f>
        <v>19981103PAMAP</v>
      </c>
      <c r="B1616" s="5">
        <f ca="1">IFERROR(__xludf.DUMMYFUNCTION("""COMPUTED_VALUE"""),19)</f>
        <v>19</v>
      </c>
      <c r="C1616" s="5" t="str">
        <f ca="1">IFERROR(__xludf.DUMMYFUNCTION("""COMPUTED_VALUE"""),"Male")</f>
        <v>Male</v>
      </c>
      <c r="D1616" s="5"/>
      <c r="E1616" s="5" t="str">
        <f ca="1">IFERROR(__xludf.DUMMYFUNCTION("""COMPUTED_VALUE"""),"No Relation")</f>
        <v>No Relation</v>
      </c>
      <c r="F1616" s="5" t="str">
        <f ca="1">IFERROR(__xludf.DUMMYFUNCTION("""COMPUTED_VALUE"""),"Fled/Apprehended")</f>
        <v>Fled/Apprehended</v>
      </c>
      <c r="G1616" s="5" t="str">
        <f ca="1">IFERROR(__xludf.DUMMYFUNCTION("""COMPUTED_VALUE"""),"No")</f>
        <v>No</v>
      </c>
      <c r="H1616" s="5" t="str">
        <f ca="1">IFERROR(__xludf.DUMMYFUNCTION("""COMPUTED_VALUE"""),"None")</f>
        <v>None</v>
      </c>
    </row>
    <row r="1617" spans="1:8">
      <c r="A1617" s="5" t="str">
        <f ca="1">IFERROR(__xludf.DUMMYFUNCTION("""COMPUTED_VALUE"""),"19981103PAMAP")</f>
        <v>19981103PAMAP</v>
      </c>
      <c r="B1617" s="5">
        <f ca="1">IFERROR(__xludf.DUMMYFUNCTION("""COMPUTED_VALUE"""),17)</f>
        <v>17</v>
      </c>
      <c r="C1617" s="5" t="str">
        <f ca="1">IFERROR(__xludf.DUMMYFUNCTION("""COMPUTED_VALUE"""),"Male")</f>
        <v>Male</v>
      </c>
      <c r="D1617" s="5"/>
      <c r="E1617" s="5" t="str">
        <f ca="1">IFERROR(__xludf.DUMMYFUNCTION("""COMPUTED_VALUE"""),"No Relation")</f>
        <v>No Relation</v>
      </c>
      <c r="F1617" s="5" t="str">
        <f ca="1">IFERROR(__xludf.DUMMYFUNCTION("""COMPUTED_VALUE"""),"Fled/Apprehended")</f>
        <v>Fled/Apprehended</v>
      </c>
      <c r="G1617" s="5" t="str">
        <f ca="1">IFERROR(__xludf.DUMMYFUNCTION("""COMPUTED_VALUE"""),"No")</f>
        <v>No</v>
      </c>
      <c r="H1617" s="5" t="str">
        <f ca="1">IFERROR(__xludf.DUMMYFUNCTION("""COMPUTED_VALUE"""),"None")</f>
        <v>None</v>
      </c>
    </row>
    <row r="1618" spans="1:8">
      <c r="A1618" s="5" t="str">
        <f ca="1">IFERROR(__xludf.DUMMYFUNCTION("""COMPUTED_VALUE"""),"19980930FLNOM")</f>
        <v>19980930FLNOM</v>
      </c>
      <c r="B1618" s="5">
        <f ca="1">IFERROR(__xludf.DUMMYFUNCTION("""COMPUTED_VALUE"""),18)</f>
        <v>18</v>
      </c>
      <c r="C1618" s="5" t="str">
        <f ca="1">IFERROR(__xludf.DUMMYFUNCTION("""COMPUTED_VALUE"""),"Male")</f>
        <v>Male</v>
      </c>
      <c r="D1618" s="5"/>
      <c r="E1618" s="5" t="str">
        <f ca="1">IFERROR(__xludf.DUMMYFUNCTION("""COMPUTED_VALUE"""),"Student")</f>
        <v>Student</v>
      </c>
      <c r="F1618" s="5" t="str">
        <f ca="1">IFERROR(__xludf.DUMMYFUNCTION("""COMPUTED_VALUE"""),"Fled/Apprehended")</f>
        <v>Fled/Apprehended</v>
      </c>
      <c r="G1618" s="5" t="str">
        <f ca="1">IFERROR(__xludf.DUMMYFUNCTION("""COMPUTED_VALUE"""),"No")</f>
        <v>No</v>
      </c>
      <c r="H1618" s="5" t="str">
        <f ca="1">IFERROR(__xludf.DUMMYFUNCTION("""COMPUTED_VALUE"""),"None")</f>
        <v>None</v>
      </c>
    </row>
    <row r="1619" spans="1:8">
      <c r="A1619" s="5" t="str">
        <f ca="1">IFERROR(__xludf.DUMMYFUNCTION("""COMPUTED_VALUE"""),"19980930FLNOM")</f>
        <v>19980930FLNOM</v>
      </c>
      <c r="B1619" s="5">
        <f ca="1">IFERROR(__xludf.DUMMYFUNCTION("""COMPUTED_VALUE"""),17)</f>
        <v>17</v>
      </c>
      <c r="C1619" s="5" t="str">
        <f ca="1">IFERROR(__xludf.DUMMYFUNCTION("""COMPUTED_VALUE"""),"Male")</f>
        <v>Male</v>
      </c>
      <c r="D1619" s="5"/>
      <c r="E1619" s="5" t="str">
        <f ca="1">IFERROR(__xludf.DUMMYFUNCTION("""COMPUTED_VALUE"""),"Student")</f>
        <v>Student</v>
      </c>
      <c r="F1619" s="5" t="str">
        <f ca="1">IFERROR(__xludf.DUMMYFUNCTION("""COMPUTED_VALUE"""),"Fled/Apprehended")</f>
        <v>Fled/Apprehended</v>
      </c>
      <c r="G1619" s="5" t="str">
        <f ca="1">IFERROR(__xludf.DUMMYFUNCTION("""COMPUTED_VALUE"""),"No")</f>
        <v>No</v>
      </c>
      <c r="H1619" s="5" t="str">
        <f ca="1">IFERROR(__xludf.DUMMYFUNCTION("""COMPUTED_VALUE"""),"None")</f>
        <v>None</v>
      </c>
    </row>
    <row r="1620" spans="1:8">
      <c r="A1620" s="5" t="str">
        <f ca="1">IFERROR(__xludf.DUMMYFUNCTION("""COMPUTED_VALUE"""),"19980930FLLEL")</f>
        <v>19980930FLLEL</v>
      </c>
      <c r="B1620" s="5">
        <f ca="1">IFERROR(__xludf.DUMMYFUNCTION("""COMPUTED_VALUE"""),17)</f>
        <v>17</v>
      </c>
      <c r="C1620" s="5" t="str">
        <f ca="1">IFERROR(__xludf.DUMMYFUNCTION("""COMPUTED_VALUE"""),"Male")</f>
        <v>Male</v>
      </c>
      <c r="D1620" s="5"/>
      <c r="E1620" s="5" t="str">
        <f ca="1">IFERROR(__xludf.DUMMYFUNCTION("""COMPUTED_VALUE"""),"Student")</f>
        <v>Student</v>
      </c>
      <c r="F1620" s="5" t="str">
        <f ca="1">IFERROR(__xludf.DUMMYFUNCTION("""COMPUTED_VALUE"""),"Apprehended/Killed by LE")</f>
        <v>Apprehended/Killed by LE</v>
      </c>
      <c r="G1620" s="5" t="str">
        <f ca="1">IFERROR(__xludf.DUMMYFUNCTION("""COMPUTED_VALUE"""),"No")</f>
        <v>No</v>
      </c>
      <c r="H1620" s="5" t="str">
        <f ca="1">IFERROR(__xludf.DUMMYFUNCTION("""COMPUTED_VALUE"""),"Wounded")</f>
        <v>Wounded</v>
      </c>
    </row>
    <row r="1621" spans="1:8">
      <c r="A1621" s="5" t="str">
        <f ca="1">IFERROR(__xludf.DUMMYFUNCTION("""COMPUTED_VALUE"""),"19980911CAHEG")</f>
        <v>19980911CAHEG</v>
      </c>
      <c r="B1621" s="5">
        <f ca="1">IFERROR(__xludf.DUMMYFUNCTION("""COMPUTED_VALUE"""),17)</f>
        <v>17</v>
      </c>
      <c r="C1621" s="5" t="str">
        <f ca="1">IFERROR(__xludf.DUMMYFUNCTION("""COMPUTED_VALUE"""),"Male")</f>
        <v>Male</v>
      </c>
      <c r="D1621" s="5"/>
      <c r="E1621" s="5" t="str">
        <f ca="1">IFERROR(__xludf.DUMMYFUNCTION("""COMPUTED_VALUE"""),"Unknown")</f>
        <v>Unknown</v>
      </c>
      <c r="F1621" s="5" t="str">
        <f ca="1">IFERROR(__xludf.DUMMYFUNCTION("""COMPUTED_VALUE"""),"Fled/Apprehended")</f>
        <v>Fled/Apprehended</v>
      </c>
      <c r="G1621" s="5" t="str">
        <f ca="1">IFERROR(__xludf.DUMMYFUNCTION("""COMPUTED_VALUE"""),"No")</f>
        <v>No</v>
      </c>
      <c r="H1621" s="5" t="str">
        <f ca="1">IFERROR(__xludf.DUMMYFUNCTION("""COMPUTED_VALUE"""),"None")</f>
        <v>None</v>
      </c>
    </row>
    <row r="1622" spans="1:8">
      <c r="A1622" s="5" t="str">
        <f ca="1">IFERROR(__xludf.DUMMYFUNCTION("""COMPUTED_VALUE"""),"19980615VAARR")</f>
        <v>19980615VAARR</v>
      </c>
      <c r="B1622" s="5">
        <f ca="1">IFERROR(__xludf.DUMMYFUNCTION("""COMPUTED_VALUE"""),15)</f>
        <v>15</v>
      </c>
      <c r="C1622" s="5" t="str">
        <f ca="1">IFERROR(__xludf.DUMMYFUNCTION("""COMPUTED_VALUE"""),"Male")</f>
        <v>Male</v>
      </c>
      <c r="D1622" s="5"/>
      <c r="E1622" s="5" t="str">
        <f ca="1">IFERROR(__xludf.DUMMYFUNCTION("""COMPUTED_VALUE"""),"Student")</f>
        <v>Student</v>
      </c>
      <c r="F1622" s="5" t="str">
        <f ca="1">IFERROR(__xludf.DUMMYFUNCTION("""COMPUTED_VALUE"""),"Fled/Apprehended")</f>
        <v>Fled/Apprehended</v>
      </c>
      <c r="G1622" s="5" t="str">
        <f ca="1">IFERROR(__xludf.DUMMYFUNCTION("""COMPUTED_VALUE"""),"No")</f>
        <v>No</v>
      </c>
      <c r="H1622" s="5" t="str">
        <f ca="1">IFERROR(__xludf.DUMMYFUNCTION("""COMPUTED_VALUE"""),"None")</f>
        <v>None</v>
      </c>
    </row>
    <row r="1623" spans="1:8">
      <c r="A1623" s="5" t="str">
        <f ca="1">IFERROR(__xludf.DUMMYFUNCTION("""COMPUTED_VALUE"""),"19980529FLSTF")</f>
        <v>19980529FLSTF</v>
      </c>
      <c r="B1623" s="5">
        <f ca="1">IFERROR(__xludf.DUMMYFUNCTION("""COMPUTED_VALUE"""),29)</f>
        <v>29</v>
      </c>
      <c r="C1623" s="5" t="str">
        <f ca="1">IFERROR(__xludf.DUMMYFUNCTION("""COMPUTED_VALUE"""),"Male")</f>
        <v>Male</v>
      </c>
      <c r="D1623" s="5" t="str">
        <f ca="1">IFERROR(__xludf.DUMMYFUNCTION("""COMPUTED_VALUE"""),"White")</f>
        <v>White</v>
      </c>
      <c r="E1623" s="5" t="str">
        <f ca="1">IFERROR(__xludf.DUMMYFUNCTION("""COMPUTED_VALUE"""),"Intimate Relationship")</f>
        <v>Intimate Relationship</v>
      </c>
      <c r="F1623" s="5" t="str">
        <f ca="1">IFERROR(__xludf.DUMMYFUNCTION("""COMPUTED_VALUE"""),"Suicide")</f>
        <v>Suicide</v>
      </c>
      <c r="G1623" s="5" t="str">
        <f ca="1">IFERROR(__xludf.DUMMYFUNCTION("""COMPUTED_VALUE"""),"Yes")</f>
        <v>Yes</v>
      </c>
      <c r="H1623" s="5" t="str">
        <f ca="1">IFERROR(__xludf.DUMMYFUNCTION("""COMPUTED_VALUE"""),"Suicide")</f>
        <v>Suicide</v>
      </c>
    </row>
    <row r="1624" spans="1:8">
      <c r="A1624" s="5" t="str">
        <f ca="1">IFERROR(__xludf.DUMMYFUNCTION("""COMPUTED_VALUE"""),"19980527CAWAP")</f>
        <v>19980527CAWAP</v>
      </c>
      <c r="B1624" s="5"/>
      <c r="C1624" s="5" t="str">
        <f ca="1">IFERROR(__xludf.DUMMYFUNCTION("""COMPUTED_VALUE"""),"Male")</f>
        <v>Male</v>
      </c>
      <c r="D1624" s="5"/>
      <c r="E1624" s="5" t="str">
        <f ca="1">IFERROR(__xludf.DUMMYFUNCTION("""COMPUTED_VALUE"""),"Unknown")</f>
        <v>Unknown</v>
      </c>
      <c r="F1624" s="5" t="str">
        <f ca="1">IFERROR(__xludf.DUMMYFUNCTION("""COMPUTED_VALUE"""),"Fled/Escaped")</f>
        <v>Fled/Escaped</v>
      </c>
      <c r="G1624" s="5" t="str">
        <f ca="1">IFERROR(__xludf.DUMMYFUNCTION("""COMPUTED_VALUE"""),"No")</f>
        <v>No</v>
      </c>
      <c r="H1624" s="5" t="str">
        <f ca="1">IFERROR(__xludf.DUMMYFUNCTION("""COMPUTED_VALUE"""),"None")</f>
        <v>None</v>
      </c>
    </row>
    <row r="1625" spans="1:8">
      <c r="A1625" s="5" t="str">
        <f ca="1">IFERROR(__xludf.DUMMYFUNCTION("""COMPUTED_VALUE"""),"19980521WAONO")</f>
        <v>19980521WAONO</v>
      </c>
      <c r="B1625" s="5">
        <f ca="1">IFERROR(__xludf.DUMMYFUNCTION("""COMPUTED_VALUE"""),14)</f>
        <v>14</v>
      </c>
      <c r="C1625" s="5" t="str">
        <f ca="1">IFERROR(__xludf.DUMMYFUNCTION("""COMPUTED_VALUE"""),"Male")</f>
        <v>Male</v>
      </c>
      <c r="D1625" s="5"/>
      <c r="E1625" s="5" t="str">
        <f ca="1">IFERROR(__xludf.DUMMYFUNCTION("""COMPUTED_VALUE"""),"Student")</f>
        <v>Student</v>
      </c>
      <c r="F1625" s="5" t="str">
        <f ca="1">IFERROR(__xludf.DUMMYFUNCTION("""COMPUTED_VALUE"""),"Suicide")</f>
        <v>Suicide</v>
      </c>
      <c r="G1625" s="5" t="str">
        <f ca="1">IFERROR(__xludf.DUMMYFUNCTION("""COMPUTED_VALUE"""),"Yes")</f>
        <v>Yes</v>
      </c>
      <c r="H1625" s="5" t="str">
        <f ca="1">IFERROR(__xludf.DUMMYFUNCTION("""COMPUTED_VALUE"""),"Suicide")</f>
        <v>Suicide</v>
      </c>
    </row>
    <row r="1626" spans="1:8">
      <c r="A1626" s="5" t="str">
        <f ca="1">IFERROR(__xludf.DUMMYFUNCTION("""COMPUTED_VALUE"""),"19980521ORTHS")</f>
        <v>19980521ORTHS</v>
      </c>
      <c r="B1626" s="5">
        <f ca="1">IFERROR(__xludf.DUMMYFUNCTION("""COMPUTED_VALUE"""),15)</f>
        <v>15</v>
      </c>
      <c r="C1626" s="5" t="str">
        <f ca="1">IFERROR(__xludf.DUMMYFUNCTION("""COMPUTED_VALUE"""),"Male")</f>
        <v>Male</v>
      </c>
      <c r="D1626" s="5" t="str">
        <f ca="1">IFERROR(__xludf.DUMMYFUNCTION("""COMPUTED_VALUE"""),"White")</f>
        <v>White</v>
      </c>
      <c r="E1626" s="5" t="str">
        <f ca="1">IFERROR(__xludf.DUMMYFUNCTION("""COMPUTED_VALUE"""),"Student")</f>
        <v>Student</v>
      </c>
      <c r="F1626" s="5" t="str">
        <f ca="1">IFERROR(__xludf.DUMMYFUNCTION("""COMPUTED_VALUE"""),"Apprehended/Killed by LE")</f>
        <v>Apprehended/Killed by LE</v>
      </c>
      <c r="G1626" s="5" t="str">
        <f ca="1">IFERROR(__xludf.DUMMYFUNCTION("""COMPUTED_VALUE"""),"No")</f>
        <v>No</v>
      </c>
      <c r="H1626" s="5" t="str">
        <f ca="1">IFERROR(__xludf.DUMMYFUNCTION("""COMPUTED_VALUE"""),"None")</f>
        <v>None</v>
      </c>
    </row>
    <row r="1627" spans="1:8">
      <c r="A1627" s="5" t="str">
        <f ca="1">IFERROR(__xludf.DUMMYFUNCTION("""COMPUTED_VALUE"""),"19980521CARIR")</f>
        <v>19980521CARIR</v>
      </c>
      <c r="B1627" s="5">
        <f ca="1">IFERROR(__xludf.DUMMYFUNCTION("""COMPUTED_VALUE"""),15)</f>
        <v>15</v>
      </c>
      <c r="C1627" s="5" t="str">
        <f ca="1">IFERROR(__xludf.DUMMYFUNCTION("""COMPUTED_VALUE"""),"Male")</f>
        <v>Male</v>
      </c>
      <c r="D1627" s="5" t="str">
        <f ca="1">IFERROR(__xludf.DUMMYFUNCTION("""COMPUTED_VALUE"""),"Hispanic")</f>
        <v>Hispanic</v>
      </c>
      <c r="E1627" s="5" t="str">
        <f ca="1">IFERROR(__xludf.DUMMYFUNCTION("""COMPUTED_VALUE"""),"Student")</f>
        <v>Student</v>
      </c>
      <c r="F1627" s="5" t="str">
        <f ca="1">IFERROR(__xludf.DUMMYFUNCTION("""COMPUTED_VALUE"""),"Suicide")</f>
        <v>Suicide</v>
      </c>
      <c r="G1627" s="5" t="str">
        <f ca="1">IFERROR(__xludf.DUMMYFUNCTION("""COMPUTED_VALUE"""),"Yes")</f>
        <v>Yes</v>
      </c>
      <c r="H1627" s="5" t="str">
        <f ca="1">IFERROR(__xludf.DUMMYFUNCTION("""COMPUTED_VALUE"""),"Suicide")</f>
        <v>Suicide</v>
      </c>
    </row>
    <row r="1628" spans="1:8">
      <c r="A1628" s="5" t="str">
        <f ca="1">IFERROR(__xludf.DUMMYFUNCTION("""COMPUTED_VALUE"""),"19980519TNLIF")</f>
        <v>19980519TNLIF</v>
      </c>
      <c r="B1628" s="5">
        <f ca="1">IFERROR(__xludf.DUMMYFUNCTION("""COMPUTED_VALUE"""),18)</f>
        <v>18</v>
      </c>
      <c r="C1628" s="5" t="str">
        <f ca="1">IFERROR(__xludf.DUMMYFUNCTION("""COMPUTED_VALUE"""),"Male")</f>
        <v>Male</v>
      </c>
      <c r="D1628" s="5"/>
      <c r="E1628" s="5" t="str">
        <f ca="1">IFERROR(__xludf.DUMMYFUNCTION("""COMPUTED_VALUE"""),"Student")</f>
        <v>Student</v>
      </c>
      <c r="F1628" s="5" t="str">
        <f ca="1">IFERROR(__xludf.DUMMYFUNCTION("""COMPUTED_VALUE"""),"Unknown")</f>
        <v>Unknown</v>
      </c>
      <c r="G1628" s="5" t="str">
        <f ca="1">IFERROR(__xludf.DUMMYFUNCTION("""COMPUTED_VALUE"""),"No")</f>
        <v>No</v>
      </c>
      <c r="H1628" s="5" t="str">
        <f ca="1">IFERROR(__xludf.DUMMYFUNCTION("""COMPUTED_VALUE"""),"None")</f>
        <v>None</v>
      </c>
    </row>
    <row r="1629" spans="1:8">
      <c r="A1629" s="5" t="str">
        <f ca="1">IFERROR(__xludf.DUMMYFUNCTION("""COMPUTED_VALUE"""),"19980501NYPUB")</f>
        <v>19980501NYPUB</v>
      </c>
      <c r="B1629" s="5">
        <f ca="1">IFERROR(__xludf.DUMMYFUNCTION("""COMPUTED_VALUE"""),37)</f>
        <v>37</v>
      </c>
      <c r="C1629" s="5" t="str">
        <f ca="1">IFERROR(__xludf.DUMMYFUNCTION("""COMPUTED_VALUE"""),"Male")</f>
        <v>Male</v>
      </c>
      <c r="D1629" s="5"/>
      <c r="E1629" s="5" t="str">
        <f ca="1">IFERROR(__xludf.DUMMYFUNCTION("""COMPUTED_VALUE"""),"Police Officer/SRO")</f>
        <v>Police Officer/SRO</v>
      </c>
      <c r="F1629" s="5" t="str">
        <f ca="1">IFERROR(__xludf.DUMMYFUNCTION("""COMPUTED_VALUE"""),"Fled/Apprehended")</f>
        <v>Fled/Apprehended</v>
      </c>
      <c r="G1629" s="5" t="str">
        <f ca="1">IFERROR(__xludf.DUMMYFUNCTION("""COMPUTED_VALUE"""),"No")</f>
        <v>No</v>
      </c>
      <c r="H1629" s="5" t="str">
        <f ca="1">IFERROR(__xludf.DUMMYFUNCTION("""COMPUTED_VALUE"""),"None")</f>
        <v>None</v>
      </c>
    </row>
    <row r="1630" spans="1:8">
      <c r="A1630" s="5" t="str">
        <f ca="1">IFERROR(__xludf.DUMMYFUNCTION("""COMPUTED_VALUE"""),"19980501FLNOM")</f>
        <v>19980501FLNOM</v>
      </c>
      <c r="B1630" s="5" t="str">
        <f ca="1">IFERROR(__xludf.DUMMYFUNCTION("""COMPUTED_VALUE"""),"Teen")</f>
        <v>Teen</v>
      </c>
      <c r="C1630" s="5" t="str">
        <f ca="1">IFERROR(__xludf.DUMMYFUNCTION("""COMPUTED_VALUE"""),"Male")</f>
        <v>Male</v>
      </c>
      <c r="D1630" s="5"/>
      <c r="E1630" s="5" t="str">
        <f ca="1">IFERROR(__xludf.DUMMYFUNCTION("""COMPUTED_VALUE"""),"Unknown")</f>
        <v>Unknown</v>
      </c>
      <c r="F1630" s="5" t="str">
        <f ca="1">IFERROR(__xludf.DUMMYFUNCTION("""COMPUTED_VALUE"""),"Fled/Apprehended")</f>
        <v>Fled/Apprehended</v>
      </c>
      <c r="G1630" s="5" t="str">
        <f ca="1">IFERROR(__xludf.DUMMYFUNCTION("""COMPUTED_VALUE"""),"No")</f>
        <v>No</v>
      </c>
      <c r="H1630" s="5" t="str">
        <f ca="1">IFERROR(__xludf.DUMMYFUNCTION("""COMPUTED_VALUE"""),"None")</f>
        <v>None</v>
      </c>
    </row>
    <row r="1631" spans="1:8">
      <c r="A1631" s="5" t="str">
        <f ca="1">IFERROR(__xludf.DUMMYFUNCTION("""COMPUTED_VALUE"""),"19980428WIPAP")</f>
        <v>19980428WIPAP</v>
      </c>
      <c r="B1631" s="5">
        <f ca="1">IFERROR(__xludf.DUMMYFUNCTION("""COMPUTED_VALUE"""),15)</f>
        <v>15</v>
      </c>
      <c r="C1631" s="5" t="str">
        <f ca="1">IFERROR(__xludf.DUMMYFUNCTION("""COMPUTED_VALUE"""),"Male")</f>
        <v>Male</v>
      </c>
      <c r="D1631" s="5"/>
      <c r="E1631" s="5" t="str">
        <f ca="1">IFERROR(__xludf.DUMMYFUNCTION("""COMPUTED_VALUE"""),"No Relation")</f>
        <v>No Relation</v>
      </c>
      <c r="F1631" s="5" t="str">
        <f ca="1">IFERROR(__xludf.DUMMYFUNCTION("""COMPUTED_VALUE"""),"Fled/Apprehended")</f>
        <v>Fled/Apprehended</v>
      </c>
      <c r="G1631" s="5" t="str">
        <f ca="1">IFERROR(__xludf.DUMMYFUNCTION("""COMPUTED_VALUE"""),"No")</f>
        <v>No</v>
      </c>
      <c r="H1631" s="5" t="str">
        <f ca="1">IFERROR(__xludf.DUMMYFUNCTION("""COMPUTED_VALUE"""),"None")</f>
        <v>None</v>
      </c>
    </row>
    <row r="1632" spans="1:8">
      <c r="A1632" s="5" t="str">
        <f ca="1">IFERROR(__xludf.DUMMYFUNCTION("""COMPUTED_VALUE"""),"19980428CAPHP")</f>
        <v>19980428CAPHP</v>
      </c>
      <c r="B1632" s="5">
        <f ca="1">IFERROR(__xludf.DUMMYFUNCTION("""COMPUTED_VALUE"""),14)</f>
        <v>14</v>
      </c>
      <c r="C1632" s="5" t="str">
        <f ca="1">IFERROR(__xludf.DUMMYFUNCTION("""COMPUTED_VALUE"""),"Male")</f>
        <v>Male</v>
      </c>
      <c r="D1632" s="5"/>
      <c r="E1632" s="5" t="str">
        <f ca="1">IFERROR(__xludf.DUMMYFUNCTION("""COMPUTED_VALUE"""),"No Relation")</f>
        <v>No Relation</v>
      </c>
      <c r="F1632" s="5" t="str">
        <f ca="1">IFERROR(__xludf.DUMMYFUNCTION("""COMPUTED_VALUE"""),"Fled/Apprehended")</f>
        <v>Fled/Apprehended</v>
      </c>
      <c r="G1632" s="5" t="str">
        <f ca="1">IFERROR(__xludf.DUMMYFUNCTION("""COMPUTED_VALUE"""),"No")</f>
        <v>No</v>
      </c>
      <c r="H1632" s="5" t="str">
        <f ca="1">IFERROR(__xludf.DUMMYFUNCTION("""COMPUTED_VALUE"""),"None")</f>
        <v>None</v>
      </c>
    </row>
    <row r="1633" spans="1:8">
      <c r="A1633" s="5" t="str">
        <f ca="1">IFERROR(__xludf.DUMMYFUNCTION("""COMPUTED_VALUE"""),"19980424PAPAE")</f>
        <v>19980424PAPAE</v>
      </c>
      <c r="B1633" s="5">
        <f ca="1">IFERROR(__xludf.DUMMYFUNCTION("""COMPUTED_VALUE"""),14)</f>
        <v>14</v>
      </c>
      <c r="C1633" s="5" t="str">
        <f ca="1">IFERROR(__xludf.DUMMYFUNCTION("""COMPUTED_VALUE"""),"Male")</f>
        <v>Male</v>
      </c>
      <c r="D1633" s="5" t="str">
        <f ca="1">IFERROR(__xludf.DUMMYFUNCTION("""COMPUTED_VALUE"""),"White")</f>
        <v>White</v>
      </c>
      <c r="E1633" s="5" t="str">
        <f ca="1">IFERROR(__xludf.DUMMYFUNCTION("""COMPUTED_VALUE"""),"Student")</f>
        <v>Student</v>
      </c>
      <c r="F1633" s="5" t="str">
        <f ca="1">IFERROR(__xludf.DUMMYFUNCTION("""COMPUTED_VALUE"""),"Fled/Apprehended")</f>
        <v>Fled/Apprehended</v>
      </c>
      <c r="G1633" s="5" t="str">
        <f ca="1">IFERROR(__xludf.DUMMYFUNCTION("""COMPUTED_VALUE"""),"No")</f>
        <v>No</v>
      </c>
      <c r="H1633" s="5" t="str">
        <f ca="1">IFERROR(__xludf.DUMMYFUNCTION("""COMPUTED_VALUE"""),"None")</f>
        <v>None</v>
      </c>
    </row>
    <row r="1634" spans="1:8">
      <c r="A1634" s="5" t="str">
        <f ca="1">IFERROR(__xludf.DUMMYFUNCTION("""COMPUTED_VALUE"""),"19980423CACUL")</f>
        <v>19980423CACUL</v>
      </c>
      <c r="B1634" s="5"/>
      <c r="C1634" s="5"/>
      <c r="D1634" s="5"/>
      <c r="E1634" s="5" t="str">
        <f ca="1">IFERROR(__xludf.DUMMYFUNCTION("""COMPUTED_VALUE"""),"Unknown")</f>
        <v>Unknown</v>
      </c>
      <c r="F1634" s="5" t="str">
        <f ca="1">IFERROR(__xludf.DUMMYFUNCTION("""COMPUTED_VALUE"""),"Fled/Escaped")</f>
        <v>Fled/Escaped</v>
      </c>
      <c r="G1634" s="5" t="str">
        <f ca="1">IFERROR(__xludf.DUMMYFUNCTION("""COMPUTED_VALUE"""),"No")</f>
        <v>No</v>
      </c>
      <c r="H1634" s="5" t="str">
        <f ca="1">IFERROR(__xludf.DUMMYFUNCTION("""COMPUTED_VALUE"""),"None")</f>
        <v>None</v>
      </c>
    </row>
    <row r="1635" spans="1:8">
      <c r="A1635" s="5" t="str">
        <f ca="1">IFERROR(__xludf.DUMMYFUNCTION("""COMPUTED_VALUE"""),"19980331WIOAO")</f>
        <v>19980331WIOAO</v>
      </c>
      <c r="B1635" s="5">
        <f ca="1">IFERROR(__xludf.DUMMYFUNCTION("""COMPUTED_VALUE"""),14)</f>
        <v>14</v>
      </c>
      <c r="C1635" s="5" t="str">
        <f ca="1">IFERROR(__xludf.DUMMYFUNCTION("""COMPUTED_VALUE"""),"Male")</f>
        <v>Male</v>
      </c>
      <c r="D1635" s="5"/>
      <c r="E1635" s="5" t="str">
        <f ca="1">IFERROR(__xludf.DUMMYFUNCTION("""COMPUTED_VALUE"""),"Student")</f>
        <v>Student</v>
      </c>
      <c r="F1635" s="5" t="str">
        <f ca="1">IFERROR(__xludf.DUMMYFUNCTION("""COMPUTED_VALUE"""),"Fled/Apprehended")</f>
        <v>Fled/Apprehended</v>
      </c>
      <c r="G1635" s="5" t="str">
        <f ca="1">IFERROR(__xludf.DUMMYFUNCTION("""COMPUTED_VALUE"""),"No")</f>
        <v>No</v>
      </c>
      <c r="H1635" s="5" t="str">
        <f ca="1">IFERROR(__xludf.DUMMYFUNCTION("""COMPUTED_VALUE"""),"None")</f>
        <v>None</v>
      </c>
    </row>
    <row r="1636" spans="1:8">
      <c r="A1636" s="5" t="str">
        <f ca="1">IFERROR(__xludf.DUMMYFUNCTION("""COMPUTED_VALUE"""),"19980330NCGRC")</f>
        <v>19980330NCGRC</v>
      </c>
      <c r="B1636" s="5">
        <f ca="1">IFERROR(__xludf.DUMMYFUNCTION("""COMPUTED_VALUE"""),13)</f>
        <v>13</v>
      </c>
      <c r="C1636" s="5" t="str">
        <f ca="1">IFERROR(__xludf.DUMMYFUNCTION("""COMPUTED_VALUE"""),"Female")</f>
        <v>Female</v>
      </c>
      <c r="D1636" s="5"/>
      <c r="E1636" s="5" t="str">
        <f ca="1">IFERROR(__xludf.DUMMYFUNCTION("""COMPUTED_VALUE"""),"Student")</f>
        <v>Student</v>
      </c>
      <c r="F1636" s="5" t="str">
        <f ca="1">IFERROR(__xludf.DUMMYFUNCTION("""COMPUTED_VALUE"""),"Suicide")</f>
        <v>Suicide</v>
      </c>
      <c r="G1636" s="5" t="str">
        <f ca="1">IFERROR(__xludf.DUMMYFUNCTION("""COMPUTED_VALUE"""),"Yes")</f>
        <v>Yes</v>
      </c>
      <c r="H1636" s="5" t="str">
        <f ca="1">IFERROR(__xludf.DUMMYFUNCTION("""COMPUTED_VALUE"""),"Suicide")</f>
        <v>Suicide</v>
      </c>
    </row>
    <row r="1637" spans="1:8">
      <c r="A1637" s="5" t="str">
        <f ca="1">IFERROR(__xludf.DUMMYFUNCTION("""COMPUTED_VALUE"""),"19980325MICOC")</f>
        <v>19980325MICOC</v>
      </c>
      <c r="B1637" s="5">
        <f ca="1">IFERROR(__xludf.DUMMYFUNCTION("""COMPUTED_VALUE"""),18)</f>
        <v>18</v>
      </c>
      <c r="C1637" s="5" t="str">
        <f ca="1">IFERROR(__xludf.DUMMYFUNCTION("""COMPUTED_VALUE"""),"Male")</f>
        <v>Male</v>
      </c>
      <c r="D1637" s="5"/>
      <c r="E1637" s="5" t="str">
        <f ca="1">IFERROR(__xludf.DUMMYFUNCTION("""COMPUTED_VALUE"""),"Student")</f>
        <v>Student</v>
      </c>
      <c r="F1637" s="5" t="str">
        <f ca="1">IFERROR(__xludf.DUMMYFUNCTION("""COMPUTED_VALUE"""),"Suicide")</f>
        <v>Suicide</v>
      </c>
      <c r="G1637" s="5" t="str">
        <f ca="1">IFERROR(__xludf.DUMMYFUNCTION("""COMPUTED_VALUE"""),"Yes")</f>
        <v>Yes</v>
      </c>
      <c r="H1637" s="5" t="str">
        <f ca="1">IFERROR(__xludf.DUMMYFUNCTION("""COMPUTED_VALUE"""),"Suicide")</f>
        <v>Suicide</v>
      </c>
    </row>
    <row r="1638" spans="1:8">
      <c r="A1638" s="5" t="str">
        <f ca="1">IFERROR(__xludf.DUMMYFUNCTION("""COMPUTED_VALUE"""),"19980325CAFED")</f>
        <v>19980325CAFED</v>
      </c>
      <c r="B1638" s="5">
        <f ca="1">IFERROR(__xludf.DUMMYFUNCTION("""COMPUTED_VALUE"""),13)</f>
        <v>13</v>
      </c>
      <c r="C1638" s="5" t="str">
        <f ca="1">IFERROR(__xludf.DUMMYFUNCTION("""COMPUTED_VALUE"""),"Male")</f>
        <v>Male</v>
      </c>
      <c r="D1638" s="5"/>
      <c r="E1638" s="5" t="str">
        <f ca="1">IFERROR(__xludf.DUMMYFUNCTION("""COMPUTED_VALUE"""),"Student")</f>
        <v>Student</v>
      </c>
      <c r="F1638" s="5" t="str">
        <f ca="1">IFERROR(__xludf.DUMMYFUNCTION("""COMPUTED_VALUE"""),"Fled/Apprehended")</f>
        <v>Fled/Apprehended</v>
      </c>
      <c r="G1638" s="5" t="str">
        <f ca="1">IFERROR(__xludf.DUMMYFUNCTION("""COMPUTED_VALUE"""),"No")</f>
        <v>No</v>
      </c>
      <c r="H1638" s="5" t="str">
        <f ca="1">IFERROR(__xludf.DUMMYFUNCTION("""COMPUTED_VALUE"""),"None")</f>
        <v>None</v>
      </c>
    </row>
    <row r="1639" spans="1:8">
      <c r="A1639" s="5" t="str">
        <f ca="1">IFERROR(__xludf.DUMMYFUNCTION("""COMPUTED_VALUE"""),"19980324ARWEJ")</f>
        <v>19980324ARWEJ</v>
      </c>
      <c r="B1639" s="5">
        <f ca="1">IFERROR(__xludf.DUMMYFUNCTION("""COMPUTED_VALUE"""),11)</f>
        <v>11</v>
      </c>
      <c r="C1639" s="5" t="str">
        <f ca="1">IFERROR(__xludf.DUMMYFUNCTION("""COMPUTED_VALUE"""),"Male")</f>
        <v>Male</v>
      </c>
      <c r="D1639" s="5" t="str">
        <f ca="1">IFERROR(__xludf.DUMMYFUNCTION("""COMPUTED_VALUE"""),"White")</f>
        <v>White</v>
      </c>
      <c r="E1639" s="5" t="str">
        <f ca="1">IFERROR(__xludf.DUMMYFUNCTION("""COMPUTED_VALUE"""),"Student")</f>
        <v>Student</v>
      </c>
      <c r="F1639" s="5" t="str">
        <f ca="1">IFERROR(__xludf.DUMMYFUNCTION("""COMPUTED_VALUE"""),"Fled/Apprehended")</f>
        <v>Fled/Apprehended</v>
      </c>
      <c r="G1639" s="5" t="str">
        <f ca="1">IFERROR(__xludf.DUMMYFUNCTION("""COMPUTED_VALUE"""),"No")</f>
        <v>No</v>
      </c>
      <c r="H1639" s="5" t="str">
        <f ca="1">IFERROR(__xludf.DUMMYFUNCTION("""COMPUTED_VALUE"""),"None")</f>
        <v>None</v>
      </c>
    </row>
    <row r="1640" spans="1:8">
      <c r="A1640" s="5" t="str">
        <f ca="1">IFERROR(__xludf.DUMMYFUNCTION("""COMPUTED_VALUE"""),"19980324ARWEJ")</f>
        <v>19980324ARWEJ</v>
      </c>
      <c r="B1640" s="5">
        <f ca="1">IFERROR(__xludf.DUMMYFUNCTION("""COMPUTED_VALUE"""),13)</f>
        <v>13</v>
      </c>
      <c r="C1640" s="5" t="str">
        <f ca="1">IFERROR(__xludf.DUMMYFUNCTION("""COMPUTED_VALUE"""),"Male")</f>
        <v>Male</v>
      </c>
      <c r="D1640" s="5" t="str">
        <f ca="1">IFERROR(__xludf.DUMMYFUNCTION("""COMPUTED_VALUE"""),"White")</f>
        <v>White</v>
      </c>
      <c r="E1640" s="5" t="str">
        <f ca="1">IFERROR(__xludf.DUMMYFUNCTION("""COMPUTED_VALUE"""),"Student")</f>
        <v>Student</v>
      </c>
      <c r="F1640" s="5" t="str">
        <f ca="1">IFERROR(__xludf.DUMMYFUNCTION("""COMPUTED_VALUE"""),"Fled/Apprehended")</f>
        <v>Fled/Apprehended</v>
      </c>
      <c r="G1640" s="5" t="str">
        <f ca="1">IFERROR(__xludf.DUMMYFUNCTION("""COMPUTED_VALUE"""),"No")</f>
        <v>No</v>
      </c>
      <c r="H1640" s="5" t="str">
        <f ca="1">IFERROR(__xludf.DUMMYFUNCTION("""COMPUTED_VALUE"""),"None")</f>
        <v>None</v>
      </c>
    </row>
    <row r="1641" spans="1:8">
      <c r="A1641" s="5" t="str">
        <f ca="1">IFERROR(__xludf.DUMMYFUNCTION("""COMPUTED_VALUE"""),"19980227VAMAF")</f>
        <v>19980227VAMAF</v>
      </c>
      <c r="B1641" s="5">
        <f ca="1">IFERROR(__xludf.DUMMYFUNCTION("""COMPUTED_VALUE"""),18)</f>
        <v>18</v>
      </c>
      <c r="C1641" s="5" t="str">
        <f ca="1">IFERROR(__xludf.DUMMYFUNCTION("""COMPUTED_VALUE"""),"Male")</f>
        <v>Male</v>
      </c>
      <c r="D1641" s="5" t="str">
        <f ca="1">IFERROR(__xludf.DUMMYFUNCTION("""COMPUTED_VALUE"""),"Asian")</f>
        <v>Asian</v>
      </c>
      <c r="E1641" s="5" t="str">
        <f ca="1">IFERROR(__xludf.DUMMYFUNCTION("""COMPUTED_VALUE"""),"Unknown")</f>
        <v>Unknown</v>
      </c>
      <c r="F1641" s="5" t="str">
        <f ca="1">IFERROR(__xludf.DUMMYFUNCTION("""COMPUTED_VALUE"""),"Fled/Apprehended")</f>
        <v>Fled/Apprehended</v>
      </c>
      <c r="G1641" s="5" t="str">
        <f ca="1">IFERROR(__xludf.DUMMYFUNCTION("""COMPUTED_VALUE"""),"No")</f>
        <v>No</v>
      </c>
      <c r="H1641" s="5" t="str">
        <f ca="1">IFERROR(__xludf.DUMMYFUNCTION("""COMPUTED_VALUE"""),"None")</f>
        <v>None</v>
      </c>
    </row>
    <row r="1642" spans="1:8">
      <c r="A1642" s="5" t="str">
        <f ca="1">IFERROR(__xludf.DUMMYFUNCTION("""COMPUTED_VALUE"""),"19980225MIRER")</f>
        <v>19980225MIRER</v>
      </c>
      <c r="B1642" s="5">
        <f ca="1">IFERROR(__xludf.DUMMYFUNCTION("""COMPUTED_VALUE"""),14)</f>
        <v>14</v>
      </c>
      <c r="C1642" s="5" t="str">
        <f ca="1">IFERROR(__xludf.DUMMYFUNCTION("""COMPUTED_VALUE"""),"Male")</f>
        <v>Male</v>
      </c>
      <c r="D1642" s="5"/>
      <c r="E1642" s="5" t="str">
        <f ca="1">IFERROR(__xludf.DUMMYFUNCTION("""COMPUTED_VALUE"""),"Student")</f>
        <v>Student</v>
      </c>
      <c r="F1642" s="5" t="str">
        <f ca="1">IFERROR(__xludf.DUMMYFUNCTION("""COMPUTED_VALUE"""),"Suicide")</f>
        <v>Suicide</v>
      </c>
      <c r="G1642" s="5" t="str">
        <f ca="1">IFERROR(__xludf.DUMMYFUNCTION("""COMPUTED_VALUE"""),"Yes")</f>
        <v>Yes</v>
      </c>
      <c r="H1642" s="5" t="str">
        <f ca="1">IFERROR(__xludf.DUMMYFUNCTION("""COMPUTED_VALUE"""),"Suicide")</f>
        <v>Suicide</v>
      </c>
    </row>
    <row r="1643" spans="1:8">
      <c r="A1643" s="5" t="str">
        <f ca="1">IFERROR(__xludf.DUMMYFUNCTION("""COMPUTED_VALUE"""),"19980212NJHOH")</f>
        <v>19980212NJHOH</v>
      </c>
      <c r="B1643" s="5">
        <f ca="1">IFERROR(__xludf.DUMMYFUNCTION("""COMPUTED_VALUE"""),61)</f>
        <v>61</v>
      </c>
      <c r="C1643" s="5" t="str">
        <f ca="1">IFERROR(__xludf.DUMMYFUNCTION("""COMPUTED_VALUE"""),"Male")</f>
        <v>Male</v>
      </c>
      <c r="D1643" s="5"/>
      <c r="E1643" s="5" t="str">
        <f ca="1">IFERROR(__xludf.DUMMYFUNCTION("""COMPUTED_VALUE"""),"Intimate Relationship")</f>
        <v>Intimate Relationship</v>
      </c>
      <c r="F1643" s="5" t="str">
        <f ca="1">IFERROR(__xludf.DUMMYFUNCTION("""COMPUTED_VALUE"""),"Fled/Escaped")</f>
        <v>Fled/Escaped</v>
      </c>
      <c r="G1643" s="5" t="str">
        <f ca="1">IFERROR(__xludf.DUMMYFUNCTION("""COMPUTED_VALUE"""),"Yes")</f>
        <v>Yes</v>
      </c>
      <c r="H1643" s="5" t="str">
        <f ca="1">IFERROR(__xludf.DUMMYFUNCTION("""COMPUTED_VALUE"""),"Suicide")</f>
        <v>Suicide</v>
      </c>
    </row>
    <row r="1644" spans="1:8">
      <c r="A1644" s="5" t="str">
        <f ca="1">IFERROR(__xludf.DUMMYFUNCTION("""COMPUTED_VALUE"""),"19971215ARSTS")</f>
        <v>19971215ARSTS</v>
      </c>
      <c r="B1644" s="5">
        <f ca="1">IFERROR(__xludf.DUMMYFUNCTION("""COMPUTED_VALUE"""),14)</f>
        <v>14</v>
      </c>
      <c r="C1644" s="5" t="str">
        <f ca="1">IFERROR(__xludf.DUMMYFUNCTION("""COMPUTED_VALUE"""),"Male")</f>
        <v>Male</v>
      </c>
      <c r="D1644" s="5" t="str">
        <f ca="1">IFERROR(__xludf.DUMMYFUNCTION("""COMPUTED_VALUE"""),"White")</f>
        <v>White</v>
      </c>
      <c r="E1644" s="5" t="str">
        <f ca="1">IFERROR(__xludf.DUMMYFUNCTION("""COMPUTED_VALUE"""),"Student")</f>
        <v>Student</v>
      </c>
      <c r="F1644" s="5" t="str">
        <f ca="1">IFERROR(__xludf.DUMMYFUNCTION("""COMPUTED_VALUE"""),"Fled/Apprehended")</f>
        <v>Fled/Apprehended</v>
      </c>
      <c r="G1644" s="5" t="str">
        <f ca="1">IFERROR(__xludf.DUMMYFUNCTION("""COMPUTED_VALUE"""),"No")</f>
        <v>No</v>
      </c>
      <c r="H1644" s="5" t="str">
        <f ca="1">IFERROR(__xludf.DUMMYFUNCTION("""COMPUTED_VALUE"""),"None")</f>
        <v>None</v>
      </c>
    </row>
    <row r="1645" spans="1:8">
      <c r="A1645" s="5" t="str">
        <f ca="1">IFERROR(__xludf.DUMMYFUNCTION("""COMPUTED_VALUE"""),"19971201KYHEW")</f>
        <v>19971201KYHEW</v>
      </c>
      <c r="B1645" s="5">
        <f ca="1">IFERROR(__xludf.DUMMYFUNCTION("""COMPUTED_VALUE"""),14)</f>
        <v>14</v>
      </c>
      <c r="C1645" s="5" t="str">
        <f ca="1">IFERROR(__xludf.DUMMYFUNCTION("""COMPUTED_VALUE"""),"Male")</f>
        <v>Male</v>
      </c>
      <c r="D1645" s="5" t="str">
        <f ca="1">IFERROR(__xludf.DUMMYFUNCTION("""COMPUTED_VALUE"""),"White")</f>
        <v>White</v>
      </c>
      <c r="E1645" s="5" t="str">
        <f ca="1">IFERROR(__xludf.DUMMYFUNCTION("""COMPUTED_VALUE"""),"Student")</f>
        <v>Student</v>
      </c>
      <c r="F1645" s="5" t="str">
        <f ca="1">IFERROR(__xludf.DUMMYFUNCTION("""COMPUTED_VALUE"""),"Surrendered")</f>
        <v>Surrendered</v>
      </c>
      <c r="G1645" s="5" t="str">
        <f ca="1">IFERROR(__xludf.DUMMYFUNCTION("""COMPUTED_VALUE"""),"No")</f>
        <v>No</v>
      </c>
      <c r="H1645" s="5" t="str">
        <f ca="1">IFERROR(__xludf.DUMMYFUNCTION("""COMPUTED_VALUE"""),"None")</f>
        <v>None</v>
      </c>
    </row>
    <row r="1646" spans="1:8">
      <c r="A1646" s="5" t="str">
        <f ca="1">IFERROR(__xludf.DUMMYFUNCTION("""COMPUTED_VALUE"""),"19971113CACRS")</f>
        <v>19971113CACRS</v>
      </c>
      <c r="B1646" s="5">
        <f ca="1">IFERROR(__xludf.DUMMYFUNCTION("""COMPUTED_VALUE"""),39)</f>
        <v>39</v>
      </c>
      <c r="C1646" s="5" t="str">
        <f ca="1">IFERROR(__xludf.DUMMYFUNCTION("""COMPUTED_VALUE"""),"Male")</f>
        <v>Male</v>
      </c>
      <c r="D1646" s="5"/>
      <c r="E1646" s="5" t="str">
        <f ca="1">IFERROR(__xludf.DUMMYFUNCTION("""COMPUTED_VALUE"""),"Relative")</f>
        <v>Relative</v>
      </c>
      <c r="F1646" s="5" t="str">
        <f ca="1">IFERROR(__xludf.DUMMYFUNCTION("""COMPUTED_VALUE"""),"Surrendered")</f>
        <v>Surrendered</v>
      </c>
      <c r="G1646" s="5" t="str">
        <f ca="1">IFERROR(__xludf.DUMMYFUNCTION("""COMPUTED_VALUE"""),"No")</f>
        <v>No</v>
      </c>
      <c r="H1646" s="5" t="str">
        <f ca="1">IFERROR(__xludf.DUMMYFUNCTION("""COMPUTED_VALUE"""),"None")</f>
        <v>None</v>
      </c>
    </row>
    <row r="1647" spans="1:8">
      <c r="A1647" s="5" t="str">
        <f ca="1">IFERROR(__xludf.DUMMYFUNCTION("""COMPUTED_VALUE"""),"19971107FLRIJ")</f>
        <v>19971107FLRIJ</v>
      </c>
      <c r="B1647" s="5">
        <f ca="1">IFERROR(__xludf.DUMMYFUNCTION("""COMPUTED_VALUE"""),18)</f>
        <v>18</v>
      </c>
      <c r="C1647" s="5" t="str">
        <f ca="1">IFERROR(__xludf.DUMMYFUNCTION("""COMPUTED_VALUE"""),"Male")</f>
        <v>Male</v>
      </c>
      <c r="D1647" s="5"/>
      <c r="E1647" s="5" t="str">
        <f ca="1">IFERROR(__xludf.DUMMYFUNCTION("""COMPUTED_VALUE"""),"Student")</f>
        <v>Student</v>
      </c>
      <c r="F1647" s="5" t="str">
        <f ca="1">IFERROR(__xludf.DUMMYFUNCTION("""COMPUTED_VALUE"""),"Fled/Apprehended")</f>
        <v>Fled/Apprehended</v>
      </c>
      <c r="G1647" s="5" t="str">
        <f ca="1">IFERROR(__xludf.DUMMYFUNCTION("""COMPUTED_VALUE"""),"No")</f>
        <v>No</v>
      </c>
      <c r="H1647" s="5" t="str">
        <f ca="1">IFERROR(__xludf.DUMMYFUNCTION("""COMPUTED_VALUE"""),"None")</f>
        <v>None</v>
      </c>
    </row>
    <row r="1648" spans="1:8">
      <c r="A1648" s="5" t="str">
        <f ca="1">IFERROR(__xludf.DUMMYFUNCTION("""COMPUTED_VALUE"""),"19971022CAJON")</f>
        <v>19971022CAJON</v>
      </c>
      <c r="B1648" s="5">
        <f ca="1">IFERROR(__xludf.DUMMYFUNCTION("""COMPUTED_VALUE"""),21)</f>
        <v>21</v>
      </c>
      <c r="C1648" s="5" t="str">
        <f ca="1">IFERROR(__xludf.DUMMYFUNCTION("""COMPUTED_VALUE"""),"Male")</f>
        <v>Male</v>
      </c>
      <c r="D1648" s="5" t="str">
        <f ca="1">IFERROR(__xludf.DUMMYFUNCTION("""COMPUTED_VALUE"""),"Asian")</f>
        <v>Asian</v>
      </c>
      <c r="E1648" s="5" t="str">
        <f ca="1">IFERROR(__xludf.DUMMYFUNCTION("""COMPUTED_VALUE"""),"Former Student")</f>
        <v>Former Student</v>
      </c>
      <c r="F1648" s="5" t="str">
        <f ca="1">IFERROR(__xludf.DUMMYFUNCTION("""COMPUTED_VALUE"""),"Suicide")</f>
        <v>Suicide</v>
      </c>
      <c r="G1648" s="5" t="str">
        <f ca="1">IFERROR(__xludf.DUMMYFUNCTION("""COMPUTED_VALUE"""),"Yes")</f>
        <v>Yes</v>
      </c>
      <c r="H1648" s="5" t="str">
        <f ca="1">IFERROR(__xludf.DUMMYFUNCTION("""COMPUTED_VALUE"""),"Suicide")</f>
        <v>Suicide</v>
      </c>
    </row>
    <row r="1649" spans="1:8">
      <c r="A1649" s="5" t="str">
        <f ca="1">IFERROR(__xludf.DUMMYFUNCTION("""COMPUTED_VALUE"""),"19971020CAMCO")</f>
        <v>19971020CAMCO</v>
      </c>
      <c r="B1649" s="5"/>
      <c r="C1649" s="5"/>
      <c r="D1649" s="5"/>
      <c r="E1649" s="5" t="str">
        <f ca="1">IFERROR(__xludf.DUMMYFUNCTION("""COMPUTED_VALUE"""),"Unknown")</f>
        <v>Unknown</v>
      </c>
      <c r="F1649" s="5" t="str">
        <f ca="1">IFERROR(__xludf.DUMMYFUNCTION("""COMPUTED_VALUE"""),"Fled/Escaped")</f>
        <v>Fled/Escaped</v>
      </c>
      <c r="G1649" s="5" t="str">
        <f ca="1">IFERROR(__xludf.DUMMYFUNCTION("""COMPUTED_VALUE"""),"No")</f>
        <v>No</v>
      </c>
      <c r="H1649" s="5" t="str">
        <f ca="1">IFERROR(__xludf.DUMMYFUNCTION("""COMPUTED_VALUE"""),"None")</f>
        <v>None</v>
      </c>
    </row>
    <row r="1650" spans="1:8">
      <c r="A1650" s="5" t="str">
        <f ca="1">IFERROR(__xludf.DUMMYFUNCTION("""COMPUTED_VALUE"""),"19971015FLLIP")</f>
        <v>19971015FLLIP</v>
      </c>
      <c r="B1650" s="5">
        <f ca="1">IFERROR(__xludf.DUMMYFUNCTION("""COMPUTED_VALUE"""),13)</f>
        <v>13</v>
      </c>
      <c r="C1650" s="5" t="str">
        <f ca="1">IFERROR(__xludf.DUMMYFUNCTION("""COMPUTED_VALUE"""),"Male")</f>
        <v>Male</v>
      </c>
      <c r="D1650" s="5"/>
      <c r="E1650" s="5" t="str">
        <f ca="1">IFERROR(__xludf.DUMMYFUNCTION("""COMPUTED_VALUE"""),"Student")</f>
        <v>Student</v>
      </c>
      <c r="F1650" s="5" t="str">
        <f ca="1">IFERROR(__xludf.DUMMYFUNCTION("""COMPUTED_VALUE"""),"Fled/Apprehended")</f>
        <v>Fled/Apprehended</v>
      </c>
      <c r="G1650" s="5" t="str">
        <f ca="1">IFERROR(__xludf.DUMMYFUNCTION("""COMPUTED_VALUE"""),"No")</f>
        <v>No</v>
      </c>
      <c r="H1650" s="5" t="str">
        <f ca="1">IFERROR(__xludf.DUMMYFUNCTION("""COMPUTED_VALUE"""),"None")</f>
        <v>None</v>
      </c>
    </row>
    <row r="1651" spans="1:8">
      <c r="A1651" s="5" t="str">
        <f ca="1">IFERROR(__xludf.DUMMYFUNCTION("""COMPUTED_VALUE"""),"19971014TXLAG")</f>
        <v>19971014TXLAG</v>
      </c>
      <c r="B1651" s="5">
        <f ca="1">IFERROR(__xludf.DUMMYFUNCTION("""COMPUTED_VALUE"""),19)</f>
        <v>19</v>
      </c>
      <c r="C1651" s="5" t="str">
        <f ca="1">IFERROR(__xludf.DUMMYFUNCTION("""COMPUTED_VALUE"""),"Male")</f>
        <v>Male</v>
      </c>
      <c r="D1651" s="5"/>
      <c r="E1651" s="5" t="str">
        <f ca="1">IFERROR(__xludf.DUMMYFUNCTION("""COMPUTED_VALUE"""),"Student")</f>
        <v>Student</v>
      </c>
      <c r="F1651" s="5" t="str">
        <f ca="1">IFERROR(__xludf.DUMMYFUNCTION("""COMPUTED_VALUE"""),"Suicide")</f>
        <v>Suicide</v>
      </c>
      <c r="G1651" s="5" t="str">
        <f ca="1">IFERROR(__xludf.DUMMYFUNCTION("""COMPUTED_VALUE"""),"Yes")</f>
        <v>Yes</v>
      </c>
      <c r="H1651" s="5" t="str">
        <f ca="1">IFERROR(__xludf.DUMMYFUNCTION("""COMPUTED_VALUE"""),"Suicide")</f>
        <v>Suicide</v>
      </c>
    </row>
    <row r="1652" spans="1:8">
      <c r="A1652" s="5" t="str">
        <f ca="1">IFERROR(__xludf.DUMMYFUNCTION("""COMPUTED_VALUE"""),"19971010INWAG")</f>
        <v>19971010INWAG</v>
      </c>
      <c r="B1652" s="5">
        <f ca="1">IFERROR(__xludf.DUMMYFUNCTION("""COMPUTED_VALUE"""),20)</f>
        <v>20</v>
      </c>
      <c r="C1652" s="5" t="str">
        <f ca="1">IFERROR(__xludf.DUMMYFUNCTION("""COMPUTED_VALUE"""),"Male")</f>
        <v>Male</v>
      </c>
      <c r="D1652" s="5"/>
      <c r="E1652" s="5" t="str">
        <f ca="1">IFERROR(__xludf.DUMMYFUNCTION("""COMPUTED_VALUE"""),"Former Student")</f>
        <v>Former Student</v>
      </c>
      <c r="F1652" s="5" t="str">
        <f ca="1">IFERROR(__xludf.DUMMYFUNCTION("""COMPUTED_VALUE"""),"Fled/Apprehended")</f>
        <v>Fled/Apprehended</v>
      </c>
      <c r="G1652" s="5" t="str">
        <f ca="1">IFERROR(__xludf.DUMMYFUNCTION("""COMPUTED_VALUE"""),"No")</f>
        <v>No</v>
      </c>
      <c r="H1652" s="5" t="str">
        <f ca="1">IFERROR(__xludf.DUMMYFUNCTION("""COMPUTED_VALUE"""),"None")</f>
        <v>None</v>
      </c>
    </row>
    <row r="1653" spans="1:8">
      <c r="A1653" s="5" t="str">
        <f ca="1">IFERROR(__xludf.DUMMYFUNCTION("""COMPUTED_VALUE"""),"19971005OKMOO")</f>
        <v>19971005OKMOO</v>
      </c>
      <c r="B1653" s="5"/>
      <c r="C1653" s="5" t="str">
        <f ca="1">IFERROR(__xludf.DUMMYFUNCTION("""COMPUTED_VALUE"""),"Male")</f>
        <v>Male</v>
      </c>
      <c r="D1653" s="5" t="str">
        <f ca="1">IFERROR(__xludf.DUMMYFUNCTION("""COMPUTED_VALUE"""),"White")</f>
        <v>White</v>
      </c>
      <c r="E1653" s="5" t="str">
        <f ca="1">IFERROR(__xludf.DUMMYFUNCTION("""COMPUTED_VALUE"""),"Unknown")</f>
        <v>Unknown</v>
      </c>
      <c r="F1653" s="5" t="str">
        <f ca="1">IFERROR(__xludf.DUMMYFUNCTION("""COMPUTED_VALUE"""),"Fled/Escaped")</f>
        <v>Fled/Escaped</v>
      </c>
      <c r="G1653" s="5" t="str">
        <f ca="1">IFERROR(__xludf.DUMMYFUNCTION("""COMPUTED_VALUE"""),"No")</f>
        <v>No</v>
      </c>
      <c r="H1653" s="5" t="str">
        <f ca="1">IFERROR(__xludf.DUMMYFUNCTION("""COMPUTED_VALUE"""),"None")</f>
        <v>None</v>
      </c>
    </row>
    <row r="1654" spans="1:8">
      <c r="A1654" s="5" t="str">
        <f ca="1">IFERROR(__xludf.DUMMYFUNCTION("""COMPUTED_VALUE"""),"19971001MSPEP")</f>
        <v>19971001MSPEP</v>
      </c>
      <c r="B1654" s="5">
        <f ca="1">IFERROR(__xludf.DUMMYFUNCTION("""COMPUTED_VALUE"""),16)</f>
        <v>16</v>
      </c>
      <c r="C1654" s="5" t="str">
        <f ca="1">IFERROR(__xludf.DUMMYFUNCTION("""COMPUTED_VALUE"""),"Male")</f>
        <v>Male</v>
      </c>
      <c r="D1654" s="5" t="str">
        <f ca="1">IFERROR(__xludf.DUMMYFUNCTION("""COMPUTED_VALUE"""),"White")</f>
        <v>White</v>
      </c>
      <c r="E1654" s="5" t="str">
        <f ca="1">IFERROR(__xludf.DUMMYFUNCTION("""COMPUTED_VALUE"""),"Student")</f>
        <v>Student</v>
      </c>
      <c r="F1654" s="5" t="str">
        <f ca="1">IFERROR(__xludf.DUMMYFUNCTION("""COMPUTED_VALUE"""),"Fled/Apprehended")</f>
        <v>Fled/Apprehended</v>
      </c>
      <c r="G1654" s="5" t="str">
        <f ca="1">IFERROR(__xludf.DUMMYFUNCTION("""COMPUTED_VALUE"""),"No")</f>
        <v>No</v>
      </c>
      <c r="H1654" s="5" t="str">
        <f ca="1">IFERROR(__xludf.DUMMYFUNCTION("""COMPUTED_VALUE"""),"None")</f>
        <v>None</v>
      </c>
    </row>
    <row r="1655" spans="1:8">
      <c r="A1655" s="5" t="str">
        <f ca="1">IFERROR(__xludf.DUMMYFUNCTION("""COMPUTED_VALUE"""),"19970624ALJEM")</f>
        <v>19970624ALJEM</v>
      </c>
      <c r="B1655" s="5">
        <f ca="1">IFERROR(__xludf.DUMMYFUNCTION("""COMPUTED_VALUE"""),16)</f>
        <v>16</v>
      </c>
      <c r="C1655" s="5" t="str">
        <f ca="1">IFERROR(__xludf.DUMMYFUNCTION("""COMPUTED_VALUE"""),"Male")</f>
        <v>Male</v>
      </c>
      <c r="D1655" s="5" t="str">
        <f ca="1">IFERROR(__xludf.DUMMYFUNCTION("""COMPUTED_VALUE"""),"Black")</f>
        <v>Black</v>
      </c>
      <c r="E1655" s="5" t="str">
        <f ca="1">IFERROR(__xludf.DUMMYFUNCTION("""COMPUTED_VALUE"""),"Student")</f>
        <v>Student</v>
      </c>
      <c r="F1655" s="5" t="str">
        <f ca="1">IFERROR(__xludf.DUMMYFUNCTION("""COMPUTED_VALUE"""),"Surrendered")</f>
        <v>Surrendered</v>
      </c>
      <c r="G1655" s="5" t="str">
        <f ca="1">IFERROR(__xludf.DUMMYFUNCTION("""COMPUTED_VALUE"""),"No")</f>
        <v>No</v>
      </c>
      <c r="H1655" s="5" t="str">
        <f ca="1">IFERROR(__xludf.DUMMYFUNCTION("""COMPUTED_VALUE"""),"None")</f>
        <v>None</v>
      </c>
    </row>
    <row r="1656" spans="1:8">
      <c r="A1656" s="5" t="str">
        <f ca="1">IFERROR(__xludf.DUMMYFUNCTION("""COMPUTED_VALUE"""),"19970520OHDUD")</f>
        <v>19970520OHDUD</v>
      </c>
      <c r="B1656" s="5">
        <f ca="1">IFERROR(__xludf.DUMMYFUNCTION("""COMPUTED_VALUE"""),16)</f>
        <v>16</v>
      </c>
      <c r="C1656" s="5" t="str">
        <f ca="1">IFERROR(__xludf.DUMMYFUNCTION("""COMPUTED_VALUE"""),"Male")</f>
        <v>Male</v>
      </c>
      <c r="D1656" s="5"/>
      <c r="E1656" s="5" t="str">
        <f ca="1">IFERROR(__xludf.DUMMYFUNCTION("""COMPUTED_VALUE"""),"Student")</f>
        <v>Student</v>
      </c>
      <c r="F1656" s="5" t="str">
        <f ca="1">IFERROR(__xludf.DUMMYFUNCTION("""COMPUTED_VALUE"""),"Unknown")</f>
        <v>Unknown</v>
      </c>
      <c r="G1656" s="5" t="str">
        <f ca="1">IFERROR(__xludf.DUMMYFUNCTION("""COMPUTED_VALUE"""),"No")</f>
        <v>No</v>
      </c>
      <c r="H1656" s="5" t="str">
        <f ca="1">IFERROR(__xludf.DUMMYFUNCTION("""COMPUTED_VALUE"""),"None")</f>
        <v>None</v>
      </c>
    </row>
    <row r="1657" spans="1:8">
      <c r="A1657" s="5" t="str">
        <f ca="1">IFERROR(__xludf.DUMMYFUNCTION("""COMPUTED_VALUE"""),"19970513FLNOM")</f>
        <v>19970513FLNOM</v>
      </c>
      <c r="B1657" s="5">
        <f ca="1">IFERROR(__xludf.DUMMYFUNCTION("""COMPUTED_VALUE"""),17)</f>
        <v>17</v>
      </c>
      <c r="C1657" s="5" t="str">
        <f ca="1">IFERROR(__xludf.DUMMYFUNCTION("""COMPUTED_VALUE"""),"Male")</f>
        <v>Male</v>
      </c>
      <c r="D1657" s="5"/>
      <c r="E1657" s="5" t="str">
        <f ca="1">IFERROR(__xludf.DUMMYFUNCTION("""COMPUTED_VALUE"""),"Student")</f>
        <v>Student</v>
      </c>
      <c r="F1657" s="5" t="str">
        <f ca="1">IFERROR(__xludf.DUMMYFUNCTION("""COMPUTED_VALUE"""),"Fled/Apprehended")</f>
        <v>Fled/Apprehended</v>
      </c>
      <c r="G1657" s="5" t="str">
        <f ca="1">IFERROR(__xludf.DUMMYFUNCTION("""COMPUTED_VALUE"""),"No")</f>
        <v>No</v>
      </c>
      <c r="H1657" s="5" t="str">
        <f ca="1">IFERROR(__xludf.DUMMYFUNCTION("""COMPUTED_VALUE"""),"None")</f>
        <v>None</v>
      </c>
    </row>
    <row r="1658" spans="1:8">
      <c r="A1658" s="5" t="str">
        <f ca="1">IFERROR(__xludf.DUMMYFUNCTION("""COMPUTED_VALUE"""),"19970430NYCIN")</f>
        <v>19970430NYCIN</v>
      </c>
      <c r="B1658" s="5"/>
      <c r="C1658" s="5"/>
      <c r="D1658" s="5"/>
      <c r="E1658" s="5" t="str">
        <f ca="1">IFERROR(__xludf.DUMMYFUNCTION("""COMPUTED_VALUE"""),"Unknown")</f>
        <v>Unknown</v>
      </c>
      <c r="F1658" s="5" t="str">
        <f ca="1">IFERROR(__xludf.DUMMYFUNCTION("""COMPUTED_VALUE"""),"Fled/Escaped")</f>
        <v>Fled/Escaped</v>
      </c>
      <c r="G1658" s="5" t="str">
        <f ca="1">IFERROR(__xludf.DUMMYFUNCTION("""COMPUTED_VALUE"""),"No")</f>
        <v>No</v>
      </c>
      <c r="H1658" s="5" t="str">
        <f ca="1">IFERROR(__xludf.DUMMYFUNCTION("""COMPUTED_VALUE"""),"None")</f>
        <v>None</v>
      </c>
    </row>
    <row r="1659" spans="1:8">
      <c r="A1659" s="5" t="str">
        <f ca="1">IFERROR(__xludf.DUMMYFUNCTION("""COMPUTED_VALUE"""),"19970428CAJOL")</f>
        <v>19970428CAJOL</v>
      </c>
      <c r="B1659" s="5">
        <f ca="1">IFERROR(__xludf.DUMMYFUNCTION("""COMPUTED_VALUE"""),15)</f>
        <v>15</v>
      </c>
      <c r="C1659" s="5" t="str">
        <f ca="1">IFERROR(__xludf.DUMMYFUNCTION("""COMPUTED_VALUE"""),"Male")</f>
        <v>Male</v>
      </c>
      <c r="D1659" s="5"/>
      <c r="E1659" s="5" t="str">
        <f ca="1">IFERROR(__xludf.DUMMYFUNCTION("""COMPUTED_VALUE"""),"Student")</f>
        <v>Student</v>
      </c>
      <c r="F1659" s="5" t="str">
        <f ca="1">IFERROR(__xludf.DUMMYFUNCTION("""COMPUTED_VALUE"""),"Fled/Apprehended")</f>
        <v>Fled/Apprehended</v>
      </c>
      <c r="G1659" s="5" t="str">
        <f ca="1">IFERROR(__xludf.DUMMYFUNCTION("""COMPUTED_VALUE"""),"No")</f>
        <v>No</v>
      </c>
      <c r="H1659" s="5" t="str">
        <f ca="1">IFERROR(__xludf.DUMMYFUNCTION("""COMPUTED_VALUE"""),"None")</f>
        <v>None</v>
      </c>
    </row>
    <row r="1660" spans="1:8">
      <c r="A1660" s="5" t="str">
        <f ca="1">IFERROR(__xludf.DUMMYFUNCTION("""COMPUTED_VALUE"""),"19970403CAMAM")</f>
        <v>19970403CAMAM</v>
      </c>
      <c r="B1660" s="5"/>
      <c r="C1660" s="5"/>
      <c r="D1660" s="5"/>
      <c r="E1660" s="5" t="str">
        <f ca="1">IFERROR(__xludf.DUMMYFUNCTION("""COMPUTED_VALUE"""),"Unknown")</f>
        <v>Unknown</v>
      </c>
      <c r="F1660" s="5" t="str">
        <f ca="1">IFERROR(__xludf.DUMMYFUNCTION("""COMPUTED_VALUE"""),"Fled/Escaped")</f>
        <v>Fled/Escaped</v>
      </c>
      <c r="G1660" s="5" t="str">
        <f ca="1">IFERROR(__xludf.DUMMYFUNCTION("""COMPUTED_VALUE"""),"No")</f>
        <v>No</v>
      </c>
      <c r="H1660" s="5" t="str">
        <f ca="1">IFERROR(__xludf.DUMMYFUNCTION("""COMPUTED_VALUE"""),"None")</f>
        <v>None</v>
      </c>
    </row>
    <row r="1661" spans="1:8">
      <c r="A1661" s="5" t="str">
        <f ca="1">IFERROR(__xludf.DUMMYFUNCTION("""COMPUTED_VALUE"""),"19970317MIPED")</f>
        <v>19970317MIPED</v>
      </c>
      <c r="B1661" s="5">
        <f ca="1">IFERROR(__xludf.DUMMYFUNCTION("""COMPUTED_VALUE"""),15)</f>
        <v>15</v>
      </c>
      <c r="C1661" s="5" t="str">
        <f ca="1">IFERROR(__xludf.DUMMYFUNCTION("""COMPUTED_VALUE"""),"Male")</f>
        <v>Male</v>
      </c>
      <c r="D1661" s="5"/>
      <c r="E1661" s="5" t="str">
        <f ca="1">IFERROR(__xludf.DUMMYFUNCTION("""COMPUTED_VALUE"""),"Student")</f>
        <v>Student</v>
      </c>
      <c r="F1661" s="5" t="str">
        <f ca="1">IFERROR(__xludf.DUMMYFUNCTION("""COMPUTED_VALUE"""),"Fled/Apprehended")</f>
        <v>Fled/Apprehended</v>
      </c>
      <c r="G1661" s="5" t="str">
        <f ca="1">IFERROR(__xludf.DUMMYFUNCTION("""COMPUTED_VALUE"""),"No")</f>
        <v>No</v>
      </c>
      <c r="H1661" s="5" t="str">
        <f ca="1">IFERROR(__xludf.DUMMYFUNCTION("""COMPUTED_VALUE"""),"None")</f>
        <v>None</v>
      </c>
    </row>
    <row r="1662" spans="1:8">
      <c r="A1662" s="5" t="str">
        <f ca="1">IFERROR(__xludf.DUMMYFUNCTION("""COMPUTED_VALUE"""),"19970221NVRAL")</f>
        <v>19970221NVRAL</v>
      </c>
      <c r="B1662" s="5">
        <f ca="1">IFERROR(__xludf.DUMMYFUNCTION("""COMPUTED_VALUE"""),20)</f>
        <v>20</v>
      </c>
      <c r="C1662" s="5" t="str">
        <f ca="1">IFERROR(__xludf.DUMMYFUNCTION("""COMPUTED_VALUE"""),"Male")</f>
        <v>Male</v>
      </c>
      <c r="D1662" s="5" t="str">
        <f ca="1">IFERROR(__xludf.DUMMYFUNCTION("""COMPUTED_VALUE"""),"Other")</f>
        <v>Other</v>
      </c>
      <c r="E1662" s="5" t="str">
        <f ca="1">IFERROR(__xludf.DUMMYFUNCTION("""COMPUTED_VALUE"""),"Unknown")</f>
        <v>Unknown</v>
      </c>
      <c r="F1662" s="5" t="str">
        <f ca="1">IFERROR(__xludf.DUMMYFUNCTION("""COMPUTED_VALUE"""),"Fled/Apprehended")</f>
        <v>Fled/Apprehended</v>
      </c>
      <c r="G1662" s="5" t="str">
        <f ca="1">IFERROR(__xludf.DUMMYFUNCTION("""COMPUTED_VALUE"""),"No")</f>
        <v>No</v>
      </c>
      <c r="H1662" s="5" t="str">
        <f ca="1">IFERROR(__xludf.DUMMYFUNCTION("""COMPUTED_VALUE"""),"None")</f>
        <v>None</v>
      </c>
    </row>
    <row r="1663" spans="1:8">
      <c r="A1663" s="5" t="str">
        <f ca="1">IFERROR(__xludf.DUMMYFUNCTION("""COMPUTED_VALUE"""),"19970220FLFIJ")</f>
        <v>19970220FLFIJ</v>
      </c>
      <c r="B1663" s="5">
        <f ca="1">IFERROR(__xludf.DUMMYFUNCTION("""COMPUTED_VALUE"""),17)</f>
        <v>17</v>
      </c>
      <c r="C1663" s="5" t="str">
        <f ca="1">IFERROR(__xludf.DUMMYFUNCTION("""COMPUTED_VALUE"""),"Female")</f>
        <v>Female</v>
      </c>
      <c r="D1663" s="5"/>
      <c r="E1663" s="5" t="str">
        <f ca="1">IFERROR(__xludf.DUMMYFUNCTION("""COMPUTED_VALUE"""),"Student")</f>
        <v>Student</v>
      </c>
      <c r="F1663" s="5" t="str">
        <f ca="1">IFERROR(__xludf.DUMMYFUNCTION("""COMPUTED_VALUE"""),"Suicide")</f>
        <v>Suicide</v>
      </c>
      <c r="G1663" s="5" t="str">
        <f ca="1">IFERROR(__xludf.DUMMYFUNCTION("""COMPUTED_VALUE"""),"Yes")</f>
        <v>Yes</v>
      </c>
      <c r="H1663" s="5" t="str">
        <f ca="1">IFERROR(__xludf.DUMMYFUNCTION("""COMPUTED_VALUE"""),"Suicide")</f>
        <v>Suicide</v>
      </c>
    </row>
    <row r="1664" spans="1:8">
      <c r="A1664" s="5" t="str">
        <f ca="1">IFERROR(__xludf.DUMMYFUNCTION("""COMPUTED_VALUE"""),"19970219AKBEB")</f>
        <v>19970219AKBEB</v>
      </c>
      <c r="B1664" s="5">
        <f ca="1">IFERROR(__xludf.DUMMYFUNCTION("""COMPUTED_VALUE"""),16)</f>
        <v>16</v>
      </c>
      <c r="C1664" s="5" t="str">
        <f ca="1">IFERROR(__xludf.DUMMYFUNCTION("""COMPUTED_VALUE"""),"Male")</f>
        <v>Male</v>
      </c>
      <c r="D1664" s="5" t="str">
        <f ca="1">IFERROR(__xludf.DUMMYFUNCTION("""COMPUTED_VALUE"""),"Native American/Alaska Native")</f>
        <v>Native American/Alaska Native</v>
      </c>
      <c r="E1664" s="5" t="str">
        <f ca="1">IFERROR(__xludf.DUMMYFUNCTION("""COMPUTED_VALUE"""),"Student")</f>
        <v>Student</v>
      </c>
      <c r="F1664" s="5" t="str">
        <f ca="1">IFERROR(__xludf.DUMMYFUNCTION("""COMPUTED_VALUE"""),"Surrendered")</f>
        <v>Surrendered</v>
      </c>
      <c r="G1664" s="5" t="str">
        <f ca="1">IFERROR(__xludf.DUMMYFUNCTION("""COMPUTED_VALUE"""),"No")</f>
        <v>No</v>
      </c>
      <c r="H1664" s="5" t="str">
        <f ca="1">IFERROR(__xludf.DUMMYFUNCTION("""COMPUTED_VALUE"""),"None")</f>
        <v>None</v>
      </c>
    </row>
    <row r="1665" spans="1:8">
      <c r="A1665" s="5" t="str">
        <f ca="1">IFERROR(__xludf.DUMMYFUNCTION("""COMPUTED_VALUE"""),"19970213NYSAB")</f>
        <v>19970213NYSAB</v>
      </c>
      <c r="B1665" s="5" t="str">
        <f ca="1">IFERROR(__xludf.DUMMYFUNCTION("""COMPUTED_VALUE"""),"Teen")</f>
        <v>Teen</v>
      </c>
      <c r="C1665" s="5" t="str">
        <f ca="1">IFERROR(__xludf.DUMMYFUNCTION("""COMPUTED_VALUE"""),"Male")</f>
        <v>Male</v>
      </c>
      <c r="D1665" s="5"/>
      <c r="E1665" s="5" t="str">
        <f ca="1">IFERROR(__xludf.DUMMYFUNCTION("""COMPUTED_VALUE"""),"Student")</f>
        <v>Student</v>
      </c>
      <c r="F1665" s="5" t="str">
        <f ca="1">IFERROR(__xludf.DUMMYFUNCTION("""COMPUTED_VALUE"""),"Fled/Escaped")</f>
        <v>Fled/Escaped</v>
      </c>
      <c r="G1665" s="5" t="str">
        <f ca="1">IFERROR(__xludf.DUMMYFUNCTION("""COMPUTED_VALUE"""),"No")</f>
        <v>No</v>
      </c>
      <c r="H1665" s="5" t="str">
        <f ca="1">IFERROR(__xludf.DUMMYFUNCTION("""COMPUTED_VALUE"""),"None")</f>
        <v>None</v>
      </c>
    </row>
    <row r="1666" spans="1:8">
      <c r="A1666" s="5" t="str">
        <f ca="1">IFERROR(__xludf.DUMMYFUNCTION("""COMPUTED_VALUE"""),"19970213NYMOB")</f>
        <v>19970213NYMOB</v>
      </c>
      <c r="B1666" s="5">
        <f ca="1">IFERROR(__xludf.DUMMYFUNCTION("""COMPUTED_VALUE"""),17)</f>
        <v>17</v>
      </c>
      <c r="C1666" s="5" t="str">
        <f ca="1">IFERROR(__xludf.DUMMYFUNCTION("""COMPUTED_VALUE"""),"Male")</f>
        <v>Male</v>
      </c>
      <c r="D1666" s="5"/>
      <c r="E1666" s="5" t="str">
        <f ca="1">IFERROR(__xludf.DUMMYFUNCTION("""COMPUTED_VALUE"""),"Student")</f>
        <v>Student</v>
      </c>
      <c r="F1666" s="5" t="str">
        <f ca="1">IFERROR(__xludf.DUMMYFUNCTION("""COMPUTED_VALUE"""),"Unknown")</f>
        <v>Unknown</v>
      </c>
      <c r="G1666" s="5" t="str">
        <f ca="1">IFERROR(__xludf.DUMMYFUNCTION("""COMPUTED_VALUE"""),"No")</f>
        <v>No</v>
      </c>
      <c r="H1666" s="5" t="str">
        <f ca="1">IFERROR(__xludf.DUMMYFUNCTION("""COMPUTED_VALUE"""),"None")</f>
        <v>None</v>
      </c>
    </row>
    <row r="1667" spans="1:8">
      <c r="A1667" s="5" t="str">
        <f ca="1">IFERROR(__xludf.DUMMYFUNCTION("""COMPUTED_VALUE"""),"19970206MSWIJ")</f>
        <v>19970206MSWIJ</v>
      </c>
      <c r="B1667" s="5">
        <f ca="1">IFERROR(__xludf.DUMMYFUNCTION("""COMPUTED_VALUE"""),16)</f>
        <v>16</v>
      </c>
      <c r="C1667" s="5" t="str">
        <f ca="1">IFERROR(__xludf.DUMMYFUNCTION("""COMPUTED_VALUE"""),"Male")</f>
        <v>Male</v>
      </c>
      <c r="D1667" s="5" t="str">
        <f ca="1">IFERROR(__xludf.DUMMYFUNCTION("""COMPUTED_VALUE"""),"Black")</f>
        <v>Black</v>
      </c>
      <c r="E1667" s="5" t="str">
        <f ca="1">IFERROR(__xludf.DUMMYFUNCTION("""COMPUTED_VALUE"""),"Student")</f>
        <v>Student</v>
      </c>
      <c r="F1667" s="5" t="str">
        <f ca="1">IFERROR(__xludf.DUMMYFUNCTION("""COMPUTED_VALUE"""),"Fled/Apprehended")</f>
        <v>Fled/Apprehended</v>
      </c>
      <c r="G1667" s="5" t="str">
        <f ca="1">IFERROR(__xludf.DUMMYFUNCTION("""COMPUTED_VALUE"""),"No")</f>
        <v>No</v>
      </c>
      <c r="H1667" s="5" t="str">
        <f ca="1">IFERROR(__xludf.DUMMYFUNCTION("""COMPUTED_VALUE"""),"None")</f>
        <v>None</v>
      </c>
    </row>
    <row r="1668" spans="1:8">
      <c r="A1668" s="5" t="str">
        <f ca="1">IFERROR(__xludf.DUMMYFUNCTION("""COMPUTED_VALUE"""),"19970127FLCOW")</f>
        <v>19970127FLCOW</v>
      </c>
      <c r="B1668" s="5">
        <f ca="1">IFERROR(__xludf.DUMMYFUNCTION("""COMPUTED_VALUE"""),13)</f>
        <v>13</v>
      </c>
      <c r="C1668" s="5" t="str">
        <f ca="1">IFERROR(__xludf.DUMMYFUNCTION("""COMPUTED_VALUE"""),"Male")</f>
        <v>Male</v>
      </c>
      <c r="D1668" s="5" t="str">
        <f ca="1">IFERROR(__xludf.DUMMYFUNCTION("""COMPUTED_VALUE"""),"Black")</f>
        <v>Black</v>
      </c>
      <c r="E1668" s="5" t="str">
        <f ca="1">IFERROR(__xludf.DUMMYFUNCTION("""COMPUTED_VALUE"""),"Student")</f>
        <v>Student</v>
      </c>
      <c r="F1668" s="5" t="str">
        <f ca="1">IFERROR(__xludf.DUMMYFUNCTION("""COMPUTED_VALUE"""),"Fled/Apprehended")</f>
        <v>Fled/Apprehended</v>
      </c>
      <c r="G1668" s="5" t="str">
        <f ca="1">IFERROR(__xludf.DUMMYFUNCTION("""COMPUTED_VALUE"""),"No")</f>
        <v>No</v>
      </c>
      <c r="H1668" s="5" t="str">
        <f ca="1">IFERROR(__xludf.DUMMYFUNCTION("""COMPUTED_VALUE"""),"None")</f>
        <v>None</v>
      </c>
    </row>
    <row r="1669" spans="1:8">
      <c r="A1669" s="5" t="str">
        <f ca="1">IFERROR(__xludf.DUMMYFUNCTION("""COMPUTED_VALUE"""),"19970108NYCRN")</f>
        <v>19970108NYCRN</v>
      </c>
      <c r="B1669" s="5">
        <f ca="1">IFERROR(__xludf.DUMMYFUNCTION("""COMPUTED_VALUE"""),18)</f>
        <v>18</v>
      </c>
      <c r="C1669" s="5" t="str">
        <f ca="1">IFERROR(__xludf.DUMMYFUNCTION("""COMPUTED_VALUE"""),"Male")</f>
        <v>Male</v>
      </c>
      <c r="D1669" s="5" t="str">
        <f ca="1">IFERROR(__xludf.DUMMYFUNCTION("""COMPUTED_VALUE"""),"Hispanic")</f>
        <v>Hispanic</v>
      </c>
      <c r="E1669" s="5" t="str">
        <f ca="1">IFERROR(__xludf.DUMMYFUNCTION("""COMPUTED_VALUE"""),"Rival School Student")</f>
        <v>Rival School Student</v>
      </c>
      <c r="F1669" s="5" t="str">
        <f ca="1">IFERROR(__xludf.DUMMYFUNCTION("""COMPUTED_VALUE"""),"Fled/Apprehended")</f>
        <v>Fled/Apprehended</v>
      </c>
      <c r="G1669" s="5" t="str">
        <f ca="1">IFERROR(__xludf.DUMMYFUNCTION("""COMPUTED_VALUE"""),"No")</f>
        <v>No</v>
      </c>
      <c r="H1669" s="5" t="str">
        <f ca="1">IFERROR(__xludf.DUMMYFUNCTION("""COMPUTED_VALUE"""),"None")</f>
        <v>None</v>
      </c>
    </row>
    <row r="1670" spans="1:8">
      <c r="A1670" s="5" t="str">
        <f ca="1">IFERROR(__xludf.DUMMYFUNCTION("""COMPUTED_VALUE"""),"19970108NYCRN")</f>
        <v>19970108NYCRN</v>
      </c>
      <c r="B1670" s="5">
        <f ca="1">IFERROR(__xludf.DUMMYFUNCTION("""COMPUTED_VALUE"""),18)</f>
        <v>18</v>
      </c>
      <c r="C1670" s="5" t="str">
        <f ca="1">IFERROR(__xludf.DUMMYFUNCTION("""COMPUTED_VALUE"""),"Male")</f>
        <v>Male</v>
      </c>
      <c r="D1670" s="5" t="str">
        <f ca="1">IFERROR(__xludf.DUMMYFUNCTION("""COMPUTED_VALUE"""),"Hispanic")</f>
        <v>Hispanic</v>
      </c>
      <c r="E1670" s="5" t="str">
        <f ca="1">IFERROR(__xludf.DUMMYFUNCTION("""COMPUTED_VALUE"""),"Rival School Student")</f>
        <v>Rival School Student</v>
      </c>
      <c r="F1670" s="5" t="str">
        <f ca="1">IFERROR(__xludf.DUMMYFUNCTION("""COMPUTED_VALUE"""),"Fled/Apprehended")</f>
        <v>Fled/Apprehended</v>
      </c>
      <c r="G1670" s="5" t="str">
        <f ca="1">IFERROR(__xludf.DUMMYFUNCTION("""COMPUTED_VALUE"""),"No")</f>
        <v>No</v>
      </c>
      <c r="H1670" s="5" t="str">
        <f ca="1">IFERROR(__xludf.DUMMYFUNCTION("""COMPUTED_VALUE"""),"None")</f>
        <v>None</v>
      </c>
    </row>
    <row r="1671" spans="1:8">
      <c r="A1671" s="5" t="str">
        <f ca="1">IFERROR(__xludf.DUMMYFUNCTION("""COMPUTED_VALUE"""),"19970108NYCRN")</f>
        <v>19970108NYCRN</v>
      </c>
      <c r="B1671" s="5">
        <f ca="1">IFERROR(__xludf.DUMMYFUNCTION("""COMPUTED_VALUE"""),21)</f>
        <v>21</v>
      </c>
      <c r="C1671" s="5" t="str">
        <f ca="1">IFERROR(__xludf.DUMMYFUNCTION("""COMPUTED_VALUE"""),"Male")</f>
        <v>Male</v>
      </c>
      <c r="D1671" s="5" t="str">
        <f ca="1">IFERROR(__xludf.DUMMYFUNCTION("""COMPUTED_VALUE"""),"Hispanic")</f>
        <v>Hispanic</v>
      </c>
      <c r="E1671" s="5" t="str">
        <f ca="1">IFERROR(__xludf.DUMMYFUNCTION("""COMPUTED_VALUE"""),"Rival School Student")</f>
        <v>Rival School Student</v>
      </c>
      <c r="F1671" s="5" t="str">
        <f ca="1">IFERROR(__xludf.DUMMYFUNCTION("""COMPUTED_VALUE"""),"Fled/Apprehended")</f>
        <v>Fled/Apprehended</v>
      </c>
      <c r="G1671" s="5" t="str">
        <f ca="1">IFERROR(__xludf.DUMMYFUNCTION("""COMPUTED_VALUE"""),"No")</f>
        <v>No</v>
      </c>
      <c r="H1671" s="5" t="str">
        <f ca="1">IFERROR(__xludf.DUMMYFUNCTION("""COMPUTED_VALUE"""),"None")</f>
        <v>None</v>
      </c>
    </row>
    <row r="1672" spans="1:8">
      <c r="A1672" s="5" t="str">
        <f ca="1">IFERROR(__xludf.DUMMYFUNCTION("""COMPUTED_VALUE"""),"19961127CAHIS")</f>
        <v>19961127CAHIS</v>
      </c>
      <c r="B1672" s="5"/>
      <c r="C1672" s="5"/>
      <c r="D1672" s="5"/>
      <c r="E1672" s="5" t="str">
        <f ca="1">IFERROR(__xludf.DUMMYFUNCTION("""COMPUTED_VALUE"""),"Police Officer/SRO")</f>
        <v>Police Officer/SRO</v>
      </c>
      <c r="F1672" s="5" t="str">
        <f ca="1">IFERROR(__xludf.DUMMYFUNCTION("""COMPUTED_VALUE"""),"Law Enforcement")</f>
        <v>Law Enforcement</v>
      </c>
      <c r="G1672" s="5" t="str">
        <f ca="1">IFERROR(__xludf.DUMMYFUNCTION("""COMPUTED_VALUE"""),"No")</f>
        <v>No</v>
      </c>
      <c r="H1672" s="5" t="str">
        <f ca="1">IFERROR(__xludf.DUMMYFUNCTION("""COMPUTED_VALUE"""),"None")</f>
        <v>None</v>
      </c>
    </row>
    <row r="1673" spans="1:8">
      <c r="A1673" s="5" t="str">
        <f ca="1">IFERROR(__xludf.DUMMYFUNCTION("""COMPUTED_VALUE"""),"19961014MOSUS")</f>
        <v>19961014MOSUS</v>
      </c>
      <c r="B1673" s="5">
        <f ca="1">IFERROR(__xludf.DUMMYFUNCTION("""COMPUTED_VALUE"""),14)</f>
        <v>14</v>
      </c>
      <c r="C1673" s="5" t="str">
        <f ca="1">IFERROR(__xludf.DUMMYFUNCTION("""COMPUTED_VALUE"""),"Male")</f>
        <v>Male</v>
      </c>
      <c r="D1673" s="5"/>
      <c r="E1673" s="5" t="str">
        <f ca="1">IFERROR(__xludf.DUMMYFUNCTION("""COMPUTED_VALUE"""),"Student")</f>
        <v>Student</v>
      </c>
      <c r="F1673" s="5" t="str">
        <f ca="1">IFERROR(__xludf.DUMMYFUNCTION("""COMPUTED_VALUE"""),"Fled/Apprehended")</f>
        <v>Fled/Apprehended</v>
      </c>
      <c r="G1673" s="5" t="str">
        <f ca="1">IFERROR(__xludf.DUMMYFUNCTION("""COMPUTED_VALUE"""),"No")</f>
        <v>No</v>
      </c>
      <c r="H1673" s="5" t="str">
        <f ca="1">IFERROR(__xludf.DUMMYFUNCTION("""COMPUTED_VALUE"""),"None")</f>
        <v>None</v>
      </c>
    </row>
    <row r="1674" spans="1:8">
      <c r="A1674" s="5" t="str">
        <f ca="1">IFERROR(__xludf.DUMMYFUNCTION("""COMPUTED_VALUE"""),"19961009ARJAS")</f>
        <v>19961009ARJAS</v>
      </c>
      <c r="B1674" s="5">
        <f ca="1">IFERROR(__xludf.DUMMYFUNCTION("""COMPUTED_VALUE"""),14)</f>
        <v>14</v>
      </c>
      <c r="C1674" s="5" t="str">
        <f ca="1">IFERROR(__xludf.DUMMYFUNCTION("""COMPUTED_VALUE"""),"Male")</f>
        <v>Male</v>
      </c>
      <c r="D1674" s="5" t="str">
        <f ca="1">IFERROR(__xludf.DUMMYFUNCTION("""COMPUTED_VALUE"""),"Black")</f>
        <v>Black</v>
      </c>
      <c r="E1674" s="5" t="str">
        <f ca="1">IFERROR(__xludf.DUMMYFUNCTION("""COMPUTED_VALUE"""),"Student")</f>
        <v>Student</v>
      </c>
      <c r="F1674" s="5" t="str">
        <f ca="1">IFERROR(__xludf.DUMMYFUNCTION("""COMPUTED_VALUE"""),"Fled/Apprehended")</f>
        <v>Fled/Apprehended</v>
      </c>
      <c r="G1674" s="5" t="str">
        <f ca="1">IFERROR(__xludf.DUMMYFUNCTION("""COMPUTED_VALUE"""),"No")</f>
        <v>No</v>
      </c>
      <c r="H1674" s="5" t="str">
        <f ca="1">IFERROR(__xludf.DUMMYFUNCTION("""COMPUTED_VALUE"""),"None")</f>
        <v>None</v>
      </c>
    </row>
    <row r="1675" spans="1:8">
      <c r="A1675" s="5" t="str">
        <f ca="1">IFERROR(__xludf.DUMMYFUNCTION("""COMPUTED_VALUE"""),"19961004CASTP")</f>
        <v>19961004CASTP</v>
      </c>
      <c r="B1675" s="5">
        <f ca="1">IFERROR(__xludf.DUMMYFUNCTION("""COMPUTED_VALUE"""),17)</f>
        <v>17</v>
      </c>
      <c r="C1675" s="5" t="str">
        <f ca="1">IFERROR(__xludf.DUMMYFUNCTION("""COMPUTED_VALUE"""),"Male")</f>
        <v>Male</v>
      </c>
      <c r="D1675" s="5"/>
      <c r="E1675" s="5" t="str">
        <f ca="1">IFERROR(__xludf.DUMMYFUNCTION("""COMPUTED_VALUE"""),"Student")</f>
        <v>Student</v>
      </c>
      <c r="F1675" s="5" t="str">
        <f ca="1">IFERROR(__xludf.DUMMYFUNCTION("""COMPUTED_VALUE"""),"Fled/Apprehended")</f>
        <v>Fled/Apprehended</v>
      </c>
      <c r="G1675" s="5" t="str">
        <f ca="1">IFERROR(__xludf.DUMMYFUNCTION("""COMPUTED_VALUE"""),"No")</f>
        <v>No</v>
      </c>
      <c r="H1675" s="5" t="str">
        <f ca="1">IFERROR(__xludf.DUMMYFUNCTION("""COMPUTED_VALUE"""),"None")</f>
        <v>None</v>
      </c>
    </row>
    <row r="1676" spans="1:8">
      <c r="A1676" s="5" t="str">
        <f ca="1">IFERROR(__xludf.DUMMYFUNCTION("""COMPUTED_VALUE"""),"19961002PASMP")</f>
        <v>19961002PASMP</v>
      </c>
      <c r="B1676" s="5" t="str">
        <f ca="1">IFERROR(__xludf.DUMMYFUNCTION("""COMPUTED_VALUE"""),"Adult")</f>
        <v>Adult</v>
      </c>
      <c r="C1676" s="5" t="str">
        <f ca="1">IFERROR(__xludf.DUMMYFUNCTION("""COMPUTED_VALUE"""),"Male")</f>
        <v>Male</v>
      </c>
      <c r="D1676" s="5"/>
      <c r="E1676" s="5" t="str">
        <f ca="1">IFERROR(__xludf.DUMMYFUNCTION("""COMPUTED_VALUE"""),"Parent")</f>
        <v>Parent</v>
      </c>
      <c r="F1676" s="5" t="str">
        <f ca="1">IFERROR(__xludf.DUMMYFUNCTION("""COMPUTED_VALUE"""),"Fled/Apprehended")</f>
        <v>Fled/Apprehended</v>
      </c>
      <c r="G1676" s="5" t="str">
        <f ca="1">IFERROR(__xludf.DUMMYFUNCTION("""COMPUTED_VALUE"""),"No")</f>
        <v>No</v>
      </c>
      <c r="H1676" s="5" t="str">
        <f ca="1">IFERROR(__xludf.DUMMYFUNCTION("""COMPUTED_VALUE"""),"None")</f>
        <v>None</v>
      </c>
    </row>
    <row r="1677" spans="1:8">
      <c r="A1677" s="5" t="str">
        <f ca="1">IFERROR(__xludf.DUMMYFUNCTION("""COMPUTED_VALUE"""),"19960925GADED")</f>
        <v>19960925GADED</v>
      </c>
      <c r="B1677" s="5">
        <f ca="1">IFERROR(__xludf.DUMMYFUNCTION("""COMPUTED_VALUE"""),16)</f>
        <v>16</v>
      </c>
      <c r="C1677" s="5" t="str">
        <f ca="1">IFERROR(__xludf.DUMMYFUNCTION("""COMPUTED_VALUE"""),"Male")</f>
        <v>Male</v>
      </c>
      <c r="D1677" s="5" t="str">
        <f ca="1">IFERROR(__xludf.DUMMYFUNCTION("""COMPUTED_VALUE"""),"Black")</f>
        <v>Black</v>
      </c>
      <c r="E1677" s="5" t="str">
        <f ca="1">IFERROR(__xludf.DUMMYFUNCTION("""COMPUTED_VALUE"""),"Student")</f>
        <v>Student</v>
      </c>
      <c r="F1677" s="5" t="str">
        <f ca="1">IFERROR(__xludf.DUMMYFUNCTION("""COMPUTED_VALUE"""),"Subdued by Students/Staff/Other")</f>
        <v>Subdued by Students/Staff/Other</v>
      </c>
      <c r="G1677" s="5" t="str">
        <f ca="1">IFERROR(__xludf.DUMMYFUNCTION("""COMPUTED_VALUE"""),"No")</f>
        <v>No</v>
      </c>
      <c r="H1677" s="5" t="str">
        <f ca="1">IFERROR(__xludf.DUMMYFUNCTION("""COMPUTED_VALUE"""),"None")</f>
        <v>None</v>
      </c>
    </row>
    <row r="1678" spans="1:8">
      <c r="A1678" s="5" t="str">
        <f ca="1">IFERROR(__xludf.DUMMYFUNCTION("""COMPUTED_VALUE"""),"19960726CAJOL")</f>
        <v>19960726CAJOL</v>
      </c>
      <c r="B1678" s="5">
        <f ca="1">IFERROR(__xludf.DUMMYFUNCTION("""COMPUTED_VALUE"""),18)</f>
        <v>18</v>
      </c>
      <c r="C1678" s="5" t="str">
        <f ca="1">IFERROR(__xludf.DUMMYFUNCTION("""COMPUTED_VALUE"""),"Male")</f>
        <v>Male</v>
      </c>
      <c r="D1678" s="5" t="str">
        <f ca="1">IFERROR(__xludf.DUMMYFUNCTION("""COMPUTED_VALUE"""),"Hispanic")</f>
        <v>Hispanic</v>
      </c>
      <c r="E1678" s="5" t="str">
        <f ca="1">IFERROR(__xludf.DUMMYFUNCTION("""COMPUTED_VALUE"""),"Student")</f>
        <v>Student</v>
      </c>
      <c r="F1678" s="5" t="str">
        <f ca="1">IFERROR(__xludf.DUMMYFUNCTION("""COMPUTED_VALUE"""),"Fled/Apprehended")</f>
        <v>Fled/Apprehended</v>
      </c>
      <c r="G1678" s="5" t="str">
        <f ca="1">IFERROR(__xludf.DUMMYFUNCTION("""COMPUTED_VALUE"""),"No")</f>
        <v>No</v>
      </c>
      <c r="H1678" s="5" t="str">
        <f ca="1">IFERROR(__xludf.DUMMYFUNCTION("""COMPUTED_VALUE"""),"None")</f>
        <v>None</v>
      </c>
    </row>
    <row r="1679" spans="1:8">
      <c r="A1679" s="5" t="str">
        <f ca="1">IFERROR(__xludf.DUMMYFUNCTION("""COMPUTED_VALUE"""),"19960604CAWEH")</f>
        <v>19960604CAWEH</v>
      </c>
      <c r="B1679" s="5">
        <f ca="1">IFERROR(__xludf.DUMMYFUNCTION("""COMPUTED_VALUE"""),16)</f>
        <v>16</v>
      </c>
      <c r="C1679" s="5" t="str">
        <f ca="1">IFERROR(__xludf.DUMMYFUNCTION("""COMPUTED_VALUE"""),"Male")</f>
        <v>Male</v>
      </c>
      <c r="D1679" s="5"/>
      <c r="E1679" s="5" t="str">
        <f ca="1">IFERROR(__xludf.DUMMYFUNCTION("""COMPUTED_VALUE"""),"Student")</f>
        <v>Student</v>
      </c>
      <c r="F1679" s="5" t="str">
        <f ca="1">IFERROR(__xludf.DUMMYFUNCTION("""COMPUTED_VALUE"""),"Suicide")</f>
        <v>Suicide</v>
      </c>
      <c r="G1679" s="5" t="str">
        <f ca="1">IFERROR(__xludf.DUMMYFUNCTION("""COMPUTED_VALUE"""),"Yes")</f>
        <v>Yes</v>
      </c>
      <c r="H1679" s="5" t="str">
        <f ca="1">IFERROR(__xludf.DUMMYFUNCTION("""COMPUTED_VALUE"""),"Suicide")</f>
        <v>Suicide</v>
      </c>
    </row>
    <row r="1680" spans="1:8">
      <c r="A1680" s="5" t="str">
        <f ca="1">IFERROR(__xludf.DUMMYFUNCTION("""COMPUTED_VALUE"""),"19960522CACOC")</f>
        <v>19960522CACOC</v>
      </c>
      <c r="B1680" s="5">
        <f ca="1">IFERROR(__xludf.DUMMYFUNCTION("""COMPUTED_VALUE"""),14)</f>
        <v>14</v>
      </c>
      <c r="C1680" s="5" t="str">
        <f ca="1">IFERROR(__xludf.DUMMYFUNCTION("""COMPUTED_VALUE"""),"Male")</f>
        <v>Male</v>
      </c>
      <c r="D1680" s="5" t="str">
        <f ca="1">IFERROR(__xludf.DUMMYFUNCTION("""COMPUTED_VALUE"""),"Hispanic")</f>
        <v>Hispanic</v>
      </c>
      <c r="E1680" s="5" t="str">
        <f ca="1">IFERROR(__xludf.DUMMYFUNCTION("""COMPUTED_VALUE"""),"Former Student")</f>
        <v>Former Student</v>
      </c>
      <c r="F1680" s="5" t="str">
        <f ca="1">IFERROR(__xludf.DUMMYFUNCTION("""COMPUTED_VALUE"""),"Fled/Apprehended")</f>
        <v>Fled/Apprehended</v>
      </c>
      <c r="G1680" s="5" t="str">
        <f ca="1">IFERROR(__xludf.DUMMYFUNCTION("""COMPUTED_VALUE"""),"No")</f>
        <v>No</v>
      </c>
      <c r="H1680" s="5" t="str">
        <f ca="1">IFERROR(__xludf.DUMMYFUNCTION("""COMPUTED_VALUE"""),"None")</f>
        <v>None</v>
      </c>
    </row>
    <row r="1681" spans="1:8">
      <c r="A1681" s="5" t="str">
        <f ca="1">IFERROR(__xludf.DUMMYFUNCTION("""COMPUTED_VALUE"""),"19960514UTBIT")</f>
        <v>19960514UTBIT</v>
      </c>
      <c r="B1681" s="5">
        <f ca="1">IFERROR(__xludf.DUMMYFUNCTION("""COMPUTED_VALUE"""),15)</f>
        <v>15</v>
      </c>
      <c r="C1681" s="5" t="str">
        <f ca="1">IFERROR(__xludf.DUMMYFUNCTION("""COMPUTED_VALUE"""),"Male")</f>
        <v>Male</v>
      </c>
      <c r="D1681" s="5" t="str">
        <f ca="1">IFERROR(__xludf.DUMMYFUNCTION("""COMPUTED_VALUE"""),"White")</f>
        <v>White</v>
      </c>
      <c r="E1681" s="5" t="str">
        <f ca="1">IFERROR(__xludf.DUMMYFUNCTION("""COMPUTED_VALUE"""),"Student")</f>
        <v>Student</v>
      </c>
      <c r="F1681" s="5" t="str">
        <f ca="1">IFERROR(__xludf.DUMMYFUNCTION("""COMPUTED_VALUE"""),"Suicide")</f>
        <v>Suicide</v>
      </c>
      <c r="G1681" s="5" t="str">
        <f ca="1">IFERROR(__xludf.DUMMYFUNCTION("""COMPUTED_VALUE"""),"Yes")</f>
        <v>Yes</v>
      </c>
      <c r="H1681" s="5" t="str">
        <f ca="1">IFERROR(__xludf.DUMMYFUNCTION("""COMPUTED_VALUE"""),"Suicide")</f>
        <v>Suicide</v>
      </c>
    </row>
    <row r="1682" spans="1:8">
      <c r="A1682" s="5" t="str">
        <f ca="1">IFERROR(__xludf.DUMMYFUNCTION("""COMPUTED_VALUE"""),"19960415DCMCW")</f>
        <v>19960415DCMCW</v>
      </c>
      <c r="B1682" s="5"/>
      <c r="C1682" s="5"/>
      <c r="D1682" s="5"/>
      <c r="E1682" s="5" t="str">
        <f ca="1">IFERROR(__xludf.DUMMYFUNCTION("""COMPUTED_VALUE"""),"Unknown")</f>
        <v>Unknown</v>
      </c>
      <c r="F1682" s="5" t="str">
        <f ca="1">IFERROR(__xludf.DUMMYFUNCTION("""COMPUTED_VALUE"""),"Unknown")</f>
        <v>Unknown</v>
      </c>
      <c r="G1682" s="5" t="str">
        <f ca="1">IFERROR(__xludf.DUMMYFUNCTION("""COMPUTED_VALUE"""),"No")</f>
        <v>No</v>
      </c>
      <c r="H1682" s="5" t="str">
        <f ca="1">IFERROR(__xludf.DUMMYFUNCTION("""COMPUTED_VALUE"""),"None")</f>
        <v>None</v>
      </c>
    </row>
    <row r="1683" spans="1:8">
      <c r="A1683" s="5" t="str">
        <f ca="1">IFERROR(__xludf.DUMMYFUNCTION("""COMPUTED_VALUE"""),"19960411ALTAT")</f>
        <v>19960411ALTAT</v>
      </c>
      <c r="B1683" s="5">
        <f ca="1">IFERROR(__xludf.DUMMYFUNCTION("""COMPUTED_VALUE"""),16)</f>
        <v>16</v>
      </c>
      <c r="C1683" s="5" t="str">
        <f ca="1">IFERROR(__xludf.DUMMYFUNCTION("""COMPUTED_VALUE"""),"Male")</f>
        <v>Male</v>
      </c>
      <c r="D1683" s="5"/>
      <c r="E1683" s="5" t="str">
        <f ca="1">IFERROR(__xludf.DUMMYFUNCTION("""COMPUTED_VALUE"""),"Student")</f>
        <v>Student</v>
      </c>
      <c r="F1683" s="5" t="str">
        <f ca="1">IFERROR(__xludf.DUMMYFUNCTION("""COMPUTED_VALUE"""),"Unknown")</f>
        <v>Unknown</v>
      </c>
      <c r="G1683" s="5" t="str">
        <f ca="1">IFERROR(__xludf.DUMMYFUNCTION("""COMPUTED_VALUE"""),"No")</f>
        <v>No</v>
      </c>
      <c r="H1683" s="5" t="str">
        <f ca="1">IFERROR(__xludf.DUMMYFUNCTION("""COMPUTED_VALUE"""),"None")</f>
        <v>None</v>
      </c>
    </row>
    <row r="1684" spans="1:8">
      <c r="A1684" s="5" t="str">
        <f ca="1">IFERROR(__xludf.DUMMYFUNCTION("""COMPUTED_VALUE"""),"19960319NVSWL")</f>
        <v>19960319NVSWL</v>
      </c>
      <c r="B1684" s="5" t="str">
        <f ca="1">IFERROR(__xludf.DUMMYFUNCTION("""COMPUTED_VALUE"""),"Teen")</f>
        <v>Teen</v>
      </c>
      <c r="C1684" s="5"/>
      <c r="D1684" s="5"/>
      <c r="E1684" s="5" t="str">
        <f ca="1">IFERROR(__xludf.DUMMYFUNCTION("""COMPUTED_VALUE"""),"Student")</f>
        <v>Student</v>
      </c>
      <c r="F1684" s="5" t="str">
        <f ca="1">IFERROR(__xludf.DUMMYFUNCTION("""COMPUTED_VALUE"""),"Unknown")</f>
        <v>Unknown</v>
      </c>
      <c r="G1684" s="5" t="str">
        <f ca="1">IFERROR(__xludf.DUMMYFUNCTION("""COMPUTED_VALUE"""),"No")</f>
        <v>No</v>
      </c>
      <c r="H1684" s="5" t="str">
        <f ca="1">IFERROR(__xludf.DUMMYFUNCTION("""COMPUTED_VALUE"""),"None")</f>
        <v>None</v>
      </c>
    </row>
    <row r="1685" spans="1:8">
      <c r="A1685" s="5" t="str">
        <f ca="1">IFERROR(__xludf.DUMMYFUNCTION("""COMPUTED_VALUE"""),"19960311NCNON")</f>
        <v>19960311NCNON</v>
      </c>
      <c r="B1685" s="5">
        <f ca="1">IFERROR(__xludf.DUMMYFUNCTION("""COMPUTED_VALUE"""),15)</f>
        <v>15</v>
      </c>
      <c r="C1685" s="5" t="str">
        <f ca="1">IFERROR(__xludf.DUMMYFUNCTION("""COMPUTED_VALUE"""),"Male")</f>
        <v>Male</v>
      </c>
      <c r="D1685" s="5" t="str">
        <f ca="1">IFERROR(__xludf.DUMMYFUNCTION("""COMPUTED_VALUE"""),"White")</f>
        <v>White</v>
      </c>
      <c r="E1685" s="5" t="str">
        <f ca="1">IFERROR(__xludf.DUMMYFUNCTION("""COMPUTED_VALUE"""),"Student")</f>
        <v>Student</v>
      </c>
      <c r="F1685" s="5" t="str">
        <f ca="1">IFERROR(__xludf.DUMMYFUNCTION("""COMPUTED_VALUE"""),"Suicide")</f>
        <v>Suicide</v>
      </c>
      <c r="G1685" s="5" t="str">
        <f ca="1">IFERROR(__xludf.DUMMYFUNCTION("""COMPUTED_VALUE"""),"Yes")</f>
        <v>Yes</v>
      </c>
      <c r="H1685" s="5" t="str">
        <f ca="1">IFERROR(__xludf.DUMMYFUNCTION("""COMPUTED_VALUE"""),"Suicide")</f>
        <v>Suicide</v>
      </c>
    </row>
    <row r="1686" spans="1:8">
      <c r="A1686" s="5" t="str">
        <f ca="1">IFERROR(__xludf.DUMMYFUNCTION("""COMPUTED_VALUE"""),"19960229MOBES")</f>
        <v>19960229MOBES</v>
      </c>
      <c r="B1686" s="5">
        <f ca="1">IFERROR(__xludf.DUMMYFUNCTION("""COMPUTED_VALUE"""),21)</f>
        <v>21</v>
      </c>
      <c r="C1686" s="5" t="str">
        <f ca="1">IFERROR(__xludf.DUMMYFUNCTION("""COMPUTED_VALUE"""),"Male")</f>
        <v>Male</v>
      </c>
      <c r="D1686" s="5" t="str">
        <f ca="1">IFERROR(__xludf.DUMMYFUNCTION("""COMPUTED_VALUE"""),"Black")</f>
        <v>Black</v>
      </c>
      <c r="E1686" s="5" t="str">
        <f ca="1">IFERROR(__xludf.DUMMYFUNCTION("""COMPUTED_VALUE"""),"Hitman")</f>
        <v>Hitman</v>
      </c>
      <c r="F1686" s="5" t="str">
        <f ca="1">IFERROR(__xludf.DUMMYFUNCTION("""COMPUTED_VALUE"""),"Fled/Apprehended")</f>
        <v>Fled/Apprehended</v>
      </c>
      <c r="G1686" s="5" t="str">
        <f ca="1">IFERROR(__xludf.DUMMYFUNCTION("""COMPUTED_VALUE"""),"No")</f>
        <v>No</v>
      </c>
      <c r="H1686" s="5" t="str">
        <f ca="1">IFERROR(__xludf.DUMMYFUNCTION("""COMPUTED_VALUE"""),"None")</f>
        <v>None</v>
      </c>
    </row>
    <row r="1687" spans="1:8">
      <c r="A1687" s="5" t="str">
        <f ca="1">IFERROR(__xludf.DUMMYFUNCTION("""COMPUTED_VALUE"""),"19960222GAJES")</f>
        <v>19960222GAJES</v>
      </c>
      <c r="B1687" s="5">
        <f ca="1">IFERROR(__xludf.DUMMYFUNCTION("""COMPUTED_VALUE"""),15)</f>
        <v>15</v>
      </c>
      <c r="C1687" s="5" t="str">
        <f ca="1">IFERROR(__xludf.DUMMYFUNCTION("""COMPUTED_VALUE"""),"Male")</f>
        <v>Male</v>
      </c>
      <c r="D1687" s="5" t="str">
        <f ca="1">IFERROR(__xludf.DUMMYFUNCTION("""COMPUTED_VALUE"""),"Black")</f>
        <v>Black</v>
      </c>
      <c r="E1687" s="5" t="str">
        <f ca="1">IFERROR(__xludf.DUMMYFUNCTION("""COMPUTED_VALUE"""),"Student")</f>
        <v>Student</v>
      </c>
      <c r="F1687" s="5" t="str">
        <f ca="1">IFERROR(__xludf.DUMMYFUNCTION("""COMPUTED_VALUE"""),"Fled/Apprehended")</f>
        <v>Fled/Apprehended</v>
      </c>
      <c r="G1687" s="5" t="str">
        <f ca="1">IFERROR(__xludf.DUMMYFUNCTION("""COMPUTED_VALUE"""),"No")</f>
        <v>No</v>
      </c>
      <c r="H1687" s="5" t="str">
        <f ca="1">IFERROR(__xludf.DUMMYFUNCTION("""COMPUTED_VALUE"""),"None")</f>
        <v>None</v>
      </c>
    </row>
    <row r="1688" spans="1:8">
      <c r="A1688" s="5" t="str">
        <f ca="1">IFERROR(__xludf.DUMMYFUNCTION("""COMPUTED_VALUE"""),"19960208CAMIM")</f>
        <v>19960208CAMIM</v>
      </c>
      <c r="B1688" s="5">
        <f ca="1">IFERROR(__xludf.DUMMYFUNCTION("""COMPUTED_VALUE"""),16)</f>
        <v>16</v>
      </c>
      <c r="C1688" s="5" t="str">
        <f ca="1">IFERROR(__xludf.DUMMYFUNCTION("""COMPUTED_VALUE"""),"Male")</f>
        <v>Male</v>
      </c>
      <c r="D1688" s="5" t="str">
        <f ca="1">IFERROR(__xludf.DUMMYFUNCTION("""COMPUTED_VALUE"""),"White")</f>
        <v>White</v>
      </c>
      <c r="E1688" s="5" t="str">
        <f ca="1">IFERROR(__xludf.DUMMYFUNCTION("""COMPUTED_VALUE"""),"Student")</f>
        <v>Student</v>
      </c>
      <c r="F1688" s="5" t="str">
        <f ca="1">IFERROR(__xludf.DUMMYFUNCTION("""COMPUTED_VALUE"""),"Suicide")</f>
        <v>Suicide</v>
      </c>
      <c r="G1688" s="5" t="str">
        <f ca="1">IFERROR(__xludf.DUMMYFUNCTION("""COMPUTED_VALUE"""),"Yes")</f>
        <v>Yes</v>
      </c>
      <c r="H1688" s="5" t="str">
        <f ca="1">IFERROR(__xludf.DUMMYFUNCTION("""COMPUTED_VALUE"""),"Suicide")</f>
        <v>Suicide</v>
      </c>
    </row>
    <row r="1689" spans="1:8">
      <c r="A1689" s="5" t="str">
        <f ca="1">IFERROR(__xludf.DUMMYFUNCTION("""COMPUTED_VALUE"""),"19960202WAFRM")</f>
        <v>19960202WAFRM</v>
      </c>
      <c r="B1689" s="5">
        <f ca="1">IFERROR(__xludf.DUMMYFUNCTION("""COMPUTED_VALUE"""),14)</f>
        <v>14</v>
      </c>
      <c r="C1689" s="5" t="str">
        <f ca="1">IFERROR(__xludf.DUMMYFUNCTION("""COMPUTED_VALUE"""),"Male")</f>
        <v>Male</v>
      </c>
      <c r="D1689" s="5" t="str">
        <f ca="1">IFERROR(__xludf.DUMMYFUNCTION("""COMPUTED_VALUE"""),"White")</f>
        <v>White</v>
      </c>
      <c r="E1689" s="5" t="str">
        <f ca="1">IFERROR(__xludf.DUMMYFUNCTION("""COMPUTED_VALUE"""),"Student")</f>
        <v>Student</v>
      </c>
      <c r="F1689" s="5" t="str">
        <f ca="1">IFERROR(__xludf.DUMMYFUNCTION("""COMPUTED_VALUE"""),"Subdued by Students/Staff/Other")</f>
        <v>Subdued by Students/Staff/Other</v>
      </c>
      <c r="G1689" s="5" t="str">
        <f ca="1">IFERROR(__xludf.DUMMYFUNCTION("""COMPUTED_VALUE"""),"No")</f>
        <v>No</v>
      </c>
      <c r="H1689" s="5" t="str">
        <f ca="1">IFERROR(__xludf.DUMMYFUNCTION("""COMPUTED_VALUE"""),"None")</f>
        <v>None</v>
      </c>
    </row>
    <row r="1690" spans="1:8">
      <c r="A1690" s="5" t="str">
        <f ca="1">IFERROR(__xludf.DUMMYFUNCTION("""COMPUTED_VALUE"""),"19960126TNEAM")</f>
        <v>19960126TNEAM</v>
      </c>
      <c r="B1690" s="5" t="str">
        <f ca="1">IFERROR(__xludf.DUMMYFUNCTION("""COMPUTED_VALUE"""),"Adult")</f>
        <v>Adult</v>
      </c>
      <c r="C1690" s="5"/>
      <c r="D1690" s="5"/>
      <c r="E1690" s="5" t="str">
        <f ca="1">IFERROR(__xludf.DUMMYFUNCTION("""COMPUTED_VALUE"""),"Nonstudent Using Athletic Facilities/Attending Game")</f>
        <v>Nonstudent Using Athletic Facilities/Attending Game</v>
      </c>
      <c r="F1690" s="5" t="str">
        <f ca="1">IFERROR(__xludf.DUMMYFUNCTION("""COMPUTED_VALUE"""),"Fled/Escaped")</f>
        <v>Fled/Escaped</v>
      </c>
      <c r="G1690" s="5" t="str">
        <f ca="1">IFERROR(__xludf.DUMMYFUNCTION("""COMPUTED_VALUE"""),"No")</f>
        <v>No</v>
      </c>
      <c r="H1690" s="5" t="str">
        <f ca="1">IFERROR(__xludf.DUMMYFUNCTION("""COMPUTED_VALUE"""),"None")</f>
        <v>None</v>
      </c>
    </row>
    <row r="1691" spans="1:8">
      <c r="A1691" s="5" t="str">
        <f ca="1">IFERROR(__xludf.DUMMYFUNCTION("""COMPUTED_VALUE"""),"19960119DCWIW")</f>
        <v>19960119DCWIW</v>
      </c>
      <c r="B1691" s="5">
        <f ca="1">IFERROR(__xludf.DUMMYFUNCTION("""COMPUTED_VALUE"""),18)</f>
        <v>18</v>
      </c>
      <c r="C1691" s="5" t="str">
        <f ca="1">IFERROR(__xludf.DUMMYFUNCTION("""COMPUTED_VALUE"""),"Male")</f>
        <v>Male</v>
      </c>
      <c r="D1691" s="5" t="str">
        <f ca="1">IFERROR(__xludf.DUMMYFUNCTION("""COMPUTED_VALUE"""),"Black")</f>
        <v>Black</v>
      </c>
      <c r="E1691" s="5" t="str">
        <f ca="1">IFERROR(__xludf.DUMMYFUNCTION("""COMPUTED_VALUE"""),"Unknown")</f>
        <v>Unknown</v>
      </c>
      <c r="F1691" s="5" t="str">
        <f ca="1">IFERROR(__xludf.DUMMYFUNCTION("""COMPUTED_VALUE"""),"Fled/Apprehended")</f>
        <v>Fled/Apprehended</v>
      </c>
      <c r="G1691" s="5" t="str">
        <f ca="1">IFERROR(__xludf.DUMMYFUNCTION("""COMPUTED_VALUE"""),"No")</f>
        <v>No</v>
      </c>
      <c r="H1691" s="5" t="str">
        <f ca="1">IFERROR(__xludf.DUMMYFUNCTION("""COMPUTED_VALUE"""),"None")</f>
        <v>None</v>
      </c>
    </row>
    <row r="1692" spans="1:8">
      <c r="A1692" s="5" t="str">
        <f ca="1">IFERROR(__xludf.DUMMYFUNCTION("""COMPUTED_VALUE"""),"19960102PAGIG")</f>
        <v>19960102PAGIG</v>
      </c>
      <c r="B1692" s="5">
        <f ca="1">IFERROR(__xludf.DUMMYFUNCTION("""COMPUTED_VALUE"""),16)</f>
        <v>16</v>
      </c>
      <c r="C1692" s="5" t="str">
        <f ca="1">IFERROR(__xludf.DUMMYFUNCTION("""COMPUTED_VALUE"""),"Male")</f>
        <v>Male</v>
      </c>
      <c r="D1692" s="5"/>
      <c r="E1692" s="5" t="str">
        <f ca="1">IFERROR(__xludf.DUMMYFUNCTION("""COMPUTED_VALUE"""),"Unknown")</f>
        <v>Unknown</v>
      </c>
      <c r="F1692" s="5" t="str">
        <f ca="1">IFERROR(__xludf.DUMMYFUNCTION("""COMPUTED_VALUE"""),"Suicide")</f>
        <v>Suicide</v>
      </c>
      <c r="G1692" s="5" t="str">
        <f ca="1">IFERROR(__xludf.DUMMYFUNCTION("""COMPUTED_VALUE"""),"Yes")</f>
        <v>Yes</v>
      </c>
      <c r="H1692" s="5" t="str">
        <f ca="1">IFERROR(__xludf.DUMMYFUNCTION("""COMPUTED_VALUE"""),"Suicide")</f>
        <v>Suicide</v>
      </c>
    </row>
    <row r="1693" spans="1:8">
      <c r="A1693" s="5" t="str">
        <f ca="1">IFERROR(__xludf.DUMMYFUNCTION("""COMPUTED_VALUE"""),"19951128NYTHN")</f>
        <v>19951128NYTHN</v>
      </c>
      <c r="B1693" s="5"/>
      <c r="C1693" s="5" t="str">
        <f ca="1">IFERROR(__xludf.DUMMYFUNCTION("""COMPUTED_VALUE"""),"Male")</f>
        <v>Male</v>
      </c>
      <c r="D1693" s="5"/>
      <c r="E1693" s="5" t="str">
        <f ca="1">IFERROR(__xludf.DUMMYFUNCTION("""COMPUTED_VALUE"""),"Unknown")</f>
        <v>Unknown</v>
      </c>
      <c r="F1693" s="5" t="str">
        <f ca="1">IFERROR(__xludf.DUMMYFUNCTION("""COMPUTED_VALUE"""),"Fled/Escaped")</f>
        <v>Fled/Escaped</v>
      </c>
      <c r="G1693" s="5" t="str">
        <f ca="1">IFERROR(__xludf.DUMMYFUNCTION("""COMPUTED_VALUE"""),"No")</f>
        <v>No</v>
      </c>
      <c r="H1693" s="5" t="str">
        <f ca="1">IFERROR(__xludf.DUMMYFUNCTION("""COMPUTED_VALUE"""),"None")</f>
        <v>None</v>
      </c>
    </row>
    <row r="1694" spans="1:8">
      <c r="A1694" s="5" t="str">
        <f ca="1">IFERROR(__xludf.DUMMYFUNCTION("""COMPUTED_VALUE"""),"19951115TNRIL")</f>
        <v>19951115TNRIL</v>
      </c>
      <c r="B1694" s="5">
        <f ca="1">IFERROR(__xludf.DUMMYFUNCTION("""COMPUTED_VALUE"""),17)</f>
        <v>17</v>
      </c>
      <c r="C1694" s="5" t="str">
        <f ca="1">IFERROR(__xludf.DUMMYFUNCTION("""COMPUTED_VALUE"""),"Male")</f>
        <v>Male</v>
      </c>
      <c r="D1694" s="5" t="str">
        <f ca="1">IFERROR(__xludf.DUMMYFUNCTION("""COMPUTED_VALUE"""),"White")</f>
        <v>White</v>
      </c>
      <c r="E1694" s="5" t="str">
        <f ca="1">IFERROR(__xludf.DUMMYFUNCTION("""COMPUTED_VALUE"""),"Student")</f>
        <v>Student</v>
      </c>
      <c r="F1694" s="5" t="str">
        <f ca="1">IFERROR(__xludf.DUMMYFUNCTION("""COMPUTED_VALUE"""),"Subdued by Students/Staff/Other")</f>
        <v>Subdued by Students/Staff/Other</v>
      </c>
      <c r="G1694" s="5" t="str">
        <f ca="1">IFERROR(__xludf.DUMMYFUNCTION("""COMPUTED_VALUE"""),"No")</f>
        <v>No</v>
      </c>
      <c r="H1694" s="5" t="str">
        <f ca="1">IFERROR(__xludf.DUMMYFUNCTION("""COMPUTED_VALUE"""),"None")</f>
        <v>None</v>
      </c>
    </row>
    <row r="1695" spans="1:8">
      <c r="A1695" s="5" t="str">
        <f ca="1">IFERROR(__xludf.DUMMYFUNCTION("""COMPUTED_VALUE"""),"19951102FLBLM")</f>
        <v>19951102FLBLM</v>
      </c>
      <c r="B1695" s="5">
        <f ca="1">IFERROR(__xludf.DUMMYFUNCTION("""COMPUTED_VALUE"""),42)</f>
        <v>42</v>
      </c>
      <c r="C1695" s="5" t="str">
        <f ca="1">IFERROR(__xludf.DUMMYFUNCTION("""COMPUTED_VALUE"""),"Male")</f>
        <v>Male</v>
      </c>
      <c r="D1695" s="5" t="str">
        <f ca="1">IFERROR(__xludf.DUMMYFUNCTION("""COMPUTED_VALUE"""),"Asian")</f>
        <v>Asian</v>
      </c>
      <c r="E1695" s="5" t="str">
        <f ca="1">IFERROR(__xludf.DUMMYFUNCTION("""COMPUTED_VALUE"""),"No Relation")</f>
        <v>No Relation</v>
      </c>
      <c r="F1695" s="5" t="str">
        <f ca="1">IFERROR(__xludf.DUMMYFUNCTION("""COMPUTED_VALUE"""),"Apprehended/Killed by LE")</f>
        <v>Apprehended/Killed by LE</v>
      </c>
      <c r="G1695" s="5" t="str">
        <f ca="1">IFERROR(__xludf.DUMMYFUNCTION("""COMPUTED_VALUE"""),"Yes")</f>
        <v>Yes</v>
      </c>
      <c r="H1695" s="5" t="str">
        <f ca="1">IFERROR(__xludf.DUMMYFUNCTION("""COMPUTED_VALUE"""),"Fatal")</f>
        <v>Fatal</v>
      </c>
    </row>
    <row r="1696" spans="1:8">
      <c r="A1696" s="5" t="str">
        <f ca="1">IFERROR(__xludf.DUMMYFUNCTION("""COMPUTED_VALUE"""),"19951030VAJOR")</f>
        <v>19951030VAJOR</v>
      </c>
      <c r="B1696" s="5">
        <f ca="1">IFERROR(__xludf.DUMMYFUNCTION("""COMPUTED_VALUE"""),17)</f>
        <v>17</v>
      </c>
      <c r="C1696" s="5" t="str">
        <f ca="1">IFERROR(__xludf.DUMMYFUNCTION("""COMPUTED_VALUE"""),"Male")</f>
        <v>Male</v>
      </c>
      <c r="D1696" s="5" t="str">
        <f ca="1">IFERROR(__xludf.DUMMYFUNCTION("""COMPUTED_VALUE"""),"Black")</f>
        <v>Black</v>
      </c>
      <c r="E1696" s="5" t="str">
        <f ca="1">IFERROR(__xludf.DUMMYFUNCTION("""COMPUTED_VALUE"""),"Student")</f>
        <v>Student</v>
      </c>
      <c r="F1696" s="5" t="str">
        <f ca="1">IFERROR(__xludf.DUMMYFUNCTION("""COMPUTED_VALUE"""),"Fled/Apprehended")</f>
        <v>Fled/Apprehended</v>
      </c>
      <c r="G1696" s="5" t="str">
        <f ca="1">IFERROR(__xludf.DUMMYFUNCTION("""COMPUTED_VALUE"""),"No")</f>
        <v>No</v>
      </c>
      <c r="H1696" s="5" t="str">
        <f ca="1">IFERROR(__xludf.DUMMYFUNCTION("""COMPUTED_VALUE"""),"None")</f>
        <v>None</v>
      </c>
    </row>
    <row r="1697" spans="1:8">
      <c r="A1697" s="5" t="str">
        <f ca="1">IFERROR(__xludf.DUMMYFUNCTION("""COMPUTED_VALUE"""),"19951023FLLAC")</f>
        <v>19951023FLLAC</v>
      </c>
      <c r="B1697" s="5">
        <f ca="1">IFERROR(__xludf.DUMMYFUNCTION("""COMPUTED_VALUE"""),16)</f>
        <v>16</v>
      </c>
      <c r="C1697" s="5" t="str">
        <f ca="1">IFERROR(__xludf.DUMMYFUNCTION("""COMPUTED_VALUE"""),"Female")</f>
        <v>Female</v>
      </c>
      <c r="D1697" s="5"/>
      <c r="E1697" s="5" t="str">
        <f ca="1">IFERROR(__xludf.DUMMYFUNCTION("""COMPUTED_VALUE"""),"Student")</f>
        <v>Student</v>
      </c>
      <c r="F1697" s="5" t="str">
        <f ca="1">IFERROR(__xludf.DUMMYFUNCTION("""COMPUTED_VALUE"""),"Other")</f>
        <v>Other</v>
      </c>
      <c r="G1697" s="5" t="str">
        <f ca="1">IFERROR(__xludf.DUMMYFUNCTION("""COMPUTED_VALUE"""),"No")</f>
        <v>No</v>
      </c>
      <c r="H1697" s="5" t="str">
        <f ca="1">IFERROR(__xludf.DUMMYFUNCTION("""COMPUTED_VALUE"""),"Wounded")</f>
        <v>Wounded</v>
      </c>
    </row>
    <row r="1698" spans="1:8">
      <c r="A1698" s="5" t="str">
        <f ca="1">IFERROR(__xludf.DUMMYFUNCTION("""COMPUTED_VALUE"""),"19951012SCBLB")</f>
        <v>19951012SCBLB</v>
      </c>
      <c r="B1698" s="5">
        <f ca="1">IFERROR(__xludf.DUMMYFUNCTION("""COMPUTED_VALUE"""),16)</f>
        <v>16</v>
      </c>
      <c r="C1698" s="5" t="str">
        <f ca="1">IFERROR(__xludf.DUMMYFUNCTION("""COMPUTED_VALUE"""),"Male")</f>
        <v>Male</v>
      </c>
      <c r="D1698" s="5" t="str">
        <f ca="1">IFERROR(__xludf.DUMMYFUNCTION("""COMPUTED_VALUE"""),"Black")</f>
        <v>Black</v>
      </c>
      <c r="E1698" s="5" t="str">
        <f ca="1">IFERROR(__xludf.DUMMYFUNCTION("""COMPUTED_VALUE"""),"Student")</f>
        <v>Student</v>
      </c>
      <c r="F1698" s="5" t="str">
        <f ca="1">IFERROR(__xludf.DUMMYFUNCTION("""COMPUTED_VALUE"""),"Suicide")</f>
        <v>Suicide</v>
      </c>
      <c r="G1698" s="5" t="str">
        <f ca="1">IFERROR(__xludf.DUMMYFUNCTION("""COMPUTED_VALUE"""),"Yes")</f>
        <v>Yes</v>
      </c>
      <c r="H1698" s="5" t="str">
        <f ca="1">IFERROR(__xludf.DUMMYFUNCTION("""COMPUTED_VALUE"""),"Suicide")</f>
        <v>Suicide</v>
      </c>
    </row>
    <row r="1699" spans="1:8">
      <c r="A1699" s="5" t="str">
        <f ca="1">IFERROR(__xludf.DUMMYFUNCTION("""COMPUTED_VALUE"""),"19950929FLTAT")</f>
        <v>19950929FLTAT</v>
      </c>
      <c r="B1699" s="5">
        <f ca="1">IFERROR(__xludf.DUMMYFUNCTION("""COMPUTED_VALUE"""),14)</f>
        <v>14</v>
      </c>
      <c r="C1699" s="5" t="str">
        <f ca="1">IFERROR(__xludf.DUMMYFUNCTION("""COMPUTED_VALUE"""),"Male")</f>
        <v>Male</v>
      </c>
      <c r="D1699" s="5" t="str">
        <f ca="1">IFERROR(__xludf.DUMMYFUNCTION("""COMPUTED_VALUE"""),"White")</f>
        <v>White</v>
      </c>
      <c r="E1699" s="5" t="str">
        <f ca="1">IFERROR(__xludf.DUMMYFUNCTION("""COMPUTED_VALUE"""),"Student")</f>
        <v>Student</v>
      </c>
      <c r="F1699" s="5" t="str">
        <f ca="1">IFERROR(__xludf.DUMMYFUNCTION("""COMPUTED_VALUE"""),"Fled/Apprehended")</f>
        <v>Fled/Apprehended</v>
      </c>
      <c r="G1699" s="5" t="str">
        <f ca="1">IFERROR(__xludf.DUMMYFUNCTION("""COMPUTED_VALUE"""),"No")</f>
        <v>No</v>
      </c>
      <c r="H1699" s="5" t="str">
        <f ca="1">IFERROR(__xludf.DUMMYFUNCTION("""COMPUTED_VALUE"""),"None")</f>
        <v>None</v>
      </c>
    </row>
    <row r="1700" spans="1:8">
      <c r="A1700" s="5" t="str">
        <f ca="1">IFERROR(__xludf.DUMMYFUNCTION("""COMPUTED_VALUE"""),"19950927ALBLP")</f>
        <v>19950927ALBLP</v>
      </c>
      <c r="B1700" s="5">
        <f ca="1">IFERROR(__xludf.DUMMYFUNCTION("""COMPUTED_VALUE"""),19)</f>
        <v>19</v>
      </c>
      <c r="C1700" s="5" t="str">
        <f ca="1">IFERROR(__xludf.DUMMYFUNCTION("""COMPUTED_VALUE"""),"Male")</f>
        <v>Male</v>
      </c>
      <c r="D1700" s="5"/>
      <c r="E1700" s="5" t="str">
        <f ca="1">IFERROR(__xludf.DUMMYFUNCTION("""COMPUTED_VALUE"""),"Relative")</f>
        <v>Relative</v>
      </c>
      <c r="F1700" s="5" t="str">
        <f ca="1">IFERROR(__xludf.DUMMYFUNCTION("""COMPUTED_VALUE"""),"Unknown")</f>
        <v>Unknown</v>
      </c>
      <c r="G1700" s="5" t="str">
        <f ca="1">IFERROR(__xludf.DUMMYFUNCTION("""COMPUTED_VALUE"""),"No")</f>
        <v>No</v>
      </c>
      <c r="H1700" s="5" t="str">
        <f ca="1">IFERROR(__xludf.DUMMYFUNCTION("""COMPUTED_VALUE"""),"None")</f>
        <v>None</v>
      </c>
    </row>
    <row r="1701" spans="1:8">
      <c r="A1701" s="5" t="str">
        <f ca="1">IFERROR(__xludf.DUMMYFUNCTION("""COMPUTED_VALUE"""),"19950915KYGEW")</f>
        <v>19950915KYGEW</v>
      </c>
      <c r="B1701" s="5" t="str">
        <f ca="1">IFERROR(__xludf.DUMMYFUNCTION("""COMPUTED_VALUE"""),"Teen")</f>
        <v>Teen</v>
      </c>
      <c r="C1701" s="5" t="str">
        <f ca="1">IFERROR(__xludf.DUMMYFUNCTION("""COMPUTED_VALUE"""),"Male")</f>
        <v>Male</v>
      </c>
      <c r="D1701" s="5"/>
      <c r="E1701" s="5" t="str">
        <f ca="1">IFERROR(__xludf.DUMMYFUNCTION("""COMPUTED_VALUE"""),"Student")</f>
        <v>Student</v>
      </c>
      <c r="F1701" s="5" t="str">
        <f ca="1">IFERROR(__xludf.DUMMYFUNCTION("""COMPUTED_VALUE"""),"Unknown")</f>
        <v>Unknown</v>
      </c>
      <c r="G1701" s="5" t="str">
        <f ca="1">IFERROR(__xludf.DUMMYFUNCTION("""COMPUTED_VALUE"""),"No")</f>
        <v>No</v>
      </c>
      <c r="H1701" s="5" t="str">
        <f ca="1">IFERROR(__xludf.DUMMYFUNCTION("""COMPUTED_VALUE"""),"None")</f>
        <v>None</v>
      </c>
    </row>
    <row r="1702" spans="1:8">
      <c r="A1702" s="5" t="str">
        <f ca="1">IFERROR(__xludf.DUMMYFUNCTION("""COMPUTED_VALUE"""),"19950914KSOLO")</f>
        <v>19950914KSOLO</v>
      </c>
      <c r="B1702" s="5">
        <f ca="1">IFERROR(__xludf.DUMMYFUNCTION("""COMPUTED_VALUE"""),17)</f>
        <v>17</v>
      </c>
      <c r="C1702" s="5" t="str">
        <f ca="1">IFERROR(__xludf.DUMMYFUNCTION("""COMPUTED_VALUE"""),"Male")</f>
        <v>Male</v>
      </c>
      <c r="D1702" s="5" t="str">
        <f ca="1">IFERROR(__xludf.DUMMYFUNCTION("""COMPUTED_VALUE"""),"Black")</f>
        <v>Black</v>
      </c>
      <c r="E1702" s="5" t="str">
        <f ca="1">IFERROR(__xludf.DUMMYFUNCTION("""COMPUTED_VALUE"""),"Rival School Student")</f>
        <v>Rival School Student</v>
      </c>
      <c r="F1702" s="5" t="str">
        <f ca="1">IFERROR(__xludf.DUMMYFUNCTION("""COMPUTED_VALUE"""),"Fled/Apprehended")</f>
        <v>Fled/Apprehended</v>
      </c>
      <c r="G1702" s="5" t="str">
        <f ca="1">IFERROR(__xludf.DUMMYFUNCTION("""COMPUTED_VALUE"""),"No")</f>
        <v>No</v>
      </c>
      <c r="H1702" s="5" t="str">
        <f ca="1">IFERROR(__xludf.DUMMYFUNCTION("""COMPUTED_VALUE"""),"None")</f>
        <v>None</v>
      </c>
    </row>
    <row r="1703" spans="1:8">
      <c r="A1703" s="5" t="str">
        <f ca="1">IFERROR(__xludf.DUMMYFUNCTION("""COMPUTED_VALUE"""),"19950912TNCYM")</f>
        <v>19950912TNCYM</v>
      </c>
      <c r="B1703" s="5">
        <f ca="1">IFERROR(__xludf.DUMMYFUNCTION("""COMPUTED_VALUE"""),15)</f>
        <v>15</v>
      </c>
      <c r="C1703" s="5" t="str">
        <f ca="1">IFERROR(__xludf.DUMMYFUNCTION("""COMPUTED_VALUE"""),"Male")</f>
        <v>Male</v>
      </c>
      <c r="D1703" s="5" t="str">
        <f ca="1">IFERROR(__xludf.DUMMYFUNCTION("""COMPUTED_VALUE"""),"Black")</f>
        <v>Black</v>
      </c>
      <c r="E1703" s="5" t="str">
        <f ca="1">IFERROR(__xludf.DUMMYFUNCTION("""COMPUTED_VALUE"""),"Student")</f>
        <v>Student</v>
      </c>
      <c r="F1703" s="5" t="str">
        <f ca="1">IFERROR(__xludf.DUMMYFUNCTION("""COMPUTED_VALUE"""),"Unknown")</f>
        <v>Unknown</v>
      </c>
      <c r="G1703" s="5" t="str">
        <f ca="1">IFERROR(__xludf.DUMMYFUNCTION("""COMPUTED_VALUE"""),"No")</f>
        <v>No</v>
      </c>
      <c r="H1703" s="5" t="str">
        <f ca="1">IFERROR(__xludf.DUMMYFUNCTION("""COMPUTED_VALUE"""),"None")</f>
        <v>None</v>
      </c>
    </row>
    <row r="1704" spans="1:8">
      <c r="A1704" s="5" t="str">
        <f ca="1">IFERROR(__xludf.DUMMYFUNCTION("""COMPUTED_VALUE"""),"19950829TXMEL")</f>
        <v>19950829TXMEL</v>
      </c>
      <c r="B1704" s="5">
        <f ca="1">IFERROR(__xludf.DUMMYFUNCTION("""COMPUTED_VALUE"""),12)</f>
        <v>12</v>
      </c>
      <c r="C1704" s="5" t="str">
        <f ca="1">IFERROR(__xludf.DUMMYFUNCTION("""COMPUTED_VALUE"""),"Male")</f>
        <v>Male</v>
      </c>
      <c r="D1704" s="5" t="str">
        <f ca="1">IFERROR(__xludf.DUMMYFUNCTION("""COMPUTED_VALUE"""),"White")</f>
        <v>White</v>
      </c>
      <c r="E1704" s="5" t="str">
        <f ca="1">IFERROR(__xludf.DUMMYFUNCTION("""COMPUTED_VALUE"""),"Student")</f>
        <v>Student</v>
      </c>
      <c r="F1704" s="5" t="str">
        <f ca="1">IFERROR(__xludf.DUMMYFUNCTION("""COMPUTED_VALUE"""),"Fled/Apprehended")</f>
        <v>Fled/Apprehended</v>
      </c>
      <c r="G1704" s="5" t="str">
        <f ca="1">IFERROR(__xludf.DUMMYFUNCTION("""COMPUTED_VALUE"""),"No")</f>
        <v>No</v>
      </c>
      <c r="H1704" s="5" t="str">
        <f ca="1">IFERROR(__xludf.DUMMYFUNCTION("""COMPUTED_VALUE"""),"None")</f>
        <v>None</v>
      </c>
    </row>
    <row r="1705" spans="1:8">
      <c r="A1705" s="5" t="str">
        <f ca="1">IFERROR(__xludf.DUMMYFUNCTION("""COMPUTED_VALUE"""),"19950614FLLAL")</f>
        <v>19950614FLLAL</v>
      </c>
      <c r="B1705" s="5">
        <f ca="1">IFERROR(__xludf.DUMMYFUNCTION("""COMPUTED_VALUE"""),19)</f>
        <v>19</v>
      </c>
      <c r="C1705" s="5" t="str">
        <f ca="1">IFERROR(__xludf.DUMMYFUNCTION("""COMPUTED_VALUE"""),"Male")</f>
        <v>Male</v>
      </c>
      <c r="D1705" s="5"/>
      <c r="E1705" s="5" t="str">
        <f ca="1">IFERROR(__xludf.DUMMYFUNCTION("""COMPUTED_VALUE"""),"Former Student")</f>
        <v>Former Student</v>
      </c>
      <c r="F1705" s="5" t="str">
        <f ca="1">IFERROR(__xludf.DUMMYFUNCTION("""COMPUTED_VALUE"""),"Fled/Apprehended")</f>
        <v>Fled/Apprehended</v>
      </c>
      <c r="G1705" s="5" t="str">
        <f ca="1">IFERROR(__xludf.DUMMYFUNCTION("""COMPUTED_VALUE"""),"No")</f>
        <v>No</v>
      </c>
      <c r="H1705" s="5" t="str">
        <f ca="1">IFERROR(__xludf.DUMMYFUNCTION("""COMPUTED_VALUE"""),"None")</f>
        <v>None</v>
      </c>
    </row>
    <row r="1706" spans="1:8">
      <c r="A1706" s="5" t="str">
        <f ca="1">IFERROR(__xludf.DUMMYFUNCTION("""COMPUTED_VALUE"""),"19950327MIRED")</f>
        <v>19950327MIRED</v>
      </c>
      <c r="B1706" s="5">
        <f ca="1">IFERROR(__xludf.DUMMYFUNCTION("""COMPUTED_VALUE"""),18)</f>
        <v>18</v>
      </c>
      <c r="C1706" s="5" t="str">
        <f ca="1">IFERROR(__xludf.DUMMYFUNCTION("""COMPUTED_VALUE"""),"Male")</f>
        <v>Male</v>
      </c>
      <c r="D1706" s="5"/>
      <c r="E1706" s="5" t="str">
        <f ca="1">IFERROR(__xludf.DUMMYFUNCTION("""COMPUTED_VALUE"""),"Student")</f>
        <v>Student</v>
      </c>
      <c r="F1706" s="5" t="str">
        <f ca="1">IFERROR(__xludf.DUMMYFUNCTION("""COMPUTED_VALUE"""),"Fled/Apprehended")</f>
        <v>Fled/Apprehended</v>
      </c>
      <c r="G1706" s="5" t="str">
        <f ca="1">IFERROR(__xludf.DUMMYFUNCTION("""COMPUTED_VALUE"""),"No")</f>
        <v>No</v>
      </c>
      <c r="H1706" s="5" t="str">
        <f ca="1">IFERROR(__xludf.DUMMYFUNCTION("""COMPUTED_VALUE"""),"None")</f>
        <v>None</v>
      </c>
    </row>
    <row r="1707" spans="1:8">
      <c r="A1707" s="5" t="str">
        <f ca="1">IFERROR(__xludf.DUMMYFUNCTION("""COMPUTED_VALUE"""),"19950303MIPED")</f>
        <v>19950303MIPED</v>
      </c>
      <c r="B1707" s="5"/>
      <c r="C1707" s="5"/>
      <c r="D1707" s="5"/>
      <c r="E1707" s="5" t="str">
        <f ca="1">IFERROR(__xludf.DUMMYFUNCTION("""COMPUTED_VALUE"""),"Unknown")</f>
        <v>Unknown</v>
      </c>
      <c r="F1707" s="5" t="str">
        <f ca="1">IFERROR(__xludf.DUMMYFUNCTION("""COMPUTED_VALUE"""),"Fled/Escaped")</f>
        <v>Fled/Escaped</v>
      </c>
      <c r="G1707" s="5" t="str">
        <f ca="1">IFERROR(__xludf.DUMMYFUNCTION("""COMPUTED_VALUE"""),"No")</f>
        <v>No</v>
      </c>
      <c r="H1707" s="5" t="str">
        <f ca="1">IFERROR(__xludf.DUMMYFUNCTION("""COMPUTED_VALUE"""),"None")</f>
        <v>None</v>
      </c>
    </row>
    <row r="1708" spans="1:8">
      <c r="A1708" s="5" t="str">
        <f ca="1">IFERROR(__xludf.DUMMYFUNCTION("""COMPUTED_VALUE"""),"19950208NECHS")</f>
        <v>19950208NECHS</v>
      </c>
      <c r="B1708" s="5">
        <f ca="1">IFERROR(__xludf.DUMMYFUNCTION("""COMPUTED_VALUE"""),13)</f>
        <v>13</v>
      </c>
      <c r="C1708" s="5" t="str">
        <f ca="1">IFERROR(__xludf.DUMMYFUNCTION("""COMPUTED_VALUE"""),"Male")</f>
        <v>Male</v>
      </c>
      <c r="D1708" s="5"/>
      <c r="E1708" s="5" t="str">
        <f ca="1">IFERROR(__xludf.DUMMYFUNCTION("""COMPUTED_VALUE"""),"Student")</f>
        <v>Student</v>
      </c>
      <c r="F1708" s="5" t="str">
        <f ca="1">IFERROR(__xludf.DUMMYFUNCTION("""COMPUTED_VALUE"""),"Unknown")</f>
        <v>Unknown</v>
      </c>
      <c r="G1708" s="5" t="str">
        <f ca="1">IFERROR(__xludf.DUMMYFUNCTION("""COMPUTED_VALUE"""),"No")</f>
        <v>No</v>
      </c>
      <c r="H1708" s="5" t="str">
        <f ca="1">IFERROR(__xludf.DUMMYFUNCTION("""COMPUTED_VALUE"""),"None")</f>
        <v>None</v>
      </c>
    </row>
    <row r="1709" spans="1:8">
      <c r="A1709" s="5" t="str">
        <f ca="1">IFERROR(__xludf.DUMMYFUNCTION("""COMPUTED_VALUE"""),"19950202CAJOL")</f>
        <v>19950202CAJOL</v>
      </c>
      <c r="B1709" s="5"/>
      <c r="C1709" s="5" t="str">
        <f ca="1">IFERROR(__xludf.DUMMYFUNCTION("""COMPUTED_VALUE"""),"Male")</f>
        <v>Male</v>
      </c>
      <c r="D1709" s="5"/>
      <c r="E1709" s="5" t="str">
        <f ca="1">IFERROR(__xludf.DUMMYFUNCTION("""COMPUTED_VALUE"""),"Unknown")</f>
        <v>Unknown</v>
      </c>
      <c r="F1709" s="5" t="str">
        <f ca="1">IFERROR(__xludf.DUMMYFUNCTION("""COMPUTED_VALUE"""),"Fled/Escaped")</f>
        <v>Fled/Escaped</v>
      </c>
      <c r="G1709" s="5" t="str">
        <f ca="1">IFERROR(__xludf.DUMMYFUNCTION("""COMPUTED_VALUE"""),"No")</f>
        <v>No</v>
      </c>
      <c r="H1709" s="5" t="str">
        <f ca="1">IFERROR(__xludf.DUMMYFUNCTION("""COMPUTED_VALUE"""),"None")</f>
        <v>None</v>
      </c>
    </row>
    <row r="1710" spans="1:8">
      <c r="A1710" s="5" t="str">
        <f ca="1">IFERROR(__xludf.DUMMYFUNCTION("""COMPUTED_VALUE"""),"19950124DCSPW")</f>
        <v>19950124DCSPW</v>
      </c>
      <c r="B1710" s="5">
        <f ca="1">IFERROR(__xludf.DUMMYFUNCTION("""COMPUTED_VALUE"""),16)</f>
        <v>16</v>
      </c>
      <c r="C1710" s="5" t="str">
        <f ca="1">IFERROR(__xludf.DUMMYFUNCTION("""COMPUTED_VALUE"""),"Male")</f>
        <v>Male</v>
      </c>
      <c r="D1710" s="5"/>
      <c r="E1710" s="5" t="str">
        <f ca="1">IFERROR(__xludf.DUMMYFUNCTION("""COMPUTED_VALUE"""),"Rival School Student")</f>
        <v>Rival School Student</v>
      </c>
      <c r="F1710" s="5" t="str">
        <f ca="1">IFERROR(__xludf.DUMMYFUNCTION("""COMPUTED_VALUE"""),"Fled/Apprehended")</f>
        <v>Fled/Apprehended</v>
      </c>
      <c r="G1710" s="5" t="str">
        <f ca="1">IFERROR(__xludf.DUMMYFUNCTION("""COMPUTED_VALUE"""),"No")</f>
        <v>No</v>
      </c>
      <c r="H1710" s="5" t="str">
        <f ca="1">IFERROR(__xludf.DUMMYFUNCTION("""COMPUTED_VALUE"""),"None")</f>
        <v>None</v>
      </c>
    </row>
    <row r="1711" spans="1:8">
      <c r="A1711" s="5" t="str">
        <f ca="1">IFERROR(__xludf.DUMMYFUNCTION("""COMPUTED_VALUE"""),"19950123CASAR")</f>
        <v>19950123CASAR</v>
      </c>
      <c r="B1711" s="5">
        <f ca="1">IFERROR(__xludf.DUMMYFUNCTION("""COMPUTED_VALUE"""),13)</f>
        <v>13</v>
      </c>
      <c r="C1711" s="5" t="str">
        <f ca="1">IFERROR(__xludf.DUMMYFUNCTION("""COMPUTED_VALUE"""),"Male")</f>
        <v>Male</v>
      </c>
      <c r="D1711" s="5" t="str">
        <f ca="1">IFERROR(__xludf.DUMMYFUNCTION("""COMPUTED_VALUE"""),"White")</f>
        <v>White</v>
      </c>
      <c r="E1711" s="5" t="str">
        <f ca="1">IFERROR(__xludf.DUMMYFUNCTION("""COMPUTED_VALUE"""),"Student")</f>
        <v>Student</v>
      </c>
      <c r="F1711" s="5" t="str">
        <f ca="1">IFERROR(__xludf.DUMMYFUNCTION("""COMPUTED_VALUE"""),"Fled/Escaped")</f>
        <v>Fled/Escaped</v>
      </c>
      <c r="G1711" s="5" t="str">
        <f ca="1">IFERROR(__xludf.DUMMYFUNCTION("""COMPUTED_VALUE"""),"Yes")</f>
        <v>Yes</v>
      </c>
      <c r="H1711" s="5" t="str">
        <f ca="1">IFERROR(__xludf.DUMMYFUNCTION("""COMPUTED_VALUE"""),"Suicide")</f>
        <v>Suicide</v>
      </c>
    </row>
    <row r="1712" spans="1:8">
      <c r="A1712" s="5" t="str">
        <f ca="1">IFERROR(__xludf.DUMMYFUNCTION("""COMPUTED_VALUE"""),"19950112WAGAS")</f>
        <v>19950112WAGAS</v>
      </c>
      <c r="B1712" s="5">
        <f ca="1">IFERROR(__xludf.DUMMYFUNCTION("""COMPUTED_VALUE"""),15)</f>
        <v>15</v>
      </c>
      <c r="C1712" s="5" t="str">
        <f ca="1">IFERROR(__xludf.DUMMYFUNCTION("""COMPUTED_VALUE"""),"Male")</f>
        <v>Male</v>
      </c>
      <c r="D1712" s="5" t="str">
        <f ca="1">IFERROR(__xludf.DUMMYFUNCTION("""COMPUTED_VALUE"""),"Black")</f>
        <v>Black</v>
      </c>
      <c r="E1712" s="5" t="str">
        <f ca="1">IFERROR(__xludf.DUMMYFUNCTION("""COMPUTED_VALUE"""),"Student")</f>
        <v>Student</v>
      </c>
      <c r="F1712" s="5" t="str">
        <f ca="1">IFERROR(__xludf.DUMMYFUNCTION("""COMPUTED_VALUE"""),"Fled/Apprehended")</f>
        <v>Fled/Apprehended</v>
      </c>
      <c r="G1712" s="5" t="str">
        <f ca="1">IFERROR(__xludf.DUMMYFUNCTION("""COMPUTED_VALUE"""),"No")</f>
        <v>No</v>
      </c>
      <c r="H1712" s="5" t="str">
        <f ca="1">IFERROR(__xludf.DUMMYFUNCTION("""COMPUTED_VALUE"""),"None")</f>
        <v>None</v>
      </c>
    </row>
    <row r="1713" spans="1:8">
      <c r="A1713" s="5" t="str">
        <f ca="1">IFERROR(__xludf.DUMMYFUNCTION("""COMPUTED_VALUE"""),"19950110FLPAP")</f>
        <v>19950110FLPAP</v>
      </c>
      <c r="B1713" s="5">
        <f ca="1">IFERROR(__xludf.DUMMYFUNCTION("""COMPUTED_VALUE"""),15)</f>
        <v>15</v>
      </c>
      <c r="C1713" s="5" t="str">
        <f ca="1">IFERROR(__xludf.DUMMYFUNCTION("""COMPUTED_VALUE"""),"Male")</f>
        <v>Male</v>
      </c>
      <c r="D1713" s="5"/>
      <c r="E1713" s="5" t="str">
        <f ca="1">IFERROR(__xludf.DUMMYFUNCTION("""COMPUTED_VALUE"""),"Student")</f>
        <v>Student</v>
      </c>
      <c r="F1713" s="5" t="str">
        <f ca="1">IFERROR(__xludf.DUMMYFUNCTION("""COMPUTED_VALUE"""),"Suicide")</f>
        <v>Suicide</v>
      </c>
      <c r="G1713" s="5" t="str">
        <f ca="1">IFERROR(__xludf.DUMMYFUNCTION("""COMPUTED_VALUE"""),"Yes")</f>
        <v>Yes</v>
      </c>
      <c r="H1713" s="5" t="str">
        <f ca="1">IFERROR(__xludf.DUMMYFUNCTION("""COMPUTED_VALUE"""),"Suicide")</f>
        <v>Suicide</v>
      </c>
    </row>
    <row r="1714" spans="1:8">
      <c r="A1714" s="5" t="str">
        <f ca="1">IFERROR(__xludf.DUMMYFUNCTION("""COMPUTED_VALUE"""),"19950105DCCAW")</f>
        <v>19950105DCCAW</v>
      </c>
      <c r="B1714" s="5">
        <f ca="1">IFERROR(__xludf.DUMMYFUNCTION("""COMPUTED_VALUE"""),14)</f>
        <v>14</v>
      </c>
      <c r="C1714" s="5" t="str">
        <f ca="1">IFERROR(__xludf.DUMMYFUNCTION("""COMPUTED_VALUE"""),"Male")</f>
        <v>Male</v>
      </c>
      <c r="D1714" s="5" t="str">
        <f ca="1">IFERROR(__xludf.DUMMYFUNCTION("""COMPUTED_VALUE"""),"Black")</f>
        <v>Black</v>
      </c>
      <c r="E1714" s="5" t="str">
        <f ca="1">IFERROR(__xludf.DUMMYFUNCTION("""COMPUTED_VALUE"""),"Student")</f>
        <v>Student</v>
      </c>
      <c r="F1714" s="5" t="str">
        <f ca="1">IFERROR(__xludf.DUMMYFUNCTION("""COMPUTED_VALUE"""),"Fled/Apprehended")</f>
        <v>Fled/Apprehended</v>
      </c>
      <c r="G1714" s="5" t="str">
        <f ca="1">IFERROR(__xludf.DUMMYFUNCTION("""COMPUTED_VALUE"""),"No")</f>
        <v>No</v>
      </c>
      <c r="H1714" s="5" t="str">
        <f ca="1">IFERROR(__xludf.DUMMYFUNCTION("""COMPUTED_VALUE"""),"None")</f>
        <v>None</v>
      </c>
    </row>
    <row r="1715" spans="1:8">
      <c r="A1715" s="5" t="str">
        <f ca="1">IFERROR(__xludf.DUMMYFUNCTION("""COMPUTED_VALUE"""),"19941115WASTT")</f>
        <v>19941115WASTT</v>
      </c>
      <c r="B1715" s="5">
        <f ca="1">IFERROR(__xludf.DUMMYFUNCTION("""COMPUTED_VALUE"""),17)</f>
        <v>17</v>
      </c>
      <c r="C1715" s="5" t="str">
        <f ca="1">IFERROR(__xludf.DUMMYFUNCTION("""COMPUTED_VALUE"""),"Male")</f>
        <v>Male</v>
      </c>
      <c r="D1715" s="5" t="str">
        <f ca="1">IFERROR(__xludf.DUMMYFUNCTION("""COMPUTED_VALUE"""),"White")</f>
        <v>White</v>
      </c>
      <c r="E1715" s="5" t="str">
        <f ca="1">IFERROR(__xludf.DUMMYFUNCTION("""COMPUTED_VALUE"""),"Student")</f>
        <v>Student</v>
      </c>
      <c r="F1715" s="5" t="str">
        <f ca="1">IFERROR(__xludf.DUMMYFUNCTION("""COMPUTED_VALUE"""),"Suicide")</f>
        <v>Suicide</v>
      </c>
      <c r="G1715" s="5" t="str">
        <f ca="1">IFERROR(__xludf.DUMMYFUNCTION("""COMPUTED_VALUE"""),"Yes")</f>
        <v>Yes</v>
      </c>
      <c r="H1715" s="5" t="str">
        <f ca="1">IFERROR(__xludf.DUMMYFUNCTION("""COMPUTED_VALUE"""),"Suicide")</f>
        <v>Suicide</v>
      </c>
    </row>
    <row r="1716" spans="1:8">
      <c r="A1716" s="5" t="str">
        <f ca="1">IFERROR(__xludf.DUMMYFUNCTION("""COMPUTED_VALUE"""),"19941108IAWEM")</f>
        <v>19941108IAWEM</v>
      </c>
      <c r="B1716" s="5">
        <f ca="1">IFERROR(__xludf.DUMMYFUNCTION("""COMPUTED_VALUE"""),16)</f>
        <v>16</v>
      </c>
      <c r="C1716" s="5" t="str">
        <f ca="1">IFERROR(__xludf.DUMMYFUNCTION("""COMPUTED_VALUE"""),"Male")</f>
        <v>Male</v>
      </c>
      <c r="D1716" s="5"/>
      <c r="E1716" s="5" t="str">
        <f ca="1">IFERROR(__xludf.DUMMYFUNCTION("""COMPUTED_VALUE"""),"Student")</f>
        <v>Student</v>
      </c>
      <c r="F1716" s="5" t="str">
        <f ca="1">IFERROR(__xludf.DUMMYFUNCTION("""COMPUTED_VALUE"""),"Fled/Escaped")</f>
        <v>Fled/Escaped</v>
      </c>
      <c r="G1716" s="5" t="str">
        <f ca="1">IFERROR(__xludf.DUMMYFUNCTION("""COMPUTED_VALUE"""),"No")</f>
        <v>No</v>
      </c>
      <c r="H1716" s="5" t="str">
        <f ca="1">IFERROR(__xludf.DUMMYFUNCTION("""COMPUTED_VALUE"""),"None")</f>
        <v>None</v>
      </c>
    </row>
    <row r="1717" spans="1:8">
      <c r="A1717" s="5" t="str">
        <f ca="1">IFERROR(__xludf.DUMMYFUNCTION("""COMPUTED_VALUE"""),"19941107OHWIW")</f>
        <v>19941107OHWIW</v>
      </c>
      <c r="B1717" s="5">
        <f ca="1">IFERROR(__xludf.DUMMYFUNCTION("""COMPUTED_VALUE"""),37)</f>
        <v>37</v>
      </c>
      <c r="C1717" s="5" t="str">
        <f ca="1">IFERROR(__xludf.DUMMYFUNCTION("""COMPUTED_VALUE"""),"Male")</f>
        <v>Male</v>
      </c>
      <c r="D1717" s="5" t="str">
        <f ca="1">IFERROR(__xludf.DUMMYFUNCTION("""COMPUTED_VALUE"""),"White")</f>
        <v>White</v>
      </c>
      <c r="E1717" s="5" t="str">
        <f ca="1">IFERROR(__xludf.DUMMYFUNCTION("""COMPUTED_VALUE"""),"Former Student")</f>
        <v>Former Student</v>
      </c>
      <c r="F1717" s="5" t="str">
        <f ca="1">IFERROR(__xludf.DUMMYFUNCTION("""COMPUTED_VALUE"""),"Unknown")</f>
        <v>Unknown</v>
      </c>
      <c r="G1717" s="5" t="str">
        <f ca="1">IFERROR(__xludf.DUMMYFUNCTION("""COMPUTED_VALUE"""),"No")</f>
        <v>No</v>
      </c>
      <c r="H1717" s="5" t="str">
        <f ca="1">IFERROR(__xludf.DUMMYFUNCTION("""COMPUTED_VALUE"""),"None")</f>
        <v>None</v>
      </c>
    </row>
    <row r="1718" spans="1:8">
      <c r="A1718" s="5" t="str">
        <f ca="1">IFERROR(__xludf.DUMMYFUNCTION("""COMPUTED_VALUE"""),"19941105CATHS")</f>
        <v>19941105CATHS</v>
      </c>
      <c r="B1718" s="5" t="str">
        <f ca="1">IFERROR(__xludf.DUMMYFUNCTION("""COMPUTED_VALUE"""),"Adult")</f>
        <v>Adult</v>
      </c>
      <c r="C1718" s="5" t="str">
        <f ca="1">IFERROR(__xludf.DUMMYFUNCTION("""COMPUTED_VALUE"""),"Male")</f>
        <v>Male</v>
      </c>
      <c r="D1718" s="5"/>
      <c r="E1718" s="5" t="str">
        <f ca="1">IFERROR(__xludf.DUMMYFUNCTION("""COMPUTED_VALUE"""),"Unknown")</f>
        <v>Unknown</v>
      </c>
      <c r="F1718" s="5" t="str">
        <f ca="1">IFERROR(__xludf.DUMMYFUNCTION("""COMPUTED_VALUE"""),"Fled/Escaped")</f>
        <v>Fled/Escaped</v>
      </c>
      <c r="G1718" s="5" t="str">
        <f ca="1">IFERROR(__xludf.DUMMYFUNCTION("""COMPUTED_VALUE"""),"No")</f>
        <v>No</v>
      </c>
      <c r="H1718" s="5" t="str">
        <f ca="1">IFERROR(__xludf.DUMMYFUNCTION("""COMPUTED_VALUE"""),"None")</f>
        <v>None</v>
      </c>
    </row>
    <row r="1719" spans="1:8">
      <c r="A1719" s="5" t="str">
        <f ca="1">IFERROR(__xludf.DUMMYFUNCTION("""COMPUTED_VALUE"""),"19941031CAALA")</f>
        <v>19941031CAALA</v>
      </c>
      <c r="B1719" s="5">
        <f ca="1">IFERROR(__xludf.DUMMYFUNCTION("""COMPUTED_VALUE"""),16)</f>
        <v>16</v>
      </c>
      <c r="C1719" s="5" t="str">
        <f ca="1">IFERROR(__xludf.DUMMYFUNCTION("""COMPUTED_VALUE"""),"Male")</f>
        <v>Male</v>
      </c>
      <c r="D1719" s="5"/>
      <c r="E1719" s="5" t="str">
        <f ca="1">IFERROR(__xludf.DUMMYFUNCTION("""COMPUTED_VALUE"""),"Student")</f>
        <v>Student</v>
      </c>
      <c r="F1719" s="5" t="str">
        <f ca="1">IFERROR(__xludf.DUMMYFUNCTION("""COMPUTED_VALUE"""),"Attempted Suicide")</f>
        <v>Attempted Suicide</v>
      </c>
      <c r="G1719" s="5" t="str">
        <f ca="1">IFERROR(__xludf.DUMMYFUNCTION("""COMPUTED_VALUE"""),"No")</f>
        <v>No</v>
      </c>
      <c r="H1719" s="5" t="str">
        <f ca="1">IFERROR(__xludf.DUMMYFUNCTION("""COMPUTED_VALUE"""),"Wounded")</f>
        <v>Wounded</v>
      </c>
    </row>
    <row r="1720" spans="1:8">
      <c r="A1720" s="5" t="str">
        <f ca="1">IFERROR(__xludf.DUMMYFUNCTION("""COMPUTED_VALUE"""),"19941017ILHUC")</f>
        <v>19941017ILHUC</v>
      </c>
      <c r="B1720" s="5"/>
      <c r="C1720" s="5" t="str">
        <f ca="1">IFERROR(__xludf.DUMMYFUNCTION("""COMPUTED_VALUE"""),"Male")</f>
        <v>Male</v>
      </c>
      <c r="D1720" s="5"/>
      <c r="E1720" s="5" t="str">
        <f ca="1">IFERROR(__xludf.DUMMYFUNCTION("""COMPUTED_VALUE"""),"Unknown")</f>
        <v>Unknown</v>
      </c>
      <c r="F1720" s="5" t="str">
        <f ca="1">IFERROR(__xludf.DUMMYFUNCTION("""COMPUTED_VALUE"""),"Fled/Escaped")</f>
        <v>Fled/Escaped</v>
      </c>
      <c r="G1720" s="5" t="str">
        <f ca="1">IFERROR(__xludf.DUMMYFUNCTION("""COMPUTED_VALUE"""),"No")</f>
        <v>No</v>
      </c>
      <c r="H1720" s="5" t="str">
        <f ca="1">IFERROR(__xludf.DUMMYFUNCTION("""COMPUTED_VALUE"""),"None")</f>
        <v>None</v>
      </c>
    </row>
    <row r="1721" spans="1:8">
      <c r="A1721" s="5" t="str">
        <f ca="1">IFERROR(__xludf.DUMMYFUNCTION("""COMPUTED_VALUE"""),"19941012NCGRG")</f>
        <v>19941012NCGRG</v>
      </c>
      <c r="B1721" s="5">
        <f ca="1">IFERROR(__xludf.DUMMYFUNCTION("""COMPUTED_VALUE"""),16)</f>
        <v>16</v>
      </c>
      <c r="C1721" s="5" t="str">
        <f ca="1">IFERROR(__xludf.DUMMYFUNCTION("""COMPUTED_VALUE"""),"Male")</f>
        <v>Male</v>
      </c>
      <c r="D1721" s="5" t="str">
        <f ca="1">IFERROR(__xludf.DUMMYFUNCTION("""COMPUTED_VALUE"""),"White")</f>
        <v>White</v>
      </c>
      <c r="E1721" s="5" t="str">
        <f ca="1">IFERROR(__xludf.DUMMYFUNCTION("""COMPUTED_VALUE"""),"Student")</f>
        <v>Student</v>
      </c>
      <c r="F1721" s="5" t="str">
        <f ca="1">IFERROR(__xludf.DUMMYFUNCTION("""COMPUTED_VALUE"""),"Suicide")</f>
        <v>Suicide</v>
      </c>
      <c r="G1721" s="5" t="str">
        <f ca="1">IFERROR(__xludf.DUMMYFUNCTION("""COMPUTED_VALUE"""),"Yes")</f>
        <v>Yes</v>
      </c>
      <c r="H1721" s="5" t="str">
        <f ca="1">IFERROR(__xludf.DUMMYFUNCTION("""COMPUTED_VALUE"""),"Suicide")</f>
        <v>Suicide</v>
      </c>
    </row>
    <row r="1722" spans="1:8">
      <c r="A1722" s="5" t="str">
        <f ca="1">IFERROR(__xludf.DUMMYFUNCTION("""COMPUTED_VALUE"""),"19940922ORLEL")</f>
        <v>19940922ORLEL</v>
      </c>
      <c r="B1722" s="5">
        <f ca="1">IFERROR(__xludf.DUMMYFUNCTION("""COMPUTED_VALUE"""),15)</f>
        <v>15</v>
      </c>
      <c r="C1722" s="5" t="str">
        <f ca="1">IFERROR(__xludf.DUMMYFUNCTION("""COMPUTED_VALUE"""),"Male")</f>
        <v>Male</v>
      </c>
      <c r="D1722" s="5"/>
      <c r="E1722" s="5" t="str">
        <f ca="1">IFERROR(__xludf.DUMMYFUNCTION("""COMPUTED_VALUE"""),"Student")</f>
        <v>Student</v>
      </c>
      <c r="F1722" s="5" t="str">
        <f ca="1">IFERROR(__xludf.DUMMYFUNCTION("""COMPUTED_VALUE"""),"Unknown")</f>
        <v>Unknown</v>
      </c>
      <c r="G1722" s="5" t="str">
        <f ca="1">IFERROR(__xludf.DUMMYFUNCTION("""COMPUTED_VALUE"""),"No")</f>
        <v>No</v>
      </c>
      <c r="H1722" s="5" t="str">
        <f ca="1">IFERROR(__xludf.DUMMYFUNCTION("""COMPUTED_VALUE"""),"None")</f>
        <v>None</v>
      </c>
    </row>
    <row r="1723" spans="1:8">
      <c r="A1723" s="5" t="str">
        <f ca="1">IFERROR(__xludf.DUMMYFUNCTION("""COMPUTED_VALUE"""),"19940919CALOL")</f>
        <v>19940919CALOL</v>
      </c>
      <c r="B1723" s="5"/>
      <c r="C1723" s="5" t="str">
        <f ca="1">IFERROR(__xludf.DUMMYFUNCTION("""COMPUTED_VALUE"""),"Male")</f>
        <v>Male</v>
      </c>
      <c r="D1723" s="5"/>
      <c r="E1723" s="5" t="str">
        <f ca="1">IFERROR(__xludf.DUMMYFUNCTION("""COMPUTED_VALUE"""),"Unknown")</f>
        <v>Unknown</v>
      </c>
      <c r="F1723" s="5" t="str">
        <f ca="1">IFERROR(__xludf.DUMMYFUNCTION("""COMPUTED_VALUE"""),"Fled/Escaped")</f>
        <v>Fled/Escaped</v>
      </c>
      <c r="G1723" s="5" t="str">
        <f ca="1">IFERROR(__xludf.DUMMYFUNCTION("""COMPUTED_VALUE"""),"No")</f>
        <v>No</v>
      </c>
      <c r="H1723" s="5" t="str">
        <f ca="1">IFERROR(__xludf.DUMMYFUNCTION("""COMPUTED_VALUE"""),"None")</f>
        <v>None</v>
      </c>
    </row>
    <row r="1724" spans="1:8">
      <c r="A1724" s="5" t="str">
        <f ca="1">IFERROR(__xludf.DUMMYFUNCTION("""COMPUTED_VALUE"""),"19940908NYSWA")</f>
        <v>19940908NYSWA</v>
      </c>
      <c r="B1724" s="5">
        <f ca="1">IFERROR(__xludf.DUMMYFUNCTION("""COMPUTED_VALUE"""),14)</f>
        <v>14</v>
      </c>
      <c r="C1724" s="5" t="str">
        <f ca="1">IFERROR(__xludf.DUMMYFUNCTION("""COMPUTED_VALUE"""),"Male")</f>
        <v>Male</v>
      </c>
      <c r="D1724" s="5"/>
      <c r="E1724" s="5" t="str">
        <f ca="1">IFERROR(__xludf.DUMMYFUNCTION("""COMPUTED_VALUE"""),"Student")</f>
        <v>Student</v>
      </c>
      <c r="F1724" s="5" t="str">
        <f ca="1">IFERROR(__xludf.DUMMYFUNCTION("""COMPUTED_VALUE"""),"Fled/Apprehended")</f>
        <v>Fled/Apprehended</v>
      </c>
      <c r="G1724" s="5" t="str">
        <f ca="1">IFERROR(__xludf.DUMMYFUNCTION("""COMPUTED_VALUE"""),"No")</f>
        <v>No</v>
      </c>
      <c r="H1724" s="5" t="str">
        <f ca="1">IFERROR(__xludf.DUMMYFUNCTION("""COMPUTED_VALUE"""),"None")</f>
        <v>None</v>
      </c>
    </row>
    <row r="1725" spans="1:8">
      <c r="A1725" s="5" t="str">
        <f ca="1">IFERROR(__xludf.DUMMYFUNCTION("""COMPUTED_VALUE"""),"19940907CAHOL")</f>
        <v>19940907CAHOL</v>
      </c>
      <c r="B1725" s="5"/>
      <c r="C1725" s="5" t="str">
        <f ca="1">IFERROR(__xludf.DUMMYFUNCTION("""COMPUTED_VALUE"""),"Male")</f>
        <v>Male</v>
      </c>
      <c r="D1725" s="5"/>
      <c r="E1725" s="5" t="str">
        <f ca="1">IFERROR(__xludf.DUMMYFUNCTION("""COMPUTED_VALUE"""),"Unknown")</f>
        <v>Unknown</v>
      </c>
      <c r="F1725" s="5" t="str">
        <f ca="1">IFERROR(__xludf.DUMMYFUNCTION("""COMPUTED_VALUE"""),"Fled/Escaped")</f>
        <v>Fled/Escaped</v>
      </c>
      <c r="G1725" s="5" t="str">
        <f ca="1">IFERROR(__xludf.DUMMYFUNCTION("""COMPUTED_VALUE"""),"No")</f>
        <v>No</v>
      </c>
      <c r="H1725" s="5" t="str">
        <f ca="1">IFERROR(__xludf.DUMMYFUNCTION("""COMPUTED_VALUE"""),"None")</f>
        <v>None</v>
      </c>
    </row>
    <row r="1726" spans="1:8">
      <c r="A1726" s="5" t="str">
        <f ca="1">IFERROR(__xludf.DUMMYFUNCTION("""COMPUTED_VALUE"""),"19940725IAOTO")</f>
        <v>19940725IAOTO</v>
      </c>
      <c r="B1726" s="5">
        <f ca="1">IFERROR(__xludf.DUMMYFUNCTION("""COMPUTED_VALUE"""),16)</f>
        <v>16</v>
      </c>
      <c r="C1726" s="5" t="str">
        <f ca="1">IFERROR(__xludf.DUMMYFUNCTION("""COMPUTED_VALUE"""),"Male")</f>
        <v>Male</v>
      </c>
      <c r="D1726" s="5"/>
      <c r="E1726" s="5" t="str">
        <f ca="1">IFERROR(__xludf.DUMMYFUNCTION("""COMPUTED_VALUE"""),"Student")</f>
        <v>Student</v>
      </c>
      <c r="F1726" s="5" t="str">
        <f ca="1">IFERROR(__xludf.DUMMYFUNCTION("""COMPUTED_VALUE"""),"Fled/Apprehended")</f>
        <v>Fled/Apprehended</v>
      </c>
      <c r="G1726" s="5" t="str">
        <f ca="1">IFERROR(__xludf.DUMMYFUNCTION("""COMPUTED_VALUE"""),"No")</f>
        <v>No</v>
      </c>
      <c r="H1726" s="5" t="str">
        <f ca="1">IFERROR(__xludf.DUMMYFUNCTION("""COMPUTED_VALUE"""),"None")</f>
        <v>None</v>
      </c>
    </row>
    <row r="1727" spans="1:8">
      <c r="A1727" s="5" t="str">
        <f ca="1">IFERROR(__xludf.DUMMYFUNCTION("""COMPUTED_VALUE"""),"19940724PAMAM")</f>
        <v>19940724PAMAM</v>
      </c>
      <c r="B1727" s="5">
        <f ca="1">IFERROR(__xludf.DUMMYFUNCTION("""COMPUTED_VALUE"""),15)</f>
        <v>15</v>
      </c>
      <c r="C1727" s="5" t="str">
        <f ca="1">IFERROR(__xludf.DUMMYFUNCTION("""COMPUTED_VALUE"""),"Male")</f>
        <v>Male</v>
      </c>
      <c r="D1727" s="5"/>
      <c r="E1727" s="5" t="str">
        <f ca="1">IFERROR(__xludf.DUMMYFUNCTION("""COMPUTED_VALUE"""),"Nonstudent Using Athletic Facilities/Attending Game")</f>
        <v>Nonstudent Using Athletic Facilities/Attending Game</v>
      </c>
      <c r="F1727" s="5" t="str">
        <f ca="1">IFERROR(__xludf.DUMMYFUNCTION("""COMPUTED_VALUE"""),"Fled/Apprehended")</f>
        <v>Fled/Apprehended</v>
      </c>
      <c r="G1727" s="5" t="str">
        <f ca="1">IFERROR(__xludf.DUMMYFUNCTION("""COMPUTED_VALUE"""),"No")</f>
        <v>No</v>
      </c>
      <c r="H1727" s="5" t="str">
        <f ca="1">IFERROR(__xludf.DUMMYFUNCTION("""COMPUTED_VALUE"""),"None")</f>
        <v>None</v>
      </c>
    </row>
    <row r="1728" spans="1:8">
      <c r="A1728" s="5" t="str">
        <f ca="1">IFERROR(__xludf.DUMMYFUNCTION("""COMPUTED_VALUE"""),"19940526KYLAU")</f>
        <v>19940526KYLAU</v>
      </c>
      <c r="B1728" s="5">
        <f ca="1">IFERROR(__xludf.DUMMYFUNCTION("""COMPUTED_VALUE"""),17)</f>
        <v>17</v>
      </c>
      <c r="C1728" s="5" t="str">
        <f ca="1">IFERROR(__xludf.DUMMYFUNCTION("""COMPUTED_VALUE"""),"Male")</f>
        <v>Male</v>
      </c>
      <c r="D1728" s="5" t="str">
        <f ca="1">IFERROR(__xludf.DUMMYFUNCTION("""COMPUTED_VALUE"""),"White")</f>
        <v>White</v>
      </c>
      <c r="E1728" s="5" t="str">
        <f ca="1">IFERROR(__xludf.DUMMYFUNCTION("""COMPUTED_VALUE"""),"Student")</f>
        <v>Student</v>
      </c>
      <c r="F1728" s="5" t="str">
        <f ca="1">IFERROR(__xludf.DUMMYFUNCTION("""COMPUTED_VALUE"""),"Subdued by Students/Staff/Other")</f>
        <v>Subdued by Students/Staff/Other</v>
      </c>
      <c r="G1728" s="5" t="str">
        <f ca="1">IFERROR(__xludf.DUMMYFUNCTION("""COMPUTED_VALUE"""),"No")</f>
        <v>No</v>
      </c>
      <c r="H1728" s="5" t="str">
        <f ca="1">IFERROR(__xludf.DUMMYFUNCTION("""COMPUTED_VALUE"""),"None")</f>
        <v>None</v>
      </c>
    </row>
    <row r="1729" spans="1:8">
      <c r="A1729" s="5" t="str">
        <f ca="1">IFERROR(__xludf.DUMMYFUNCTION("""COMPUTED_VALUE"""),"19940525NJLAW")</f>
        <v>19940525NJLAW</v>
      </c>
      <c r="B1729" s="5">
        <f ca="1">IFERROR(__xludf.DUMMYFUNCTION("""COMPUTED_VALUE"""),17)</f>
        <v>17</v>
      </c>
      <c r="C1729" s="5" t="str">
        <f ca="1">IFERROR(__xludf.DUMMYFUNCTION("""COMPUTED_VALUE"""),"Female")</f>
        <v>Female</v>
      </c>
      <c r="D1729" s="5"/>
      <c r="E1729" s="5" t="str">
        <f ca="1">IFERROR(__xludf.DUMMYFUNCTION("""COMPUTED_VALUE"""),"Student")</f>
        <v>Student</v>
      </c>
      <c r="F1729" s="5" t="str">
        <f ca="1">IFERROR(__xludf.DUMMYFUNCTION("""COMPUTED_VALUE"""),"Suicide")</f>
        <v>Suicide</v>
      </c>
      <c r="G1729" s="5" t="str">
        <f ca="1">IFERROR(__xludf.DUMMYFUNCTION("""COMPUTED_VALUE"""),"Yes")</f>
        <v>Yes</v>
      </c>
      <c r="H1729" s="5" t="str">
        <f ca="1">IFERROR(__xludf.DUMMYFUNCTION("""COMPUTED_VALUE"""),"Suicide")</f>
        <v>Suicide</v>
      </c>
    </row>
    <row r="1730" spans="1:8">
      <c r="A1730" s="5" t="str">
        <f ca="1">IFERROR(__xludf.DUMMYFUNCTION("""COMPUTED_VALUE"""),"19940525INLAS")</f>
        <v>19940525INLAS</v>
      </c>
      <c r="B1730" s="5">
        <f ca="1">IFERROR(__xludf.DUMMYFUNCTION("""COMPUTED_VALUE"""),16)</f>
        <v>16</v>
      </c>
      <c r="C1730" s="5" t="str">
        <f ca="1">IFERROR(__xludf.DUMMYFUNCTION("""COMPUTED_VALUE"""),"Male")</f>
        <v>Male</v>
      </c>
      <c r="D1730" s="5"/>
      <c r="E1730" s="5" t="str">
        <f ca="1">IFERROR(__xludf.DUMMYFUNCTION("""COMPUTED_VALUE"""),"Student")</f>
        <v>Student</v>
      </c>
      <c r="F1730" s="5" t="str">
        <f ca="1">IFERROR(__xludf.DUMMYFUNCTION("""COMPUTED_VALUE"""),"Fled/Apprehended")</f>
        <v>Fled/Apprehended</v>
      </c>
      <c r="G1730" s="5" t="str">
        <f ca="1">IFERROR(__xludf.DUMMYFUNCTION("""COMPUTED_VALUE"""),"No")</f>
        <v>No</v>
      </c>
      <c r="H1730" s="5" t="str">
        <f ca="1">IFERROR(__xludf.DUMMYFUNCTION("""COMPUTED_VALUE"""),"None")</f>
        <v>None</v>
      </c>
    </row>
    <row r="1731" spans="1:8">
      <c r="A1731" s="5" t="str">
        <f ca="1">IFERROR(__xludf.DUMMYFUNCTION("""COMPUTED_VALUE"""),"19940502FLNON")</f>
        <v>19940502FLNON</v>
      </c>
      <c r="B1731" s="5">
        <f ca="1">IFERROR(__xludf.DUMMYFUNCTION("""COMPUTED_VALUE"""),18)</f>
        <v>18</v>
      </c>
      <c r="C1731" s="5" t="str">
        <f ca="1">IFERROR(__xludf.DUMMYFUNCTION("""COMPUTED_VALUE"""),"Male")</f>
        <v>Male</v>
      </c>
      <c r="D1731" s="5"/>
      <c r="E1731" s="5" t="str">
        <f ca="1">IFERROR(__xludf.DUMMYFUNCTION("""COMPUTED_VALUE"""),"Student")</f>
        <v>Student</v>
      </c>
      <c r="F1731" s="5" t="str">
        <f ca="1">IFERROR(__xludf.DUMMYFUNCTION("""COMPUTED_VALUE"""),"Unknown")</f>
        <v>Unknown</v>
      </c>
      <c r="G1731" s="5" t="str">
        <f ca="1">IFERROR(__xludf.DUMMYFUNCTION("""COMPUTED_VALUE"""),"No")</f>
        <v>No</v>
      </c>
      <c r="H1731" s="5" t="str">
        <f ca="1">IFERROR(__xludf.DUMMYFUNCTION("""COMPUTED_VALUE"""),"None")</f>
        <v>None</v>
      </c>
    </row>
    <row r="1732" spans="1:8">
      <c r="A1732" s="5" t="str">
        <f ca="1">IFERROR(__xludf.DUMMYFUNCTION("""COMPUTED_VALUE"""),"19940421TNJTN")</f>
        <v>19940421TNJTN</v>
      </c>
      <c r="B1732" s="5">
        <f ca="1">IFERROR(__xludf.DUMMYFUNCTION("""COMPUTED_VALUE"""),14)</f>
        <v>14</v>
      </c>
      <c r="C1732" s="5" t="str">
        <f ca="1">IFERROR(__xludf.DUMMYFUNCTION("""COMPUTED_VALUE"""),"Male")</f>
        <v>Male</v>
      </c>
      <c r="D1732" s="5" t="str">
        <f ca="1">IFERROR(__xludf.DUMMYFUNCTION("""COMPUTED_VALUE"""),"Black")</f>
        <v>Black</v>
      </c>
      <c r="E1732" s="5" t="str">
        <f ca="1">IFERROR(__xludf.DUMMYFUNCTION("""COMPUTED_VALUE"""),"Student")</f>
        <v>Student</v>
      </c>
      <c r="F1732" s="5" t="str">
        <f ca="1">IFERROR(__xludf.DUMMYFUNCTION("""COMPUTED_VALUE"""),"Fled/Apprehended")</f>
        <v>Fled/Apprehended</v>
      </c>
      <c r="G1732" s="5" t="str">
        <f ca="1">IFERROR(__xludf.DUMMYFUNCTION("""COMPUTED_VALUE"""),"No")</f>
        <v>No</v>
      </c>
      <c r="H1732" s="5" t="str">
        <f ca="1">IFERROR(__xludf.DUMMYFUNCTION("""COMPUTED_VALUE"""),"None")</f>
        <v>None</v>
      </c>
    </row>
    <row r="1733" spans="1:8">
      <c r="A1733" s="5" t="str">
        <f ca="1">IFERROR(__xludf.DUMMYFUNCTION("""COMPUTED_VALUE"""),"19940420INDIS")</f>
        <v>19940420INDIS</v>
      </c>
      <c r="B1733" s="5">
        <f ca="1">IFERROR(__xludf.DUMMYFUNCTION("""COMPUTED_VALUE"""),14)</f>
        <v>14</v>
      </c>
      <c r="C1733" s="5" t="str">
        <f ca="1">IFERROR(__xludf.DUMMYFUNCTION("""COMPUTED_VALUE"""),"Male")</f>
        <v>Male</v>
      </c>
      <c r="D1733" s="5"/>
      <c r="E1733" s="5" t="str">
        <f ca="1">IFERROR(__xludf.DUMMYFUNCTION("""COMPUTED_VALUE"""),"Student")</f>
        <v>Student</v>
      </c>
      <c r="F1733" s="5" t="str">
        <f ca="1">IFERROR(__xludf.DUMMYFUNCTION("""COMPUTED_VALUE"""),"Unknown")</f>
        <v>Unknown</v>
      </c>
      <c r="G1733" s="5" t="str">
        <f ca="1">IFERROR(__xludf.DUMMYFUNCTION("""COMPUTED_VALUE"""),"No")</f>
        <v>No</v>
      </c>
      <c r="H1733" s="5" t="str">
        <f ca="1">IFERROR(__xludf.DUMMYFUNCTION("""COMPUTED_VALUE"""),"None")</f>
        <v>None</v>
      </c>
    </row>
    <row r="1734" spans="1:8">
      <c r="A1734" s="5" t="str">
        <f ca="1">IFERROR(__xludf.DUMMYFUNCTION("""COMPUTED_VALUE"""),"19940419DCELW")</f>
        <v>19940419DCELW</v>
      </c>
      <c r="B1734" s="5"/>
      <c r="C1734" s="5"/>
      <c r="D1734" s="5"/>
      <c r="E1734" s="5" t="str">
        <f ca="1">IFERROR(__xludf.DUMMYFUNCTION("""COMPUTED_VALUE"""),"Unknown")</f>
        <v>Unknown</v>
      </c>
      <c r="F1734" s="5" t="str">
        <f ca="1">IFERROR(__xludf.DUMMYFUNCTION("""COMPUTED_VALUE"""),"Fled/Escaped")</f>
        <v>Fled/Escaped</v>
      </c>
      <c r="G1734" s="5" t="str">
        <f ca="1">IFERROR(__xludf.DUMMYFUNCTION("""COMPUTED_VALUE"""),"No")</f>
        <v>No</v>
      </c>
      <c r="H1734" s="5" t="str">
        <f ca="1">IFERROR(__xludf.DUMMYFUNCTION("""COMPUTED_VALUE"""),"None")</f>
        <v>None</v>
      </c>
    </row>
    <row r="1735" spans="1:8">
      <c r="A1735" s="5" t="str">
        <f ca="1">IFERROR(__xludf.DUMMYFUNCTION("""COMPUTED_VALUE"""),"19940413CA49L")</f>
        <v>19940413CA49L</v>
      </c>
      <c r="B1735" s="5">
        <f ca="1">IFERROR(__xludf.DUMMYFUNCTION("""COMPUTED_VALUE"""),10)</f>
        <v>10</v>
      </c>
      <c r="C1735" s="5" t="str">
        <f ca="1">IFERROR(__xludf.DUMMYFUNCTION("""COMPUTED_VALUE"""),"Male")</f>
        <v>Male</v>
      </c>
      <c r="D1735" s="5" t="str">
        <f ca="1">IFERROR(__xludf.DUMMYFUNCTION("""COMPUTED_VALUE"""),"White")</f>
        <v>White</v>
      </c>
      <c r="E1735" s="5" t="str">
        <f ca="1">IFERROR(__xludf.DUMMYFUNCTION("""COMPUTED_VALUE"""),"Student")</f>
        <v>Student</v>
      </c>
      <c r="F1735" s="5" t="str">
        <f ca="1">IFERROR(__xludf.DUMMYFUNCTION("""COMPUTED_VALUE"""),"Suicide")</f>
        <v>Suicide</v>
      </c>
      <c r="G1735" s="5" t="str">
        <f ca="1">IFERROR(__xludf.DUMMYFUNCTION("""COMPUTED_VALUE"""),"Yes")</f>
        <v>Yes</v>
      </c>
      <c r="H1735" s="5" t="str">
        <f ca="1">IFERROR(__xludf.DUMMYFUNCTION("""COMPUTED_VALUE"""),"Suicide")</f>
        <v>Suicide</v>
      </c>
    </row>
    <row r="1736" spans="1:8">
      <c r="A1736" s="5" t="str">
        <f ca="1">IFERROR(__xludf.DUMMYFUNCTION("""COMPUTED_VALUE"""),"19940412MTMAB")</f>
        <v>19940412MTMAB</v>
      </c>
      <c r="B1736" s="5">
        <f ca="1">IFERROR(__xludf.DUMMYFUNCTION("""COMPUTED_VALUE"""),10)</f>
        <v>10</v>
      </c>
      <c r="C1736" s="5" t="str">
        <f ca="1">IFERROR(__xludf.DUMMYFUNCTION("""COMPUTED_VALUE"""),"Male")</f>
        <v>Male</v>
      </c>
      <c r="D1736" s="5" t="str">
        <f ca="1">IFERROR(__xludf.DUMMYFUNCTION("""COMPUTED_VALUE"""),"White")</f>
        <v>White</v>
      </c>
      <c r="E1736" s="5" t="str">
        <f ca="1">IFERROR(__xludf.DUMMYFUNCTION("""COMPUTED_VALUE"""),"Student")</f>
        <v>Student</v>
      </c>
      <c r="F1736" s="5" t="str">
        <f ca="1">IFERROR(__xludf.DUMMYFUNCTION("""COMPUTED_VALUE"""),"Apprehended/Killed by LE")</f>
        <v>Apprehended/Killed by LE</v>
      </c>
      <c r="G1736" s="5" t="str">
        <f ca="1">IFERROR(__xludf.DUMMYFUNCTION("""COMPUTED_VALUE"""),"No")</f>
        <v>No</v>
      </c>
      <c r="H1736" s="5" t="str">
        <f ca="1">IFERROR(__xludf.DUMMYFUNCTION("""COMPUTED_VALUE"""),"None")</f>
        <v>None</v>
      </c>
    </row>
    <row r="1737" spans="1:8">
      <c r="A1737" s="5" t="str">
        <f ca="1">IFERROR(__xludf.DUMMYFUNCTION("""COMPUTED_VALUE"""),"19940408MDLAU")</f>
        <v>19940408MDLAU</v>
      </c>
      <c r="B1737" s="5">
        <f ca="1">IFERROR(__xludf.DUMMYFUNCTION("""COMPUTED_VALUE"""),17)</f>
        <v>17</v>
      </c>
      <c r="C1737" s="5" t="str">
        <f ca="1">IFERROR(__xludf.DUMMYFUNCTION("""COMPUTED_VALUE"""),"Male")</f>
        <v>Male</v>
      </c>
      <c r="D1737" s="5"/>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c r="A1738" s="5" t="str">
        <f ca="1">IFERROR(__xludf.DUMMYFUNCTION("""COMPUTED_VALUE"""),"19940405TXMCA")</f>
        <v>19940405TXMCA</v>
      </c>
      <c r="B1738" s="5">
        <f ca="1">IFERROR(__xludf.DUMMYFUNCTION("""COMPUTED_VALUE"""),16)</f>
        <v>16</v>
      </c>
      <c r="C1738" s="5" t="str">
        <f ca="1">IFERROR(__xludf.DUMMYFUNCTION("""COMPUTED_VALUE"""),"Male")</f>
        <v>Male</v>
      </c>
      <c r="D1738" s="5"/>
      <c r="E1738" s="5" t="str">
        <f ca="1">IFERROR(__xludf.DUMMYFUNCTION("""COMPUTED_VALUE"""),"Student")</f>
        <v>Student</v>
      </c>
      <c r="F1738" s="5" t="str">
        <f ca="1">IFERROR(__xludf.DUMMYFUNCTION("""COMPUTED_VALUE"""),"Surrendered")</f>
        <v>Surrendered</v>
      </c>
      <c r="G1738" s="5" t="str">
        <f ca="1">IFERROR(__xludf.DUMMYFUNCTION("""COMPUTED_VALUE"""),"No")</f>
        <v>No</v>
      </c>
      <c r="H1738" s="5" t="str">
        <f ca="1">IFERROR(__xludf.DUMMYFUNCTION("""COMPUTED_VALUE"""),"None")</f>
        <v>None</v>
      </c>
    </row>
    <row r="1739" spans="1:8">
      <c r="A1739" s="5" t="str">
        <f ca="1">IFERROR(__xludf.DUMMYFUNCTION("""COMPUTED_VALUE"""),"19940325GAETC")</f>
        <v>19940325GAETC</v>
      </c>
      <c r="B1739" s="5">
        <f ca="1">IFERROR(__xludf.DUMMYFUNCTION("""COMPUTED_VALUE"""),15)</f>
        <v>15</v>
      </c>
      <c r="C1739" s="5" t="str">
        <f ca="1">IFERROR(__xludf.DUMMYFUNCTION("""COMPUTED_VALUE"""),"Male")</f>
        <v>Male</v>
      </c>
      <c r="D1739" s="5"/>
      <c r="E1739" s="5" t="str">
        <f ca="1">IFERROR(__xludf.DUMMYFUNCTION("""COMPUTED_VALUE"""),"Student")</f>
        <v>Student</v>
      </c>
      <c r="F1739" s="5" t="str">
        <f ca="1">IFERROR(__xludf.DUMMYFUNCTION("""COMPUTED_VALUE"""),"Suicide")</f>
        <v>Suicide</v>
      </c>
      <c r="G1739" s="5" t="str">
        <f ca="1">IFERROR(__xludf.DUMMYFUNCTION("""COMPUTED_VALUE"""),"Yes")</f>
        <v>Yes</v>
      </c>
      <c r="H1739" s="5" t="str">
        <f ca="1">IFERROR(__xludf.DUMMYFUNCTION("""COMPUTED_VALUE"""),"Suicide")</f>
        <v>Suicide</v>
      </c>
    </row>
    <row r="1740" spans="1:8">
      <c r="A1740" s="5" t="str">
        <f ca="1">IFERROR(__xludf.DUMMYFUNCTION("""COMPUTED_VALUE"""),"19940323WABAS")</f>
        <v>19940323WABAS</v>
      </c>
      <c r="B1740" s="5">
        <f ca="1">IFERROR(__xludf.DUMMYFUNCTION("""COMPUTED_VALUE"""),16)</f>
        <v>16</v>
      </c>
      <c r="C1740" s="5" t="str">
        <f ca="1">IFERROR(__xludf.DUMMYFUNCTION("""COMPUTED_VALUE"""),"Male")</f>
        <v>Male</v>
      </c>
      <c r="D1740" s="5" t="str">
        <f ca="1">IFERROR(__xludf.DUMMYFUNCTION("""COMPUTED_VALUE"""),"Hispanic")</f>
        <v>Hispanic</v>
      </c>
      <c r="E1740" s="5" t="str">
        <f ca="1">IFERROR(__xludf.DUMMYFUNCTION("""COMPUTED_VALUE"""),"Unknown")</f>
        <v>Unknown</v>
      </c>
      <c r="F1740" s="5" t="str">
        <f ca="1">IFERROR(__xludf.DUMMYFUNCTION("""COMPUTED_VALUE"""),"Fled/Apprehended")</f>
        <v>Fled/Apprehended</v>
      </c>
      <c r="G1740" s="5" t="str">
        <f ca="1">IFERROR(__xludf.DUMMYFUNCTION("""COMPUTED_VALUE"""),"No")</f>
        <v>No</v>
      </c>
      <c r="H1740" s="5" t="str">
        <f ca="1">IFERROR(__xludf.DUMMYFUNCTION("""COMPUTED_VALUE"""),"None")</f>
        <v>None</v>
      </c>
    </row>
    <row r="1741" spans="1:8">
      <c r="A1741" s="5" t="str">
        <f ca="1">IFERROR(__xludf.DUMMYFUNCTION("""COMPUTED_VALUE"""),"19940315SCGOC")</f>
        <v>19940315SCGOC</v>
      </c>
      <c r="B1741" s="5" t="str">
        <f ca="1">IFERROR(__xludf.DUMMYFUNCTION("""COMPUTED_VALUE"""),"Teen")</f>
        <v>Teen</v>
      </c>
      <c r="C1741" s="5" t="str">
        <f ca="1">IFERROR(__xludf.DUMMYFUNCTION("""COMPUTED_VALUE"""),"Male")</f>
        <v>Male</v>
      </c>
      <c r="D1741" s="5"/>
      <c r="E1741" s="5" t="str">
        <f ca="1">IFERROR(__xludf.DUMMYFUNCTION("""COMPUTED_VALUE"""),"Student")</f>
        <v>Student</v>
      </c>
      <c r="F1741" s="5" t="str">
        <f ca="1">IFERROR(__xludf.DUMMYFUNCTION("""COMPUTED_VALUE"""),"Fled/Escaped")</f>
        <v>Fled/Escaped</v>
      </c>
      <c r="G1741" s="5" t="str">
        <f ca="1">IFERROR(__xludf.DUMMYFUNCTION("""COMPUTED_VALUE"""),"No")</f>
        <v>No</v>
      </c>
      <c r="H1741" s="5" t="str">
        <f ca="1">IFERROR(__xludf.DUMMYFUNCTION("""COMPUTED_VALUE"""),"None")</f>
        <v>None</v>
      </c>
    </row>
    <row r="1742" spans="1:8">
      <c r="A1742" s="5" t="str">
        <f ca="1">IFERROR(__xludf.DUMMYFUNCTION("""COMPUTED_VALUE"""),"19940309DCEAW")</f>
        <v>19940309DCEAW</v>
      </c>
      <c r="B1742" s="5">
        <f ca="1">IFERROR(__xludf.DUMMYFUNCTION("""COMPUTED_VALUE"""),17)</f>
        <v>17</v>
      </c>
      <c r="C1742" s="5" t="str">
        <f ca="1">IFERROR(__xludf.DUMMYFUNCTION("""COMPUTED_VALUE"""),"Male")</f>
        <v>Male</v>
      </c>
      <c r="D1742" s="5"/>
      <c r="E1742" s="5" t="str">
        <f ca="1">IFERROR(__xludf.DUMMYFUNCTION("""COMPUTED_VALUE"""),"Student")</f>
        <v>Student</v>
      </c>
      <c r="F1742" s="5" t="str">
        <f ca="1">IFERROR(__xludf.DUMMYFUNCTION("""COMPUTED_VALUE"""),"Fled/Apprehended")</f>
        <v>Fled/Apprehended</v>
      </c>
      <c r="G1742" s="5" t="str">
        <f ca="1">IFERROR(__xludf.DUMMYFUNCTION("""COMPUTED_VALUE"""),"No")</f>
        <v>No</v>
      </c>
      <c r="H1742" s="5" t="str">
        <f ca="1">IFERROR(__xludf.DUMMYFUNCTION("""COMPUTED_VALUE"""),"None")</f>
        <v>None</v>
      </c>
    </row>
    <row r="1743" spans="1:8">
      <c r="A1743" s="5" t="str">
        <f ca="1">IFERROR(__xludf.DUMMYFUNCTION("""COMPUTED_VALUE"""),"19940303ALENB")</f>
        <v>19940303ALENB</v>
      </c>
      <c r="B1743" s="5">
        <f ca="1">IFERROR(__xludf.DUMMYFUNCTION("""COMPUTED_VALUE"""),17)</f>
        <v>17</v>
      </c>
      <c r="C1743" s="5" t="str">
        <f ca="1">IFERROR(__xludf.DUMMYFUNCTION("""COMPUTED_VALUE"""),"Male")</f>
        <v>Male</v>
      </c>
      <c r="D1743" s="5"/>
      <c r="E1743" s="5" t="str">
        <f ca="1">IFERROR(__xludf.DUMMYFUNCTION("""COMPUTED_VALUE"""),"Student")</f>
        <v>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c r="A1744" s="5" t="str">
        <f ca="1">IFERROR(__xludf.DUMMYFUNCTION("""COMPUTED_VALUE"""),"19940301MOKEB")</f>
        <v>19940301MOKEB</v>
      </c>
      <c r="B1744" s="5">
        <f ca="1">IFERROR(__xludf.DUMMYFUNCTION("""COMPUTED_VALUE"""),33)</f>
        <v>33</v>
      </c>
      <c r="C1744" s="5" t="str">
        <f ca="1">IFERROR(__xludf.DUMMYFUNCTION("""COMPUTED_VALUE"""),"Male")</f>
        <v>Male</v>
      </c>
      <c r="D1744" s="5" t="str">
        <f ca="1">IFERROR(__xludf.DUMMYFUNCTION("""COMPUTED_VALUE"""),"Black")</f>
        <v>Black</v>
      </c>
      <c r="E1744" s="5" t="str">
        <f ca="1">IFERROR(__xludf.DUMMYFUNCTION("""COMPUTED_VALUE"""),"Intimate Relationship")</f>
        <v>Intimate Relationship</v>
      </c>
      <c r="F1744" s="5" t="str">
        <f ca="1">IFERROR(__xludf.DUMMYFUNCTION("""COMPUTED_VALUE"""),"Surrendered")</f>
        <v>Surrendered</v>
      </c>
      <c r="G1744" s="5" t="str">
        <f ca="1">IFERROR(__xludf.DUMMYFUNCTION("""COMPUTED_VALUE"""),"No")</f>
        <v>No</v>
      </c>
      <c r="H1744" s="5" t="str">
        <f ca="1">IFERROR(__xludf.DUMMYFUNCTION("""COMPUTED_VALUE"""),"None")</f>
        <v>None</v>
      </c>
    </row>
    <row r="1745" spans="1:8">
      <c r="A1745" s="5" t="str">
        <f ca="1">IFERROR(__xludf.DUMMYFUNCTION("""COMPUTED_VALUE"""),"19940218SCSPS")</f>
        <v>19940218SCSPS</v>
      </c>
      <c r="B1745" s="5" t="str">
        <f ca="1">IFERROR(__xludf.DUMMYFUNCTION("""COMPUTED_VALUE"""),"Adult")</f>
        <v>Adult</v>
      </c>
      <c r="C1745" s="5" t="str">
        <f ca="1">IFERROR(__xludf.DUMMYFUNCTION("""COMPUTED_VALUE"""),"Male")</f>
        <v>Male</v>
      </c>
      <c r="D1745" s="5"/>
      <c r="E1745" s="5" t="str">
        <f ca="1">IFERROR(__xludf.DUMMYFUNCTION("""COMPUTED_VALUE"""),"Unknown")</f>
        <v>Unknown</v>
      </c>
      <c r="F1745" s="5" t="str">
        <f ca="1">IFERROR(__xludf.DUMMYFUNCTION("""COMPUTED_VALUE"""),"Fled/Apprehended")</f>
        <v>Fled/Apprehended</v>
      </c>
      <c r="G1745" s="5" t="str">
        <f ca="1">IFERROR(__xludf.DUMMYFUNCTION("""COMPUTED_VALUE"""),"No")</f>
        <v>No</v>
      </c>
      <c r="H1745" s="5" t="str">
        <f ca="1">IFERROR(__xludf.DUMMYFUNCTION("""COMPUTED_VALUE"""),"None")</f>
        <v>None</v>
      </c>
    </row>
    <row r="1746" spans="1:8">
      <c r="A1746" s="5" t="str">
        <f ca="1">IFERROR(__xludf.DUMMYFUNCTION("""COMPUTED_VALUE"""),"19940208MIOSD")</f>
        <v>19940208MIOSD</v>
      </c>
      <c r="B1746" s="5"/>
      <c r="C1746" s="5"/>
      <c r="D1746" s="5"/>
      <c r="E1746" s="5" t="str">
        <f ca="1">IFERROR(__xludf.DUMMYFUNCTION("""COMPUTED_VALUE"""),"Unknown")</f>
        <v>Unknown</v>
      </c>
      <c r="F1746" s="5" t="str">
        <f ca="1">IFERROR(__xludf.DUMMYFUNCTION("""COMPUTED_VALUE"""),"Fled/Escaped")</f>
        <v>Fled/Escaped</v>
      </c>
      <c r="G1746" s="5" t="str">
        <f ca="1">IFERROR(__xludf.DUMMYFUNCTION("""COMPUTED_VALUE"""),"No")</f>
        <v>No</v>
      </c>
      <c r="H1746" s="5" t="str">
        <f ca="1">IFERROR(__xludf.DUMMYFUNCTION("""COMPUTED_VALUE"""),"None")</f>
        <v>None</v>
      </c>
    </row>
    <row r="1747" spans="1:8">
      <c r="A1747" s="5" t="str">
        <f ca="1">IFERROR(__xludf.DUMMYFUNCTION("""COMPUTED_VALUE"""),"19940131WAWHS")</f>
        <v>19940131WAWHS</v>
      </c>
      <c r="B1747" s="5">
        <f ca="1">IFERROR(__xludf.DUMMYFUNCTION("""COMPUTED_VALUE"""),24)</f>
        <v>24</v>
      </c>
      <c r="C1747" s="5" t="str">
        <f ca="1">IFERROR(__xludf.DUMMYFUNCTION("""COMPUTED_VALUE"""),"Male")</f>
        <v>Male</v>
      </c>
      <c r="D1747" s="5" t="str">
        <f ca="1">IFERROR(__xludf.DUMMYFUNCTION("""COMPUTED_VALUE"""),"White")</f>
        <v>White</v>
      </c>
      <c r="E1747" s="5" t="str">
        <f ca="1">IFERROR(__xludf.DUMMYFUNCTION("""COMPUTED_VALUE"""),"Former Student")</f>
        <v>Former Student</v>
      </c>
      <c r="F1747" s="5" t="str">
        <f ca="1">IFERROR(__xludf.DUMMYFUNCTION("""COMPUTED_VALUE"""),"Fled/Apprehended")</f>
        <v>Fled/Apprehended</v>
      </c>
      <c r="G1747" s="5" t="str">
        <f ca="1">IFERROR(__xludf.DUMMYFUNCTION("""COMPUTED_VALUE"""),"No")</f>
        <v>No</v>
      </c>
      <c r="H1747" s="5" t="str">
        <f ca="1">IFERROR(__xludf.DUMMYFUNCTION("""COMPUTED_VALUE"""),"None")</f>
        <v>None</v>
      </c>
    </row>
    <row r="1748" spans="1:8">
      <c r="A1748" s="5" t="str">
        <f ca="1">IFERROR(__xludf.DUMMYFUNCTION("""COMPUTED_VALUE"""),"19940127CAWAS")</f>
        <v>19940127CAWAS</v>
      </c>
      <c r="B1748" s="5" t="str">
        <f ca="1">IFERROR(__xludf.DUMMYFUNCTION("""COMPUTED_VALUE"""),"Adult")</f>
        <v>Adult</v>
      </c>
      <c r="C1748" s="5" t="str">
        <f ca="1">IFERROR(__xludf.DUMMYFUNCTION("""COMPUTED_VALUE"""),"Male")</f>
        <v>Male</v>
      </c>
      <c r="D1748" s="5" t="str">
        <f ca="1">IFERROR(__xludf.DUMMYFUNCTION("""COMPUTED_VALUE"""),"N/A")</f>
        <v>N/A</v>
      </c>
      <c r="E1748" s="5" t="str">
        <f ca="1">IFERROR(__xludf.DUMMYFUNCTION("""COMPUTED_VALUE"""),"No Relation")</f>
        <v>No Relation</v>
      </c>
      <c r="F1748" s="5" t="str">
        <f ca="1">IFERROR(__xludf.DUMMYFUNCTION("""COMPUTED_VALUE"""),"Fled/Apprehended")</f>
        <v>Fled/Apprehended</v>
      </c>
      <c r="G1748" s="5" t="str">
        <f ca="1">IFERROR(__xludf.DUMMYFUNCTION("""COMPUTED_VALUE"""),"No")</f>
        <v>No</v>
      </c>
      <c r="H1748" s="5" t="str">
        <f ca="1">IFERROR(__xludf.DUMMYFUNCTION("""COMPUTED_VALUE"""),"None")</f>
        <v>None</v>
      </c>
    </row>
    <row r="1749" spans="1:8">
      <c r="A1749" s="5" t="str">
        <f ca="1">IFERROR(__xludf.DUMMYFUNCTION("""COMPUTED_VALUE"""),"19940126DCPAW")</f>
        <v>19940126DCPAW</v>
      </c>
      <c r="B1749" s="5" t="str">
        <f ca="1">IFERROR(__xludf.DUMMYFUNCTION("""COMPUTED_VALUE"""),"Teen")</f>
        <v>Teen</v>
      </c>
      <c r="C1749" s="5" t="str">
        <f ca="1">IFERROR(__xludf.DUMMYFUNCTION("""COMPUTED_VALUE"""),"Male")</f>
        <v>Male</v>
      </c>
      <c r="D1749" s="5"/>
      <c r="E1749" s="5" t="str">
        <f ca="1">IFERROR(__xludf.DUMMYFUNCTION("""COMPUTED_VALUE"""),"Unknown")</f>
        <v>Unknown</v>
      </c>
      <c r="F1749" s="5" t="str">
        <f ca="1">IFERROR(__xludf.DUMMYFUNCTION("""COMPUTED_VALUE"""),"Fled/Apprehended")</f>
        <v>Fled/Apprehended</v>
      </c>
      <c r="G1749" s="5" t="str">
        <f ca="1">IFERROR(__xludf.DUMMYFUNCTION("""COMPUTED_VALUE"""),"No")</f>
        <v>No</v>
      </c>
      <c r="H1749" s="5" t="str">
        <f ca="1">IFERROR(__xludf.DUMMYFUNCTION("""COMPUTED_VALUE"""),"None")</f>
        <v>None</v>
      </c>
    </row>
    <row r="1750" spans="1:8">
      <c r="A1750" s="5" t="str">
        <f ca="1">IFERROR(__xludf.DUMMYFUNCTION("""COMPUTED_VALUE"""),"19940126DCELW")</f>
        <v>19940126DCELW</v>
      </c>
      <c r="B1750" s="5"/>
      <c r="C1750" s="5"/>
      <c r="D1750" s="5"/>
      <c r="E1750" s="5" t="str">
        <f ca="1">IFERROR(__xludf.DUMMYFUNCTION("""COMPUTED_VALUE"""),"Unknown")</f>
        <v>Unknown</v>
      </c>
      <c r="F1750" s="5" t="str">
        <f ca="1">IFERROR(__xludf.DUMMYFUNCTION("""COMPUTED_VALUE"""),"Fled/Escaped")</f>
        <v>Fled/Escaped</v>
      </c>
      <c r="G1750" s="5" t="str">
        <f ca="1">IFERROR(__xludf.DUMMYFUNCTION("""COMPUTED_VALUE"""),"No")</f>
        <v>No</v>
      </c>
      <c r="H1750" s="5" t="str">
        <f ca="1">IFERROR(__xludf.DUMMYFUNCTION("""COMPUTED_VALUE"""),"None")</f>
        <v>None</v>
      </c>
    </row>
    <row r="1751" spans="1:8">
      <c r="A1751" s="5" t="str">
        <f ca="1">IFERROR(__xludf.DUMMYFUNCTION("""COMPUTED_VALUE"""),"19940124SCEAC")</f>
        <v>19940124SCEAC</v>
      </c>
      <c r="B1751" s="5">
        <f ca="1">IFERROR(__xludf.DUMMYFUNCTION("""COMPUTED_VALUE"""),18)</f>
        <v>18</v>
      </c>
      <c r="C1751" s="5" t="str">
        <f ca="1">IFERROR(__xludf.DUMMYFUNCTION("""COMPUTED_VALUE"""),"Male")</f>
        <v>Male</v>
      </c>
      <c r="D1751" s="5" t="str">
        <f ca="1">IFERROR(__xludf.DUMMYFUNCTION("""COMPUTED_VALUE"""),"Black")</f>
        <v>Black</v>
      </c>
      <c r="E1751" s="5" t="str">
        <f ca="1">IFERROR(__xludf.DUMMYFUNCTION("""COMPUTED_VALUE"""),"Student")</f>
        <v>Student</v>
      </c>
      <c r="F1751" s="5" t="str">
        <f ca="1">IFERROR(__xludf.DUMMYFUNCTION("""COMPUTED_VALUE"""),"Fled/Apprehended")</f>
        <v>Fled/Apprehended</v>
      </c>
      <c r="G1751" s="5" t="str">
        <f ca="1">IFERROR(__xludf.DUMMYFUNCTION("""COMPUTED_VALUE"""),"No")</f>
        <v>No</v>
      </c>
      <c r="H1751" s="5" t="str">
        <f ca="1">IFERROR(__xludf.DUMMYFUNCTION("""COMPUTED_VALUE"""),"None")</f>
        <v>None</v>
      </c>
    </row>
    <row r="1752" spans="1:8">
      <c r="A1752" s="5" t="str">
        <f ca="1">IFERROR(__xludf.DUMMYFUNCTION("""COMPUTED_VALUE"""),"19940121TXKEK")</f>
        <v>19940121TXKEK</v>
      </c>
      <c r="B1752" s="5">
        <f ca="1">IFERROR(__xludf.DUMMYFUNCTION("""COMPUTED_VALUE"""),17)</f>
        <v>17</v>
      </c>
      <c r="C1752" s="5" t="str">
        <f ca="1">IFERROR(__xludf.DUMMYFUNCTION("""COMPUTED_VALUE"""),"Male")</f>
        <v>Male</v>
      </c>
      <c r="D1752" s="5"/>
      <c r="E1752" s="5" t="str">
        <f ca="1">IFERROR(__xludf.DUMMYFUNCTION("""COMPUTED_VALUE"""),"Student")</f>
        <v>Student</v>
      </c>
      <c r="F1752" s="5" t="str">
        <f ca="1">IFERROR(__xludf.DUMMYFUNCTION("""COMPUTED_VALUE"""),"Suicide")</f>
        <v>Suicide</v>
      </c>
      <c r="G1752" s="5" t="str">
        <f ca="1">IFERROR(__xludf.DUMMYFUNCTION("""COMPUTED_VALUE"""),"Yes")</f>
        <v>Yes</v>
      </c>
      <c r="H1752" s="5" t="str">
        <f ca="1">IFERROR(__xludf.DUMMYFUNCTION("""COMPUTED_VALUE"""),"Suicide")</f>
        <v>Suicide</v>
      </c>
    </row>
    <row r="1753" spans="1:8">
      <c r="A1753" s="5" t="str">
        <f ca="1">IFERROR(__xludf.DUMMYFUNCTION("""COMPUTED_VALUE"""),"19940120CALOH")</f>
        <v>19940120CALOH</v>
      </c>
      <c r="B1753" s="5" t="str">
        <f ca="1">IFERROR(__xludf.DUMMYFUNCTION("""COMPUTED_VALUE"""),"Teen")</f>
        <v>Teen</v>
      </c>
      <c r="C1753" s="5" t="str">
        <f ca="1">IFERROR(__xludf.DUMMYFUNCTION("""COMPUTED_VALUE"""),"Male")</f>
        <v>Male</v>
      </c>
      <c r="D1753" s="5"/>
      <c r="E1753" s="5" t="str">
        <f ca="1">IFERROR(__xludf.DUMMYFUNCTION("""COMPUTED_VALUE"""),"Student")</f>
        <v>Student</v>
      </c>
      <c r="F1753" s="5" t="str">
        <f ca="1">IFERROR(__xludf.DUMMYFUNCTION("""COMPUTED_VALUE"""),"Fled/Escaped")</f>
        <v>Fled/Escaped</v>
      </c>
      <c r="G1753" s="5" t="str">
        <f ca="1">IFERROR(__xludf.DUMMYFUNCTION("""COMPUTED_VALUE"""),"No")</f>
        <v>No</v>
      </c>
      <c r="H1753" s="5" t="str">
        <f ca="1">IFERROR(__xludf.DUMMYFUNCTION("""COMPUTED_VALUE"""),"None")</f>
        <v>None</v>
      </c>
    </row>
    <row r="1754" spans="1:8">
      <c r="A1754" s="5" t="str">
        <f ca="1">IFERROR(__xludf.DUMMYFUNCTION("""COMPUTED_VALUE"""),"19931217MICHC")</f>
        <v>19931217MICHC</v>
      </c>
      <c r="B1754" s="5" t="str">
        <f ca="1">IFERROR(__xludf.DUMMYFUNCTION("""COMPUTED_VALUE"""),"Teen")</f>
        <v>Teen</v>
      </c>
      <c r="C1754" s="5" t="str">
        <f ca="1">IFERROR(__xludf.DUMMYFUNCTION("""COMPUTED_VALUE"""),"Male")</f>
        <v>Male</v>
      </c>
      <c r="D1754" s="5"/>
      <c r="E1754" s="5" t="str">
        <f ca="1">IFERROR(__xludf.DUMMYFUNCTION("""COMPUTED_VALUE"""),"Teacher")</f>
        <v>Teacher</v>
      </c>
      <c r="F1754" s="5" t="str">
        <f ca="1">IFERROR(__xludf.DUMMYFUNCTION("""COMPUTED_VALUE"""),"Surrendered")</f>
        <v>Surrendered</v>
      </c>
      <c r="G1754" s="5" t="str">
        <f ca="1">IFERROR(__xludf.DUMMYFUNCTION("""COMPUTED_VALUE"""),"No")</f>
        <v>No</v>
      </c>
      <c r="H1754" s="5" t="str">
        <f ca="1">IFERROR(__xludf.DUMMYFUNCTION("""COMPUTED_VALUE"""),"None")</f>
        <v>None</v>
      </c>
    </row>
    <row r="1755" spans="1:8">
      <c r="A1755" s="5" t="str">
        <f ca="1">IFERROR(__xludf.DUMMYFUNCTION("""COMPUTED_VALUE"""),"19931215CACHS")</f>
        <v>19931215CACHS</v>
      </c>
      <c r="B1755" s="5">
        <f ca="1">IFERROR(__xludf.DUMMYFUNCTION("""COMPUTED_VALUE"""),14)</f>
        <v>14</v>
      </c>
      <c r="C1755" s="5" t="str">
        <f ca="1">IFERROR(__xludf.DUMMYFUNCTION("""COMPUTED_VALUE"""),"Male")</f>
        <v>Male</v>
      </c>
      <c r="D1755" s="5"/>
      <c r="E1755" s="5" t="str">
        <f ca="1">IFERROR(__xludf.DUMMYFUNCTION("""COMPUTED_VALUE"""),"Student")</f>
        <v>Student</v>
      </c>
      <c r="F1755" s="5" t="str">
        <f ca="1">IFERROR(__xludf.DUMMYFUNCTION("""COMPUTED_VALUE"""),"Fled/Apprehended")</f>
        <v>Fled/Apprehended</v>
      </c>
      <c r="G1755" s="5" t="str">
        <f ca="1">IFERROR(__xludf.DUMMYFUNCTION("""COMPUTED_VALUE"""),"No")</f>
        <v>No</v>
      </c>
      <c r="H1755" s="5" t="str">
        <f ca="1">IFERROR(__xludf.DUMMYFUNCTION("""COMPUTED_VALUE"""),"None")</f>
        <v>None</v>
      </c>
    </row>
    <row r="1756" spans="1:8">
      <c r="A1756" s="5" t="str">
        <f ca="1">IFERROR(__xludf.DUMMYFUNCTION("""COMPUTED_VALUE"""),"19931208GABES")</f>
        <v>19931208GABES</v>
      </c>
      <c r="B1756" s="5">
        <f ca="1">IFERROR(__xludf.DUMMYFUNCTION("""COMPUTED_VALUE"""),16)</f>
        <v>16</v>
      </c>
      <c r="C1756" s="5" t="str">
        <f ca="1">IFERROR(__xludf.DUMMYFUNCTION("""COMPUTED_VALUE"""),"Male")</f>
        <v>Male</v>
      </c>
      <c r="D1756" s="5"/>
      <c r="E1756" s="5" t="str">
        <f ca="1">IFERROR(__xludf.DUMMYFUNCTION("""COMPUTED_VALUE"""),"Nonstudent")</f>
        <v>Nonstudent</v>
      </c>
      <c r="F1756" s="5" t="str">
        <f ca="1">IFERROR(__xludf.DUMMYFUNCTION("""COMPUTED_VALUE"""),"Fled/Apprehended")</f>
        <v>Fled/Apprehended</v>
      </c>
      <c r="G1756" s="5" t="str">
        <f ca="1">IFERROR(__xludf.DUMMYFUNCTION("""COMPUTED_VALUE"""),"No")</f>
        <v>No</v>
      </c>
      <c r="H1756" s="5" t="str">
        <f ca="1">IFERROR(__xludf.DUMMYFUNCTION("""COMPUTED_VALUE"""),"None")</f>
        <v>None</v>
      </c>
    </row>
    <row r="1757" spans="1:8">
      <c r="A1757" s="5" t="str">
        <f ca="1">IFERROR(__xludf.DUMMYFUNCTION("""COMPUTED_VALUE"""),"19931202CTNEN")</f>
        <v>19931202CTNEN</v>
      </c>
      <c r="B1757" s="5"/>
      <c r="C1757" s="5" t="str">
        <f ca="1">IFERROR(__xludf.DUMMYFUNCTION("""COMPUTED_VALUE"""),"Male")</f>
        <v>Male</v>
      </c>
      <c r="D1757" s="5"/>
      <c r="E1757" s="5" t="str">
        <f ca="1">IFERROR(__xludf.DUMMYFUNCTION("""COMPUTED_VALUE"""),"Unknown")</f>
        <v>Unknown</v>
      </c>
      <c r="F1757" s="5" t="str">
        <f ca="1">IFERROR(__xludf.DUMMYFUNCTION("""COMPUTED_VALUE"""),"Fled/Escaped")</f>
        <v>Fled/Escaped</v>
      </c>
      <c r="G1757" s="5" t="str">
        <f ca="1">IFERROR(__xludf.DUMMYFUNCTION("""COMPUTED_VALUE"""),"No")</f>
        <v>No</v>
      </c>
      <c r="H1757" s="5" t="str">
        <f ca="1">IFERROR(__xludf.DUMMYFUNCTION("""COMPUTED_VALUE"""),"None")</f>
        <v>None</v>
      </c>
    </row>
    <row r="1758" spans="1:8">
      <c r="A1758" s="5" t="str">
        <f ca="1">IFERROR(__xludf.DUMMYFUNCTION("""COMPUTED_VALUE"""),"19931201WIWAW")</f>
        <v>19931201WIWAW</v>
      </c>
      <c r="B1758" s="5">
        <f ca="1">IFERROR(__xludf.DUMMYFUNCTION("""COMPUTED_VALUE"""),21)</f>
        <v>21</v>
      </c>
      <c r="C1758" s="5" t="str">
        <f ca="1">IFERROR(__xludf.DUMMYFUNCTION("""COMPUTED_VALUE"""),"Male")</f>
        <v>Male</v>
      </c>
      <c r="D1758" s="5" t="str">
        <f ca="1">IFERROR(__xludf.DUMMYFUNCTION("""COMPUTED_VALUE"""),"White")</f>
        <v>White</v>
      </c>
      <c r="E1758" s="5" t="str">
        <f ca="1">IFERROR(__xludf.DUMMYFUNCTION("""COMPUTED_VALUE"""),"Former Student")</f>
        <v>Former Student</v>
      </c>
      <c r="F1758" s="5" t="str">
        <f ca="1">IFERROR(__xludf.DUMMYFUNCTION("""COMPUTED_VALUE"""),"Fled/Apprehended")</f>
        <v>Fled/Apprehended</v>
      </c>
      <c r="G1758" s="5" t="str">
        <f ca="1">IFERROR(__xludf.DUMMYFUNCTION("""COMPUTED_VALUE"""),"No")</f>
        <v>No</v>
      </c>
      <c r="H1758" s="5" t="str">
        <f ca="1">IFERROR(__xludf.DUMMYFUNCTION("""COMPUTED_VALUE"""),"None")</f>
        <v>None</v>
      </c>
    </row>
    <row r="1759" spans="1:8">
      <c r="A1759" s="5" t="str">
        <f ca="1">IFERROR(__xludf.DUMMYFUNCTION("""COMPUTED_VALUE"""),"19931111ILRIS")</f>
        <v>19931111ILRIS</v>
      </c>
      <c r="B1759" s="5"/>
      <c r="C1759" s="5"/>
      <c r="D1759" s="5"/>
      <c r="E1759" s="5" t="str">
        <f ca="1">IFERROR(__xludf.DUMMYFUNCTION("""COMPUTED_VALUE"""),"Unknown")</f>
        <v>Unknown</v>
      </c>
      <c r="F1759" s="5" t="str">
        <f ca="1">IFERROR(__xludf.DUMMYFUNCTION("""COMPUTED_VALUE"""),"Fled/Escaped")</f>
        <v>Fled/Escaped</v>
      </c>
      <c r="G1759" s="5" t="str">
        <f ca="1">IFERROR(__xludf.DUMMYFUNCTION("""COMPUTED_VALUE"""),"No")</f>
        <v>No</v>
      </c>
      <c r="H1759" s="5" t="str">
        <f ca="1">IFERROR(__xludf.DUMMYFUNCTION("""COMPUTED_VALUE"""),"None")</f>
        <v>None</v>
      </c>
    </row>
    <row r="1760" spans="1:8">
      <c r="A1760" s="5" t="str">
        <f ca="1">IFERROR(__xludf.DUMMYFUNCTION("""COMPUTED_VALUE"""),"19931104MSBAB")</f>
        <v>19931104MSBAB</v>
      </c>
      <c r="B1760" s="5"/>
      <c r="C1760" s="5"/>
      <c r="D1760" s="5"/>
      <c r="E1760" s="5" t="str">
        <f ca="1">IFERROR(__xludf.DUMMYFUNCTION("""COMPUTED_VALUE"""),"Unknown")</f>
        <v>Unknown</v>
      </c>
      <c r="F1760" s="5" t="str">
        <f ca="1">IFERROR(__xludf.DUMMYFUNCTION("""COMPUTED_VALUE"""),"Fled/Escaped")</f>
        <v>Fled/Escaped</v>
      </c>
      <c r="G1760" s="5" t="str">
        <f ca="1">IFERROR(__xludf.DUMMYFUNCTION("""COMPUTED_VALUE"""),"No")</f>
        <v>No</v>
      </c>
      <c r="H1760" s="5" t="str">
        <f ca="1">IFERROR(__xludf.DUMMYFUNCTION("""COMPUTED_VALUE"""),"None")</f>
        <v>None</v>
      </c>
    </row>
    <row r="1761" spans="1:8">
      <c r="A1761" s="5" t="str">
        <f ca="1">IFERROR(__xludf.DUMMYFUNCTION("""COMPUTED_VALUE"""),"19931104FLTEJ")</f>
        <v>19931104FLTEJ</v>
      </c>
      <c r="B1761" s="5">
        <f ca="1">IFERROR(__xludf.DUMMYFUNCTION("""COMPUTED_VALUE"""),19)</f>
        <v>19</v>
      </c>
      <c r="C1761" s="5" t="str">
        <f ca="1">IFERROR(__xludf.DUMMYFUNCTION("""COMPUTED_VALUE"""),"Male")</f>
        <v>Male</v>
      </c>
      <c r="D1761" s="5"/>
      <c r="E1761" s="5" t="str">
        <f ca="1">IFERROR(__xludf.DUMMYFUNCTION("""COMPUTED_VALUE"""),"Student")</f>
        <v>Student</v>
      </c>
      <c r="F1761" s="5" t="str">
        <f ca="1">IFERROR(__xludf.DUMMYFUNCTION("""COMPUTED_VALUE"""),"Fled/Apprehended")</f>
        <v>Fled/Apprehended</v>
      </c>
      <c r="G1761" s="5" t="str">
        <f ca="1">IFERROR(__xludf.DUMMYFUNCTION("""COMPUTED_VALUE"""),"No")</f>
        <v>No</v>
      </c>
      <c r="H1761" s="5" t="str">
        <f ca="1">IFERROR(__xludf.DUMMYFUNCTION("""COMPUTED_VALUE"""),"None")</f>
        <v>None</v>
      </c>
    </row>
    <row r="1762" spans="1:8">
      <c r="A1762" s="5" t="str">
        <f ca="1">IFERROR(__xludf.DUMMYFUNCTION("""COMPUTED_VALUE"""),"19931104CTNEN")</f>
        <v>19931104CTNEN</v>
      </c>
      <c r="B1762" s="5">
        <f ca="1">IFERROR(__xludf.DUMMYFUNCTION("""COMPUTED_VALUE"""),20)</f>
        <v>20</v>
      </c>
      <c r="C1762" s="5" t="str">
        <f ca="1">IFERROR(__xludf.DUMMYFUNCTION("""COMPUTED_VALUE"""),"Male")</f>
        <v>Male</v>
      </c>
      <c r="D1762" s="5" t="str">
        <f ca="1">IFERROR(__xludf.DUMMYFUNCTION("""COMPUTED_VALUE"""),"Hispanic")</f>
        <v>Hispanic</v>
      </c>
      <c r="E1762" s="5" t="str">
        <f ca="1">IFERROR(__xludf.DUMMYFUNCTION("""COMPUTED_VALUE"""),"Unknown")</f>
        <v>Unknown</v>
      </c>
      <c r="F1762" s="5" t="str">
        <f ca="1">IFERROR(__xludf.DUMMYFUNCTION("""COMPUTED_VALUE"""),"Fled/Apprehended")</f>
        <v>Fled/Apprehended</v>
      </c>
      <c r="G1762" s="5" t="str">
        <f ca="1">IFERROR(__xludf.DUMMYFUNCTION("""COMPUTED_VALUE"""),"No")</f>
        <v>No</v>
      </c>
      <c r="H1762" s="5" t="str">
        <f ca="1">IFERROR(__xludf.DUMMYFUNCTION("""COMPUTED_VALUE"""),"None")</f>
        <v>None</v>
      </c>
    </row>
    <row r="1763" spans="1:8">
      <c r="A1763" s="5" t="str">
        <f ca="1">IFERROR(__xludf.DUMMYFUNCTION("""COMPUTED_VALUE"""),"19931101ILSUC")</f>
        <v>19931101ILSUC</v>
      </c>
      <c r="B1763" s="5">
        <f ca="1">IFERROR(__xludf.DUMMYFUNCTION("""COMPUTED_VALUE"""),16)</f>
        <v>16</v>
      </c>
      <c r="C1763" s="5" t="str">
        <f ca="1">IFERROR(__xludf.DUMMYFUNCTION("""COMPUTED_VALUE"""),"Male")</f>
        <v>Male</v>
      </c>
      <c r="D1763" s="5"/>
      <c r="E1763" s="5" t="str">
        <f ca="1">IFERROR(__xludf.DUMMYFUNCTION("""COMPUTED_VALUE"""),"Student")</f>
        <v>Student</v>
      </c>
      <c r="F1763" s="5" t="str">
        <f ca="1">IFERROR(__xludf.DUMMYFUNCTION("""COMPUTED_VALUE"""),"Fled/Apprehended")</f>
        <v>Fled/Apprehended</v>
      </c>
      <c r="G1763" s="5" t="str">
        <f ca="1">IFERROR(__xludf.DUMMYFUNCTION("""COMPUTED_VALUE"""),"No")</f>
        <v>No</v>
      </c>
      <c r="H1763" s="5" t="str">
        <f ca="1">IFERROR(__xludf.DUMMYFUNCTION("""COMPUTED_VALUE"""),"None")</f>
        <v>None</v>
      </c>
    </row>
    <row r="1764" spans="1:8">
      <c r="A1764" s="5" t="str">
        <f ca="1">IFERROR(__xludf.DUMMYFUNCTION("""COMPUTED_VALUE"""),"19931018DCJHW")</f>
        <v>19931018DCJHW</v>
      </c>
      <c r="B1764" s="5">
        <f ca="1">IFERROR(__xludf.DUMMYFUNCTION("""COMPUTED_VALUE"""),15)</f>
        <v>15</v>
      </c>
      <c r="C1764" s="5" t="str">
        <f ca="1">IFERROR(__xludf.DUMMYFUNCTION("""COMPUTED_VALUE"""),"Male")</f>
        <v>Male</v>
      </c>
      <c r="D1764" s="5"/>
      <c r="E1764" s="5" t="str">
        <f ca="1">IFERROR(__xludf.DUMMYFUNCTION("""COMPUTED_VALUE"""),"Student")</f>
        <v>Student</v>
      </c>
      <c r="F1764" s="5" t="str">
        <f ca="1">IFERROR(__xludf.DUMMYFUNCTION("""COMPUTED_VALUE"""),"Fled/Apprehended")</f>
        <v>Fled/Apprehended</v>
      </c>
      <c r="G1764" s="5" t="str">
        <f ca="1">IFERROR(__xludf.DUMMYFUNCTION("""COMPUTED_VALUE"""),"No")</f>
        <v>No</v>
      </c>
      <c r="H1764" s="5" t="str">
        <f ca="1">IFERROR(__xludf.DUMMYFUNCTION("""COMPUTED_VALUE"""),"None")</f>
        <v>None</v>
      </c>
    </row>
    <row r="1765" spans="1:8">
      <c r="A1765" s="5" t="str">
        <f ca="1">IFERROR(__xludf.DUMMYFUNCTION("""COMPUTED_VALUE"""),"19931012DEDON")</f>
        <v>19931012DEDON</v>
      </c>
      <c r="B1765" s="5">
        <f ca="1">IFERROR(__xludf.DUMMYFUNCTION("""COMPUTED_VALUE"""),16)</f>
        <v>16</v>
      </c>
      <c r="C1765" s="5" t="str">
        <f ca="1">IFERROR(__xludf.DUMMYFUNCTION("""COMPUTED_VALUE"""),"Female")</f>
        <v>Female</v>
      </c>
      <c r="D1765" s="5"/>
      <c r="E1765" s="5" t="str">
        <f ca="1">IFERROR(__xludf.DUMMYFUNCTION("""COMPUTED_VALUE"""),"Student")</f>
        <v>Student</v>
      </c>
      <c r="F1765" s="5" t="str">
        <f ca="1">IFERROR(__xludf.DUMMYFUNCTION("""COMPUTED_VALUE"""),"Suicide")</f>
        <v>Suicide</v>
      </c>
      <c r="G1765" s="5" t="str">
        <f ca="1">IFERROR(__xludf.DUMMYFUNCTION("""COMPUTED_VALUE"""),"Yes")</f>
        <v>Yes</v>
      </c>
      <c r="H1765" s="5" t="str">
        <f ca="1">IFERROR(__xludf.DUMMYFUNCTION("""COMPUTED_VALUE"""),"Suicide")</f>
        <v>Suicide</v>
      </c>
    </row>
    <row r="1766" spans="1:8">
      <c r="A1766" s="5" t="str">
        <f ca="1">IFERROR(__xludf.DUMMYFUNCTION("""COMPUTED_VALUE"""),"19930928MSCOG")</f>
        <v>19930928MSCOG</v>
      </c>
      <c r="B1766" s="5">
        <f ca="1">IFERROR(__xludf.DUMMYFUNCTION("""COMPUTED_VALUE"""),16)</f>
        <v>16</v>
      </c>
      <c r="C1766" s="5" t="str">
        <f ca="1">IFERROR(__xludf.DUMMYFUNCTION("""COMPUTED_VALUE"""),"Male")</f>
        <v>Male</v>
      </c>
      <c r="D1766" s="5"/>
      <c r="E1766" s="5" t="str">
        <f ca="1">IFERROR(__xludf.DUMMYFUNCTION("""COMPUTED_VALUE"""),"Student")</f>
        <v>Student</v>
      </c>
      <c r="F1766" s="5" t="str">
        <f ca="1">IFERROR(__xludf.DUMMYFUNCTION("""COMPUTED_VALUE"""),"Fled/Apprehended")</f>
        <v>Fled/Apprehended</v>
      </c>
      <c r="G1766" s="5" t="str">
        <f ca="1">IFERROR(__xludf.DUMMYFUNCTION("""COMPUTED_VALUE"""),"No")</f>
        <v>No</v>
      </c>
      <c r="H1766" s="5" t="str">
        <f ca="1">IFERROR(__xludf.DUMMYFUNCTION("""COMPUTED_VALUE"""),"None")</f>
        <v>None</v>
      </c>
    </row>
    <row r="1767" spans="1:8">
      <c r="A1767" s="5" t="str">
        <f ca="1">IFERROR(__xludf.DUMMYFUNCTION("""COMPUTED_VALUE"""),"19930925DCWEW")</f>
        <v>19930925DCWEW</v>
      </c>
      <c r="B1767" s="5">
        <f ca="1">IFERROR(__xludf.DUMMYFUNCTION("""COMPUTED_VALUE"""),23)</f>
        <v>23</v>
      </c>
      <c r="C1767" s="5" t="str">
        <f ca="1">IFERROR(__xludf.DUMMYFUNCTION("""COMPUTED_VALUE"""),"Male")</f>
        <v>Male</v>
      </c>
      <c r="D1767" s="5"/>
      <c r="E1767" s="5" t="str">
        <f ca="1">IFERROR(__xludf.DUMMYFUNCTION("""COMPUTED_VALUE"""),"Nonstudent Using Athletic Facilities/Attending Game")</f>
        <v>Nonstudent Using Athletic Facilities/Attending Game</v>
      </c>
      <c r="F1767" s="5" t="str">
        <f ca="1">IFERROR(__xludf.DUMMYFUNCTION("""COMPUTED_VALUE"""),"Fled/Apprehended")</f>
        <v>Fled/Apprehended</v>
      </c>
      <c r="G1767" s="5" t="str">
        <f ca="1">IFERROR(__xludf.DUMMYFUNCTION("""COMPUTED_VALUE"""),"No")</f>
        <v>No</v>
      </c>
      <c r="H1767" s="5" t="str">
        <f ca="1">IFERROR(__xludf.DUMMYFUNCTION("""COMPUTED_VALUE"""),"None")</f>
        <v>None</v>
      </c>
    </row>
    <row r="1768" spans="1:8">
      <c r="A1768" s="5" t="str">
        <f ca="1">IFERROR(__xludf.DUMMYFUNCTION("""COMPUTED_VALUE"""),"19930925DCWEW")</f>
        <v>19930925DCWEW</v>
      </c>
      <c r="B1768" s="5">
        <f ca="1">IFERROR(__xludf.DUMMYFUNCTION("""COMPUTED_VALUE"""),15)</f>
        <v>15</v>
      </c>
      <c r="C1768" s="5" t="str">
        <f ca="1">IFERROR(__xludf.DUMMYFUNCTION("""COMPUTED_VALUE"""),"Male")</f>
        <v>Male</v>
      </c>
      <c r="D1768" s="5"/>
      <c r="E1768" s="5" t="str">
        <f ca="1">IFERROR(__xludf.DUMMYFUNCTION("""COMPUTED_VALUE"""),"Nonstudent Using Athletic Facilities/Attending Game")</f>
        <v>Nonstudent Using Athletic Facilities/Attending Game</v>
      </c>
      <c r="F1768" s="5" t="str">
        <f ca="1">IFERROR(__xludf.DUMMYFUNCTION("""COMPUTED_VALUE"""),"Fled/Apprehended")</f>
        <v>Fled/Apprehended</v>
      </c>
      <c r="G1768" s="5" t="str">
        <f ca="1">IFERROR(__xludf.DUMMYFUNCTION("""COMPUTED_VALUE"""),"No")</f>
        <v>No</v>
      </c>
      <c r="H1768" s="5" t="str">
        <f ca="1">IFERROR(__xludf.DUMMYFUNCTION("""COMPUTED_VALUE"""),"None")</f>
        <v>None</v>
      </c>
    </row>
    <row r="1769" spans="1:8">
      <c r="A1769" s="5" t="str">
        <f ca="1">IFERROR(__xludf.DUMMYFUNCTION("""COMPUTED_VALUE"""),"19930917WYCES")</f>
        <v>19930917WYCES</v>
      </c>
      <c r="B1769" s="5">
        <f ca="1">IFERROR(__xludf.DUMMYFUNCTION("""COMPUTED_VALUE"""),29)</f>
        <v>29</v>
      </c>
      <c r="C1769" s="5" t="str">
        <f ca="1">IFERROR(__xludf.DUMMYFUNCTION("""COMPUTED_VALUE"""),"Male")</f>
        <v>Male</v>
      </c>
      <c r="D1769" s="5" t="str">
        <f ca="1">IFERROR(__xludf.DUMMYFUNCTION("""COMPUTED_VALUE"""),"White")</f>
        <v>White</v>
      </c>
      <c r="E1769" s="5" t="str">
        <f ca="1">IFERROR(__xludf.DUMMYFUNCTION("""COMPUTED_VALUE"""),"No Relation")</f>
        <v>No Relation</v>
      </c>
      <c r="F1769" s="5" t="str">
        <f ca="1">IFERROR(__xludf.DUMMYFUNCTION("""COMPUTED_VALUE"""),"Suicide")</f>
        <v>Suicide</v>
      </c>
      <c r="G1769" s="5" t="str">
        <f ca="1">IFERROR(__xludf.DUMMYFUNCTION("""COMPUTED_VALUE"""),"Yes")</f>
        <v>Yes</v>
      </c>
      <c r="H1769" s="5" t="str">
        <f ca="1">IFERROR(__xludf.DUMMYFUNCTION("""COMPUTED_VALUE"""),"Suicide")</f>
        <v>Suicide</v>
      </c>
    </row>
    <row r="1770" spans="1:8">
      <c r="A1770" s="5" t="str">
        <f ca="1">IFERROR(__xludf.DUMMYFUNCTION("""COMPUTED_VALUE"""),"19930917ILDOD")</f>
        <v>19930917ILDOD</v>
      </c>
      <c r="B1770" s="5">
        <f ca="1">IFERROR(__xludf.DUMMYFUNCTION("""COMPUTED_VALUE"""),16)</f>
        <v>16</v>
      </c>
      <c r="C1770" s="5" t="str">
        <f ca="1">IFERROR(__xludf.DUMMYFUNCTION("""COMPUTED_VALUE"""),"Male")</f>
        <v>Male</v>
      </c>
      <c r="D1770" s="5" t="str">
        <f ca="1">IFERROR(__xludf.DUMMYFUNCTION("""COMPUTED_VALUE"""),"White")</f>
        <v>White</v>
      </c>
      <c r="E1770" s="5" t="str">
        <f ca="1">IFERROR(__xludf.DUMMYFUNCTION("""COMPUTED_VALUE"""),"Other Student")</f>
        <v>Other Student</v>
      </c>
      <c r="F1770" s="5" t="str">
        <f ca="1">IFERROR(__xludf.DUMMYFUNCTION("""COMPUTED_VALUE"""),"Fled/Apprehended")</f>
        <v>Fled/Apprehended</v>
      </c>
      <c r="G1770" s="5" t="str">
        <f ca="1">IFERROR(__xludf.DUMMYFUNCTION("""COMPUTED_VALUE"""),"No")</f>
        <v>No</v>
      </c>
      <c r="H1770" s="5" t="str">
        <f ca="1">IFERROR(__xludf.DUMMYFUNCTION("""COMPUTED_VALUE"""),"None")</f>
        <v>None</v>
      </c>
    </row>
    <row r="1771" spans="1:8">
      <c r="A1771" s="5" t="str">
        <f ca="1">IFERROR(__xludf.DUMMYFUNCTION("""COMPUTED_VALUE"""),"19930916ILROC")</f>
        <v>19930916ILROC</v>
      </c>
      <c r="B1771" s="5"/>
      <c r="C1771" s="5" t="str">
        <f ca="1">IFERROR(__xludf.DUMMYFUNCTION("""COMPUTED_VALUE"""),"Male")</f>
        <v>Male</v>
      </c>
      <c r="D1771" s="5"/>
      <c r="E1771" s="5" t="str">
        <f ca="1">IFERROR(__xludf.DUMMYFUNCTION("""COMPUTED_VALUE"""),"Unknown")</f>
        <v>Unknown</v>
      </c>
      <c r="F1771" s="5" t="str">
        <f ca="1">IFERROR(__xludf.DUMMYFUNCTION("""COMPUTED_VALUE"""),"Fled/Escaped")</f>
        <v>Fled/Escaped</v>
      </c>
      <c r="G1771" s="5" t="str">
        <f ca="1">IFERROR(__xludf.DUMMYFUNCTION("""COMPUTED_VALUE"""),"No")</f>
        <v>No</v>
      </c>
      <c r="H1771" s="5" t="str">
        <f ca="1">IFERROR(__xludf.DUMMYFUNCTION("""COMPUTED_VALUE"""),"None")</f>
        <v>None</v>
      </c>
    </row>
    <row r="1772" spans="1:8">
      <c r="A1772" s="5" t="str">
        <f ca="1">IFERROR(__xludf.DUMMYFUNCTION("""COMPUTED_VALUE"""),"19930912ALFAF")</f>
        <v>19930912ALFAF</v>
      </c>
      <c r="B1772" s="5"/>
      <c r="C1772" s="5"/>
      <c r="D1772" s="5"/>
      <c r="E1772" s="5" t="str">
        <f ca="1">IFERROR(__xludf.DUMMYFUNCTION("""COMPUTED_VALUE"""),"Nonstudent Using Athletic Facilities/Attending Game")</f>
        <v>Nonstudent Using Athletic Facilities/Attending Game</v>
      </c>
      <c r="F1772" s="5" t="str">
        <f ca="1">IFERROR(__xludf.DUMMYFUNCTION("""COMPUTED_VALUE"""),"Fled/Escaped")</f>
        <v>Fled/Escaped</v>
      </c>
      <c r="G1772" s="5" t="str">
        <f ca="1">IFERROR(__xludf.DUMMYFUNCTION("""COMPUTED_VALUE"""),"No")</f>
        <v>No</v>
      </c>
      <c r="H1772" s="5" t="str">
        <f ca="1">IFERROR(__xludf.DUMMYFUNCTION("""COMPUTED_VALUE"""),"None")</f>
        <v>None</v>
      </c>
    </row>
    <row r="1773" spans="1:8">
      <c r="A1773" s="5" t="str">
        <f ca="1">IFERROR(__xludf.DUMMYFUNCTION("""COMPUTED_VALUE"""),"19930902TXROD")</f>
        <v>19930902TXROD</v>
      </c>
      <c r="B1773" s="5">
        <f ca="1">IFERROR(__xludf.DUMMYFUNCTION("""COMPUTED_VALUE"""),16)</f>
        <v>16</v>
      </c>
      <c r="C1773" s="5" t="str">
        <f ca="1">IFERROR(__xludf.DUMMYFUNCTION("""COMPUTED_VALUE"""),"Male")</f>
        <v>Male</v>
      </c>
      <c r="D1773" s="5"/>
      <c r="E1773" s="5" t="str">
        <f ca="1">IFERROR(__xludf.DUMMYFUNCTION("""COMPUTED_VALUE"""),"Student")</f>
        <v>Student</v>
      </c>
      <c r="F1773" s="5" t="str">
        <f ca="1">IFERROR(__xludf.DUMMYFUNCTION("""COMPUTED_VALUE"""),"Fled/Apprehended")</f>
        <v>Fled/Apprehended</v>
      </c>
      <c r="G1773" s="5" t="str">
        <f ca="1">IFERROR(__xludf.DUMMYFUNCTION("""COMPUTED_VALUE"""),"No")</f>
        <v>No</v>
      </c>
      <c r="H1773" s="5" t="str">
        <f ca="1">IFERROR(__xludf.DUMMYFUNCTION("""COMPUTED_VALUE"""),"None")</f>
        <v>None</v>
      </c>
    </row>
    <row r="1774" spans="1:8">
      <c r="A1774" s="5" t="str">
        <f ca="1">IFERROR(__xludf.DUMMYFUNCTION("""COMPUTED_VALUE"""),"19930901KSJUJ")</f>
        <v>19930901KSJUJ</v>
      </c>
      <c r="B1774" s="5">
        <f ca="1">IFERROR(__xludf.DUMMYFUNCTION("""COMPUTED_VALUE"""),15)</f>
        <v>15</v>
      </c>
      <c r="C1774" s="5" t="str">
        <f ca="1">IFERROR(__xludf.DUMMYFUNCTION("""COMPUTED_VALUE"""),"Male")</f>
        <v>Male</v>
      </c>
      <c r="D1774" s="5"/>
      <c r="E1774" s="5" t="str">
        <f ca="1">IFERROR(__xludf.DUMMYFUNCTION("""COMPUTED_VALUE"""),"Student")</f>
        <v>Student</v>
      </c>
      <c r="F1774" s="5" t="str">
        <f ca="1">IFERROR(__xludf.DUMMYFUNCTION("""COMPUTED_VALUE"""),"Fled/Apprehended")</f>
        <v>Fled/Apprehended</v>
      </c>
      <c r="G1774" s="5" t="str">
        <f ca="1">IFERROR(__xludf.DUMMYFUNCTION("""COMPUTED_VALUE"""),"No")</f>
        <v>No</v>
      </c>
      <c r="H1774" s="5" t="str">
        <f ca="1">IFERROR(__xludf.DUMMYFUNCTION("""COMPUTED_VALUE"""),"None")</f>
        <v>None</v>
      </c>
    </row>
    <row r="1775" spans="1:8">
      <c r="A1775" s="5" t="str">
        <f ca="1">IFERROR(__xludf.DUMMYFUNCTION("""COMPUTED_VALUE"""),"19930831GAHAA")</f>
        <v>19930831GAHAA</v>
      </c>
      <c r="B1775" s="5">
        <f ca="1">IFERROR(__xludf.DUMMYFUNCTION("""COMPUTED_VALUE"""),15)</f>
        <v>15</v>
      </c>
      <c r="C1775" s="5" t="str">
        <f ca="1">IFERROR(__xludf.DUMMYFUNCTION("""COMPUTED_VALUE"""),"Male")</f>
        <v>Male</v>
      </c>
      <c r="D1775" s="5" t="str">
        <f ca="1">IFERROR(__xludf.DUMMYFUNCTION("""COMPUTED_VALUE"""),"Black")</f>
        <v>Black</v>
      </c>
      <c r="E1775" s="5" t="str">
        <f ca="1">IFERROR(__xludf.DUMMYFUNCTION("""COMPUTED_VALUE"""),"Student")</f>
        <v>Student</v>
      </c>
      <c r="F1775" s="5" t="str">
        <f ca="1">IFERROR(__xludf.DUMMYFUNCTION("""COMPUTED_VALUE"""),"Unknown")</f>
        <v>Unknown</v>
      </c>
      <c r="G1775" s="5" t="str">
        <f ca="1">IFERROR(__xludf.DUMMYFUNCTION("""COMPUTED_VALUE"""),"No")</f>
        <v>No</v>
      </c>
      <c r="H1775" s="5" t="str">
        <f ca="1">IFERROR(__xludf.DUMMYFUNCTION("""COMPUTED_VALUE"""),"None")</f>
        <v>None</v>
      </c>
    </row>
    <row r="1776" spans="1:8">
      <c r="A1776" s="5" t="str">
        <f ca="1">IFERROR(__xludf.DUMMYFUNCTION("""COMPUTED_VALUE"""),"19930803NYTHN")</f>
        <v>19930803NYTHN</v>
      </c>
      <c r="B1776" s="5"/>
      <c r="C1776" s="5" t="str">
        <f ca="1">IFERROR(__xludf.DUMMYFUNCTION("""COMPUTED_VALUE"""),"Male")</f>
        <v>Male</v>
      </c>
      <c r="D1776" s="5"/>
      <c r="E1776" s="5" t="str">
        <f ca="1">IFERROR(__xludf.DUMMYFUNCTION("""COMPUTED_VALUE"""),"Unknown")</f>
        <v>Unknown</v>
      </c>
      <c r="F1776" s="5" t="str">
        <f ca="1">IFERROR(__xludf.DUMMYFUNCTION("""COMPUTED_VALUE"""),"Fled/Escaped")</f>
        <v>Fled/Escaped</v>
      </c>
      <c r="G1776" s="5" t="str">
        <f ca="1">IFERROR(__xludf.DUMMYFUNCTION("""COMPUTED_VALUE"""),"No")</f>
        <v>No</v>
      </c>
      <c r="H1776" s="5" t="str">
        <f ca="1">IFERROR(__xludf.DUMMYFUNCTION("""COMPUTED_VALUE"""),"None")</f>
        <v>None</v>
      </c>
    </row>
    <row r="1777" spans="1:8">
      <c r="A1777" s="5" t="str">
        <f ca="1">IFERROR(__xludf.DUMMYFUNCTION("""COMPUTED_VALUE"""),"19930707CADOL")</f>
        <v>19930707CADOL</v>
      </c>
      <c r="B1777" s="5" t="str">
        <f ca="1">IFERROR(__xludf.DUMMYFUNCTION("""COMPUTED_VALUE"""),"Teen")</f>
        <v>Teen</v>
      </c>
      <c r="C1777" s="5" t="str">
        <f ca="1">IFERROR(__xludf.DUMMYFUNCTION("""COMPUTED_VALUE"""),"Male")</f>
        <v>Male</v>
      </c>
      <c r="D1777" s="5"/>
      <c r="E1777" s="5" t="str">
        <f ca="1">IFERROR(__xludf.DUMMYFUNCTION("""COMPUTED_VALUE"""),"Student")</f>
        <v>Student</v>
      </c>
      <c r="F1777" s="5" t="str">
        <f ca="1">IFERROR(__xludf.DUMMYFUNCTION("""COMPUTED_VALUE"""),"Fled/Escaped")</f>
        <v>Fled/Escaped</v>
      </c>
      <c r="G1777" s="5" t="str">
        <f ca="1">IFERROR(__xludf.DUMMYFUNCTION("""COMPUTED_VALUE"""),"No")</f>
        <v>No</v>
      </c>
      <c r="H1777" s="5" t="str">
        <f ca="1">IFERROR(__xludf.DUMMYFUNCTION("""COMPUTED_VALUE"""),"None")</f>
        <v>None</v>
      </c>
    </row>
    <row r="1778" spans="1:8">
      <c r="A1778" s="5" t="str">
        <f ca="1">IFERROR(__xludf.DUMMYFUNCTION("""COMPUTED_VALUE"""),"19930527LAFRN")</f>
        <v>19930527LAFRN</v>
      </c>
      <c r="B1778" s="5">
        <f ca="1">IFERROR(__xludf.DUMMYFUNCTION("""COMPUTED_VALUE"""),17)</f>
        <v>17</v>
      </c>
      <c r="C1778" s="5" t="str">
        <f ca="1">IFERROR(__xludf.DUMMYFUNCTION("""COMPUTED_VALUE"""),"Male")</f>
        <v>Male</v>
      </c>
      <c r="D1778" s="5" t="str">
        <f ca="1">IFERROR(__xludf.DUMMYFUNCTION("""COMPUTED_VALUE"""),"Black")</f>
        <v>Black</v>
      </c>
      <c r="E1778" s="5" t="str">
        <f ca="1">IFERROR(__xludf.DUMMYFUNCTION("""COMPUTED_VALUE"""),"Student")</f>
        <v>Student</v>
      </c>
      <c r="F1778" s="5" t="str">
        <f ca="1">IFERROR(__xludf.DUMMYFUNCTION("""COMPUTED_VALUE"""),"Fled/Apprehended")</f>
        <v>Fled/Apprehended</v>
      </c>
      <c r="G1778" s="5" t="str">
        <f ca="1">IFERROR(__xludf.DUMMYFUNCTION("""COMPUTED_VALUE"""),"No")</f>
        <v>No</v>
      </c>
      <c r="H1778" s="5" t="str">
        <f ca="1">IFERROR(__xludf.DUMMYFUNCTION("""COMPUTED_VALUE"""),"None")</f>
        <v>None</v>
      </c>
    </row>
    <row r="1779" spans="1:8">
      <c r="A1779" s="5" t="str">
        <f ca="1">IFERROR(__xludf.DUMMYFUNCTION("""COMPUTED_VALUE"""),"19930524PAUPP")</f>
        <v>19930524PAUPP</v>
      </c>
      <c r="B1779" s="5">
        <f ca="1">IFERROR(__xludf.DUMMYFUNCTION("""COMPUTED_VALUE"""),15)</f>
        <v>15</v>
      </c>
      <c r="C1779" s="5" t="str">
        <f ca="1">IFERROR(__xludf.DUMMYFUNCTION("""COMPUTED_VALUE"""),"Male")</f>
        <v>Male</v>
      </c>
      <c r="D1779" s="5" t="str">
        <f ca="1">IFERROR(__xludf.DUMMYFUNCTION("""COMPUTED_VALUE"""),"White")</f>
        <v>White</v>
      </c>
      <c r="E1779" s="5" t="str">
        <f ca="1">IFERROR(__xludf.DUMMYFUNCTION("""COMPUTED_VALUE"""),"Student")</f>
        <v>Student</v>
      </c>
      <c r="F1779" s="5" t="str">
        <f ca="1">IFERROR(__xludf.DUMMYFUNCTION("""COMPUTED_VALUE"""),"Surrendered")</f>
        <v>Surrendered</v>
      </c>
      <c r="G1779" s="5" t="str">
        <f ca="1">IFERROR(__xludf.DUMMYFUNCTION("""COMPUTED_VALUE"""),"No")</f>
        <v>No</v>
      </c>
      <c r="H1779" s="5" t="str">
        <f ca="1">IFERROR(__xludf.DUMMYFUNCTION("""COMPUTED_VALUE"""),"None")</f>
        <v>None</v>
      </c>
    </row>
    <row r="1780" spans="1:8">
      <c r="A1780" s="5" t="str">
        <f ca="1">IFERROR(__xludf.DUMMYFUNCTION("""COMPUTED_VALUE"""),"19930514TXNII")</f>
        <v>19930514TXNII</v>
      </c>
      <c r="B1780" s="5">
        <f ca="1">IFERROR(__xludf.DUMMYFUNCTION("""COMPUTED_VALUE"""),17)</f>
        <v>17</v>
      </c>
      <c r="C1780" s="5" t="str">
        <f ca="1">IFERROR(__xludf.DUMMYFUNCTION("""COMPUTED_VALUE"""),"Male")</f>
        <v>Male</v>
      </c>
      <c r="D1780" s="5" t="str">
        <f ca="1">IFERROR(__xludf.DUMMYFUNCTION("""COMPUTED_VALUE"""),"Hispanic")</f>
        <v>Hispanic</v>
      </c>
      <c r="E1780" s="5" t="str">
        <f ca="1">IFERROR(__xludf.DUMMYFUNCTION("""COMPUTED_VALUE"""),"Student")</f>
        <v>Student</v>
      </c>
      <c r="F1780" s="5" t="str">
        <f ca="1">IFERROR(__xludf.DUMMYFUNCTION("""COMPUTED_VALUE"""),"Fled/Apprehended")</f>
        <v>Fled/Apprehended</v>
      </c>
      <c r="G1780" s="5" t="str">
        <f ca="1">IFERROR(__xludf.DUMMYFUNCTION("""COMPUTED_VALUE"""),"No")</f>
        <v>No</v>
      </c>
      <c r="H1780" s="5" t="str">
        <f ca="1">IFERROR(__xludf.DUMMYFUNCTION("""COMPUTED_VALUE"""),"None")</f>
        <v>None</v>
      </c>
    </row>
    <row r="1781" spans="1:8">
      <c r="A1781" s="5" t="str">
        <f ca="1">IFERROR(__xludf.DUMMYFUNCTION("""COMPUTED_VALUE"""),"19930416WAMOT")</f>
        <v>19930416WAMOT</v>
      </c>
      <c r="B1781" s="5">
        <f ca="1">IFERROR(__xludf.DUMMYFUNCTION("""COMPUTED_VALUE"""),33)</f>
        <v>33</v>
      </c>
      <c r="C1781" s="5" t="str">
        <f ca="1">IFERROR(__xludf.DUMMYFUNCTION("""COMPUTED_VALUE"""),"Female")</f>
        <v>Female</v>
      </c>
      <c r="D1781" s="5"/>
      <c r="E1781" s="5" t="str">
        <f ca="1">IFERROR(__xludf.DUMMYFUNCTION("""COMPUTED_VALUE"""),"No Relation")</f>
        <v>No Relation</v>
      </c>
      <c r="F1781" s="5" t="str">
        <f ca="1">IFERROR(__xludf.DUMMYFUNCTION("""COMPUTED_VALUE"""),"Suicide")</f>
        <v>Suicide</v>
      </c>
      <c r="G1781" s="5" t="str">
        <f ca="1">IFERROR(__xludf.DUMMYFUNCTION("""COMPUTED_VALUE"""),"Yes")</f>
        <v>Yes</v>
      </c>
      <c r="H1781" s="5" t="str">
        <f ca="1">IFERROR(__xludf.DUMMYFUNCTION("""COMPUTED_VALUE"""),"Suicide")</f>
        <v>Suicide</v>
      </c>
    </row>
    <row r="1782" spans="1:8">
      <c r="A1782" s="5" t="str">
        <f ca="1">IFERROR(__xludf.DUMMYFUNCTION("""COMPUTED_VALUE"""),"19930416CAGRS")</f>
        <v>19930416CAGRS</v>
      </c>
      <c r="B1782" s="5"/>
      <c r="C1782" s="5"/>
      <c r="D1782" s="5"/>
      <c r="E1782" s="5" t="str">
        <f ca="1">IFERROR(__xludf.DUMMYFUNCTION("""COMPUTED_VALUE"""),"Unknown")</f>
        <v>Unknown</v>
      </c>
      <c r="F1782" s="5" t="str">
        <f ca="1">IFERROR(__xludf.DUMMYFUNCTION("""COMPUTED_VALUE"""),"Fled/Escaped")</f>
        <v>Fled/Escaped</v>
      </c>
      <c r="G1782" s="5" t="str">
        <f ca="1">IFERROR(__xludf.DUMMYFUNCTION("""COMPUTED_VALUE"""),"No")</f>
        <v>No</v>
      </c>
      <c r="H1782" s="5" t="str">
        <f ca="1">IFERROR(__xludf.DUMMYFUNCTION("""COMPUTED_VALUE"""),"None")</f>
        <v>None</v>
      </c>
    </row>
    <row r="1783" spans="1:8">
      <c r="A1783" s="5" t="str">
        <f ca="1">IFERROR(__xludf.DUMMYFUNCTION("""COMPUTED_VALUE"""),"19930415MAFOA")</f>
        <v>19930415MAFOA</v>
      </c>
      <c r="B1783" s="5">
        <f ca="1">IFERROR(__xludf.DUMMYFUNCTION("""COMPUTED_VALUE"""),42)</f>
        <v>42</v>
      </c>
      <c r="C1783" s="5" t="str">
        <f ca="1">IFERROR(__xludf.DUMMYFUNCTION("""COMPUTED_VALUE"""),"Male")</f>
        <v>Male</v>
      </c>
      <c r="D1783" s="5" t="str">
        <f ca="1">IFERROR(__xludf.DUMMYFUNCTION("""COMPUTED_VALUE"""),"White")</f>
        <v>White</v>
      </c>
      <c r="E1783" s="5" t="str">
        <f ca="1">IFERROR(__xludf.DUMMYFUNCTION("""COMPUTED_VALUE"""),"No Relation")</f>
        <v>No Relation</v>
      </c>
      <c r="F1783" s="5" t="str">
        <f ca="1">IFERROR(__xludf.DUMMYFUNCTION("""COMPUTED_VALUE"""),"Subdued by Students/Staff/Other")</f>
        <v>Subdued by Students/Staff/Other</v>
      </c>
      <c r="G1783" s="5" t="str">
        <f ca="1">IFERROR(__xludf.DUMMYFUNCTION("""COMPUTED_VALUE"""),"No")</f>
        <v>No</v>
      </c>
      <c r="H1783" s="5" t="str">
        <f ca="1">IFERROR(__xludf.DUMMYFUNCTION("""COMPUTED_VALUE"""),"None")</f>
        <v>None</v>
      </c>
    </row>
    <row r="1784" spans="1:8">
      <c r="A1784" s="5" t="str">
        <f ca="1">IFERROR(__xludf.DUMMYFUNCTION("""COMPUTED_VALUE"""),"19930403CAGRS")</f>
        <v>19930403CAGRS</v>
      </c>
      <c r="B1784" s="5"/>
      <c r="C1784" s="5" t="str">
        <f ca="1">IFERROR(__xludf.DUMMYFUNCTION("""COMPUTED_VALUE"""),"Male")</f>
        <v>Male</v>
      </c>
      <c r="D1784" s="5"/>
      <c r="E1784" s="5" t="str">
        <f ca="1">IFERROR(__xludf.DUMMYFUNCTION("""COMPUTED_VALUE"""),"Unknown")</f>
        <v>Unknown</v>
      </c>
      <c r="F1784" s="5" t="str">
        <f ca="1">IFERROR(__xludf.DUMMYFUNCTION("""COMPUTED_VALUE"""),"Fled/Escaped")</f>
        <v>Fled/Escaped</v>
      </c>
      <c r="G1784" s="5" t="str">
        <f ca="1">IFERROR(__xludf.DUMMYFUNCTION("""COMPUTED_VALUE"""),"No")</f>
        <v>No</v>
      </c>
      <c r="H1784" s="5" t="str">
        <f ca="1">IFERROR(__xludf.DUMMYFUNCTION("""COMPUTED_VALUE"""),"None")</f>
        <v>None</v>
      </c>
    </row>
    <row r="1785" spans="1:8">
      <c r="A1785" s="5" t="str">
        <f ca="1">IFERROR(__xludf.DUMMYFUNCTION("""COMPUTED_VALUE"""),"19930325MOSUS")</f>
        <v>19930325MOSUS</v>
      </c>
      <c r="B1785" s="5">
        <f ca="1">IFERROR(__xludf.DUMMYFUNCTION("""COMPUTED_VALUE"""),17)</f>
        <v>17</v>
      </c>
      <c r="C1785" s="5" t="str">
        <f ca="1">IFERROR(__xludf.DUMMYFUNCTION("""COMPUTED_VALUE"""),"Female")</f>
        <v>Female</v>
      </c>
      <c r="D1785" s="5"/>
      <c r="E1785" s="5" t="str">
        <f ca="1">IFERROR(__xludf.DUMMYFUNCTION("""COMPUTED_VALUE"""),"Student")</f>
        <v>Student</v>
      </c>
      <c r="F1785" s="5" t="str">
        <f ca="1">IFERROR(__xludf.DUMMYFUNCTION("""COMPUTED_VALUE"""),"Unknown")</f>
        <v>Unknown</v>
      </c>
      <c r="G1785" s="5" t="str">
        <f ca="1">IFERROR(__xludf.DUMMYFUNCTION("""COMPUTED_VALUE"""),"No")</f>
        <v>No</v>
      </c>
      <c r="H1785" s="5" t="str">
        <f ca="1">IFERROR(__xludf.DUMMYFUNCTION("""COMPUTED_VALUE"""),"None")</f>
        <v>None</v>
      </c>
    </row>
    <row r="1786" spans="1:8">
      <c r="A1786" s="5" t="str">
        <f ca="1">IFERROR(__xludf.DUMMYFUNCTION("""COMPUTED_VALUE"""),"19930318GAHAH")</f>
        <v>19930318GAHAH</v>
      </c>
      <c r="B1786" s="5">
        <f ca="1">IFERROR(__xludf.DUMMYFUNCTION("""COMPUTED_VALUE"""),15)</f>
        <v>15</v>
      </c>
      <c r="C1786" s="5" t="str">
        <f ca="1">IFERROR(__xludf.DUMMYFUNCTION("""COMPUTED_VALUE"""),"Male")</f>
        <v>Male</v>
      </c>
      <c r="D1786" s="5"/>
      <c r="E1786" s="5" t="str">
        <f ca="1">IFERROR(__xludf.DUMMYFUNCTION("""COMPUTED_VALUE"""),"Student")</f>
        <v>Student</v>
      </c>
      <c r="F1786" s="5" t="str">
        <f ca="1">IFERROR(__xludf.DUMMYFUNCTION("""COMPUTED_VALUE"""),"Apprehended/Killed by LE")</f>
        <v>Apprehended/Killed by LE</v>
      </c>
      <c r="G1786" s="5" t="str">
        <f ca="1">IFERROR(__xludf.DUMMYFUNCTION("""COMPUTED_VALUE"""),"No")</f>
        <v>No</v>
      </c>
      <c r="H1786" s="5" t="str">
        <f ca="1">IFERROR(__xludf.DUMMYFUNCTION("""COMPUTED_VALUE"""),"None")</f>
        <v>None</v>
      </c>
    </row>
    <row r="1787" spans="1:8">
      <c r="A1787" s="5" t="str">
        <f ca="1">IFERROR(__xludf.DUMMYFUNCTION("""COMPUTED_VALUE"""),"19930308VADOD")</f>
        <v>19930308VADOD</v>
      </c>
      <c r="B1787" s="5">
        <f ca="1">IFERROR(__xludf.DUMMYFUNCTION("""COMPUTED_VALUE"""),32)</f>
        <v>32</v>
      </c>
      <c r="C1787" s="5" t="str">
        <f ca="1">IFERROR(__xludf.DUMMYFUNCTION("""COMPUTED_VALUE"""),"Male")</f>
        <v>Male</v>
      </c>
      <c r="D1787" s="5" t="str">
        <f ca="1">IFERROR(__xludf.DUMMYFUNCTION("""COMPUTED_VALUE"""),"Black")</f>
        <v>Black</v>
      </c>
      <c r="E1787" s="5" t="str">
        <f ca="1">IFERROR(__xludf.DUMMYFUNCTION("""COMPUTED_VALUE"""),"No Relation")</f>
        <v>No Relation</v>
      </c>
      <c r="F1787" s="5" t="str">
        <f ca="1">IFERROR(__xludf.DUMMYFUNCTION("""COMPUTED_VALUE"""),"Fled/Apprehended")</f>
        <v>Fled/Apprehended</v>
      </c>
      <c r="G1787" s="5" t="str">
        <f ca="1">IFERROR(__xludf.DUMMYFUNCTION("""COMPUTED_VALUE"""),"No")</f>
        <v>No</v>
      </c>
      <c r="H1787" s="5" t="str">
        <f ca="1">IFERROR(__xludf.DUMMYFUNCTION("""COMPUTED_VALUE"""),"None")</f>
        <v>None</v>
      </c>
    </row>
    <row r="1788" spans="1:8">
      <c r="A1788" s="5" t="str">
        <f ca="1">IFERROR(__xludf.DUMMYFUNCTION("""COMPUTED_VALUE"""),"19930226MAGLG")</f>
        <v>19930226MAGLG</v>
      </c>
      <c r="B1788" s="5">
        <f ca="1">IFERROR(__xludf.DUMMYFUNCTION("""COMPUTED_VALUE"""),15)</f>
        <v>15</v>
      </c>
      <c r="C1788" s="5" t="str">
        <f ca="1">IFERROR(__xludf.DUMMYFUNCTION("""COMPUTED_VALUE"""),"Male")</f>
        <v>Male</v>
      </c>
      <c r="D1788" s="5"/>
      <c r="E1788" s="5" t="str">
        <f ca="1">IFERROR(__xludf.DUMMYFUNCTION("""COMPUTED_VALUE"""),"Student")</f>
        <v>Student</v>
      </c>
      <c r="F1788" s="5" t="str">
        <f ca="1">IFERROR(__xludf.DUMMYFUNCTION("""COMPUTED_VALUE"""),"Suicide")</f>
        <v>Suicide</v>
      </c>
      <c r="G1788" s="5" t="str">
        <f ca="1">IFERROR(__xludf.DUMMYFUNCTION("""COMPUTED_VALUE"""),"Yes")</f>
        <v>Yes</v>
      </c>
      <c r="H1788" s="5" t="str">
        <f ca="1">IFERROR(__xludf.DUMMYFUNCTION("""COMPUTED_VALUE"""),"Suicide")</f>
        <v>Suicide</v>
      </c>
    </row>
    <row r="1789" spans="1:8">
      <c r="A1789" s="5" t="str">
        <f ca="1">IFERROR(__xludf.DUMMYFUNCTION("""COMPUTED_VALUE"""),"19930222CAREL")</f>
        <v>19930222CAREL</v>
      </c>
      <c r="B1789" s="5">
        <f ca="1">IFERROR(__xludf.DUMMYFUNCTION("""COMPUTED_VALUE"""),15)</f>
        <v>15</v>
      </c>
      <c r="C1789" s="5" t="str">
        <f ca="1">IFERROR(__xludf.DUMMYFUNCTION("""COMPUTED_VALUE"""),"Male")</f>
        <v>Male</v>
      </c>
      <c r="D1789" s="5" t="str">
        <f ca="1">IFERROR(__xludf.DUMMYFUNCTION("""COMPUTED_VALUE"""),"Black")</f>
        <v>Black</v>
      </c>
      <c r="E1789" s="5" t="str">
        <f ca="1">IFERROR(__xludf.DUMMYFUNCTION("""COMPUTED_VALUE"""),"Student")</f>
        <v>Student</v>
      </c>
      <c r="F1789" s="5" t="str">
        <f ca="1">IFERROR(__xludf.DUMMYFUNCTION("""COMPUTED_VALUE"""),"Fled/Apprehended")</f>
        <v>Fled/Apprehended</v>
      </c>
      <c r="G1789" s="5" t="str">
        <f ca="1">IFERROR(__xludf.DUMMYFUNCTION("""COMPUTED_VALUE"""),"No")</f>
        <v>No</v>
      </c>
      <c r="H1789" s="5" t="str">
        <f ca="1">IFERROR(__xludf.DUMMYFUNCTION("""COMPUTED_VALUE"""),"None")</f>
        <v>None</v>
      </c>
    </row>
    <row r="1790" spans="1:8">
      <c r="A1790" s="5" t="str">
        <f ca="1">IFERROR(__xludf.DUMMYFUNCTION("""COMPUTED_VALUE"""),"19930208MNMIM")</f>
        <v>19930208MNMIM</v>
      </c>
      <c r="B1790" s="5">
        <f ca="1">IFERROR(__xludf.DUMMYFUNCTION("""COMPUTED_VALUE"""),14)</f>
        <v>14</v>
      </c>
      <c r="C1790" s="5" t="str">
        <f ca="1">IFERROR(__xludf.DUMMYFUNCTION("""COMPUTED_VALUE"""),"Male")</f>
        <v>Male</v>
      </c>
      <c r="D1790" s="5"/>
      <c r="E1790" s="5" t="str">
        <f ca="1">IFERROR(__xludf.DUMMYFUNCTION("""COMPUTED_VALUE"""),"Student")</f>
        <v>Student</v>
      </c>
      <c r="F1790" s="5" t="str">
        <f ca="1">IFERROR(__xludf.DUMMYFUNCTION("""COMPUTED_VALUE"""),"Suicide")</f>
        <v>Suicide</v>
      </c>
      <c r="G1790" s="5" t="str">
        <f ca="1">IFERROR(__xludf.DUMMYFUNCTION("""COMPUTED_VALUE"""),"Yes")</f>
        <v>Yes</v>
      </c>
      <c r="H1790" s="5" t="str">
        <f ca="1">IFERROR(__xludf.DUMMYFUNCTION("""COMPUTED_VALUE"""),"Suicide")</f>
        <v>Suicide</v>
      </c>
    </row>
    <row r="1791" spans="1:8">
      <c r="A1791" s="5" t="str">
        <f ca="1">IFERROR(__xludf.DUMMYFUNCTION("""COMPUTED_VALUE"""),"19930208DCWAW")</f>
        <v>19930208DCWAW</v>
      </c>
      <c r="B1791" s="5"/>
      <c r="C1791" s="5" t="str">
        <f ca="1">IFERROR(__xludf.DUMMYFUNCTION("""COMPUTED_VALUE"""),"Male")</f>
        <v>Male</v>
      </c>
      <c r="D1791" s="5"/>
      <c r="E1791" s="5" t="str">
        <f ca="1">IFERROR(__xludf.DUMMYFUNCTION("""COMPUTED_VALUE"""),"Unknown")</f>
        <v>Unknown</v>
      </c>
      <c r="F1791" s="5" t="str">
        <f ca="1">IFERROR(__xludf.DUMMYFUNCTION("""COMPUTED_VALUE"""),"Fled/Escaped")</f>
        <v>Fled/Escaped</v>
      </c>
      <c r="G1791" s="5" t="str">
        <f ca="1">IFERROR(__xludf.DUMMYFUNCTION("""COMPUTED_VALUE"""),"No")</f>
        <v>No</v>
      </c>
      <c r="H1791" s="5" t="str">
        <f ca="1">IFERROR(__xludf.DUMMYFUNCTION("""COMPUTED_VALUE"""),"None")</f>
        <v>None</v>
      </c>
    </row>
    <row r="1792" spans="1:8">
      <c r="A1792" s="5" t="str">
        <f ca="1">IFERROR(__xludf.DUMMYFUNCTION("""COMPUTED_VALUE"""),"19930204GACLA")</f>
        <v>19930204GACLA</v>
      </c>
      <c r="B1792" s="5">
        <f ca="1">IFERROR(__xludf.DUMMYFUNCTION("""COMPUTED_VALUE"""),17)</f>
        <v>17</v>
      </c>
      <c r="C1792" s="5" t="str">
        <f ca="1">IFERROR(__xludf.DUMMYFUNCTION("""COMPUTED_VALUE"""),"Male")</f>
        <v>Male</v>
      </c>
      <c r="D1792" s="5"/>
      <c r="E1792" s="5" t="str">
        <f ca="1">IFERROR(__xludf.DUMMYFUNCTION("""COMPUTED_VALUE"""),"Nonstudent")</f>
        <v>Nonstudent</v>
      </c>
      <c r="F1792" s="5" t="str">
        <f ca="1">IFERROR(__xludf.DUMMYFUNCTION("""COMPUTED_VALUE"""),"Surrendered")</f>
        <v>Surrendered</v>
      </c>
      <c r="G1792" s="5" t="str">
        <f ca="1">IFERROR(__xludf.DUMMYFUNCTION("""COMPUTED_VALUE"""),"No")</f>
        <v>No</v>
      </c>
      <c r="H1792" s="5" t="str">
        <f ca="1">IFERROR(__xludf.DUMMYFUNCTION("""COMPUTED_VALUE"""),"None")</f>
        <v>None</v>
      </c>
    </row>
    <row r="1793" spans="1:8">
      <c r="A1793" s="5" t="str">
        <f ca="1">IFERROR(__xludf.DUMMYFUNCTION("""COMPUTED_VALUE"""),"19930203SCLEL")</f>
        <v>19930203SCLEL</v>
      </c>
      <c r="B1793" s="5">
        <f ca="1">IFERROR(__xludf.DUMMYFUNCTION("""COMPUTED_VALUE"""),22)</f>
        <v>22</v>
      </c>
      <c r="C1793" s="5" t="str">
        <f ca="1">IFERROR(__xludf.DUMMYFUNCTION("""COMPUTED_VALUE"""),"Male")</f>
        <v>Male</v>
      </c>
      <c r="D1793" s="5"/>
      <c r="E1793" s="5" t="str">
        <f ca="1">IFERROR(__xludf.DUMMYFUNCTION("""COMPUTED_VALUE"""),"Student")</f>
        <v>Student</v>
      </c>
      <c r="F1793" s="5" t="str">
        <f ca="1">IFERROR(__xludf.DUMMYFUNCTION("""COMPUTED_VALUE"""),"Fled/Apprehended")</f>
        <v>Fled/Apprehended</v>
      </c>
      <c r="G1793" s="5" t="str">
        <f ca="1">IFERROR(__xludf.DUMMYFUNCTION("""COMPUTED_VALUE"""),"No")</f>
        <v>No</v>
      </c>
      <c r="H1793" s="5" t="str">
        <f ca="1">IFERROR(__xludf.DUMMYFUNCTION("""COMPUTED_VALUE"""),"None")</f>
        <v>None</v>
      </c>
    </row>
    <row r="1794" spans="1:8">
      <c r="A1794" s="5" t="str">
        <f ca="1">IFERROR(__xludf.DUMMYFUNCTION("""COMPUTED_VALUE"""),"19930203SCGAC")</f>
        <v>19930203SCGAC</v>
      </c>
      <c r="B1794" s="5"/>
      <c r="C1794" s="5"/>
      <c r="D1794" s="5"/>
      <c r="E1794" s="5"/>
      <c r="F1794" s="5" t="str">
        <f ca="1">IFERROR(__xludf.DUMMYFUNCTION("""COMPUTED_VALUE"""),"Fled/Escaped")</f>
        <v>Fled/Escaped</v>
      </c>
      <c r="G1794" s="5" t="str">
        <f ca="1">IFERROR(__xludf.DUMMYFUNCTION("""COMPUTED_VALUE"""),"No")</f>
        <v>No</v>
      </c>
      <c r="H1794" s="5" t="str">
        <f ca="1">IFERROR(__xludf.DUMMYFUNCTION("""COMPUTED_VALUE"""),"None")</f>
        <v>None</v>
      </c>
    </row>
    <row r="1795" spans="1:8">
      <c r="A1795" s="5" t="str">
        <f ca="1">IFERROR(__xludf.DUMMYFUNCTION("""COMPUTED_VALUE"""),"19930201WARER")</f>
        <v>19930201WARER</v>
      </c>
      <c r="B1795" s="5">
        <f ca="1">IFERROR(__xludf.DUMMYFUNCTION("""COMPUTED_VALUE"""),14)</f>
        <v>14</v>
      </c>
      <c r="C1795" s="5" t="str">
        <f ca="1">IFERROR(__xludf.DUMMYFUNCTION("""COMPUTED_VALUE"""),"Male")</f>
        <v>Male</v>
      </c>
      <c r="D1795" s="5"/>
      <c r="E1795" s="5" t="str">
        <f ca="1">IFERROR(__xludf.DUMMYFUNCTION("""COMPUTED_VALUE"""),"Student")</f>
        <v>Student</v>
      </c>
      <c r="F1795" s="5" t="str">
        <f ca="1">IFERROR(__xludf.DUMMYFUNCTION("""COMPUTED_VALUE"""),"Suicide")</f>
        <v>Suicide</v>
      </c>
      <c r="G1795" s="5" t="str">
        <f ca="1">IFERROR(__xludf.DUMMYFUNCTION("""COMPUTED_VALUE"""),"Yes")</f>
        <v>Yes</v>
      </c>
      <c r="H1795" s="5" t="str">
        <f ca="1">IFERROR(__xludf.DUMMYFUNCTION("""COMPUTED_VALUE"""),"Suicide")</f>
        <v>Suicide</v>
      </c>
    </row>
    <row r="1796" spans="1:8">
      <c r="A1796" s="5" t="str">
        <f ca="1">IFERROR(__xludf.DUMMYFUNCTION("""COMPUTED_VALUE"""),"19930201NYAMA")</f>
        <v>19930201NYAMA</v>
      </c>
      <c r="B1796" s="5">
        <f ca="1">IFERROR(__xludf.DUMMYFUNCTION("""COMPUTED_VALUE"""),17)</f>
        <v>17</v>
      </c>
      <c r="C1796" s="5" t="str">
        <f ca="1">IFERROR(__xludf.DUMMYFUNCTION("""COMPUTED_VALUE"""),"Male")</f>
        <v>Male</v>
      </c>
      <c r="D1796" s="5"/>
      <c r="E1796" s="5" t="str">
        <f ca="1">IFERROR(__xludf.DUMMYFUNCTION("""COMPUTED_VALUE"""),"Student")</f>
        <v>Student</v>
      </c>
      <c r="F1796" s="5" t="str">
        <f ca="1">IFERROR(__xludf.DUMMYFUNCTION("""COMPUTED_VALUE"""),"Fled/Apprehended")</f>
        <v>Fled/Apprehended</v>
      </c>
      <c r="G1796" s="5" t="str">
        <f ca="1">IFERROR(__xludf.DUMMYFUNCTION("""COMPUTED_VALUE"""),"No")</f>
        <v>No</v>
      </c>
      <c r="H1796" s="5" t="str">
        <f ca="1">IFERROR(__xludf.DUMMYFUNCTION("""COMPUTED_VALUE"""),"None")</f>
        <v>None</v>
      </c>
    </row>
    <row r="1797" spans="1:8">
      <c r="A1797" s="5" t="str">
        <f ca="1">IFERROR(__xludf.DUMMYFUNCTION("""COMPUTED_VALUE"""),"19930121CAFAL")</f>
        <v>19930121CAFAL</v>
      </c>
      <c r="B1797" s="5" t="str">
        <f ca="1">IFERROR(__xludf.DUMMYFUNCTION("""COMPUTED_VALUE"""),"Teen")</f>
        <v>Teen</v>
      </c>
      <c r="C1797" s="5" t="str">
        <f ca="1">IFERROR(__xludf.DUMMYFUNCTION("""COMPUTED_VALUE"""),"Male")</f>
        <v>Male</v>
      </c>
      <c r="D1797" s="5"/>
      <c r="E1797" s="5" t="str">
        <f ca="1">IFERROR(__xludf.DUMMYFUNCTION("""COMPUTED_VALUE"""),"Student")</f>
        <v>Student</v>
      </c>
      <c r="F1797" s="5" t="str">
        <f ca="1">IFERROR(__xludf.DUMMYFUNCTION("""COMPUTED_VALUE"""),"Surrendered")</f>
        <v>Surrendered</v>
      </c>
      <c r="G1797" s="5" t="str">
        <f ca="1">IFERROR(__xludf.DUMMYFUNCTION("""COMPUTED_VALUE"""),"No")</f>
        <v>No</v>
      </c>
      <c r="H1797" s="5" t="str">
        <f ca="1">IFERROR(__xludf.DUMMYFUNCTION("""COMPUTED_VALUE"""),"None")</f>
        <v>None</v>
      </c>
    </row>
    <row r="1798" spans="1:8">
      <c r="A1798" s="5" t="str">
        <f ca="1">IFERROR(__xludf.DUMMYFUNCTION("""COMPUTED_VALUE"""),"19930118KYEAG")</f>
        <v>19930118KYEAG</v>
      </c>
      <c r="B1798" s="5">
        <f ca="1">IFERROR(__xludf.DUMMYFUNCTION("""COMPUTED_VALUE"""),17)</f>
        <v>17</v>
      </c>
      <c r="C1798" s="5" t="str">
        <f ca="1">IFERROR(__xludf.DUMMYFUNCTION("""COMPUTED_VALUE"""),"Male")</f>
        <v>Male</v>
      </c>
      <c r="D1798" s="5" t="str">
        <f ca="1">IFERROR(__xludf.DUMMYFUNCTION("""COMPUTED_VALUE"""),"White")</f>
        <v>White</v>
      </c>
      <c r="E1798" s="5" t="str">
        <f ca="1">IFERROR(__xludf.DUMMYFUNCTION("""COMPUTED_VALUE"""),"Student")</f>
        <v>Student</v>
      </c>
      <c r="F1798" s="5" t="str">
        <f ca="1">IFERROR(__xludf.DUMMYFUNCTION("""COMPUTED_VALUE"""),"Surrendered")</f>
        <v>Surrendered</v>
      </c>
      <c r="G1798" s="5" t="str">
        <f ca="1">IFERROR(__xludf.DUMMYFUNCTION("""COMPUTED_VALUE"""),"No")</f>
        <v>No</v>
      </c>
      <c r="H1798" s="5" t="str">
        <f ca="1">IFERROR(__xludf.DUMMYFUNCTION("""COMPUTED_VALUE"""),"None")</f>
        <v>None</v>
      </c>
    </row>
    <row r="1799" spans="1:8">
      <c r="A1799" s="5" t="str">
        <f ca="1">IFERROR(__xludf.DUMMYFUNCTION("""COMPUTED_VALUE"""),"19930112FLNOM")</f>
        <v>19930112FLNOM</v>
      </c>
      <c r="B1799" s="5" t="str">
        <f ca="1">IFERROR(__xludf.DUMMYFUNCTION("""COMPUTED_VALUE"""),"Teen")</f>
        <v>Teen</v>
      </c>
      <c r="C1799" s="5" t="str">
        <f ca="1">IFERROR(__xludf.DUMMYFUNCTION("""COMPUTED_VALUE"""),"Male")</f>
        <v>Male</v>
      </c>
      <c r="D1799" s="5"/>
      <c r="E1799" s="5" t="str">
        <f ca="1">IFERROR(__xludf.DUMMYFUNCTION("""COMPUTED_VALUE"""),"Student")</f>
        <v>Student</v>
      </c>
      <c r="F1799" s="5" t="str">
        <f ca="1">IFERROR(__xludf.DUMMYFUNCTION("""COMPUTED_VALUE"""),"Fled/Escaped")</f>
        <v>Fled/Escaped</v>
      </c>
      <c r="G1799" s="5" t="str">
        <f ca="1">IFERROR(__xludf.DUMMYFUNCTION("""COMPUTED_VALUE"""),"No")</f>
        <v>No</v>
      </c>
      <c r="H1799" s="5" t="str">
        <f ca="1">IFERROR(__xludf.DUMMYFUNCTION("""COMPUTED_VALUE"""),"None")</f>
        <v>None</v>
      </c>
    </row>
    <row r="1800" spans="1:8">
      <c r="A1800" s="5" t="str">
        <f ca="1">IFERROR(__xludf.DUMMYFUNCTION("""COMPUTED_VALUE"""),"19930108PACRM")</f>
        <v>19930108PACRM</v>
      </c>
      <c r="B1800" s="5"/>
      <c r="C1800" s="5" t="str">
        <f ca="1">IFERROR(__xludf.DUMMYFUNCTION("""COMPUTED_VALUE"""),"Male")</f>
        <v>Male</v>
      </c>
      <c r="D1800" s="5"/>
      <c r="E1800" s="5"/>
      <c r="F1800" s="5" t="str">
        <f ca="1">IFERROR(__xludf.DUMMYFUNCTION("""COMPUTED_VALUE"""),"Fled/Escaped")</f>
        <v>Fled/Escaped</v>
      </c>
      <c r="G1800" s="5" t="str">
        <f ca="1">IFERROR(__xludf.DUMMYFUNCTION("""COMPUTED_VALUE"""),"No")</f>
        <v>No</v>
      </c>
      <c r="H1800" s="5" t="str">
        <f ca="1">IFERROR(__xludf.DUMMYFUNCTION("""COMPUTED_VALUE"""),"None")</f>
        <v>None</v>
      </c>
    </row>
    <row r="1801" spans="1:8">
      <c r="A1801" s="5" t="str">
        <f ca="1">IFERROR(__xludf.DUMMYFUNCTION("""COMPUTED_VALUE"""),"19930105NYBRB")</f>
        <v>19930105NYBRB</v>
      </c>
      <c r="B1801" s="5" t="str">
        <f ca="1">IFERROR(__xludf.DUMMYFUNCTION("""COMPUTED_VALUE"""),"Teen")</f>
        <v>Teen</v>
      </c>
      <c r="C1801" s="5" t="str">
        <f ca="1">IFERROR(__xludf.DUMMYFUNCTION("""COMPUTED_VALUE"""),"Male")</f>
        <v>Male</v>
      </c>
      <c r="D1801" s="5"/>
      <c r="E1801" s="5" t="str">
        <f ca="1">IFERROR(__xludf.DUMMYFUNCTION("""COMPUTED_VALUE"""),"Rival School Student")</f>
        <v>Rival School Student</v>
      </c>
      <c r="F1801" s="5" t="str">
        <f ca="1">IFERROR(__xludf.DUMMYFUNCTION("""COMPUTED_VALUE"""),"Fled/Escaped")</f>
        <v>Fled/Escaped</v>
      </c>
      <c r="G1801" s="5" t="str">
        <f ca="1">IFERROR(__xludf.DUMMYFUNCTION("""COMPUTED_VALUE"""),"No")</f>
        <v>No</v>
      </c>
      <c r="H1801" s="5" t="str">
        <f ca="1">IFERROR(__xludf.DUMMYFUNCTION("""COMPUTED_VALUE"""),"None")</f>
        <v>None</v>
      </c>
    </row>
    <row r="1802" spans="1:8">
      <c r="A1802" s="5" t="str">
        <f ca="1">IFERROR(__xludf.DUMMYFUNCTION("""COMPUTED_VALUE"""),"19930105NYBRB")</f>
        <v>19930105NYBRB</v>
      </c>
      <c r="B1802" s="5" t="str">
        <f ca="1">IFERROR(__xludf.DUMMYFUNCTION("""COMPUTED_VALUE"""),"Teen")</f>
        <v>Teen</v>
      </c>
      <c r="C1802" s="5" t="str">
        <f ca="1">IFERROR(__xludf.DUMMYFUNCTION("""COMPUTED_VALUE"""),"Male")</f>
        <v>Male</v>
      </c>
      <c r="D1802" s="5"/>
      <c r="E1802" s="5" t="str">
        <f ca="1">IFERROR(__xludf.DUMMYFUNCTION("""COMPUTED_VALUE"""),"Rival School Student")</f>
        <v>Rival School Student</v>
      </c>
      <c r="F1802" s="5" t="str">
        <f ca="1">IFERROR(__xludf.DUMMYFUNCTION("""COMPUTED_VALUE"""),"Fled/Escaped")</f>
        <v>Fled/Escaped</v>
      </c>
      <c r="G1802" s="5" t="str">
        <f ca="1">IFERROR(__xludf.DUMMYFUNCTION("""COMPUTED_VALUE"""),"No")</f>
        <v>No</v>
      </c>
      <c r="H1802" s="5" t="str">
        <f ca="1">IFERROR(__xludf.DUMMYFUNCTION("""COMPUTED_VALUE"""),"None")</f>
        <v>None</v>
      </c>
    </row>
    <row r="1803" spans="1:8">
      <c r="A1803" s="5" t="str">
        <f ca="1">IFERROR(__xludf.DUMMYFUNCTION("""COMPUTED_VALUE"""),"19921214NYWAW")</f>
        <v>19921214NYWAW</v>
      </c>
      <c r="B1803" s="5">
        <f ca="1">IFERROR(__xludf.DUMMYFUNCTION("""COMPUTED_VALUE"""),15)</f>
        <v>15</v>
      </c>
      <c r="C1803" s="5" t="str">
        <f ca="1">IFERROR(__xludf.DUMMYFUNCTION("""COMPUTED_VALUE"""),"Male")</f>
        <v>Male</v>
      </c>
      <c r="D1803" s="5"/>
      <c r="E1803" s="5" t="str">
        <f ca="1">IFERROR(__xludf.DUMMYFUNCTION("""COMPUTED_VALUE"""),"Student")</f>
        <v>Student</v>
      </c>
      <c r="F1803" s="5" t="str">
        <f ca="1">IFERROR(__xludf.DUMMYFUNCTION("""COMPUTED_VALUE"""),"Surrendered")</f>
        <v>Surrendered</v>
      </c>
      <c r="G1803" s="5" t="str">
        <f ca="1">IFERROR(__xludf.DUMMYFUNCTION("""COMPUTED_VALUE"""),"No")</f>
        <v>No</v>
      </c>
      <c r="H1803" s="5" t="str">
        <f ca="1">IFERROR(__xludf.DUMMYFUNCTION("""COMPUTED_VALUE"""),"None")</f>
        <v>None</v>
      </c>
    </row>
    <row r="1804" spans="1:8">
      <c r="A1804" s="5" t="str">
        <f ca="1">IFERROR(__xludf.DUMMYFUNCTION("""COMPUTED_VALUE"""),"19921203ILWOC")</f>
        <v>19921203ILWOC</v>
      </c>
      <c r="B1804" s="5">
        <f ca="1">IFERROR(__xludf.DUMMYFUNCTION("""COMPUTED_VALUE"""),23)</f>
        <v>23</v>
      </c>
      <c r="C1804" s="5" t="str">
        <f ca="1">IFERROR(__xludf.DUMMYFUNCTION("""COMPUTED_VALUE"""),"Male")</f>
        <v>Male</v>
      </c>
      <c r="D1804" s="5"/>
      <c r="E1804" s="5" t="str">
        <f ca="1">IFERROR(__xludf.DUMMYFUNCTION("""COMPUTED_VALUE"""),"Nonstudent Using Athletic Facilities/Attending Game")</f>
        <v>Nonstudent Using Athletic Facilities/Attending Game</v>
      </c>
      <c r="F1804" s="5" t="str">
        <f ca="1">IFERROR(__xludf.DUMMYFUNCTION("""COMPUTED_VALUE"""),"Fled/Apprehended")</f>
        <v>Fled/Apprehended</v>
      </c>
      <c r="G1804" s="5" t="str">
        <f ca="1">IFERROR(__xludf.DUMMYFUNCTION("""COMPUTED_VALUE"""),"No")</f>
        <v>No</v>
      </c>
      <c r="H1804" s="5" t="str">
        <f ca="1">IFERROR(__xludf.DUMMYFUNCTION("""COMPUTED_VALUE"""),"None")</f>
        <v>None</v>
      </c>
    </row>
    <row r="1805" spans="1:8">
      <c r="A1805" s="5" t="str">
        <f ca="1">IFERROR(__xludf.DUMMYFUNCTION("""COMPUTED_VALUE"""),"19921203ILWOC")</f>
        <v>19921203ILWOC</v>
      </c>
      <c r="B1805" s="5" t="str">
        <f ca="1">IFERROR(__xludf.DUMMYFUNCTION("""COMPUTED_VALUE"""),"Adult")</f>
        <v>Adult</v>
      </c>
      <c r="C1805" s="5" t="str">
        <f ca="1">IFERROR(__xludf.DUMMYFUNCTION("""COMPUTED_VALUE"""),"Male")</f>
        <v>Male</v>
      </c>
      <c r="D1805" s="5"/>
      <c r="E1805" s="5" t="str">
        <f ca="1">IFERROR(__xludf.DUMMYFUNCTION("""COMPUTED_VALUE"""),"Nonstudent Using Athletic Facilities/Attending Game")</f>
        <v>Nonstudent Using Athletic Facilities/Attending Game</v>
      </c>
      <c r="F1805" s="5" t="str">
        <f ca="1">IFERROR(__xludf.DUMMYFUNCTION("""COMPUTED_VALUE"""),"Fled/Apprehended")</f>
        <v>Fled/Apprehended</v>
      </c>
      <c r="G1805" s="5" t="str">
        <f ca="1">IFERROR(__xludf.DUMMYFUNCTION("""COMPUTED_VALUE"""),"No")</f>
        <v>No</v>
      </c>
      <c r="H1805" s="5" t="str">
        <f ca="1">IFERROR(__xludf.DUMMYFUNCTION("""COMPUTED_VALUE"""),"None")</f>
        <v>None</v>
      </c>
    </row>
    <row r="1806" spans="1:8">
      <c r="A1806" s="5" t="str">
        <f ca="1">IFERROR(__xludf.DUMMYFUNCTION("""COMPUTED_VALUE"""),"19921130ILORC")</f>
        <v>19921130ILORC</v>
      </c>
      <c r="B1806" s="5">
        <f ca="1">IFERROR(__xludf.DUMMYFUNCTION("""COMPUTED_VALUE"""),17)</f>
        <v>17</v>
      </c>
      <c r="C1806" s="5" t="str">
        <f ca="1">IFERROR(__xludf.DUMMYFUNCTION("""COMPUTED_VALUE"""),"Male")</f>
        <v>Male</v>
      </c>
      <c r="D1806" s="5"/>
      <c r="E1806" s="5" t="str">
        <f ca="1">IFERROR(__xludf.DUMMYFUNCTION("""COMPUTED_VALUE"""),"Student")</f>
        <v>Student</v>
      </c>
      <c r="F1806" s="5" t="str">
        <f ca="1">IFERROR(__xludf.DUMMYFUNCTION("""COMPUTED_VALUE"""),"Fled/Apprehended")</f>
        <v>Fled/Apprehended</v>
      </c>
      <c r="G1806" s="5" t="str">
        <f ca="1">IFERROR(__xludf.DUMMYFUNCTION("""COMPUTED_VALUE"""),"No")</f>
        <v>No</v>
      </c>
      <c r="H1806" s="5" t="str">
        <f ca="1">IFERROR(__xludf.DUMMYFUNCTION("""COMPUTED_VALUE"""),"None")</f>
        <v>None</v>
      </c>
    </row>
    <row r="1807" spans="1:8">
      <c r="A1807" s="5" t="str">
        <f ca="1">IFERROR(__xludf.DUMMYFUNCTION("""COMPUTED_VALUE"""),"19921124ALROM")</f>
        <v>19921124ALROM</v>
      </c>
      <c r="B1807" s="5">
        <f ca="1">IFERROR(__xludf.DUMMYFUNCTION("""COMPUTED_VALUE"""),18)</f>
        <v>18</v>
      </c>
      <c r="C1807" s="5"/>
      <c r="D1807" s="5"/>
      <c r="E1807" s="5" t="str">
        <f ca="1">IFERROR(__xludf.DUMMYFUNCTION("""COMPUTED_VALUE"""),"Student")</f>
        <v>Student</v>
      </c>
      <c r="F1807" s="5" t="str">
        <f ca="1">IFERROR(__xludf.DUMMYFUNCTION("""COMPUTED_VALUE"""),"Unknown")</f>
        <v>Unknown</v>
      </c>
      <c r="G1807" s="5" t="str">
        <f ca="1">IFERROR(__xludf.DUMMYFUNCTION("""COMPUTED_VALUE"""),"No")</f>
        <v>No</v>
      </c>
      <c r="H1807" s="5" t="str">
        <f ca="1">IFERROR(__xludf.DUMMYFUNCTION("""COMPUTED_VALUE"""),"None")</f>
        <v>None</v>
      </c>
    </row>
    <row r="1808" spans="1:8">
      <c r="A1808" s="5" t="str">
        <f ca="1">IFERROR(__xludf.DUMMYFUNCTION("""COMPUTED_VALUE"""),"19921120ILTIC")</f>
        <v>19921120ILTIC</v>
      </c>
      <c r="B1808" s="5">
        <f ca="1">IFERROR(__xludf.DUMMYFUNCTION("""COMPUTED_VALUE"""),15)</f>
        <v>15</v>
      </c>
      <c r="C1808" s="5" t="str">
        <f ca="1">IFERROR(__xludf.DUMMYFUNCTION("""COMPUTED_VALUE"""),"Male")</f>
        <v>Male</v>
      </c>
      <c r="D1808" s="5"/>
      <c r="E1808" s="5" t="str">
        <f ca="1">IFERROR(__xludf.DUMMYFUNCTION("""COMPUTED_VALUE"""),"Student")</f>
        <v>Student</v>
      </c>
      <c r="F1808" s="5" t="str">
        <f ca="1">IFERROR(__xludf.DUMMYFUNCTION("""COMPUTED_VALUE"""),"Fled/Apprehended")</f>
        <v>Fled/Apprehended</v>
      </c>
      <c r="G1808" s="5" t="str">
        <f ca="1">IFERROR(__xludf.DUMMYFUNCTION("""COMPUTED_VALUE"""),"No")</f>
        <v>No</v>
      </c>
      <c r="H1808" s="5" t="str">
        <f ca="1">IFERROR(__xludf.DUMMYFUNCTION("""COMPUTED_VALUE"""),"None")</f>
        <v>None</v>
      </c>
    </row>
    <row r="1809" spans="1:8">
      <c r="A1809" s="5" t="str">
        <f ca="1">IFERROR(__xludf.DUMMYFUNCTION("""COMPUTED_VALUE"""),"19921116ALFAB")</f>
        <v>19921116ALFAB</v>
      </c>
      <c r="B1809" s="5" t="str">
        <f ca="1">IFERROR(__xludf.DUMMYFUNCTION("""COMPUTED_VALUE"""),"Teen")</f>
        <v>Teen</v>
      </c>
      <c r="C1809" s="5" t="str">
        <f ca="1">IFERROR(__xludf.DUMMYFUNCTION("""COMPUTED_VALUE"""),"Male")</f>
        <v>Male</v>
      </c>
      <c r="D1809" s="5"/>
      <c r="E1809" s="5" t="str">
        <f ca="1">IFERROR(__xludf.DUMMYFUNCTION("""COMPUTED_VALUE"""),"Student")</f>
        <v>Student</v>
      </c>
      <c r="F1809" s="5" t="str">
        <f ca="1">IFERROR(__xludf.DUMMYFUNCTION("""COMPUTED_VALUE"""),"Fled/Escaped")</f>
        <v>Fled/Escaped</v>
      </c>
      <c r="G1809" s="5" t="str">
        <f ca="1">IFERROR(__xludf.DUMMYFUNCTION("""COMPUTED_VALUE"""),"No")</f>
        <v>No</v>
      </c>
      <c r="H1809" s="5" t="str">
        <f ca="1">IFERROR(__xludf.DUMMYFUNCTION("""COMPUTED_VALUE"""),"None")</f>
        <v>None</v>
      </c>
    </row>
    <row r="1810" spans="1:8">
      <c r="A1810" s="5" t="str">
        <f ca="1">IFERROR(__xludf.DUMMYFUNCTION("""COMPUTED_VALUE"""),"19921113TXLAC")</f>
        <v>19921113TXLAC</v>
      </c>
      <c r="B1810" s="5">
        <f ca="1">IFERROR(__xludf.DUMMYFUNCTION("""COMPUTED_VALUE"""),39)</f>
        <v>39</v>
      </c>
      <c r="C1810" s="5" t="str">
        <f ca="1">IFERROR(__xludf.DUMMYFUNCTION("""COMPUTED_VALUE"""),"Male")</f>
        <v>Male</v>
      </c>
      <c r="D1810" s="5"/>
      <c r="E1810" s="5" t="str">
        <f ca="1">IFERROR(__xludf.DUMMYFUNCTION("""COMPUTED_VALUE"""),"Intimate Relationship")</f>
        <v>Intimate Relationship</v>
      </c>
      <c r="F1810" s="5" t="str">
        <f ca="1">IFERROR(__xludf.DUMMYFUNCTION("""COMPUTED_VALUE"""),"Suicide")</f>
        <v>Suicide</v>
      </c>
      <c r="G1810" s="5" t="str">
        <f ca="1">IFERROR(__xludf.DUMMYFUNCTION("""COMPUTED_VALUE"""),"Yes")</f>
        <v>Yes</v>
      </c>
      <c r="H1810" s="5" t="str">
        <f ca="1">IFERROR(__xludf.DUMMYFUNCTION("""COMPUTED_VALUE"""),"Suicide")</f>
        <v>Suicide</v>
      </c>
    </row>
    <row r="1811" spans="1:8">
      <c r="A1811" s="5" t="str">
        <f ca="1">IFERROR(__xludf.DUMMYFUNCTION("""COMPUTED_VALUE"""),"19921110ILSHC")</f>
        <v>19921110ILSHC</v>
      </c>
      <c r="B1811" s="5">
        <f ca="1">IFERROR(__xludf.DUMMYFUNCTION("""COMPUTED_VALUE"""),13)</f>
        <v>13</v>
      </c>
      <c r="C1811" s="5" t="str">
        <f ca="1">IFERROR(__xludf.DUMMYFUNCTION("""COMPUTED_VALUE"""),"Male")</f>
        <v>Male</v>
      </c>
      <c r="D1811" s="5"/>
      <c r="E1811" s="5" t="str">
        <f ca="1">IFERROR(__xludf.DUMMYFUNCTION("""COMPUTED_VALUE"""),"Student")</f>
        <v>Student</v>
      </c>
      <c r="F1811" s="5" t="str">
        <f ca="1">IFERROR(__xludf.DUMMYFUNCTION("""COMPUTED_VALUE"""),"Suicide")</f>
        <v>Suicide</v>
      </c>
      <c r="G1811" s="5" t="str">
        <f ca="1">IFERROR(__xludf.DUMMYFUNCTION("""COMPUTED_VALUE"""),"Yes")</f>
        <v>Yes</v>
      </c>
      <c r="H1811" s="5" t="str">
        <f ca="1">IFERROR(__xludf.DUMMYFUNCTION("""COMPUTED_VALUE"""),"Suicide")</f>
        <v>Suicide</v>
      </c>
    </row>
    <row r="1812" spans="1:8">
      <c r="A1812" s="5" t="str">
        <f ca="1">IFERROR(__xludf.DUMMYFUNCTION("""COMPUTED_VALUE"""),"19921104MIMUD")</f>
        <v>19921104MIMUD</v>
      </c>
      <c r="B1812" s="5">
        <f ca="1">IFERROR(__xludf.DUMMYFUNCTION("""COMPUTED_VALUE"""),14)</f>
        <v>14</v>
      </c>
      <c r="C1812" s="5" t="str">
        <f ca="1">IFERROR(__xludf.DUMMYFUNCTION("""COMPUTED_VALUE"""),"Male")</f>
        <v>Male</v>
      </c>
      <c r="D1812" s="5"/>
      <c r="E1812" s="5" t="str">
        <f ca="1">IFERROR(__xludf.DUMMYFUNCTION("""COMPUTED_VALUE"""),"No Relation")</f>
        <v>No Relation</v>
      </c>
      <c r="F1812" s="5" t="str">
        <f ca="1">IFERROR(__xludf.DUMMYFUNCTION("""COMPUTED_VALUE"""),"Fled/Apprehended")</f>
        <v>Fled/Apprehended</v>
      </c>
      <c r="G1812" s="5" t="str">
        <f ca="1">IFERROR(__xludf.DUMMYFUNCTION("""COMPUTED_VALUE"""),"No")</f>
        <v>No</v>
      </c>
      <c r="H1812" s="5" t="str">
        <f ca="1">IFERROR(__xludf.DUMMYFUNCTION("""COMPUTED_VALUE"""),"None")</f>
        <v>None</v>
      </c>
    </row>
    <row r="1813" spans="1:8">
      <c r="A1813" s="5" t="str">
        <f ca="1">IFERROR(__xludf.DUMMYFUNCTION("""COMPUTED_VALUE"""),"19921104MIMUD")</f>
        <v>19921104MIMUD</v>
      </c>
      <c r="B1813" s="5">
        <f ca="1">IFERROR(__xludf.DUMMYFUNCTION("""COMPUTED_VALUE"""),14)</f>
        <v>14</v>
      </c>
      <c r="C1813" s="5" t="str">
        <f ca="1">IFERROR(__xludf.DUMMYFUNCTION("""COMPUTED_VALUE"""),"Female")</f>
        <v>Female</v>
      </c>
      <c r="D1813" s="5"/>
      <c r="E1813" s="5" t="str">
        <f ca="1">IFERROR(__xludf.DUMMYFUNCTION("""COMPUTED_VALUE"""),"No Relation")</f>
        <v>No Relation</v>
      </c>
      <c r="F1813" s="5" t="str">
        <f ca="1">IFERROR(__xludf.DUMMYFUNCTION("""COMPUTED_VALUE"""),"Fled/Apprehended")</f>
        <v>Fled/Apprehended</v>
      </c>
      <c r="G1813" s="5" t="str">
        <f ca="1">IFERROR(__xludf.DUMMYFUNCTION("""COMPUTED_VALUE"""),"No")</f>
        <v>No</v>
      </c>
      <c r="H1813" s="5" t="str">
        <f ca="1">IFERROR(__xludf.DUMMYFUNCTION("""COMPUTED_VALUE"""),"None")</f>
        <v>None</v>
      </c>
    </row>
    <row r="1814" spans="1:8">
      <c r="A1814" s="5" t="str">
        <f ca="1">IFERROR(__xludf.DUMMYFUNCTION("""COMPUTED_VALUE"""),"19921104MIMUD")</f>
        <v>19921104MIMUD</v>
      </c>
      <c r="B1814" s="5">
        <f ca="1">IFERROR(__xludf.DUMMYFUNCTION("""COMPUTED_VALUE"""),13)</f>
        <v>13</v>
      </c>
      <c r="C1814" s="5" t="str">
        <f ca="1">IFERROR(__xludf.DUMMYFUNCTION("""COMPUTED_VALUE"""),"Female")</f>
        <v>Female</v>
      </c>
      <c r="D1814" s="5"/>
      <c r="E1814" s="5" t="str">
        <f ca="1">IFERROR(__xludf.DUMMYFUNCTION("""COMPUTED_VALUE"""),"No Relation")</f>
        <v>No Relation</v>
      </c>
      <c r="F1814" s="5" t="str">
        <f ca="1">IFERROR(__xludf.DUMMYFUNCTION("""COMPUTED_VALUE"""),"Fled/Apprehended")</f>
        <v>Fled/Apprehended</v>
      </c>
      <c r="G1814" s="5" t="str">
        <f ca="1">IFERROR(__xludf.DUMMYFUNCTION("""COMPUTED_VALUE"""),"No")</f>
        <v>No</v>
      </c>
      <c r="H1814" s="5" t="str">
        <f ca="1">IFERROR(__xludf.DUMMYFUNCTION("""COMPUTED_VALUE"""),"None")</f>
        <v>None</v>
      </c>
    </row>
    <row r="1815" spans="1:8">
      <c r="A1815" s="5" t="str">
        <f ca="1">IFERROR(__xludf.DUMMYFUNCTION("""COMPUTED_VALUE"""),"19921104MIMAD")</f>
        <v>19921104MIMAD</v>
      </c>
      <c r="B1815" s="5"/>
      <c r="C1815" s="5"/>
      <c r="D1815" s="5"/>
      <c r="E1815" s="5" t="str">
        <f ca="1">IFERROR(__xludf.DUMMYFUNCTION("""COMPUTED_VALUE"""),"Unknown")</f>
        <v>Unknown</v>
      </c>
      <c r="F1815" s="5" t="str">
        <f ca="1">IFERROR(__xludf.DUMMYFUNCTION("""COMPUTED_VALUE"""),"Fled/Escaped")</f>
        <v>Fled/Escaped</v>
      </c>
      <c r="G1815" s="5" t="str">
        <f ca="1">IFERROR(__xludf.DUMMYFUNCTION("""COMPUTED_VALUE"""),"No")</f>
        <v>No</v>
      </c>
      <c r="H1815" s="5" t="str">
        <f ca="1">IFERROR(__xludf.DUMMYFUNCTION("""COMPUTED_VALUE"""),"None")</f>
        <v>None</v>
      </c>
    </row>
    <row r="1816" spans="1:8">
      <c r="A1816" s="5" t="str">
        <f ca="1">IFERROR(__xludf.DUMMYFUNCTION("""COMPUTED_VALUE"""),"19921104MIFID")</f>
        <v>19921104MIFID</v>
      </c>
      <c r="B1816" s="5" t="str">
        <f ca="1">IFERROR(__xludf.DUMMYFUNCTION("""COMPUTED_VALUE"""),"Minor")</f>
        <v>Minor</v>
      </c>
      <c r="C1816" s="5" t="str">
        <f ca="1">IFERROR(__xludf.DUMMYFUNCTION("""COMPUTED_VALUE"""),"Male")</f>
        <v>Male</v>
      </c>
      <c r="D1816" s="5" t="str">
        <f ca="1">IFERROR(__xludf.DUMMYFUNCTION("""COMPUTED_VALUE"""),"Black")</f>
        <v>Black</v>
      </c>
      <c r="E1816" s="5" t="str">
        <f ca="1">IFERROR(__xludf.DUMMYFUNCTION("""COMPUTED_VALUE"""),"Student")</f>
        <v>Student</v>
      </c>
      <c r="F1816" s="5" t="str">
        <f ca="1">IFERROR(__xludf.DUMMYFUNCTION("""COMPUTED_VALUE"""),"Fled/Apprehended")</f>
        <v>Fled/Apprehended</v>
      </c>
      <c r="G1816" s="5" t="str">
        <f ca="1">IFERROR(__xludf.DUMMYFUNCTION("""COMPUTED_VALUE"""),"No")</f>
        <v>No</v>
      </c>
      <c r="H1816" s="5" t="str">
        <f ca="1">IFERROR(__xludf.DUMMYFUNCTION("""COMPUTED_VALUE"""),"None")</f>
        <v>None</v>
      </c>
    </row>
    <row r="1817" spans="1:8">
      <c r="A1817" s="5" t="str">
        <f ca="1">IFERROR(__xludf.DUMMYFUNCTION("""COMPUTED_VALUE"""),"19921104MIFID")</f>
        <v>19921104MIFID</v>
      </c>
      <c r="B1817" s="5">
        <f ca="1">IFERROR(__xludf.DUMMYFUNCTION("""COMPUTED_VALUE"""),18)</f>
        <v>18</v>
      </c>
      <c r="C1817" s="5" t="str">
        <f ca="1">IFERROR(__xludf.DUMMYFUNCTION("""COMPUTED_VALUE"""),"Male")</f>
        <v>Male</v>
      </c>
      <c r="D1817" s="5" t="str">
        <f ca="1">IFERROR(__xludf.DUMMYFUNCTION("""COMPUTED_VALUE"""),"Black")</f>
        <v>Black</v>
      </c>
      <c r="E1817" s="5" t="str">
        <f ca="1">IFERROR(__xludf.DUMMYFUNCTION("""COMPUTED_VALUE"""),"Student")</f>
        <v>Student</v>
      </c>
      <c r="F1817" s="5" t="str">
        <f ca="1">IFERROR(__xludf.DUMMYFUNCTION("""COMPUTED_VALUE"""),"Fled/Apprehended")</f>
        <v>Fled/Apprehended</v>
      </c>
      <c r="G1817" s="5" t="str">
        <f ca="1">IFERROR(__xludf.DUMMYFUNCTION("""COMPUTED_VALUE"""),"No")</f>
        <v>No</v>
      </c>
      <c r="H1817" s="5" t="str">
        <f ca="1">IFERROR(__xludf.DUMMYFUNCTION("""COMPUTED_VALUE"""),"None")</f>
        <v>None</v>
      </c>
    </row>
    <row r="1818" spans="1:8">
      <c r="A1818" s="5" t="str">
        <f ca="1">IFERROR(__xludf.DUMMYFUNCTION("""COMPUTED_VALUE"""),"19921104MIFID")</f>
        <v>19921104MIFID</v>
      </c>
      <c r="B1818" s="5">
        <f ca="1">IFERROR(__xludf.DUMMYFUNCTION("""COMPUTED_VALUE"""),18)</f>
        <v>18</v>
      </c>
      <c r="C1818" s="5" t="str">
        <f ca="1">IFERROR(__xludf.DUMMYFUNCTION("""COMPUTED_VALUE"""),"Male")</f>
        <v>Male</v>
      </c>
      <c r="D1818" s="5" t="str">
        <f ca="1">IFERROR(__xludf.DUMMYFUNCTION("""COMPUTED_VALUE"""),"Black")</f>
        <v>Black</v>
      </c>
      <c r="E1818" s="5" t="str">
        <f ca="1">IFERROR(__xludf.DUMMYFUNCTION("""COMPUTED_VALUE"""),"Student")</f>
        <v>Student</v>
      </c>
      <c r="F1818" s="5" t="str">
        <f ca="1">IFERROR(__xludf.DUMMYFUNCTION("""COMPUTED_VALUE"""),"Fled/Apprehended")</f>
        <v>Fled/Apprehended</v>
      </c>
      <c r="G1818" s="5" t="str">
        <f ca="1">IFERROR(__xludf.DUMMYFUNCTION("""COMPUTED_VALUE"""),"No")</f>
        <v>No</v>
      </c>
      <c r="H1818" s="5" t="str">
        <f ca="1">IFERROR(__xludf.DUMMYFUNCTION("""COMPUTED_VALUE"""),"None")</f>
        <v>None</v>
      </c>
    </row>
    <row r="1819" spans="1:8">
      <c r="A1819" s="5" t="str">
        <f ca="1">IFERROR(__xludf.DUMMYFUNCTION("""COMPUTED_VALUE"""),"19921019NYEVB")</f>
        <v>19921019NYEVB</v>
      </c>
      <c r="B1819" s="5"/>
      <c r="C1819" s="5" t="str">
        <f ca="1">IFERROR(__xludf.DUMMYFUNCTION("""COMPUTED_VALUE"""),"Male")</f>
        <v>Male</v>
      </c>
      <c r="D1819" s="5" t="str">
        <f ca="1">IFERROR(__xludf.DUMMYFUNCTION("""COMPUTED_VALUE"""),"Black")</f>
        <v>Black</v>
      </c>
      <c r="E1819" s="5" t="str">
        <f ca="1">IFERROR(__xludf.DUMMYFUNCTION("""COMPUTED_VALUE"""),"Student")</f>
        <v>Student</v>
      </c>
      <c r="F1819" s="5" t="str">
        <f ca="1">IFERROR(__xludf.DUMMYFUNCTION("""COMPUTED_VALUE"""),"Fled/Escaped")</f>
        <v>Fled/Escaped</v>
      </c>
      <c r="G1819" s="5" t="str">
        <f ca="1">IFERROR(__xludf.DUMMYFUNCTION("""COMPUTED_VALUE"""),"No")</f>
        <v>No</v>
      </c>
      <c r="H1819" s="5" t="str">
        <f ca="1">IFERROR(__xludf.DUMMYFUNCTION("""COMPUTED_VALUE"""),"None")</f>
        <v>None</v>
      </c>
    </row>
    <row r="1820" spans="1:8">
      <c r="A1820" s="5" t="str">
        <f ca="1">IFERROR(__xludf.DUMMYFUNCTION("""COMPUTED_VALUE"""),"19921013AZDET")</f>
        <v>19921013AZDET</v>
      </c>
      <c r="B1820" s="5">
        <f ca="1">IFERROR(__xludf.DUMMYFUNCTION("""COMPUTED_VALUE"""),20)</f>
        <v>20</v>
      </c>
      <c r="C1820" s="5" t="str">
        <f ca="1">IFERROR(__xludf.DUMMYFUNCTION("""COMPUTED_VALUE"""),"Male")</f>
        <v>Male</v>
      </c>
      <c r="D1820" s="5" t="str">
        <f ca="1">IFERROR(__xludf.DUMMYFUNCTION("""COMPUTED_VALUE"""),"White")</f>
        <v>White</v>
      </c>
      <c r="E1820" s="5" t="str">
        <f ca="1">IFERROR(__xludf.DUMMYFUNCTION("""COMPUTED_VALUE"""),"No Relation")</f>
        <v>No Relation</v>
      </c>
      <c r="F1820" s="5" t="str">
        <f ca="1">IFERROR(__xludf.DUMMYFUNCTION("""COMPUTED_VALUE"""),"Fled/Apprehended")</f>
        <v>Fled/Apprehended</v>
      </c>
      <c r="G1820" s="5" t="str">
        <f ca="1">IFERROR(__xludf.DUMMYFUNCTION("""COMPUTED_VALUE"""),"No")</f>
        <v>No</v>
      </c>
      <c r="H1820" s="5" t="str">
        <f ca="1">IFERROR(__xludf.DUMMYFUNCTION("""COMPUTED_VALUE"""),"None")</f>
        <v>None</v>
      </c>
    </row>
    <row r="1821" spans="1:8">
      <c r="A1821" s="5" t="str">
        <f ca="1">IFERROR(__xludf.DUMMYFUNCTION("""COMPUTED_VALUE"""),"19920930TXHOH")</f>
        <v>19920930TXHOH</v>
      </c>
      <c r="B1821" s="5">
        <f ca="1">IFERROR(__xludf.DUMMYFUNCTION("""COMPUTED_VALUE"""),15)</f>
        <v>15</v>
      </c>
      <c r="C1821" s="5" t="str">
        <f ca="1">IFERROR(__xludf.DUMMYFUNCTION("""COMPUTED_VALUE"""),"Male")</f>
        <v>Male</v>
      </c>
      <c r="D1821" s="5" t="str">
        <f ca="1">IFERROR(__xludf.DUMMYFUNCTION("""COMPUTED_VALUE"""),"White")</f>
        <v>White</v>
      </c>
      <c r="E1821" s="5" t="str">
        <f ca="1">IFERROR(__xludf.DUMMYFUNCTION("""COMPUTED_VALUE"""),"Student")</f>
        <v>Student</v>
      </c>
      <c r="F1821" s="5" t="str">
        <f ca="1">IFERROR(__xludf.DUMMYFUNCTION("""COMPUTED_VALUE"""),"Fled/Apprehended")</f>
        <v>Fled/Apprehended</v>
      </c>
      <c r="G1821" s="5" t="str">
        <f ca="1">IFERROR(__xludf.DUMMYFUNCTION("""COMPUTED_VALUE"""),"No")</f>
        <v>No</v>
      </c>
      <c r="H1821" s="5" t="str">
        <f ca="1">IFERROR(__xludf.DUMMYFUNCTION("""COMPUTED_VALUE"""),"None")</f>
        <v>None</v>
      </c>
    </row>
    <row r="1822" spans="1:8">
      <c r="A1822" s="5" t="str">
        <f ca="1">IFERROR(__xludf.DUMMYFUNCTION("""COMPUTED_VALUE"""),"19920930CAPAL")</f>
        <v>19920930CAPAL</v>
      </c>
      <c r="B1822" s="5" t="str">
        <f ca="1">IFERROR(__xludf.DUMMYFUNCTION("""COMPUTED_VALUE"""),"Teen")</f>
        <v>Teen</v>
      </c>
      <c r="C1822" s="5" t="str">
        <f ca="1">IFERROR(__xludf.DUMMYFUNCTION("""COMPUTED_VALUE"""),"Male")</f>
        <v>Male</v>
      </c>
      <c r="D1822" s="5"/>
      <c r="E1822" s="5" t="str">
        <f ca="1">IFERROR(__xludf.DUMMYFUNCTION("""COMPUTED_VALUE"""),"Gang Member")</f>
        <v>Gang Member</v>
      </c>
      <c r="F1822" s="5" t="str">
        <f ca="1">IFERROR(__xludf.DUMMYFUNCTION("""COMPUTED_VALUE"""),"Fled/Escaped")</f>
        <v>Fled/Escaped</v>
      </c>
      <c r="G1822" s="5" t="str">
        <f ca="1">IFERROR(__xludf.DUMMYFUNCTION("""COMPUTED_VALUE"""),"No")</f>
        <v>No</v>
      </c>
      <c r="H1822" s="5" t="str">
        <f ca="1">IFERROR(__xludf.DUMMYFUNCTION("""COMPUTED_VALUE"""),"None")</f>
        <v>None</v>
      </c>
    </row>
    <row r="1823" spans="1:8">
      <c r="A1823" s="5" t="str">
        <f ca="1">IFERROR(__xludf.DUMMYFUNCTION("""COMPUTED_VALUE"""),"19920928CAHIS")</f>
        <v>19920928CAHIS</v>
      </c>
      <c r="B1823" s="5">
        <f ca="1">IFERROR(__xludf.DUMMYFUNCTION("""COMPUTED_VALUE"""),18)</f>
        <v>18</v>
      </c>
      <c r="C1823" s="5" t="str">
        <f ca="1">IFERROR(__xludf.DUMMYFUNCTION("""COMPUTED_VALUE"""),"Male")</f>
        <v>Male</v>
      </c>
      <c r="D1823" s="5" t="str">
        <f ca="1">IFERROR(__xludf.DUMMYFUNCTION("""COMPUTED_VALUE"""),"Asian")</f>
        <v>Asian</v>
      </c>
      <c r="E1823" s="5" t="str">
        <f ca="1">IFERROR(__xludf.DUMMYFUNCTION("""COMPUTED_VALUE"""),"Student")</f>
        <v>Student</v>
      </c>
      <c r="F1823" s="5" t="str">
        <f ca="1">IFERROR(__xludf.DUMMYFUNCTION("""COMPUTED_VALUE"""),"Fled/Apprehended")</f>
        <v>Fled/Apprehended</v>
      </c>
      <c r="G1823" s="5" t="str">
        <f ca="1">IFERROR(__xludf.DUMMYFUNCTION("""COMPUTED_VALUE"""),"No")</f>
        <v>No</v>
      </c>
      <c r="H1823" s="5" t="str">
        <f ca="1">IFERROR(__xludf.DUMMYFUNCTION("""COMPUTED_VALUE"""),"None")</f>
        <v>None</v>
      </c>
    </row>
    <row r="1824" spans="1:8">
      <c r="A1824" s="5" t="str">
        <f ca="1">IFERROR(__xludf.DUMMYFUNCTION("""COMPUTED_VALUE"""),"19920928CAHIS")</f>
        <v>19920928CAHIS</v>
      </c>
      <c r="B1824" s="5">
        <f ca="1">IFERROR(__xludf.DUMMYFUNCTION("""COMPUTED_VALUE"""),19)</f>
        <v>19</v>
      </c>
      <c r="C1824" s="5" t="str">
        <f ca="1">IFERROR(__xludf.DUMMYFUNCTION("""COMPUTED_VALUE"""),"Male")</f>
        <v>Male</v>
      </c>
      <c r="D1824" s="5" t="str">
        <f ca="1">IFERROR(__xludf.DUMMYFUNCTION("""COMPUTED_VALUE"""),"Asian")</f>
        <v>Asian</v>
      </c>
      <c r="E1824" s="5" t="str">
        <f ca="1">IFERROR(__xludf.DUMMYFUNCTION("""COMPUTED_VALUE"""),"Student")</f>
        <v>Student</v>
      </c>
      <c r="F1824" s="5" t="str">
        <f ca="1">IFERROR(__xludf.DUMMYFUNCTION("""COMPUTED_VALUE"""),"Fled/Apprehended")</f>
        <v>Fled/Apprehended</v>
      </c>
      <c r="G1824" s="5" t="str">
        <f ca="1">IFERROR(__xludf.DUMMYFUNCTION("""COMPUTED_VALUE"""),"No")</f>
        <v>No</v>
      </c>
      <c r="H1824" s="5" t="str">
        <f ca="1">IFERROR(__xludf.DUMMYFUNCTION("""COMPUTED_VALUE"""),"None")</f>
        <v>None</v>
      </c>
    </row>
    <row r="1825" spans="1:8">
      <c r="A1825" s="5" t="str">
        <f ca="1">IFERROR(__xludf.DUMMYFUNCTION("""COMPUTED_VALUE"""),"19920928CAHIS")</f>
        <v>19920928CAHIS</v>
      </c>
      <c r="B1825" s="5">
        <f ca="1">IFERROR(__xludf.DUMMYFUNCTION("""COMPUTED_VALUE"""),20)</f>
        <v>20</v>
      </c>
      <c r="C1825" s="5" t="str">
        <f ca="1">IFERROR(__xludf.DUMMYFUNCTION("""COMPUTED_VALUE"""),"Male")</f>
        <v>Male</v>
      </c>
      <c r="D1825" s="5" t="str">
        <f ca="1">IFERROR(__xludf.DUMMYFUNCTION("""COMPUTED_VALUE"""),"Asian")</f>
        <v>Asian</v>
      </c>
      <c r="E1825" s="5" t="str">
        <f ca="1">IFERROR(__xludf.DUMMYFUNCTION("""COMPUTED_VALUE"""),"Student")</f>
        <v>Student</v>
      </c>
      <c r="F1825" s="5" t="str">
        <f ca="1">IFERROR(__xludf.DUMMYFUNCTION("""COMPUTED_VALUE"""),"Fled/Apprehended")</f>
        <v>Fled/Apprehended</v>
      </c>
      <c r="G1825" s="5" t="str">
        <f ca="1">IFERROR(__xludf.DUMMYFUNCTION("""COMPUTED_VALUE"""),"No")</f>
        <v>No</v>
      </c>
      <c r="H1825" s="5" t="str">
        <f ca="1">IFERROR(__xludf.DUMMYFUNCTION("""COMPUTED_VALUE"""),"None")</f>
        <v>None</v>
      </c>
    </row>
    <row r="1826" spans="1:8">
      <c r="A1826" s="5" t="str">
        <f ca="1">IFERROR(__xludf.DUMMYFUNCTION("""COMPUTED_VALUE"""),"19920911TXPAA")</f>
        <v>19920911TXPAA</v>
      </c>
      <c r="B1826" s="5">
        <f ca="1">IFERROR(__xludf.DUMMYFUNCTION("""COMPUTED_VALUE"""),17)</f>
        <v>17</v>
      </c>
      <c r="C1826" s="5" t="str">
        <f ca="1">IFERROR(__xludf.DUMMYFUNCTION("""COMPUTED_VALUE"""),"Male")</f>
        <v>Male</v>
      </c>
      <c r="D1826" s="5"/>
      <c r="E1826" s="5" t="str">
        <f ca="1">IFERROR(__xludf.DUMMYFUNCTION("""COMPUTED_VALUE"""),"Student")</f>
        <v>Student</v>
      </c>
      <c r="F1826" s="5" t="str">
        <f ca="1">IFERROR(__xludf.DUMMYFUNCTION("""COMPUTED_VALUE"""),"Fled/Apprehended")</f>
        <v>Fled/Apprehended</v>
      </c>
      <c r="G1826" s="5" t="str">
        <f ca="1">IFERROR(__xludf.DUMMYFUNCTION("""COMPUTED_VALUE"""),"No")</f>
        <v>No</v>
      </c>
      <c r="H1826" s="5" t="str">
        <f ca="1">IFERROR(__xludf.DUMMYFUNCTION("""COMPUTED_VALUE"""),"None")</f>
        <v>None</v>
      </c>
    </row>
    <row r="1827" spans="1:8">
      <c r="A1827" s="5" t="str">
        <f ca="1">IFERROR(__xludf.DUMMYFUNCTION("""COMPUTED_VALUE"""),"19920606CAMEM")</f>
        <v>19920606CAMEM</v>
      </c>
      <c r="B1827" s="5">
        <f ca="1">IFERROR(__xludf.DUMMYFUNCTION("""COMPUTED_VALUE"""),17)</f>
        <v>17</v>
      </c>
      <c r="C1827" s="5" t="str">
        <f ca="1">IFERROR(__xludf.DUMMYFUNCTION("""COMPUTED_VALUE"""),"Male")</f>
        <v>Male</v>
      </c>
      <c r="D1827" s="5" t="str">
        <f ca="1">IFERROR(__xludf.DUMMYFUNCTION("""COMPUTED_VALUE"""),"Asian")</f>
        <v>Asian</v>
      </c>
      <c r="E1827" s="5" t="str">
        <f ca="1">IFERROR(__xludf.DUMMYFUNCTION("""COMPUTED_VALUE"""),"Student")</f>
        <v>Student</v>
      </c>
      <c r="F1827" s="5" t="str">
        <f ca="1">IFERROR(__xludf.DUMMYFUNCTION("""COMPUTED_VALUE"""),"Fled/Escaped")</f>
        <v>Fled/Escaped</v>
      </c>
      <c r="G1827" s="5" t="str">
        <f ca="1">IFERROR(__xludf.DUMMYFUNCTION("""COMPUTED_VALUE"""),"No")</f>
        <v>No</v>
      </c>
      <c r="H1827" s="5" t="str">
        <f ca="1">IFERROR(__xludf.DUMMYFUNCTION("""COMPUTED_VALUE"""),"None")</f>
        <v>None</v>
      </c>
    </row>
    <row r="1828" spans="1:8">
      <c r="A1828" s="5" t="str">
        <f ca="1">IFERROR(__xludf.DUMMYFUNCTION("""COMPUTED_VALUE"""),"19920530DCARW")</f>
        <v>19920530DCARW</v>
      </c>
      <c r="B1828" s="5"/>
      <c r="C1828" s="5" t="str">
        <f ca="1">IFERROR(__xludf.DUMMYFUNCTION("""COMPUTED_VALUE"""),"Male")</f>
        <v>Male</v>
      </c>
      <c r="D1828" s="5"/>
      <c r="E1828" s="5"/>
      <c r="F1828" s="5" t="str">
        <f ca="1">IFERROR(__xludf.DUMMYFUNCTION("""COMPUTED_VALUE"""),"Fled/Escaped")</f>
        <v>Fled/Escaped</v>
      </c>
      <c r="G1828" s="5" t="str">
        <f ca="1">IFERROR(__xludf.DUMMYFUNCTION("""COMPUTED_VALUE"""),"No")</f>
        <v>No</v>
      </c>
      <c r="H1828" s="5" t="str">
        <f ca="1">IFERROR(__xludf.DUMMYFUNCTION("""COMPUTED_VALUE"""),"None")</f>
        <v>None</v>
      </c>
    </row>
    <row r="1829" spans="1:8">
      <c r="A1829" s="5" t="str">
        <f ca="1">IFERROR(__xludf.DUMMYFUNCTION("""COMPUTED_VALUE"""),"19920529CAVEL")</f>
        <v>19920529CAVEL</v>
      </c>
      <c r="B1829" s="5"/>
      <c r="C1829" s="5"/>
      <c r="D1829" s="5"/>
      <c r="E1829" s="5" t="str">
        <f ca="1">IFERROR(__xludf.DUMMYFUNCTION("""COMPUTED_VALUE"""),"Unknown")</f>
        <v>Unknown</v>
      </c>
      <c r="F1829" s="5" t="str">
        <f ca="1">IFERROR(__xludf.DUMMYFUNCTION("""COMPUTED_VALUE"""),"Fled/Escaped")</f>
        <v>Fled/Escaped</v>
      </c>
      <c r="G1829" s="5" t="str">
        <f ca="1">IFERROR(__xludf.DUMMYFUNCTION("""COMPUTED_VALUE"""),"No")</f>
        <v>No</v>
      </c>
      <c r="H1829" s="5" t="str">
        <f ca="1">IFERROR(__xludf.DUMMYFUNCTION("""COMPUTED_VALUE"""),"None")</f>
        <v>None</v>
      </c>
    </row>
    <row r="1830" spans="1:8">
      <c r="A1830" s="5" t="str">
        <f ca="1">IFERROR(__xludf.DUMMYFUNCTION("""COMPUTED_VALUE"""),"19920514TXHUH")</f>
        <v>19920514TXHUH</v>
      </c>
      <c r="B1830" s="5">
        <f ca="1">IFERROR(__xludf.DUMMYFUNCTION("""COMPUTED_VALUE"""),14)</f>
        <v>14</v>
      </c>
      <c r="C1830" s="5" t="str">
        <f ca="1">IFERROR(__xludf.DUMMYFUNCTION("""COMPUTED_VALUE"""),"Male")</f>
        <v>Male</v>
      </c>
      <c r="D1830" s="5" t="str">
        <f ca="1">IFERROR(__xludf.DUMMYFUNCTION("""COMPUTED_VALUE"""),"White")</f>
        <v>White</v>
      </c>
      <c r="E1830" s="5" t="str">
        <f ca="1">IFERROR(__xludf.DUMMYFUNCTION("""COMPUTED_VALUE"""),"Student")</f>
        <v>Student</v>
      </c>
      <c r="F1830" s="5" t="str">
        <f ca="1">IFERROR(__xludf.DUMMYFUNCTION("""COMPUTED_VALUE"""),"Surrendered")</f>
        <v>Surrendered</v>
      </c>
      <c r="G1830" s="5" t="str">
        <f ca="1">IFERROR(__xludf.DUMMYFUNCTION("""COMPUTED_VALUE"""),"No")</f>
        <v>No</v>
      </c>
      <c r="H1830" s="5" t="str">
        <f ca="1">IFERROR(__xludf.DUMMYFUNCTION("""COMPUTED_VALUE"""),"None")</f>
        <v>None</v>
      </c>
    </row>
    <row r="1831" spans="1:8">
      <c r="A1831" s="5" t="str">
        <f ca="1">IFERROR(__xludf.DUMMYFUNCTION("""COMPUTED_VALUE"""),"19920514CASIN")</f>
        <v>19920514CASIN</v>
      </c>
      <c r="B1831" s="5">
        <f ca="1">IFERROR(__xludf.DUMMYFUNCTION("""COMPUTED_VALUE"""),14)</f>
        <v>14</v>
      </c>
      <c r="C1831" s="5" t="str">
        <f ca="1">IFERROR(__xludf.DUMMYFUNCTION("""COMPUTED_VALUE"""),"Male")</f>
        <v>Male</v>
      </c>
      <c r="D1831" s="5"/>
      <c r="E1831" s="5" t="str">
        <f ca="1">IFERROR(__xludf.DUMMYFUNCTION("""COMPUTED_VALUE"""),"Student")</f>
        <v>Student</v>
      </c>
      <c r="F1831" s="5" t="str">
        <f ca="1">IFERROR(__xludf.DUMMYFUNCTION("""COMPUTED_VALUE"""),"Surrendered")</f>
        <v>Surrendered</v>
      </c>
      <c r="G1831" s="5" t="str">
        <f ca="1">IFERROR(__xludf.DUMMYFUNCTION("""COMPUTED_VALUE"""),"No")</f>
        <v>No</v>
      </c>
      <c r="H1831" s="5" t="str">
        <f ca="1">IFERROR(__xludf.DUMMYFUNCTION("""COMPUTED_VALUE"""),"None")</f>
        <v>None</v>
      </c>
    </row>
    <row r="1832" spans="1:8">
      <c r="A1832" s="5" t="str">
        <f ca="1">IFERROR(__xludf.DUMMYFUNCTION("""COMPUTED_VALUE"""),"19920501CALIO")</f>
        <v>19920501CALIO</v>
      </c>
      <c r="B1832" s="5">
        <f ca="1">IFERROR(__xludf.DUMMYFUNCTION("""COMPUTED_VALUE"""),20)</f>
        <v>20</v>
      </c>
      <c r="C1832" s="5" t="str">
        <f ca="1">IFERROR(__xludf.DUMMYFUNCTION("""COMPUTED_VALUE"""),"Male")</f>
        <v>Male</v>
      </c>
      <c r="D1832" s="5" t="str">
        <f ca="1">IFERROR(__xludf.DUMMYFUNCTION("""COMPUTED_VALUE"""),"White")</f>
        <v>White</v>
      </c>
      <c r="E1832" s="5" t="str">
        <f ca="1">IFERROR(__xludf.DUMMYFUNCTION("""COMPUTED_VALUE"""),"Former Student")</f>
        <v>Former Student</v>
      </c>
      <c r="F1832" s="5" t="str">
        <f ca="1">IFERROR(__xludf.DUMMYFUNCTION("""COMPUTED_VALUE"""),"Surrendered")</f>
        <v>Surrendered</v>
      </c>
      <c r="G1832" s="5" t="str">
        <f ca="1">IFERROR(__xludf.DUMMYFUNCTION("""COMPUTED_VALUE"""),"No")</f>
        <v>No</v>
      </c>
      <c r="H1832" s="5" t="str">
        <f ca="1">IFERROR(__xludf.DUMMYFUNCTION("""COMPUTED_VALUE"""),"None")</f>
        <v>None</v>
      </c>
    </row>
    <row r="1833" spans="1:8">
      <c r="A1833" s="5" t="str">
        <f ca="1">IFERROR(__xludf.DUMMYFUNCTION("""COMPUTED_VALUE"""),"19920417TXLID")</f>
        <v>19920417TXLID</v>
      </c>
      <c r="B1833" s="5"/>
      <c r="C1833" s="5"/>
      <c r="D1833" s="5"/>
      <c r="E1833" s="5" t="str">
        <f ca="1">IFERROR(__xludf.DUMMYFUNCTION("""COMPUTED_VALUE"""),"Unknown")</f>
        <v>Unknown</v>
      </c>
      <c r="F1833" s="5" t="str">
        <f ca="1">IFERROR(__xludf.DUMMYFUNCTION("""COMPUTED_VALUE"""),"Surrendered")</f>
        <v>Surrendered</v>
      </c>
      <c r="G1833" s="5" t="str">
        <f ca="1">IFERROR(__xludf.DUMMYFUNCTION("""COMPUTED_VALUE"""),"No")</f>
        <v>No</v>
      </c>
      <c r="H1833" s="5" t="str">
        <f ca="1">IFERROR(__xludf.DUMMYFUNCTION("""COMPUTED_VALUE"""),"None")</f>
        <v>None</v>
      </c>
    </row>
    <row r="1834" spans="1:8">
      <c r="A1834" s="5" t="str">
        <f ca="1">IFERROR(__xludf.DUMMYFUNCTION("""COMPUTED_VALUE"""),"19920409FLFOF")</f>
        <v>19920409FLFOF</v>
      </c>
      <c r="B1834" s="5">
        <f ca="1">IFERROR(__xludf.DUMMYFUNCTION("""COMPUTED_VALUE"""),16)</f>
        <v>16</v>
      </c>
      <c r="C1834" s="5" t="str">
        <f ca="1">IFERROR(__xludf.DUMMYFUNCTION("""COMPUTED_VALUE"""),"Male")</f>
        <v>Male</v>
      </c>
      <c r="D1834" s="5" t="str">
        <f ca="1">IFERROR(__xludf.DUMMYFUNCTION("""COMPUTED_VALUE"""),"Black")</f>
        <v>Black</v>
      </c>
      <c r="E1834" s="5" t="str">
        <f ca="1">IFERROR(__xludf.DUMMYFUNCTION("""COMPUTED_VALUE"""),"Student")</f>
        <v>Student</v>
      </c>
      <c r="F1834" s="5" t="str">
        <f ca="1">IFERROR(__xludf.DUMMYFUNCTION("""COMPUTED_VALUE"""),"Fled/Apprehended")</f>
        <v>Fled/Apprehended</v>
      </c>
      <c r="G1834" s="5" t="str">
        <f ca="1">IFERROR(__xludf.DUMMYFUNCTION("""COMPUTED_VALUE"""),"No")</f>
        <v>No</v>
      </c>
      <c r="H1834" s="5" t="str">
        <f ca="1">IFERROR(__xludf.DUMMYFUNCTION("""COMPUTED_VALUE"""),"None")</f>
        <v>None</v>
      </c>
    </row>
    <row r="1835" spans="1:8">
      <c r="A1835" s="5" t="str">
        <f ca="1">IFERROR(__xludf.DUMMYFUNCTION("""COMPUTED_VALUE"""),"19920331LAOPA")</f>
        <v>19920331LAOPA</v>
      </c>
      <c r="B1835" s="5">
        <f ca="1">IFERROR(__xludf.DUMMYFUNCTION("""COMPUTED_VALUE"""),15)</f>
        <v>15</v>
      </c>
      <c r="C1835" s="5" t="str">
        <f ca="1">IFERROR(__xludf.DUMMYFUNCTION("""COMPUTED_VALUE"""),"Male")</f>
        <v>Male</v>
      </c>
      <c r="D1835" s="5"/>
      <c r="E1835" s="5" t="str">
        <f ca="1">IFERROR(__xludf.DUMMYFUNCTION("""COMPUTED_VALUE"""),"Student")</f>
        <v>Student</v>
      </c>
      <c r="F1835" s="5" t="str">
        <f ca="1">IFERROR(__xludf.DUMMYFUNCTION("""COMPUTED_VALUE"""),"Surrendered")</f>
        <v>Surrendered</v>
      </c>
      <c r="G1835" s="5" t="str">
        <f ca="1">IFERROR(__xludf.DUMMYFUNCTION("""COMPUTED_VALUE"""),"No")</f>
        <v>No</v>
      </c>
      <c r="H1835" s="5" t="str">
        <f ca="1">IFERROR(__xludf.DUMMYFUNCTION("""COMPUTED_VALUE"""),"None")</f>
        <v>None</v>
      </c>
    </row>
    <row r="1836" spans="1:8">
      <c r="A1836" s="5" t="str">
        <f ca="1">IFERROR(__xludf.DUMMYFUNCTION("""COMPUTED_VALUE"""),"19920305OHHAO")</f>
        <v>19920305OHHAO</v>
      </c>
      <c r="B1836" s="5">
        <f ca="1">IFERROR(__xludf.DUMMYFUNCTION("""COMPUTED_VALUE"""),12)</f>
        <v>12</v>
      </c>
      <c r="C1836" s="5" t="str">
        <f ca="1">IFERROR(__xludf.DUMMYFUNCTION("""COMPUTED_VALUE"""),"Male")</f>
        <v>Male</v>
      </c>
      <c r="D1836" s="5" t="str">
        <f ca="1">IFERROR(__xludf.DUMMYFUNCTION("""COMPUTED_VALUE"""),"White")</f>
        <v>White</v>
      </c>
      <c r="E1836" s="5" t="str">
        <f ca="1">IFERROR(__xludf.DUMMYFUNCTION("""COMPUTED_VALUE"""),"Student")</f>
        <v>Student</v>
      </c>
      <c r="F1836" s="5" t="str">
        <f ca="1">IFERROR(__xludf.DUMMYFUNCTION("""COMPUTED_VALUE"""),"Fled/Apprehended")</f>
        <v>Fled/Apprehended</v>
      </c>
      <c r="G1836" s="5" t="str">
        <f ca="1">IFERROR(__xludf.DUMMYFUNCTION("""COMPUTED_VALUE"""),"No")</f>
        <v>No</v>
      </c>
      <c r="H1836" s="5" t="str">
        <f ca="1">IFERROR(__xludf.DUMMYFUNCTION("""COMPUTED_VALUE"""),"None")</f>
        <v>None</v>
      </c>
    </row>
    <row r="1837" spans="1:8">
      <c r="A1837" s="5" t="str">
        <f ca="1">IFERROR(__xludf.DUMMYFUNCTION("""COMPUTED_VALUE"""),"19920226NYTHB")</f>
        <v>19920226NYTHB</v>
      </c>
      <c r="B1837" s="5">
        <f ca="1">IFERROR(__xludf.DUMMYFUNCTION("""COMPUTED_VALUE"""),15)</f>
        <v>15</v>
      </c>
      <c r="C1837" s="5" t="str">
        <f ca="1">IFERROR(__xludf.DUMMYFUNCTION("""COMPUTED_VALUE"""),"Male")</f>
        <v>Male</v>
      </c>
      <c r="D1837" s="5" t="str">
        <f ca="1">IFERROR(__xludf.DUMMYFUNCTION("""COMPUTED_VALUE"""),"Black")</f>
        <v>Black</v>
      </c>
      <c r="E1837" s="5" t="str">
        <f ca="1">IFERROR(__xludf.DUMMYFUNCTION("""COMPUTED_VALUE"""),"Student")</f>
        <v>Student</v>
      </c>
      <c r="F1837" s="5" t="str">
        <f ca="1">IFERROR(__xludf.DUMMYFUNCTION("""COMPUTED_VALUE"""),"Fled/Apprehended")</f>
        <v>Fled/Apprehended</v>
      </c>
      <c r="G1837" s="5" t="str">
        <f ca="1">IFERROR(__xludf.DUMMYFUNCTION("""COMPUTED_VALUE"""),"No")</f>
        <v>No</v>
      </c>
      <c r="H1837" s="5" t="str">
        <f ca="1">IFERROR(__xludf.DUMMYFUNCTION("""COMPUTED_VALUE"""),"None")</f>
        <v>None</v>
      </c>
    </row>
    <row r="1838" spans="1:8">
      <c r="A1838" s="5" t="str">
        <f ca="1">IFERROR(__xludf.DUMMYFUNCTION("""COMPUTED_VALUE"""),"19920207VABON")</f>
        <v>19920207VABON</v>
      </c>
      <c r="B1838" s="5"/>
      <c r="C1838" s="5" t="str">
        <f ca="1">IFERROR(__xludf.DUMMYFUNCTION("""COMPUTED_VALUE"""),"Male")</f>
        <v>Male</v>
      </c>
      <c r="D1838" s="5"/>
      <c r="E1838" s="5" t="str">
        <f ca="1">IFERROR(__xludf.DUMMYFUNCTION("""COMPUTED_VALUE"""),"No Relation")</f>
        <v>No Relation</v>
      </c>
      <c r="F1838" s="5" t="str">
        <f ca="1">IFERROR(__xludf.DUMMYFUNCTION("""COMPUTED_VALUE"""),"Fled/Escaped")</f>
        <v>Fled/Escaped</v>
      </c>
      <c r="G1838" s="5" t="str">
        <f ca="1">IFERROR(__xludf.DUMMYFUNCTION("""COMPUTED_VALUE"""),"No")</f>
        <v>No</v>
      </c>
      <c r="H1838" s="5" t="str">
        <f ca="1">IFERROR(__xludf.DUMMYFUNCTION("""COMPUTED_VALUE"""),"None")</f>
        <v>None</v>
      </c>
    </row>
    <row r="1839" spans="1:8">
      <c r="A1839" s="5" t="str">
        <f ca="1">IFERROR(__xludf.DUMMYFUNCTION("""COMPUTED_VALUE"""),"19920206OKDOO")</f>
        <v>19920206OKDOO</v>
      </c>
      <c r="B1839" s="5">
        <f ca="1">IFERROR(__xludf.DUMMYFUNCTION("""COMPUTED_VALUE"""),14)</f>
        <v>14</v>
      </c>
      <c r="C1839" s="5" t="str">
        <f ca="1">IFERROR(__xludf.DUMMYFUNCTION("""COMPUTED_VALUE"""),"Male")</f>
        <v>Male</v>
      </c>
      <c r="D1839" s="5"/>
      <c r="E1839" s="5" t="str">
        <f ca="1">IFERROR(__xludf.DUMMYFUNCTION("""COMPUTED_VALUE"""),"Student")</f>
        <v>Student</v>
      </c>
      <c r="F1839" s="5" t="str">
        <f ca="1">IFERROR(__xludf.DUMMYFUNCTION("""COMPUTED_VALUE"""),"Unknown")</f>
        <v>Unknown</v>
      </c>
      <c r="G1839" s="5" t="str">
        <f ca="1">IFERROR(__xludf.DUMMYFUNCTION("""COMPUTED_VALUE"""),"No")</f>
        <v>No</v>
      </c>
      <c r="H1839" s="5" t="str">
        <f ca="1">IFERROR(__xludf.DUMMYFUNCTION("""COMPUTED_VALUE"""),"None")</f>
        <v>None</v>
      </c>
    </row>
    <row r="1840" spans="1:8">
      <c r="A1840" s="5" t="str">
        <f ca="1">IFERROR(__xludf.DUMMYFUNCTION("""COMPUTED_VALUE"""),"19920131LAFRG")</f>
        <v>19920131LAFRG</v>
      </c>
      <c r="B1840" s="5" t="str">
        <f ca="1">IFERROR(__xludf.DUMMYFUNCTION("""COMPUTED_VALUE"""),"Teen")</f>
        <v>Teen</v>
      </c>
      <c r="C1840" s="5" t="str">
        <f ca="1">IFERROR(__xludf.DUMMYFUNCTION("""COMPUTED_VALUE"""),"Male")</f>
        <v>Male</v>
      </c>
      <c r="D1840" s="5"/>
      <c r="E1840" s="5" t="str">
        <f ca="1">IFERROR(__xludf.DUMMYFUNCTION("""COMPUTED_VALUE"""),"Student")</f>
        <v>Student</v>
      </c>
      <c r="F1840" s="5" t="str">
        <f ca="1">IFERROR(__xludf.DUMMYFUNCTION("""COMPUTED_VALUE"""),"Fled/Escaped")</f>
        <v>Fled/Escaped</v>
      </c>
      <c r="G1840" s="5" t="str">
        <f ca="1">IFERROR(__xludf.DUMMYFUNCTION("""COMPUTED_VALUE"""),"No")</f>
        <v>No</v>
      </c>
      <c r="H1840" s="5" t="str">
        <f ca="1">IFERROR(__xludf.DUMMYFUNCTION("""COMPUTED_VALUE"""),"None")</f>
        <v>None</v>
      </c>
    </row>
    <row r="1841" spans="1:8">
      <c r="A1841" s="5" t="str">
        <f ca="1">IFERROR(__xludf.DUMMYFUNCTION("""COMPUTED_VALUE"""),"19920128LAFRG")</f>
        <v>19920128LAFRG</v>
      </c>
      <c r="B1841" s="5" t="str">
        <f ca="1">IFERROR(__xludf.DUMMYFUNCTION("""COMPUTED_VALUE"""),"Teen")</f>
        <v>Teen</v>
      </c>
      <c r="C1841" s="5" t="str">
        <f ca="1">IFERROR(__xludf.DUMMYFUNCTION("""COMPUTED_VALUE"""),"Male")</f>
        <v>Male</v>
      </c>
      <c r="D1841" s="5"/>
      <c r="E1841" s="5" t="str">
        <f ca="1">IFERROR(__xludf.DUMMYFUNCTION("""COMPUTED_VALUE"""),"Student")</f>
        <v>Student</v>
      </c>
      <c r="F1841" s="5" t="str">
        <f ca="1">IFERROR(__xludf.DUMMYFUNCTION("""COMPUTED_VALUE"""),"Fled/Escaped")</f>
        <v>Fled/Escaped</v>
      </c>
      <c r="G1841" s="5" t="str">
        <f ca="1">IFERROR(__xludf.DUMMYFUNCTION("""COMPUTED_VALUE"""),"No")</f>
        <v>No</v>
      </c>
      <c r="H1841" s="5" t="str">
        <f ca="1">IFERROR(__xludf.DUMMYFUNCTION("""COMPUTED_VALUE"""),"None")</f>
        <v>None</v>
      </c>
    </row>
    <row r="1842" spans="1:8">
      <c r="A1842" s="5" t="str">
        <f ca="1">IFERROR(__xludf.DUMMYFUNCTION("""COMPUTED_VALUE"""),"19920117SCGRG")</f>
        <v>19920117SCGRG</v>
      </c>
      <c r="B1842" s="5">
        <f ca="1">IFERROR(__xludf.DUMMYFUNCTION("""COMPUTED_VALUE"""),16)</f>
        <v>16</v>
      </c>
      <c r="C1842" s="5" t="str">
        <f ca="1">IFERROR(__xludf.DUMMYFUNCTION("""COMPUTED_VALUE"""),"Male")</f>
        <v>Male</v>
      </c>
      <c r="D1842" s="5"/>
      <c r="E1842" s="5" t="str">
        <f ca="1">IFERROR(__xludf.DUMMYFUNCTION("""COMPUTED_VALUE"""),"Student")</f>
        <v>Student</v>
      </c>
      <c r="F1842" s="5" t="str">
        <f ca="1">IFERROR(__xludf.DUMMYFUNCTION("""COMPUTED_VALUE"""),"Fled/Apprehended")</f>
        <v>Fled/Apprehended</v>
      </c>
      <c r="G1842" s="5" t="str">
        <f ca="1">IFERROR(__xludf.DUMMYFUNCTION("""COMPUTED_VALUE"""),"No")</f>
        <v>No</v>
      </c>
      <c r="H1842" s="5" t="str">
        <f ca="1">IFERROR(__xludf.DUMMYFUNCTION("""COMPUTED_VALUE"""),"None")</f>
        <v>None</v>
      </c>
    </row>
    <row r="1843" spans="1:8">
      <c r="A1843" s="5" t="str">
        <f ca="1">IFERROR(__xludf.DUMMYFUNCTION("""COMPUTED_VALUE"""),"19911226NCWHW")</f>
        <v>19911226NCWHW</v>
      </c>
      <c r="B1843" s="5">
        <f ca="1">IFERROR(__xludf.DUMMYFUNCTION("""COMPUTED_VALUE"""),18)</f>
        <v>18</v>
      </c>
      <c r="C1843" s="5" t="str">
        <f ca="1">IFERROR(__xludf.DUMMYFUNCTION("""COMPUTED_VALUE"""),"Male")</f>
        <v>Male</v>
      </c>
      <c r="D1843" s="5"/>
      <c r="E1843" s="5" t="str">
        <f ca="1">IFERROR(__xludf.DUMMYFUNCTION("""COMPUTED_VALUE"""),"Nonstudent Using Athletic Facilities/Attending Game")</f>
        <v>Nonstudent Using Athletic Facilities/Attending Game</v>
      </c>
      <c r="F1843" s="5" t="str">
        <f ca="1">IFERROR(__xludf.DUMMYFUNCTION("""COMPUTED_VALUE"""),"Fled/Apprehended")</f>
        <v>Fled/Apprehended</v>
      </c>
      <c r="G1843" s="5" t="str">
        <f ca="1">IFERROR(__xludf.DUMMYFUNCTION("""COMPUTED_VALUE"""),"No")</f>
        <v>No</v>
      </c>
      <c r="H1843" s="5" t="str">
        <f ca="1">IFERROR(__xludf.DUMMYFUNCTION("""COMPUTED_VALUE"""),"None")</f>
        <v>None</v>
      </c>
    </row>
    <row r="1844" spans="1:8">
      <c r="A1844" s="5" t="str">
        <f ca="1">IFERROR(__xludf.DUMMYFUNCTION("""COMPUTED_VALUE"""),"19911125NYTHB")</f>
        <v>19911125NYTHB</v>
      </c>
      <c r="B1844" s="5">
        <f ca="1">IFERROR(__xludf.DUMMYFUNCTION("""COMPUTED_VALUE"""),14)</f>
        <v>14</v>
      </c>
      <c r="C1844" s="5" t="str">
        <f ca="1">IFERROR(__xludf.DUMMYFUNCTION("""COMPUTED_VALUE"""),"Male")</f>
        <v>Male</v>
      </c>
      <c r="D1844" s="5" t="str">
        <f ca="1">IFERROR(__xludf.DUMMYFUNCTION("""COMPUTED_VALUE"""),"Black")</f>
        <v>Black</v>
      </c>
      <c r="E1844" s="5" t="str">
        <f ca="1">IFERROR(__xludf.DUMMYFUNCTION("""COMPUTED_VALUE"""),"Student")</f>
        <v>Student</v>
      </c>
      <c r="F1844" s="5" t="str">
        <f ca="1">IFERROR(__xludf.DUMMYFUNCTION("""COMPUTED_VALUE"""),"Fled/Apprehended")</f>
        <v>Fled/Apprehended</v>
      </c>
      <c r="G1844" s="5" t="str">
        <f ca="1">IFERROR(__xludf.DUMMYFUNCTION("""COMPUTED_VALUE"""),"No")</f>
        <v>No</v>
      </c>
      <c r="H1844" s="5" t="str">
        <f ca="1">IFERROR(__xludf.DUMMYFUNCTION("""COMPUTED_VALUE"""),"None")</f>
        <v>None</v>
      </c>
    </row>
    <row r="1845" spans="1:8">
      <c r="A1845" s="5" t="str">
        <f ca="1">IFERROR(__xludf.DUMMYFUNCTION("""COMPUTED_VALUE"""),"19911114TXMIH")</f>
        <v>19911114TXMIH</v>
      </c>
      <c r="B1845" s="5">
        <f ca="1">IFERROR(__xludf.DUMMYFUNCTION("""COMPUTED_VALUE"""),16)</f>
        <v>16</v>
      </c>
      <c r="C1845" s="5" t="str">
        <f ca="1">IFERROR(__xludf.DUMMYFUNCTION("""COMPUTED_VALUE"""),"Male")</f>
        <v>Male</v>
      </c>
      <c r="D1845" s="5"/>
      <c r="E1845" s="5" t="str">
        <f ca="1">IFERROR(__xludf.DUMMYFUNCTION("""COMPUTED_VALUE"""),"Student")</f>
        <v>Student</v>
      </c>
      <c r="F1845" s="5" t="str">
        <f ca="1">IFERROR(__xludf.DUMMYFUNCTION("""COMPUTED_VALUE"""),"Apprehended/Killed by SRO")</f>
        <v>Apprehended/Killed by SRO</v>
      </c>
      <c r="G1845" s="5" t="str">
        <f ca="1">IFERROR(__xludf.DUMMYFUNCTION("""COMPUTED_VALUE"""),"No")</f>
        <v>No</v>
      </c>
      <c r="H1845" s="5" t="str">
        <f ca="1">IFERROR(__xludf.DUMMYFUNCTION("""COMPUTED_VALUE"""),"None")</f>
        <v>None</v>
      </c>
    </row>
    <row r="1846" spans="1:8">
      <c r="A1846" s="5" t="str">
        <f ca="1">IFERROR(__xludf.DUMMYFUNCTION("""COMPUTED_VALUE"""),"19911111TXYSE")</f>
        <v>19911111TXYSE</v>
      </c>
      <c r="B1846" s="5">
        <f ca="1">IFERROR(__xludf.DUMMYFUNCTION("""COMPUTED_VALUE"""),19)</f>
        <v>19</v>
      </c>
      <c r="C1846" s="5" t="str">
        <f ca="1">IFERROR(__xludf.DUMMYFUNCTION("""COMPUTED_VALUE"""),"Male")</f>
        <v>Male</v>
      </c>
      <c r="D1846" s="5"/>
      <c r="E1846" s="5" t="str">
        <f ca="1">IFERROR(__xludf.DUMMYFUNCTION("""COMPUTED_VALUE"""),"Former Student")</f>
        <v>Former Student</v>
      </c>
      <c r="F1846" s="5" t="str">
        <f ca="1">IFERROR(__xludf.DUMMYFUNCTION("""COMPUTED_VALUE"""),"Fled/Apprehended")</f>
        <v>Fled/Apprehended</v>
      </c>
      <c r="G1846" s="5" t="str">
        <f ca="1">IFERROR(__xludf.DUMMYFUNCTION("""COMPUTED_VALUE"""),"No")</f>
        <v>No</v>
      </c>
      <c r="H1846" s="5" t="str">
        <f ca="1">IFERROR(__xludf.DUMMYFUNCTION("""COMPUTED_VALUE"""),"None")</f>
        <v>None</v>
      </c>
    </row>
    <row r="1847" spans="1:8">
      <c r="A1847" s="5" t="str">
        <f ca="1">IFERROR(__xludf.DUMMYFUNCTION("""COMPUTED_VALUE"""),"19911111TXYSE")</f>
        <v>19911111TXYSE</v>
      </c>
      <c r="B1847" s="5">
        <f ca="1">IFERROR(__xludf.DUMMYFUNCTION("""COMPUTED_VALUE"""),17)</f>
        <v>17</v>
      </c>
      <c r="C1847" s="5" t="str">
        <f ca="1">IFERROR(__xludf.DUMMYFUNCTION("""COMPUTED_VALUE"""),"Male")</f>
        <v>Male</v>
      </c>
      <c r="D1847" s="5"/>
      <c r="E1847" s="5" t="str">
        <f ca="1">IFERROR(__xludf.DUMMYFUNCTION("""COMPUTED_VALUE"""),"Former Student")</f>
        <v>Former Student</v>
      </c>
      <c r="F1847" s="5" t="str">
        <f ca="1">IFERROR(__xludf.DUMMYFUNCTION("""COMPUTED_VALUE"""),"Fled/Apprehended")</f>
        <v>Fled/Apprehended</v>
      </c>
      <c r="G1847" s="5" t="str">
        <f ca="1">IFERROR(__xludf.DUMMYFUNCTION("""COMPUTED_VALUE"""),"No")</f>
        <v>No</v>
      </c>
      <c r="H1847" s="5" t="str">
        <f ca="1">IFERROR(__xludf.DUMMYFUNCTION("""COMPUTED_VALUE"""),"None")</f>
        <v>None</v>
      </c>
    </row>
    <row r="1848" spans="1:8">
      <c r="A1848" s="5" t="str">
        <f ca="1">IFERROR(__xludf.DUMMYFUNCTION("""COMPUTED_VALUE"""),"19911111TXYSE")</f>
        <v>19911111TXYSE</v>
      </c>
      <c r="B1848" s="5">
        <f ca="1">IFERROR(__xludf.DUMMYFUNCTION("""COMPUTED_VALUE"""),18)</f>
        <v>18</v>
      </c>
      <c r="C1848" s="5" t="str">
        <f ca="1">IFERROR(__xludf.DUMMYFUNCTION("""COMPUTED_VALUE"""),"Male")</f>
        <v>Male</v>
      </c>
      <c r="D1848" s="5"/>
      <c r="E1848" s="5" t="str">
        <f ca="1">IFERROR(__xludf.DUMMYFUNCTION("""COMPUTED_VALUE"""),"Former Student")</f>
        <v>Former Student</v>
      </c>
      <c r="F1848" s="5" t="str">
        <f ca="1">IFERROR(__xludf.DUMMYFUNCTION("""COMPUTED_VALUE"""),"Fled/Apprehended")</f>
        <v>Fled/Apprehended</v>
      </c>
      <c r="G1848" s="5" t="str">
        <f ca="1">IFERROR(__xludf.DUMMYFUNCTION("""COMPUTED_VALUE"""),"No")</f>
        <v>No</v>
      </c>
      <c r="H1848" s="5" t="str">
        <f ca="1">IFERROR(__xludf.DUMMYFUNCTION("""COMPUTED_VALUE"""),"None")</f>
        <v>None</v>
      </c>
    </row>
    <row r="1849" spans="1:8">
      <c r="A1849" s="5" t="str">
        <f ca="1">IFERROR(__xludf.DUMMYFUNCTION("""COMPUTED_VALUE"""),"19911111TXYSE")</f>
        <v>19911111TXYSE</v>
      </c>
      <c r="B1849" s="5">
        <f ca="1">IFERROR(__xludf.DUMMYFUNCTION("""COMPUTED_VALUE"""),17)</f>
        <v>17</v>
      </c>
      <c r="C1849" s="5" t="str">
        <f ca="1">IFERROR(__xludf.DUMMYFUNCTION("""COMPUTED_VALUE"""),"Male")</f>
        <v>Male</v>
      </c>
      <c r="D1849" s="5"/>
      <c r="E1849" s="5" t="str">
        <f ca="1">IFERROR(__xludf.DUMMYFUNCTION("""COMPUTED_VALUE"""),"Former Student")</f>
        <v>Former Student</v>
      </c>
      <c r="F1849" s="5" t="str">
        <f ca="1">IFERROR(__xludf.DUMMYFUNCTION("""COMPUTED_VALUE"""),"Fled/Apprehended")</f>
        <v>Fled/Apprehended</v>
      </c>
      <c r="G1849" s="5" t="str">
        <f ca="1">IFERROR(__xludf.DUMMYFUNCTION("""COMPUTED_VALUE"""),"No")</f>
        <v>No</v>
      </c>
      <c r="H1849" s="5" t="str">
        <f ca="1">IFERROR(__xludf.DUMMYFUNCTION("""COMPUTED_VALUE"""),"None")</f>
        <v>None</v>
      </c>
    </row>
    <row r="1850" spans="1:8">
      <c r="A1850" s="5" t="str">
        <f ca="1">IFERROR(__xludf.DUMMYFUNCTION("""COMPUTED_VALUE"""),"19911106LAWAN")</f>
        <v>19911106LAWAN</v>
      </c>
      <c r="B1850" s="5">
        <f ca="1">IFERROR(__xludf.DUMMYFUNCTION("""COMPUTED_VALUE"""),18)</f>
        <v>18</v>
      </c>
      <c r="C1850" s="5" t="str">
        <f ca="1">IFERROR(__xludf.DUMMYFUNCTION("""COMPUTED_VALUE"""),"Male")</f>
        <v>Male</v>
      </c>
      <c r="D1850" s="5" t="str">
        <f ca="1">IFERROR(__xludf.DUMMYFUNCTION("""COMPUTED_VALUE"""),"Black")</f>
        <v>Black</v>
      </c>
      <c r="E1850" s="5" t="str">
        <f ca="1">IFERROR(__xludf.DUMMYFUNCTION("""COMPUTED_VALUE"""),"Student")</f>
        <v>Student</v>
      </c>
      <c r="F1850" s="5" t="str">
        <f ca="1">IFERROR(__xludf.DUMMYFUNCTION("""COMPUTED_VALUE"""),"Fled/Escaped")</f>
        <v>Fled/Escaped</v>
      </c>
      <c r="G1850" s="5" t="str">
        <f ca="1">IFERROR(__xludf.DUMMYFUNCTION("""COMPUTED_VALUE"""),"No")</f>
        <v>No</v>
      </c>
      <c r="H1850" s="5" t="str">
        <f ca="1">IFERROR(__xludf.DUMMYFUNCTION("""COMPUTED_VALUE"""),"None")</f>
        <v>None</v>
      </c>
    </row>
    <row r="1851" spans="1:8">
      <c r="A1851" s="5" t="str">
        <f ca="1">IFERROR(__xludf.DUMMYFUNCTION("""COMPUTED_VALUE"""),"19911023TXOAD")</f>
        <v>19911023TXOAD</v>
      </c>
      <c r="B1851" s="5">
        <f ca="1">IFERROR(__xludf.DUMMYFUNCTION("""COMPUTED_VALUE"""),18)</f>
        <v>18</v>
      </c>
      <c r="C1851" s="5" t="str">
        <f ca="1">IFERROR(__xludf.DUMMYFUNCTION("""COMPUTED_VALUE"""),"Male")</f>
        <v>Male</v>
      </c>
      <c r="D1851" s="5"/>
      <c r="E1851" s="5" t="str">
        <f ca="1">IFERROR(__xludf.DUMMYFUNCTION("""COMPUTED_VALUE"""),"Relative")</f>
        <v>Relative</v>
      </c>
      <c r="F1851" s="5" t="str">
        <f ca="1">IFERROR(__xludf.DUMMYFUNCTION("""COMPUTED_VALUE"""),"Fled/Apprehended")</f>
        <v>Fled/Apprehended</v>
      </c>
      <c r="G1851" s="5" t="str">
        <f ca="1">IFERROR(__xludf.DUMMYFUNCTION("""COMPUTED_VALUE"""),"No")</f>
        <v>No</v>
      </c>
      <c r="H1851" s="5" t="str">
        <f ca="1">IFERROR(__xludf.DUMMYFUNCTION("""COMPUTED_VALUE"""),"None")</f>
        <v>None</v>
      </c>
    </row>
    <row r="1852" spans="1:8">
      <c r="A1852" s="5" t="str">
        <f ca="1">IFERROR(__xludf.DUMMYFUNCTION("""COMPUTED_VALUE"""),"19911015TXGEP")</f>
        <v>19911015TXGEP</v>
      </c>
      <c r="B1852" s="5">
        <f ca="1">IFERROR(__xludf.DUMMYFUNCTION("""COMPUTED_VALUE"""),13)</f>
        <v>13</v>
      </c>
      <c r="C1852" s="5" t="str">
        <f ca="1">IFERROR(__xludf.DUMMYFUNCTION("""COMPUTED_VALUE"""),"Male")</f>
        <v>Male</v>
      </c>
      <c r="D1852" s="5"/>
      <c r="E1852" s="5" t="str">
        <f ca="1">IFERROR(__xludf.DUMMYFUNCTION("""COMPUTED_VALUE"""),"No Relation")</f>
        <v>No Relation</v>
      </c>
      <c r="F1852" s="5" t="str">
        <f ca="1">IFERROR(__xludf.DUMMYFUNCTION("""COMPUTED_VALUE"""),"Unknown")</f>
        <v>Unknown</v>
      </c>
      <c r="G1852" s="5" t="str">
        <f ca="1">IFERROR(__xludf.DUMMYFUNCTION("""COMPUTED_VALUE"""),"No")</f>
        <v>No</v>
      </c>
      <c r="H1852" s="5" t="str">
        <f ca="1">IFERROR(__xludf.DUMMYFUNCTION("""COMPUTED_VALUE"""),"None")</f>
        <v>None</v>
      </c>
    </row>
    <row r="1853" spans="1:8">
      <c r="A1853" s="5" t="str">
        <f ca="1">IFERROR(__xludf.DUMMYFUNCTION("""COMPUTED_VALUE"""),"19911015SCWOW")</f>
        <v>19911015SCWOW</v>
      </c>
      <c r="B1853" s="5">
        <f ca="1">IFERROR(__xludf.DUMMYFUNCTION("""COMPUTED_VALUE"""),15)</f>
        <v>15</v>
      </c>
      <c r="C1853" s="5" t="str">
        <f ca="1">IFERROR(__xludf.DUMMYFUNCTION("""COMPUTED_VALUE"""),"Male")</f>
        <v>Male</v>
      </c>
      <c r="D1853" s="5"/>
      <c r="E1853" s="5" t="str">
        <f ca="1">IFERROR(__xludf.DUMMYFUNCTION("""COMPUTED_VALUE"""),"Student")</f>
        <v>Student</v>
      </c>
      <c r="F1853" s="5" t="str">
        <f ca="1">IFERROR(__xludf.DUMMYFUNCTION("""COMPUTED_VALUE"""),"Fled/Apprehended")</f>
        <v>Fled/Apprehended</v>
      </c>
      <c r="G1853" s="5" t="str">
        <f ca="1">IFERROR(__xludf.DUMMYFUNCTION("""COMPUTED_VALUE"""),"No")</f>
        <v>No</v>
      </c>
      <c r="H1853" s="5" t="str">
        <f ca="1">IFERROR(__xludf.DUMMYFUNCTION("""COMPUTED_VALUE"""),"None")</f>
        <v>None</v>
      </c>
    </row>
    <row r="1854" spans="1:8">
      <c r="A1854" s="5" t="str">
        <f ca="1">IFERROR(__xludf.DUMMYFUNCTION("""COMPUTED_VALUE"""),"19911015NHMOS")</f>
        <v>19911015NHMOS</v>
      </c>
      <c r="B1854" s="5">
        <f ca="1">IFERROR(__xludf.DUMMYFUNCTION("""COMPUTED_VALUE"""),16)</f>
        <v>16</v>
      </c>
      <c r="C1854" s="5" t="str">
        <f ca="1">IFERROR(__xludf.DUMMYFUNCTION("""COMPUTED_VALUE"""),"Male")</f>
        <v>Male</v>
      </c>
      <c r="D1854" s="5"/>
      <c r="E1854" s="5" t="str">
        <f ca="1">IFERROR(__xludf.DUMMYFUNCTION("""COMPUTED_VALUE"""),"Former Student")</f>
        <v>Former Student</v>
      </c>
      <c r="F1854" s="5" t="str">
        <f ca="1">IFERROR(__xludf.DUMMYFUNCTION("""COMPUTED_VALUE"""),"Apprehended/Killed by LE")</f>
        <v>Apprehended/Killed by LE</v>
      </c>
      <c r="G1854" s="5" t="str">
        <f ca="1">IFERROR(__xludf.DUMMYFUNCTION("""COMPUTED_VALUE"""),"No")</f>
        <v>No</v>
      </c>
      <c r="H1854" s="5" t="str">
        <f ca="1">IFERROR(__xludf.DUMMYFUNCTION("""COMPUTED_VALUE"""),"None")</f>
        <v>None</v>
      </c>
    </row>
    <row r="1855" spans="1:8">
      <c r="A1855" s="5" t="str">
        <f ca="1">IFERROR(__xludf.DUMMYFUNCTION("""COMPUTED_VALUE"""),"19911011MAMAR")</f>
        <v>19911011MAMAR</v>
      </c>
      <c r="B1855" s="5">
        <f ca="1">IFERROR(__xludf.DUMMYFUNCTION("""COMPUTED_VALUE"""),18)</f>
        <v>18</v>
      </c>
      <c r="C1855" s="5" t="str">
        <f ca="1">IFERROR(__xludf.DUMMYFUNCTION("""COMPUTED_VALUE"""),"Male")</f>
        <v>Male</v>
      </c>
      <c r="D1855" s="5" t="str">
        <f ca="1">IFERROR(__xludf.DUMMYFUNCTION("""COMPUTED_VALUE"""),"Black")</f>
        <v>Black</v>
      </c>
      <c r="E1855" s="5" t="str">
        <f ca="1">IFERROR(__xludf.DUMMYFUNCTION("""COMPUTED_VALUE"""),"Unknown")</f>
        <v>Unknown</v>
      </c>
      <c r="F1855" s="5" t="str">
        <f ca="1">IFERROR(__xludf.DUMMYFUNCTION("""COMPUTED_VALUE"""),"Fled/Escaped")</f>
        <v>Fled/Escaped</v>
      </c>
      <c r="G1855" s="5" t="str">
        <f ca="1">IFERROR(__xludf.DUMMYFUNCTION("""COMPUTED_VALUE"""),"No")</f>
        <v>No</v>
      </c>
      <c r="H1855" s="5" t="str">
        <f ca="1">IFERROR(__xludf.DUMMYFUNCTION("""COMPUTED_VALUE"""),"None")</f>
        <v>None</v>
      </c>
    </row>
    <row r="1856" spans="1:8">
      <c r="A1856" s="5" t="str">
        <f ca="1">IFERROR(__xludf.DUMMYFUNCTION("""COMPUTED_VALUE"""),"19911009NYJAB")</f>
        <v>19911009NYJAB</v>
      </c>
      <c r="B1856" s="5"/>
      <c r="C1856" s="5" t="str">
        <f ca="1">IFERROR(__xludf.DUMMYFUNCTION("""COMPUTED_VALUE"""),"Male")</f>
        <v>Male</v>
      </c>
      <c r="D1856" s="5"/>
      <c r="E1856" s="5" t="str">
        <f ca="1">IFERROR(__xludf.DUMMYFUNCTION("""COMPUTED_VALUE"""),"Unknown")</f>
        <v>Unknown</v>
      </c>
      <c r="F1856" s="5" t="str">
        <f ca="1">IFERROR(__xludf.DUMMYFUNCTION("""COMPUTED_VALUE"""),"Fled/Escaped")</f>
        <v>Fled/Escaped</v>
      </c>
      <c r="G1856" s="5" t="str">
        <f ca="1">IFERROR(__xludf.DUMMYFUNCTION("""COMPUTED_VALUE"""),"No")</f>
        <v>No</v>
      </c>
      <c r="H1856" s="5" t="str">
        <f ca="1">IFERROR(__xludf.DUMMYFUNCTION("""COMPUTED_VALUE"""),"None")</f>
        <v>None</v>
      </c>
    </row>
    <row r="1857" spans="1:8">
      <c r="A1857" s="5" t="str">
        <f ca="1">IFERROR(__xludf.DUMMYFUNCTION("""COMPUTED_VALUE"""),"19911004CAROL")</f>
        <v>19911004CAROL</v>
      </c>
      <c r="B1857" s="5"/>
      <c r="C1857" s="5"/>
      <c r="D1857" s="5"/>
      <c r="E1857" s="5" t="str">
        <f ca="1">IFERROR(__xludf.DUMMYFUNCTION("""COMPUTED_VALUE"""),"Nonstudent Using Athletic Facilities/Attending Game")</f>
        <v>Nonstudent Using Athletic Facilities/Attending Game</v>
      </c>
      <c r="F1857" s="5" t="str">
        <f ca="1">IFERROR(__xludf.DUMMYFUNCTION("""COMPUTED_VALUE"""),"Fled/Escaped")</f>
        <v>Fled/Escaped</v>
      </c>
      <c r="G1857" s="5" t="str">
        <f ca="1">IFERROR(__xludf.DUMMYFUNCTION("""COMPUTED_VALUE"""),"No")</f>
        <v>No</v>
      </c>
      <c r="H1857" s="5" t="str">
        <f ca="1">IFERROR(__xludf.DUMMYFUNCTION("""COMPUTED_VALUE"""),"None")</f>
        <v>None</v>
      </c>
    </row>
    <row r="1858" spans="1:8">
      <c r="A1858" s="5" t="str">
        <f ca="1">IFERROR(__xludf.DUMMYFUNCTION("""COMPUTED_VALUE"""),"19911004CADOL")</f>
        <v>19911004CADOL</v>
      </c>
      <c r="B1858" s="5"/>
      <c r="C1858" s="5"/>
      <c r="D1858" s="5"/>
      <c r="E1858" s="5" t="str">
        <f ca="1">IFERROR(__xludf.DUMMYFUNCTION("""COMPUTED_VALUE"""),"Unknown")</f>
        <v>Unknown</v>
      </c>
      <c r="F1858" s="5" t="str">
        <f ca="1">IFERROR(__xludf.DUMMYFUNCTION("""COMPUTED_VALUE"""),"Fled/Escaped")</f>
        <v>Fled/Escaped</v>
      </c>
      <c r="G1858" s="5" t="str">
        <f ca="1">IFERROR(__xludf.DUMMYFUNCTION("""COMPUTED_VALUE"""),"No")</f>
        <v>No</v>
      </c>
      <c r="H1858" s="5" t="str">
        <f ca="1">IFERROR(__xludf.DUMMYFUNCTION("""COMPUTED_VALUE"""),"None")</f>
        <v>None</v>
      </c>
    </row>
    <row r="1859" spans="1:8">
      <c r="A1859" s="5" t="str">
        <f ca="1">IFERROR(__xludf.DUMMYFUNCTION("""COMPUTED_VALUE"""),"19911002TXSPH")</f>
        <v>19911002TXSPH</v>
      </c>
      <c r="B1859" s="5">
        <f ca="1">IFERROR(__xludf.DUMMYFUNCTION("""COMPUTED_VALUE"""),16)</f>
        <v>16</v>
      </c>
      <c r="C1859" s="5" t="str">
        <f ca="1">IFERROR(__xludf.DUMMYFUNCTION("""COMPUTED_VALUE"""),"Male")</f>
        <v>Male</v>
      </c>
      <c r="D1859" s="5"/>
      <c r="E1859" s="5" t="str">
        <f ca="1">IFERROR(__xludf.DUMMYFUNCTION("""COMPUTED_VALUE"""),"Student")</f>
        <v>Student</v>
      </c>
      <c r="F1859" s="5" t="str">
        <f ca="1">IFERROR(__xludf.DUMMYFUNCTION("""COMPUTED_VALUE"""),"Fled/Escaped")</f>
        <v>Fled/Escaped</v>
      </c>
      <c r="G1859" s="5" t="str">
        <f ca="1">IFERROR(__xludf.DUMMYFUNCTION("""COMPUTED_VALUE"""),"No")</f>
        <v>No</v>
      </c>
      <c r="H1859" s="5" t="str">
        <f ca="1">IFERROR(__xludf.DUMMYFUNCTION("""COMPUTED_VALUE"""),"None")</f>
        <v>None</v>
      </c>
    </row>
    <row r="1860" spans="1:8">
      <c r="A1860" s="5" t="str">
        <f ca="1">IFERROR(__xludf.DUMMYFUNCTION("""COMPUTED_VALUE"""),"19910918TXCRC")</f>
        <v>19910918TXCRC</v>
      </c>
      <c r="B1860" s="5">
        <f ca="1">IFERROR(__xludf.DUMMYFUNCTION("""COMPUTED_VALUE"""),15)</f>
        <v>15</v>
      </c>
      <c r="C1860" s="5" t="str">
        <f ca="1">IFERROR(__xludf.DUMMYFUNCTION("""COMPUTED_VALUE"""),"Female")</f>
        <v>Female</v>
      </c>
      <c r="D1860" s="5" t="str">
        <f ca="1">IFERROR(__xludf.DUMMYFUNCTION("""COMPUTED_VALUE"""),"Black")</f>
        <v>Black</v>
      </c>
      <c r="E1860" s="5" t="str">
        <f ca="1">IFERROR(__xludf.DUMMYFUNCTION("""COMPUTED_VALUE"""),"Student")</f>
        <v>Student</v>
      </c>
      <c r="F1860" s="5" t="str">
        <f ca="1">IFERROR(__xludf.DUMMYFUNCTION("""COMPUTED_VALUE"""),"Unknown")</f>
        <v>Unknown</v>
      </c>
      <c r="G1860" s="5" t="str">
        <f ca="1">IFERROR(__xludf.DUMMYFUNCTION("""COMPUTED_VALUE"""),"No")</f>
        <v>No</v>
      </c>
      <c r="H1860" s="5" t="str">
        <f ca="1">IFERROR(__xludf.DUMMYFUNCTION("""COMPUTED_VALUE"""),"None")</f>
        <v>None</v>
      </c>
    </row>
    <row r="1861" spans="1:8">
      <c r="A1861" s="5" t="str">
        <f ca="1">IFERROR(__xludf.DUMMYFUNCTION("""COMPUTED_VALUE"""),"19910917ILWOC")</f>
        <v>19910917ILWOC</v>
      </c>
      <c r="B1861" s="5">
        <f ca="1">IFERROR(__xludf.DUMMYFUNCTION("""COMPUTED_VALUE"""),14)</f>
        <v>14</v>
      </c>
      <c r="C1861" s="5" t="str">
        <f ca="1">IFERROR(__xludf.DUMMYFUNCTION("""COMPUTED_VALUE"""),"Male")</f>
        <v>Male</v>
      </c>
      <c r="D1861" s="5" t="str">
        <f ca="1">IFERROR(__xludf.DUMMYFUNCTION("""COMPUTED_VALUE"""),"Black")</f>
        <v>Black</v>
      </c>
      <c r="E1861" s="5" t="str">
        <f ca="1">IFERROR(__xludf.DUMMYFUNCTION("""COMPUTED_VALUE"""),"Student")</f>
        <v>Student</v>
      </c>
      <c r="F1861" s="5" t="str">
        <f ca="1">IFERROR(__xludf.DUMMYFUNCTION("""COMPUTED_VALUE"""),"Fled/Apprehended")</f>
        <v>Fled/Apprehended</v>
      </c>
      <c r="G1861" s="5" t="str">
        <f ca="1">IFERROR(__xludf.DUMMYFUNCTION("""COMPUTED_VALUE"""),"No")</f>
        <v>No</v>
      </c>
      <c r="H1861" s="5" t="str">
        <f ca="1">IFERROR(__xludf.DUMMYFUNCTION("""COMPUTED_VALUE"""),"None")</f>
        <v>None</v>
      </c>
    </row>
    <row r="1862" spans="1:8">
      <c r="A1862" s="5" t="str">
        <f ca="1">IFERROR(__xludf.DUMMYFUNCTION("""COMPUTED_VALUE"""),"19910913TXMAH")</f>
        <v>19910913TXMAH</v>
      </c>
      <c r="B1862" s="5"/>
      <c r="C1862" s="5"/>
      <c r="D1862" s="5"/>
      <c r="E1862" s="5" t="str">
        <f ca="1">IFERROR(__xludf.DUMMYFUNCTION("""COMPUTED_VALUE"""),"Nonstudent Using Athletic Facilities/Attending Game")</f>
        <v>Nonstudent Using Athletic Facilities/Attending Game</v>
      </c>
      <c r="F1862" s="5" t="str">
        <f ca="1">IFERROR(__xludf.DUMMYFUNCTION("""COMPUTED_VALUE"""),"Fled/Escaped")</f>
        <v>Fled/Escaped</v>
      </c>
      <c r="G1862" s="5" t="str">
        <f ca="1">IFERROR(__xludf.DUMMYFUNCTION("""COMPUTED_VALUE"""),"No")</f>
        <v>No</v>
      </c>
      <c r="H1862" s="5" t="str">
        <f ca="1">IFERROR(__xludf.DUMMYFUNCTION("""COMPUTED_VALUE"""),"None")</f>
        <v>None</v>
      </c>
    </row>
    <row r="1863" spans="1:8">
      <c r="A1863" s="5" t="str">
        <f ca="1">IFERROR(__xludf.DUMMYFUNCTION("""COMPUTED_VALUE"""),"19910730CAENC")</f>
        <v>19910730CAENC</v>
      </c>
      <c r="B1863" s="5"/>
      <c r="C1863" s="5" t="str">
        <f ca="1">IFERROR(__xludf.DUMMYFUNCTION("""COMPUTED_VALUE"""),"Male")</f>
        <v>Male</v>
      </c>
      <c r="D1863" s="5"/>
      <c r="E1863" s="5" t="str">
        <f ca="1">IFERROR(__xludf.DUMMYFUNCTION("""COMPUTED_VALUE"""),"Student")</f>
        <v>Student</v>
      </c>
      <c r="F1863" s="5" t="str">
        <f ca="1">IFERROR(__xludf.DUMMYFUNCTION("""COMPUTED_VALUE"""),"Fled/Escaped")</f>
        <v>Fled/Escaped</v>
      </c>
      <c r="G1863" s="5" t="str">
        <f ca="1">IFERROR(__xludf.DUMMYFUNCTION("""COMPUTED_VALUE"""),"No")</f>
        <v>No</v>
      </c>
      <c r="H1863" s="5" t="str">
        <f ca="1">IFERROR(__xludf.DUMMYFUNCTION("""COMPUTED_VALUE"""),"None")</f>
        <v>None</v>
      </c>
    </row>
    <row r="1864" spans="1:8">
      <c r="A1864" s="5" t="str">
        <f ca="1">IFERROR(__xludf.DUMMYFUNCTION("""COMPUTED_VALUE"""),"19910722CAWEL")</f>
        <v>19910722CAWEL</v>
      </c>
      <c r="B1864" s="5"/>
      <c r="C1864" s="5" t="str">
        <f ca="1">IFERROR(__xludf.DUMMYFUNCTION("""COMPUTED_VALUE"""),"Male")</f>
        <v>Male</v>
      </c>
      <c r="D1864" s="5"/>
      <c r="E1864" s="5" t="str">
        <f ca="1">IFERROR(__xludf.DUMMYFUNCTION("""COMPUTED_VALUE"""),"Unknown")</f>
        <v>Unknown</v>
      </c>
      <c r="F1864" s="5" t="str">
        <f ca="1">IFERROR(__xludf.DUMMYFUNCTION("""COMPUTED_VALUE"""),"Fled/Escaped")</f>
        <v>Fled/Escaped</v>
      </c>
      <c r="G1864" s="5" t="str">
        <f ca="1">IFERROR(__xludf.DUMMYFUNCTION("""COMPUTED_VALUE"""),"No")</f>
        <v>No</v>
      </c>
      <c r="H1864" s="5" t="str">
        <f ca="1">IFERROR(__xludf.DUMMYFUNCTION("""COMPUTED_VALUE"""),"None")</f>
        <v>None</v>
      </c>
    </row>
    <row r="1865" spans="1:8">
      <c r="A1865" s="5" t="str">
        <f ca="1">IFERROR(__xludf.DUMMYFUNCTION("""COMPUTED_VALUE"""),"19910521FLSCP")</f>
        <v>19910521FLSCP</v>
      </c>
      <c r="B1865" s="5">
        <f ca="1">IFERROR(__xludf.DUMMYFUNCTION("""COMPUTED_VALUE"""),18)</f>
        <v>18</v>
      </c>
      <c r="C1865" s="5" t="str">
        <f ca="1">IFERROR(__xludf.DUMMYFUNCTION("""COMPUTED_VALUE"""),"Male")</f>
        <v>Male</v>
      </c>
      <c r="D1865" s="5"/>
      <c r="E1865" s="5" t="str">
        <f ca="1">IFERROR(__xludf.DUMMYFUNCTION("""COMPUTED_VALUE"""),"Student")</f>
        <v>Student</v>
      </c>
      <c r="F1865" s="5" t="str">
        <f ca="1">IFERROR(__xludf.DUMMYFUNCTION("""COMPUTED_VALUE"""),"Subdued by Students/Staff/Other")</f>
        <v>Subdued by Students/Staff/Other</v>
      </c>
      <c r="G1865" s="5" t="str">
        <f ca="1">IFERROR(__xludf.DUMMYFUNCTION("""COMPUTED_VALUE"""),"No")</f>
        <v>No</v>
      </c>
      <c r="H1865" s="5" t="str">
        <f ca="1">IFERROR(__xludf.DUMMYFUNCTION("""COMPUTED_VALUE"""),"None")</f>
        <v>None</v>
      </c>
    </row>
    <row r="1866" spans="1:8">
      <c r="A1866" s="5" t="str">
        <f ca="1">IFERROR(__xludf.DUMMYFUNCTION("""COMPUTED_VALUE"""),"19910521CAROS")</f>
        <v>19910521CAROS</v>
      </c>
      <c r="B1866" s="5">
        <f ca="1">IFERROR(__xludf.DUMMYFUNCTION("""COMPUTED_VALUE"""),20)</f>
        <v>20</v>
      </c>
      <c r="C1866" s="5" t="str">
        <f ca="1">IFERROR(__xludf.DUMMYFUNCTION("""COMPUTED_VALUE"""),"Male")</f>
        <v>Male</v>
      </c>
      <c r="D1866" s="5" t="str">
        <f ca="1">IFERROR(__xludf.DUMMYFUNCTION("""COMPUTED_VALUE"""),"Hispanic")</f>
        <v>Hispanic</v>
      </c>
      <c r="E1866" s="5" t="str">
        <f ca="1">IFERROR(__xludf.DUMMYFUNCTION("""COMPUTED_VALUE"""),"No Relation")</f>
        <v>No Relation</v>
      </c>
      <c r="F1866" s="5" t="str">
        <f ca="1">IFERROR(__xludf.DUMMYFUNCTION("""COMPUTED_VALUE"""),"Fled/Escaped")</f>
        <v>Fled/Escaped</v>
      </c>
      <c r="G1866" s="5" t="str">
        <f ca="1">IFERROR(__xludf.DUMMYFUNCTION("""COMPUTED_VALUE"""),"No")</f>
        <v>No</v>
      </c>
      <c r="H1866" s="5" t="str">
        <f ca="1">IFERROR(__xludf.DUMMYFUNCTION("""COMPUTED_VALUE"""),"None")</f>
        <v>None</v>
      </c>
    </row>
    <row r="1867" spans="1:8">
      <c r="A1867" s="5" t="str">
        <f ca="1">IFERROR(__xludf.DUMMYFUNCTION("""COMPUTED_VALUE"""),"19910516KSCOK")</f>
        <v>19910516KSCOK</v>
      </c>
      <c r="B1867" s="5">
        <f ca="1">IFERROR(__xludf.DUMMYFUNCTION("""COMPUTED_VALUE"""),13)</f>
        <v>13</v>
      </c>
      <c r="C1867" s="5" t="str">
        <f ca="1">IFERROR(__xludf.DUMMYFUNCTION("""COMPUTED_VALUE"""),"Male")</f>
        <v>Male</v>
      </c>
      <c r="D1867" s="5"/>
      <c r="E1867" s="5" t="str">
        <f ca="1">IFERROR(__xludf.DUMMYFUNCTION("""COMPUTED_VALUE"""),"Student")</f>
        <v>Student</v>
      </c>
      <c r="F1867" s="5" t="str">
        <f ca="1">IFERROR(__xludf.DUMMYFUNCTION("""COMPUTED_VALUE"""),"Fled/Apprehended")</f>
        <v>Fled/Apprehended</v>
      </c>
      <c r="G1867" s="5" t="str">
        <f ca="1">IFERROR(__xludf.DUMMYFUNCTION("""COMPUTED_VALUE"""),"No")</f>
        <v>No</v>
      </c>
      <c r="H1867" s="5" t="str">
        <f ca="1">IFERROR(__xludf.DUMMYFUNCTION("""COMPUTED_VALUE"""),"None")</f>
        <v>None</v>
      </c>
    </row>
    <row r="1868" spans="1:8">
      <c r="A1868" s="5" t="str">
        <f ca="1">IFERROR(__xludf.DUMMYFUNCTION("""COMPUTED_VALUE"""),"19910510OHFRC")</f>
        <v>19910510OHFRC</v>
      </c>
      <c r="B1868" s="5">
        <f ca="1">IFERROR(__xludf.DUMMYFUNCTION("""COMPUTED_VALUE"""),15)</f>
        <v>15</v>
      </c>
      <c r="C1868" s="5" t="str">
        <f ca="1">IFERROR(__xludf.DUMMYFUNCTION("""COMPUTED_VALUE"""),"Male")</f>
        <v>Male</v>
      </c>
      <c r="D1868" s="5"/>
      <c r="E1868" s="5" t="str">
        <f ca="1">IFERROR(__xludf.DUMMYFUNCTION("""COMPUTED_VALUE"""),"Student")</f>
        <v>Student</v>
      </c>
      <c r="F1868" s="5" t="str">
        <f ca="1">IFERROR(__xludf.DUMMYFUNCTION("""COMPUTED_VALUE"""),"Fled/Apprehended")</f>
        <v>Fled/Apprehended</v>
      </c>
      <c r="G1868" s="5" t="str">
        <f ca="1">IFERROR(__xludf.DUMMYFUNCTION("""COMPUTED_VALUE"""),"No")</f>
        <v>No</v>
      </c>
      <c r="H1868" s="5" t="str">
        <f ca="1">IFERROR(__xludf.DUMMYFUNCTION("""COMPUTED_VALUE"""),"None")</f>
        <v>None</v>
      </c>
    </row>
    <row r="1869" spans="1:8">
      <c r="A1869" s="5" t="str">
        <f ca="1">IFERROR(__xludf.DUMMYFUNCTION("""COMPUTED_VALUE"""),"19910423MSHUB")</f>
        <v>19910423MSHUB</v>
      </c>
      <c r="B1869" s="5">
        <f ca="1">IFERROR(__xludf.DUMMYFUNCTION("""COMPUTED_VALUE"""),16)</f>
        <v>16</v>
      </c>
      <c r="C1869" s="5" t="str">
        <f ca="1">IFERROR(__xludf.DUMMYFUNCTION("""COMPUTED_VALUE"""),"Male")</f>
        <v>Male</v>
      </c>
      <c r="D1869" s="5"/>
      <c r="E1869" s="5" t="str">
        <f ca="1">IFERROR(__xludf.DUMMYFUNCTION("""COMPUTED_VALUE"""),"Student")</f>
        <v>Student</v>
      </c>
      <c r="F1869" s="5" t="str">
        <f ca="1">IFERROR(__xludf.DUMMYFUNCTION("""COMPUTED_VALUE"""),"Surrendered")</f>
        <v>Surrendered</v>
      </c>
      <c r="G1869" s="5" t="str">
        <f ca="1">IFERROR(__xludf.DUMMYFUNCTION("""COMPUTED_VALUE"""),"No")</f>
        <v>No</v>
      </c>
      <c r="H1869" s="5" t="str">
        <f ca="1">IFERROR(__xludf.DUMMYFUNCTION("""COMPUTED_VALUE"""),"None")</f>
        <v>None</v>
      </c>
    </row>
    <row r="1870" spans="1:8">
      <c r="A1870" s="5" t="str">
        <f ca="1">IFERROR(__xludf.DUMMYFUNCTION("""COMPUTED_VALUE"""),"19910423CARAC")</f>
        <v>19910423CARAC</v>
      </c>
      <c r="B1870" s="5">
        <f ca="1">IFERROR(__xludf.DUMMYFUNCTION("""COMPUTED_VALUE"""),14)</f>
        <v>14</v>
      </c>
      <c r="C1870" s="5" t="str">
        <f ca="1">IFERROR(__xludf.DUMMYFUNCTION("""COMPUTED_VALUE"""),"Male")</f>
        <v>Male</v>
      </c>
      <c r="D1870" s="5"/>
      <c r="E1870" s="5" t="str">
        <f ca="1">IFERROR(__xludf.DUMMYFUNCTION("""COMPUTED_VALUE"""),"Unknown")</f>
        <v>Unknown</v>
      </c>
      <c r="F1870" s="5" t="str">
        <f ca="1">IFERROR(__xludf.DUMMYFUNCTION("""COMPUTED_VALUE"""),"Fled/Apprehended")</f>
        <v>Fled/Apprehended</v>
      </c>
      <c r="G1870" s="5" t="str">
        <f ca="1">IFERROR(__xludf.DUMMYFUNCTION("""COMPUTED_VALUE"""),"No")</f>
        <v>No</v>
      </c>
      <c r="H1870" s="5" t="str">
        <f ca="1">IFERROR(__xludf.DUMMYFUNCTION("""COMPUTED_VALUE"""),"None")</f>
        <v>None</v>
      </c>
    </row>
    <row r="1871" spans="1:8">
      <c r="A1871" s="5" t="str">
        <f ca="1">IFERROR(__xludf.DUMMYFUNCTION("""COMPUTED_VALUE"""),"19910423CARAC")</f>
        <v>19910423CARAC</v>
      </c>
      <c r="B1871" s="5">
        <f ca="1">IFERROR(__xludf.DUMMYFUNCTION("""COMPUTED_VALUE"""),17)</f>
        <v>17</v>
      </c>
      <c r="C1871" s="5" t="str">
        <f ca="1">IFERROR(__xludf.DUMMYFUNCTION("""COMPUTED_VALUE"""),"Male")</f>
        <v>Male</v>
      </c>
      <c r="D1871" s="5"/>
      <c r="E1871" s="5" t="str">
        <f ca="1">IFERROR(__xludf.DUMMYFUNCTION("""COMPUTED_VALUE"""),"Unknown")</f>
        <v>Unknown</v>
      </c>
      <c r="F1871" s="5" t="str">
        <f ca="1">IFERROR(__xludf.DUMMYFUNCTION("""COMPUTED_VALUE"""),"Fled/Apprehended")</f>
        <v>Fled/Apprehended</v>
      </c>
      <c r="G1871" s="5" t="str">
        <f ca="1">IFERROR(__xludf.DUMMYFUNCTION("""COMPUTED_VALUE"""),"No")</f>
        <v>No</v>
      </c>
      <c r="H1871" s="5" t="str">
        <f ca="1">IFERROR(__xludf.DUMMYFUNCTION("""COMPUTED_VALUE"""),"None")</f>
        <v>None</v>
      </c>
    </row>
    <row r="1872" spans="1:8">
      <c r="A1872" s="5" t="str">
        <f ca="1">IFERROR(__xludf.DUMMYFUNCTION("""COMPUTED_VALUE"""),"19910411SCNOR")</f>
        <v>19910411SCNOR</v>
      </c>
      <c r="B1872" s="5">
        <f ca="1">IFERROR(__xludf.DUMMYFUNCTION("""COMPUTED_VALUE"""),18)</f>
        <v>18</v>
      </c>
      <c r="C1872" s="5" t="str">
        <f ca="1">IFERROR(__xludf.DUMMYFUNCTION("""COMPUTED_VALUE"""),"Male")</f>
        <v>Male</v>
      </c>
      <c r="D1872" s="5" t="str">
        <f ca="1">IFERROR(__xludf.DUMMYFUNCTION("""COMPUTED_VALUE"""),"White")</f>
        <v>White</v>
      </c>
      <c r="E1872" s="5" t="str">
        <f ca="1">IFERROR(__xludf.DUMMYFUNCTION("""COMPUTED_VALUE"""),"Student")</f>
        <v>Student</v>
      </c>
      <c r="F1872" s="5" t="str">
        <f ca="1">IFERROR(__xludf.DUMMYFUNCTION("""COMPUTED_VALUE"""),"Suicide")</f>
        <v>Suicide</v>
      </c>
      <c r="G1872" s="5" t="str">
        <f ca="1">IFERROR(__xludf.DUMMYFUNCTION("""COMPUTED_VALUE"""),"Yes")</f>
        <v>Yes</v>
      </c>
      <c r="H1872" s="5" t="str">
        <f ca="1">IFERROR(__xludf.DUMMYFUNCTION("""COMPUTED_VALUE"""),"Suicide")</f>
        <v>Suicide</v>
      </c>
    </row>
    <row r="1873" spans="1:8">
      <c r="A1873" s="5" t="str">
        <f ca="1">IFERROR(__xludf.DUMMYFUNCTION("""COMPUTED_VALUE"""),"19910325NCGAC")</f>
        <v>19910325NCGAC</v>
      </c>
      <c r="B1873" s="5">
        <f ca="1">IFERROR(__xludf.DUMMYFUNCTION("""COMPUTED_VALUE"""),20)</f>
        <v>20</v>
      </c>
      <c r="C1873" s="5" t="str">
        <f ca="1">IFERROR(__xludf.DUMMYFUNCTION("""COMPUTED_VALUE"""),"Male")</f>
        <v>Male</v>
      </c>
      <c r="D1873" s="5"/>
      <c r="E1873" s="5" t="str">
        <f ca="1">IFERROR(__xludf.DUMMYFUNCTION("""COMPUTED_VALUE"""),"Former Student")</f>
        <v>Former Student</v>
      </c>
      <c r="F1873" s="5" t="str">
        <f ca="1">IFERROR(__xludf.DUMMYFUNCTION("""COMPUTED_VALUE"""),"Fled/Apprehended")</f>
        <v>Fled/Apprehended</v>
      </c>
      <c r="G1873" s="5" t="str">
        <f ca="1">IFERROR(__xludf.DUMMYFUNCTION("""COMPUTED_VALUE"""),"No")</f>
        <v>No</v>
      </c>
      <c r="H1873" s="5" t="str">
        <f ca="1">IFERROR(__xludf.DUMMYFUNCTION("""COMPUTED_VALUE"""),"None")</f>
        <v>None</v>
      </c>
    </row>
    <row r="1874" spans="1:8">
      <c r="A1874" s="5" t="str">
        <f ca="1">IFERROR(__xludf.DUMMYFUNCTION("""COMPUTED_VALUE"""),"19910314SCWOP")</f>
        <v>19910314SCWOP</v>
      </c>
      <c r="B1874" s="5">
        <f ca="1">IFERROR(__xludf.DUMMYFUNCTION("""COMPUTED_VALUE"""),18)</f>
        <v>18</v>
      </c>
      <c r="C1874" s="5" t="str">
        <f ca="1">IFERROR(__xludf.DUMMYFUNCTION("""COMPUTED_VALUE"""),"Male")</f>
        <v>Male</v>
      </c>
      <c r="D1874" s="5" t="str">
        <f ca="1">IFERROR(__xludf.DUMMYFUNCTION("""COMPUTED_VALUE"""),"Black")</f>
        <v>Black</v>
      </c>
      <c r="E1874" s="5" t="str">
        <f ca="1">IFERROR(__xludf.DUMMYFUNCTION("""COMPUTED_VALUE"""),"Former Student")</f>
        <v>Former Student</v>
      </c>
      <c r="F1874" s="5" t="str">
        <f ca="1">IFERROR(__xludf.DUMMYFUNCTION("""COMPUTED_VALUE"""),"Fled/Apprehended")</f>
        <v>Fled/Apprehended</v>
      </c>
      <c r="G1874" s="5" t="str">
        <f ca="1">IFERROR(__xludf.DUMMYFUNCTION("""COMPUTED_VALUE"""),"No")</f>
        <v>No</v>
      </c>
      <c r="H1874" s="5" t="str">
        <f ca="1">IFERROR(__xludf.DUMMYFUNCTION("""COMPUTED_VALUE"""),"None")</f>
        <v>None</v>
      </c>
    </row>
    <row r="1875" spans="1:8">
      <c r="A1875" s="5" t="str">
        <f ca="1">IFERROR(__xludf.DUMMYFUNCTION("""COMPUTED_VALUE"""),"19910314SCWOP")</f>
        <v>19910314SCWOP</v>
      </c>
      <c r="B1875" s="5"/>
      <c r="C1875" s="5" t="str">
        <f ca="1">IFERROR(__xludf.DUMMYFUNCTION("""COMPUTED_VALUE"""),"Male")</f>
        <v>Male</v>
      </c>
      <c r="D1875" s="5" t="str">
        <f ca="1">IFERROR(__xludf.DUMMYFUNCTION("""COMPUTED_VALUE"""),"Black")</f>
        <v>Black</v>
      </c>
      <c r="E1875" s="5" t="str">
        <f ca="1">IFERROR(__xludf.DUMMYFUNCTION("""COMPUTED_VALUE"""),"Former Student")</f>
        <v>Former Student</v>
      </c>
      <c r="F1875" s="5" t="str">
        <f ca="1">IFERROR(__xludf.DUMMYFUNCTION("""COMPUTED_VALUE"""),"Fled/Apprehended")</f>
        <v>Fled/Apprehended</v>
      </c>
      <c r="G1875" s="5" t="str">
        <f ca="1">IFERROR(__xludf.DUMMYFUNCTION("""COMPUTED_VALUE"""),"No")</f>
        <v>No</v>
      </c>
      <c r="H1875" s="5" t="str">
        <f ca="1">IFERROR(__xludf.DUMMYFUNCTION("""COMPUTED_VALUE"""),"None")</f>
        <v>None</v>
      </c>
    </row>
    <row r="1876" spans="1:8">
      <c r="A1876" s="5" t="str">
        <f ca="1">IFERROR(__xludf.DUMMYFUNCTION("""COMPUTED_VALUE"""),"19910313ALSES")</f>
        <v>19910313ALSES</v>
      </c>
      <c r="B1876" s="5">
        <f ca="1">IFERROR(__xludf.DUMMYFUNCTION("""COMPUTED_VALUE"""),15)</f>
        <v>15</v>
      </c>
      <c r="C1876" s="5" t="str">
        <f ca="1">IFERROR(__xludf.DUMMYFUNCTION("""COMPUTED_VALUE"""),"Male")</f>
        <v>Male</v>
      </c>
      <c r="D1876" s="5"/>
      <c r="E1876" s="5" t="str">
        <f ca="1">IFERROR(__xludf.DUMMYFUNCTION("""COMPUTED_VALUE"""),"Student")</f>
        <v>Student</v>
      </c>
      <c r="F1876" s="5" t="str">
        <f ca="1">IFERROR(__xludf.DUMMYFUNCTION("""COMPUTED_VALUE"""),"Fled/Apprehended")</f>
        <v>Fled/Apprehended</v>
      </c>
      <c r="G1876" s="5" t="str">
        <f ca="1">IFERROR(__xludf.DUMMYFUNCTION("""COMPUTED_VALUE"""),"No")</f>
        <v>No</v>
      </c>
      <c r="H1876" s="5" t="str">
        <f ca="1">IFERROR(__xludf.DUMMYFUNCTION("""COMPUTED_VALUE"""),"None")</f>
        <v>None</v>
      </c>
    </row>
    <row r="1877" spans="1:8">
      <c r="A1877" s="5" t="str">
        <f ca="1">IFERROR(__xludf.DUMMYFUNCTION("""COMPUTED_VALUE"""),"19910219LABON")</f>
        <v>19910219LABON</v>
      </c>
      <c r="B1877" s="5">
        <f ca="1">IFERROR(__xludf.DUMMYFUNCTION("""COMPUTED_VALUE"""),20)</f>
        <v>20</v>
      </c>
      <c r="C1877" s="5" t="str">
        <f ca="1">IFERROR(__xludf.DUMMYFUNCTION("""COMPUTED_VALUE"""),"Male")</f>
        <v>Male</v>
      </c>
      <c r="D1877" s="5" t="str">
        <f ca="1">IFERROR(__xludf.DUMMYFUNCTION("""COMPUTED_VALUE"""),"Black")</f>
        <v>Black</v>
      </c>
      <c r="E1877" s="5" t="str">
        <f ca="1">IFERROR(__xludf.DUMMYFUNCTION("""COMPUTED_VALUE"""),"No Relation")</f>
        <v>No Relation</v>
      </c>
      <c r="F1877" s="5" t="str">
        <f ca="1">IFERROR(__xludf.DUMMYFUNCTION("""COMPUTED_VALUE"""),"Fled/Apprehended")</f>
        <v>Fled/Apprehended</v>
      </c>
      <c r="G1877" s="5" t="str">
        <f ca="1">IFERROR(__xludf.DUMMYFUNCTION("""COMPUTED_VALUE"""),"No")</f>
        <v>No</v>
      </c>
      <c r="H1877" s="5" t="str">
        <f ca="1">IFERROR(__xludf.DUMMYFUNCTION("""COMPUTED_VALUE"""),"None")</f>
        <v>None</v>
      </c>
    </row>
    <row r="1878" spans="1:8">
      <c r="A1878" s="5" t="str">
        <f ca="1">IFERROR(__xludf.DUMMYFUNCTION("""COMPUTED_VALUE"""),"19910117TXHOD")</f>
        <v>19910117TXHOD</v>
      </c>
      <c r="B1878" s="5"/>
      <c r="C1878" s="5"/>
      <c r="D1878" s="5"/>
      <c r="E1878" s="5" t="str">
        <f ca="1">IFERROR(__xludf.DUMMYFUNCTION("""COMPUTED_VALUE"""),"Unknown")</f>
        <v>Unknown</v>
      </c>
      <c r="F1878" s="5" t="str">
        <f ca="1">IFERROR(__xludf.DUMMYFUNCTION("""COMPUTED_VALUE"""),"Fled/Escaped")</f>
        <v>Fled/Escaped</v>
      </c>
      <c r="G1878" s="5" t="str">
        <f ca="1">IFERROR(__xludf.DUMMYFUNCTION("""COMPUTED_VALUE"""),"No")</f>
        <v>No</v>
      </c>
      <c r="H1878" s="5" t="str">
        <f ca="1">IFERROR(__xludf.DUMMYFUNCTION("""COMPUTED_VALUE"""),"None")</f>
        <v>None</v>
      </c>
    </row>
    <row r="1879" spans="1:8">
      <c r="A1879" s="5" t="str">
        <f ca="1">IFERROR(__xludf.DUMMYFUNCTION("""COMPUTED_VALUE"""),"19910117TXHOD")</f>
        <v>19910117TXHOD</v>
      </c>
      <c r="B1879" s="5"/>
      <c r="C1879" s="5"/>
      <c r="D1879" s="5"/>
      <c r="E1879" s="5" t="str">
        <f ca="1">IFERROR(__xludf.DUMMYFUNCTION("""COMPUTED_VALUE"""),"Unknown")</f>
        <v>Unknown</v>
      </c>
      <c r="F1879" s="5" t="str">
        <f ca="1">IFERROR(__xludf.DUMMYFUNCTION("""COMPUTED_VALUE"""),"Fled/Escaped")</f>
        <v>Fled/Escaped</v>
      </c>
      <c r="G1879" s="5" t="str">
        <f ca="1">IFERROR(__xludf.DUMMYFUNCTION("""COMPUTED_VALUE"""),"No")</f>
        <v>No</v>
      </c>
      <c r="H1879" s="5" t="str">
        <f ca="1">IFERROR(__xludf.DUMMYFUNCTION("""COMPUTED_VALUE"""),"None")</f>
        <v>None</v>
      </c>
    </row>
    <row r="1880" spans="1:8">
      <c r="A1880" s="5" t="str">
        <f ca="1">IFERROR(__xludf.DUMMYFUNCTION("""COMPUTED_VALUE"""),"19910108TXRIR")</f>
        <v>19910108TXRIR</v>
      </c>
      <c r="B1880" s="5">
        <f ca="1">IFERROR(__xludf.DUMMYFUNCTION("""COMPUTED_VALUE"""),15)</f>
        <v>15</v>
      </c>
      <c r="C1880" s="5" t="str">
        <f ca="1">IFERROR(__xludf.DUMMYFUNCTION("""COMPUTED_VALUE"""),"Male")</f>
        <v>Male</v>
      </c>
      <c r="D1880" s="5" t="str">
        <f ca="1">IFERROR(__xludf.DUMMYFUNCTION("""COMPUTED_VALUE"""),"White")</f>
        <v>White</v>
      </c>
      <c r="E1880" s="5" t="str">
        <f ca="1">IFERROR(__xludf.DUMMYFUNCTION("""COMPUTED_VALUE"""),"Student")</f>
        <v>Student</v>
      </c>
      <c r="F1880" s="5" t="str">
        <f ca="1">IFERROR(__xludf.DUMMYFUNCTION("""COMPUTED_VALUE"""),"Suicide")</f>
        <v>Suicide</v>
      </c>
      <c r="G1880" s="5" t="str">
        <f ca="1">IFERROR(__xludf.DUMMYFUNCTION("""COMPUTED_VALUE"""),"Yes")</f>
        <v>Yes</v>
      </c>
      <c r="H1880" s="5" t="str">
        <f ca="1">IFERROR(__xludf.DUMMYFUNCTION("""COMPUTED_VALUE"""),"Suicide")</f>
        <v>Suicide</v>
      </c>
    </row>
    <row r="1881" spans="1:8">
      <c r="A1881" s="5" t="str">
        <f ca="1">IFERROR(__xludf.DUMMYFUNCTION("""COMPUTED_VALUE"""),"19901213LASAS")</f>
        <v>19901213LASAS</v>
      </c>
      <c r="B1881" s="5"/>
      <c r="C1881" s="5"/>
      <c r="D1881" s="5"/>
      <c r="E1881" s="5" t="str">
        <f ca="1">IFERROR(__xludf.DUMMYFUNCTION("""COMPUTED_VALUE"""),"Unknown")</f>
        <v>Unknown</v>
      </c>
      <c r="F1881" s="5" t="str">
        <f ca="1">IFERROR(__xludf.DUMMYFUNCTION("""COMPUTED_VALUE"""),"Fled/Escaped")</f>
        <v>Fled/Escaped</v>
      </c>
      <c r="G1881" s="5" t="str">
        <f ca="1">IFERROR(__xludf.DUMMYFUNCTION("""COMPUTED_VALUE"""),"No")</f>
        <v>No</v>
      </c>
      <c r="H1881" s="5" t="str">
        <f ca="1">IFERROR(__xludf.DUMMYFUNCTION("""COMPUTED_VALUE"""),"None")</f>
        <v>None</v>
      </c>
    </row>
    <row r="1882" spans="1:8">
      <c r="A1882" s="5" t="str">
        <f ca="1">IFERROR(__xludf.DUMMYFUNCTION("""COMPUTED_VALUE"""),"19901110TXJUD")</f>
        <v>19901110TXJUD</v>
      </c>
      <c r="B1882" s="5"/>
      <c r="C1882" s="5"/>
      <c r="D1882" s="5"/>
      <c r="E1882" s="5" t="str">
        <f ca="1">IFERROR(__xludf.DUMMYFUNCTION("""COMPUTED_VALUE"""),"Nonstudent Using Athletic Facilities/Attending Game")</f>
        <v>Nonstudent Using Athletic Facilities/Attending Game</v>
      </c>
      <c r="F1882" s="5" t="str">
        <f ca="1">IFERROR(__xludf.DUMMYFUNCTION("""COMPUTED_VALUE"""),"Fled/Escaped")</f>
        <v>Fled/Escaped</v>
      </c>
      <c r="G1882" s="5" t="str">
        <f ca="1">IFERROR(__xludf.DUMMYFUNCTION("""COMPUTED_VALUE"""),"No")</f>
        <v>No</v>
      </c>
      <c r="H1882" s="5" t="str">
        <f ca="1">IFERROR(__xludf.DUMMYFUNCTION("""COMPUTED_VALUE"""),"None")</f>
        <v>None</v>
      </c>
    </row>
    <row r="1883" spans="1:8">
      <c r="A1883" s="5" t="str">
        <f ca="1">IFERROR(__xludf.DUMMYFUNCTION("""COMPUTED_VALUE"""),"19901030TXNAG")</f>
        <v>19901030TXNAG</v>
      </c>
      <c r="B1883" s="5">
        <f ca="1">IFERROR(__xludf.DUMMYFUNCTION("""COMPUTED_VALUE"""),32)</f>
        <v>32</v>
      </c>
      <c r="C1883" s="5" t="str">
        <f ca="1">IFERROR(__xludf.DUMMYFUNCTION("""COMPUTED_VALUE"""),"Female")</f>
        <v>Female</v>
      </c>
      <c r="D1883" s="5" t="str">
        <f ca="1">IFERROR(__xludf.DUMMYFUNCTION("""COMPUTED_VALUE"""),"Hispanic")</f>
        <v>Hispanic</v>
      </c>
      <c r="E1883" s="5" t="str">
        <f ca="1">IFERROR(__xludf.DUMMYFUNCTION("""COMPUTED_VALUE"""),"Parent")</f>
        <v>Parent</v>
      </c>
      <c r="F1883" s="5" t="str">
        <f ca="1">IFERROR(__xludf.DUMMYFUNCTION("""COMPUTED_VALUE"""),"Apprehended/Killed by LE")</f>
        <v>Apprehended/Killed by LE</v>
      </c>
      <c r="G1883" s="5" t="str">
        <f ca="1">IFERROR(__xludf.DUMMYFUNCTION("""COMPUTED_VALUE"""),"No")</f>
        <v>No</v>
      </c>
      <c r="H1883" s="5" t="str">
        <f ca="1">IFERROR(__xludf.DUMMYFUNCTION("""COMPUTED_VALUE"""),"None")</f>
        <v>None</v>
      </c>
    </row>
    <row r="1884" spans="1:8">
      <c r="A1884" s="5" t="str">
        <f ca="1">IFERROR(__xludf.DUMMYFUNCTION("""COMPUTED_VALUE"""),"19901029INCHC")</f>
        <v>19901029INCHC</v>
      </c>
      <c r="B1884" s="5">
        <f ca="1">IFERROR(__xludf.DUMMYFUNCTION("""COMPUTED_VALUE"""),18)</f>
        <v>18</v>
      </c>
      <c r="C1884" s="5" t="str">
        <f ca="1">IFERROR(__xludf.DUMMYFUNCTION("""COMPUTED_VALUE"""),"Male")</f>
        <v>Male</v>
      </c>
      <c r="D1884" s="5" t="str">
        <f ca="1">IFERROR(__xludf.DUMMYFUNCTION("""COMPUTED_VALUE"""),"White")</f>
        <v>White</v>
      </c>
      <c r="E1884" s="5" t="str">
        <f ca="1">IFERROR(__xludf.DUMMYFUNCTION("""COMPUTED_VALUE"""),"Student")</f>
        <v>Student</v>
      </c>
      <c r="F1884" s="5" t="str">
        <f ca="1">IFERROR(__xludf.DUMMYFUNCTION("""COMPUTED_VALUE"""),"Apprehended/Killed by LE")</f>
        <v>Apprehended/Killed by LE</v>
      </c>
      <c r="G1884" s="5" t="str">
        <f ca="1">IFERROR(__xludf.DUMMYFUNCTION("""COMPUTED_VALUE"""),"No")</f>
        <v>No</v>
      </c>
      <c r="H1884" s="5" t="str">
        <f ca="1">IFERROR(__xludf.DUMMYFUNCTION("""COMPUTED_VALUE"""),"None")</f>
        <v>None</v>
      </c>
    </row>
    <row r="1885" spans="1:8">
      <c r="A1885" s="5" t="str">
        <f ca="1">IFERROR(__xludf.DUMMYFUNCTION("""COMPUTED_VALUE"""),"19901002TXWHD")</f>
        <v>19901002TXWHD</v>
      </c>
      <c r="B1885" s="5" t="str">
        <f ca="1">IFERROR(__xludf.DUMMYFUNCTION("""COMPUTED_VALUE"""),"Adult")</f>
        <v>Adult</v>
      </c>
      <c r="C1885" s="5" t="str">
        <f ca="1">IFERROR(__xludf.DUMMYFUNCTION("""COMPUTED_VALUE"""),"Female")</f>
        <v>Female</v>
      </c>
      <c r="D1885" s="5" t="str">
        <f ca="1">IFERROR(__xludf.DUMMYFUNCTION("""COMPUTED_VALUE"""),"Hispanic")</f>
        <v>Hispanic</v>
      </c>
      <c r="E1885" s="5" t="str">
        <f ca="1">IFERROR(__xludf.DUMMYFUNCTION("""COMPUTED_VALUE"""),"No Relation")</f>
        <v>No Relation</v>
      </c>
      <c r="F1885" s="5" t="str">
        <f ca="1">IFERROR(__xludf.DUMMYFUNCTION("""COMPUTED_VALUE"""),"Fled/Escaped")</f>
        <v>Fled/Escaped</v>
      </c>
      <c r="G1885" s="5" t="str">
        <f ca="1">IFERROR(__xludf.DUMMYFUNCTION("""COMPUTED_VALUE"""),"No")</f>
        <v>No</v>
      </c>
      <c r="H1885" s="5" t="str">
        <f ca="1">IFERROR(__xludf.DUMMYFUNCTION("""COMPUTED_VALUE"""),"None")</f>
        <v>None</v>
      </c>
    </row>
    <row r="1886" spans="1:8">
      <c r="A1886" s="5" t="str">
        <f ca="1">IFERROR(__xludf.DUMMYFUNCTION("""COMPUTED_VALUE"""),"19900922ALLEB")</f>
        <v>19900922ALLEB</v>
      </c>
      <c r="B1886" s="5"/>
      <c r="C1886" s="5" t="str">
        <f ca="1">IFERROR(__xludf.DUMMYFUNCTION("""COMPUTED_VALUE"""),"Male")</f>
        <v>Male</v>
      </c>
      <c r="D1886" s="5"/>
      <c r="E1886" s="5" t="str">
        <f ca="1">IFERROR(__xludf.DUMMYFUNCTION("""COMPUTED_VALUE"""),"Unknown")</f>
        <v>Unknown</v>
      </c>
      <c r="F1886" s="5" t="str">
        <f ca="1">IFERROR(__xludf.DUMMYFUNCTION("""COMPUTED_VALUE"""),"Fled/Escaped")</f>
        <v>Fled/Escaped</v>
      </c>
      <c r="G1886" s="5" t="str">
        <f ca="1">IFERROR(__xludf.DUMMYFUNCTION("""COMPUTED_VALUE"""),"No")</f>
        <v>No</v>
      </c>
      <c r="H1886" s="5" t="str">
        <f ca="1">IFERROR(__xludf.DUMMYFUNCTION("""COMPUTED_VALUE"""),"None")</f>
        <v>None</v>
      </c>
    </row>
    <row r="1887" spans="1:8">
      <c r="A1887" s="5" t="str">
        <f ca="1">IFERROR(__xludf.DUMMYFUNCTION("""COMPUTED_VALUE"""),"19900911TXSAS")</f>
        <v>19900911TXSAS</v>
      </c>
      <c r="B1887" s="5"/>
      <c r="C1887" s="5" t="str">
        <f ca="1">IFERROR(__xludf.DUMMYFUNCTION("""COMPUTED_VALUE"""),"Male")</f>
        <v>Male</v>
      </c>
      <c r="D1887" s="5" t="str">
        <f ca="1">IFERROR(__xludf.DUMMYFUNCTION("""COMPUTED_VALUE"""),"Black")</f>
        <v>Black</v>
      </c>
      <c r="E1887" s="5" t="str">
        <f ca="1">IFERROR(__xludf.DUMMYFUNCTION("""COMPUTED_VALUE"""),"Student")</f>
        <v>Student</v>
      </c>
      <c r="F1887" s="5" t="str">
        <f ca="1">IFERROR(__xludf.DUMMYFUNCTION("""COMPUTED_VALUE"""),"Fled/Apprehended")</f>
        <v>Fled/Apprehended</v>
      </c>
      <c r="G1887" s="5" t="str">
        <f ca="1">IFERROR(__xludf.DUMMYFUNCTION("""COMPUTED_VALUE"""),"No")</f>
        <v>No</v>
      </c>
      <c r="H1887" s="5" t="str">
        <f ca="1">IFERROR(__xludf.DUMMYFUNCTION("""COMPUTED_VALUE"""),"None")</f>
        <v>None</v>
      </c>
    </row>
    <row r="1888" spans="1:8">
      <c r="A1888" s="5" t="str">
        <f ca="1">IFERROR(__xludf.DUMMYFUNCTION("""COMPUTED_VALUE"""),"19900906GASOC")</f>
        <v>19900906GASOC</v>
      </c>
      <c r="B1888" s="5">
        <f ca="1">IFERROR(__xludf.DUMMYFUNCTION("""COMPUTED_VALUE"""),16)</f>
        <v>16</v>
      </c>
      <c r="C1888" s="5" t="str">
        <f ca="1">IFERROR(__xludf.DUMMYFUNCTION("""COMPUTED_VALUE"""),"Male")</f>
        <v>Male</v>
      </c>
      <c r="D1888" s="5"/>
      <c r="E1888" s="5" t="str">
        <f ca="1">IFERROR(__xludf.DUMMYFUNCTION("""COMPUTED_VALUE"""),"Student")</f>
        <v>Student</v>
      </c>
      <c r="F1888" s="5" t="str">
        <f ca="1">IFERROR(__xludf.DUMMYFUNCTION("""COMPUTED_VALUE"""),"Surrendered")</f>
        <v>Surrendered</v>
      </c>
      <c r="G1888" s="5" t="str">
        <f ca="1">IFERROR(__xludf.DUMMYFUNCTION("""COMPUTED_VALUE"""),"No")</f>
        <v>No</v>
      </c>
      <c r="H1888" s="5" t="str">
        <f ca="1">IFERROR(__xludf.DUMMYFUNCTION("""COMPUTED_VALUE"""),"None")</f>
        <v>None</v>
      </c>
    </row>
    <row r="1889" spans="1:8">
      <c r="A1889" s="5" t="str">
        <f ca="1">IFERROR(__xludf.DUMMYFUNCTION("""COMPUTED_VALUE"""),"19900827TXWHD")</f>
        <v>19900827TXWHD</v>
      </c>
      <c r="B1889" s="5"/>
      <c r="C1889" s="5" t="str">
        <f ca="1">IFERROR(__xludf.DUMMYFUNCTION("""COMPUTED_VALUE"""),"Male")</f>
        <v>Male</v>
      </c>
      <c r="D1889" s="5"/>
      <c r="E1889" s="5" t="str">
        <f ca="1">IFERROR(__xludf.DUMMYFUNCTION("""COMPUTED_VALUE"""),"Unknown")</f>
        <v>Unknown</v>
      </c>
      <c r="F1889" s="5" t="str">
        <f ca="1">IFERROR(__xludf.DUMMYFUNCTION("""COMPUTED_VALUE"""),"Fled/Escaped")</f>
        <v>Fled/Escaped</v>
      </c>
      <c r="G1889" s="5" t="str">
        <f ca="1">IFERROR(__xludf.DUMMYFUNCTION("""COMPUTED_VALUE"""),"No")</f>
        <v>No</v>
      </c>
      <c r="H1889" s="5" t="str">
        <f ca="1">IFERROR(__xludf.DUMMYFUNCTION("""COMPUTED_VALUE"""),"None")</f>
        <v>None</v>
      </c>
    </row>
    <row r="1890" spans="1:8">
      <c r="A1890" s="5" t="str">
        <f ca="1">IFERROR(__xludf.DUMMYFUNCTION("""COMPUTED_VALUE"""),"19900827NVELL")</f>
        <v>19900827NVELL</v>
      </c>
      <c r="B1890" s="5">
        <f ca="1">IFERROR(__xludf.DUMMYFUNCTION("""COMPUTED_VALUE"""),15)</f>
        <v>15</v>
      </c>
      <c r="C1890" s="5" t="str">
        <f ca="1">IFERROR(__xludf.DUMMYFUNCTION("""COMPUTED_VALUE"""),"Male")</f>
        <v>Male</v>
      </c>
      <c r="D1890" s="5"/>
      <c r="E1890" s="5" t="str">
        <f ca="1">IFERROR(__xludf.DUMMYFUNCTION("""COMPUTED_VALUE"""),"Student")</f>
        <v>Student</v>
      </c>
      <c r="F1890" s="5" t="str">
        <f ca="1">IFERROR(__xludf.DUMMYFUNCTION("""COMPUTED_VALUE"""),"Unknown")</f>
        <v>Unknown</v>
      </c>
      <c r="G1890" s="5" t="str">
        <f ca="1">IFERROR(__xludf.DUMMYFUNCTION("""COMPUTED_VALUE"""),"No")</f>
        <v>No</v>
      </c>
      <c r="H1890" s="5" t="str">
        <f ca="1">IFERROR(__xludf.DUMMYFUNCTION("""COMPUTED_VALUE"""),"None")</f>
        <v>None</v>
      </c>
    </row>
    <row r="1891" spans="1:8">
      <c r="A1891" s="5" t="str">
        <f ca="1">IFERROR(__xludf.DUMMYFUNCTION("""COMPUTED_VALUE"""),"19900824NCMYC")</f>
        <v>19900824NCMYC</v>
      </c>
      <c r="B1891" s="5"/>
      <c r="C1891" s="5"/>
      <c r="D1891" s="5"/>
      <c r="E1891" s="5" t="str">
        <f ca="1">IFERROR(__xludf.DUMMYFUNCTION("""COMPUTED_VALUE"""),"Unknown")</f>
        <v>Unknown</v>
      </c>
      <c r="F1891" s="5" t="str">
        <f ca="1">IFERROR(__xludf.DUMMYFUNCTION("""COMPUTED_VALUE"""),"Fled/Escaped")</f>
        <v>Fled/Escaped</v>
      </c>
      <c r="G1891" s="5" t="str">
        <f ca="1">IFERROR(__xludf.DUMMYFUNCTION("""COMPUTED_VALUE"""),"No")</f>
        <v>No</v>
      </c>
      <c r="H1891" s="5" t="str">
        <f ca="1">IFERROR(__xludf.DUMMYFUNCTION("""COMPUTED_VALUE"""),"None")</f>
        <v>None</v>
      </c>
    </row>
    <row r="1892" spans="1:8">
      <c r="A1892" s="5" t="str">
        <f ca="1">IFERROR(__xludf.DUMMYFUNCTION("""COMPUTED_VALUE"""),"19900531TXSUF")</f>
        <v>19900531TXSUF</v>
      </c>
      <c r="B1892" s="5">
        <f ca="1">IFERROR(__xludf.DUMMYFUNCTION("""COMPUTED_VALUE"""),16)</f>
        <v>16</v>
      </c>
      <c r="C1892" s="5" t="str">
        <f ca="1">IFERROR(__xludf.DUMMYFUNCTION("""COMPUTED_VALUE"""),"Male")</f>
        <v>Male</v>
      </c>
      <c r="D1892" s="5" t="str">
        <f ca="1">IFERROR(__xludf.DUMMYFUNCTION("""COMPUTED_VALUE"""),"White")</f>
        <v>White</v>
      </c>
      <c r="E1892" s="5" t="str">
        <f ca="1">IFERROR(__xludf.DUMMYFUNCTION("""COMPUTED_VALUE"""),"No Relation")</f>
        <v>No Relation</v>
      </c>
      <c r="F1892" s="5" t="str">
        <f ca="1">IFERROR(__xludf.DUMMYFUNCTION("""COMPUTED_VALUE"""),"Fled/Apprehended")</f>
        <v>Fled/Apprehended</v>
      </c>
      <c r="G1892" s="5" t="str">
        <f ca="1">IFERROR(__xludf.DUMMYFUNCTION("""COMPUTED_VALUE"""),"No")</f>
        <v>No</v>
      </c>
      <c r="H1892" s="5" t="str">
        <f ca="1">IFERROR(__xludf.DUMMYFUNCTION("""COMPUTED_VALUE"""),"None")</f>
        <v>None</v>
      </c>
    </row>
    <row r="1893" spans="1:8">
      <c r="A1893" s="5" t="str">
        <f ca="1">IFERROR(__xludf.DUMMYFUNCTION("""COMPUTED_VALUE"""),"19900520TNHIC")</f>
        <v>19900520TNHIC</v>
      </c>
      <c r="B1893" s="5">
        <f ca="1">IFERROR(__xludf.DUMMYFUNCTION("""COMPUTED_VALUE"""),50)</f>
        <v>50</v>
      </c>
      <c r="C1893" s="5" t="str">
        <f ca="1">IFERROR(__xludf.DUMMYFUNCTION("""COMPUTED_VALUE"""),"Male")</f>
        <v>Male</v>
      </c>
      <c r="D1893" s="5"/>
      <c r="E1893" s="5" t="str">
        <f ca="1">IFERROR(__xludf.DUMMYFUNCTION("""COMPUTED_VALUE"""),"Teacher")</f>
        <v>Teacher</v>
      </c>
      <c r="F1893" s="5" t="str">
        <f ca="1">IFERROR(__xludf.DUMMYFUNCTION("""COMPUTED_VALUE"""),"Fled/Apprehended")</f>
        <v>Fled/Apprehended</v>
      </c>
      <c r="G1893" s="5" t="str">
        <f ca="1">IFERROR(__xludf.DUMMYFUNCTION("""COMPUTED_VALUE"""),"No")</f>
        <v>No</v>
      </c>
      <c r="H1893" s="5" t="str">
        <f ca="1">IFERROR(__xludf.DUMMYFUNCTION("""COMPUTED_VALUE"""),"None")</f>
        <v>None</v>
      </c>
    </row>
    <row r="1894" spans="1:8">
      <c r="A1894" s="5" t="str">
        <f ca="1">IFERROR(__xludf.DUMMYFUNCTION("""COMPUTED_VALUE"""),"19900504CAMOE")</f>
        <v>19900504CAMOE</v>
      </c>
      <c r="B1894" s="5">
        <f ca="1">IFERROR(__xludf.DUMMYFUNCTION("""COMPUTED_VALUE"""),17)</f>
        <v>17</v>
      </c>
      <c r="C1894" s="5" t="str">
        <f ca="1">IFERROR(__xludf.DUMMYFUNCTION("""COMPUTED_VALUE"""),"Male")</f>
        <v>Male</v>
      </c>
      <c r="D1894" s="5" t="str">
        <f ca="1">IFERROR(__xludf.DUMMYFUNCTION("""COMPUTED_VALUE"""),"Asian")</f>
        <v>Asian</v>
      </c>
      <c r="E1894" s="5" t="str">
        <f ca="1">IFERROR(__xludf.DUMMYFUNCTION("""COMPUTED_VALUE"""),"Student")</f>
        <v>Student</v>
      </c>
      <c r="F1894" s="5" t="str">
        <f ca="1">IFERROR(__xludf.DUMMYFUNCTION("""COMPUTED_VALUE"""),"Fled/Apprehended")</f>
        <v>Fled/Apprehended</v>
      </c>
      <c r="G1894" s="5" t="str">
        <f ca="1">IFERROR(__xludf.DUMMYFUNCTION("""COMPUTED_VALUE"""),"No")</f>
        <v>No</v>
      </c>
      <c r="H1894" s="5" t="str">
        <f ca="1">IFERROR(__xludf.DUMMYFUNCTION("""COMPUTED_VALUE"""),"None")</f>
        <v>None</v>
      </c>
    </row>
    <row r="1895" spans="1:8">
      <c r="A1895" s="5" t="str">
        <f ca="1">IFERROR(__xludf.DUMMYFUNCTION("""COMPUTED_VALUE"""),"19900403TXSKD")</f>
        <v>19900403TXSKD</v>
      </c>
      <c r="B1895" s="5">
        <f ca="1">IFERROR(__xludf.DUMMYFUNCTION("""COMPUTED_VALUE"""),18)</f>
        <v>18</v>
      </c>
      <c r="C1895" s="5" t="str">
        <f ca="1">IFERROR(__xludf.DUMMYFUNCTION("""COMPUTED_VALUE"""),"Male")</f>
        <v>Male</v>
      </c>
      <c r="D1895" s="5"/>
      <c r="E1895" s="5" t="str">
        <f ca="1">IFERROR(__xludf.DUMMYFUNCTION("""COMPUTED_VALUE"""),"Student")</f>
        <v>Student</v>
      </c>
      <c r="F1895" s="5" t="str">
        <f ca="1">IFERROR(__xludf.DUMMYFUNCTION("""COMPUTED_VALUE"""),"Fled/Escaped")</f>
        <v>Fled/Escaped</v>
      </c>
      <c r="G1895" s="5" t="str">
        <f ca="1">IFERROR(__xludf.DUMMYFUNCTION("""COMPUTED_VALUE"""),"No")</f>
        <v>No</v>
      </c>
      <c r="H1895" s="5" t="str">
        <f ca="1">IFERROR(__xludf.DUMMYFUNCTION("""COMPUTED_VALUE"""),"None")</f>
        <v>None</v>
      </c>
    </row>
    <row r="1896" spans="1:8">
      <c r="A1896" s="5" t="str">
        <f ca="1">IFERROR(__xludf.DUMMYFUNCTION("""COMPUTED_VALUE"""),"19900327NYNEB")</f>
        <v>19900327NYNEB</v>
      </c>
      <c r="B1896" s="5" t="str">
        <f ca="1">IFERROR(__xludf.DUMMYFUNCTION("""COMPUTED_VALUE"""),"Teen")</f>
        <v>Teen</v>
      </c>
      <c r="C1896" s="5" t="str">
        <f ca="1">IFERROR(__xludf.DUMMYFUNCTION("""COMPUTED_VALUE"""),"Male")</f>
        <v>Male</v>
      </c>
      <c r="D1896" s="5" t="str">
        <f ca="1">IFERROR(__xludf.DUMMYFUNCTION("""COMPUTED_VALUE"""),"White")</f>
        <v>White</v>
      </c>
      <c r="E1896" s="5" t="str">
        <f ca="1">IFERROR(__xludf.DUMMYFUNCTION("""COMPUTED_VALUE"""),"Student")</f>
        <v>Student</v>
      </c>
      <c r="F1896" s="5" t="str">
        <f ca="1">IFERROR(__xludf.DUMMYFUNCTION("""COMPUTED_VALUE"""),"Fled/Escaped")</f>
        <v>Fled/Escaped</v>
      </c>
      <c r="G1896" s="5" t="str">
        <f ca="1">IFERROR(__xludf.DUMMYFUNCTION("""COMPUTED_VALUE"""),"No")</f>
        <v>No</v>
      </c>
      <c r="H1896" s="5" t="str">
        <f ca="1">IFERROR(__xludf.DUMMYFUNCTION("""COMPUTED_VALUE"""),"None")</f>
        <v>None</v>
      </c>
    </row>
    <row r="1897" spans="1:8">
      <c r="A1897" s="5" t="str">
        <f ca="1">IFERROR(__xludf.DUMMYFUNCTION("""COMPUTED_VALUE"""),"19900220OHTAC")</f>
        <v>19900220OHTAC</v>
      </c>
      <c r="B1897" s="5">
        <f ca="1">IFERROR(__xludf.DUMMYFUNCTION("""COMPUTED_VALUE"""),17)</f>
        <v>17</v>
      </c>
      <c r="C1897" s="5" t="str">
        <f ca="1">IFERROR(__xludf.DUMMYFUNCTION("""COMPUTED_VALUE"""),"Male")</f>
        <v>Male</v>
      </c>
      <c r="D1897" s="5"/>
      <c r="E1897" s="5" t="str">
        <f ca="1">IFERROR(__xludf.DUMMYFUNCTION("""COMPUTED_VALUE"""),"Student")</f>
        <v>Student</v>
      </c>
      <c r="F1897" s="5" t="str">
        <f ca="1">IFERROR(__xludf.DUMMYFUNCTION("""COMPUTED_VALUE"""),"Fled/Apprehended")</f>
        <v>Fled/Apprehended</v>
      </c>
      <c r="G1897" s="5" t="str">
        <f ca="1">IFERROR(__xludf.DUMMYFUNCTION("""COMPUTED_VALUE"""),"No")</f>
        <v>No</v>
      </c>
      <c r="H1897" s="5" t="str">
        <f ca="1">IFERROR(__xludf.DUMMYFUNCTION("""COMPUTED_VALUE"""),"None")</f>
        <v>None</v>
      </c>
    </row>
    <row r="1898" spans="1:8">
      <c r="A1898" s="5" t="str">
        <f ca="1">IFERROR(__xludf.DUMMYFUNCTION("""COMPUTED_VALUE"""),"19900116RICEP")</f>
        <v>19900116RICEP</v>
      </c>
      <c r="B1898" s="5">
        <f ca="1">IFERROR(__xludf.DUMMYFUNCTION("""COMPUTED_VALUE"""),17)</f>
        <v>17</v>
      </c>
      <c r="C1898" s="5" t="str">
        <f ca="1">IFERROR(__xludf.DUMMYFUNCTION("""COMPUTED_VALUE"""),"Male")</f>
        <v>Male</v>
      </c>
      <c r="D1898" s="5" t="str">
        <f ca="1">IFERROR(__xludf.DUMMYFUNCTION("""COMPUTED_VALUE"""),"Asian")</f>
        <v>Asian</v>
      </c>
      <c r="E1898" s="5" t="str">
        <f ca="1">IFERROR(__xludf.DUMMYFUNCTION("""COMPUTED_VALUE"""),"Student")</f>
        <v>Student</v>
      </c>
      <c r="F1898" s="5" t="str">
        <f ca="1">IFERROR(__xludf.DUMMYFUNCTION("""COMPUTED_VALUE"""),"Fled/Apprehended")</f>
        <v>Fled/Apprehended</v>
      </c>
      <c r="G1898" s="5" t="str">
        <f ca="1">IFERROR(__xludf.DUMMYFUNCTION("""COMPUTED_VALUE"""),"No")</f>
        <v>No</v>
      </c>
      <c r="H1898" s="5" t="str">
        <f ca="1">IFERROR(__xludf.DUMMYFUNCTION("""COMPUTED_VALUE"""),"None")</f>
        <v>None</v>
      </c>
    </row>
    <row r="1899" spans="1:8">
      <c r="A1899" s="5" t="str">
        <f ca="1">IFERROR(__xludf.DUMMYFUNCTION("""COMPUTED_VALUE"""),"19891212SCCHC")</f>
        <v>19891212SCCHC</v>
      </c>
      <c r="B1899" s="5">
        <f ca="1">IFERROR(__xludf.DUMMYFUNCTION("""COMPUTED_VALUE"""),21)</f>
        <v>21</v>
      </c>
      <c r="C1899" s="5" t="str">
        <f ca="1">IFERROR(__xludf.DUMMYFUNCTION("""COMPUTED_VALUE"""),"Male")</f>
        <v>Male</v>
      </c>
      <c r="D1899" s="5"/>
      <c r="E1899" s="5" t="str">
        <f ca="1">IFERROR(__xludf.DUMMYFUNCTION("""COMPUTED_VALUE"""),"Former Student")</f>
        <v>Former Student</v>
      </c>
      <c r="F1899" s="5" t="str">
        <f ca="1">IFERROR(__xludf.DUMMYFUNCTION("""COMPUTED_VALUE"""),"Fled/Apprehended")</f>
        <v>Fled/Apprehended</v>
      </c>
      <c r="G1899" s="5" t="str">
        <f ca="1">IFERROR(__xludf.DUMMYFUNCTION("""COMPUTED_VALUE"""),"No")</f>
        <v>No</v>
      </c>
      <c r="H1899" s="5" t="str">
        <f ca="1">IFERROR(__xludf.DUMMYFUNCTION("""COMPUTED_VALUE"""),"None")</f>
        <v>None</v>
      </c>
    </row>
    <row r="1900" spans="1:8">
      <c r="A1900" s="5" t="str">
        <f ca="1">IFERROR(__xludf.DUMMYFUNCTION("""COMPUTED_VALUE"""),"19891205TXWWD")</f>
        <v>19891205TXWWD</v>
      </c>
      <c r="B1900" s="5">
        <f ca="1">IFERROR(__xludf.DUMMYFUNCTION("""COMPUTED_VALUE"""),18)</f>
        <v>18</v>
      </c>
      <c r="C1900" s="5" t="str">
        <f ca="1">IFERROR(__xludf.DUMMYFUNCTION("""COMPUTED_VALUE"""),"Male")</f>
        <v>Male</v>
      </c>
      <c r="D1900" s="5" t="str">
        <f ca="1">IFERROR(__xludf.DUMMYFUNCTION("""COMPUTED_VALUE"""),"Hispanic")</f>
        <v>Hispanic</v>
      </c>
      <c r="E1900" s="5" t="str">
        <f ca="1">IFERROR(__xludf.DUMMYFUNCTION("""COMPUTED_VALUE"""),"Unknown")</f>
        <v>Unknown</v>
      </c>
      <c r="F1900" s="5" t="str">
        <f ca="1">IFERROR(__xludf.DUMMYFUNCTION("""COMPUTED_VALUE"""),"Fled/Apprehended")</f>
        <v>Fled/Apprehended</v>
      </c>
      <c r="G1900" s="5" t="str">
        <f ca="1">IFERROR(__xludf.DUMMYFUNCTION("""COMPUTED_VALUE"""),"No")</f>
        <v>No</v>
      </c>
      <c r="H1900" s="5" t="str">
        <f ca="1">IFERROR(__xludf.DUMMYFUNCTION("""COMPUTED_VALUE"""),"None")</f>
        <v>None</v>
      </c>
    </row>
    <row r="1901" spans="1:8">
      <c r="A1901" s="5" t="str">
        <f ca="1">IFERROR(__xludf.DUMMYFUNCTION("""COMPUTED_VALUE"""),"19891205PASEM")</f>
        <v>19891205PASEM</v>
      </c>
      <c r="B1901" s="5">
        <f ca="1">IFERROR(__xludf.DUMMYFUNCTION("""COMPUTED_VALUE"""),16)</f>
        <v>16</v>
      </c>
      <c r="C1901" s="5" t="str">
        <f ca="1">IFERROR(__xludf.DUMMYFUNCTION("""COMPUTED_VALUE"""),"Male")</f>
        <v>Male</v>
      </c>
      <c r="D1901" s="5" t="str">
        <f ca="1">IFERROR(__xludf.DUMMYFUNCTION("""COMPUTED_VALUE"""),"White")</f>
        <v>White</v>
      </c>
      <c r="E1901" s="5" t="str">
        <f ca="1">IFERROR(__xludf.DUMMYFUNCTION("""COMPUTED_VALUE"""),"Student")</f>
        <v>Student</v>
      </c>
      <c r="F1901" s="5" t="str">
        <f ca="1">IFERROR(__xludf.DUMMYFUNCTION("""COMPUTED_VALUE"""),"Suicide")</f>
        <v>Suicide</v>
      </c>
      <c r="G1901" s="5" t="str">
        <f ca="1">IFERROR(__xludf.DUMMYFUNCTION("""COMPUTED_VALUE"""),"Yes")</f>
        <v>Yes</v>
      </c>
      <c r="H1901" s="5" t="str">
        <f ca="1">IFERROR(__xludf.DUMMYFUNCTION("""COMPUTED_VALUE"""),"Suicide")</f>
        <v>Suicide</v>
      </c>
    </row>
    <row r="1902" spans="1:8">
      <c r="A1902" s="5" t="str">
        <f ca="1">IFERROR(__xludf.DUMMYFUNCTION("""COMPUTED_VALUE"""),"19891204LACAS")</f>
        <v>19891204LACAS</v>
      </c>
      <c r="B1902" s="5" t="str">
        <f ca="1">IFERROR(__xludf.DUMMYFUNCTION("""COMPUTED_VALUE"""),"Teen")</f>
        <v>Teen</v>
      </c>
      <c r="C1902" s="5" t="str">
        <f ca="1">IFERROR(__xludf.DUMMYFUNCTION("""COMPUTED_VALUE"""),"Male")</f>
        <v>Male</v>
      </c>
      <c r="D1902" s="5"/>
      <c r="E1902" s="5" t="str">
        <f ca="1">IFERROR(__xludf.DUMMYFUNCTION("""COMPUTED_VALUE"""),"Student")</f>
        <v>Student</v>
      </c>
      <c r="F1902" s="5" t="str">
        <f ca="1">IFERROR(__xludf.DUMMYFUNCTION("""COMPUTED_VALUE"""),"Unknown")</f>
        <v>Unknown</v>
      </c>
      <c r="G1902" s="5" t="str">
        <f ca="1">IFERROR(__xludf.DUMMYFUNCTION("""COMPUTED_VALUE"""),"No")</f>
        <v>No</v>
      </c>
      <c r="H1902" s="5" t="str">
        <f ca="1">IFERROR(__xludf.DUMMYFUNCTION("""COMPUTED_VALUE"""),"None")</f>
        <v>None</v>
      </c>
    </row>
    <row r="1903" spans="1:8">
      <c r="A1903" s="5" t="str">
        <f ca="1">IFERROR(__xludf.DUMMYFUNCTION("""COMPUTED_VALUE"""),"19891122CACHO")</f>
        <v>19891122CACHO</v>
      </c>
      <c r="B1903" s="5">
        <f ca="1">IFERROR(__xludf.DUMMYFUNCTION("""COMPUTED_VALUE"""),19)</f>
        <v>19</v>
      </c>
      <c r="C1903" s="5" t="str">
        <f ca="1">IFERROR(__xludf.DUMMYFUNCTION("""COMPUTED_VALUE"""),"Male")</f>
        <v>Male</v>
      </c>
      <c r="D1903" s="5" t="str">
        <f ca="1">IFERROR(__xludf.DUMMYFUNCTION("""COMPUTED_VALUE"""),"Hispanic")</f>
        <v>Hispanic</v>
      </c>
      <c r="E1903" s="5" t="str">
        <f ca="1">IFERROR(__xludf.DUMMYFUNCTION("""COMPUTED_VALUE"""),"Unknown")</f>
        <v>Unknown</v>
      </c>
      <c r="F1903" s="5" t="str">
        <f ca="1">IFERROR(__xludf.DUMMYFUNCTION("""COMPUTED_VALUE"""),"Fled/Apprehended")</f>
        <v>Fled/Apprehended</v>
      </c>
      <c r="G1903" s="5" t="str">
        <f ca="1">IFERROR(__xludf.DUMMYFUNCTION("""COMPUTED_VALUE"""),"No")</f>
        <v>No</v>
      </c>
      <c r="H1903" s="5" t="str">
        <f ca="1">IFERROR(__xludf.DUMMYFUNCTION("""COMPUTED_VALUE"""),"None")</f>
        <v>None</v>
      </c>
    </row>
    <row r="1904" spans="1:8">
      <c r="A1904" s="5" t="str">
        <f ca="1">IFERROR(__xludf.DUMMYFUNCTION("""COMPUTED_VALUE"""),"19891115TXWOA")</f>
        <v>19891115TXWOA</v>
      </c>
      <c r="B1904" s="5">
        <f ca="1">IFERROR(__xludf.DUMMYFUNCTION("""COMPUTED_VALUE"""),13)</f>
        <v>13</v>
      </c>
      <c r="C1904" s="5" t="str">
        <f ca="1">IFERROR(__xludf.DUMMYFUNCTION("""COMPUTED_VALUE"""),"Male")</f>
        <v>Male</v>
      </c>
      <c r="D1904" s="5"/>
      <c r="E1904" s="5" t="str">
        <f ca="1">IFERROR(__xludf.DUMMYFUNCTION("""COMPUTED_VALUE"""),"Student")</f>
        <v>Student</v>
      </c>
      <c r="F1904" s="5" t="str">
        <f ca="1">IFERROR(__xludf.DUMMYFUNCTION("""COMPUTED_VALUE"""),"Fled/Apprehended")</f>
        <v>Fled/Apprehended</v>
      </c>
      <c r="G1904" s="5" t="str">
        <f ca="1">IFERROR(__xludf.DUMMYFUNCTION("""COMPUTED_VALUE"""),"No")</f>
        <v>No</v>
      </c>
      <c r="H1904" s="5" t="str">
        <f ca="1">IFERROR(__xludf.DUMMYFUNCTION("""COMPUTED_VALUE"""),"None")</f>
        <v>None</v>
      </c>
    </row>
    <row r="1905" spans="1:8">
      <c r="A1905" s="5" t="str">
        <f ca="1">IFERROR(__xludf.DUMMYFUNCTION("""COMPUTED_VALUE"""),"19891113NYALN")</f>
        <v>19891113NYALN</v>
      </c>
      <c r="B1905" s="5">
        <f ca="1">IFERROR(__xludf.DUMMYFUNCTION("""COMPUTED_VALUE"""),15)</f>
        <v>15</v>
      </c>
      <c r="C1905" s="5" t="str">
        <f ca="1">IFERROR(__xludf.DUMMYFUNCTION("""COMPUTED_VALUE"""),"Male")</f>
        <v>Male</v>
      </c>
      <c r="D1905" s="5"/>
      <c r="E1905" s="5" t="str">
        <f ca="1">IFERROR(__xludf.DUMMYFUNCTION("""COMPUTED_VALUE"""),"Student")</f>
        <v>Student</v>
      </c>
      <c r="F1905" s="5" t="str">
        <f ca="1">IFERROR(__xludf.DUMMYFUNCTION("""COMPUTED_VALUE"""),"Unknown")</f>
        <v>Unknown</v>
      </c>
      <c r="G1905" s="5" t="str">
        <f ca="1">IFERROR(__xludf.DUMMYFUNCTION("""COMPUTED_VALUE"""),"No")</f>
        <v>No</v>
      </c>
      <c r="H1905" s="5" t="str">
        <f ca="1">IFERROR(__xludf.DUMMYFUNCTION("""COMPUTED_VALUE"""),"None")</f>
        <v>None</v>
      </c>
    </row>
    <row r="1906" spans="1:8">
      <c r="A1906" s="5" t="str">
        <f ca="1">IFERROR(__xludf.DUMMYFUNCTION("""COMPUTED_VALUE"""),"19891031TXOLD")</f>
        <v>19891031TXOLD</v>
      </c>
      <c r="B1906" s="5">
        <f ca="1">IFERROR(__xludf.DUMMYFUNCTION("""COMPUTED_VALUE"""),14)</f>
        <v>14</v>
      </c>
      <c r="C1906" s="5" t="str">
        <f ca="1">IFERROR(__xludf.DUMMYFUNCTION("""COMPUTED_VALUE"""),"Male")</f>
        <v>Male</v>
      </c>
      <c r="D1906" s="5"/>
      <c r="E1906" s="5" t="str">
        <f ca="1">IFERROR(__xludf.DUMMYFUNCTION("""COMPUTED_VALUE"""),"Student")</f>
        <v>Student</v>
      </c>
      <c r="F1906" s="5" t="str">
        <f ca="1">IFERROR(__xludf.DUMMYFUNCTION("""COMPUTED_VALUE"""),"Surrendered")</f>
        <v>Surrendered</v>
      </c>
      <c r="G1906" s="5" t="str">
        <f ca="1">IFERROR(__xludf.DUMMYFUNCTION("""COMPUTED_VALUE"""),"No")</f>
        <v>No</v>
      </c>
      <c r="H1906" s="5" t="str">
        <f ca="1">IFERROR(__xludf.DUMMYFUNCTION("""COMPUTED_VALUE"""),"None")</f>
        <v>None</v>
      </c>
    </row>
    <row r="1907" spans="1:8">
      <c r="A1907" s="5" t="str">
        <f ca="1">IFERROR(__xludf.DUMMYFUNCTION("""COMPUTED_VALUE"""),"19891005CALOA")</f>
        <v>19891005CALOA</v>
      </c>
      <c r="B1907" s="5">
        <f ca="1">IFERROR(__xludf.DUMMYFUNCTION("""COMPUTED_VALUE"""),15)</f>
        <v>15</v>
      </c>
      <c r="C1907" s="5" t="str">
        <f ca="1">IFERROR(__xludf.DUMMYFUNCTION("""COMPUTED_VALUE"""),"Male")</f>
        <v>Male</v>
      </c>
      <c r="D1907" s="5"/>
      <c r="E1907" s="5" t="str">
        <f ca="1">IFERROR(__xludf.DUMMYFUNCTION("""COMPUTED_VALUE"""),"Student")</f>
        <v>Student</v>
      </c>
      <c r="F1907" s="5" t="str">
        <f ca="1">IFERROR(__xludf.DUMMYFUNCTION("""COMPUTED_VALUE"""),"Surrendered")</f>
        <v>Surrendered</v>
      </c>
      <c r="G1907" s="5" t="str">
        <f ca="1">IFERROR(__xludf.DUMMYFUNCTION("""COMPUTED_VALUE"""),"No")</f>
        <v>No</v>
      </c>
      <c r="H1907" s="5" t="str">
        <f ca="1">IFERROR(__xludf.DUMMYFUNCTION("""COMPUTED_VALUE"""),"None")</f>
        <v>None</v>
      </c>
    </row>
    <row r="1908" spans="1:8">
      <c r="A1908" s="5" t="str">
        <f ca="1">IFERROR(__xludf.DUMMYFUNCTION("""COMPUTED_VALUE"""),"19890918KYJAM")</f>
        <v>19890918KYJAM</v>
      </c>
      <c r="B1908" s="5">
        <f ca="1">IFERROR(__xludf.DUMMYFUNCTION("""COMPUTED_VALUE"""),17)</f>
        <v>17</v>
      </c>
      <c r="C1908" s="5" t="str">
        <f ca="1">IFERROR(__xludf.DUMMYFUNCTION("""COMPUTED_VALUE"""),"Male")</f>
        <v>Male</v>
      </c>
      <c r="D1908" s="5"/>
      <c r="E1908" s="5" t="str">
        <f ca="1">IFERROR(__xludf.DUMMYFUNCTION("""COMPUTED_VALUE"""),"Student")</f>
        <v>Student</v>
      </c>
      <c r="F1908" s="5" t="str">
        <f ca="1">IFERROR(__xludf.DUMMYFUNCTION("""COMPUTED_VALUE"""),"Surrendered")</f>
        <v>Surrendered</v>
      </c>
      <c r="G1908" s="5" t="str">
        <f ca="1">IFERROR(__xludf.DUMMYFUNCTION("""COMPUTED_VALUE"""),"No")</f>
        <v>No</v>
      </c>
      <c r="H1908" s="5" t="str">
        <f ca="1">IFERROR(__xludf.DUMMYFUNCTION("""COMPUTED_VALUE"""),"None")</f>
        <v>None</v>
      </c>
    </row>
    <row r="1909" spans="1:8">
      <c r="A1909" s="5" t="str">
        <f ca="1">IFERROR(__xludf.DUMMYFUNCTION("""COMPUTED_VALUE"""),"19890911AZDYE")</f>
        <v>19890911AZDYE</v>
      </c>
      <c r="B1909" s="5"/>
      <c r="C1909" s="5" t="str">
        <f ca="1">IFERROR(__xludf.DUMMYFUNCTION("""COMPUTED_VALUE"""),"Male")</f>
        <v>Male</v>
      </c>
      <c r="D1909" s="5"/>
      <c r="E1909" s="5" t="str">
        <f ca="1">IFERROR(__xludf.DUMMYFUNCTION("""COMPUTED_VALUE"""),"Student")</f>
        <v>Student</v>
      </c>
      <c r="F1909" s="5" t="str">
        <f ca="1">IFERROR(__xludf.DUMMYFUNCTION("""COMPUTED_VALUE"""),"Fled/Escaped")</f>
        <v>Fled/Escaped</v>
      </c>
      <c r="G1909" s="5" t="str">
        <f ca="1">IFERROR(__xludf.DUMMYFUNCTION("""COMPUTED_VALUE"""),"No")</f>
        <v>No</v>
      </c>
      <c r="H1909" s="5" t="str">
        <f ca="1">IFERROR(__xludf.DUMMYFUNCTION("""COMPUTED_VALUE"""),"None")</f>
        <v>None</v>
      </c>
    </row>
    <row r="1910" spans="1:8">
      <c r="A1910" s="5" t="str">
        <f ca="1">IFERROR(__xludf.DUMMYFUNCTION("""COMPUTED_VALUE"""),"19890901VASAV")</f>
        <v>19890901VASAV</v>
      </c>
      <c r="B1910" s="5">
        <f ca="1">IFERROR(__xludf.DUMMYFUNCTION("""COMPUTED_VALUE"""),19)</f>
        <v>19</v>
      </c>
      <c r="C1910" s="5" t="str">
        <f ca="1">IFERROR(__xludf.DUMMYFUNCTION("""COMPUTED_VALUE"""),"Male")</f>
        <v>Male</v>
      </c>
      <c r="D1910" s="5"/>
      <c r="E1910" s="5" t="str">
        <f ca="1">IFERROR(__xludf.DUMMYFUNCTION("""COMPUTED_VALUE"""),"Nonstudent Using Athletic Facilities/Attending Game")</f>
        <v>Nonstudent Using Athletic Facilities/Attending Game</v>
      </c>
      <c r="F1910" s="5" t="str">
        <f ca="1">IFERROR(__xludf.DUMMYFUNCTION("""COMPUTED_VALUE"""),"Fled/Apprehended")</f>
        <v>Fled/Apprehended</v>
      </c>
      <c r="G1910" s="5" t="str">
        <f ca="1">IFERROR(__xludf.DUMMYFUNCTION("""COMPUTED_VALUE"""),"No")</f>
        <v>No</v>
      </c>
      <c r="H1910" s="5" t="str">
        <f ca="1">IFERROR(__xludf.DUMMYFUNCTION("""COMPUTED_VALUE"""),"None")</f>
        <v>None</v>
      </c>
    </row>
    <row r="1911" spans="1:8">
      <c r="A1911" s="5" t="str">
        <f ca="1">IFERROR(__xludf.DUMMYFUNCTION("""COMPUTED_VALUE"""),"19890901VASAV")</f>
        <v>19890901VASAV</v>
      </c>
      <c r="B1911" s="5">
        <f ca="1">IFERROR(__xludf.DUMMYFUNCTION("""COMPUTED_VALUE"""),18)</f>
        <v>18</v>
      </c>
      <c r="C1911" s="5" t="str">
        <f ca="1">IFERROR(__xludf.DUMMYFUNCTION("""COMPUTED_VALUE"""),"Male")</f>
        <v>Male</v>
      </c>
      <c r="D1911" s="5"/>
      <c r="E1911" s="5" t="str">
        <f ca="1">IFERROR(__xludf.DUMMYFUNCTION("""COMPUTED_VALUE"""),"Student")</f>
        <v>Student</v>
      </c>
      <c r="F1911" s="5" t="str">
        <f ca="1">IFERROR(__xludf.DUMMYFUNCTION("""COMPUTED_VALUE"""),"Fled/Apprehended")</f>
        <v>Fled/Apprehended</v>
      </c>
      <c r="G1911" s="5" t="str">
        <f ca="1">IFERROR(__xludf.DUMMYFUNCTION("""COMPUTED_VALUE"""),"No")</f>
        <v>No</v>
      </c>
      <c r="H1911" s="5" t="str">
        <f ca="1">IFERROR(__xludf.DUMMYFUNCTION("""COMPUTED_VALUE"""),"None")</f>
        <v>None</v>
      </c>
    </row>
    <row r="1912" spans="1:8">
      <c r="A1912" s="5" t="str">
        <f ca="1">IFERROR(__xludf.DUMMYFUNCTION("""COMPUTED_VALUE"""),"19890426TXAMD")</f>
        <v>19890426TXAMD</v>
      </c>
      <c r="B1912" s="5">
        <f ca="1">IFERROR(__xludf.DUMMYFUNCTION("""COMPUTED_VALUE"""),18)</f>
        <v>18</v>
      </c>
      <c r="C1912" s="5" t="str">
        <f ca="1">IFERROR(__xludf.DUMMYFUNCTION("""COMPUTED_VALUE"""),"Male")</f>
        <v>Male</v>
      </c>
      <c r="D1912" s="5"/>
      <c r="E1912" s="5" t="str">
        <f ca="1">IFERROR(__xludf.DUMMYFUNCTION("""COMPUTED_VALUE"""),"Nonstudent")</f>
        <v>Nonstudent</v>
      </c>
      <c r="F1912" s="5" t="str">
        <f ca="1">IFERROR(__xludf.DUMMYFUNCTION("""COMPUTED_VALUE"""),"Fled/Apprehended")</f>
        <v>Fled/Apprehended</v>
      </c>
      <c r="G1912" s="5" t="str">
        <f ca="1">IFERROR(__xludf.DUMMYFUNCTION("""COMPUTED_VALUE"""),"No")</f>
        <v>No</v>
      </c>
      <c r="H1912" s="5" t="str">
        <f ca="1">IFERROR(__xludf.DUMMYFUNCTION("""COMPUTED_VALUE"""),"None")</f>
        <v>None</v>
      </c>
    </row>
    <row r="1913" spans="1:8">
      <c r="A1913" s="5" t="str">
        <f ca="1">IFERROR(__xludf.DUMMYFUNCTION("""COMPUTED_VALUE"""),"19890303INWIG")</f>
        <v>19890303INWIG</v>
      </c>
      <c r="B1913" s="5">
        <f ca="1">IFERROR(__xludf.DUMMYFUNCTION("""COMPUTED_VALUE"""),16)</f>
        <v>16</v>
      </c>
      <c r="C1913" s="5" t="str">
        <f ca="1">IFERROR(__xludf.DUMMYFUNCTION("""COMPUTED_VALUE"""),"Male")</f>
        <v>Male</v>
      </c>
      <c r="D1913" s="5"/>
      <c r="E1913" s="5" t="str">
        <f ca="1">IFERROR(__xludf.DUMMYFUNCTION("""COMPUTED_VALUE"""),"Student")</f>
        <v>Student</v>
      </c>
      <c r="F1913" s="5" t="str">
        <f ca="1">IFERROR(__xludf.DUMMYFUNCTION("""COMPUTED_VALUE"""),"Fled/Apprehended")</f>
        <v>Fled/Apprehended</v>
      </c>
      <c r="G1913" s="5" t="str">
        <f ca="1">IFERROR(__xludf.DUMMYFUNCTION("""COMPUTED_VALUE"""),"No")</f>
        <v>No</v>
      </c>
      <c r="H1913" s="5" t="str">
        <f ca="1">IFERROR(__xludf.DUMMYFUNCTION("""COMPUTED_VALUE"""),"None")</f>
        <v>None</v>
      </c>
    </row>
    <row r="1914" spans="1:8">
      <c r="A1914" s="5" t="str">
        <f ca="1">IFERROR(__xludf.DUMMYFUNCTION("""COMPUTED_VALUE"""),"19890210UTTHK")</f>
        <v>19890210UTTHK</v>
      </c>
      <c r="B1914" s="5">
        <f ca="1">IFERROR(__xludf.DUMMYFUNCTION("""COMPUTED_VALUE"""),12)</f>
        <v>12</v>
      </c>
      <c r="C1914" s="5" t="str">
        <f ca="1">IFERROR(__xludf.DUMMYFUNCTION("""COMPUTED_VALUE"""),"Male")</f>
        <v>Male</v>
      </c>
      <c r="D1914" s="5"/>
      <c r="E1914" s="5" t="str">
        <f ca="1">IFERROR(__xludf.DUMMYFUNCTION("""COMPUTED_VALUE"""),"Student")</f>
        <v>Student</v>
      </c>
      <c r="F1914" s="5" t="str">
        <f ca="1">IFERROR(__xludf.DUMMYFUNCTION("""COMPUTED_VALUE"""),"Fled/Apprehended")</f>
        <v>Fled/Apprehended</v>
      </c>
      <c r="G1914" s="5" t="str">
        <f ca="1">IFERROR(__xludf.DUMMYFUNCTION("""COMPUTED_VALUE"""),"No")</f>
        <v>No</v>
      </c>
      <c r="H1914" s="5" t="str">
        <f ca="1">IFERROR(__xludf.DUMMYFUNCTION("""COMPUTED_VALUE"""),"None")</f>
        <v>None</v>
      </c>
    </row>
    <row r="1915" spans="1:8">
      <c r="A1915" s="5" t="str">
        <f ca="1">IFERROR(__xludf.DUMMYFUNCTION("""COMPUTED_VALUE"""),"19890209IDRIR")</f>
        <v>19890209IDRIR</v>
      </c>
      <c r="B1915" s="5">
        <f ca="1">IFERROR(__xludf.DUMMYFUNCTION("""COMPUTED_VALUE"""),14)</f>
        <v>14</v>
      </c>
      <c r="C1915" s="5" t="str">
        <f ca="1">IFERROR(__xludf.DUMMYFUNCTION("""COMPUTED_VALUE"""),"Male")</f>
        <v>Male</v>
      </c>
      <c r="D1915" s="5"/>
      <c r="E1915" s="5" t="str">
        <f ca="1">IFERROR(__xludf.DUMMYFUNCTION("""COMPUTED_VALUE"""),"Student")</f>
        <v>Student</v>
      </c>
      <c r="F1915" s="5" t="str">
        <f ca="1">IFERROR(__xludf.DUMMYFUNCTION("""COMPUTED_VALUE"""),"Apprehended/Killed by LE")</f>
        <v>Apprehended/Killed by LE</v>
      </c>
      <c r="G1915" s="5" t="str">
        <f ca="1">IFERROR(__xludf.DUMMYFUNCTION("""COMPUTED_VALUE"""),"No")</f>
        <v>No</v>
      </c>
      <c r="H1915" s="5" t="str">
        <f ca="1">IFERROR(__xludf.DUMMYFUNCTION("""COMPUTED_VALUE"""),"None")</f>
        <v>None</v>
      </c>
    </row>
    <row r="1916" spans="1:8">
      <c r="A1916" s="5" t="str">
        <f ca="1">IFERROR(__xludf.DUMMYFUNCTION("""COMPUTED_VALUE"""),"19890126DCWOW")</f>
        <v>19890126DCWOW</v>
      </c>
      <c r="B1916" s="5">
        <f ca="1">IFERROR(__xludf.DUMMYFUNCTION("""COMPUTED_VALUE"""),16)</f>
        <v>16</v>
      </c>
      <c r="C1916" s="5" t="str">
        <f ca="1">IFERROR(__xludf.DUMMYFUNCTION("""COMPUTED_VALUE"""),"Male")</f>
        <v>Male</v>
      </c>
      <c r="D1916" s="5"/>
      <c r="E1916" s="5" t="str">
        <f ca="1">IFERROR(__xludf.DUMMYFUNCTION("""COMPUTED_VALUE"""),"Student")</f>
        <v>Student</v>
      </c>
      <c r="F1916" s="5" t="str">
        <f ca="1">IFERROR(__xludf.DUMMYFUNCTION("""COMPUTED_VALUE"""),"Fled/Apprehended")</f>
        <v>Fled/Apprehended</v>
      </c>
      <c r="G1916" s="5" t="str">
        <f ca="1">IFERROR(__xludf.DUMMYFUNCTION("""COMPUTED_VALUE"""),"No")</f>
        <v>No</v>
      </c>
      <c r="H1916" s="5" t="str">
        <f ca="1">IFERROR(__xludf.DUMMYFUNCTION("""COMPUTED_VALUE"""),"None")</f>
        <v>None</v>
      </c>
    </row>
    <row r="1917" spans="1:8">
      <c r="A1917" s="5" t="str">
        <f ca="1">IFERROR(__xludf.DUMMYFUNCTION("""COMPUTED_VALUE"""),"19890126DCWOW")</f>
        <v>19890126DCWOW</v>
      </c>
      <c r="B1917" s="5">
        <f ca="1">IFERROR(__xludf.DUMMYFUNCTION("""COMPUTED_VALUE"""),18)</f>
        <v>18</v>
      </c>
      <c r="C1917" s="5" t="str">
        <f ca="1">IFERROR(__xludf.DUMMYFUNCTION("""COMPUTED_VALUE"""),"Male")</f>
        <v>Male</v>
      </c>
      <c r="D1917" s="5"/>
      <c r="E1917" s="5" t="str">
        <f ca="1">IFERROR(__xludf.DUMMYFUNCTION("""COMPUTED_VALUE"""),"Student")</f>
        <v>Student</v>
      </c>
      <c r="F1917" s="5" t="str">
        <f ca="1">IFERROR(__xludf.DUMMYFUNCTION("""COMPUTED_VALUE"""),"Fled/Apprehended")</f>
        <v>Fled/Apprehended</v>
      </c>
      <c r="G1917" s="5" t="str">
        <f ca="1">IFERROR(__xludf.DUMMYFUNCTION("""COMPUTED_VALUE"""),"No")</f>
        <v>No</v>
      </c>
      <c r="H1917" s="5" t="str">
        <f ca="1">IFERROR(__xludf.DUMMYFUNCTION("""COMPUTED_VALUE"""),"None")</f>
        <v>None</v>
      </c>
    </row>
    <row r="1918" spans="1:8">
      <c r="A1918" s="5" t="str">
        <f ca="1">IFERROR(__xludf.DUMMYFUNCTION("""COMPUTED_VALUE"""),"19890117CACLS")</f>
        <v>19890117CACLS</v>
      </c>
      <c r="B1918" s="5">
        <f ca="1">IFERROR(__xludf.DUMMYFUNCTION("""COMPUTED_VALUE"""),24)</f>
        <v>24</v>
      </c>
      <c r="C1918" s="5" t="str">
        <f ca="1">IFERROR(__xludf.DUMMYFUNCTION("""COMPUTED_VALUE"""),"Male")</f>
        <v>Male</v>
      </c>
      <c r="D1918" s="5" t="str">
        <f ca="1">IFERROR(__xludf.DUMMYFUNCTION("""COMPUTED_VALUE"""),"White")</f>
        <v>White</v>
      </c>
      <c r="E1918" s="5" t="str">
        <f ca="1">IFERROR(__xludf.DUMMYFUNCTION("""COMPUTED_VALUE"""),"Former Student")</f>
        <v>Former Student</v>
      </c>
      <c r="F1918" s="5" t="str">
        <f ca="1">IFERROR(__xludf.DUMMYFUNCTION("""COMPUTED_VALUE"""),"Suicide")</f>
        <v>Suicide</v>
      </c>
      <c r="G1918" s="5" t="str">
        <f ca="1">IFERROR(__xludf.DUMMYFUNCTION("""COMPUTED_VALUE"""),"Yes")</f>
        <v>Yes</v>
      </c>
      <c r="H1918" s="5" t="str">
        <f ca="1">IFERROR(__xludf.DUMMYFUNCTION("""COMPUTED_VALUE"""),"Suicide")</f>
        <v>Suicide</v>
      </c>
    </row>
    <row r="1919" spans="1:8">
      <c r="A1919" s="5" t="str">
        <f ca="1">IFERROR(__xludf.DUMMYFUNCTION("""COMPUTED_VALUE"""),"19890105ARHEL")</f>
        <v>19890105ARHEL</v>
      </c>
      <c r="B1919" s="5">
        <f ca="1">IFERROR(__xludf.DUMMYFUNCTION("""COMPUTED_VALUE"""),19)</f>
        <v>19</v>
      </c>
      <c r="C1919" s="5" t="str">
        <f ca="1">IFERROR(__xludf.DUMMYFUNCTION("""COMPUTED_VALUE"""),"Male")</f>
        <v>Male</v>
      </c>
      <c r="D1919" s="5"/>
      <c r="E1919" s="5" t="str">
        <f ca="1">IFERROR(__xludf.DUMMYFUNCTION("""COMPUTED_VALUE"""),"Unknown")</f>
        <v>Unknown</v>
      </c>
      <c r="F1919" s="5" t="str">
        <f ca="1">IFERROR(__xludf.DUMMYFUNCTION("""COMPUTED_VALUE"""),"Unknown")</f>
        <v>Unknown</v>
      </c>
      <c r="G1919" s="5" t="str">
        <f ca="1">IFERROR(__xludf.DUMMYFUNCTION("""COMPUTED_VALUE"""),"No")</f>
        <v>No</v>
      </c>
      <c r="H1919" s="5" t="str">
        <f ca="1">IFERROR(__xludf.DUMMYFUNCTION("""COMPUTED_VALUE"""),"None")</f>
        <v>None</v>
      </c>
    </row>
    <row r="1920" spans="1:8">
      <c r="A1920" s="5" t="str">
        <f ca="1">IFERROR(__xludf.DUMMYFUNCTION("""COMPUTED_VALUE"""),"19881216VAATV")</f>
        <v>19881216VAATV</v>
      </c>
      <c r="B1920" s="5">
        <f ca="1">IFERROR(__xludf.DUMMYFUNCTION("""COMPUTED_VALUE"""),16)</f>
        <v>16</v>
      </c>
      <c r="C1920" s="5" t="str">
        <f ca="1">IFERROR(__xludf.DUMMYFUNCTION("""COMPUTED_VALUE"""),"Male")</f>
        <v>Male</v>
      </c>
      <c r="D1920" s="5" t="str">
        <f ca="1">IFERROR(__xludf.DUMMYFUNCTION("""COMPUTED_VALUE"""),"Black")</f>
        <v>Black</v>
      </c>
      <c r="E1920" s="5" t="str">
        <f ca="1">IFERROR(__xludf.DUMMYFUNCTION("""COMPUTED_VALUE"""),"Student")</f>
        <v>Student</v>
      </c>
      <c r="F1920" s="5" t="str">
        <f ca="1">IFERROR(__xludf.DUMMYFUNCTION("""COMPUTED_VALUE"""),"Subdued by Students/Staff/Other")</f>
        <v>Subdued by Students/Staff/Other</v>
      </c>
      <c r="G1920" s="5" t="str">
        <f ca="1">IFERROR(__xludf.DUMMYFUNCTION("""COMPUTED_VALUE"""),"No")</f>
        <v>No</v>
      </c>
      <c r="H1920" s="5" t="str">
        <f ca="1">IFERROR(__xludf.DUMMYFUNCTION("""COMPUTED_VALUE"""),"None")</f>
        <v>None</v>
      </c>
    </row>
    <row r="1921" spans="1:8">
      <c r="A1921" s="5" t="str">
        <f ca="1">IFERROR(__xludf.DUMMYFUNCTION("""COMPUTED_VALUE"""),"19881122TXABA")</f>
        <v>19881122TXABA</v>
      </c>
      <c r="B1921" s="5">
        <f ca="1">IFERROR(__xludf.DUMMYFUNCTION("""COMPUTED_VALUE"""),16)</f>
        <v>16</v>
      </c>
      <c r="C1921" s="5" t="str">
        <f ca="1">IFERROR(__xludf.DUMMYFUNCTION("""COMPUTED_VALUE"""),"Male")</f>
        <v>Male</v>
      </c>
      <c r="D1921" s="5" t="str">
        <f ca="1">IFERROR(__xludf.DUMMYFUNCTION("""COMPUTED_VALUE"""),"White")</f>
        <v>White</v>
      </c>
      <c r="E1921" s="5" t="str">
        <f ca="1">IFERROR(__xludf.DUMMYFUNCTION("""COMPUTED_VALUE"""),"Student")</f>
        <v>Student</v>
      </c>
      <c r="F1921" s="5" t="str">
        <f ca="1">IFERROR(__xludf.DUMMYFUNCTION("""COMPUTED_VALUE"""),"Fled/Apprehended")</f>
        <v>Fled/Apprehended</v>
      </c>
      <c r="G1921" s="5" t="str">
        <f ca="1">IFERROR(__xludf.DUMMYFUNCTION("""COMPUTED_VALUE"""),"No")</f>
        <v>No</v>
      </c>
      <c r="H1921" s="5" t="str">
        <f ca="1">IFERROR(__xludf.DUMMYFUNCTION("""COMPUTED_VALUE"""),"None")</f>
        <v>None</v>
      </c>
    </row>
    <row r="1922" spans="1:8">
      <c r="A1922" s="5" t="str">
        <f ca="1">IFERROR(__xludf.DUMMYFUNCTION("""COMPUTED_VALUE"""),"19881107UTGLS")</f>
        <v>19881107UTGLS</v>
      </c>
      <c r="B1922" s="5">
        <f ca="1">IFERROR(__xludf.DUMMYFUNCTION("""COMPUTED_VALUE"""),14)</f>
        <v>14</v>
      </c>
      <c r="C1922" s="5" t="str">
        <f ca="1">IFERROR(__xludf.DUMMYFUNCTION("""COMPUTED_VALUE"""),"Male")</f>
        <v>Male</v>
      </c>
      <c r="D1922" s="5"/>
      <c r="E1922" s="5" t="str">
        <f ca="1">IFERROR(__xludf.DUMMYFUNCTION("""COMPUTED_VALUE"""),"Student")</f>
        <v>Student</v>
      </c>
      <c r="F1922" s="5" t="str">
        <f ca="1">IFERROR(__xludf.DUMMYFUNCTION("""COMPUTED_VALUE"""),"Apprehended/Killed by LE")</f>
        <v>Apprehended/Killed by LE</v>
      </c>
      <c r="G1922" s="5" t="str">
        <f ca="1">IFERROR(__xludf.DUMMYFUNCTION("""COMPUTED_VALUE"""),"No")</f>
        <v>No</v>
      </c>
      <c r="H1922" s="5" t="str">
        <f ca="1">IFERROR(__xludf.DUMMYFUNCTION("""COMPUTED_VALUE"""),"None")</f>
        <v>None</v>
      </c>
    </row>
    <row r="1923" spans="1:8">
      <c r="A1923" s="5" t="str">
        <f ca="1">IFERROR(__xludf.DUMMYFUNCTION("""COMPUTED_VALUE"""),"19881101FLPAJ")</f>
        <v>19881101FLPAJ</v>
      </c>
      <c r="B1923" s="5">
        <f ca="1">IFERROR(__xludf.DUMMYFUNCTION("""COMPUTED_VALUE"""),15)</f>
        <v>15</v>
      </c>
      <c r="C1923" s="5" t="str">
        <f ca="1">IFERROR(__xludf.DUMMYFUNCTION("""COMPUTED_VALUE"""),"Male")</f>
        <v>Male</v>
      </c>
      <c r="D1923" s="5"/>
      <c r="E1923" s="5" t="str">
        <f ca="1">IFERROR(__xludf.DUMMYFUNCTION("""COMPUTED_VALUE"""),"Student")</f>
        <v>Student</v>
      </c>
      <c r="F1923" s="5" t="str">
        <f ca="1">IFERROR(__xludf.DUMMYFUNCTION("""COMPUTED_VALUE"""),"Fled/Apprehended")</f>
        <v>Fled/Apprehended</v>
      </c>
      <c r="G1923" s="5" t="str">
        <f ca="1">IFERROR(__xludf.DUMMYFUNCTION("""COMPUTED_VALUE"""),"No")</f>
        <v>No</v>
      </c>
      <c r="H1923" s="5" t="str">
        <f ca="1">IFERROR(__xludf.DUMMYFUNCTION("""COMPUTED_VALUE"""),"None")</f>
        <v>None</v>
      </c>
    </row>
    <row r="1924" spans="1:8">
      <c r="A1924" s="5" t="str">
        <f ca="1">IFERROR(__xludf.DUMMYFUNCTION("""COMPUTED_VALUE"""),"19881007TXDIP")</f>
        <v>19881007TXDIP</v>
      </c>
      <c r="B1924" s="5">
        <f ca="1">IFERROR(__xludf.DUMMYFUNCTION("""COMPUTED_VALUE"""),10)</f>
        <v>10</v>
      </c>
      <c r="C1924" s="5" t="str">
        <f ca="1">IFERROR(__xludf.DUMMYFUNCTION("""COMPUTED_VALUE"""),"Male")</f>
        <v>Male</v>
      </c>
      <c r="D1924" s="5"/>
      <c r="E1924" s="5" t="str">
        <f ca="1">IFERROR(__xludf.DUMMYFUNCTION("""COMPUTED_VALUE"""),"Student")</f>
        <v>Student</v>
      </c>
      <c r="F1924" s="5" t="str">
        <f ca="1">IFERROR(__xludf.DUMMYFUNCTION("""COMPUTED_VALUE"""),"Fled/Apprehended")</f>
        <v>Fled/Apprehended</v>
      </c>
      <c r="G1924" s="5" t="str">
        <f ca="1">IFERROR(__xludf.DUMMYFUNCTION("""COMPUTED_VALUE"""),"No")</f>
        <v>No</v>
      </c>
      <c r="H1924" s="5" t="str">
        <f ca="1">IFERROR(__xludf.DUMMYFUNCTION("""COMPUTED_VALUE"""),"None")</f>
        <v>None</v>
      </c>
    </row>
    <row r="1925" spans="1:8">
      <c r="A1925" s="5" t="str">
        <f ca="1">IFERROR(__xludf.DUMMYFUNCTION("""COMPUTED_VALUE"""),"19881007MDSOB")</f>
        <v>19881007MDSOB</v>
      </c>
      <c r="B1925" s="5">
        <f ca="1">IFERROR(__xludf.DUMMYFUNCTION("""COMPUTED_VALUE"""),17)</f>
        <v>17</v>
      </c>
      <c r="C1925" s="5" t="str">
        <f ca="1">IFERROR(__xludf.DUMMYFUNCTION("""COMPUTED_VALUE"""),"Male")</f>
        <v>Male</v>
      </c>
      <c r="D1925" s="5"/>
      <c r="E1925" s="5" t="str">
        <f ca="1">IFERROR(__xludf.DUMMYFUNCTION("""COMPUTED_VALUE"""),"Student")</f>
        <v>Student</v>
      </c>
      <c r="F1925" s="5" t="str">
        <f ca="1">IFERROR(__xludf.DUMMYFUNCTION("""COMPUTED_VALUE"""),"Fled/Apprehended")</f>
        <v>Fled/Apprehended</v>
      </c>
      <c r="G1925" s="5" t="str">
        <f ca="1">IFERROR(__xludf.DUMMYFUNCTION("""COMPUTED_VALUE"""),"No")</f>
        <v>No</v>
      </c>
      <c r="H1925" s="5" t="str">
        <f ca="1">IFERROR(__xludf.DUMMYFUNCTION("""COMPUTED_VALUE"""),"None")</f>
        <v>None</v>
      </c>
    </row>
    <row r="1926" spans="1:8">
      <c r="A1926" s="5" t="str">
        <f ca="1">IFERROR(__xludf.DUMMYFUNCTION("""COMPUTED_VALUE"""),"19881006ALMOM")</f>
        <v>19881006ALMOM</v>
      </c>
      <c r="B1926" s="5">
        <f ca="1">IFERROR(__xludf.DUMMYFUNCTION("""COMPUTED_VALUE"""),29)</f>
        <v>29</v>
      </c>
      <c r="C1926" s="5" t="str">
        <f ca="1">IFERROR(__xludf.DUMMYFUNCTION("""COMPUTED_VALUE"""),"Female")</f>
        <v>Female</v>
      </c>
      <c r="D1926" s="5"/>
      <c r="E1926" s="5" t="str">
        <f ca="1">IFERROR(__xludf.DUMMYFUNCTION("""COMPUTED_VALUE"""),"Relative")</f>
        <v>Relative</v>
      </c>
      <c r="F1926" s="5" t="str">
        <f ca="1">IFERROR(__xludf.DUMMYFUNCTION("""COMPUTED_VALUE"""),"Fled/Apprehended")</f>
        <v>Fled/Apprehended</v>
      </c>
      <c r="G1926" s="5" t="str">
        <f ca="1">IFERROR(__xludf.DUMMYFUNCTION("""COMPUTED_VALUE"""),"No")</f>
        <v>No</v>
      </c>
      <c r="H1926" s="5" t="str">
        <f ca="1">IFERROR(__xludf.DUMMYFUNCTION("""COMPUTED_VALUE"""),"None")</f>
        <v>None</v>
      </c>
    </row>
    <row r="1927" spans="1:8">
      <c r="A1927" s="5" t="str">
        <f ca="1">IFERROR(__xludf.DUMMYFUNCTION("""COMPUTED_VALUE"""),"19881005MDEDB")</f>
        <v>19881005MDEDB</v>
      </c>
      <c r="B1927" s="5">
        <f ca="1">IFERROR(__xludf.DUMMYFUNCTION("""COMPUTED_VALUE"""),17)</f>
        <v>17</v>
      </c>
      <c r="C1927" s="5" t="str">
        <f ca="1">IFERROR(__xludf.DUMMYFUNCTION("""COMPUTED_VALUE"""),"Male")</f>
        <v>Male</v>
      </c>
      <c r="D1927" s="5"/>
      <c r="E1927" s="5" t="str">
        <f ca="1">IFERROR(__xludf.DUMMYFUNCTION("""COMPUTED_VALUE"""),"Student")</f>
        <v>Student</v>
      </c>
      <c r="F1927" s="5" t="str">
        <f ca="1">IFERROR(__xludf.DUMMYFUNCTION("""COMPUTED_VALUE"""),"Unknown")</f>
        <v>Unknown</v>
      </c>
      <c r="G1927" s="5" t="str">
        <f ca="1">IFERROR(__xludf.DUMMYFUNCTION("""COMPUTED_VALUE"""),"No")</f>
        <v>No</v>
      </c>
      <c r="H1927" s="5" t="str">
        <f ca="1">IFERROR(__xludf.DUMMYFUNCTION("""COMPUTED_VALUE"""),"None")</f>
        <v>None</v>
      </c>
    </row>
    <row r="1928" spans="1:8">
      <c r="A1928" s="5" t="str">
        <f ca="1">IFERROR(__xludf.DUMMYFUNCTION("""COMPUTED_VALUE"""),"19881004LAISB")</f>
        <v>19881004LAISB</v>
      </c>
      <c r="B1928" s="5">
        <f ca="1">IFERROR(__xludf.DUMMYFUNCTION("""COMPUTED_VALUE"""),33)</f>
        <v>33</v>
      </c>
      <c r="C1928" s="5" t="str">
        <f ca="1">IFERROR(__xludf.DUMMYFUNCTION("""COMPUTED_VALUE"""),"Female")</f>
        <v>Female</v>
      </c>
      <c r="D1928" s="5"/>
      <c r="E1928" s="5" t="str">
        <f ca="1">IFERROR(__xludf.DUMMYFUNCTION("""COMPUTED_VALUE"""),"Teacher")</f>
        <v>Teacher</v>
      </c>
      <c r="F1928" s="5" t="str">
        <f ca="1">IFERROR(__xludf.DUMMYFUNCTION("""COMPUTED_VALUE"""),"Unknown")</f>
        <v>Unknown</v>
      </c>
      <c r="G1928" s="5" t="str">
        <f ca="1">IFERROR(__xludf.DUMMYFUNCTION("""COMPUTED_VALUE"""),"No")</f>
        <v>No</v>
      </c>
      <c r="H1928" s="5" t="str">
        <f ca="1">IFERROR(__xludf.DUMMYFUNCTION("""COMPUTED_VALUE"""),"None")</f>
        <v>None</v>
      </c>
    </row>
    <row r="1929" spans="1:8">
      <c r="A1929" s="5" t="str">
        <f ca="1">IFERROR(__xludf.DUMMYFUNCTION("""COMPUTED_VALUE"""),"19881004FLJEJ")</f>
        <v>19881004FLJEJ</v>
      </c>
      <c r="B1929" s="5"/>
      <c r="C1929" s="5"/>
      <c r="D1929" s="5"/>
      <c r="E1929" s="5" t="str">
        <f ca="1">IFERROR(__xludf.DUMMYFUNCTION("""COMPUTED_VALUE"""),"Unknown")</f>
        <v>Unknown</v>
      </c>
      <c r="F1929" s="5" t="str">
        <f ca="1">IFERROR(__xludf.DUMMYFUNCTION("""COMPUTED_VALUE"""),"Fled/Escaped")</f>
        <v>Fled/Escaped</v>
      </c>
      <c r="G1929" s="5" t="str">
        <f ca="1">IFERROR(__xludf.DUMMYFUNCTION("""COMPUTED_VALUE"""),"No")</f>
        <v>No</v>
      </c>
      <c r="H1929" s="5" t="str">
        <f ca="1">IFERROR(__xludf.DUMMYFUNCTION("""COMPUTED_VALUE"""),"None")</f>
        <v>None</v>
      </c>
    </row>
    <row r="1930" spans="1:8">
      <c r="A1930" s="5" t="str">
        <f ca="1">IFERROR(__xludf.DUMMYFUNCTION("""COMPUTED_VALUE"""),"19881003FLMAM")</f>
        <v>19881003FLMAM</v>
      </c>
      <c r="B1930" s="5"/>
      <c r="C1930" s="5"/>
      <c r="D1930" s="5"/>
      <c r="E1930" s="5" t="str">
        <f ca="1">IFERROR(__xludf.DUMMYFUNCTION("""COMPUTED_VALUE"""),"Unknown")</f>
        <v>Unknown</v>
      </c>
      <c r="F1930" s="5" t="str">
        <f ca="1">IFERROR(__xludf.DUMMYFUNCTION("""COMPUTED_VALUE"""),"Fled/Escaped")</f>
        <v>Fled/Escaped</v>
      </c>
      <c r="G1930" s="5" t="str">
        <f ca="1">IFERROR(__xludf.DUMMYFUNCTION("""COMPUTED_VALUE"""),"No")</f>
        <v>No</v>
      </c>
      <c r="H1930" s="5" t="str">
        <f ca="1">IFERROR(__xludf.DUMMYFUNCTION("""COMPUTED_VALUE"""),"None")</f>
        <v>None</v>
      </c>
    </row>
    <row r="1931" spans="1:8">
      <c r="A1931" s="5" t="str">
        <f ca="1">IFERROR(__xludf.DUMMYFUNCTION("""COMPUTED_VALUE"""),"19880926SCOAG")</f>
        <v>19880926SCOAG</v>
      </c>
      <c r="B1931" s="5">
        <f ca="1">IFERROR(__xludf.DUMMYFUNCTION("""COMPUTED_VALUE"""),19)</f>
        <v>19</v>
      </c>
      <c r="C1931" s="5" t="str">
        <f ca="1">IFERROR(__xludf.DUMMYFUNCTION("""COMPUTED_VALUE"""),"Male")</f>
        <v>Male</v>
      </c>
      <c r="D1931" s="5" t="str">
        <f ca="1">IFERROR(__xludf.DUMMYFUNCTION("""COMPUTED_VALUE"""),"White")</f>
        <v>White</v>
      </c>
      <c r="E1931" s="5" t="str">
        <f ca="1">IFERROR(__xludf.DUMMYFUNCTION("""COMPUTED_VALUE"""),"Former Student")</f>
        <v>Former Student</v>
      </c>
      <c r="F1931" s="5" t="str">
        <f ca="1">IFERROR(__xludf.DUMMYFUNCTION("""COMPUTED_VALUE"""),"Apprehended/Killed by LE")</f>
        <v>Apprehended/Killed by LE</v>
      </c>
      <c r="G1931" s="5" t="str">
        <f ca="1">IFERROR(__xludf.DUMMYFUNCTION("""COMPUTED_VALUE"""),"No")</f>
        <v>No</v>
      </c>
      <c r="H1931" s="5" t="str">
        <f ca="1">IFERROR(__xludf.DUMMYFUNCTION("""COMPUTED_VALUE"""),"None")</f>
        <v>None</v>
      </c>
    </row>
    <row r="1932" spans="1:8">
      <c r="A1932" s="5" t="str">
        <f ca="1">IFERROR(__xludf.DUMMYFUNCTION("""COMPUTED_VALUE"""),"19880922ILMOC")</f>
        <v>19880922ILMOC</v>
      </c>
      <c r="B1932" s="5">
        <f ca="1">IFERROR(__xludf.DUMMYFUNCTION("""COMPUTED_VALUE"""),40)</f>
        <v>40</v>
      </c>
      <c r="C1932" s="5" t="str">
        <f ca="1">IFERROR(__xludf.DUMMYFUNCTION("""COMPUTED_VALUE"""),"Male")</f>
        <v>Male</v>
      </c>
      <c r="D1932" s="5" t="str">
        <f ca="1">IFERROR(__xludf.DUMMYFUNCTION("""COMPUTED_VALUE"""),"Black")</f>
        <v>Black</v>
      </c>
      <c r="E1932" s="5" t="str">
        <f ca="1">IFERROR(__xludf.DUMMYFUNCTION("""COMPUTED_VALUE"""),"No Relation")</f>
        <v>No Relation</v>
      </c>
      <c r="F1932" s="5" t="str">
        <f ca="1">IFERROR(__xludf.DUMMYFUNCTION("""COMPUTED_VALUE"""),"Apprehended/Killed by LE")</f>
        <v>Apprehended/Killed by LE</v>
      </c>
      <c r="G1932" s="5" t="str">
        <f ca="1">IFERROR(__xludf.DUMMYFUNCTION("""COMPUTED_VALUE"""),"Yes")</f>
        <v>Yes</v>
      </c>
      <c r="H1932" s="5" t="str">
        <f ca="1">IFERROR(__xludf.DUMMYFUNCTION("""COMPUTED_VALUE"""),"Fatal")</f>
        <v>Fatal</v>
      </c>
    </row>
    <row r="1933" spans="1:8">
      <c r="A1933" s="5" t="str">
        <f ca="1">IFERROR(__xludf.DUMMYFUNCTION("""COMPUTED_VALUE"""),"19880903TXLID")</f>
        <v>19880903TXLID</v>
      </c>
      <c r="B1933" s="5" t="str">
        <f ca="1">IFERROR(__xludf.DUMMYFUNCTION("""COMPUTED_VALUE"""),"Teen")</f>
        <v>Teen</v>
      </c>
      <c r="C1933" s="5" t="str">
        <f ca="1">IFERROR(__xludf.DUMMYFUNCTION("""COMPUTED_VALUE"""),"Male")</f>
        <v>Male</v>
      </c>
      <c r="D1933" s="5"/>
      <c r="E1933" s="5" t="str">
        <f ca="1">IFERROR(__xludf.DUMMYFUNCTION("""COMPUTED_VALUE"""),"No Relation")</f>
        <v>No Relation</v>
      </c>
      <c r="F1933" s="5" t="str">
        <f ca="1">IFERROR(__xludf.DUMMYFUNCTION("""COMPUTED_VALUE"""),"Fled/Escaped")</f>
        <v>Fled/Escaped</v>
      </c>
      <c r="G1933" s="5" t="str">
        <f ca="1">IFERROR(__xludf.DUMMYFUNCTION("""COMPUTED_VALUE"""),"No")</f>
        <v>No</v>
      </c>
      <c r="H1933" s="5" t="str">
        <f ca="1">IFERROR(__xludf.DUMMYFUNCTION("""COMPUTED_VALUE"""),"None")</f>
        <v>None</v>
      </c>
    </row>
    <row r="1934" spans="1:8">
      <c r="A1934" s="5" t="str">
        <f ca="1">IFERROR(__xludf.DUMMYFUNCTION("""COMPUTED_VALUE"""),"19880903TXLID")</f>
        <v>19880903TXLID</v>
      </c>
      <c r="B1934" s="5" t="str">
        <f ca="1">IFERROR(__xludf.DUMMYFUNCTION("""COMPUTED_VALUE"""),"Teen")</f>
        <v>Teen</v>
      </c>
      <c r="C1934" s="5" t="str">
        <f ca="1">IFERROR(__xludf.DUMMYFUNCTION("""COMPUTED_VALUE"""),"Male")</f>
        <v>Male</v>
      </c>
      <c r="D1934" s="5"/>
      <c r="E1934" s="5" t="str">
        <f ca="1">IFERROR(__xludf.DUMMYFUNCTION("""COMPUTED_VALUE"""),"No Relation")</f>
        <v>No Relation</v>
      </c>
      <c r="F1934" s="5" t="str">
        <f ca="1">IFERROR(__xludf.DUMMYFUNCTION("""COMPUTED_VALUE"""),"Fled/Escaped")</f>
        <v>Fled/Escaped</v>
      </c>
      <c r="G1934" s="5" t="str">
        <f ca="1">IFERROR(__xludf.DUMMYFUNCTION("""COMPUTED_VALUE"""),"No")</f>
        <v>No</v>
      </c>
      <c r="H1934" s="5" t="str">
        <f ca="1">IFERROR(__xludf.DUMMYFUNCTION("""COMPUTED_VALUE"""),"None")</f>
        <v>None</v>
      </c>
    </row>
    <row r="1935" spans="1:8">
      <c r="A1935" s="5" t="str">
        <f ca="1">IFERROR(__xludf.DUMMYFUNCTION("""COMPUTED_VALUE"""),"19880903TXLID")</f>
        <v>19880903TXLID</v>
      </c>
      <c r="B1935" s="5" t="str">
        <f ca="1">IFERROR(__xludf.DUMMYFUNCTION("""COMPUTED_VALUE"""),"Teen")</f>
        <v>Teen</v>
      </c>
      <c r="C1935" s="5" t="str">
        <f ca="1">IFERROR(__xludf.DUMMYFUNCTION("""COMPUTED_VALUE"""),"Male")</f>
        <v>Male</v>
      </c>
      <c r="D1935" s="5"/>
      <c r="E1935" s="5" t="str">
        <f ca="1">IFERROR(__xludf.DUMMYFUNCTION("""COMPUTED_VALUE"""),"No Relation")</f>
        <v>No Relation</v>
      </c>
      <c r="F1935" s="5" t="str">
        <f ca="1">IFERROR(__xludf.DUMMYFUNCTION("""COMPUTED_VALUE"""),"Fled/Escaped")</f>
        <v>Fled/Escaped</v>
      </c>
      <c r="G1935" s="5" t="str">
        <f ca="1">IFERROR(__xludf.DUMMYFUNCTION("""COMPUTED_VALUE"""),"No")</f>
        <v>No</v>
      </c>
      <c r="H1935" s="5" t="str">
        <f ca="1">IFERROR(__xludf.DUMMYFUNCTION("""COMPUTED_VALUE"""),"None")</f>
        <v>None</v>
      </c>
    </row>
    <row r="1936" spans="1:8">
      <c r="A1936" s="5" t="str">
        <f ca="1">IFERROR(__xludf.DUMMYFUNCTION("""COMPUTED_VALUE"""),"19880903TXLID")</f>
        <v>19880903TXLID</v>
      </c>
      <c r="B1936" s="5" t="str">
        <f ca="1">IFERROR(__xludf.DUMMYFUNCTION("""COMPUTED_VALUE"""),"Teen")</f>
        <v>Teen</v>
      </c>
      <c r="C1936" s="5" t="str">
        <f ca="1">IFERROR(__xludf.DUMMYFUNCTION("""COMPUTED_VALUE"""),"Male")</f>
        <v>Male</v>
      </c>
      <c r="D1936" s="5"/>
      <c r="E1936" s="5" t="str">
        <f ca="1">IFERROR(__xludf.DUMMYFUNCTION("""COMPUTED_VALUE"""),"No Relation")</f>
        <v>No Relation</v>
      </c>
      <c r="F1936" s="5" t="str">
        <f ca="1">IFERROR(__xludf.DUMMYFUNCTION("""COMPUTED_VALUE"""),"Fled/Escaped")</f>
        <v>Fled/Escaped</v>
      </c>
      <c r="G1936" s="5" t="str">
        <f ca="1">IFERROR(__xludf.DUMMYFUNCTION("""COMPUTED_VALUE"""),"No")</f>
        <v>No</v>
      </c>
      <c r="H1936" s="5" t="str">
        <f ca="1">IFERROR(__xludf.DUMMYFUNCTION("""COMPUTED_VALUE"""),"None")</f>
        <v>None</v>
      </c>
    </row>
    <row r="1937" spans="1:8">
      <c r="A1937" s="5" t="str">
        <f ca="1">IFERROR(__xludf.DUMMYFUNCTION("""COMPUTED_VALUE"""),"19880902NCGAC")</f>
        <v>19880902NCGAC</v>
      </c>
      <c r="B1937" s="5">
        <f ca="1">IFERROR(__xludf.DUMMYFUNCTION("""COMPUTED_VALUE"""),16)</f>
        <v>16</v>
      </c>
      <c r="C1937" s="5" t="str">
        <f ca="1">IFERROR(__xludf.DUMMYFUNCTION("""COMPUTED_VALUE"""),"Male")</f>
        <v>Male</v>
      </c>
      <c r="D1937" s="5"/>
      <c r="E1937" s="5" t="str">
        <f ca="1">IFERROR(__xludf.DUMMYFUNCTION("""COMPUTED_VALUE"""),"Student")</f>
        <v>Student</v>
      </c>
      <c r="F1937" s="5" t="str">
        <f ca="1">IFERROR(__xludf.DUMMYFUNCTION("""COMPUTED_VALUE"""),"Fled/Apprehended")</f>
        <v>Fled/Apprehended</v>
      </c>
      <c r="G1937" s="5" t="str">
        <f ca="1">IFERROR(__xludf.DUMMYFUNCTION("""COMPUTED_VALUE"""),"No")</f>
        <v>No</v>
      </c>
      <c r="H1937" s="5" t="str">
        <f ca="1">IFERROR(__xludf.DUMMYFUNCTION("""COMPUTED_VALUE"""),"None")</f>
        <v>None</v>
      </c>
    </row>
    <row r="1938" spans="1:8">
      <c r="A1938" s="5" t="str">
        <f ca="1">IFERROR(__xludf.DUMMYFUNCTION("""COMPUTED_VALUE"""),"19880902GAGLA")</f>
        <v>19880902GAGLA</v>
      </c>
      <c r="B1938" s="5"/>
      <c r="C1938" s="5"/>
      <c r="D1938" s="5"/>
      <c r="E1938" s="5" t="str">
        <f ca="1">IFERROR(__xludf.DUMMYFUNCTION("""COMPUTED_VALUE"""),"Nonstudent Using Athletic Facilities/Attending Game")</f>
        <v>Nonstudent Using Athletic Facilities/Attending Game</v>
      </c>
      <c r="F1938" s="5" t="str">
        <f ca="1">IFERROR(__xludf.DUMMYFUNCTION("""COMPUTED_VALUE"""),"Fled/Escaped")</f>
        <v>Fled/Escaped</v>
      </c>
      <c r="G1938" s="5" t="str">
        <f ca="1">IFERROR(__xludf.DUMMYFUNCTION("""COMPUTED_VALUE"""),"No")</f>
        <v>No</v>
      </c>
      <c r="H1938" s="5" t="str">
        <f ca="1">IFERROR(__xludf.DUMMYFUNCTION("""COMPUTED_VALUE"""),"None")</f>
        <v>None</v>
      </c>
    </row>
    <row r="1939" spans="1:8">
      <c r="A1939" s="5" t="str">
        <f ca="1">IFERROR(__xludf.DUMMYFUNCTION("""COMPUTED_VALUE"""),"19880831SCWEA")</f>
        <v>19880831SCWEA</v>
      </c>
      <c r="B1939" s="5">
        <f ca="1">IFERROR(__xludf.DUMMYFUNCTION("""COMPUTED_VALUE"""),20)</f>
        <v>20</v>
      </c>
      <c r="C1939" s="5" t="str">
        <f ca="1">IFERROR(__xludf.DUMMYFUNCTION("""COMPUTED_VALUE"""),"Male")</f>
        <v>Male</v>
      </c>
      <c r="D1939" s="5"/>
      <c r="E1939" s="5" t="str">
        <f ca="1">IFERROR(__xludf.DUMMYFUNCTION("""COMPUTED_VALUE"""),"No Relation")</f>
        <v>No Relation</v>
      </c>
      <c r="F1939" s="5" t="str">
        <f ca="1">IFERROR(__xludf.DUMMYFUNCTION("""COMPUTED_VALUE"""),"Fled/Apprehended")</f>
        <v>Fled/Apprehended</v>
      </c>
      <c r="G1939" s="5" t="str">
        <f ca="1">IFERROR(__xludf.DUMMYFUNCTION("""COMPUTED_VALUE"""),"No")</f>
        <v>No</v>
      </c>
      <c r="H1939" s="5" t="str">
        <f ca="1">IFERROR(__xludf.DUMMYFUNCTION("""COMPUTED_VALUE"""),"None")</f>
        <v>None</v>
      </c>
    </row>
    <row r="1940" spans="1:8">
      <c r="A1940" s="5" t="str">
        <f ca="1">IFERROR(__xludf.DUMMYFUNCTION("""COMPUTED_VALUE"""),"19880831MICED")</f>
        <v>19880831MICED</v>
      </c>
      <c r="B1940" s="5">
        <f ca="1">IFERROR(__xludf.DUMMYFUNCTION("""COMPUTED_VALUE"""),16)</f>
        <v>16</v>
      </c>
      <c r="C1940" s="5" t="str">
        <f ca="1">IFERROR(__xludf.DUMMYFUNCTION("""COMPUTED_VALUE"""),"Male")</f>
        <v>Male</v>
      </c>
      <c r="D1940" s="5"/>
      <c r="E1940" s="5" t="str">
        <f ca="1">IFERROR(__xludf.DUMMYFUNCTION("""COMPUTED_VALUE"""),"Former Student")</f>
        <v>Former Student</v>
      </c>
      <c r="F1940" s="5" t="str">
        <f ca="1">IFERROR(__xludf.DUMMYFUNCTION("""COMPUTED_VALUE"""),"Fled/Apprehended")</f>
        <v>Fled/Apprehended</v>
      </c>
      <c r="G1940" s="5" t="str">
        <f ca="1">IFERROR(__xludf.DUMMYFUNCTION("""COMPUTED_VALUE"""),"No")</f>
        <v>No</v>
      </c>
      <c r="H1940" s="5" t="str">
        <f ca="1">IFERROR(__xludf.DUMMYFUNCTION("""COMPUTED_VALUE"""),"None")</f>
        <v>None</v>
      </c>
    </row>
    <row r="1941" spans="1:8">
      <c r="A1941" s="5" t="str">
        <f ca="1">IFERROR(__xludf.DUMMYFUNCTION("""COMPUTED_VALUE"""),"19880831MICED")</f>
        <v>19880831MICED</v>
      </c>
      <c r="B1941" s="5">
        <f ca="1">IFERROR(__xludf.DUMMYFUNCTION("""COMPUTED_VALUE"""),17)</f>
        <v>17</v>
      </c>
      <c r="C1941" s="5" t="str">
        <f ca="1">IFERROR(__xludf.DUMMYFUNCTION("""COMPUTED_VALUE"""),"Male")</f>
        <v>Male</v>
      </c>
      <c r="D1941" s="5"/>
      <c r="E1941" s="5" t="str">
        <f ca="1">IFERROR(__xludf.DUMMYFUNCTION("""COMPUTED_VALUE"""),"Former Student")</f>
        <v>Former Student</v>
      </c>
      <c r="F1941" s="5" t="str">
        <f ca="1">IFERROR(__xludf.DUMMYFUNCTION("""COMPUTED_VALUE"""),"Fled/Apprehended")</f>
        <v>Fled/Apprehended</v>
      </c>
      <c r="G1941" s="5" t="str">
        <f ca="1">IFERROR(__xludf.DUMMYFUNCTION("""COMPUTED_VALUE"""),"No")</f>
        <v>No</v>
      </c>
      <c r="H1941" s="5" t="str">
        <f ca="1">IFERROR(__xludf.DUMMYFUNCTION("""COMPUTED_VALUE"""),"None")</f>
        <v>None</v>
      </c>
    </row>
    <row r="1942" spans="1:8">
      <c r="A1942" s="5" t="str">
        <f ca="1">IFERROR(__xludf.DUMMYFUNCTION("""COMPUTED_VALUE"""),"19880711MSLAJ")</f>
        <v>19880711MSLAJ</v>
      </c>
      <c r="B1942" s="5">
        <f ca="1">IFERROR(__xludf.DUMMYFUNCTION("""COMPUTED_VALUE"""),17)</f>
        <v>17</v>
      </c>
      <c r="C1942" s="5" t="str">
        <f ca="1">IFERROR(__xludf.DUMMYFUNCTION("""COMPUTED_VALUE"""),"Male")</f>
        <v>Male</v>
      </c>
      <c r="D1942" s="5"/>
      <c r="E1942" s="5" t="str">
        <f ca="1">IFERROR(__xludf.DUMMYFUNCTION("""COMPUTED_VALUE"""),"Student")</f>
        <v>Student</v>
      </c>
      <c r="F1942" s="5" t="str">
        <f ca="1">IFERROR(__xludf.DUMMYFUNCTION("""COMPUTED_VALUE"""),"Fled/Apprehended")</f>
        <v>Fled/Apprehended</v>
      </c>
      <c r="G1942" s="5" t="str">
        <f ca="1">IFERROR(__xludf.DUMMYFUNCTION("""COMPUTED_VALUE"""),"No")</f>
        <v>No</v>
      </c>
      <c r="H1942" s="5" t="str">
        <f ca="1">IFERROR(__xludf.DUMMYFUNCTION("""COMPUTED_VALUE"""),"None")</f>
        <v>None</v>
      </c>
    </row>
    <row r="1943" spans="1:8">
      <c r="A1943" s="5" t="str">
        <f ca="1">IFERROR(__xludf.DUMMYFUNCTION("""COMPUTED_VALUE"""),"19880710WISIM")</f>
        <v>19880710WISIM</v>
      </c>
      <c r="B1943" s="5">
        <f ca="1">IFERROR(__xludf.DUMMYFUNCTION("""COMPUTED_VALUE"""),28)</f>
        <v>28</v>
      </c>
      <c r="C1943" s="5" t="str">
        <f ca="1">IFERROR(__xludf.DUMMYFUNCTION("""COMPUTED_VALUE"""),"Male")</f>
        <v>Male</v>
      </c>
      <c r="D1943" s="5"/>
      <c r="E1943" s="5" t="str">
        <f ca="1">IFERROR(__xludf.DUMMYFUNCTION("""COMPUTED_VALUE"""),"Nonstudent Using Athletic Facilities/Attending Game")</f>
        <v>Nonstudent Using Athletic Facilities/Attending Game</v>
      </c>
      <c r="F1943" s="5" t="str">
        <f ca="1">IFERROR(__xludf.DUMMYFUNCTION("""COMPUTED_VALUE"""),"Fled/Escaped")</f>
        <v>Fled/Escaped</v>
      </c>
      <c r="G1943" s="5" t="str">
        <f ca="1">IFERROR(__xludf.DUMMYFUNCTION("""COMPUTED_VALUE"""),"No")</f>
        <v>No</v>
      </c>
      <c r="H1943" s="5" t="str">
        <f ca="1">IFERROR(__xludf.DUMMYFUNCTION("""COMPUTED_VALUE"""),"None")</f>
        <v>None</v>
      </c>
    </row>
    <row r="1944" spans="1:8">
      <c r="A1944" s="5" t="str">
        <f ca="1">IFERROR(__xludf.DUMMYFUNCTION("""COMPUTED_VALUE"""),"19880630HIAIO")</f>
        <v>19880630HIAIO</v>
      </c>
      <c r="B1944" s="5">
        <f ca="1">IFERROR(__xludf.DUMMYFUNCTION("""COMPUTED_VALUE"""),18)</f>
        <v>18</v>
      </c>
      <c r="C1944" s="5" t="str">
        <f ca="1">IFERROR(__xludf.DUMMYFUNCTION("""COMPUTED_VALUE"""),"Male")</f>
        <v>Male</v>
      </c>
      <c r="D1944" s="5" t="str">
        <f ca="1">IFERROR(__xludf.DUMMYFUNCTION("""COMPUTED_VALUE"""),"Hawaiian/Pacific Islander")</f>
        <v>Hawaiian/Pacific Islander</v>
      </c>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c r="A1945" s="5" t="str">
        <f ca="1">IFERROR(__xludf.DUMMYFUNCTION("""COMPUTED_VALUE"""),"19880617MIJOD")</f>
        <v>19880617MIJOD</v>
      </c>
      <c r="B1945" s="5">
        <f ca="1">IFERROR(__xludf.DUMMYFUNCTION("""COMPUTED_VALUE"""),14)</f>
        <v>14</v>
      </c>
      <c r="C1945" s="5" t="str">
        <f ca="1">IFERROR(__xludf.DUMMYFUNCTION("""COMPUTED_VALUE"""),"Male")</f>
        <v>Male</v>
      </c>
      <c r="D1945" s="5"/>
      <c r="E1945" s="5" t="str">
        <f ca="1">IFERROR(__xludf.DUMMYFUNCTION("""COMPUTED_VALUE"""),"Student")</f>
        <v>Student</v>
      </c>
      <c r="F1945" s="5" t="str">
        <f ca="1">IFERROR(__xludf.DUMMYFUNCTION("""COMPUTED_VALUE"""),"Fled/Apprehended")</f>
        <v>Fled/Apprehended</v>
      </c>
      <c r="G1945" s="5" t="str">
        <f ca="1">IFERROR(__xludf.DUMMYFUNCTION("""COMPUTED_VALUE"""),"No")</f>
        <v>No</v>
      </c>
      <c r="H1945" s="5" t="str">
        <f ca="1">IFERROR(__xludf.DUMMYFUNCTION("""COMPUTED_VALUE"""),"None")</f>
        <v>None</v>
      </c>
    </row>
    <row r="1946" spans="1:8">
      <c r="A1946" s="5" t="str">
        <f ca="1">IFERROR(__xludf.DUMMYFUNCTION("""COMPUTED_VALUE"""),"19880602MSWIJ")</f>
        <v>19880602MSWIJ</v>
      </c>
      <c r="B1946" s="5" t="str">
        <f ca="1">IFERROR(__xludf.DUMMYFUNCTION("""COMPUTED_VALUE"""),"Adult")</f>
        <v>Adult</v>
      </c>
      <c r="C1946" s="5" t="str">
        <f ca="1">IFERROR(__xludf.DUMMYFUNCTION("""COMPUTED_VALUE"""),"Male")</f>
        <v>Male</v>
      </c>
      <c r="D1946" s="5"/>
      <c r="E1946" s="5" t="str">
        <f ca="1">IFERROR(__xludf.DUMMYFUNCTION("""COMPUTED_VALUE"""),"Former Student")</f>
        <v>Former Student</v>
      </c>
      <c r="F1946" s="5" t="str">
        <f ca="1">IFERROR(__xludf.DUMMYFUNCTION("""COMPUTED_VALUE"""),"Fled/Apprehended")</f>
        <v>Fled/Apprehended</v>
      </c>
      <c r="G1946" s="5" t="str">
        <f ca="1">IFERROR(__xludf.DUMMYFUNCTION("""COMPUTED_VALUE"""),"No")</f>
        <v>No</v>
      </c>
      <c r="H1946" s="5" t="str">
        <f ca="1">IFERROR(__xludf.DUMMYFUNCTION("""COMPUTED_VALUE"""),"None")</f>
        <v>None</v>
      </c>
    </row>
    <row r="1947" spans="1:8">
      <c r="A1947" s="5" t="str">
        <f ca="1">IFERROR(__xludf.DUMMYFUNCTION("""COMPUTED_VALUE"""),"19880602MSWIJ")</f>
        <v>19880602MSWIJ</v>
      </c>
      <c r="B1947" s="5" t="str">
        <f ca="1">IFERROR(__xludf.DUMMYFUNCTION("""COMPUTED_VALUE"""),"Adult")</f>
        <v>Adult</v>
      </c>
      <c r="C1947" s="5" t="str">
        <f ca="1">IFERROR(__xludf.DUMMYFUNCTION("""COMPUTED_VALUE"""),"Male")</f>
        <v>Male</v>
      </c>
      <c r="D1947" s="5"/>
      <c r="E1947" s="5" t="str">
        <f ca="1">IFERROR(__xludf.DUMMYFUNCTION("""COMPUTED_VALUE"""),"Former Student")</f>
        <v>Former Student</v>
      </c>
      <c r="F1947" s="5" t="str">
        <f ca="1">IFERROR(__xludf.DUMMYFUNCTION("""COMPUTED_VALUE"""),"Fled/Apprehended")</f>
        <v>Fled/Apprehended</v>
      </c>
      <c r="G1947" s="5" t="str">
        <f ca="1">IFERROR(__xludf.DUMMYFUNCTION("""COMPUTED_VALUE"""),"No")</f>
        <v>No</v>
      </c>
      <c r="H1947" s="5" t="str">
        <f ca="1">IFERROR(__xludf.DUMMYFUNCTION("""COMPUTED_VALUE"""),"None")</f>
        <v>None</v>
      </c>
    </row>
    <row r="1948" spans="1:8">
      <c r="A1948" s="5" t="str">
        <f ca="1">IFERROR(__xludf.DUMMYFUNCTION("""COMPUTED_VALUE"""),"19880602MSWIJ")</f>
        <v>19880602MSWIJ</v>
      </c>
      <c r="B1948" s="5" t="str">
        <f ca="1">IFERROR(__xludf.DUMMYFUNCTION("""COMPUTED_VALUE"""),"Adult")</f>
        <v>Adult</v>
      </c>
      <c r="C1948" s="5" t="str">
        <f ca="1">IFERROR(__xludf.DUMMYFUNCTION("""COMPUTED_VALUE"""),"Male")</f>
        <v>Male</v>
      </c>
      <c r="D1948" s="5"/>
      <c r="E1948" s="5" t="str">
        <f ca="1">IFERROR(__xludf.DUMMYFUNCTION("""COMPUTED_VALUE"""),"Former Student")</f>
        <v>Former Student</v>
      </c>
      <c r="F1948" s="5" t="str">
        <f ca="1">IFERROR(__xludf.DUMMYFUNCTION("""COMPUTED_VALUE"""),"Fled/Apprehended")</f>
        <v>Fled/Apprehended</v>
      </c>
      <c r="G1948" s="5" t="str">
        <f ca="1">IFERROR(__xludf.DUMMYFUNCTION("""COMPUTED_VALUE"""),"No")</f>
        <v>No</v>
      </c>
      <c r="H1948" s="5" t="str">
        <f ca="1">IFERROR(__xludf.DUMMYFUNCTION("""COMPUTED_VALUE"""),"None")</f>
        <v>None</v>
      </c>
    </row>
    <row r="1949" spans="1:8">
      <c r="A1949" s="5" t="str">
        <f ca="1">IFERROR(__xludf.DUMMYFUNCTION("""COMPUTED_VALUE"""),"19880531NYPUB")</f>
        <v>19880531NYPUB</v>
      </c>
      <c r="B1949" s="5" t="str">
        <f ca="1">IFERROR(__xludf.DUMMYFUNCTION("""COMPUTED_VALUE"""),"Adult")</f>
        <v>Adult</v>
      </c>
      <c r="C1949" s="5" t="str">
        <f ca="1">IFERROR(__xludf.DUMMYFUNCTION("""COMPUTED_VALUE"""),"Male")</f>
        <v>Male</v>
      </c>
      <c r="D1949" s="5"/>
      <c r="E1949" s="5" t="str">
        <f ca="1">IFERROR(__xludf.DUMMYFUNCTION("""COMPUTED_VALUE"""),"No Relation")</f>
        <v>No Relation</v>
      </c>
      <c r="F1949" s="5" t="str">
        <f ca="1">IFERROR(__xludf.DUMMYFUNCTION("""COMPUTED_VALUE"""),"Fled/Escaped")</f>
        <v>Fled/Escaped</v>
      </c>
      <c r="G1949" s="5" t="str">
        <f ca="1">IFERROR(__xludf.DUMMYFUNCTION("""COMPUTED_VALUE"""),"No")</f>
        <v>No</v>
      </c>
      <c r="H1949" s="5" t="str">
        <f ca="1">IFERROR(__xludf.DUMMYFUNCTION("""COMPUTED_VALUE"""),"None")</f>
        <v>None</v>
      </c>
    </row>
    <row r="1950" spans="1:8">
      <c r="A1950" s="5" t="str">
        <f ca="1">IFERROR(__xludf.DUMMYFUNCTION("""COMPUTED_VALUE"""),"19880520ILHUW")</f>
        <v>19880520ILHUW</v>
      </c>
      <c r="B1950" s="5">
        <f ca="1">IFERROR(__xludf.DUMMYFUNCTION("""COMPUTED_VALUE"""),30)</f>
        <v>30</v>
      </c>
      <c r="C1950" s="5" t="str">
        <f ca="1">IFERROR(__xludf.DUMMYFUNCTION("""COMPUTED_VALUE"""),"Female")</f>
        <v>Female</v>
      </c>
      <c r="D1950" s="5" t="str">
        <f ca="1">IFERROR(__xludf.DUMMYFUNCTION("""COMPUTED_VALUE"""),"White")</f>
        <v>White</v>
      </c>
      <c r="E1950" s="5" t="str">
        <f ca="1">IFERROR(__xludf.DUMMYFUNCTION("""COMPUTED_VALUE"""),"Nonstudent")</f>
        <v>Nonstudent</v>
      </c>
      <c r="F1950" s="5" t="str">
        <f ca="1">IFERROR(__xludf.DUMMYFUNCTION("""COMPUTED_VALUE"""),"Fled/Apprehended")</f>
        <v>Fled/Apprehended</v>
      </c>
      <c r="G1950" s="5" t="str">
        <f ca="1">IFERROR(__xludf.DUMMYFUNCTION("""COMPUTED_VALUE"""),"Yes")</f>
        <v>Yes</v>
      </c>
      <c r="H1950" s="5" t="str">
        <f ca="1">IFERROR(__xludf.DUMMYFUNCTION("""COMPUTED_VALUE"""),"Suicide")</f>
        <v>Suicide</v>
      </c>
    </row>
    <row r="1951" spans="1:8">
      <c r="A1951" s="5" t="str">
        <f ca="1">IFERROR(__xludf.DUMMYFUNCTION("""COMPUTED_VALUE"""),"19880516FLFOF")</f>
        <v>19880516FLFOF</v>
      </c>
      <c r="B1951" s="5">
        <f ca="1">IFERROR(__xludf.DUMMYFUNCTION("""COMPUTED_VALUE"""),14)</f>
        <v>14</v>
      </c>
      <c r="C1951" s="5" t="str">
        <f ca="1">IFERROR(__xludf.DUMMYFUNCTION("""COMPUTED_VALUE"""),"Male")</f>
        <v>Male</v>
      </c>
      <c r="D1951" s="5"/>
      <c r="E1951" s="5" t="str">
        <f ca="1">IFERROR(__xludf.DUMMYFUNCTION("""COMPUTED_VALUE"""),"Student")</f>
        <v>Student</v>
      </c>
      <c r="F1951" s="5" t="str">
        <f ca="1">IFERROR(__xludf.DUMMYFUNCTION("""COMPUTED_VALUE"""),"Fled/Apprehended")</f>
        <v>Fled/Apprehended</v>
      </c>
      <c r="G1951" s="5" t="str">
        <f ca="1">IFERROR(__xludf.DUMMYFUNCTION("""COMPUTED_VALUE"""),"No")</f>
        <v>No</v>
      </c>
      <c r="H1951" s="5" t="str">
        <f ca="1">IFERROR(__xludf.DUMMYFUNCTION("""COMPUTED_VALUE"""),"None")</f>
        <v>None</v>
      </c>
    </row>
    <row r="1952" spans="1:8">
      <c r="A1952" s="5" t="str">
        <f ca="1">IFERROR(__xludf.DUMMYFUNCTION("""COMPUTED_VALUE"""),"19880505ILMAC")</f>
        <v>19880505ILMAC</v>
      </c>
      <c r="B1952" s="5">
        <f ca="1">IFERROR(__xludf.DUMMYFUNCTION("""COMPUTED_VALUE"""),16)</f>
        <v>16</v>
      </c>
      <c r="C1952" s="5" t="str">
        <f ca="1">IFERROR(__xludf.DUMMYFUNCTION("""COMPUTED_VALUE"""),"Male")</f>
        <v>Male</v>
      </c>
      <c r="D1952" s="5"/>
      <c r="E1952" s="5" t="str">
        <f ca="1">IFERROR(__xludf.DUMMYFUNCTION("""COMPUTED_VALUE"""),"Student")</f>
        <v>Student</v>
      </c>
      <c r="F1952" s="5" t="str">
        <f ca="1">IFERROR(__xludf.DUMMYFUNCTION("""COMPUTED_VALUE"""),"Surrendered")</f>
        <v>Surrendered</v>
      </c>
      <c r="G1952" s="5" t="str">
        <f ca="1">IFERROR(__xludf.DUMMYFUNCTION("""COMPUTED_VALUE"""),"No")</f>
        <v>No</v>
      </c>
      <c r="H1952" s="5" t="str">
        <f ca="1">IFERROR(__xludf.DUMMYFUNCTION("""COMPUTED_VALUE"""),"None")</f>
        <v>None</v>
      </c>
    </row>
    <row r="1953" spans="1:8">
      <c r="A1953" s="5" t="str">
        <f ca="1">IFERROR(__xludf.DUMMYFUNCTION("""COMPUTED_VALUE"""),"19880324TXTRA")</f>
        <v>19880324TXTRA</v>
      </c>
      <c r="B1953" s="5">
        <f ca="1">IFERROR(__xludf.DUMMYFUNCTION("""COMPUTED_VALUE"""),16)</f>
        <v>16</v>
      </c>
      <c r="C1953" s="5" t="str">
        <f ca="1">IFERROR(__xludf.DUMMYFUNCTION("""COMPUTED_VALUE"""),"Male")</f>
        <v>Male</v>
      </c>
      <c r="D1953" s="5"/>
      <c r="E1953" s="5" t="str">
        <f ca="1">IFERROR(__xludf.DUMMYFUNCTION("""COMPUTED_VALUE"""),"Student")</f>
        <v>Student</v>
      </c>
      <c r="F1953" s="5" t="str">
        <f ca="1">IFERROR(__xludf.DUMMYFUNCTION("""COMPUTED_VALUE"""),"Fled/Apprehended")</f>
        <v>Fled/Apprehended</v>
      </c>
      <c r="G1953" s="5" t="str">
        <f ca="1">IFERROR(__xludf.DUMMYFUNCTION("""COMPUTED_VALUE"""),"No")</f>
        <v>No</v>
      </c>
      <c r="H1953" s="5" t="str">
        <f ca="1">IFERROR(__xludf.DUMMYFUNCTION("""COMPUTED_VALUE"""),"None")</f>
        <v>None</v>
      </c>
    </row>
    <row r="1954" spans="1:8">
      <c r="A1954" s="5" t="str">
        <f ca="1">IFERROR(__xludf.DUMMYFUNCTION("""COMPUTED_VALUE"""),"19880323CACAS")</f>
        <v>19880323CACAS</v>
      </c>
      <c r="B1954" s="5"/>
      <c r="C1954" s="5"/>
      <c r="D1954" s="5"/>
      <c r="E1954" s="5" t="str">
        <f ca="1">IFERROR(__xludf.DUMMYFUNCTION("""COMPUTED_VALUE"""),"Unknown")</f>
        <v>Unknown</v>
      </c>
      <c r="F1954" s="5" t="str">
        <f ca="1">IFERROR(__xludf.DUMMYFUNCTION("""COMPUTED_VALUE"""),"Fled/Escaped")</f>
        <v>Fled/Escaped</v>
      </c>
      <c r="G1954" s="5" t="str">
        <f ca="1">IFERROR(__xludf.DUMMYFUNCTION("""COMPUTED_VALUE"""),"No")</f>
        <v>No</v>
      </c>
      <c r="H1954" s="5" t="str">
        <f ca="1">IFERROR(__xludf.DUMMYFUNCTION("""COMPUTED_VALUE"""),"None")</f>
        <v>None</v>
      </c>
    </row>
    <row r="1955" spans="1:8">
      <c r="A1955" s="5" t="str">
        <f ca="1">IFERROR(__xludf.DUMMYFUNCTION("""COMPUTED_VALUE"""),"19880304MILED")</f>
        <v>19880304MILED</v>
      </c>
      <c r="B1955" s="5">
        <f ca="1">IFERROR(__xludf.DUMMYFUNCTION("""COMPUTED_VALUE"""),13)</f>
        <v>13</v>
      </c>
      <c r="C1955" s="5" t="str">
        <f ca="1">IFERROR(__xludf.DUMMYFUNCTION("""COMPUTED_VALUE"""),"Female")</f>
        <v>Female</v>
      </c>
      <c r="D1955" s="5"/>
      <c r="E1955" s="5" t="str">
        <f ca="1">IFERROR(__xludf.DUMMYFUNCTION("""COMPUTED_VALUE"""),"Student")</f>
        <v>Student</v>
      </c>
      <c r="F1955" s="5" t="str">
        <f ca="1">IFERROR(__xludf.DUMMYFUNCTION("""COMPUTED_VALUE"""),"Unknown")</f>
        <v>Unknown</v>
      </c>
      <c r="G1955" s="5" t="str">
        <f ca="1">IFERROR(__xludf.DUMMYFUNCTION("""COMPUTED_VALUE"""),"No")</f>
        <v>No</v>
      </c>
      <c r="H1955" s="5" t="str">
        <f ca="1">IFERROR(__xludf.DUMMYFUNCTION("""COMPUTED_VALUE"""),"None")</f>
        <v>None</v>
      </c>
    </row>
    <row r="1956" spans="1:8">
      <c r="A1956" s="5" t="str">
        <f ca="1">IFERROR(__xludf.DUMMYFUNCTION("""COMPUTED_VALUE"""),"19880226RIBRB")</f>
        <v>19880226RIBRB</v>
      </c>
      <c r="B1956" s="5">
        <f ca="1">IFERROR(__xludf.DUMMYFUNCTION("""COMPUTED_VALUE"""),15)</f>
        <v>15</v>
      </c>
      <c r="C1956" s="5" t="str">
        <f ca="1">IFERROR(__xludf.DUMMYFUNCTION("""COMPUTED_VALUE"""),"Male")</f>
        <v>Male</v>
      </c>
      <c r="D1956" s="5"/>
      <c r="E1956" s="5" t="str">
        <f ca="1">IFERROR(__xludf.DUMMYFUNCTION("""COMPUTED_VALUE"""),"Student")</f>
        <v>Student</v>
      </c>
      <c r="F1956" s="5" t="str">
        <f ca="1">IFERROR(__xludf.DUMMYFUNCTION("""COMPUTED_VALUE"""),"Fled/Apprehended")</f>
        <v>Fled/Apprehended</v>
      </c>
      <c r="G1956" s="5" t="str">
        <f ca="1">IFERROR(__xludf.DUMMYFUNCTION("""COMPUTED_VALUE"""),"No")</f>
        <v>No</v>
      </c>
      <c r="H1956" s="5" t="str">
        <f ca="1">IFERROR(__xludf.DUMMYFUNCTION("""COMPUTED_VALUE"""),"None")</f>
        <v>None</v>
      </c>
    </row>
    <row r="1957" spans="1:8">
      <c r="A1957" s="5" t="str">
        <f ca="1">IFERROR(__xludf.DUMMYFUNCTION("""COMPUTED_VALUE"""),"19880211FLPIL")</f>
        <v>19880211FLPIL</v>
      </c>
      <c r="B1957" s="5">
        <f ca="1">IFERROR(__xludf.DUMMYFUNCTION("""COMPUTED_VALUE"""),15)</f>
        <v>15</v>
      </c>
      <c r="C1957" s="5" t="str">
        <f ca="1">IFERROR(__xludf.DUMMYFUNCTION("""COMPUTED_VALUE"""),"Male")</f>
        <v>Male</v>
      </c>
      <c r="D1957" s="5" t="str">
        <f ca="1">IFERROR(__xludf.DUMMYFUNCTION("""COMPUTED_VALUE"""),"White")</f>
        <v>White</v>
      </c>
      <c r="E1957" s="5" t="str">
        <f ca="1">IFERROR(__xludf.DUMMYFUNCTION("""COMPUTED_VALUE"""),"Student")</f>
        <v>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c r="A1958" s="5" t="str">
        <f ca="1">IFERROR(__xludf.DUMMYFUNCTION("""COMPUTED_VALUE"""),"19880211FLPIL")</f>
        <v>19880211FLPIL</v>
      </c>
      <c r="B1958" s="5">
        <f ca="1">IFERROR(__xludf.DUMMYFUNCTION("""COMPUTED_VALUE"""),15)</f>
        <v>15</v>
      </c>
      <c r="C1958" s="5" t="str">
        <f ca="1">IFERROR(__xludf.DUMMYFUNCTION("""COMPUTED_VALUE"""),"Male")</f>
        <v>Male</v>
      </c>
      <c r="D1958" s="5" t="str">
        <f ca="1">IFERROR(__xludf.DUMMYFUNCTION("""COMPUTED_VALUE"""),"White")</f>
        <v>White</v>
      </c>
      <c r="E1958" s="5" t="str">
        <f ca="1">IFERROR(__xludf.DUMMYFUNCTION("""COMPUTED_VALUE"""),"Student")</f>
        <v>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c r="A1959" s="5" t="str">
        <f ca="1">IFERROR(__xludf.DUMMYFUNCTION("""COMPUTED_VALUE"""),"19880202ALWET")</f>
        <v>19880202ALWET</v>
      </c>
      <c r="B1959" s="5">
        <f ca="1">IFERROR(__xludf.DUMMYFUNCTION("""COMPUTED_VALUE"""),42)</f>
        <v>42</v>
      </c>
      <c r="C1959" s="5" t="str">
        <f ca="1">IFERROR(__xludf.DUMMYFUNCTION("""COMPUTED_VALUE"""),"Male")</f>
        <v>Male</v>
      </c>
      <c r="D1959" s="5"/>
      <c r="E1959" s="5" t="str">
        <f ca="1">IFERROR(__xludf.DUMMYFUNCTION("""COMPUTED_VALUE"""),"No Relation")</f>
        <v>No Relation</v>
      </c>
      <c r="F1959" s="5" t="str">
        <f ca="1">IFERROR(__xludf.DUMMYFUNCTION("""COMPUTED_VALUE"""),"Surrendered")</f>
        <v>Surrendered</v>
      </c>
      <c r="G1959" s="5" t="str">
        <f ca="1">IFERROR(__xludf.DUMMYFUNCTION("""COMPUTED_VALUE"""),"No")</f>
        <v>No</v>
      </c>
      <c r="H1959" s="5" t="str">
        <f ca="1">IFERROR(__xludf.DUMMYFUNCTION("""COMPUTED_VALUE"""),"None")</f>
        <v>None</v>
      </c>
    </row>
    <row r="1960" spans="1:8">
      <c r="A1960" s="5" t="str">
        <f ca="1">IFERROR(__xludf.DUMMYFUNCTION("""COMPUTED_VALUE"""),"19880202ALWET")</f>
        <v>19880202ALWET</v>
      </c>
      <c r="B1960" s="5">
        <f ca="1">IFERROR(__xludf.DUMMYFUNCTION("""COMPUTED_VALUE"""),42)</f>
        <v>42</v>
      </c>
      <c r="C1960" s="5" t="str">
        <f ca="1">IFERROR(__xludf.DUMMYFUNCTION("""COMPUTED_VALUE"""),"Male")</f>
        <v>Male</v>
      </c>
      <c r="D1960" s="5"/>
      <c r="E1960" s="5" t="str">
        <f ca="1">IFERROR(__xludf.DUMMYFUNCTION("""COMPUTED_VALUE"""),"No Relation")</f>
        <v>No Relation</v>
      </c>
      <c r="F1960" s="5" t="str">
        <f ca="1">IFERROR(__xludf.DUMMYFUNCTION("""COMPUTED_VALUE"""),"Surrendered")</f>
        <v>Surrendered</v>
      </c>
      <c r="G1960" s="5" t="str">
        <f ca="1">IFERROR(__xludf.DUMMYFUNCTION("""COMPUTED_VALUE"""),"No")</f>
        <v>No</v>
      </c>
      <c r="H1960" s="5" t="str">
        <f ca="1">IFERROR(__xludf.DUMMYFUNCTION("""COMPUTED_VALUE"""),"None")</f>
        <v>None</v>
      </c>
    </row>
    <row r="1961" spans="1:8">
      <c r="A1961" s="5" t="str">
        <f ca="1">IFERROR(__xludf.DUMMYFUNCTION("""COMPUTED_VALUE"""),"19880129TXREA")</f>
        <v>19880129TXREA</v>
      </c>
      <c r="B1961" s="5">
        <f ca="1">IFERROR(__xludf.DUMMYFUNCTION("""COMPUTED_VALUE"""),18)</f>
        <v>18</v>
      </c>
      <c r="C1961" s="5" t="str">
        <f ca="1">IFERROR(__xludf.DUMMYFUNCTION("""COMPUTED_VALUE"""),"Male")</f>
        <v>Male</v>
      </c>
      <c r="D1961" s="5"/>
      <c r="E1961" s="5" t="str">
        <f ca="1">IFERROR(__xludf.DUMMYFUNCTION("""COMPUTED_VALUE"""),"Student")</f>
        <v>Student</v>
      </c>
      <c r="F1961" s="5" t="str">
        <f ca="1">IFERROR(__xludf.DUMMYFUNCTION("""COMPUTED_VALUE"""),"Fled/Apprehended")</f>
        <v>Fled/Apprehended</v>
      </c>
      <c r="G1961" s="5" t="str">
        <f ca="1">IFERROR(__xludf.DUMMYFUNCTION("""COMPUTED_VALUE"""),"No")</f>
        <v>No</v>
      </c>
      <c r="H1961" s="5" t="str">
        <f ca="1">IFERROR(__xludf.DUMMYFUNCTION("""COMPUTED_VALUE"""),"None")</f>
        <v>None</v>
      </c>
    </row>
    <row r="1962" spans="1:8">
      <c r="A1962" s="5" t="str">
        <f ca="1">IFERROR(__xludf.DUMMYFUNCTION("""COMPUTED_VALUE"""),"19880120LASIR")</f>
        <v>19880120LASIR</v>
      </c>
      <c r="B1962" s="5">
        <f ca="1">IFERROR(__xludf.DUMMYFUNCTION("""COMPUTED_VALUE"""),18)</f>
        <v>18</v>
      </c>
      <c r="C1962" s="5" t="str">
        <f ca="1">IFERROR(__xludf.DUMMYFUNCTION("""COMPUTED_VALUE"""),"Male")</f>
        <v>Male</v>
      </c>
      <c r="D1962" s="5"/>
      <c r="E1962" s="5" t="str">
        <f ca="1">IFERROR(__xludf.DUMMYFUNCTION("""COMPUTED_VALUE"""),"Student")</f>
        <v>Student</v>
      </c>
      <c r="F1962" s="5" t="str">
        <f ca="1">IFERROR(__xludf.DUMMYFUNCTION("""COMPUTED_VALUE"""),"Unknown")</f>
        <v>Unknown</v>
      </c>
      <c r="G1962" s="5" t="str">
        <f ca="1">IFERROR(__xludf.DUMMYFUNCTION("""COMPUTED_VALUE"""),"No")</f>
        <v>No</v>
      </c>
      <c r="H1962" s="5" t="str">
        <f ca="1">IFERROR(__xludf.DUMMYFUNCTION("""COMPUTED_VALUE"""),"None")</f>
        <v>None</v>
      </c>
    </row>
    <row r="1963" spans="1:8">
      <c r="A1963" s="5" t="str">
        <f ca="1">IFERROR(__xludf.DUMMYFUNCTION("""COMPUTED_VALUE"""),"19880108PACRM")</f>
        <v>19880108PACRM</v>
      </c>
      <c r="B1963" s="5">
        <f ca="1">IFERROR(__xludf.DUMMYFUNCTION("""COMPUTED_VALUE"""),15)</f>
        <v>15</v>
      </c>
      <c r="C1963" s="5" t="str">
        <f ca="1">IFERROR(__xludf.DUMMYFUNCTION("""COMPUTED_VALUE"""),"Male")</f>
        <v>Male</v>
      </c>
      <c r="D1963" s="5"/>
      <c r="E1963" s="5" t="str">
        <f ca="1">IFERROR(__xludf.DUMMYFUNCTION("""COMPUTED_VALUE"""),"Student")</f>
        <v>Student</v>
      </c>
      <c r="F1963" s="5" t="str">
        <f ca="1">IFERROR(__xludf.DUMMYFUNCTION("""COMPUTED_VALUE"""),"Attempted Suicide")</f>
        <v>Attempted Suicide</v>
      </c>
      <c r="G1963" s="5" t="str">
        <f ca="1">IFERROR(__xludf.DUMMYFUNCTION("""COMPUTED_VALUE"""),"No")</f>
        <v>No</v>
      </c>
      <c r="H1963" s="5" t="str">
        <f ca="1">IFERROR(__xludf.DUMMYFUNCTION("""COMPUTED_VALUE"""),"None")</f>
        <v>None</v>
      </c>
    </row>
    <row r="1964" spans="1:8">
      <c r="A1964" s="5" t="str">
        <f ca="1">IFERROR(__xludf.DUMMYFUNCTION("""COMPUTED_VALUE"""),"19880106FLGAT")</f>
        <v>19880106FLGAT</v>
      </c>
      <c r="B1964" s="5">
        <f ca="1">IFERROR(__xludf.DUMMYFUNCTION("""COMPUTED_VALUE"""),17)</f>
        <v>17</v>
      </c>
      <c r="C1964" s="5" t="str">
        <f ca="1">IFERROR(__xludf.DUMMYFUNCTION("""COMPUTED_VALUE"""),"Female")</f>
        <v>Female</v>
      </c>
      <c r="D1964" s="5"/>
      <c r="E1964" s="5" t="str">
        <f ca="1">IFERROR(__xludf.DUMMYFUNCTION("""COMPUTED_VALUE"""),"Student")</f>
        <v>Student</v>
      </c>
      <c r="F1964" s="5" t="str">
        <f ca="1">IFERROR(__xludf.DUMMYFUNCTION("""COMPUTED_VALUE"""),"Attempted Suicide")</f>
        <v>Attempted Suicide</v>
      </c>
      <c r="G1964" s="5" t="str">
        <f ca="1">IFERROR(__xludf.DUMMYFUNCTION("""COMPUTED_VALUE"""),"No")</f>
        <v>No</v>
      </c>
      <c r="H1964" s="5" t="str">
        <f ca="1">IFERROR(__xludf.DUMMYFUNCTION("""COMPUTED_VALUE"""),"Wounded")</f>
        <v>Wounded</v>
      </c>
    </row>
    <row r="1965" spans="1:8">
      <c r="A1965" s="5" t="str">
        <f ca="1">IFERROR(__xludf.DUMMYFUNCTION("""COMPUTED_VALUE"""),"19880105PASPS")</f>
        <v>19880105PASPS</v>
      </c>
      <c r="B1965" s="5">
        <f ca="1">IFERROR(__xludf.DUMMYFUNCTION("""COMPUTED_VALUE"""),20)</f>
        <v>20</v>
      </c>
      <c r="C1965" s="5" t="str">
        <f ca="1">IFERROR(__xludf.DUMMYFUNCTION("""COMPUTED_VALUE"""),"Male")</f>
        <v>Male</v>
      </c>
      <c r="D1965" s="5"/>
      <c r="E1965" s="5" t="str">
        <f ca="1">IFERROR(__xludf.DUMMYFUNCTION("""COMPUTED_VALUE"""),"Nonstudent Using Athletic Facilities/Attending Game")</f>
        <v>Nonstudent Using Athletic Facilities/Attending Game</v>
      </c>
      <c r="F1965" s="5" t="str">
        <f ca="1">IFERROR(__xludf.DUMMYFUNCTION("""COMPUTED_VALUE"""),"Fled/Apprehended")</f>
        <v>Fled/Apprehended</v>
      </c>
      <c r="G1965" s="5" t="str">
        <f ca="1">IFERROR(__xludf.DUMMYFUNCTION("""COMPUTED_VALUE"""),"No")</f>
        <v>No</v>
      </c>
      <c r="H1965" s="5" t="str">
        <f ca="1">IFERROR(__xludf.DUMMYFUNCTION("""COMPUTED_VALUE"""),"None")</f>
        <v>None</v>
      </c>
    </row>
    <row r="1966" spans="1:8">
      <c r="A1966" s="5" t="str">
        <f ca="1">IFERROR(__xludf.DUMMYFUNCTION("""COMPUTED_VALUE"""),"19871216TXMAK")</f>
        <v>19871216TXMAK</v>
      </c>
      <c r="B1966" s="5">
        <f ca="1">IFERROR(__xludf.DUMMYFUNCTION("""COMPUTED_VALUE"""),15)</f>
        <v>15</v>
      </c>
      <c r="C1966" s="5" t="str">
        <f ca="1">IFERROR(__xludf.DUMMYFUNCTION("""COMPUTED_VALUE"""),"Male")</f>
        <v>Male</v>
      </c>
      <c r="D1966" s="5" t="str">
        <f ca="1">IFERROR(__xludf.DUMMYFUNCTION("""COMPUTED_VALUE"""),"Other")</f>
        <v>Other</v>
      </c>
      <c r="E1966" s="5" t="str">
        <f ca="1">IFERROR(__xludf.DUMMYFUNCTION("""COMPUTED_VALUE"""),"Student")</f>
        <v>Student</v>
      </c>
      <c r="F1966" s="5" t="str">
        <f ca="1">IFERROR(__xludf.DUMMYFUNCTION("""COMPUTED_VALUE"""),"Suicide")</f>
        <v>Suicide</v>
      </c>
      <c r="G1966" s="5" t="str">
        <f ca="1">IFERROR(__xludf.DUMMYFUNCTION("""COMPUTED_VALUE"""),"Yes")</f>
        <v>Yes</v>
      </c>
      <c r="H1966" s="5" t="str">
        <f ca="1">IFERROR(__xludf.DUMMYFUNCTION("""COMPUTED_VALUE"""),"Suicide")</f>
        <v>Suicide</v>
      </c>
    </row>
    <row r="1967" spans="1:8">
      <c r="A1967" s="5" t="str">
        <f ca="1">IFERROR(__xludf.DUMMYFUNCTION("""COMPUTED_VALUE"""),"19871215NYGRB")</f>
        <v>19871215NYGRB</v>
      </c>
      <c r="B1967" s="5">
        <f ca="1">IFERROR(__xludf.DUMMYFUNCTION("""COMPUTED_VALUE"""),15)</f>
        <v>15</v>
      </c>
      <c r="C1967" s="5" t="str">
        <f ca="1">IFERROR(__xludf.DUMMYFUNCTION("""COMPUTED_VALUE"""),"Male")</f>
        <v>Male</v>
      </c>
      <c r="D1967" s="5"/>
      <c r="E1967" s="5" t="str">
        <f ca="1">IFERROR(__xludf.DUMMYFUNCTION("""COMPUTED_VALUE"""),"Student")</f>
        <v>Student</v>
      </c>
      <c r="F1967" s="5" t="str">
        <f ca="1">IFERROR(__xludf.DUMMYFUNCTION("""COMPUTED_VALUE"""),"Fled/Apprehended")</f>
        <v>Fled/Apprehended</v>
      </c>
      <c r="G1967" s="5" t="str">
        <f ca="1">IFERROR(__xludf.DUMMYFUNCTION("""COMPUTED_VALUE"""),"No")</f>
        <v>No</v>
      </c>
      <c r="H1967" s="5" t="str">
        <f ca="1">IFERROR(__xludf.DUMMYFUNCTION("""COMPUTED_VALUE"""),"None")</f>
        <v>None</v>
      </c>
    </row>
    <row r="1968" spans="1:8">
      <c r="A1968" s="5" t="str">
        <f ca="1">IFERROR(__xludf.DUMMYFUNCTION("""COMPUTED_VALUE"""),"19871204NYEAN")</f>
        <v>19871204NYEAN</v>
      </c>
      <c r="B1968" s="5">
        <f ca="1">IFERROR(__xludf.DUMMYFUNCTION("""COMPUTED_VALUE"""),17)</f>
        <v>17</v>
      </c>
      <c r="C1968" s="5" t="str">
        <f ca="1">IFERROR(__xludf.DUMMYFUNCTION("""COMPUTED_VALUE"""),"Male")</f>
        <v>Male</v>
      </c>
      <c r="D1968" s="5"/>
      <c r="E1968" s="5" t="str">
        <f ca="1">IFERROR(__xludf.DUMMYFUNCTION("""COMPUTED_VALUE"""),"Student")</f>
        <v>Student</v>
      </c>
      <c r="F1968" s="5" t="str">
        <f ca="1">IFERROR(__xludf.DUMMYFUNCTION("""COMPUTED_VALUE"""),"Fled/Apprehended")</f>
        <v>Fled/Apprehended</v>
      </c>
      <c r="G1968" s="5" t="str">
        <f ca="1">IFERROR(__xludf.DUMMYFUNCTION("""COMPUTED_VALUE"""),"No")</f>
        <v>No</v>
      </c>
      <c r="H1968" s="5" t="str">
        <f ca="1">IFERROR(__xludf.DUMMYFUNCTION("""COMPUTED_VALUE"""),"None")</f>
        <v>None</v>
      </c>
    </row>
    <row r="1969" spans="1:8">
      <c r="A1969" s="5" t="str">
        <f ca="1">IFERROR(__xludf.DUMMYFUNCTION("""COMPUTED_VALUE"""),"19871202FLENJ")</f>
        <v>19871202FLENJ</v>
      </c>
      <c r="B1969" s="5">
        <f ca="1">IFERROR(__xludf.DUMMYFUNCTION("""COMPUTED_VALUE"""),16)</f>
        <v>16</v>
      </c>
      <c r="C1969" s="5" t="str">
        <f ca="1">IFERROR(__xludf.DUMMYFUNCTION("""COMPUTED_VALUE"""),"Male")</f>
        <v>Male</v>
      </c>
      <c r="D1969" s="5"/>
      <c r="E1969" s="5" t="str">
        <f ca="1">IFERROR(__xludf.DUMMYFUNCTION("""COMPUTED_VALUE"""),"Student")</f>
        <v>Student</v>
      </c>
      <c r="F1969" s="5" t="str">
        <f ca="1">IFERROR(__xludf.DUMMYFUNCTION("""COMPUTED_VALUE"""),"Surrendered")</f>
        <v>Surrendered</v>
      </c>
      <c r="G1969" s="5" t="str">
        <f ca="1">IFERROR(__xludf.DUMMYFUNCTION("""COMPUTED_VALUE"""),"No")</f>
        <v>No</v>
      </c>
      <c r="H1969" s="5" t="str">
        <f ca="1">IFERROR(__xludf.DUMMYFUNCTION("""COMPUTED_VALUE"""),"None")</f>
        <v>None</v>
      </c>
    </row>
    <row r="1970" spans="1:8">
      <c r="A1970" s="5" t="str">
        <f ca="1">IFERROR(__xludf.DUMMYFUNCTION("""COMPUTED_VALUE"""),"19871130TXPES")</f>
        <v>19871130TXPES</v>
      </c>
      <c r="B1970" s="5">
        <f ca="1">IFERROR(__xludf.DUMMYFUNCTION("""COMPUTED_VALUE"""),51)</f>
        <v>51</v>
      </c>
      <c r="C1970" s="5" t="str">
        <f ca="1">IFERROR(__xludf.DUMMYFUNCTION("""COMPUTED_VALUE"""),"Male")</f>
        <v>Male</v>
      </c>
      <c r="D1970" s="5"/>
      <c r="E1970" s="5" t="str">
        <f ca="1">IFERROR(__xludf.DUMMYFUNCTION("""COMPUTED_VALUE"""),"Intimate Relationship")</f>
        <v>Intimate Relationship</v>
      </c>
      <c r="F1970" s="5" t="str">
        <f ca="1">IFERROR(__xludf.DUMMYFUNCTION("""COMPUTED_VALUE"""),"Suicide")</f>
        <v>Suicide</v>
      </c>
      <c r="G1970" s="5" t="str">
        <f ca="1">IFERROR(__xludf.DUMMYFUNCTION("""COMPUTED_VALUE"""),"Yes")</f>
        <v>Yes</v>
      </c>
      <c r="H1970" s="5" t="str">
        <f ca="1">IFERROR(__xludf.DUMMYFUNCTION("""COMPUTED_VALUE"""),"Suicide")</f>
        <v>Suicide</v>
      </c>
    </row>
    <row r="1971" spans="1:8">
      <c r="A1971" s="5" t="str">
        <f ca="1">IFERROR(__xludf.DUMMYFUNCTION("""COMPUTED_VALUE"""),"19871114FLCLC")</f>
        <v>19871114FLCLC</v>
      </c>
      <c r="B1971" s="5">
        <f ca="1">IFERROR(__xludf.DUMMYFUNCTION("""COMPUTED_VALUE"""),18)</f>
        <v>18</v>
      </c>
      <c r="C1971" s="5" t="str">
        <f ca="1">IFERROR(__xludf.DUMMYFUNCTION("""COMPUTED_VALUE"""),"Male")</f>
        <v>Male</v>
      </c>
      <c r="D1971" s="5"/>
      <c r="E1971" s="5" t="str">
        <f ca="1">IFERROR(__xludf.DUMMYFUNCTION("""COMPUTED_VALUE"""),"Student")</f>
        <v>Student</v>
      </c>
      <c r="F1971" s="5" t="str">
        <f ca="1">IFERROR(__xludf.DUMMYFUNCTION("""COMPUTED_VALUE"""),"Suicide")</f>
        <v>Suicide</v>
      </c>
      <c r="G1971" s="5" t="str">
        <f ca="1">IFERROR(__xludf.DUMMYFUNCTION("""COMPUTED_VALUE"""),"Yes")</f>
        <v>Yes</v>
      </c>
      <c r="H1971" s="5" t="str">
        <f ca="1">IFERROR(__xludf.DUMMYFUNCTION("""COMPUTED_VALUE"""),"Suicide")</f>
        <v>Suicide</v>
      </c>
    </row>
    <row r="1972" spans="1:8">
      <c r="A1972" s="5" t="str">
        <f ca="1">IFERROR(__xludf.DUMMYFUNCTION("""COMPUTED_VALUE"""),"19871104MISOD")</f>
        <v>19871104MISOD</v>
      </c>
      <c r="B1972" s="5"/>
      <c r="C1972" s="5" t="str">
        <f ca="1">IFERROR(__xludf.DUMMYFUNCTION("""COMPUTED_VALUE"""),"Male")</f>
        <v>Male</v>
      </c>
      <c r="D1972" s="5"/>
      <c r="E1972" s="5" t="str">
        <f ca="1">IFERROR(__xludf.DUMMYFUNCTION("""COMPUTED_VALUE"""),"No Relation")</f>
        <v>No Relation</v>
      </c>
      <c r="F1972" s="5" t="str">
        <f ca="1">IFERROR(__xludf.DUMMYFUNCTION("""COMPUTED_VALUE"""),"Fled/Escaped")</f>
        <v>Fled/Escaped</v>
      </c>
      <c r="G1972" s="5" t="str">
        <f ca="1">IFERROR(__xludf.DUMMYFUNCTION("""COMPUTED_VALUE"""),"No")</f>
        <v>No</v>
      </c>
      <c r="H1972" s="5" t="str">
        <f ca="1">IFERROR(__xludf.DUMMYFUNCTION("""COMPUTED_VALUE"""),"None")</f>
        <v>None</v>
      </c>
    </row>
    <row r="1973" spans="1:8">
      <c r="A1973" s="5" t="str">
        <f ca="1">IFERROR(__xludf.DUMMYFUNCTION("""COMPUTED_VALUE"""),"19871031SCANA")</f>
        <v>19871031SCANA</v>
      </c>
      <c r="B1973" s="5"/>
      <c r="C1973" s="5" t="str">
        <f ca="1">IFERROR(__xludf.DUMMYFUNCTION("""COMPUTED_VALUE"""),"Male")</f>
        <v>Male</v>
      </c>
      <c r="D1973" s="5"/>
      <c r="E1973" s="5"/>
      <c r="F1973" s="5" t="str">
        <f ca="1">IFERROR(__xludf.DUMMYFUNCTION("""COMPUTED_VALUE"""),"Fled/Escaped")</f>
        <v>Fled/Escaped</v>
      </c>
      <c r="G1973" s="5" t="str">
        <f ca="1">IFERROR(__xludf.DUMMYFUNCTION("""COMPUTED_VALUE"""),"No")</f>
        <v>No</v>
      </c>
      <c r="H1973" s="5" t="str">
        <f ca="1">IFERROR(__xludf.DUMMYFUNCTION("""COMPUTED_VALUE"""),"None")</f>
        <v>None</v>
      </c>
    </row>
    <row r="1974" spans="1:8">
      <c r="A1974" s="5" t="str">
        <f ca="1">IFERROR(__xludf.DUMMYFUNCTION("""COMPUTED_VALUE"""),"19871030NCSOK")</f>
        <v>19871030NCSOK</v>
      </c>
      <c r="B1974" s="5">
        <f ca="1">IFERROR(__xludf.DUMMYFUNCTION("""COMPUTED_VALUE"""),15)</f>
        <v>15</v>
      </c>
      <c r="C1974" s="5" t="str">
        <f ca="1">IFERROR(__xludf.DUMMYFUNCTION("""COMPUTED_VALUE"""),"Male")</f>
        <v>Male</v>
      </c>
      <c r="D1974" s="5"/>
      <c r="E1974" s="5" t="str">
        <f ca="1">IFERROR(__xludf.DUMMYFUNCTION("""COMPUTED_VALUE"""),"Relative")</f>
        <v>Relative</v>
      </c>
      <c r="F1974" s="5" t="str">
        <f ca="1">IFERROR(__xludf.DUMMYFUNCTION("""COMPUTED_VALUE"""),"Fled/Apprehended")</f>
        <v>Fled/Apprehended</v>
      </c>
      <c r="G1974" s="5" t="str">
        <f ca="1">IFERROR(__xludf.DUMMYFUNCTION("""COMPUTED_VALUE"""),"No")</f>
        <v>No</v>
      </c>
      <c r="H1974" s="5" t="str">
        <f ca="1">IFERROR(__xludf.DUMMYFUNCTION("""COMPUTED_VALUE"""),"None")</f>
        <v>None</v>
      </c>
    </row>
    <row r="1975" spans="1:8">
      <c r="A1975" s="5" t="str">
        <f ca="1">IFERROR(__xludf.DUMMYFUNCTION("""COMPUTED_VALUE"""),"19871014ILDUC")</f>
        <v>19871014ILDUC</v>
      </c>
      <c r="B1975" s="5">
        <f ca="1">IFERROR(__xludf.DUMMYFUNCTION("""COMPUTED_VALUE"""),16)</f>
        <v>16</v>
      </c>
      <c r="C1975" s="5" t="str">
        <f ca="1">IFERROR(__xludf.DUMMYFUNCTION("""COMPUTED_VALUE"""),"Male")</f>
        <v>Male</v>
      </c>
      <c r="D1975" s="5"/>
      <c r="E1975" s="5" t="str">
        <f ca="1">IFERROR(__xludf.DUMMYFUNCTION("""COMPUTED_VALUE"""),"Student")</f>
        <v>Student</v>
      </c>
      <c r="F1975" s="5" t="str">
        <f ca="1">IFERROR(__xludf.DUMMYFUNCTION("""COMPUTED_VALUE"""),"Fled/Apprehended")</f>
        <v>Fled/Apprehended</v>
      </c>
      <c r="G1975" s="5" t="str">
        <f ca="1">IFERROR(__xludf.DUMMYFUNCTION("""COMPUTED_VALUE"""),"No")</f>
        <v>No</v>
      </c>
      <c r="H1975" s="5" t="str">
        <f ca="1">IFERROR(__xludf.DUMMYFUNCTION("""COMPUTED_VALUE"""),"None")</f>
        <v>None</v>
      </c>
    </row>
    <row r="1976" spans="1:8">
      <c r="A1976" s="5" t="str">
        <f ca="1">IFERROR(__xludf.DUMMYFUNCTION("""COMPUTED_VALUE"""),"19870928ILILL")</f>
        <v>19870928ILILL</v>
      </c>
      <c r="B1976" s="5">
        <f ca="1">IFERROR(__xludf.DUMMYFUNCTION("""COMPUTED_VALUE"""),16)</f>
        <v>16</v>
      </c>
      <c r="C1976" s="5" t="str">
        <f ca="1">IFERROR(__xludf.DUMMYFUNCTION("""COMPUTED_VALUE"""),"Male")</f>
        <v>Male</v>
      </c>
      <c r="D1976" s="5"/>
      <c r="E1976" s="5" t="str">
        <f ca="1">IFERROR(__xludf.DUMMYFUNCTION("""COMPUTED_VALUE"""),"Student")</f>
        <v>Student</v>
      </c>
      <c r="F1976" s="5" t="str">
        <f ca="1">IFERROR(__xludf.DUMMYFUNCTION("""COMPUTED_VALUE"""),"Fled/Apprehended")</f>
        <v>Fled/Apprehended</v>
      </c>
      <c r="G1976" s="5" t="str">
        <f ca="1">IFERROR(__xludf.DUMMYFUNCTION("""COMPUTED_VALUE"""),"No")</f>
        <v>No</v>
      </c>
      <c r="H1976" s="5" t="str">
        <f ca="1">IFERROR(__xludf.DUMMYFUNCTION("""COMPUTED_VALUE"""),"None")</f>
        <v>None</v>
      </c>
    </row>
    <row r="1977" spans="1:8">
      <c r="A1977" s="5" t="str">
        <f ca="1">IFERROR(__xludf.DUMMYFUNCTION("""COMPUTED_VALUE"""),"19870513ILOAO")</f>
        <v>19870513ILOAO</v>
      </c>
      <c r="B1977" s="5">
        <f ca="1">IFERROR(__xludf.DUMMYFUNCTION("""COMPUTED_VALUE"""),17)</f>
        <v>17</v>
      </c>
      <c r="C1977" s="5" t="str">
        <f ca="1">IFERROR(__xludf.DUMMYFUNCTION("""COMPUTED_VALUE"""),"Male")</f>
        <v>Male</v>
      </c>
      <c r="D1977" s="5"/>
      <c r="E1977" s="5" t="str">
        <f ca="1">IFERROR(__xludf.DUMMYFUNCTION("""COMPUTED_VALUE"""),"Student")</f>
        <v>Student</v>
      </c>
      <c r="F1977" s="5" t="str">
        <f ca="1">IFERROR(__xludf.DUMMYFUNCTION("""COMPUTED_VALUE"""),"Attempted Suicide")</f>
        <v>Attempted Suicide</v>
      </c>
      <c r="G1977" s="5" t="str">
        <f ca="1">IFERROR(__xludf.DUMMYFUNCTION("""COMPUTED_VALUE"""),"No")</f>
        <v>No</v>
      </c>
      <c r="H1977" s="5" t="str">
        <f ca="1">IFERROR(__xludf.DUMMYFUNCTION("""COMPUTED_VALUE"""),"Wounded")</f>
        <v>Wounded</v>
      </c>
    </row>
    <row r="1978" spans="1:8">
      <c r="A1978" s="5" t="str">
        <f ca="1">IFERROR(__xludf.DUMMYFUNCTION("""COMPUTED_VALUE"""),"19870506FLLET")</f>
        <v>19870506FLLET</v>
      </c>
      <c r="B1978" s="5">
        <f ca="1">IFERROR(__xludf.DUMMYFUNCTION("""COMPUTED_VALUE"""),15)</f>
        <v>15</v>
      </c>
      <c r="C1978" s="5" t="str">
        <f ca="1">IFERROR(__xludf.DUMMYFUNCTION("""COMPUTED_VALUE"""),"Male")</f>
        <v>Male</v>
      </c>
      <c r="D1978" s="5" t="str">
        <f ca="1">IFERROR(__xludf.DUMMYFUNCTION("""COMPUTED_VALUE"""),"White")</f>
        <v>White</v>
      </c>
      <c r="E1978" s="5" t="str">
        <f ca="1">IFERROR(__xludf.DUMMYFUNCTION("""COMPUTED_VALUE"""),"Student")</f>
        <v>Student</v>
      </c>
      <c r="F1978" s="5" t="str">
        <f ca="1">IFERROR(__xludf.DUMMYFUNCTION("""COMPUTED_VALUE"""),"Suicide")</f>
        <v>Suicide</v>
      </c>
      <c r="G1978" s="5" t="str">
        <f ca="1">IFERROR(__xludf.DUMMYFUNCTION("""COMPUTED_VALUE"""),"Yes")</f>
        <v>Yes</v>
      </c>
      <c r="H1978" s="5" t="str">
        <f ca="1">IFERROR(__xludf.DUMMYFUNCTION("""COMPUTED_VALUE"""),"Suicide")</f>
        <v>Suicide</v>
      </c>
    </row>
    <row r="1979" spans="1:8">
      <c r="A1979" s="5" t="str">
        <f ca="1">IFERROR(__xludf.DUMMYFUNCTION("""COMPUTED_VALUE"""),"19870506ARMAJ")</f>
        <v>19870506ARMAJ</v>
      </c>
      <c r="B1979" s="5">
        <f ca="1">IFERROR(__xludf.DUMMYFUNCTION("""COMPUTED_VALUE"""),15)</f>
        <v>15</v>
      </c>
      <c r="C1979" s="5" t="str">
        <f ca="1">IFERROR(__xludf.DUMMYFUNCTION("""COMPUTED_VALUE"""),"Male")</f>
        <v>Male</v>
      </c>
      <c r="D1979" s="5"/>
      <c r="E1979" s="5" t="str">
        <f ca="1">IFERROR(__xludf.DUMMYFUNCTION("""COMPUTED_VALUE"""),"Student")</f>
        <v>Student</v>
      </c>
      <c r="F1979" s="5" t="str">
        <f ca="1">IFERROR(__xludf.DUMMYFUNCTION("""COMPUTED_VALUE"""),"Attempted Suicide")</f>
        <v>Attempted Suicide</v>
      </c>
      <c r="G1979" s="5" t="str">
        <f ca="1">IFERROR(__xludf.DUMMYFUNCTION("""COMPUTED_VALUE"""),"No")</f>
        <v>No</v>
      </c>
      <c r="H1979" s="5" t="str">
        <f ca="1">IFERROR(__xludf.DUMMYFUNCTION("""COMPUTED_VALUE"""),"Wounded")</f>
        <v>Wounded</v>
      </c>
    </row>
    <row r="1980" spans="1:8">
      <c r="A1980" s="5" t="str">
        <f ca="1">IFERROR(__xludf.DUMMYFUNCTION("""COMPUTED_VALUE"""),"19870503INPII")</f>
        <v>19870503INPII</v>
      </c>
      <c r="B1980" s="5">
        <f ca="1">IFERROR(__xludf.DUMMYFUNCTION("""COMPUTED_VALUE"""),17)</f>
        <v>17</v>
      </c>
      <c r="C1980" s="5" t="str">
        <f ca="1">IFERROR(__xludf.DUMMYFUNCTION("""COMPUTED_VALUE"""),"Male")</f>
        <v>Male</v>
      </c>
      <c r="D1980" s="5" t="str">
        <f ca="1">IFERROR(__xludf.DUMMYFUNCTION("""COMPUTED_VALUE"""),"Black")</f>
        <v>Black</v>
      </c>
      <c r="E1980" s="5" t="str">
        <f ca="1">IFERROR(__xludf.DUMMYFUNCTION("""COMPUTED_VALUE"""),"Unknown")</f>
        <v>Unknown</v>
      </c>
      <c r="F1980" s="5" t="str">
        <f ca="1">IFERROR(__xludf.DUMMYFUNCTION("""COMPUTED_VALUE"""),"Fled/Apprehended")</f>
        <v>Fled/Apprehended</v>
      </c>
      <c r="G1980" s="5" t="str">
        <f ca="1">IFERROR(__xludf.DUMMYFUNCTION("""COMPUTED_VALUE"""),"No")</f>
        <v>No</v>
      </c>
      <c r="H1980" s="5" t="str">
        <f ca="1">IFERROR(__xludf.DUMMYFUNCTION("""COMPUTED_VALUE"""),"None")</f>
        <v>None</v>
      </c>
    </row>
    <row r="1981" spans="1:8">
      <c r="A1981" s="5" t="str">
        <f ca="1">IFERROR(__xludf.DUMMYFUNCTION("""COMPUTED_VALUE"""),"19870430ORGRP")</f>
        <v>19870430ORGRP</v>
      </c>
      <c r="B1981" s="5">
        <f ca="1">IFERROR(__xludf.DUMMYFUNCTION("""COMPUTED_VALUE"""),16)</f>
        <v>16</v>
      </c>
      <c r="C1981" s="5" t="str">
        <f ca="1">IFERROR(__xludf.DUMMYFUNCTION("""COMPUTED_VALUE"""),"Male")</f>
        <v>Male</v>
      </c>
      <c r="D1981" s="5"/>
      <c r="E1981" s="5" t="str">
        <f ca="1">IFERROR(__xludf.DUMMYFUNCTION("""COMPUTED_VALUE"""),"Student")</f>
        <v>Student</v>
      </c>
      <c r="F1981" s="5" t="str">
        <f ca="1">IFERROR(__xludf.DUMMYFUNCTION("""COMPUTED_VALUE"""),"Fled/Apprehended")</f>
        <v>Fled/Apprehended</v>
      </c>
      <c r="G1981" s="5" t="str">
        <f ca="1">IFERROR(__xludf.DUMMYFUNCTION("""COMPUTED_VALUE"""),"No")</f>
        <v>No</v>
      </c>
      <c r="H1981" s="5" t="str">
        <f ca="1">IFERROR(__xludf.DUMMYFUNCTION("""COMPUTED_VALUE"""),"None")</f>
        <v>None</v>
      </c>
    </row>
    <row r="1982" spans="1:8">
      <c r="A1982" s="5" t="str">
        <f ca="1">IFERROR(__xludf.DUMMYFUNCTION("""COMPUTED_VALUE"""),"19870416MIMUD")</f>
        <v>19870416MIMUD</v>
      </c>
      <c r="B1982" s="5">
        <f ca="1">IFERROR(__xludf.DUMMYFUNCTION("""COMPUTED_VALUE"""),14)</f>
        <v>14</v>
      </c>
      <c r="C1982" s="5" t="str">
        <f ca="1">IFERROR(__xludf.DUMMYFUNCTION("""COMPUTED_VALUE"""),"Male")</f>
        <v>Male</v>
      </c>
      <c r="D1982" s="5"/>
      <c r="E1982" s="5" t="str">
        <f ca="1">IFERROR(__xludf.DUMMYFUNCTION("""COMPUTED_VALUE"""),"Student")</f>
        <v>Student</v>
      </c>
      <c r="F1982" s="5" t="str">
        <f ca="1">IFERROR(__xludf.DUMMYFUNCTION("""COMPUTED_VALUE"""),"Fled/Apprehended")</f>
        <v>Fled/Apprehended</v>
      </c>
      <c r="G1982" s="5" t="str">
        <f ca="1">IFERROR(__xludf.DUMMYFUNCTION("""COMPUTED_VALUE"""),"No")</f>
        <v>No</v>
      </c>
      <c r="H1982" s="5" t="str">
        <f ca="1">IFERROR(__xludf.DUMMYFUNCTION("""COMPUTED_VALUE"""),"None")</f>
        <v>None</v>
      </c>
    </row>
    <row r="1983" spans="1:8">
      <c r="A1983" s="5" t="str">
        <f ca="1">IFERROR(__xludf.DUMMYFUNCTION("""COMPUTED_VALUE"""),"19870330CAPAS")</f>
        <v>19870330CAPAS</v>
      </c>
      <c r="B1983" s="5">
        <f ca="1">IFERROR(__xludf.DUMMYFUNCTION("""COMPUTED_VALUE"""),44)</f>
        <v>44</v>
      </c>
      <c r="C1983" s="5" t="str">
        <f ca="1">IFERROR(__xludf.DUMMYFUNCTION("""COMPUTED_VALUE"""),"Female")</f>
        <v>Female</v>
      </c>
      <c r="D1983" s="5"/>
      <c r="E1983" s="5" t="str">
        <f ca="1">IFERROR(__xludf.DUMMYFUNCTION("""COMPUTED_VALUE"""),"No Relation")</f>
        <v>No Relation</v>
      </c>
      <c r="F1983" s="5" t="str">
        <f ca="1">IFERROR(__xludf.DUMMYFUNCTION("""COMPUTED_VALUE"""),"Suicide")</f>
        <v>Suicide</v>
      </c>
      <c r="G1983" s="5" t="str">
        <f ca="1">IFERROR(__xludf.DUMMYFUNCTION("""COMPUTED_VALUE"""),"Yes")</f>
        <v>Yes</v>
      </c>
      <c r="H1983" s="5" t="str">
        <f ca="1">IFERROR(__xludf.DUMMYFUNCTION("""COMPUTED_VALUE"""),"Suicide")</f>
        <v>Suicide</v>
      </c>
    </row>
    <row r="1984" spans="1:8">
      <c r="A1984" s="5" t="str">
        <f ca="1">IFERROR(__xludf.DUMMYFUNCTION("""COMPUTED_VALUE"""),"19870306TXRIE")</f>
        <v>19870306TXRIE</v>
      </c>
      <c r="B1984" s="5">
        <f ca="1">IFERROR(__xludf.DUMMYFUNCTION("""COMPUTED_VALUE"""),19)</f>
        <v>19</v>
      </c>
      <c r="C1984" s="5" t="str">
        <f ca="1">IFERROR(__xludf.DUMMYFUNCTION("""COMPUTED_VALUE"""),"Male")</f>
        <v>Male</v>
      </c>
      <c r="D1984" s="5"/>
      <c r="E1984" s="5" t="str">
        <f ca="1">IFERROR(__xludf.DUMMYFUNCTION("""COMPUTED_VALUE"""),"No Relation")</f>
        <v>No Relation</v>
      </c>
      <c r="F1984" s="5" t="str">
        <f ca="1">IFERROR(__xludf.DUMMYFUNCTION("""COMPUTED_VALUE"""),"Fled/Apprehended")</f>
        <v>Fled/Apprehended</v>
      </c>
      <c r="G1984" s="5" t="str">
        <f ca="1">IFERROR(__xludf.DUMMYFUNCTION("""COMPUTED_VALUE"""),"No")</f>
        <v>No</v>
      </c>
      <c r="H1984" s="5" t="str">
        <f ca="1">IFERROR(__xludf.DUMMYFUNCTION("""COMPUTED_VALUE"""),"None")</f>
        <v>None</v>
      </c>
    </row>
    <row r="1985" spans="1:8">
      <c r="A1985" s="5" t="str">
        <f ca="1">IFERROR(__xludf.DUMMYFUNCTION("""COMPUTED_VALUE"""),"19870306TXRIE")</f>
        <v>19870306TXRIE</v>
      </c>
      <c r="B1985" s="5" t="str">
        <f ca="1">IFERROR(__xludf.DUMMYFUNCTION("""COMPUTED_VALUE"""),"Adult")</f>
        <v>Adult</v>
      </c>
      <c r="C1985" s="5" t="str">
        <f ca="1">IFERROR(__xludf.DUMMYFUNCTION("""COMPUTED_VALUE"""),"Male")</f>
        <v>Male</v>
      </c>
      <c r="D1985" s="5"/>
      <c r="E1985" s="5" t="str">
        <f ca="1">IFERROR(__xludf.DUMMYFUNCTION("""COMPUTED_VALUE"""),"No Relation")</f>
        <v>No Relation</v>
      </c>
      <c r="F1985" s="5" t="str">
        <f ca="1">IFERROR(__xludf.DUMMYFUNCTION("""COMPUTED_VALUE"""),"Fled/Apprehended")</f>
        <v>Fled/Apprehended</v>
      </c>
      <c r="G1985" s="5" t="str">
        <f ca="1">IFERROR(__xludf.DUMMYFUNCTION("""COMPUTED_VALUE"""),"No")</f>
        <v>No</v>
      </c>
      <c r="H1985" s="5" t="str">
        <f ca="1">IFERROR(__xludf.DUMMYFUNCTION("""COMPUTED_VALUE"""),"None")</f>
        <v>None</v>
      </c>
    </row>
    <row r="1986" spans="1:8">
      <c r="A1986" s="5" t="str">
        <f ca="1">IFERROR(__xludf.DUMMYFUNCTION("""COMPUTED_VALUE"""),"19870302MODED")</f>
        <v>19870302MODED</v>
      </c>
      <c r="B1986" s="5">
        <f ca="1">IFERROR(__xludf.DUMMYFUNCTION("""COMPUTED_VALUE"""),12)</f>
        <v>12</v>
      </c>
      <c r="C1986" s="5" t="str">
        <f ca="1">IFERROR(__xludf.DUMMYFUNCTION("""COMPUTED_VALUE"""),"Male")</f>
        <v>Male</v>
      </c>
      <c r="D1986" s="5" t="str">
        <f ca="1">IFERROR(__xludf.DUMMYFUNCTION("""COMPUTED_VALUE"""),"White")</f>
        <v>White</v>
      </c>
      <c r="E1986" s="5" t="str">
        <f ca="1">IFERROR(__xludf.DUMMYFUNCTION("""COMPUTED_VALUE"""),"Student")</f>
        <v>Student</v>
      </c>
      <c r="F1986" s="5" t="str">
        <f ca="1">IFERROR(__xludf.DUMMYFUNCTION("""COMPUTED_VALUE"""),"Suicide")</f>
        <v>Suicide</v>
      </c>
      <c r="G1986" s="5" t="str">
        <f ca="1">IFERROR(__xludf.DUMMYFUNCTION("""COMPUTED_VALUE"""),"Yes")</f>
        <v>Yes</v>
      </c>
      <c r="H1986" s="5" t="str">
        <f ca="1">IFERROR(__xludf.DUMMYFUNCTION("""COMPUTED_VALUE"""),"Suicide")</f>
        <v>Suicide</v>
      </c>
    </row>
    <row r="1987" spans="1:8">
      <c r="A1987" s="5" t="str">
        <f ca="1">IFERROR(__xludf.DUMMYFUNCTION("""COMPUTED_VALUE"""),"19870224NYMON")</f>
        <v>19870224NYMON</v>
      </c>
      <c r="B1987" s="5" t="str">
        <f ca="1">IFERROR(__xludf.DUMMYFUNCTION("""COMPUTED_VALUE"""),"Adult")</f>
        <v>Adult</v>
      </c>
      <c r="C1987" s="5" t="str">
        <f ca="1">IFERROR(__xludf.DUMMYFUNCTION("""COMPUTED_VALUE"""),"Male")</f>
        <v>Male</v>
      </c>
      <c r="D1987" s="5"/>
      <c r="E1987" s="5" t="str">
        <f ca="1">IFERROR(__xludf.DUMMYFUNCTION("""COMPUTED_VALUE"""),"No Relation")</f>
        <v>No Relation</v>
      </c>
      <c r="F1987" s="5" t="str">
        <f ca="1">IFERROR(__xludf.DUMMYFUNCTION("""COMPUTED_VALUE"""),"Fled/Escaped")</f>
        <v>Fled/Escaped</v>
      </c>
      <c r="G1987" s="5" t="str">
        <f ca="1">IFERROR(__xludf.DUMMYFUNCTION("""COMPUTED_VALUE"""),"No")</f>
        <v>No</v>
      </c>
      <c r="H1987" s="5" t="str">
        <f ca="1">IFERROR(__xludf.DUMMYFUNCTION("""COMPUTED_VALUE"""),"None")</f>
        <v>None</v>
      </c>
    </row>
    <row r="1988" spans="1:8">
      <c r="A1988" s="5" t="str">
        <f ca="1">IFERROR(__xludf.DUMMYFUNCTION("""COMPUTED_VALUE"""),"19870224NYMON")</f>
        <v>19870224NYMON</v>
      </c>
      <c r="B1988" s="5" t="str">
        <f ca="1">IFERROR(__xludf.DUMMYFUNCTION("""COMPUTED_VALUE"""),"Adult")</f>
        <v>Adult</v>
      </c>
      <c r="C1988" s="5" t="str">
        <f ca="1">IFERROR(__xludf.DUMMYFUNCTION("""COMPUTED_VALUE"""),"Male")</f>
        <v>Male</v>
      </c>
      <c r="D1988" s="5"/>
      <c r="E1988" s="5" t="str">
        <f ca="1">IFERROR(__xludf.DUMMYFUNCTION("""COMPUTED_VALUE"""),"No Relation")</f>
        <v>No Relation</v>
      </c>
      <c r="F1988" s="5" t="str">
        <f ca="1">IFERROR(__xludf.DUMMYFUNCTION("""COMPUTED_VALUE"""),"Fled/Escaped")</f>
        <v>Fled/Escaped</v>
      </c>
      <c r="G1988" s="5" t="str">
        <f ca="1">IFERROR(__xludf.DUMMYFUNCTION("""COMPUTED_VALUE"""),"No")</f>
        <v>No</v>
      </c>
      <c r="H1988" s="5" t="str">
        <f ca="1">IFERROR(__xludf.DUMMYFUNCTION("""COMPUTED_VALUE"""),"None")</f>
        <v>None</v>
      </c>
    </row>
    <row r="1989" spans="1:8">
      <c r="A1989" s="5" t="str">
        <f ca="1">IFERROR(__xludf.DUMMYFUNCTION("""COMPUTED_VALUE"""),"19870213AZORM")</f>
        <v>19870213AZORM</v>
      </c>
      <c r="B1989" s="5">
        <f ca="1">IFERROR(__xludf.DUMMYFUNCTION("""COMPUTED_VALUE"""),17)</f>
        <v>17</v>
      </c>
      <c r="C1989" s="5" t="str">
        <f ca="1">IFERROR(__xludf.DUMMYFUNCTION("""COMPUTED_VALUE"""),"Male")</f>
        <v>Male</v>
      </c>
      <c r="D1989" s="5" t="str">
        <f ca="1">IFERROR(__xludf.DUMMYFUNCTION("""COMPUTED_VALUE"""),"White")</f>
        <v>White</v>
      </c>
      <c r="E1989" s="5" t="str">
        <f ca="1">IFERROR(__xludf.DUMMYFUNCTION("""COMPUTED_VALUE"""),"Student")</f>
        <v>Student</v>
      </c>
      <c r="F1989" s="5" t="str">
        <f ca="1">IFERROR(__xludf.DUMMYFUNCTION("""COMPUTED_VALUE"""),"Fled/Apprehended")</f>
        <v>Fled/Apprehended</v>
      </c>
      <c r="G1989" s="5" t="str">
        <f ca="1">IFERROR(__xludf.DUMMYFUNCTION("""COMPUTED_VALUE"""),"No")</f>
        <v>No</v>
      </c>
      <c r="H1989" s="5" t="str">
        <f ca="1">IFERROR(__xludf.DUMMYFUNCTION("""COMPUTED_VALUE"""),"None")</f>
        <v>None</v>
      </c>
    </row>
    <row r="1990" spans="1:8">
      <c r="A1990" s="5" t="str">
        <f ca="1">IFERROR(__xludf.DUMMYFUNCTION("""COMPUTED_VALUE"""),"19870210ARDAD")</f>
        <v>19870210ARDAD</v>
      </c>
      <c r="B1990" s="5">
        <f ca="1">IFERROR(__xludf.DUMMYFUNCTION("""COMPUTED_VALUE"""),17)</f>
        <v>17</v>
      </c>
      <c r="C1990" s="5" t="str">
        <f ca="1">IFERROR(__xludf.DUMMYFUNCTION("""COMPUTED_VALUE"""),"Male")</f>
        <v>Male</v>
      </c>
      <c r="D1990" s="5"/>
      <c r="E1990" s="5" t="str">
        <f ca="1">IFERROR(__xludf.DUMMYFUNCTION("""COMPUTED_VALUE"""),"Student")</f>
        <v>Student</v>
      </c>
      <c r="F1990" s="5" t="str">
        <f ca="1">IFERROR(__xludf.DUMMYFUNCTION("""COMPUTED_VALUE"""),"Suicide")</f>
        <v>Suicide</v>
      </c>
      <c r="G1990" s="5" t="str">
        <f ca="1">IFERROR(__xludf.DUMMYFUNCTION("""COMPUTED_VALUE"""),"Yes")</f>
        <v>Yes</v>
      </c>
      <c r="H1990" s="5" t="str">
        <f ca="1">IFERROR(__xludf.DUMMYFUNCTION("""COMPUTED_VALUE"""),"Suicide")</f>
        <v>Suicide</v>
      </c>
    </row>
    <row r="1991" spans="1:8">
      <c r="A1991" s="5" t="str">
        <f ca="1">IFERROR(__xludf.DUMMYFUNCTION("""COMPUTED_VALUE"""),"19870123MIRED")</f>
        <v>19870123MIRED</v>
      </c>
      <c r="B1991" s="5">
        <f ca="1">IFERROR(__xludf.DUMMYFUNCTION("""COMPUTED_VALUE"""),15)</f>
        <v>15</v>
      </c>
      <c r="C1991" s="5" t="str">
        <f ca="1">IFERROR(__xludf.DUMMYFUNCTION("""COMPUTED_VALUE"""),"Male")</f>
        <v>Male</v>
      </c>
      <c r="D1991" s="5"/>
      <c r="E1991" s="5" t="str">
        <f ca="1">IFERROR(__xludf.DUMMYFUNCTION("""COMPUTED_VALUE"""),"Student")</f>
        <v>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c r="A1992" s="5" t="str">
        <f ca="1">IFERROR(__xludf.DUMMYFUNCTION("""COMPUTED_VALUE"""),"19870114CALOL")</f>
        <v>19870114CALOL</v>
      </c>
      <c r="B1992" s="5">
        <f ca="1">IFERROR(__xludf.DUMMYFUNCTION("""COMPUTED_VALUE"""),18)</f>
        <v>18</v>
      </c>
      <c r="C1992" s="5" t="str">
        <f ca="1">IFERROR(__xludf.DUMMYFUNCTION("""COMPUTED_VALUE"""),"Male")</f>
        <v>Male</v>
      </c>
      <c r="D1992" s="5"/>
      <c r="E1992" s="5" t="str">
        <f ca="1">IFERROR(__xludf.DUMMYFUNCTION("""COMPUTED_VALUE"""),"Student")</f>
        <v>Student</v>
      </c>
      <c r="F1992" s="5" t="str">
        <f ca="1">IFERROR(__xludf.DUMMYFUNCTION("""COMPUTED_VALUE"""),"Attempted Suicide")</f>
        <v>Attempted Suicide</v>
      </c>
      <c r="G1992" s="5" t="str">
        <f ca="1">IFERROR(__xludf.DUMMYFUNCTION("""COMPUTED_VALUE"""),"No")</f>
        <v>No</v>
      </c>
      <c r="H1992" s="5" t="str">
        <f ca="1">IFERROR(__xludf.DUMMYFUNCTION("""COMPUTED_VALUE"""),"Wounded")</f>
        <v>Wounded</v>
      </c>
    </row>
    <row r="1993" spans="1:8">
      <c r="A1993" s="5" t="str">
        <f ca="1">IFERROR(__xludf.DUMMYFUNCTION("""COMPUTED_VALUE"""),"19861204MTFEL")</f>
        <v>19861204MTFEL</v>
      </c>
      <c r="B1993" s="5">
        <f ca="1">IFERROR(__xludf.DUMMYFUNCTION("""COMPUTED_VALUE"""),14)</f>
        <v>14</v>
      </c>
      <c r="C1993" s="5" t="str">
        <f ca="1">IFERROR(__xludf.DUMMYFUNCTION("""COMPUTED_VALUE"""),"Male")</f>
        <v>Male</v>
      </c>
      <c r="D1993" s="5"/>
      <c r="E1993" s="5" t="str">
        <f ca="1">IFERROR(__xludf.DUMMYFUNCTION("""COMPUTED_VALUE"""),"Student")</f>
        <v>Student</v>
      </c>
      <c r="F1993" s="5" t="str">
        <f ca="1">IFERROR(__xludf.DUMMYFUNCTION("""COMPUTED_VALUE"""),"Fled/Apprehended")</f>
        <v>Fled/Apprehended</v>
      </c>
      <c r="G1993" s="5" t="str">
        <f ca="1">IFERROR(__xludf.DUMMYFUNCTION("""COMPUTED_VALUE"""),"No")</f>
        <v>No</v>
      </c>
      <c r="H1993" s="5" t="str">
        <f ca="1">IFERROR(__xludf.DUMMYFUNCTION("""COMPUTED_VALUE"""),"None")</f>
        <v>None</v>
      </c>
    </row>
    <row r="1994" spans="1:8">
      <c r="A1994" s="5" t="str">
        <f ca="1">IFERROR(__xludf.DUMMYFUNCTION("""COMPUTED_VALUE"""),"19861008TXSOD")</f>
        <v>19861008TXSOD</v>
      </c>
      <c r="B1994" s="5">
        <f ca="1">IFERROR(__xludf.DUMMYFUNCTION("""COMPUTED_VALUE"""),19)</f>
        <v>19</v>
      </c>
      <c r="C1994" s="5" t="str">
        <f ca="1">IFERROR(__xludf.DUMMYFUNCTION("""COMPUTED_VALUE"""),"Male")</f>
        <v>Male</v>
      </c>
      <c r="D1994" s="5"/>
      <c r="E1994" s="5" t="str">
        <f ca="1">IFERROR(__xludf.DUMMYFUNCTION("""COMPUTED_VALUE"""),"Student")</f>
        <v>Student</v>
      </c>
      <c r="F1994" s="5" t="str">
        <f ca="1">IFERROR(__xludf.DUMMYFUNCTION("""COMPUTED_VALUE"""),"Fled/Apprehended")</f>
        <v>Fled/Apprehended</v>
      </c>
      <c r="G1994" s="5" t="str">
        <f ca="1">IFERROR(__xludf.DUMMYFUNCTION("""COMPUTED_VALUE"""),"No")</f>
        <v>No</v>
      </c>
      <c r="H1994" s="5" t="str">
        <f ca="1">IFERROR(__xludf.DUMMYFUNCTION("""COMPUTED_VALUE"""),"None")</f>
        <v>None</v>
      </c>
    </row>
    <row r="1995" spans="1:8">
      <c r="A1995" s="5" t="str">
        <f ca="1">IFERROR(__xludf.DUMMYFUNCTION("""COMPUTED_VALUE"""),"19861003CAMOM")</f>
        <v>19861003CAMOM</v>
      </c>
      <c r="B1995" s="5">
        <f ca="1">IFERROR(__xludf.DUMMYFUNCTION("""COMPUTED_VALUE"""),19)</f>
        <v>19</v>
      </c>
      <c r="C1995" s="5" t="str">
        <f ca="1">IFERROR(__xludf.DUMMYFUNCTION("""COMPUTED_VALUE"""),"Male")</f>
        <v>Male</v>
      </c>
      <c r="D1995" s="5"/>
      <c r="E1995" s="5" t="str">
        <f ca="1">IFERROR(__xludf.DUMMYFUNCTION("""COMPUTED_VALUE"""),"Nonstudent Using Athletic Facilities/Attending Game")</f>
        <v>Nonstudent Using Athletic Facilities/Attending Game</v>
      </c>
      <c r="F1995" s="5" t="str">
        <f ca="1">IFERROR(__xludf.DUMMYFUNCTION("""COMPUTED_VALUE"""),"Fled/Apprehended")</f>
        <v>Fled/Apprehended</v>
      </c>
      <c r="G1995" s="5" t="str">
        <f ca="1">IFERROR(__xludf.DUMMYFUNCTION("""COMPUTED_VALUE"""),"No")</f>
        <v>No</v>
      </c>
      <c r="H1995" s="5" t="str">
        <f ca="1">IFERROR(__xludf.DUMMYFUNCTION("""COMPUTED_VALUE"""),"None")</f>
        <v>None</v>
      </c>
    </row>
    <row r="1996" spans="1:8">
      <c r="A1996" s="5" t="str">
        <f ca="1">IFERROR(__xludf.DUMMYFUNCTION("""COMPUTED_VALUE"""),"19861003CAMOM")</f>
        <v>19861003CAMOM</v>
      </c>
      <c r="B1996" s="5">
        <f ca="1">IFERROR(__xludf.DUMMYFUNCTION("""COMPUTED_VALUE"""),18)</f>
        <v>18</v>
      </c>
      <c r="C1996" s="5" t="str">
        <f ca="1">IFERROR(__xludf.DUMMYFUNCTION("""COMPUTED_VALUE"""),"Male")</f>
        <v>Male</v>
      </c>
      <c r="D1996" s="5"/>
      <c r="E1996" s="5" t="str">
        <f ca="1">IFERROR(__xludf.DUMMYFUNCTION("""COMPUTED_VALUE"""),"Nonstudent Using Athletic Facilities/Attending Game")</f>
        <v>Nonstudent Using Athletic Facilities/Attending Game</v>
      </c>
      <c r="F1996" s="5" t="str">
        <f ca="1">IFERROR(__xludf.DUMMYFUNCTION("""COMPUTED_VALUE"""),"Fled/Apprehended")</f>
        <v>Fled/Apprehended</v>
      </c>
      <c r="G1996" s="5" t="str">
        <f ca="1">IFERROR(__xludf.DUMMYFUNCTION("""COMPUTED_VALUE"""),"No")</f>
        <v>No</v>
      </c>
      <c r="H1996" s="5" t="str">
        <f ca="1">IFERROR(__xludf.DUMMYFUNCTION("""COMPUTED_VALUE"""),"None")</f>
        <v>None</v>
      </c>
    </row>
    <row r="1997" spans="1:8">
      <c r="A1997" s="5" t="str">
        <f ca="1">IFERROR(__xludf.DUMMYFUNCTION("""COMPUTED_VALUE"""),"19861003CAMOM")</f>
        <v>19861003CAMOM</v>
      </c>
      <c r="B1997" s="5">
        <f ca="1">IFERROR(__xludf.DUMMYFUNCTION("""COMPUTED_VALUE"""),17)</f>
        <v>17</v>
      </c>
      <c r="C1997" s="5" t="str">
        <f ca="1">IFERROR(__xludf.DUMMYFUNCTION("""COMPUTED_VALUE"""),"Male")</f>
        <v>Male</v>
      </c>
      <c r="D1997" s="5"/>
      <c r="E1997" s="5" t="str">
        <f ca="1">IFERROR(__xludf.DUMMYFUNCTION("""COMPUTED_VALUE"""),"Nonstudent Using Athletic Facilities/Attending Game")</f>
        <v>Nonstudent Using Athletic Facilities/Attending Game</v>
      </c>
      <c r="F1997" s="5" t="str">
        <f ca="1">IFERROR(__xludf.DUMMYFUNCTION("""COMPUTED_VALUE"""),"Fled/Apprehended")</f>
        <v>Fled/Apprehended</v>
      </c>
      <c r="G1997" s="5" t="str">
        <f ca="1">IFERROR(__xludf.DUMMYFUNCTION("""COMPUTED_VALUE"""),"No")</f>
        <v>No</v>
      </c>
      <c r="H1997" s="5" t="str">
        <f ca="1">IFERROR(__xludf.DUMMYFUNCTION("""COMPUTED_VALUE"""),"None")</f>
        <v>None</v>
      </c>
    </row>
    <row r="1998" spans="1:8">
      <c r="A1998" s="5" t="str">
        <f ca="1">IFERROR(__xludf.DUMMYFUNCTION("""COMPUTED_VALUE"""),"19860918CABEB")</f>
        <v>19860918CABEB</v>
      </c>
      <c r="B1998" s="5">
        <f ca="1">IFERROR(__xludf.DUMMYFUNCTION("""COMPUTED_VALUE"""),18)</f>
        <v>18</v>
      </c>
      <c r="C1998" s="5" t="str">
        <f ca="1">IFERROR(__xludf.DUMMYFUNCTION("""COMPUTED_VALUE"""),"Male")</f>
        <v>Male</v>
      </c>
      <c r="D1998" s="5"/>
      <c r="E1998" s="5" t="str">
        <f ca="1">IFERROR(__xludf.DUMMYFUNCTION("""COMPUTED_VALUE"""),"Student")</f>
        <v>Student</v>
      </c>
      <c r="F1998" s="5" t="str">
        <f ca="1">IFERROR(__xludf.DUMMYFUNCTION("""COMPUTED_VALUE"""),"Surrendered")</f>
        <v>Surrendered</v>
      </c>
      <c r="G1998" s="5" t="str">
        <f ca="1">IFERROR(__xludf.DUMMYFUNCTION("""COMPUTED_VALUE"""),"No")</f>
        <v>No</v>
      </c>
      <c r="H1998" s="5" t="str">
        <f ca="1">IFERROR(__xludf.DUMMYFUNCTION("""COMPUTED_VALUE"""),"None")</f>
        <v>None</v>
      </c>
    </row>
    <row r="1999" spans="1:8">
      <c r="A1999" s="5" t="str">
        <f ca="1">IFERROR(__xludf.DUMMYFUNCTION("""COMPUTED_VALUE"""),"19860912CAFAL")</f>
        <v>19860912CAFAL</v>
      </c>
      <c r="B1999" s="5">
        <f ca="1">IFERROR(__xludf.DUMMYFUNCTION("""COMPUTED_VALUE"""),16)</f>
        <v>16</v>
      </c>
      <c r="C1999" s="5" t="str">
        <f ca="1">IFERROR(__xludf.DUMMYFUNCTION("""COMPUTED_VALUE"""),"Male")</f>
        <v>Male</v>
      </c>
      <c r="D1999" s="5"/>
      <c r="E1999" s="5" t="str">
        <f ca="1">IFERROR(__xludf.DUMMYFUNCTION("""COMPUTED_VALUE"""),"Student")</f>
        <v>Student</v>
      </c>
      <c r="F1999" s="5" t="str">
        <f ca="1">IFERROR(__xludf.DUMMYFUNCTION("""COMPUTED_VALUE"""),"Fled/Apprehended")</f>
        <v>Fled/Apprehended</v>
      </c>
      <c r="G1999" s="5" t="str">
        <f ca="1">IFERROR(__xludf.DUMMYFUNCTION("""COMPUTED_VALUE"""),"No")</f>
        <v>No</v>
      </c>
      <c r="H1999" s="5" t="str">
        <f ca="1">IFERROR(__xludf.DUMMYFUNCTION("""COMPUTED_VALUE"""),"None")</f>
        <v>None</v>
      </c>
    </row>
    <row r="2000" spans="1:8">
      <c r="A2000" s="5" t="str">
        <f ca="1">IFERROR(__xludf.DUMMYFUNCTION("""COMPUTED_VALUE"""),"19860517TNMAN")</f>
        <v>19860517TNMAN</v>
      </c>
      <c r="B2000" s="5">
        <f ca="1">IFERROR(__xludf.DUMMYFUNCTION("""COMPUTED_VALUE"""),16)</f>
        <v>16</v>
      </c>
      <c r="C2000" s="5" t="str">
        <f ca="1">IFERROR(__xludf.DUMMYFUNCTION("""COMPUTED_VALUE"""),"Male")</f>
        <v>Male</v>
      </c>
      <c r="D2000" s="5"/>
      <c r="E2000" s="5" t="str">
        <f ca="1">IFERROR(__xludf.DUMMYFUNCTION("""COMPUTED_VALUE"""),"Student")</f>
        <v>Student</v>
      </c>
      <c r="F2000" s="5" t="str">
        <f ca="1">IFERROR(__xludf.DUMMYFUNCTION("""COMPUTED_VALUE"""),"Fled/Apprehended")</f>
        <v>Fled/Apprehended</v>
      </c>
      <c r="G2000" s="5" t="str">
        <f ca="1">IFERROR(__xludf.DUMMYFUNCTION("""COMPUTED_VALUE"""),"No")</f>
        <v>No</v>
      </c>
      <c r="H2000" s="5" t="str">
        <f ca="1">IFERROR(__xludf.DUMMYFUNCTION("""COMPUTED_VALUE"""),"None")</f>
        <v>None</v>
      </c>
    </row>
    <row r="2001" spans="1:8">
      <c r="A2001" s="5" t="str">
        <f ca="1">IFERROR(__xludf.DUMMYFUNCTION("""COMPUTED_VALUE"""),"19860516WYCOC")</f>
        <v>19860516WYCOC</v>
      </c>
      <c r="B2001" s="5">
        <f ca="1">IFERROR(__xludf.DUMMYFUNCTION("""COMPUTED_VALUE"""),43)</f>
        <v>43</v>
      </c>
      <c r="C2001" s="5" t="str">
        <f ca="1">IFERROR(__xludf.DUMMYFUNCTION("""COMPUTED_VALUE"""),"Male")</f>
        <v>Male</v>
      </c>
      <c r="D2001" s="5" t="str">
        <f ca="1">IFERROR(__xludf.DUMMYFUNCTION("""COMPUTED_VALUE"""),"White")</f>
        <v>White</v>
      </c>
      <c r="E2001" s="5" t="str">
        <f ca="1">IFERROR(__xludf.DUMMYFUNCTION("""COMPUTED_VALUE"""),"No Relation")</f>
        <v>No Relation</v>
      </c>
      <c r="F2001" s="5" t="str">
        <f ca="1">IFERROR(__xludf.DUMMYFUNCTION("""COMPUTED_VALUE"""),"Suicide")</f>
        <v>Suicide</v>
      </c>
      <c r="G2001" s="5" t="str">
        <f ca="1">IFERROR(__xludf.DUMMYFUNCTION("""COMPUTED_VALUE"""),"Yes")</f>
        <v>Yes</v>
      </c>
      <c r="H2001" s="5" t="str">
        <f ca="1">IFERROR(__xludf.DUMMYFUNCTION("""COMPUTED_VALUE"""),"Suicide")</f>
        <v>Suicide</v>
      </c>
    </row>
    <row r="2002" spans="1:8">
      <c r="A2002" s="5" t="str">
        <f ca="1">IFERROR(__xludf.DUMMYFUNCTION("""COMPUTED_VALUE"""),"19860516WYCOC")</f>
        <v>19860516WYCOC</v>
      </c>
      <c r="B2002" s="5">
        <f ca="1">IFERROR(__xludf.DUMMYFUNCTION("""COMPUTED_VALUE"""),47)</f>
        <v>47</v>
      </c>
      <c r="C2002" s="5" t="str">
        <f ca="1">IFERROR(__xludf.DUMMYFUNCTION("""COMPUTED_VALUE"""),"Female")</f>
        <v>Female</v>
      </c>
      <c r="D2002" s="5" t="str">
        <f ca="1">IFERROR(__xludf.DUMMYFUNCTION("""COMPUTED_VALUE"""),"White")</f>
        <v>White</v>
      </c>
      <c r="E2002" s="5" t="str">
        <f ca="1">IFERROR(__xludf.DUMMYFUNCTION("""COMPUTED_VALUE"""),"No Relation")</f>
        <v>No Relation</v>
      </c>
      <c r="F2002" s="5" t="str">
        <f ca="1">IFERROR(__xludf.DUMMYFUNCTION("""COMPUTED_VALUE"""),"Apprehended/Killed by LE")</f>
        <v>Apprehended/Killed by LE</v>
      </c>
      <c r="G2002" s="5" t="str">
        <f ca="1">IFERROR(__xludf.DUMMYFUNCTION("""COMPUTED_VALUE"""),"No")</f>
        <v>No</v>
      </c>
      <c r="H2002" s="5" t="str">
        <f ca="1">IFERROR(__xludf.DUMMYFUNCTION("""COMPUTED_VALUE"""),"Wounded")</f>
        <v>Wounded</v>
      </c>
    </row>
    <row r="2003" spans="1:8">
      <c r="A2003" s="5" t="str">
        <f ca="1">IFERROR(__xludf.DUMMYFUNCTION("""COMPUTED_VALUE"""),"19860515GACAA")</f>
        <v>19860515GACAA</v>
      </c>
      <c r="B2003" s="5" t="str">
        <f ca="1">IFERROR(__xludf.DUMMYFUNCTION("""COMPUTED_VALUE"""),"Teen")</f>
        <v>Teen</v>
      </c>
      <c r="C2003" s="5"/>
      <c r="D2003" s="5"/>
      <c r="E2003" s="5" t="str">
        <f ca="1">IFERROR(__xludf.DUMMYFUNCTION("""COMPUTED_VALUE"""),"Student")</f>
        <v>Student</v>
      </c>
      <c r="F2003" s="5" t="str">
        <f ca="1">IFERROR(__xludf.DUMMYFUNCTION("""COMPUTED_VALUE"""),"Surrendered")</f>
        <v>Surrendered</v>
      </c>
      <c r="G2003" s="5" t="str">
        <f ca="1">IFERROR(__xludf.DUMMYFUNCTION("""COMPUTED_VALUE"""),"No")</f>
        <v>No</v>
      </c>
      <c r="H2003" s="5" t="str">
        <f ca="1">IFERROR(__xludf.DUMMYFUNCTION("""COMPUTED_VALUE"""),"None")</f>
        <v>None</v>
      </c>
    </row>
    <row r="2004" spans="1:8">
      <c r="A2004" s="5" t="str">
        <f ca="1">IFERROR(__xludf.DUMMYFUNCTION("""COMPUTED_VALUE"""),"19860509NCPIF")</f>
        <v>19860509NCPIF</v>
      </c>
      <c r="B2004" s="5">
        <f ca="1">IFERROR(__xludf.DUMMYFUNCTION("""COMPUTED_VALUE"""),17)</f>
        <v>17</v>
      </c>
      <c r="C2004" s="5" t="str">
        <f ca="1">IFERROR(__xludf.DUMMYFUNCTION("""COMPUTED_VALUE"""),"Male")</f>
        <v>Male</v>
      </c>
      <c r="D2004" s="5"/>
      <c r="E2004" s="5" t="str">
        <f ca="1">IFERROR(__xludf.DUMMYFUNCTION("""COMPUTED_VALUE"""),"Student")</f>
        <v>Student</v>
      </c>
      <c r="F2004" s="5" t="str">
        <f ca="1">IFERROR(__xludf.DUMMYFUNCTION("""COMPUTED_VALUE"""),"Apprehended/Killed by LE")</f>
        <v>Apprehended/Killed by LE</v>
      </c>
      <c r="G2004" s="5" t="str">
        <f ca="1">IFERROR(__xludf.DUMMYFUNCTION("""COMPUTED_VALUE"""),"No")</f>
        <v>No</v>
      </c>
      <c r="H2004" s="5" t="str">
        <f ca="1">IFERROR(__xludf.DUMMYFUNCTION("""COMPUTED_VALUE"""),"None")</f>
        <v>None</v>
      </c>
    </row>
    <row r="2005" spans="1:8">
      <c r="A2005" s="5" t="str">
        <f ca="1">IFERROR(__xludf.DUMMYFUNCTION("""COMPUTED_VALUE"""),"19860429MOSES")</f>
        <v>19860429MOSES</v>
      </c>
      <c r="B2005" s="5">
        <f ca="1">IFERROR(__xludf.DUMMYFUNCTION("""COMPUTED_VALUE"""),16)</f>
        <v>16</v>
      </c>
      <c r="C2005" s="5" t="str">
        <f ca="1">IFERROR(__xludf.DUMMYFUNCTION("""COMPUTED_VALUE"""),"Male")</f>
        <v>Male</v>
      </c>
      <c r="D2005" s="5"/>
      <c r="E2005" s="5" t="str">
        <f ca="1">IFERROR(__xludf.DUMMYFUNCTION("""COMPUTED_VALUE"""),"Student")</f>
        <v>Student</v>
      </c>
      <c r="F2005" s="5" t="str">
        <f ca="1">IFERROR(__xludf.DUMMYFUNCTION("""COMPUTED_VALUE"""),"Surrendered")</f>
        <v>Surrendered</v>
      </c>
      <c r="G2005" s="5" t="str">
        <f ca="1">IFERROR(__xludf.DUMMYFUNCTION("""COMPUTED_VALUE"""),"No")</f>
        <v>No</v>
      </c>
      <c r="H2005" s="5" t="str">
        <f ca="1">IFERROR(__xludf.DUMMYFUNCTION("""COMPUTED_VALUE"""),"None")</f>
        <v>None</v>
      </c>
    </row>
    <row r="2006" spans="1:8">
      <c r="A2006" s="5" t="str">
        <f ca="1">IFERROR(__xludf.DUMMYFUNCTION("""COMPUTED_VALUE"""),"19860423FLCHM")</f>
        <v>19860423FLCHM</v>
      </c>
      <c r="B2006" s="5">
        <f ca="1">IFERROR(__xludf.DUMMYFUNCTION("""COMPUTED_VALUE"""),17)</f>
        <v>17</v>
      </c>
      <c r="C2006" s="5" t="str">
        <f ca="1">IFERROR(__xludf.DUMMYFUNCTION("""COMPUTED_VALUE"""),"Male")</f>
        <v>Male</v>
      </c>
      <c r="D2006" s="5"/>
      <c r="E2006" s="5" t="str">
        <f ca="1">IFERROR(__xludf.DUMMYFUNCTION("""COMPUTED_VALUE"""),"Student")</f>
        <v>Student</v>
      </c>
      <c r="F2006" s="5" t="str">
        <f ca="1">IFERROR(__xludf.DUMMYFUNCTION("""COMPUTED_VALUE"""),"Surrendered")</f>
        <v>Surrendered</v>
      </c>
      <c r="G2006" s="5" t="str">
        <f ca="1">IFERROR(__xludf.DUMMYFUNCTION("""COMPUTED_VALUE"""),"No")</f>
        <v>No</v>
      </c>
      <c r="H2006" s="5" t="str">
        <f ca="1">IFERROR(__xludf.DUMMYFUNCTION("""COMPUTED_VALUE"""),"None")</f>
        <v>None</v>
      </c>
    </row>
    <row r="2007" spans="1:8">
      <c r="A2007" s="5" t="str">
        <f ca="1">IFERROR(__xludf.DUMMYFUNCTION("""COMPUTED_VALUE"""),"19860306ILTHD")</f>
        <v>19860306ILTHD</v>
      </c>
      <c r="B2007" s="5">
        <f ca="1">IFERROR(__xludf.DUMMYFUNCTION("""COMPUTED_VALUE"""),14)</f>
        <v>14</v>
      </c>
      <c r="C2007" s="5" t="str">
        <f ca="1">IFERROR(__xludf.DUMMYFUNCTION("""COMPUTED_VALUE"""),"Male")</f>
        <v>Male</v>
      </c>
      <c r="D2007" s="5"/>
      <c r="E2007" s="5" t="str">
        <f ca="1">IFERROR(__xludf.DUMMYFUNCTION("""COMPUTED_VALUE"""),"Student")</f>
        <v>Student</v>
      </c>
      <c r="F2007" s="5" t="str">
        <f ca="1">IFERROR(__xludf.DUMMYFUNCTION("""COMPUTED_VALUE"""),"Surrendered")</f>
        <v>Surrendered</v>
      </c>
      <c r="G2007" s="5" t="str">
        <f ca="1">IFERROR(__xludf.DUMMYFUNCTION("""COMPUTED_VALUE"""),"No")</f>
        <v>No</v>
      </c>
      <c r="H2007" s="5" t="str">
        <f ca="1">IFERROR(__xludf.DUMMYFUNCTION("""COMPUTED_VALUE"""),"None")</f>
        <v>None</v>
      </c>
    </row>
    <row r="2008" spans="1:8">
      <c r="A2008" s="5" t="str">
        <f ca="1">IFERROR(__xludf.DUMMYFUNCTION("""COMPUTED_VALUE"""),"19860224LABOS")</f>
        <v>19860224LABOS</v>
      </c>
      <c r="B2008" s="5">
        <f ca="1">IFERROR(__xludf.DUMMYFUNCTION("""COMPUTED_VALUE"""),13)</f>
        <v>13</v>
      </c>
      <c r="C2008" s="5" t="str">
        <f ca="1">IFERROR(__xludf.DUMMYFUNCTION("""COMPUTED_VALUE"""),"Male")</f>
        <v>Male</v>
      </c>
      <c r="D2008" s="5"/>
      <c r="E2008" s="5" t="str">
        <f ca="1">IFERROR(__xludf.DUMMYFUNCTION("""COMPUTED_VALUE"""),"Student")</f>
        <v>Student</v>
      </c>
      <c r="F2008" s="5" t="str">
        <f ca="1">IFERROR(__xludf.DUMMYFUNCTION("""COMPUTED_VALUE"""),"Suicide")</f>
        <v>Suicide</v>
      </c>
      <c r="G2008" s="5" t="str">
        <f ca="1">IFERROR(__xludf.DUMMYFUNCTION("""COMPUTED_VALUE"""),"Yes")</f>
        <v>Yes</v>
      </c>
      <c r="H2008" s="5" t="str">
        <f ca="1">IFERROR(__xludf.DUMMYFUNCTION("""COMPUTED_VALUE"""),"Suicide")</f>
        <v>Suicide</v>
      </c>
    </row>
    <row r="2009" spans="1:8">
      <c r="A2009" s="5" t="str">
        <f ca="1">IFERROR(__xludf.DUMMYFUNCTION("""COMPUTED_VALUE"""),"19860129MDLAB")</f>
        <v>19860129MDLAB</v>
      </c>
      <c r="B2009" s="5">
        <f ca="1">IFERROR(__xludf.DUMMYFUNCTION("""COMPUTED_VALUE"""),14)</f>
        <v>14</v>
      </c>
      <c r="C2009" s="5" t="str">
        <f ca="1">IFERROR(__xludf.DUMMYFUNCTION("""COMPUTED_VALUE"""),"Male")</f>
        <v>Male</v>
      </c>
      <c r="D2009" s="5"/>
      <c r="E2009" s="5" t="str">
        <f ca="1">IFERROR(__xludf.DUMMYFUNCTION("""COMPUTED_VALUE"""),"Student")</f>
        <v>Student</v>
      </c>
      <c r="F2009" s="5" t="str">
        <f ca="1">IFERROR(__xludf.DUMMYFUNCTION("""COMPUTED_VALUE"""),"Fled/Apprehended")</f>
        <v>Fled/Apprehended</v>
      </c>
      <c r="G2009" s="5" t="str">
        <f ca="1">IFERROR(__xludf.DUMMYFUNCTION("""COMPUTED_VALUE"""),"No")</f>
        <v>No</v>
      </c>
      <c r="H2009" s="5" t="str">
        <f ca="1">IFERROR(__xludf.DUMMYFUNCTION("""COMPUTED_VALUE"""),"None")</f>
        <v>None</v>
      </c>
    </row>
    <row r="2010" spans="1:8">
      <c r="A2010" s="5" t="str">
        <f ca="1">IFERROR(__xludf.DUMMYFUNCTION("""COMPUTED_VALUE"""),"19860117CAVAL")</f>
        <v>19860117CAVAL</v>
      </c>
      <c r="B2010" s="5">
        <f ca="1">IFERROR(__xludf.DUMMYFUNCTION("""COMPUTED_VALUE"""),14)</f>
        <v>14</v>
      </c>
      <c r="C2010" s="5" t="str">
        <f ca="1">IFERROR(__xludf.DUMMYFUNCTION("""COMPUTED_VALUE"""),"Male")</f>
        <v>Male</v>
      </c>
      <c r="D2010" s="5"/>
      <c r="E2010" s="5" t="str">
        <f ca="1">IFERROR(__xludf.DUMMYFUNCTION("""COMPUTED_VALUE"""),"Student")</f>
        <v>Student</v>
      </c>
      <c r="F2010" s="5" t="str">
        <f ca="1">IFERROR(__xludf.DUMMYFUNCTION("""COMPUTED_VALUE"""),"Fled/Apprehended")</f>
        <v>Fled/Apprehended</v>
      </c>
      <c r="G2010" s="5" t="str">
        <f ca="1">IFERROR(__xludf.DUMMYFUNCTION("""COMPUTED_VALUE"""),"No")</f>
        <v>No</v>
      </c>
      <c r="H2010" s="5" t="str">
        <f ca="1">IFERROR(__xludf.DUMMYFUNCTION("""COMPUTED_VALUE"""),"None")</f>
        <v>None</v>
      </c>
    </row>
    <row r="2011" spans="1:8">
      <c r="A2011" s="5" t="str">
        <f ca="1">IFERROR(__xludf.DUMMYFUNCTION("""COMPUTED_VALUE"""),"19860109NCNOD")</f>
        <v>19860109NCNOD</v>
      </c>
      <c r="B2011" s="5">
        <f ca="1">IFERROR(__xludf.DUMMYFUNCTION("""COMPUTED_VALUE"""),17)</f>
        <v>17</v>
      </c>
      <c r="C2011" s="5" t="str">
        <f ca="1">IFERROR(__xludf.DUMMYFUNCTION("""COMPUTED_VALUE"""),"Male")</f>
        <v>Male</v>
      </c>
      <c r="D2011" s="5"/>
      <c r="E2011" s="5" t="str">
        <f ca="1">IFERROR(__xludf.DUMMYFUNCTION("""COMPUTED_VALUE"""),"Student")</f>
        <v>Student</v>
      </c>
      <c r="F2011" s="5" t="str">
        <f ca="1">IFERROR(__xludf.DUMMYFUNCTION("""COMPUTED_VALUE"""),"Fled/Apprehended")</f>
        <v>Fled/Apprehended</v>
      </c>
      <c r="G2011" s="5" t="str">
        <f ca="1">IFERROR(__xludf.DUMMYFUNCTION("""COMPUTED_VALUE"""),"No")</f>
        <v>No</v>
      </c>
      <c r="H2011" s="5" t="str">
        <f ca="1">IFERROR(__xludf.DUMMYFUNCTION("""COMPUTED_VALUE"""),"None")</f>
        <v>None</v>
      </c>
    </row>
    <row r="2012" spans="1:8">
      <c r="A2012" s="5" t="str">
        <f ca="1">IFERROR(__xludf.DUMMYFUNCTION("""COMPUTED_VALUE"""),"19851210CTPOP")</f>
        <v>19851210CTPOP</v>
      </c>
      <c r="B2012" s="5">
        <f ca="1">IFERROR(__xludf.DUMMYFUNCTION("""COMPUTED_VALUE"""),13)</f>
        <v>13</v>
      </c>
      <c r="C2012" s="5" t="str">
        <f ca="1">IFERROR(__xludf.DUMMYFUNCTION("""COMPUTED_VALUE"""),"Male")</f>
        <v>Male</v>
      </c>
      <c r="D2012" s="5"/>
      <c r="E2012" s="5" t="str">
        <f ca="1">IFERROR(__xludf.DUMMYFUNCTION("""COMPUTED_VALUE"""),"Student")</f>
        <v>Student</v>
      </c>
      <c r="F2012" s="5" t="str">
        <f ca="1">IFERROR(__xludf.DUMMYFUNCTION("""COMPUTED_VALUE"""),"Surrendered")</f>
        <v>Surrendered</v>
      </c>
      <c r="G2012" s="5" t="str">
        <f ca="1">IFERROR(__xludf.DUMMYFUNCTION("""COMPUTED_VALUE"""),"No")</f>
        <v>No</v>
      </c>
      <c r="H2012" s="5" t="str">
        <f ca="1">IFERROR(__xludf.DUMMYFUNCTION("""COMPUTED_VALUE"""),"None")</f>
        <v>None</v>
      </c>
    </row>
    <row r="2013" spans="1:8">
      <c r="A2013" s="5" t="str">
        <f ca="1">IFERROR(__xludf.DUMMYFUNCTION("""COMPUTED_VALUE"""),"19851209PAARP")</f>
        <v>19851209PAARP</v>
      </c>
      <c r="B2013" s="5">
        <f ca="1">IFERROR(__xludf.DUMMYFUNCTION("""COMPUTED_VALUE"""),22)</f>
        <v>22</v>
      </c>
      <c r="C2013" s="5" t="str">
        <f ca="1">IFERROR(__xludf.DUMMYFUNCTION("""COMPUTED_VALUE"""),"Male")</f>
        <v>Male</v>
      </c>
      <c r="D2013" s="5"/>
      <c r="E2013" s="5" t="str">
        <f ca="1">IFERROR(__xludf.DUMMYFUNCTION("""COMPUTED_VALUE"""),"No Relation")</f>
        <v>No Relation</v>
      </c>
      <c r="F2013" s="5" t="str">
        <f ca="1">IFERROR(__xludf.DUMMYFUNCTION("""COMPUTED_VALUE"""),"Subdued by Students/Staff/Other")</f>
        <v>Subdued by Students/Staff/Other</v>
      </c>
      <c r="G2013" s="5" t="str">
        <f ca="1">IFERROR(__xludf.DUMMYFUNCTION("""COMPUTED_VALUE"""),"No")</f>
        <v>No</v>
      </c>
      <c r="H2013" s="5" t="str">
        <f ca="1">IFERROR(__xludf.DUMMYFUNCTION("""COMPUTED_VALUE"""),"None")</f>
        <v>None</v>
      </c>
    </row>
    <row r="2014" spans="1:8">
      <c r="A2014" s="5" t="str">
        <f ca="1">IFERROR(__xludf.DUMMYFUNCTION("""COMPUTED_VALUE"""),"19851203NHCOC")</f>
        <v>19851203NHCOC</v>
      </c>
      <c r="B2014" s="5">
        <f ca="1">IFERROR(__xludf.DUMMYFUNCTION("""COMPUTED_VALUE"""),16)</f>
        <v>16</v>
      </c>
      <c r="C2014" s="5" t="str">
        <f ca="1">IFERROR(__xludf.DUMMYFUNCTION("""COMPUTED_VALUE"""),"Male")</f>
        <v>Male</v>
      </c>
      <c r="D2014" s="5" t="str">
        <f ca="1">IFERROR(__xludf.DUMMYFUNCTION("""COMPUTED_VALUE"""),"White")</f>
        <v>White</v>
      </c>
      <c r="E2014" s="5" t="str">
        <f ca="1">IFERROR(__xludf.DUMMYFUNCTION("""COMPUTED_VALUE"""),"Former Student")</f>
        <v>Former Student</v>
      </c>
      <c r="F2014" s="5" t="str">
        <f ca="1">IFERROR(__xludf.DUMMYFUNCTION("""COMPUTED_VALUE"""),"Apprehended/Killed by LE")</f>
        <v>Apprehended/Killed by LE</v>
      </c>
      <c r="G2014" s="5" t="str">
        <f ca="1">IFERROR(__xludf.DUMMYFUNCTION("""COMPUTED_VALUE"""),"Yes")</f>
        <v>Yes</v>
      </c>
      <c r="H2014" s="5" t="str">
        <f ca="1">IFERROR(__xludf.DUMMYFUNCTION("""COMPUTED_VALUE"""),"Fatal")</f>
        <v>Fatal</v>
      </c>
    </row>
    <row r="2015" spans="1:8">
      <c r="A2015" s="5" t="str">
        <f ca="1">IFERROR(__xludf.DUMMYFUNCTION("""COMPUTED_VALUE"""),"19851127ALCHB")</f>
        <v>19851127ALCHB</v>
      </c>
      <c r="B2015" s="5">
        <f ca="1">IFERROR(__xludf.DUMMYFUNCTION("""COMPUTED_VALUE"""),16)</f>
        <v>16</v>
      </c>
      <c r="C2015" s="5" t="str">
        <f ca="1">IFERROR(__xludf.DUMMYFUNCTION("""COMPUTED_VALUE"""),"Male")</f>
        <v>Male</v>
      </c>
      <c r="D2015" s="5"/>
      <c r="E2015" s="5" t="str">
        <f ca="1">IFERROR(__xludf.DUMMYFUNCTION("""COMPUTED_VALUE"""),"Student")</f>
        <v>Student</v>
      </c>
      <c r="F2015" s="5" t="str">
        <f ca="1">IFERROR(__xludf.DUMMYFUNCTION("""COMPUTED_VALUE"""),"Suicide")</f>
        <v>Suicide</v>
      </c>
      <c r="G2015" s="5" t="str">
        <f ca="1">IFERROR(__xludf.DUMMYFUNCTION("""COMPUTED_VALUE"""),"Yes")</f>
        <v>Yes</v>
      </c>
      <c r="H2015" s="5" t="str">
        <f ca="1">IFERROR(__xludf.DUMMYFUNCTION("""COMPUTED_VALUE"""),"Suicide")</f>
        <v>Suicide</v>
      </c>
    </row>
    <row r="2016" spans="1:8">
      <c r="A2016" s="5" t="str">
        <f ca="1">IFERROR(__xludf.DUMMYFUNCTION("""COMPUTED_VALUE"""),"19851126WASPS")</f>
        <v>19851126WASPS</v>
      </c>
      <c r="B2016" s="5">
        <f ca="1">IFERROR(__xludf.DUMMYFUNCTION("""COMPUTED_VALUE"""),14)</f>
        <v>14</v>
      </c>
      <c r="C2016" s="5" t="str">
        <f ca="1">IFERROR(__xludf.DUMMYFUNCTION("""COMPUTED_VALUE"""),"Female")</f>
        <v>Female</v>
      </c>
      <c r="D2016" s="5"/>
      <c r="E2016" s="5" t="str">
        <f ca="1">IFERROR(__xludf.DUMMYFUNCTION("""COMPUTED_VALUE"""),"Student")</f>
        <v>Student</v>
      </c>
      <c r="F2016" s="5" t="str">
        <f ca="1">IFERROR(__xludf.DUMMYFUNCTION("""COMPUTED_VALUE"""),"Suicide")</f>
        <v>Suicide</v>
      </c>
      <c r="G2016" s="5" t="str">
        <f ca="1">IFERROR(__xludf.DUMMYFUNCTION("""COMPUTED_VALUE"""),"Yes")</f>
        <v>Yes</v>
      </c>
      <c r="H2016" s="5" t="str">
        <f ca="1">IFERROR(__xludf.DUMMYFUNCTION("""COMPUTED_VALUE"""),"Suicide")</f>
        <v>Suicide</v>
      </c>
    </row>
    <row r="2017" spans="1:8">
      <c r="A2017" s="5" t="str">
        <f ca="1">IFERROR(__xludf.DUMMYFUNCTION("""COMPUTED_VALUE"""),"19851022OHSOG")</f>
        <v>19851022OHSOG</v>
      </c>
      <c r="B2017" s="5" t="str">
        <f ca="1">IFERROR(__xludf.DUMMYFUNCTION("""COMPUTED_VALUE"""),"Adult")</f>
        <v>Adult</v>
      </c>
      <c r="C2017" s="5"/>
      <c r="D2017" s="5"/>
      <c r="E2017" s="5" t="str">
        <f ca="1">IFERROR(__xludf.DUMMYFUNCTION("""COMPUTED_VALUE"""),"Police Officer/SRO")</f>
        <v>Police Officer/SRO</v>
      </c>
      <c r="F2017" s="5" t="str">
        <f ca="1">IFERROR(__xludf.DUMMYFUNCTION("""COMPUTED_VALUE"""),"Law Enforcement")</f>
        <v>Law Enforcement</v>
      </c>
      <c r="G2017" s="5" t="str">
        <f ca="1">IFERROR(__xludf.DUMMYFUNCTION("""COMPUTED_VALUE"""),"No")</f>
        <v>No</v>
      </c>
      <c r="H2017" s="5" t="str">
        <f ca="1">IFERROR(__xludf.DUMMYFUNCTION("""COMPUTED_VALUE"""),"None")</f>
        <v>None</v>
      </c>
    </row>
    <row r="2018" spans="1:8">
      <c r="A2018" s="5" t="str">
        <f ca="1">IFERROR(__xludf.DUMMYFUNCTION("""COMPUTED_VALUE"""),"19851018MIMUD")</f>
        <v>19851018MIMUD</v>
      </c>
      <c r="B2018" s="5"/>
      <c r="C2018" s="5"/>
      <c r="D2018" s="5"/>
      <c r="E2018" s="5" t="str">
        <f ca="1">IFERROR(__xludf.DUMMYFUNCTION("""COMPUTED_VALUE"""),"Unknown")</f>
        <v>Unknown</v>
      </c>
      <c r="F2018" s="5" t="str">
        <f ca="1">IFERROR(__xludf.DUMMYFUNCTION("""COMPUTED_VALUE"""),"Fled/Escaped")</f>
        <v>Fled/Escaped</v>
      </c>
      <c r="G2018" s="5" t="str">
        <f ca="1">IFERROR(__xludf.DUMMYFUNCTION("""COMPUTED_VALUE"""),"No")</f>
        <v>No</v>
      </c>
      <c r="H2018" s="5" t="str">
        <f ca="1">IFERROR(__xludf.DUMMYFUNCTION("""COMPUTED_VALUE"""),"None")</f>
        <v>None</v>
      </c>
    </row>
    <row r="2019" spans="1:8">
      <c r="A2019" s="5" t="str">
        <f ca="1">IFERROR(__xludf.DUMMYFUNCTION("""COMPUTED_VALUE"""),"19851008MDLAB")</f>
        <v>19851008MDLAB</v>
      </c>
      <c r="B2019" s="5">
        <f ca="1">IFERROR(__xludf.DUMMYFUNCTION("""COMPUTED_VALUE"""),18)</f>
        <v>18</v>
      </c>
      <c r="C2019" s="5" t="str">
        <f ca="1">IFERROR(__xludf.DUMMYFUNCTION("""COMPUTED_VALUE"""),"Male")</f>
        <v>Male</v>
      </c>
      <c r="D2019" s="5"/>
      <c r="E2019" s="5" t="str">
        <f ca="1">IFERROR(__xludf.DUMMYFUNCTION("""COMPUTED_VALUE"""),"Student")</f>
        <v>Student</v>
      </c>
      <c r="F2019" s="5" t="str">
        <f ca="1">IFERROR(__xludf.DUMMYFUNCTION("""COMPUTED_VALUE"""),"Fled/Apprehended")</f>
        <v>Fled/Apprehended</v>
      </c>
      <c r="G2019" s="5" t="str">
        <f ca="1">IFERROR(__xludf.DUMMYFUNCTION("""COMPUTED_VALUE"""),"No")</f>
        <v>No</v>
      </c>
      <c r="H2019" s="5" t="str">
        <f ca="1">IFERROR(__xludf.DUMMYFUNCTION("""COMPUTED_VALUE"""),"None")</f>
        <v>None</v>
      </c>
    </row>
    <row r="2020" spans="1:8">
      <c r="A2020" s="5" t="str">
        <f ca="1">IFERROR(__xludf.DUMMYFUNCTION("""COMPUTED_VALUE"""),"19851008MDLAB")</f>
        <v>19851008MDLAB</v>
      </c>
      <c r="B2020" s="5">
        <f ca="1">IFERROR(__xludf.DUMMYFUNCTION("""COMPUTED_VALUE"""),22)</f>
        <v>22</v>
      </c>
      <c r="C2020" s="5" t="str">
        <f ca="1">IFERROR(__xludf.DUMMYFUNCTION("""COMPUTED_VALUE"""),"Male")</f>
        <v>Male</v>
      </c>
      <c r="D2020" s="5"/>
      <c r="E2020" s="5" t="str">
        <f ca="1">IFERROR(__xludf.DUMMYFUNCTION("""COMPUTED_VALUE"""),"Relative")</f>
        <v>Relative</v>
      </c>
      <c r="F2020" s="5" t="str">
        <f ca="1">IFERROR(__xludf.DUMMYFUNCTION("""COMPUTED_VALUE"""),"Fled/Apprehended")</f>
        <v>Fled/Apprehended</v>
      </c>
      <c r="G2020" s="5" t="str">
        <f ca="1">IFERROR(__xludf.DUMMYFUNCTION("""COMPUTED_VALUE"""),"No")</f>
        <v>No</v>
      </c>
      <c r="H2020" s="5" t="str">
        <f ca="1">IFERROR(__xludf.DUMMYFUNCTION("""COMPUTED_VALUE"""),"None")</f>
        <v>None</v>
      </c>
    </row>
    <row r="2021" spans="1:8">
      <c r="A2021" s="5" t="str">
        <f ca="1">IFERROR(__xludf.DUMMYFUNCTION("""COMPUTED_VALUE"""),"19851008MDLAB")</f>
        <v>19851008MDLAB</v>
      </c>
      <c r="B2021" s="5">
        <f ca="1">IFERROR(__xludf.DUMMYFUNCTION("""COMPUTED_VALUE"""),19)</f>
        <v>19</v>
      </c>
      <c r="C2021" s="5" t="str">
        <f ca="1">IFERROR(__xludf.DUMMYFUNCTION("""COMPUTED_VALUE"""),"Male")</f>
        <v>Male</v>
      </c>
      <c r="D2021" s="5"/>
      <c r="E2021" s="5" t="str">
        <f ca="1">IFERROR(__xludf.DUMMYFUNCTION("""COMPUTED_VALUE"""),"Former Student")</f>
        <v>Former Student</v>
      </c>
      <c r="F2021" s="5" t="str">
        <f ca="1">IFERROR(__xludf.DUMMYFUNCTION("""COMPUTED_VALUE"""),"Fled/Apprehended")</f>
        <v>Fled/Apprehended</v>
      </c>
      <c r="G2021" s="5" t="str">
        <f ca="1">IFERROR(__xludf.DUMMYFUNCTION("""COMPUTED_VALUE"""),"No")</f>
        <v>No</v>
      </c>
      <c r="H2021" s="5" t="str">
        <f ca="1">IFERROR(__xludf.DUMMYFUNCTION("""COMPUTED_VALUE"""),"None")</f>
        <v>None</v>
      </c>
    </row>
    <row r="2022" spans="1:8">
      <c r="A2022" s="5" t="str">
        <f ca="1">IFERROR(__xludf.DUMMYFUNCTION("""COMPUTED_VALUE"""),"19850925OHTRT")</f>
        <v>19850925OHTRT</v>
      </c>
      <c r="B2022" s="5">
        <f ca="1">IFERROR(__xludf.DUMMYFUNCTION("""COMPUTED_VALUE"""),16)</f>
        <v>16</v>
      </c>
      <c r="C2022" s="5" t="str">
        <f ca="1">IFERROR(__xludf.DUMMYFUNCTION("""COMPUTED_VALUE"""),"Male")</f>
        <v>Male</v>
      </c>
      <c r="D2022" s="5"/>
      <c r="E2022" s="5" t="str">
        <f ca="1">IFERROR(__xludf.DUMMYFUNCTION("""COMPUTED_VALUE"""),"Student")</f>
        <v>Student</v>
      </c>
      <c r="F2022" s="5" t="str">
        <f ca="1">IFERROR(__xludf.DUMMYFUNCTION("""COMPUTED_VALUE"""),"Fled/Apprehended")</f>
        <v>Fled/Apprehended</v>
      </c>
      <c r="G2022" s="5" t="str">
        <f ca="1">IFERROR(__xludf.DUMMYFUNCTION("""COMPUTED_VALUE"""),"No")</f>
        <v>No</v>
      </c>
      <c r="H2022" s="5" t="str">
        <f ca="1">IFERROR(__xludf.DUMMYFUNCTION("""COMPUTED_VALUE"""),"None")</f>
        <v>None</v>
      </c>
    </row>
    <row r="2023" spans="1:8">
      <c r="A2023" s="5" t="str">
        <f ca="1">IFERROR(__xludf.DUMMYFUNCTION("""COMPUTED_VALUE"""),"19850920TXLAC")</f>
        <v>19850920TXLAC</v>
      </c>
      <c r="B2023" s="5">
        <f ca="1">IFERROR(__xludf.DUMMYFUNCTION("""COMPUTED_VALUE"""),16)</f>
        <v>16</v>
      </c>
      <c r="C2023" s="5" t="str">
        <f ca="1">IFERROR(__xludf.DUMMYFUNCTION("""COMPUTED_VALUE"""),"Male")</f>
        <v>Male</v>
      </c>
      <c r="D2023" s="5"/>
      <c r="E2023" s="5" t="str">
        <f ca="1">IFERROR(__xludf.DUMMYFUNCTION("""COMPUTED_VALUE"""),"Student")</f>
        <v>Student</v>
      </c>
      <c r="F2023" s="5" t="str">
        <f ca="1">IFERROR(__xludf.DUMMYFUNCTION("""COMPUTED_VALUE"""),"Unknown")</f>
        <v>Unknown</v>
      </c>
      <c r="G2023" s="5" t="str">
        <f ca="1">IFERROR(__xludf.DUMMYFUNCTION("""COMPUTED_VALUE"""),"No")</f>
        <v>No</v>
      </c>
      <c r="H2023" s="5" t="str">
        <f ca="1">IFERROR(__xludf.DUMMYFUNCTION("""COMPUTED_VALUE"""),"None")</f>
        <v>None</v>
      </c>
    </row>
    <row r="2024" spans="1:8">
      <c r="A2024" s="5" t="str">
        <f ca="1">IFERROR(__xludf.DUMMYFUNCTION("""COMPUTED_VALUE"""),"19850909TXWHH")</f>
        <v>19850909TXWHH</v>
      </c>
      <c r="B2024" s="5">
        <f ca="1">IFERROR(__xludf.DUMMYFUNCTION("""COMPUTED_VALUE"""),18)</f>
        <v>18</v>
      </c>
      <c r="C2024" s="5" t="str">
        <f ca="1">IFERROR(__xludf.DUMMYFUNCTION("""COMPUTED_VALUE"""),"Male")</f>
        <v>Male</v>
      </c>
      <c r="D2024" s="5"/>
      <c r="E2024" s="5" t="str">
        <f ca="1">IFERROR(__xludf.DUMMYFUNCTION("""COMPUTED_VALUE"""),"No Relation")</f>
        <v>No Relation</v>
      </c>
      <c r="F2024" s="5" t="str">
        <f ca="1">IFERROR(__xludf.DUMMYFUNCTION("""COMPUTED_VALUE"""),"Fled/Apprehended")</f>
        <v>Fled/Apprehended</v>
      </c>
      <c r="G2024" s="5" t="str">
        <f ca="1">IFERROR(__xludf.DUMMYFUNCTION("""COMPUTED_VALUE"""),"No")</f>
        <v>No</v>
      </c>
      <c r="H2024" s="5" t="str">
        <f ca="1">IFERROR(__xludf.DUMMYFUNCTION("""COMPUTED_VALUE"""),"None")</f>
        <v>None</v>
      </c>
    </row>
    <row r="2025" spans="1:8">
      <c r="A2025" s="5" t="str">
        <f ca="1">IFERROR(__xludf.DUMMYFUNCTION("""COMPUTED_VALUE"""),"19850904VAEAR")</f>
        <v>19850904VAEAR</v>
      </c>
      <c r="B2025" s="5">
        <f ca="1">IFERROR(__xludf.DUMMYFUNCTION("""COMPUTED_VALUE"""),12)</f>
        <v>12</v>
      </c>
      <c r="C2025" s="5" t="str">
        <f ca="1">IFERROR(__xludf.DUMMYFUNCTION("""COMPUTED_VALUE"""),"Male")</f>
        <v>Male</v>
      </c>
      <c r="D2025" s="5"/>
      <c r="E2025" s="5" t="str">
        <f ca="1">IFERROR(__xludf.DUMMYFUNCTION("""COMPUTED_VALUE"""),"Student")</f>
        <v>Student</v>
      </c>
      <c r="F2025" s="5" t="str">
        <f ca="1">IFERROR(__xludf.DUMMYFUNCTION("""COMPUTED_VALUE"""),"Fled/Apprehended")</f>
        <v>Fled/Apprehended</v>
      </c>
      <c r="G2025" s="5" t="str">
        <f ca="1">IFERROR(__xludf.DUMMYFUNCTION("""COMPUTED_VALUE"""),"No")</f>
        <v>No</v>
      </c>
      <c r="H2025" s="5" t="str">
        <f ca="1">IFERROR(__xludf.DUMMYFUNCTION("""COMPUTED_VALUE"""),"None")</f>
        <v>None</v>
      </c>
    </row>
    <row r="2026" spans="1:8">
      <c r="A2026" s="5" t="str">
        <f ca="1">IFERROR(__xludf.DUMMYFUNCTION("""COMPUTED_VALUE"""),"19850724TXHIH")</f>
        <v>19850724TXHIH</v>
      </c>
      <c r="B2026" s="5">
        <f ca="1">IFERROR(__xludf.DUMMYFUNCTION("""COMPUTED_VALUE"""),65)</f>
        <v>65</v>
      </c>
      <c r="C2026" s="5" t="str">
        <f ca="1">IFERROR(__xludf.DUMMYFUNCTION("""COMPUTED_VALUE"""),"Female")</f>
        <v>Female</v>
      </c>
      <c r="D2026" s="5"/>
      <c r="E2026" s="5" t="str">
        <f ca="1">IFERROR(__xludf.DUMMYFUNCTION("""COMPUTED_VALUE"""),"No Relation")</f>
        <v>No Relation</v>
      </c>
      <c r="F2026" s="5" t="str">
        <f ca="1">IFERROR(__xludf.DUMMYFUNCTION("""COMPUTED_VALUE"""),"Surrendered")</f>
        <v>Surrendered</v>
      </c>
      <c r="G2026" s="5" t="str">
        <f ca="1">IFERROR(__xludf.DUMMYFUNCTION("""COMPUTED_VALUE"""),"No")</f>
        <v>No</v>
      </c>
      <c r="H2026" s="5" t="str">
        <f ca="1">IFERROR(__xludf.DUMMYFUNCTION("""COMPUTED_VALUE"""),"None")</f>
        <v>None</v>
      </c>
    </row>
    <row r="2027" spans="1:8">
      <c r="A2027" s="5" t="str">
        <f ca="1">IFERROR(__xludf.DUMMYFUNCTION("""COMPUTED_VALUE"""),"19850516FLPAB")</f>
        <v>19850516FLPAB</v>
      </c>
      <c r="B2027" s="5">
        <f ca="1">IFERROR(__xludf.DUMMYFUNCTION("""COMPUTED_VALUE"""),15)</f>
        <v>15</v>
      </c>
      <c r="C2027" s="5" t="str">
        <f ca="1">IFERROR(__xludf.DUMMYFUNCTION("""COMPUTED_VALUE"""),"Female")</f>
        <v>Female</v>
      </c>
      <c r="D2027" s="5"/>
      <c r="E2027" s="5" t="str">
        <f ca="1">IFERROR(__xludf.DUMMYFUNCTION("""COMPUTED_VALUE"""),"Student")</f>
        <v>Student</v>
      </c>
      <c r="F2027" s="5" t="str">
        <f ca="1">IFERROR(__xludf.DUMMYFUNCTION("""COMPUTED_VALUE"""),"Attempted Suicide")</f>
        <v>Attempted Suicide</v>
      </c>
      <c r="G2027" s="5" t="str">
        <f ca="1">IFERROR(__xludf.DUMMYFUNCTION("""COMPUTED_VALUE"""),"No")</f>
        <v>No</v>
      </c>
      <c r="H2027" s="5" t="str">
        <f ca="1">IFERROR(__xludf.DUMMYFUNCTION("""COMPUTED_VALUE"""),"Wounded")</f>
        <v>Wounded</v>
      </c>
    </row>
    <row r="2028" spans="1:8">
      <c r="A2028" s="5" t="str">
        <f ca="1">IFERROR(__xludf.DUMMYFUNCTION("""COMPUTED_VALUE"""),"19850418TNSOS")</f>
        <v>19850418TNSOS</v>
      </c>
      <c r="B2028" s="5">
        <f ca="1">IFERROR(__xludf.DUMMYFUNCTION("""COMPUTED_VALUE"""),18)</f>
        <v>18</v>
      </c>
      <c r="C2028" s="5" t="str">
        <f ca="1">IFERROR(__xludf.DUMMYFUNCTION("""COMPUTED_VALUE"""),"Male")</f>
        <v>Male</v>
      </c>
      <c r="D2028" s="5"/>
      <c r="E2028" s="5" t="str">
        <f ca="1">IFERROR(__xludf.DUMMYFUNCTION("""COMPUTED_VALUE"""),"Student")</f>
        <v>Student</v>
      </c>
      <c r="F2028" s="5" t="str">
        <f ca="1">IFERROR(__xludf.DUMMYFUNCTION("""COMPUTED_VALUE"""),"Apprehended/Killed by LE")</f>
        <v>Apprehended/Killed by LE</v>
      </c>
      <c r="G2028" s="5" t="str">
        <f ca="1">IFERROR(__xludf.DUMMYFUNCTION("""COMPUTED_VALUE"""),"No")</f>
        <v>No</v>
      </c>
      <c r="H2028" s="5" t="str">
        <f ca="1">IFERROR(__xludf.DUMMYFUNCTION("""COMPUTED_VALUE"""),"None")</f>
        <v>None</v>
      </c>
    </row>
    <row r="2029" spans="1:8">
      <c r="A2029" s="5" t="str">
        <f ca="1">IFERROR(__xludf.DUMMYFUNCTION("""COMPUTED_VALUE"""),"19850416TXMAA")</f>
        <v>19850416TXMAA</v>
      </c>
      <c r="B2029" s="5">
        <f ca="1">IFERROR(__xludf.DUMMYFUNCTION("""COMPUTED_VALUE"""),31)</f>
        <v>31</v>
      </c>
      <c r="C2029" s="5" t="str">
        <f ca="1">IFERROR(__xludf.DUMMYFUNCTION("""COMPUTED_VALUE"""),"Male")</f>
        <v>Male</v>
      </c>
      <c r="D2029" s="5"/>
      <c r="E2029" s="5" t="str">
        <f ca="1">IFERROR(__xludf.DUMMYFUNCTION("""COMPUTED_VALUE"""),"Police Officer/SRO")</f>
        <v>Police Officer/SRO</v>
      </c>
      <c r="F2029" s="5" t="str">
        <f ca="1">IFERROR(__xludf.DUMMYFUNCTION("""COMPUTED_VALUE"""),"Surrendered")</f>
        <v>Surrendered</v>
      </c>
      <c r="G2029" s="5" t="str">
        <f ca="1">IFERROR(__xludf.DUMMYFUNCTION("""COMPUTED_VALUE"""),"No")</f>
        <v>No</v>
      </c>
      <c r="H2029" s="5" t="str">
        <f ca="1">IFERROR(__xludf.DUMMYFUNCTION("""COMPUTED_VALUE"""),"None")</f>
        <v>None</v>
      </c>
    </row>
    <row r="2030" spans="1:8">
      <c r="A2030" s="5" t="str">
        <f ca="1">IFERROR(__xludf.DUMMYFUNCTION("""COMPUTED_VALUE"""),"19850205CTAIH")</f>
        <v>19850205CTAIH</v>
      </c>
      <c r="B2030" s="5">
        <f ca="1">IFERROR(__xludf.DUMMYFUNCTION("""COMPUTED_VALUE"""),18)</f>
        <v>18</v>
      </c>
      <c r="C2030" s="5" t="str">
        <f ca="1">IFERROR(__xludf.DUMMYFUNCTION("""COMPUTED_VALUE"""),"Male")</f>
        <v>Male</v>
      </c>
      <c r="D2030" s="5"/>
      <c r="E2030" s="5" t="str">
        <f ca="1">IFERROR(__xludf.DUMMYFUNCTION("""COMPUTED_VALUE"""),"Intimate Relationship")</f>
        <v>Intimate Relationship</v>
      </c>
      <c r="F2030" s="5" t="str">
        <f ca="1">IFERROR(__xludf.DUMMYFUNCTION("""COMPUTED_VALUE"""),"Fled/Escaped")</f>
        <v>Fled/Escaped</v>
      </c>
      <c r="G2030" s="5" t="str">
        <f ca="1">IFERROR(__xludf.DUMMYFUNCTION("""COMPUTED_VALUE"""),"No")</f>
        <v>No</v>
      </c>
      <c r="H2030" s="5" t="str">
        <f ca="1">IFERROR(__xludf.DUMMYFUNCTION("""COMPUTED_VALUE"""),"None")</f>
        <v>None</v>
      </c>
    </row>
    <row r="2031" spans="1:8">
      <c r="A2031" s="5" t="str">
        <f ca="1">IFERROR(__xludf.DUMMYFUNCTION("""COMPUTED_VALUE"""),"19850126MASTB")</f>
        <v>19850126MASTB</v>
      </c>
      <c r="B2031" s="5">
        <f ca="1">IFERROR(__xludf.DUMMYFUNCTION("""COMPUTED_VALUE"""),16)</f>
        <v>16</v>
      </c>
      <c r="C2031" s="5" t="str">
        <f ca="1">IFERROR(__xludf.DUMMYFUNCTION("""COMPUTED_VALUE"""),"Male")</f>
        <v>Male</v>
      </c>
      <c r="D2031" s="5"/>
      <c r="E2031" s="5" t="str">
        <f ca="1">IFERROR(__xludf.DUMMYFUNCTION("""COMPUTED_VALUE"""),"Student")</f>
        <v>Student</v>
      </c>
      <c r="F2031" s="5" t="str">
        <f ca="1">IFERROR(__xludf.DUMMYFUNCTION("""COMPUTED_VALUE"""),"Fled/Apprehended")</f>
        <v>Fled/Apprehended</v>
      </c>
      <c r="G2031" s="5" t="str">
        <f ca="1">IFERROR(__xludf.DUMMYFUNCTION("""COMPUTED_VALUE"""),"No")</f>
        <v>No</v>
      </c>
      <c r="H2031" s="5" t="str">
        <f ca="1">IFERROR(__xludf.DUMMYFUNCTION("""COMPUTED_VALUE"""),"None")</f>
        <v>None</v>
      </c>
    </row>
    <row r="2032" spans="1:8">
      <c r="A2032" s="5" t="str">
        <f ca="1">IFERROR(__xludf.DUMMYFUNCTION("""COMPUTED_VALUE"""),"19850121KSGOG")</f>
        <v>19850121KSGOG</v>
      </c>
      <c r="B2032" s="5">
        <f ca="1">IFERROR(__xludf.DUMMYFUNCTION("""COMPUTED_VALUE"""),14)</f>
        <v>14</v>
      </c>
      <c r="C2032" s="5" t="str">
        <f ca="1">IFERROR(__xludf.DUMMYFUNCTION("""COMPUTED_VALUE"""),"Male")</f>
        <v>Male</v>
      </c>
      <c r="D2032" s="5" t="str">
        <f ca="1">IFERROR(__xludf.DUMMYFUNCTION("""COMPUTED_VALUE"""),"White")</f>
        <v>White</v>
      </c>
      <c r="E2032" s="5" t="str">
        <f ca="1">IFERROR(__xludf.DUMMYFUNCTION("""COMPUTED_VALUE"""),"Student")</f>
        <v>Student</v>
      </c>
      <c r="F2032" s="5" t="str">
        <f ca="1">IFERROR(__xludf.DUMMYFUNCTION("""COMPUTED_VALUE"""),"Fled/Apprehended")</f>
        <v>Fled/Apprehended</v>
      </c>
      <c r="G2032" s="5" t="str">
        <f ca="1">IFERROR(__xludf.DUMMYFUNCTION("""COMPUTED_VALUE"""),"No")</f>
        <v>No</v>
      </c>
      <c r="H2032" s="5" t="str">
        <f ca="1">IFERROR(__xludf.DUMMYFUNCTION("""COMPUTED_VALUE"""),"None")</f>
        <v>None</v>
      </c>
    </row>
    <row r="2033" spans="1:8">
      <c r="A2033" s="5" t="str">
        <f ca="1">IFERROR(__xludf.DUMMYFUNCTION("""COMPUTED_VALUE"""),"19850118TXARA")</f>
        <v>19850118TXARA</v>
      </c>
      <c r="B2033" s="5">
        <f ca="1">IFERROR(__xludf.DUMMYFUNCTION("""COMPUTED_VALUE"""),17)</f>
        <v>17</v>
      </c>
      <c r="C2033" s="5" t="str">
        <f ca="1">IFERROR(__xludf.DUMMYFUNCTION("""COMPUTED_VALUE"""),"Male")</f>
        <v>Male</v>
      </c>
      <c r="D2033" s="5" t="str">
        <f ca="1">IFERROR(__xludf.DUMMYFUNCTION("""COMPUTED_VALUE"""),"White")</f>
        <v>White</v>
      </c>
      <c r="E2033" s="5" t="str">
        <f ca="1">IFERROR(__xludf.DUMMYFUNCTION("""COMPUTED_VALUE"""),"Student")</f>
        <v>Student</v>
      </c>
      <c r="F2033" s="5" t="str">
        <f ca="1">IFERROR(__xludf.DUMMYFUNCTION("""COMPUTED_VALUE"""),"Suicide")</f>
        <v>Suicide</v>
      </c>
      <c r="G2033" s="5" t="str">
        <f ca="1">IFERROR(__xludf.DUMMYFUNCTION("""COMPUTED_VALUE"""),"Yes")</f>
        <v>Yes</v>
      </c>
      <c r="H2033" s="5" t="str">
        <f ca="1">IFERROR(__xludf.DUMMYFUNCTION("""COMPUTED_VALUE"""),"Suicide")</f>
        <v>Suicide</v>
      </c>
    </row>
    <row r="2034" spans="1:8">
      <c r="A2034" s="5" t="str">
        <f ca="1">IFERROR(__xludf.DUMMYFUNCTION("""COMPUTED_VALUE"""),"19841207MOEDS")</f>
        <v>19841207MOEDS</v>
      </c>
      <c r="B2034" s="5">
        <f ca="1">IFERROR(__xludf.DUMMYFUNCTION("""COMPUTED_VALUE"""),17)</f>
        <v>17</v>
      </c>
      <c r="C2034" s="5" t="str">
        <f ca="1">IFERROR(__xludf.DUMMYFUNCTION("""COMPUTED_VALUE"""),"Male")</f>
        <v>Male</v>
      </c>
      <c r="D2034" s="5" t="str">
        <f ca="1">IFERROR(__xludf.DUMMYFUNCTION("""COMPUTED_VALUE"""),"White")</f>
        <v>White</v>
      </c>
      <c r="E2034" s="5" t="str">
        <f ca="1">IFERROR(__xludf.DUMMYFUNCTION("""COMPUTED_VALUE"""),"Student")</f>
        <v>Student</v>
      </c>
      <c r="F2034" s="5" t="str">
        <f ca="1">IFERROR(__xludf.DUMMYFUNCTION("""COMPUTED_VALUE"""),"Surrendered")</f>
        <v>Surrendered</v>
      </c>
      <c r="G2034" s="5" t="str">
        <f ca="1">IFERROR(__xludf.DUMMYFUNCTION("""COMPUTED_VALUE"""),"No")</f>
        <v>No</v>
      </c>
      <c r="H2034" s="5" t="str">
        <f ca="1">IFERROR(__xludf.DUMMYFUNCTION("""COMPUTED_VALUE"""),"None")</f>
        <v>None</v>
      </c>
    </row>
    <row r="2035" spans="1:8">
      <c r="A2035" s="5" t="str">
        <f ca="1">IFERROR(__xludf.DUMMYFUNCTION("""COMPUTED_VALUE"""),"19841126MDMIR")</f>
        <v>19841126MDMIR</v>
      </c>
      <c r="B2035" s="5">
        <f ca="1">IFERROR(__xludf.DUMMYFUNCTION("""COMPUTED_VALUE"""),16)</f>
        <v>16</v>
      </c>
      <c r="C2035" s="5" t="str">
        <f ca="1">IFERROR(__xludf.DUMMYFUNCTION("""COMPUTED_VALUE"""),"Male")</f>
        <v>Male</v>
      </c>
      <c r="D2035" s="5"/>
      <c r="E2035" s="5" t="str">
        <f ca="1">IFERROR(__xludf.DUMMYFUNCTION("""COMPUTED_VALUE"""),"Unknown")</f>
        <v>Unknown</v>
      </c>
      <c r="F2035" s="5" t="str">
        <f ca="1">IFERROR(__xludf.DUMMYFUNCTION("""COMPUTED_VALUE"""),"Fled/Apprehended")</f>
        <v>Fled/Apprehended</v>
      </c>
      <c r="G2035" s="5" t="str">
        <f ca="1">IFERROR(__xludf.DUMMYFUNCTION("""COMPUTED_VALUE"""),"No")</f>
        <v>No</v>
      </c>
      <c r="H2035" s="5" t="str">
        <f ca="1">IFERROR(__xludf.DUMMYFUNCTION("""COMPUTED_VALUE"""),"None")</f>
        <v>None</v>
      </c>
    </row>
    <row r="2036" spans="1:8">
      <c r="A2036" s="5" t="str">
        <f ca="1">IFERROR(__xludf.DUMMYFUNCTION("""COMPUTED_VALUE"""),"19841109CTWIN")</f>
        <v>19841109CTWIN</v>
      </c>
      <c r="B2036" s="5">
        <f ca="1">IFERROR(__xludf.DUMMYFUNCTION("""COMPUTED_VALUE"""),16)</f>
        <v>16</v>
      </c>
      <c r="C2036" s="5" t="str">
        <f ca="1">IFERROR(__xludf.DUMMYFUNCTION("""COMPUTED_VALUE"""),"Male")</f>
        <v>Male</v>
      </c>
      <c r="D2036" s="5"/>
      <c r="E2036" s="5" t="str">
        <f ca="1">IFERROR(__xludf.DUMMYFUNCTION("""COMPUTED_VALUE"""),"Student")</f>
        <v>Student</v>
      </c>
      <c r="F2036" s="5" t="str">
        <f ca="1">IFERROR(__xludf.DUMMYFUNCTION("""COMPUTED_VALUE"""),"Fled/Apprehended")</f>
        <v>Fled/Apprehended</v>
      </c>
      <c r="G2036" s="5" t="str">
        <f ca="1">IFERROR(__xludf.DUMMYFUNCTION("""COMPUTED_VALUE"""),"No")</f>
        <v>No</v>
      </c>
      <c r="H2036" s="5" t="str">
        <f ca="1">IFERROR(__xludf.DUMMYFUNCTION("""COMPUTED_VALUE"""),"None")</f>
        <v>None</v>
      </c>
    </row>
    <row r="2037" spans="1:8">
      <c r="A2037" s="5" t="str">
        <f ca="1">IFERROR(__xludf.DUMMYFUNCTION("""COMPUTED_VALUE"""),"19841031LAEAG")</f>
        <v>19841031LAEAG</v>
      </c>
      <c r="B2037" s="5">
        <f ca="1">IFERROR(__xludf.DUMMYFUNCTION("""COMPUTED_VALUE"""),16)</f>
        <v>16</v>
      </c>
      <c r="C2037" s="5" t="str">
        <f ca="1">IFERROR(__xludf.DUMMYFUNCTION("""COMPUTED_VALUE"""),"Male")</f>
        <v>Male</v>
      </c>
      <c r="D2037" s="5" t="str">
        <f ca="1">IFERROR(__xludf.DUMMYFUNCTION("""COMPUTED_VALUE"""),"White")</f>
        <v>White</v>
      </c>
      <c r="E2037" s="5" t="str">
        <f ca="1">IFERROR(__xludf.DUMMYFUNCTION("""COMPUTED_VALUE"""),"Student")</f>
        <v>Student</v>
      </c>
      <c r="F2037" s="5" t="str">
        <f ca="1">IFERROR(__xludf.DUMMYFUNCTION("""COMPUTED_VALUE"""),"Unknown")</f>
        <v>Unknown</v>
      </c>
      <c r="G2037" s="5" t="str">
        <f ca="1">IFERROR(__xludf.DUMMYFUNCTION("""COMPUTED_VALUE"""),"No")</f>
        <v>No</v>
      </c>
      <c r="H2037" s="5" t="str">
        <f ca="1">IFERROR(__xludf.DUMMYFUNCTION("""COMPUTED_VALUE"""),"None")</f>
        <v>None</v>
      </c>
    </row>
    <row r="2038" spans="1:8">
      <c r="A2038" s="5" t="str">
        <f ca="1">IFERROR(__xludf.DUMMYFUNCTION("""COMPUTED_VALUE"""),"19841030SCPEP")</f>
        <v>19841030SCPEP</v>
      </c>
      <c r="B2038" s="5">
        <f ca="1">IFERROR(__xludf.DUMMYFUNCTION("""COMPUTED_VALUE"""),21)</f>
        <v>21</v>
      </c>
      <c r="C2038" s="5" t="str">
        <f ca="1">IFERROR(__xludf.DUMMYFUNCTION("""COMPUTED_VALUE"""),"Male")</f>
        <v>Male</v>
      </c>
      <c r="D2038" s="5"/>
      <c r="E2038" s="5" t="str">
        <f ca="1">IFERROR(__xludf.DUMMYFUNCTION("""COMPUTED_VALUE"""),"Intimate Relationship")</f>
        <v>Intimate Relationship</v>
      </c>
      <c r="F2038" s="5" t="str">
        <f ca="1">IFERROR(__xludf.DUMMYFUNCTION("""COMPUTED_VALUE"""),"Apprehended/Killed by LE")</f>
        <v>Apprehended/Killed by LE</v>
      </c>
      <c r="G2038" s="5" t="str">
        <f ca="1">IFERROR(__xludf.DUMMYFUNCTION("""COMPUTED_VALUE"""),"No")</f>
        <v>No</v>
      </c>
      <c r="H2038" s="5" t="str">
        <f ca="1">IFERROR(__xludf.DUMMYFUNCTION("""COMPUTED_VALUE"""),"None")</f>
        <v>None</v>
      </c>
    </row>
    <row r="2039" spans="1:8">
      <c r="A2039" s="5" t="str">
        <f ca="1">IFERROR(__xludf.DUMMYFUNCTION("""COMPUTED_VALUE"""),"19841024OHWEC")</f>
        <v>19841024OHWEC</v>
      </c>
      <c r="B2039" s="5">
        <f ca="1">IFERROR(__xludf.DUMMYFUNCTION("""COMPUTED_VALUE"""),45)</f>
        <v>45</v>
      </c>
      <c r="C2039" s="5" t="str">
        <f ca="1">IFERROR(__xludf.DUMMYFUNCTION("""COMPUTED_VALUE"""),"Female")</f>
        <v>Female</v>
      </c>
      <c r="D2039" s="5" t="str">
        <f ca="1">IFERROR(__xludf.DUMMYFUNCTION("""COMPUTED_VALUE"""),"White")</f>
        <v>White</v>
      </c>
      <c r="E2039" s="5" t="str">
        <f ca="1">IFERROR(__xludf.DUMMYFUNCTION("""COMPUTED_VALUE"""),"Parent")</f>
        <v>Parent</v>
      </c>
      <c r="F2039" s="5" t="str">
        <f ca="1">IFERROR(__xludf.DUMMYFUNCTION("""COMPUTED_VALUE"""),"Fled/Apprehended")</f>
        <v>Fled/Apprehended</v>
      </c>
      <c r="G2039" s="5" t="str">
        <f ca="1">IFERROR(__xludf.DUMMYFUNCTION("""COMPUTED_VALUE"""),"No")</f>
        <v>No</v>
      </c>
      <c r="H2039" s="5" t="str">
        <f ca="1">IFERROR(__xludf.DUMMYFUNCTION("""COMPUTED_VALUE"""),"None")</f>
        <v>None</v>
      </c>
    </row>
    <row r="2040" spans="1:8">
      <c r="A2040" s="5" t="str">
        <f ca="1">IFERROR(__xludf.DUMMYFUNCTION("""COMPUTED_VALUE"""),"19841024MISOD")</f>
        <v>19841024MISOD</v>
      </c>
      <c r="B2040" s="5">
        <f ca="1">IFERROR(__xludf.DUMMYFUNCTION("""COMPUTED_VALUE"""),17)</f>
        <v>17</v>
      </c>
      <c r="C2040" s="5" t="str">
        <f ca="1">IFERROR(__xludf.DUMMYFUNCTION("""COMPUTED_VALUE"""),"Male")</f>
        <v>Male</v>
      </c>
      <c r="D2040" s="5"/>
      <c r="E2040" s="5" t="str">
        <f ca="1">IFERROR(__xludf.DUMMYFUNCTION("""COMPUTED_VALUE"""),"Student")</f>
        <v>Student</v>
      </c>
      <c r="F2040" s="5" t="str">
        <f ca="1">IFERROR(__xludf.DUMMYFUNCTION("""COMPUTED_VALUE"""),"Surrendered")</f>
        <v>Surrendered</v>
      </c>
      <c r="G2040" s="5" t="str">
        <f ca="1">IFERROR(__xludf.DUMMYFUNCTION("""COMPUTED_VALUE"""),"No")</f>
        <v>No</v>
      </c>
      <c r="H2040" s="5" t="str">
        <f ca="1">IFERROR(__xludf.DUMMYFUNCTION("""COMPUTED_VALUE"""),"None")</f>
        <v>None</v>
      </c>
    </row>
    <row r="2041" spans="1:8">
      <c r="A2041" s="5" t="str">
        <f ca="1">IFERROR(__xludf.DUMMYFUNCTION("""COMPUTED_VALUE"""),"19841022MICED")</f>
        <v>19841022MICED</v>
      </c>
      <c r="B2041" s="5">
        <f ca="1">IFERROR(__xludf.DUMMYFUNCTION("""COMPUTED_VALUE"""),16)</f>
        <v>16</v>
      </c>
      <c r="C2041" s="5" t="str">
        <f ca="1">IFERROR(__xludf.DUMMYFUNCTION("""COMPUTED_VALUE"""),"Male")</f>
        <v>Male</v>
      </c>
      <c r="D2041" s="5" t="str">
        <f ca="1">IFERROR(__xludf.DUMMYFUNCTION("""COMPUTED_VALUE"""),"Black")</f>
        <v>Black</v>
      </c>
      <c r="E2041" s="5" t="str">
        <f ca="1">IFERROR(__xludf.DUMMYFUNCTION("""COMPUTED_VALUE"""),"Student")</f>
        <v>Student</v>
      </c>
      <c r="F2041" s="5" t="str">
        <f ca="1">IFERROR(__xludf.DUMMYFUNCTION("""COMPUTED_VALUE"""),"Fled/Apprehended")</f>
        <v>Fled/Apprehended</v>
      </c>
      <c r="G2041" s="5" t="str">
        <f ca="1">IFERROR(__xludf.DUMMYFUNCTION("""COMPUTED_VALUE"""),"No")</f>
        <v>No</v>
      </c>
      <c r="H2041" s="5" t="str">
        <f ca="1">IFERROR(__xludf.DUMMYFUNCTION("""COMPUTED_VALUE"""),"None")</f>
        <v>None</v>
      </c>
    </row>
    <row r="2042" spans="1:8">
      <c r="A2042" s="5" t="str">
        <f ca="1">IFERROR(__xludf.DUMMYFUNCTION("""COMPUTED_VALUE"""),"19841021PAWYE")</f>
        <v>19841021PAWYE</v>
      </c>
      <c r="B2042" s="5"/>
      <c r="C2042" s="5" t="str">
        <f ca="1">IFERROR(__xludf.DUMMYFUNCTION("""COMPUTED_VALUE"""),"Male")</f>
        <v>Male</v>
      </c>
      <c r="D2042" s="5"/>
      <c r="E2042" s="5" t="str">
        <f ca="1">IFERROR(__xludf.DUMMYFUNCTION("""COMPUTED_VALUE"""),"Unknown")</f>
        <v>Unknown</v>
      </c>
      <c r="F2042" s="5" t="str">
        <f ca="1">IFERROR(__xludf.DUMMYFUNCTION("""COMPUTED_VALUE"""),"Unknown")</f>
        <v>Unknown</v>
      </c>
      <c r="G2042" s="5" t="str">
        <f ca="1">IFERROR(__xludf.DUMMYFUNCTION("""COMPUTED_VALUE"""),"No")</f>
        <v>No</v>
      </c>
      <c r="H2042" s="5" t="str">
        <f ca="1">IFERROR(__xludf.DUMMYFUNCTION("""COMPUTED_VALUE"""),"None")</f>
        <v>None</v>
      </c>
    </row>
    <row r="2043" spans="1:8">
      <c r="A2043" s="5" t="str">
        <f ca="1">IFERROR(__xludf.DUMMYFUNCTION("""COMPUTED_VALUE"""),"19840928TXRIN")</f>
        <v>19840928TXRIN</v>
      </c>
      <c r="B2043" s="5">
        <f ca="1">IFERROR(__xludf.DUMMYFUNCTION("""COMPUTED_VALUE"""),21)</f>
        <v>21</v>
      </c>
      <c r="C2043" s="5" t="str">
        <f ca="1">IFERROR(__xludf.DUMMYFUNCTION("""COMPUTED_VALUE"""),"Male")</f>
        <v>Male</v>
      </c>
      <c r="D2043" s="5" t="str">
        <f ca="1">IFERROR(__xludf.DUMMYFUNCTION("""COMPUTED_VALUE"""),"White")</f>
        <v>White</v>
      </c>
      <c r="E2043" s="5" t="str">
        <f ca="1">IFERROR(__xludf.DUMMYFUNCTION("""COMPUTED_VALUE"""),"Former Student")</f>
        <v>Former Student</v>
      </c>
      <c r="F2043" s="5" t="str">
        <f ca="1">IFERROR(__xludf.DUMMYFUNCTION("""COMPUTED_VALUE"""),"Surrendered")</f>
        <v>Surrendered</v>
      </c>
      <c r="G2043" s="5" t="str">
        <f ca="1">IFERROR(__xludf.DUMMYFUNCTION("""COMPUTED_VALUE"""),"No")</f>
        <v>No</v>
      </c>
      <c r="H2043" s="5" t="str">
        <f ca="1">IFERROR(__xludf.DUMMYFUNCTION("""COMPUTED_VALUE"""),"None")</f>
        <v>None</v>
      </c>
    </row>
    <row r="2044" spans="1:8">
      <c r="A2044" s="5" t="str">
        <f ca="1">IFERROR(__xludf.DUMMYFUNCTION("""COMPUTED_VALUE"""),"19840928TXMIH")</f>
        <v>19840928TXMIH</v>
      </c>
      <c r="B2044" s="5"/>
      <c r="C2044" s="5"/>
      <c r="D2044" s="5"/>
      <c r="E2044" s="5" t="str">
        <f ca="1">IFERROR(__xludf.DUMMYFUNCTION("""COMPUTED_VALUE"""),"Unknown")</f>
        <v>Unknown</v>
      </c>
      <c r="F2044" s="5" t="str">
        <f ca="1">IFERROR(__xludf.DUMMYFUNCTION("""COMPUTED_VALUE"""),"Fled/Escaped")</f>
        <v>Fled/Escaped</v>
      </c>
      <c r="G2044" s="5" t="str">
        <f ca="1">IFERROR(__xludf.DUMMYFUNCTION("""COMPUTED_VALUE"""),"No")</f>
        <v>No</v>
      </c>
      <c r="H2044" s="5" t="str">
        <f ca="1">IFERROR(__xludf.DUMMYFUNCTION("""COMPUTED_VALUE"""),"None")</f>
        <v>None</v>
      </c>
    </row>
    <row r="2045" spans="1:8">
      <c r="A2045" s="5" t="str">
        <f ca="1">IFERROR(__xludf.DUMMYFUNCTION("""COMPUTED_VALUE"""),"19840831LABOS")</f>
        <v>19840831LABOS</v>
      </c>
      <c r="B2045" s="5"/>
      <c r="C2045" s="5" t="str">
        <f ca="1">IFERROR(__xludf.DUMMYFUNCTION("""COMPUTED_VALUE"""),"Male")</f>
        <v>Male</v>
      </c>
      <c r="D2045" s="5"/>
      <c r="E2045" s="5" t="str">
        <f ca="1">IFERROR(__xludf.DUMMYFUNCTION("""COMPUTED_VALUE"""),"Gang Member")</f>
        <v>Gang Member</v>
      </c>
      <c r="F2045" s="5" t="str">
        <f ca="1">IFERROR(__xludf.DUMMYFUNCTION("""COMPUTED_VALUE"""),"Fled/Escaped")</f>
        <v>Fled/Escaped</v>
      </c>
      <c r="G2045" s="5" t="str">
        <f ca="1">IFERROR(__xludf.DUMMYFUNCTION("""COMPUTED_VALUE"""),"No")</f>
        <v>No</v>
      </c>
      <c r="H2045" s="5" t="str">
        <f ca="1">IFERROR(__xludf.DUMMYFUNCTION("""COMPUTED_VALUE"""),"None")</f>
        <v>None</v>
      </c>
    </row>
    <row r="2046" spans="1:8">
      <c r="A2046" s="5" t="str">
        <f ca="1">IFERROR(__xludf.DUMMYFUNCTION("""COMPUTED_VALUE"""),"19840710MIMUD")</f>
        <v>19840710MIMUD</v>
      </c>
      <c r="B2046" s="5" t="str">
        <f ca="1">IFERROR(__xludf.DUMMYFUNCTION("""COMPUTED_VALUE"""),"Adult")</f>
        <v>Adult</v>
      </c>
      <c r="C2046" s="5" t="str">
        <f ca="1">IFERROR(__xludf.DUMMYFUNCTION("""COMPUTED_VALUE"""),"Male")</f>
        <v>Male</v>
      </c>
      <c r="D2046" s="5"/>
      <c r="E2046" s="5" t="str">
        <f ca="1">IFERROR(__xludf.DUMMYFUNCTION("""COMPUTED_VALUE"""),"No Relation")</f>
        <v>No Relation</v>
      </c>
      <c r="F2046" s="5" t="str">
        <f ca="1">IFERROR(__xludf.DUMMYFUNCTION("""COMPUTED_VALUE"""),"Fled/Escaped")</f>
        <v>Fled/Escaped</v>
      </c>
      <c r="G2046" s="5" t="str">
        <f ca="1">IFERROR(__xludf.DUMMYFUNCTION("""COMPUTED_VALUE"""),"No")</f>
        <v>No</v>
      </c>
      <c r="H2046" s="5" t="str">
        <f ca="1">IFERROR(__xludf.DUMMYFUNCTION("""COMPUTED_VALUE"""),"None")</f>
        <v>None</v>
      </c>
    </row>
    <row r="2047" spans="1:8">
      <c r="A2047" s="5" t="str">
        <f ca="1">IFERROR(__xludf.DUMMYFUNCTION("""COMPUTED_VALUE"""),"19840522OHCLC")</f>
        <v>19840522OHCLC</v>
      </c>
      <c r="B2047" s="5">
        <f ca="1">IFERROR(__xludf.DUMMYFUNCTION("""COMPUTED_VALUE"""),18)</f>
        <v>18</v>
      </c>
      <c r="C2047" s="5" t="str">
        <f ca="1">IFERROR(__xludf.DUMMYFUNCTION("""COMPUTED_VALUE"""),"Male")</f>
        <v>Male</v>
      </c>
      <c r="D2047" s="5"/>
      <c r="E2047" s="5" t="str">
        <f ca="1">IFERROR(__xludf.DUMMYFUNCTION("""COMPUTED_VALUE"""),"Student")</f>
        <v>Student</v>
      </c>
      <c r="F2047" s="5" t="str">
        <f ca="1">IFERROR(__xludf.DUMMYFUNCTION("""COMPUTED_VALUE"""),"Surrendered")</f>
        <v>Surrendered</v>
      </c>
      <c r="G2047" s="5" t="str">
        <f ca="1">IFERROR(__xludf.DUMMYFUNCTION("""COMPUTED_VALUE"""),"No")</f>
        <v>No</v>
      </c>
      <c r="H2047" s="5" t="str">
        <f ca="1">IFERROR(__xludf.DUMMYFUNCTION("""COMPUTED_VALUE"""),"None")</f>
        <v>None</v>
      </c>
    </row>
    <row r="2048" spans="1:8">
      <c r="A2048" s="5" t="str">
        <f ca="1">IFERROR(__xludf.DUMMYFUNCTION("""COMPUTED_VALUE"""),"19840518CANON")</f>
        <v>19840518CANON</v>
      </c>
      <c r="B2048" s="5">
        <f ca="1">IFERROR(__xludf.DUMMYFUNCTION("""COMPUTED_VALUE"""),17)</f>
        <v>17</v>
      </c>
      <c r="C2048" s="5" t="str">
        <f ca="1">IFERROR(__xludf.DUMMYFUNCTION("""COMPUTED_VALUE"""),"Male")</f>
        <v>Male</v>
      </c>
      <c r="D2048" s="5"/>
      <c r="E2048" s="5" t="str">
        <f ca="1">IFERROR(__xludf.DUMMYFUNCTION("""COMPUTED_VALUE"""),"Student")</f>
        <v>Student</v>
      </c>
      <c r="F2048" s="5" t="str">
        <f ca="1">IFERROR(__xludf.DUMMYFUNCTION("""COMPUTED_VALUE"""),"Subdued by Students/Staff/Other")</f>
        <v>Subdued by Students/Staff/Other</v>
      </c>
      <c r="G2048" s="5" t="str">
        <f ca="1">IFERROR(__xludf.DUMMYFUNCTION("""COMPUTED_VALUE"""),"No")</f>
        <v>No</v>
      </c>
      <c r="H2048" s="5" t="str">
        <f ca="1">IFERROR(__xludf.DUMMYFUNCTION("""COMPUTED_VALUE"""),"None")</f>
        <v>None</v>
      </c>
    </row>
    <row r="2049" spans="1:8">
      <c r="A2049" s="5" t="str">
        <f ca="1">IFERROR(__xludf.DUMMYFUNCTION("""COMPUTED_VALUE"""),"19840517TXBOH")</f>
        <v>19840517TXBOH</v>
      </c>
      <c r="B2049" s="5">
        <f ca="1">IFERROR(__xludf.DUMMYFUNCTION("""COMPUTED_VALUE"""),18)</f>
        <v>18</v>
      </c>
      <c r="C2049" s="5" t="str">
        <f ca="1">IFERROR(__xludf.DUMMYFUNCTION("""COMPUTED_VALUE"""),"Male")</f>
        <v>Male</v>
      </c>
      <c r="D2049" s="5"/>
      <c r="E2049" s="5" t="str">
        <f ca="1">IFERROR(__xludf.DUMMYFUNCTION("""COMPUTED_VALUE"""),"Student")</f>
        <v>Student</v>
      </c>
      <c r="F2049" s="5" t="str">
        <f ca="1">IFERROR(__xludf.DUMMYFUNCTION("""COMPUTED_VALUE"""),"Suicide")</f>
        <v>Suicide</v>
      </c>
      <c r="G2049" s="5" t="str">
        <f ca="1">IFERROR(__xludf.DUMMYFUNCTION("""COMPUTED_VALUE"""),"Yes")</f>
        <v>Yes</v>
      </c>
      <c r="H2049" s="5" t="str">
        <f ca="1">IFERROR(__xludf.DUMMYFUNCTION("""COMPUTED_VALUE"""),"Suicide")</f>
        <v>Suicide</v>
      </c>
    </row>
    <row r="2050" spans="1:8">
      <c r="A2050" s="5" t="str">
        <f ca="1">IFERROR(__xludf.DUMMYFUNCTION("""COMPUTED_VALUE"""),"19840517IASOP")</f>
        <v>19840517IASOP</v>
      </c>
      <c r="B2050" s="5">
        <f ca="1">IFERROR(__xludf.DUMMYFUNCTION("""COMPUTED_VALUE"""),17)</f>
        <v>17</v>
      </c>
      <c r="C2050" s="5" t="str">
        <f ca="1">IFERROR(__xludf.DUMMYFUNCTION("""COMPUTED_VALUE"""),"Male")</f>
        <v>Male</v>
      </c>
      <c r="D2050" s="5"/>
      <c r="E2050" s="5" t="str">
        <f ca="1">IFERROR(__xludf.DUMMYFUNCTION("""COMPUTED_VALUE"""),"Student")</f>
        <v>Student</v>
      </c>
      <c r="F2050" s="5" t="str">
        <f ca="1">IFERROR(__xludf.DUMMYFUNCTION("""COMPUTED_VALUE"""),"Suicide")</f>
        <v>Suicide</v>
      </c>
      <c r="G2050" s="5" t="str">
        <f ca="1">IFERROR(__xludf.DUMMYFUNCTION("""COMPUTED_VALUE"""),"Yes")</f>
        <v>Yes</v>
      </c>
      <c r="H2050" s="5" t="str">
        <f ca="1">IFERROR(__xludf.DUMMYFUNCTION("""COMPUTED_VALUE"""),"Suicide")</f>
        <v>Suicide</v>
      </c>
    </row>
    <row r="2051" spans="1:8">
      <c r="A2051" s="5" t="str">
        <f ca="1">IFERROR(__xludf.DUMMYFUNCTION("""COMPUTED_VALUE"""),"19840515MTCMG")</f>
        <v>19840515MTCMG</v>
      </c>
      <c r="B2051" s="5">
        <f ca="1">IFERROR(__xludf.DUMMYFUNCTION("""COMPUTED_VALUE"""),18)</f>
        <v>18</v>
      </c>
      <c r="C2051" s="5" t="str">
        <f ca="1">IFERROR(__xludf.DUMMYFUNCTION("""COMPUTED_VALUE"""),"Male")</f>
        <v>Male</v>
      </c>
      <c r="D2051" s="5"/>
      <c r="E2051" s="5" t="str">
        <f ca="1">IFERROR(__xludf.DUMMYFUNCTION("""COMPUTED_VALUE"""),"Student")</f>
        <v>Student</v>
      </c>
      <c r="F2051" s="5" t="str">
        <f ca="1">IFERROR(__xludf.DUMMYFUNCTION("""COMPUTED_VALUE"""),"Attempted Suicide")</f>
        <v>Attempted Suicide</v>
      </c>
      <c r="G2051" s="5" t="str">
        <f ca="1">IFERROR(__xludf.DUMMYFUNCTION("""COMPUTED_VALUE"""),"No")</f>
        <v>No</v>
      </c>
      <c r="H2051" s="5" t="str">
        <f ca="1">IFERROR(__xludf.DUMMYFUNCTION("""COMPUTED_VALUE"""),"Wounded")</f>
        <v>Wounded</v>
      </c>
    </row>
    <row r="2052" spans="1:8">
      <c r="A2052" s="5" t="str">
        <f ca="1">IFERROR(__xludf.DUMMYFUNCTION("""COMPUTED_VALUE"""),"19840426NCROW")</f>
        <v>19840426NCROW</v>
      </c>
      <c r="B2052" s="5">
        <f ca="1">IFERROR(__xludf.DUMMYFUNCTION("""COMPUTED_VALUE"""),11)</f>
        <v>11</v>
      </c>
      <c r="C2052" s="5" t="str">
        <f ca="1">IFERROR(__xludf.DUMMYFUNCTION("""COMPUTED_VALUE"""),"Male")</f>
        <v>Male</v>
      </c>
      <c r="D2052" s="5"/>
      <c r="E2052" s="5" t="str">
        <f ca="1">IFERROR(__xludf.DUMMYFUNCTION("""COMPUTED_VALUE"""),"Student")</f>
        <v>Student</v>
      </c>
      <c r="F2052" s="5" t="str">
        <f ca="1">IFERROR(__xludf.DUMMYFUNCTION("""COMPUTED_VALUE"""),"Attempted Suicide")</f>
        <v>Attempted Suicide</v>
      </c>
      <c r="G2052" s="5" t="str">
        <f ca="1">IFERROR(__xludf.DUMMYFUNCTION("""COMPUTED_VALUE"""),"No")</f>
        <v>No</v>
      </c>
      <c r="H2052" s="5" t="str">
        <f ca="1">IFERROR(__xludf.DUMMYFUNCTION("""COMPUTED_VALUE"""),"Wounded")</f>
        <v>Wounded</v>
      </c>
    </row>
    <row r="2053" spans="1:8">
      <c r="A2053" s="5" t="str">
        <f ca="1">IFERROR(__xludf.DUMMYFUNCTION("""COMPUTED_VALUE"""),"19840420MIPRD")</f>
        <v>19840420MIPRD</v>
      </c>
      <c r="B2053" s="5">
        <f ca="1">IFERROR(__xludf.DUMMYFUNCTION("""COMPUTED_VALUE"""),13)</f>
        <v>13</v>
      </c>
      <c r="C2053" s="5"/>
      <c r="D2053" s="5"/>
      <c r="E2053" s="5" t="str">
        <f ca="1">IFERROR(__xludf.DUMMYFUNCTION("""COMPUTED_VALUE"""),"Student")</f>
        <v>Student</v>
      </c>
      <c r="F2053" s="5" t="str">
        <f ca="1">IFERROR(__xludf.DUMMYFUNCTION("""COMPUTED_VALUE"""),"Unknown")</f>
        <v>Unknown</v>
      </c>
      <c r="G2053" s="5" t="str">
        <f ca="1">IFERROR(__xludf.DUMMYFUNCTION("""COMPUTED_VALUE"""),"No")</f>
        <v>No</v>
      </c>
      <c r="H2053" s="5" t="str">
        <f ca="1">IFERROR(__xludf.DUMMYFUNCTION("""COMPUTED_VALUE"""),"None")</f>
        <v>None</v>
      </c>
    </row>
    <row r="2054" spans="1:8">
      <c r="A2054" s="5" t="str">
        <f ca="1">IFERROR(__xludf.DUMMYFUNCTION("""COMPUTED_VALUE"""),"19840405LACLC")</f>
        <v>19840405LACLC</v>
      </c>
      <c r="B2054" s="5">
        <f ca="1">IFERROR(__xludf.DUMMYFUNCTION("""COMPUTED_VALUE"""),17)</f>
        <v>17</v>
      </c>
      <c r="C2054" s="5" t="str">
        <f ca="1">IFERROR(__xludf.DUMMYFUNCTION("""COMPUTED_VALUE"""),"Male")</f>
        <v>Male</v>
      </c>
      <c r="D2054" s="5" t="str">
        <f ca="1">IFERROR(__xludf.DUMMYFUNCTION("""COMPUTED_VALUE"""),"Black")</f>
        <v>Black</v>
      </c>
      <c r="E2054" s="5" t="str">
        <f ca="1">IFERROR(__xludf.DUMMYFUNCTION("""COMPUTED_VALUE"""),"Student")</f>
        <v>Student</v>
      </c>
      <c r="F2054" s="5" t="str">
        <f ca="1">IFERROR(__xludf.DUMMYFUNCTION("""COMPUTED_VALUE"""),"Unknown")</f>
        <v>Unknown</v>
      </c>
      <c r="G2054" s="5" t="str">
        <f ca="1">IFERROR(__xludf.DUMMYFUNCTION("""COMPUTED_VALUE"""),"No")</f>
        <v>No</v>
      </c>
      <c r="H2054" s="5" t="str">
        <f ca="1">IFERROR(__xludf.DUMMYFUNCTION("""COMPUTED_VALUE"""),"None")</f>
        <v>None</v>
      </c>
    </row>
    <row r="2055" spans="1:8">
      <c r="A2055" s="5" t="str">
        <f ca="1">IFERROR(__xludf.DUMMYFUNCTION("""COMPUTED_VALUE"""),"19840224CA49L")</f>
        <v>19840224CA49L</v>
      </c>
      <c r="B2055" s="5">
        <f ca="1">IFERROR(__xludf.DUMMYFUNCTION("""COMPUTED_VALUE"""),28)</f>
        <v>28</v>
      </c>
      <c r="C2055" s="5" t="str">
        <f ca="1">IFERROR(__xludf.DUMMYFUNCTION("""COMPUTED_VALUE"""),"Male")</f>
        <v>Male</v>
      </c>
      <c r="D2055" s="5" t="str">
        <f ca="1">IFERROR(__xludf.DUMMYFUNCTION("""COMPUTED_VALUE"""),"Black")</f>
        <v>Black</v>
      </c>
      <c r="E2055" s="5" t="str">
        <f ca="1">IFERROR(__xludf.DUMMYFUNCTION("""COMPUTED_VALUE"""),"Former Student")</f>
        <v>Former Student</v>
      </c>
      <c r="F2055" s="5" t="str">
        <f ca="1">IFERROR(__xludf.DUMMYFUNCTION("""COMPUTED_VALUE"""),"Suicide")</f>
        <v>Suicide</v>
      </c>
      <c r="G2055" s="5" t="str">
        <f ca="1">IFERROR(__xludf.DUMMYFUNCTION("""COMPUTED_VALUE"""),"Yes")</f>
        <v>Yes</v>
      </c>
      <c r="H2055" s="5" t="str">
        <f ca="1">IFERROR(__xludf.DUMMYFUNCTION("""COMPUTED_VALUE"""),"Suicide")</f>
        <v>Suicide</v>
      </c>
    </row>
    <row r="2056" spans="1:8">
      <c r="A2056" s="5" t="str">
        <f ca="1">IFERROR(__xludf.DUMMYFUNCTION("""COMPUTED_VALUE"""),"19840221TXSHH")</f>
        <v>19840221TXSHH</v>
      </c>
      <c r="B2056" s="5">
        <f ca="1">IFERROR(__xludf.DUMMYFUNCTION("""COMPUTED_VALUE"""),16)</f>
        <v>16</v>
      </c>
      <c r="C2056" s="5" t="str">
        <f ca="1">IFERROR(__xludf.DUMMYFUNCTION("""COMPUTED_VALUE"""),"Male")</f>
        <v>Male</v>
      </c>
      <c r="D2056" s="5"/>
      <c r="E2056" s="5" t="str">
        <f ca="1">IFERROR(__xludf.DUMMYFUNCTION("""COMPUTED_VALUE"""),"Student")</f>
        <v>Student</v>
      </c>
      <c r="F2056" s="5" t="str">
        <f ca="1">IFERROR(__xludf.DUMMYFUNCTION("""COMPUTED_VALUE"""),"Surrendered")</f>
        <v>Surrendered</v>
      </c>
      <c r="G2056" s="5" t="str">
        <f ca="1">IFERROR(__xludf.DUMMYFUNCTION("""COMPUTED_VALUE"""),"No")</f>
        <v>No</v>
      </c>
      <c r="H2056" s="5" t="str">
        <f ca="1">IFERROR(__xludf.DUMMYFUNCTION("""COMPUTED_VALUE"""),"None")</f>
        <v>None</v>
      </c>
    </row>
    <row r="2057" spans="1:8">
      <c r="A2057" s="5" t="str">
        <f ca="1">IFERROR(__xludf.DUMMYFUNCTION("""COMPUTED_VALUE"""),"19840206KYCEL")</f>
        <v>19840206KYCEL</v>
      </c>
      <c r="B2057" s="5">
        <f ca="1">IFERROR(__xludf.DUMMYFUNCTION("""COMPUTED_VALUE"""),16)</f>
        <v>16</v>
      </c>
      <c r="C2057" s="5" t="str">
        <f ca="1">IFERROR(__xludf.DUMMYFUNCTION("""COMPUTED_VALUE"""),"Male")</f>
        <v>Male</v>
      </c>
      <c r="D2057" s="5"/>
      <c r="E2057" s="5" t="str">
        <f ca="1">IFERROR(__xludf.DUMMYFUNCTION("""COMPUTED_VALUE"""),"Student")</f>
        <v>Student</v>
      </c>
      <c r="F2057" s="5" t="str">
        <f ca="1">IFERROR(__xludf.DUMMYFUNCTION("""COMPUTED_VALUE"""),"Fled/Apprehended")</f>
        <v>Fled/Apprehended</v>
      </c>
      <c r="G2057" s="5" t="str">
        <f ca="1">IFERROR(__xludf.DUMMYFUNCTION("""COMPUTED_VALUE"""),"No")</f>
        <v>No</v>
      </c>
      <c r="H2057" s="5" t="str">
        <f ca="1">IFERROR(__xludf.DUMMYFUNCTION("""COMPUTED_VALUE"""),"None")</f>
        <v>None</v>
      </c>
    </row>
    <row r="2058" spans="1:8">
      <c r="A2058" s="5" t="str">
        <f ca="1">IFERROR(__xludf.DUMMYFUNCTION("""COMPUTED_VALUE"""),"19840105MDLAB")</f>
        <v>19840105MDLAB</v>
      </c>
      <c r="B2058" s="5"/>
      <c r="C2058" s="5" t="str">
        <f ca="1">IFERROR(__xludf.DUMMYFUNCTION("""COMPUTED_VALUE"""),"Male")</f>
        <v>Male</v>
      </c>
      <c r="D2058" s="5"/>
      <c r="E2058" s="5" t="str">
        <f ca="1">IFERROR(__xludf.DUMMYFUNCTION("""COMPUTED_VALUE"""),"Unknown")</f>
        <v>Unknown</v>
      </c>
      <c r="F2058" s="5" t="str">
        <f ca="1">IFERROR(__xludf.DUMMYFUNCTION("""COMPUTED_VALUE"""),"Fled/Escaped")</f>
        <v>Fled/Escaped</v>
      </c>
      <c r="G2058" s="5" t="str">
        <f ca="1">IFERROR(__xludf.DUMMYFUNCTION("""COMPUTED_VALUE"""),"No")</f>
        <v>No</v>
      </c>
      <c r="H2058" s="5" t="str">
        <f ca="1">IFERROR(__xludf.DUMMYFUNCTION("""COMPUTED_VALUE"""),"None")</f>
        <v>None</v>
      </c>
    </row>
    <row r="2059" spans="1:8">
      <c r="A2059" s="5" t="str">
        <f ca="1">IFERROR(__xludf.DUMMYFUNCTION("""COMPUTED_VALUE"""),"19831216ILBOR")</f>
        <v>19831216ILBOR</v>
      </c>
      <c r="B2059" s="5">
        <f ca="1">IFERROR(__xludf.DUMMYFUNCTION("""COMPUTED_VALUE"""),15)</f>
        <v>15</v>
      </c>
      <c r="C2059" s="5" t="str">
        <f ca="1">IFERROR(__xludf.DUMMYFUNCTION("""COMPUTED_VALUE"""),"Male")</f>
        <v>Male</v>
      </c>
      <c r="D2059" s="5"/>
      <c r="E2059" s="5" t="str">
        <f ca="1">IFERROR(__xludf.DUMMYFUNCTION("""COMPUTED_VALUE"""),"Student")</f>
        <v>Student</v>
      </c>
      <c r="F2059" s="5" t="str">
        <f ca="1">IFERROR(__xludf.DUMMYFUNCTION("""COMPUTED_VALUE"""),"Fled/Apprehended")</f>
        <v>Fled/Apprehended</v>
      </c>
      <c r="G2059" s="5" t="str">
        <f ca="1">IFERROR(__xludf.DUMMYFUNCTION("""COMPUTED_VALUE"""),"No")</f>
        <v>No</v>
      </c>
      <c r="H2059" s="5" t="str">
        <f ca="1">IFERROR(__xludf.DUMMYFUNCTION("""COMPUTED_VALUE"""),"None")</f>
        <v>None</v>
      </c>
    </row>
    <row r="2060" spans="1:8">
      <c r="A2060" s="5" t="str">
        <f ca="1">IFERROR(__xludf.DUMMYFUNCTION("""COMPUTED_VALUE"""),"19831202INCRC")</f>
        <v>19831202INCRC</v>
      </c>
      <c r="B2060" s="5">
        <f ca="1">IFERROR(__xludf.DUMMYFUNCTION("""COMPUTED_VALUE"""),17)</f>
        <v>17</v>
      </c>
      <c r="C2060" s="5" t="str">
        <f ca="1">IFERROR(__xludf.DUMMYFUNCTION("""COMPUTED_VALUE"""),"Male")</f>
        <v>Male</v>
      </c>
      <c r="D2060" s="5"/>
      <c r="E2060" s="5" t="str">
        <f ca="1">IFERROR(__xludf.DUMMYFUNCTION("""COMPUTED_VALUE"""),"Student")</f>
        <v>Student</v>
      </c>
      <c r="F2060" s="5" t="str">
        <f ca="1">IFERROR(__xludf.DUMMYFUNCTION("""COMPUTED_VALUE"""),"Fled/Apprehended")</f>
        <v>Fled/Apprehended</v>
      </c>
      <c r="G2060" s="5" t="str">
        <f ca="1">IFERROR(__xludf.DUMMYFUNCTION("""COMPUTED_VALUE"""),"No")</f>
        <v>No</v>
      </c>
      <c r="H2060" s="5" t="str">
        <f ca="1">IFERROR(__xludf.DUMMYFUNCTION("""COMPUTED_VALUE"""),"None")</f>
        <v>None</v>
      </c>
    </row>
    <row r="2061" spans="1:8">
      <c r="A2061" s="5" t="str">
        <f ca="1">IFERROR(__xludf.DUMMYFUNCTION("""COMPUTED_VALUE"""),"19831118MDHAB")</f>
        <v>19831118MDHAB</v>
      </c>
      <c r="B2061" s="5">
        <f ca="1">IFERROR(__xludf.DUMMYFUNCTION("""COMPUTED_VALUE"""),17)</f>
        <v>17</v>
      </c>
      <c r="C2061" s="5" t="str">
        <f ca="1">IFERROR(__xludf.DUMMYFUNCTION("""COMPUTED_VALUE"""),"Male")</f>
        <v>Male</v>
      </c>
      <c r="D2061" s="5" t="str">
        <f ca="1">IFERROR(__xludf.DUMMYFUNCTION("""COMPUTED_VALUE"""),"Black")</f>
        <v>Black</v>
      </c>
      <c r="E2061" s="5" t="str">
        <f ca="1">IFERROR(__xludf.DUMMYFUNCTION("""COMPUTED_VALUE"""),"Student")</f>
        <v>Student</v>
      </c>
      <c r="F2061" s="5" t="str">
        <f ca="1">IFERROR(__xludf.DUMMYFUNCTION("""COMPUTED_VALUE"""),"Fled/Apprehended")</f>
        <v>Fled/Apprehended</v>
      </c>
      <c r="G2061" s="5" t="str">
        <f ca="1">IFERROR(__xludf.DUMMYFUNCTION("""COMPUTED_VALUE"""),"No")</f>
        <v>No</v>
      </c>
      <c r="H2061" s="5" t="str">
        <f ca="1">IFERROR(__xludf.DUMMYFUNCTION("""COMPUTED_VALUE"""),"None")</f>
        <v>None</v>
      </c>
    </row>
    <row r="2062" spans="1:8">
      <c r="A2062" s="5" t="str">
        <f ca="1">IFERROR(__xludf.DUMMYFUNCTION("""COMPUTED_VALUE"""),"19831117ILJAC")</f>
        <v>19831117ILJAC</v>
      </c>
      <c r="B2062" s="5">
        <f ca="1">IFERROR(__xludf.DUMMYFUNCTION("""COMPUTED_VALUE"""),14)</f>
        <v>14</v>
      </c>
      <c r="C2062" s="5" t="str">
        <f ca="1">IFERROR(__xludf.DUMMYFUNCTION("""COMPUTED_VALUE"""),"Male")</f>
        <v>Male</v>
      </c>
      <c r="D2062" s="5"/>
      <c r="E2062" s="5" t="str">
        <f ca="1">IFERROR(__xludf.DUMMYFUNCTION("""COMPUTED_VALUE"""),"Gang Member")</f>
        <v>Gang Member</v>
      </c>
      <c r="F2062" s="5" t="str">
        <f ca="1">IFERROR(__xludf.DUMMYFUNCTION("""COMPUTED_VALUE"""),"Fled/Apprehended")</f>
        <v>Fled/Apprehended</v>
      </c>
      <c r="G2062" s="5" t="str">
        <f ca="1">IFERROR(__xludf.DUMMYFUNCTION("""COMPUTED_VALUE"""),"No")</f>
        <v>No</v>
      </c>
      <c r="H2062" s="5" t="str">
        <f ca="1">IFERROR(__xludf.DUMMYFUNCTION("""COMPUTED_VALUE"""),"None")</f>
        <v>None</v>
      </c>
    </row>
    <row r="2063" spans="1:8">
      <c r="A2063" s="5" t="str">
        <f ca="1">IFERROR(__xludf.DUMMYFUNCTION("""COMPUTED_VALUE"""),"19831108MIHIH")</f>
        <v>19831108MIHIH</v>
      </c>
      <c r="B2063" s="5">
        <f ca="1">IFERROR(__xludf.DUMMYFUNCTION("""COMPUTED_VALUE"""),15)</f>
        <v>15</v>
      </c>
      <c r="C2063" s="5" t="str">
        <f ca="1">IFERROR(__xludf.DUMMYFUNCTION("""COMPUTED_VALUE"""),"Male")</f>
        <v>Male</v>
      </c>
      <c r="D2063" s="5"/>
      <c r="E2063" s="5" t="str">
        <f ca="1">IFERROR(__xludf.DUMMYFUNCTION("""COMPUTED_VALUE"""),"Student")</f>
        <v>Student</v>
      </c>
      <c r="F2063" s="5" t="str">
        <f ca="1">IFERROR(__xludf.DUMMYFUNCTION("""COMPUTED_VALUE"""),"Surrendered")</f>
        <v>Surrendered</v>
      </c>
      <c r="G2063" s="5" t="str">
        <f ca="1">IFERROR(__xludf.DUMMYFUNCTION("""COMPUTED_VALUE"""),"No")</f>
        <v>No</v>
      </c>
      <c r="H2063" s="5" t="str">
        <f ca="1">IFERROR(__xludf.DUMMYFUNCTION("""COMPUTED_VALUE"""),"None")</f>
        <v>None</v>
      </c>
    </row>
    <row r="2064" spans="1:8">
      <c r="A2064" s="5" t="str">
        <f ca="1">IFERROR(__xludf.DUMMYFUNCTION("""COMPUTED_VALUE"""),"19831022MDCAB")</f>
        <v>19831022MDCAB</v>
      </c>
      <c r="B2064" s="5">
        <f ca="1">IFERROR(__xludf.DUMMYFUNCTION("""COMPUTED_VALUE"""),18)</f>
        <v>18</v>
      </c>
      <c r="C2064" s="5" t="str">
        <f ca="1">IFERROR(__xludf.DUMMYFUNCTION("""COMPUTED_VALUE"""),"Male")</f>
        <v>Male</v>
      </c>
      <c r="D2064" s="5"/>
      <c r="E2064" s="5" t="str">
        <f ca="1">IFERROR(__xludf.DUMMYFUNCTION("""COMPUTED_VALUE"""),"Unknown")</f>
        <v>Unknown</v>
      </c>
      <c r="F2064" s="5" t="str">
        <f ca="1">IFERROR(__xludf.DUMMYFUNCTION("""COMPUTED_VALUE"""),"Fled/Apprehended")</f>
        <v>Fled/Apprehended</v>
      </c>
      <c r="G2064" s="5" t="str">
        <f ca="1">IFERROR(__xludf.DUMMYFUNCTION("""COMPUTED_VALUE"""),"No")</f>
        <v>No</v>
      </c>
      <c r="H2064" s="5" t="str">
        <f ca="1">IFERROR(__xludf.DUMMYFUNCTION("""COMPUTED_VALUE"""),"None")</f>
        <v>None</v>
      </c>
    </row>
    <row r="2065" spans="1:8">
      <c r="A2065" s="5" t="str">
        <f ca="1">IFERROR(__xludf.DUMMYFUNCTION("""COMPUTED_VALUE"""),"19831007CACOL")</f>
        <v>19831007CACOL</v>
      </c>
      <c r="B2065" s="5"/>
      <c r="C2065" s="5" t="str">
        <f ca="1">IFERROR(__xludf.DUMMYFUNCTION("""COMPUTED_VALUE"""),"Male")</f>
        <v>Male</v>
      </c>
      <c r="D2065" s="5"/>
      <c r="E2065" s="5" t="str">
        <f ca="1">IFERROR(__xludf.DUMMYFUNCTION("""COMPUTED_VALUE"""),"Gang Member")</f>
        <v>Gang Member</v>
      </c>
      <c r="F2065" s="5" t="str">
        <f ca="1">IFERROR(__xludf.DUMMYFUNCTION("""COMPUTED_VALUE"""),"Fled/Escaped")</f>
        <v>Fled/Escaped</v>
      </c>
      <c r="G2065" s="5" t="str">
        <f ca="1">IFERROR(__xludf.DUMMYFUNCTION("""COMPUTED_VALUE"""),"No")</f>
        <v>No</v>
      </c>
      <c r="H2065" s="5" t="str">
        <f ca="1">IFERROR(__xludf.DUMMYFUNCTION("""COMPUTED_VALUE"""),"None")</f>
        <v>None</v>
      </c>
    </row>
    <row r="2066" spans="1:8">
      <c r="A2066" s="5" t="str">
        <f ca="1">IFERROR(__xludf.DUMMYFUNCTION("""COMPUTED_VALUE"""),"19830930TXTET")</f>
        <v>19830930TXTET</v>
      </c>
      <c r="B2066" s="5">
        <f ca="1">IFERROR(__xludf.DUMMYFUNCTION("""COMPUTED_VALUE"""),20)</f>
        <v>20</v>
      </c>
      <c r="C2066" s="5" t="str">
        <f ca="1">IFERROR(__xludf.DUMMYFUNCTION("""COMPUTED_VALUE"""),"Male")</f>
        <v>Male</v>
      </c>
      <c r="D2066" s="5"/>
      <c r="E2066" s="5" t="str">
        <f ca="1">IFERROR(__xludf.DUMMYFUNCTION("""COMPUTED_VALUE"""),"Former Student")</f>
        <v>Former Student</v>
      </c>
      <c r="F2066" s="5" t="str">
        <f ca="1">IFERROR(__xludf.DUMMYFUNCTION("""COMPUTED_VALUE"""),"Fled/Apprehended")</f>
        <v>Fled/Apprehended</v>
      </c>
      <c r="G2066" s="5" t="str">
        <f ca="1">IFERROR(__xludf.DUMMYFUNCTION("""COMPUTED_VALUE"""),"No")</f>
        <v>No</v>
      </c>
      <c r="H2066" s="5" t="str">
        <f ca="1">IFERROR(__xludf.DUMMYFUNCTION("""COMPUTED_VALUE"""),"None")</f>
        <v>None</v>
      </c>
    </row>
    <row r="2067" spans="1:8">
      <c r="A2067" s="5" t="str">
        <f ca="1">IFERROR(__xludf.DUMMYFUNCTION("""COMPUTED_VALUE"""),"19830921MDWAB")</f>
        <v>19830921MDWAB</v>
      </c>
      <c r="B2067" s="5">
        <f ca="1">IFERROR(__xludf.DUMMYFUNCTION("""COMPUTED_VALUE"""),18)</f>
        <v>18</v>
      </c>
      <c r="C2067" s="5" t="str">
        <f ca="1">IFERROR(__xludf.DUMMYFUNCTION("""COMPUTED_VALUE"""),"Male")</f>
        <v>Male</v>
      </c>
      <c r="D2067" s="5"/>
      <c r="E2067" s="5" t="str">
        <f ca="1">IFERROR(__xludf.DUMMYFUNCTION("""COMPUTED_VALUE"""),"Student")</f>
        <v>Student</v>
      </c>
      <c r="F2067" s="5" t="str">
        <f ca="1">IFERROR(__xludf.DUMMYFUNCTION("""COMPUTED_VALUE"""),"Surrendered")</f>
        <v>Surrendered</v>
      </c>
      <c r="G2067" s="5" t="str">
        <f ca="1">IFERROR(__xludf.DUMMYFUNCTION("""COMPUTED_VALUE"""),"No")</f>
        <v>No</v>
      </c>
      <c r="H2067" s="5" t="str">
        <f ca="1">IFERROR(__xludf.DUMMYFUNCTION("""COMPUTED_VALUE"""),"Wounded")</f>
        <v>Wounded</v>
      </c>
    </row>
    <row r="2068" spans="1:8">
      <c r="A2068" s="5" t="str">
        <f ca="1">IFERROR(__xludf.DUMMYFUNCTION("""COMPUTED_VALUE"""),"19830912MIHED")</f>
        <v>19830912MIHED</v>
      </c>
      <c r="B2068" s="5">
        <f ca="1">IFERROR(__xludf.DUMMYFUNCTION("""COMPUTED_VALUE"""),16)</f>
        <v>16</v>
      </c>
      <c r="C2068" s="5" t="str">
        <f ca="1">IFERROR(__xludf.DUMMYFUNCTION("""COMPUTED_VALUE"""),"Male")</f>
        <v>Male</v>
      </c>
      <c r="D2068" s="5" t="str">
        <f ca="1">IFERROR(__xludf.DUMMYFUNCTION("""COMPUTED_VALUE"""),"Black")</f>
        <v>Black</v>
      </c>
      <c r="E2068" s="5" t="str">
        <f ca="1">IFERROR(__xludf.DUMMYFUNCTION("""COMPUTED_VALUE"""),"Student")</f>
        <v>Student</v>
      </c>
      <c r="F2068" s="5" t="str">
        <f ca="1">IFERROR(__xludf.DUMMYFUNCTION("""COMPUTED_VALUE"""),"Fled/Escaped")</f>
        <v>Fled/Escaped</v>
      </c>
      <c r="G2068" s="5" t="str">
        <f ca="1">IFERROR(__xludf.DUMMYFUNCTION("""COMPUTED_VALUE"""),"No")</f>
        <v>No</v>
      </c>
      <c r="H2068" s="5" t="str">
        <f ca="1">IFERROR(__xludf.DUMMYFUNCTION("""COMPUTED_VALUE"""),"None")</f>
        <v>None</v>
      </c>
    </row>
    <row r="2069" spans="1:8">
      <c r="A2069" s="5" t="str">
        <f ca="1">IFERROR(__xludf.DUMMYFUNCTION("""COMPUTED_VALUE"""),"19830912CAMAC")</f>
        <v>19830912CAMAC</v>
      </c>
      <c r="B2069" s="5" t="str">
        <f ca="1">IFERROR(__xludf.DUMMYFUNCTION("""COMPUTED_VALUE"""),"Teen")</f>
        <v>Teen</v>
      </c>
      <c r="C2069" s="5" t="str">
        <f ca="1">IFERROR(__xludf.DUMMYFUNCTION("""COMPUTED_VALUE"""),"Male")</f>
        <v>Male</v>
      </c>
      <c r="D2069" s="5"/>
      <c r="E2069" s="5" t="str">
        <f ca="1">IFERROR(__xludf.DUMMYFUNCTION("""COMPUTED_VALUE"""),"Student")</f>
        <v>Student</v>
      </c>
      <c r="F2069" s="5" t="str">
        <f ca="1">IFERROR(__xludf.DUMMYFUNCTION("""COMPUTED_VALUE"""),"Fled/Apprehended")</f>
        <v>Fled/Apprehended</v>
      </c>
      <c r="G2069" s="5" t="str">
        <f ca="1">IFERROR(__xludf.DUMMYFUNCTION("""COMPUTED_VALUE"""),"No")</f>
        <v>No</v>
      </c>
      <c r="H2069" s="5" t="str">
        <f ca="1">IFERROR(__xludf.DUMMYFUNCTION("""COMPUTED_VALUE"""),"None")</f>
        <v>None</v>
      </c>
    </row>
    <row r="2070" spans="1:8">
      <c r="A2070" s="5" t="str">
        <f ca="1">IFERROR(__xludf.DUMMYFUNCTION("""COMPUTED_VALUE"""),"19830912CAMAC")</f>
        <v>19830912CAMAC</v>
      </c>
      <c r="B2070" s="5" t="str">
        <f ca="1">IFERROR(__xludf.DUMMYFUNCTION("""COMPUTED_VALUE"""),"Teen")</f>
        <v>Teen</v>
      </c>
      <c r="C2070" s="5" t="str">
        <f ca="1">IFERROR(__xludf.DUMMYFUNCTION("""COMPUTED_VALUE"""),"Male")</f>
        <v>Male</v>
      </c>
      <c r="D2070" s="5"/>
      <c r="E2070" s="5" t="str">
        <f ca="1">IFERROR(__xludf.DUMMYFUNCTION("""COMPUTED_VALUE"""),"Student")</f>
        <v>Student</v>
      </c>
      <c r="F2070" s="5" t="str">
        <f ca="1">IFERROR(__xludf.DUMMYFUNCTION("""COMPUTED_VALUE"""),"Fled/Apprehended")</f>
        <v>Fled/Apprehended</v>
      </c>
      <c r="G2070" s="5" t="str">
        <f ca="1">IFERROR(__xludf.DUMMYFUNCTION("""COMPUTED_VALUE"""),"No")</f>
        <v>No</v>
      </c>
      <c r="H2070" s="5" t="str">
        <f ca="1">IFERROR(__xludf.DUMMYFUNCTION("""COMPUTED_VALUE"""),"None")</f>
        <v>None</v>
      </c>
    </row>
    <row r="2071" spans="1:8">
      <c r="A2071" s="5" t="str">
        <f ca="1">IFERROR(__xludf.DUMMYFUNCTION("""COMPUTED_VALUE"""),"19830526PAGRJ")</f>
        <v>19830526PAGRJ</v>
      </c>
      <c r="B2071" s="5">
        <f ca="1">IFERROR(__xludf.DUMMYFUNCTION("""COMPUTED_VALUE"""),17)</f>
        <v>17</v>
      </c>
      <c r="C2071" s="5" t="str">
        <f ca="1">IFERROR(__xludf.DUMMYFUNCTION("""COMPUTED_VALUE"""),"Male")</f>
        <v>Male</v>
      </c>
      <c r="D2071" s="5"/>
      <c r="E2071" s="5" t="str">
        <f ca="1">IFERROR(__xludf.DUMMYFUNCTION("""COMPUTED_VALUE"""),"Student")</f>
        <v>Student</v>
      </c>
      <c r="F2071" s="5" t="str">
        <f ca="1">IFERROR(__xludf.DUMMYFUNCTION("""COMPUTED_VALUE"""),"Suicide")</f>
        <v>Suicide</v>
      </c>
      <c r="G2071" s="5" t="str">
        <f ca="1">IFERROR(__xludf.DUMMYFUNCTION("""COMPUTED_VALUE"""),"Yes")</f>
        <v>Yes</v>
      </c>
      <c r="H2071" s="5" t="str">
        <f ca="1">IFERROR(__xludf.DUMMYFUNCTION("""COMPUTED_VALUE"""),"Suicide")</f>
        <v>Suicide</v>
      </c>
    </row>
    <row r="2072" spans="1:8">
      <c r="A2072" s="5" t="str">
        <f ca="1">IFERROR(__xludf.DUMMYFUNCTION("""COMPUTED_VALUE"""),"19830523OHMAM")</f>
        <v>19830523OHMAM</v>
      </c>
      <c r="B2072" s="5">
        <f ca="1">IFERROR(__xludf.DUMMYFUNCTION("""COMPUTED_VALUE"""),15)</f>
        <v>15</v>
      </c>
      <c r="C2072" s="5" t="str">
        <f ca="1">IFERROR(__xludf.DUMMYFUNCTION("""COMPUTED_VALUE"""),"Male")</f>
        <v>Male</v>
      </c>
      <c r="D2072" s="5"/>
      <c r="E2072" s="5" t="str">
        <f ca="1">IFERROR(__xludf.DUMMYFUNCTION("""COMPUTED_VALUE"""),"Student")</f>
        <v>Student</v>
      </c>
      <c r="F2072" s="5" t="str">
        <f ca="1">IFERROR(__xludf.DUMMYFUNCTION("""COMPUTED_VALUE"""),"Fled/Apprehended")</f>
        <v>Fled/Apprehended</v>
      </c>
      <c r="G2072" s="5" t="str">
        <f ca="1">IFERROR(__xludf.DUMMYFUNCTION("""COMPUTED_VALUE"""),"No")</f>
        <v>No</v>
      </c>
      <c r="H2072" s="5" t="str">
        <f ca="1">IFERROR(__xludf.DUMMYFUNCTION("""COMPUTED_VALUE"""),"None")</f>
        <v>None</v>
      </c>
    </row>
    <row r="2073" spans="1:8">
      <c r="A2073" s="5" t="str">
        <f ca="1">IFERROR(__xludf.DUMMYFUNCTION("""COMPUTED_VALUE"""),"19830518FLNOM")</f>
        <v>19830518FLNOM</v>
      </c>
      <c r="B2073" s="5">
        <f ca="1">IFERROR(__xludf.DUMMYFUNCTION("""COMPUTED_VALUE"""),22)</f>
        <v>22</v>
      </c>
      <c r="C2073" s="5" t="str">
        <f ca="1">IFERROR(__xludf.DUMMYFUNCTION("""COMPUTED_VALUE"""),"Male")</f>
        <v>Male</v>
      </c>
      <c r="D2073" s="5" t="str">
        <f ca="1">IFERROR(__xludf.DUMMYFUNCTION("""COMPUTED_VALUE"""),"Black")</f>
        <v>Black</v>
      </c>
      <c r="E2073" s="5" t="str">
        <f ca="1">IFERROR(__xludf.DUMMYFUNCTION("""COMPUTED_VALUE"""),"No Relation")</f>
        <v>No Relation</v>
      </c>
      <c r="F2073" s="5" t="str">
        <f ca="1">IFERROR(__xludf.DUMMYFUNCTION("""COMPUTED_VALUE"""),"Fled/Apprehended")</f>
        <v>Fled/Apprehended</v>
      </c>
      <c r="G2073" s="5" t="str">
        <f ca="1">IFERROR(__xludf.DUMMYFUNCTION("""COMPUTED_VALUE"""),"No")</f>
        <v>No</v>
      </c>
      <c r="H2073" s="5" t="str">
        <f ca="1">IFERROR(__xludf.DUMMYFUNCTION("""COMPUTED_VALUE"""),"None")</f>
        <v>None</v>
      </c>
    </row>
    <row r="2074" spans="1:8">
      <c r="A2074" s="5" t="str">
        <f ca="1">IFERROR(__xludf.DUMMYFUNCTION("""COMPUTED_VALUE"""),"19830516TXLAD")</f>
        <v>19830516TXLAD</v>
      </c>
      <c r="B2074" s="5">
        <f ca="1">IFERROR(__xludf.DUMMYFUNCTION("""COMPUTED_VALUE"""),41)</f>
        <v>41</v>
      </c>
      <c r="C2074" s="5" t="str">
        <f ca="1">IFERROR(__xludf.DUMMYFUNCTION("""COMPUTED_VALUE"""),"Male")</f>
        <v>Male</v>
      </c>
      <c r="D2074" s="5"/>
      <c r="E2074" s="5" t="str">
        <f ca="1">IFERROR(__xludf.DUMMYFUNCTION("""COMPUTED_VALUE"""),"No Relation")</f>
        <v>No Relation</v>
      </c>
      <c r="F2074" s="5" t="str">
        <f ca="1">IFERROR(__xludf.DUMMYFUNCTION("""COMPUTED_VALUE"""),"Fled/Apprehended")</f>
        <v>Fled/Apprehended</v>
      </c>
      <c r="G2074" s="5" t="str">
        <f ca="1">IFERROR(__xludf.DUMMYFUNCTION("""COMPUTED_VALUE"""),"No")</f>
        <v>No</v>
      </c>
      <c r="H2074" s="5" t="str">
        <f ca="1">IFERROR(__xludf.DUMMYFUNCTION("""COMPUTED_VALUE"""),"None")</f>
        <v>None</v>
      </c>
    </row>
    <row r="2075" spans="1:8">
      <c r="A2075" s="5" t="str">
        <f ca="1">IFERROR(__xludf.DUMMYFUNCTION("""COMPUTED_VALUE"""),"19830516NYBRN")</f>
        <v>19830516NYBRN</v>
      </c>
      <c r="B2075" s="5">
        <f ca="1">IFERROR(__xludf.DUMMYFUNCTION("""COMPUTED_VALUE"""),24)</f>
        <v>24</v>
      </c>
      <c r="C2075" s="5" t="str">
        <f ca="1">IFERROR(__xludf.DUMMYFUNCTION("""COMPUTED_VALUE"""),"Male")</f>
        <v>Male</v>
      </c>
      <c r="D2075" s="5"/>
      <c r="E2075" s="5" t="str">
        <f ca="1">IFERROR(__xludf.DUMMYFUNCTION("""COMPUTED_VALUE"""),"Former Teacher")</f>
        <v>Former Teacher</v>
      </c>
      <c r="F2075" s="5" t="str">
        <f ca="1">IFERROR(__xludf.DUMMYFUNCTION("""COMPUTED_VALUE"""),"Suicide")</f>
        <v>Suicide</v>
      </c>
      <c r="G2075" s="5" t="str">
        <f ca="1">IFERROR(__xludf.DUMMYFUNCTION("""COMPUTED_VALUE"""),"Yes")</f>
        <v>Yes</v>
      </c>
      <c r="H2075" s="5" t="str">
        <f ca="1">IFERROR(__xludf.DUMMYFUNCTION("""COMPUTED_VALUE"""),"Suicide")</f>
        <v>Suicide</v>
      </c>
    </row>
    <row r="2076" spans="1:8">
      <c r="A2076" s="5" t="str">
        <f ca="1">IFERROR(__xludf.DUMMYFUNCTION("""COMPUTED_VALUE"""),"19830421MOBES")</f>
        <v>19830421MOBES</v>
      </c>
      <c r="B2076" s="5" t="str">
        <f ca="1">IFERROR(__xludf.DUMMYFUNCTION("""COMPUTED_VALUE"""),"Adult")</f>
        <v>Adult</v>
      </c>
      <c r="C2076" s="5" t="str">
        <f ca="1">IFERROR(__xludf.DUMMYFUNCTION("""COMPUTED_VALUE"""),"Male")</f>
        <v>Male</v>
      </c>
      <c r="D2076" s="5"/>
      <c r="E2076" s="5" t="str">
        <f ca="1">IFERROR(__xludf.DUMMYFUNCTION("""COMPUTED_VALUE"""),"Unknown")</f>
        <v>Unknown</v>
      </c>
      <c r="F2076" s="5" t="str">
        <f ca="1">IFERROR(__xludf.DUMMYFUNCTION("""COMPUTED_VALUE"""),"Fled/Escaped")</f>
        <v>Fled/Escaped</v>
      </c>
      <c r="G2076" s="5" t="str">
        <f ca="1">IFERROR(__xludf.DUMMYFUNCTION("""COMPUTED_VALUE"""),"No")</f>
        <v>No</v>
      </c>
      <c r="H2076" s="5" t="str">
        <f ca="1">IFERROR(__xludf.DUMMYFUNCTION("""COMPUTED_VALUE"""),"None")</f>
        <v>None</v>
      </c>
    </row>
    <row r="2077" spans="1:8">
      <c r="A2077" s="5" t="str">
        <f ca="1">IFERROR(__xludf.DUMMYFUNCTION("""COMPUTED_VALUE"""),"19830331ILSAC")</f>
        <v>19830331ILSAC</v>
      </c>
      <c r="B2077" s="5">
        <f ca="1">IFERROR(__xludf.DUMMYFUNCTION("""COMPUTED_VALUE"""),11)</f>
        <v>11</v>
      </c>
      <c r="C2077" s="5" t="str">
        <f ca="1">IFERROR(__xludf.DUMMYFUNCTION("""COMPUTED_VALUE"""),"Male")</f>
        <v>Male</v>
      </c>
      <c r="D2077" s="5"/>
      <c r="E2077" s="5" t="str">
        <f ca="1">IFERROR(__xludf.DUMMYFUNCTION("""COMPUTED_VALUE"""),"Student")</f>
        <v>Student</v>
      </c>
      <c r="F2077" s="5" t="str">
        <f ca="1">IFERROR(__xludf.DUMMYFUNCTION("""COMPUTED_VALUE"""),"Surrendered")</f>
        <v>Surrendered</v>
      </c>
      <c r="G2077" s="5" t="str">
        <f ca="1">IFERROR(__xludf.DUMMYFUNCTION("""COMPUTED_VALUE"""),"No")</f>
        <v>No</v>
      </c>
      <c r="H2077" s="5" t="str">
        <f ca="1">IFERROR(__xludf.DUMMYFUNCTION("""COMPUTED_VALUE"""),"None")</f>
        <v>None</v>
      </c>
    </row>
    <row r="2078" spans="1:8">
      <c r="A2078" s="5" t="str">
        <f ca="1">IFERROR(__xludf.DUMMYFUNCTION("""COMPUTED_VALUE"""),"19830202NMALA")</f>
        <v>19830202NMALA</v>
      </c>
      <c r="B2078" s="5"/>
      <c r="C2078" s="5" t="str">
        <f ca="1">IFERROR(__xludf.DUMMYFUNCTION("""COMPUTED_VALUE"""),"Male")</f>
        <v>Male</v>
      </c>
      <c r="D2078" s="5"/>
      <c r="E2078" s="5" t="str">
        <f ca="1">IFERROR(__xludf.DUMMYFUNCTION("""COMPUTED_VALUE"""),"Unknown")</f>
        <v>Unknown</v>
      </c>
      <c r="F2078" s="5" t="str">
        <f ca="1">IFERROR(__xludf.DUMMYFUNCTION("""COMPUTED_VALUE"""),"Fled/Escaped")</f>
        <v>Fled/Escaped</v>
      </c>
      <c r="G2078" s="5" t="str">
        <f ca="1">IFERROR(__xludf.DUMMYFUNCTION("""COMPUTED_VALUE"""),"No")</f>
        <v>No</v>
      </c>
      <c r="H2078" s="5" t="str">
        <f ca="1">IFERROR(__xludf.DUMMYFUNCTION("""COMPUTED_VALUE"""),"None")</f>
        <v>None</v>
      </c>
    </row>
    <row r="2079" spans="1:8">
      <c r="A2079" s="5" t="str">
        <f ca="1">IFERROR(__xludf.DUMMYFUNCTION("""COMPUTED_VALUE"""),"19830201TNRIM")</f>
        <v>19830201TNRIM</v>
      </c>
      <c r="B2079" s="5">
        <f ca="1">IFERROR(__xludf.DUMMYFUNCTION("""COMPUTED_VALUE"""),16)</f>
        <v>16</v>
      </c>
      <c r="C2079" s="5" t="str">
        <f ca="1">IFERROR(__xludf.DUMMYFUNCTION("""COMPUTED_VALUE"""),"Male")</f>
        <v>Male</v>
      </c>
      <c r="D2079" s="5"/>
      <c r="E2079" s="5" t="str">
        <f ca="1">IFERROR(__xludf.DUMMYFUNCTION("""COMPUTED_VALUE"""),"Student")</f>
        <v>Student</v>
      </c>
      <c r="F2079" s="5" t="str">
        <f ca="1">IFERROR(__xludf.DUMMYFUNCTION("""COMPUTED_VALUE"""),"Surrendered")</f>
        <v>Surrendered</v>
      </c>
      <c r="G2079" s="5" t="str">
        <f ca="1">IFERROR(__xludf.DUMMYFUNCTION("""COMPUTED_VALUE"""),"No")</f>
        <v>No</v>
      </c>
      <c r="H2079" s="5" t="str">
        <f ca="1">IFERROR(__xludf.DUMMYFUNCTION("""COMPUTED_VALUE"""),"Wounded")</f>
        <v>Wounded</v>
      </c>
    </row>
    <row r="2080" spans="1:8">
      <c r="A2080" s="5" t="str">
        <f ca="1">IFERROR(__xludf.DUMMYFUNCTION("""COMPUTED_VALUE"""),"19830131FLDED")</f>
        <v>19830131FLDED</v>
      </c>
      <c r="B2080" s="5">
        <f ca="1">IFERROR(__xludf.DUMMYFUNCTION("""COMPUTED_VALUE"""),16)</f>
        <v>16</v>
      </c>
      <c r="C2080" s="5" t="str">
        <f ca="1">IFERROR(__xludf.DUMMYFUNCTION("""COMPUTED_VALUE"""),"Female")</f>
        <v>Female</v>
      </c>
      <c r="D2080" s="5"/>
      <c r="E2080" s="5" t="str">
        <f ca="1">IFERROR(__xludf.DUMMYFUNCTION("""COMPUTED_VALUE"""),"Student")</f>
        <v>Student</v>
      </c>
      <c r="F2080" s="5" t="str">
        <f ca="1">IFERROR(__xludf.DUMMYFUNCTION("""COMPUTED_VALUE"""),"Attempted Suicide")</f>
        <v>Attempted Suicide</v>
      </c>
      <c r="G2080" s="5" t="str">
        <f ca="1">IFERROR(__xludf.DUMMYFUNCTION("""COMPUTED_VALUE"""),"No")</f>
        <v>No</v>
      </c>
      <c r="H2080" s="5" t="str">
        <f ca="1">IFERROR(__xludf.DUMMYFUNCTION("""COMPUTED_VALUE"""),"Wounded")</f>
        <v>Wounded</v>
      </c>
    </row>
    <row r="2081" spans="1:8">
      <c r="A2081" s="5" t="str">
        <f ca="1">IFERROR(__xludf.DUMMYFUNCTION("""COMPUTED_VALUE"""),"19830130TXWEC")</f>
        <v>19830130TXWEC</v>
      </c>
      <c r="B2081" s="5"/>
      <c r="C2081" s="5" t="str">
        <f ca="1">IFERROR(__xludf.DUMMYFUNCTION("""COMPUTED_VALUE"""),"Male")</f>
        <v>Male</v>
      </c>
      <c r="D2081" s="5"/>
      <c r="E2081" s="5" t="str">
        <f ca="1">IFERROR(__xludf.DUMMYFUNCTION("""COMPUTED_VALUE"""),"Unknown")</f>
        <v>Unknown</v>
      </c>
      <c r="F2081" s="5" t="str">
        <f ca="1">IFERROR(__xludf.DUMMYFUNCTION("""COMPUTED_VALUE"""),"Fled/Apprehended")</f>
        <v>Fled/Apprehended</v>
      </c>
      <c r="G2081" s="5" t="str">
        <f ca="1">IFERROR(__xludf.DUMMYFUNCTION("""COMPUTED_VALUE"""),"No")</f>
        <v>No</v>
      </c>
      <c r="H2081" s="5" t="str">
        <f ca="1">IFERROR(__xludf.DUMMYFUNCTION("""COMPUTED_VALUE"""),"None")</f>
        <v>None</v>
      </c>
    </row>
    <row r="2082" spans="1:8">
      <c r="A2082" s="5" t="str">
        <f ca="1">IFERROR(__xludf.DUMMYFUNCTION("""COMPUTED_VALUE"""),"19830128MDWIB")</f>
        <v>19830128MDWIB</v>
      </c>
      <c r="B2082" s="5">
        <f ca="1">IFERROR(__xludf.DUMMYFUNCTION("""COMPUTED_VALUE"""),14)</f>
        <v>14</v>
      </c>
      <c r="C2082" s="5" t="str">
        <f ca="1">IFERROR(__xludf.DUMMYFUNCTION("""COMPUTED_VALUE"""),"Male")</f>
        <v>Male</v>
      </c>
      <c r="D2082" s="5"/>
      <c r="E2082" s="5" t="str">
        <f ca="1">IFERROR(__xludf.DUMMYFUNCTION("""COMPUTED_VALUE"""),"Student")</f>
        <v>Student</v>
      </c>
      <c r="F2082" s="5" t="str">
        <f ca="1">IFERROR(__xludf.DUMMYFUNCTION("""COMPUTED_VALUE"""),"Surrendered")</f>
        <v>Surrendered</v>
      </c>
      <c r="G2082" s="5" t="str">
        <f ca="1">IFERROR(__xludf.DUMMYFUNCTION("""COMPUTED_VALUE"""),"No")</f>
        <v>No</v>
      </c>
      <c r="H2082" s="5" t="str">
        <f ca="1">IFERROR(__xludf.DUMMYFUNCTION("""COMPUTED_VALUE"""),"Wounded")</f>
        <v>Wounded</v>
      </c>
    </row>
    <row r="2083" spans="1:8">
      <c r="A2083" s="5" t="str">
        <f ca="1">IFERROR(__xludf.DUMMYFUNCTION("""COMPUTED_VALUE"""),"19830120MOPAB")</f>
        <v>19830120MOPAB</v>
      </c>
      <c r="B2083" s="5">
        <f ca="1">IFERROR(__xludf.DUMMYFUNCTION("""COMPUTED_VALUE"""),14)</f>
        <v>14</v>
      </c>
      <c r="C2083" s="5" t="str">
        <f ca="1">IFERROR(__xludf.DUMMYFUNCTION("""COMPUTED_VALUE"""),"Male")</f>
        <v>Male</v>
      </c>
      <c r="D2083" s="5" t="str">
        <f ca="1">IFERROR(__xludf.DUMMYFUNCTION("""COMPUTED_VALUE"""),"White")</f>
        <v>White</v>
      </c>
      <c r="E2083" s="5" t="str">
        <f ca="1">IFERROR(__xludf.DUMMYFUNCTION("""COMPUTED_VALUE"""),"Student")</f>
        <v>Student</v>
      </c>
      <c r="F2083" s="5" t="str">
        <f ca="1">IFERROR(__xludf.DUMMYFUNCTION("""COMPUTED_VALUE"""),"Suicide")</f>
        <v>Suicide</v>
      </c>
      <c r="G2083" s="5" t="str">
        <f ca="1">IFERROR(__xludf.DUMMYFUNCTION("""COMPUTED_VALUE"""),"Yes")</f>
        <v>Yes</v>
      </c>
      <c r="H2083" s="5" t="str">
        <f ca="1">IFERROR(__xludf.DUMMYFUNCTION("""COMPUTED_VALUE"""),"Suicide")</f>
        <v>Suicide</v>
      </c>
    </row>
    <row r="2084" spans="1:8">
      <c r="A2084" s="5" t="str">
        <f ca="1">IFERROR(__xludf.DUMMYFUNCTION("""COMPUTED_VALUE"""),"19830118TXJOH")</f>
        <v>19830118TXJOH</v>
      </c>
      <c r="B2084" s="5">
        <f ca="1">IFERROR(__xludf.DUMMYFUNCTION("""COMPUTED_VALUE"""),21)</f>
        <v>21</v>
      </c>
      <c r="C2084" s="5" t="str">
        <f ca="1">IFERROR(__xludf.DUMMYFUNCTION("""COMPUTED_VALUE"""),"Male")</f>
        <v>Male</v>
      </c>
      <c r="D2084" s="5"/>
      <c r="E2084" s="5" t="str">
        <f ca="1">IFERROR(__xludf.DUMMYFUNCTION("""COMPUTED_VALUE"""),"Student")</f>
        <v>Student</v>
      </c>
      <c r="F2084" s="5" t="str">
        <f ca="1">IFERROR(__xludf.DUMMYFUNCTION("""COMPUTED_VALUE"""),"Suicide")</f>
        <v>Suicide</v>
      </c>
      <c r="G2084" s="5" t="str">
        <f ca="1">IFERROR(__xludf.DUMMYFUNCTION("""COMPUTED_VALUE"""),"Yes")</f>
        <v>Yes</v>
      </c>
      <c r="H2084" s="5" t="str">
        <f ca="1">IFERROR(__xludf.DUMMYFUNCTION("""COMPUTED_VALUE"""),"Suicide")</f>
        <v>Suicide</v>
      </c>
    </row>
    <row r="2085" spans="1:8">
      <c r="A2085" s="5" t="str">
        <f ca="1">IFERROR(__xludf.DUMMYFUNCTION("""COMPUTED_VALUE"""),"19821220MIFID")</f>
        <v>19821220MIFID</v>
      </c>
      <c r="B2085" s="5" t="str">
        <f ca="1">IFERROR(__xludf.DUMMYFUNCTION("""COMPUTED_VALUE"""),"Adult")</f>
        <v>Adult</v>
      </c>
      <c r="C2085" s="5" t="str">
        <f ca="1">IFERROR(__xludf.DUMMYFUNCTION("""COMPUTED_VALUE"""),"Male")</f>
        <v>Male</v>
      </c>
      <c r="D2085" s="5"/>
      <c r="E2085" s="5" t="str">
        <f ca="1">IFERROR(__xludf.DUMMYFUNCTION("""COMPUTED_VALUE"""),"Unknown")</f>
        <v>Unknown</v>
      </c>
      <c r="F2085" s="5" t="str">
        <f ca="1">IFERROR(__xludf.DUMMYFUNCTION("""COMPUTED_VALUE"""),"Fled/Escaped")</f>
        <v>Fled/Escaped</v>
      </c>
      <c r="G2085" s="5" t="str">
        <f ca="1">IFERROR(__xludf.DUMMYFUNCTION("""COMPUTED_VALUE"""),"No")</f>
        <v>No</v>
      </c>
      <c r="H2085" s="5" t="str">
        <f ca="1">IFERROR(__xludf.DUMMYFUNCTION("""COMPUTED_VALUE"""),"None")</f>
        <v>None</v>
      </c>
    </row>
    <row r="2086" spans="1:8">
      <c r="A2086" s="5" t="str">
        <f ca="1">IFERROR(__xludf.DUMMYFUNCTION("""COMPUTED_VALUE"""),"19821206ALHUH")</f>
        <v>19821206ALHUH</v>
      </c>
      <c r="B2086" s="5">
        <f ca="1">IFERROR(__xludf.DUMMYFUNCTION("""COMPUTED_VALUE"""),17)</f>
        <v>17</v>
      </c>
      <c r="C2086" s="5" t="str">
        <f ca="1">IFERROR(__xludf.DUMMYFUNCTION("""COMPUTED_VALUE"""),"Male")</f>
        <v>Male</v>
      </c>
      <c r="D2086" s="5"/>
      <c r="E2086" s="5" t="str">
        <f ca="1">IFERROR(__xludf.DUMMYFUNCTION("""COMPUTED_VALUE"""),"Student")</f>
        <v>Student</v>
      </c>
      <c r="F2086" s="5" t="str">
        <f ca="1">IFERROR(__xludf.DUMMYFUNCTION("""COMPUTED_VALUE"""),"Suicide")</f>
        <v>Suicide</v>
      </c>
      <c r="G2086" s="5" t="str">
        <f ca="1">IFERROR(__xludf.DUMMYFUNCTION("""COMPUTED_VALUE"""),"Yes")</f>
        <v>Yes</v>
      </c>
      <c r="H2086" s="5" t="str">
        <f ca="1">IFERROR(__xludf.DUMMYFUNCTION("""COMPUTED_VALUE"""),"Suicide")</f>
        <v>Suicide</v>
      </c>
    </row>
    <row r="2087" spans="1:8">
      <c r="A2087" s="5" t="str">
        <f ca="1">IFERROR(__xludf.DUMMYFUNCTION("""COMPUTED_VALUE"""),"19821112MSWIJ")</f>
        <v>19821112MSWIJ</v>
      </c>
      <c r="B2087" s="5">
        <f ca="1">IFERROR(__xludf.DUMMYFUNCTION("""COMPUTED_VALUE"""),20)</f>
        <v>20</v>
      </c>
      <c r="C2087" s="5" t="str">
        <f ca="1">IFERROR(__xludf.DUMMYFUNCTION("""COMPUTED_VALUE"""),"Male")</f>
        <v>Male</v>
      </c>
      <c r="D2087" s="5"/>
      <c r="E2087" s="5" t="str">
        <f ca="1">IFERROR(__xludf.DUMMYFUNCTION("""COMPUTED_VALUE"""),"Intimate Relationship")</f>
        <v>Intimate Relationship</v>
      </c>
      <c r="F2087" s="5" t="str">
        <f ca="1">IFERROR(__xludf.DUMMYFUNCTION("""COMPUTED_VALUE"""),"Suicide")</f>
        <v>Suicide</v>
      </c>
      <c r="G2087" s="5" t="str">
        <f ca="1">IFERROR(__xludf.DUMMYFUNCTION("""COMPUTED_VALUE"""),"Yes")</f>
        <v>Yes</v>
      </c>
      <c r="H2087" s="5" t="str">
        <f ca="1">IFERROR(__xludf.DUMMYFUNCTION("""COMPUTED_VALUE"""),"Suicide")</f>
        <v>Suicide</v>
      </c>
    </row>
    <row r="2088" spans="1:8">
      <c r="A2088" s="5" t="str">
        <f ca="1">IFERROR(__xludf.DUMMYFUNCTION("""COMPUTED_VALUE"""),"19821108MICOD")</f>
        <v>19821108MICOD</v>
      </c>
      <c r="B2088" s="5">
        <f ca="1">IFERROR(__xludf.DUMMYFUNCTION("""COMPUTED_VALUE"""),15)</f>
        <v>15</v>
      </c>
      <c r="C2088" s="5" t="str">
        <f ca="1">IFERROR(__xludf.DUMMYFUNCTION("""COMPUTED_VALUE"""),"Male")</f>
        <v>Male</v>
      </c>
      <c r="D2088" s="5"/>
      <c r="E2088" s="5" t="str">
        <f ca="1">IFERROR(__xludf.DUMMYFUNCTION("""COMPUTED_VALUE"""),"Student")</f>
        <v>Student</v>
      </c>
      <c r="F2088" s="5" t="str">
        <f ca="1">IFERROR(__xludf.DUMMYFUNCTION("""COMPUTED_VALUE"""),"Surrendered")</f>
        <v>Surrendered</v>
      </c>
      <c r="G2088" s="5" t="str">
        <f ca="1">IFERROR(__xludf.DUMMYFUNCTION("""COMPUTED_VALUE"""),"No")</f>
        <v>No</v>
      </c>
      <c r="H2088" s="5" t="str">
        <f ca="1">IFERROR(__xludf.DUMMYFUNCTION("""COMPUTED_VALUE"""),"None")</f>
        <v>None</v>
      </c>
    </row>
    <row r="2089" spans="1:8">
      <c r="A2089" s="5" t="str">
        <f ca="1">IFERROR(__xludf.DUMMYFUNCTION("""COMPUTED_VALUE"""),"19821101NYELE")</f>
        <v>19821101NYELE</v>
      </c>
      <c r="B2089" s="5">
        <f ca="1">IFERROR(__xludf.DUMMYFUNCTION("""COMPUTED_VALUE"""),16)</f>
        <v>16</v>
      </c>
      <c r="C2089" s="5" t="str">
        <f ca="1">IFERROR(__xludf.DUMMYFUNCTION("""COMPUTED_VALUE"""),"Male")</f>
        <v>Male</v>
      </c>
      <c r="D2089" s="5"/>
      <c r="E2089" s="5" t="str">
        <f ca="1">IFERROR(__xludf.DUMMYFUNCTION("""COMPUTED_VALUE"""),"Student")</f>
        <v>Student</v>
      </c>
      <c r="F2089" s="5" t="str">
        <f ca="1">IFERROR(__xludf.DUMMYFUNCTION("""COMPUTED_VALUE"""),"Fled/Escaped")</f>
        <v>Fled/Escaped</v>
      </c>
      <c r="G2089" s="5" t="str">
        <f ca="1">IFERROR(__xludf.DUMMYFUNCTION("""COMPUTED_VALUE"""),"No")</f>
        <v>No</v>
      </c>
      <c r="H2089" s="5" t="str">
        <f ca="1">IFERROR(__xludf.DUMMYFUNCTION("""COMPUTED_VALUE"""),"None")</f>
        <v>None</v>
      </c>
    </row>
    <row r="2090" spans="1:8">
      <c r="A2090" s="5" t="str">
        <f ca="1">IFERROR(__xludf.DUMMYFUNCTION("""COMPUTED_VALUE"""),"19820915ARSOP")</f>
        <v>19820915ARSOP</v>
      </c>
      <c r="B2090" s="5">
        <f ca="1">IFERROR(__xludf.DUMMYFUNCTION("""COMPUTED_VALUE"""),12)</f>
        <v>12</v>
      </c>
      <c r="C2090" s="5" t="str">
        <f ca="1">IFERROR(__xludf.DUMMYFUNCTION("""COMPUTED_VALUE"""),"Male")</f>
        <v>Male</v>
      </c>
      <c r="D2090" s="5"/>
      <c r="E2090" s="5" t="str">
        <f ca="1">IFERROR(__xludf.DUMMYFUNCTION("""COMPUTED_VALUE"""),"Student")</f>
        <v>Student</v>
      </c>
      <c r="F2090" s="5" t="str">
        <f ca="1">IFERROR(__xludf.DUMMYFUNCTION("""COMPUTED_VALUE"""),"Attempted Suicide")</f>
        <v>Attempted Suicide</v>
      </c>
      <c r="G2090" s="5" t="str">
        <f ca="1">IFERROR(__xludf.DUMMYFUNCTION("""COMPUTED_VALUE"""),"No")</f>
        <v>No</v>
      </c>
      <c r="H2090" s="5" t="str">
        <f ca="1">IFERROR(__xludf.DUMMYFUNCTION("""COMPUTED_VALUE"""),"Wounded")</f>
        <v>Wounded</v>
      </c>
    </row>
    <row r="2091" spans="1:8">
      <c r="A2091" s="5" t="str">
        <f ca="1">IFERROR(__xludf.DUMMYFUNCTION("""COMPUTED_VALUE"""),"19820910VALAB")</f>
        <v>19820910VALAB</v>
      </c>
      <c r="B2091" s="5">
        <f ca="1">IFERROR(__xludf.DUMMYFUNCTION("""COMPUTED_VALUE"""),18)</f>
        <v>18</v>
      </c>
      <c r="C2091" s="5" t="str">
        <f ca="1">IFERROR(__xludf.DUMMYFUNCTION("""COMPUTED_VALUE"""),"Male")</f>
        <v>Male</v>
      </c>
      <c r="D2091" s="5"/>
      <c r="E2091" s="5" t="str">
        <f ca="1">IFERROR(__xludf.DUMMYFUNCTION("""COMPUTED_VALUE"""),"Former Student")</f>
        <v>Former Student</v>
      </c>
      <c r="F2091" s="5" t="str">
        <f ca="1">IFERROR(__xludf.DUMMYFUNCTION("""COMPUTED_VALUE"""),"Surrendered")</f>
        <v>Surrendered</v>
      </c>
      <c r="G2091" s="5" t="str">
        <f ca="1">IFERROR(__xludf.DUMMYFUNCTION("""COMPUTED_VALUE"""),"No")</f>
        <v>No</v>
      </c>
      <c r="H2091" s="5" t="str">
        <f ca="1">IFERROR(__xludf.DUMMYFUNCTION("""COMPUTED_VALUE"""),"None")</f>
        <v>None</v>
      </c>
    </row>
    <row r="2092" spans="1:8">
      <c r="A2092" s="5" t="str">
        <f ca="1">IFERROR(__xludf.DUMMYFUNCTION("""COMPUTED_VALUE"""),"19820527NVGAL")</f>
        <v>19820527NVGAL</v>
      </c>
      <c r="B2092" s="5" t="str">
        <f ca="1">IFERROR(__xludf.DUMMYFUNCTION("""COMPUTED_VALUE"""),"Teen")</f>
        <v>Teen</v>
      </c>
      <c r="C2092" s="5" t="str">
        <f ca="1">IFERROR(__xludf.DUMMYFUNCTION("""COMPUTED_VALUE"""),"Male")</f>
        <v>Male</v>
      </c>
      <c r="D2092" s="5"/>
      <c r="E2092" s="5" t="str">
        <f ca="1">IFERROR(__xludf.DUMMYFUNCTION("""COMPUTED_VALUE"""),"Unknown")</f>
        <v>Unknown</v>
      </c>
      <c r="F2092" s="5" t="str">
        <f ca="1">IFERROR(__xludf.DUMMYFUNCTION("""COMPUTED_VALUE"""),"Fled/Escaped")</f>
        <v>Fled/Escaped</v>
      </c>
      <c r="G2092" s="5" t="str">
        <f ca="1">IFERROR(__xludf.DUMMYFUNCTION("""COMPUTED_VALUE"""),"No")</f>
        <v>No</v>
      </c>
      <c r="H2092" s="5" t="str">
        <f ca="1">IFERROR(__xludf.DUMMYFUNCTION("""COMPUTED_VALUE"""),"None")</f>
        <v>None</v>
      </c>
    </row>
    <row r="2093" spans="1:8">
      <c r="A2093" s="5" t="str">
        <f ca="1">IFERROR(__xludf.DUMMYFUNCTION("""COMPUTED_VALUE"""),"19820527NVGAL")</f>
        <v>19820527NVGAL</v>
      </c>
      <c r="B2093" s="5" t="str">
        <f ca="1">IFERROR(__xludf.DUMMYFUNCTION("""COMPUTED_VALUE"""),"Teen")</f>
        <v>Teen</v>
      </c>
      <c r="C2093" s="5" t="str">
        <f ca="1">IFERROR(__xludf.DUMMYFUNCTION("""COMPUTED_VALUE"""),"Male")</f>
        <v>Male</v>
      </c>
      <c r="D2093" s="5"/>
      <c r="E2093" s="5" t="str">
        <f ca="1">IFERROR(__xludf.DUMMYFUNCTION("""COMPUTED_VALUE"""),"Unknown")</f>
        <v>Unknown</v>
      </c>
      <c r="F2093" s="5" t="str">
        <f ca="1">IFERROR(__xludf.DUMMYFUNCTION("""COMPUTED_VALUE"""),"Fled/Escaped")</f>
        <v>Fled/Escaped</v>
      </c>
      <c r="G2093" s="5" t="str">
        <f ca="1">IFERROR(__xludf.DUMMYFUNCTION("""COMPUTED_VALUE"""),"No")</f>
        <v>No</v>
      </c>
      <c r="H2093" s="5" t="str">
        <f ca="1">IFERROR(__xludf.DUMMYFUNCTION("""COMPUTED_VALUE"""),"None")</f>
        <v>None</v>
      </c>
    </row>
    <row r="2094" spans="1:8">
      <c r="A2094" s="5" t="str">
        <f ca="1">IFERROR(__xludf.DUMMYFUNCTION("""COMPUTED_VALUE"""),"19820527NVGAL")</f>
        <v>19820527NVGAL</v>
      </c>
      <c r="B2094" s="5" t="str">
        <f ca="1">IFERROR(__xludf.DUMMYFUNCTION("""COMPUTED_VALUE"""),"Teen")</f>
        <v>Teen</v>
      </c>
      <c r="C2094" s="5" t="str">
        <f ca="1">IFERROR(__xludf.DUMMYFUNCTION("""COMPUTED_VALUE"""),"Male")</f>
        <v>Male</v>
      </c>
      <c r="D2094" s="5"/>
      <c r="E2094" s="5" t="str">
        <f ca="1">IFERROR(__xludf.DUMMYFUNCTION("""COMPUTED_VALUE"""),"Unknown")</f>
        <v>Unknown</v>
      </c>
      <c r="F2094" s="5" t="str">
        <f ca="1">IFERROR(__xludf.DUMMYFUNCTION("""COMPUTED_VALUE"""),"Fled/Escaped")</f>
        <v>Fled/Escaped</v>
      </c>
      <c r="G2094" s="5" t="str">
        <f ca="1">IFERROR(__xludf.DUMMYFUNCTION("""COMPUTED_VALUE"""),"No")</f>
        <v>No</v>
      </c>
      <c r="H2094" s="5" t="str">
        <f ca="1">IFERROR(__xludf.DUMMYFUNCTION("""COMPUTED_VALUE"""),"None")</f>
        <v>None</v>
      </c>
    </row>
    <row r="2095" spans="1:8">
      <c r="A2095" s="5" t="str">
        <f ca="1">IFERROR(__xludf.DUMMYFUNCTION("""COMPUTED_VALUE"""),"19820430FLANA")</f>
        <v>19820430FLANA</v>
      </c>
      <c r="B2095" s="5">
        <f ca="1">IFERROR(__xludf.DUMMYFUNCTION("""COMPUTED_VALUE"""),19)</f>
        <v>19</v>
      </c>
      <c r="C2095" s="5" t="str">
        <f ca="1">IFERROR(__xludf.DUMMYFUNCTION("""COMPUTED_VALUE"""),"Male")</f>
        <v>Male</v>
      </c>
      <c r="D2095" s="5"/>
      <c r="E2095" s="5" t="str">
        <f ca="1">IFERROR(__xludf.DUMMYFUNCTION("""COMPUTED_VALUE"""),"Student")</f>
        <v>Student</v>
      </c>
      <c r="F2095" s="5" t="str">
        <f ca="1">IFERROR(__xludf.DUMMYFUNCTION("""COMPUTED_VALUE"""),"Fled/Apprehended")</f>
        <v>Fled/Apprehended</v>
      </c>
      <c r="G2095" s="5" t="str">
        <f ca="1">IFERROR(__xludf.DUMMYFUNCTION("""COMPUTED_VALUE"""),"No")</f>
        <v>No</v>
      </c>
      <c r="H2095" s="5" t="str">
        <f ca="1">IFERROR(__xludf.DUMMYFUNCTION("""COMPUTED_VALUE"""),"None")</f>
        <v>None</v>
      </c>
    </row>
    <row r="2096" spans="1:8">
      <c r="A2096" s="5" t="str">
        <f ca="1">IFERROR(__xludf.DUMMYFUNCTION("""COMPUTED_VALUE"""),"19820429GARUE")</f>
        <v>19820429GARUE</v>
      </c>
      <c r="B2096" s="5">
        <f ca="1">IFERROR(__xludf.DUMMYFUNCTION("""COMPUTED_VALUE"""),16)</f>
        <v>16</v>
      </c>
      <c r="C2096" s="5" t="str">
        <f ca="1">IFERROR(__xludf.DUMMYFUNCTION("""COMPUTED_VALUE"""),"Male")</f>
        <v>Male</v>
      </c>
      <c r="D2096" s="5" t="str">
        <f ca="1">IFERROR(__xludf.DUMMYFUNCTION("""COMPUTED_VALUE"""),"White")</f>
        <v>White</v>
      </c>
      <c r="E2096" s="5" t="str">
        <f ca="1">IFERROR(__xludf.DUMMYFUNCTION("""COMPUTED_VALUE"""),"Student")</f>
        <v>Student</v>
      </c>
      <c r="F2096" s="5" t="str">
        <f ca="1">IFERROR(__xludf.DUMMYFUNCTION("""COMPUTED_VALUE"""),"Surrendered")</f>
        <v>Surrendered</v>
      </c>
      <c r="G2096" s="5" t="str">
        <f ca="1">IFERROR(__xludf.DUMMYFUNCTION("""COMPUTED_VALUE"""),"No")</f>
        <v>No</v>
      </c>
      <c r="H2096" s="5" t="str">
        <f ca="1">IFERROR(__xludf.DUMMYFUNCTION("""COMPUTED_VALUE"""),"Wounded")</f>
        <v>Wounded</v>
      </c>
    </row>
    <row r="2097" spans="1:8">
      <c r="A2097" s="5" t="str">
        <f ca="1">IFERROR(__xludf.DUMMYFUNCTION("""COMPUTED_VALUE"""),"19820415MDFOB")</f>
        <v>19820415MDFOB</v>
      </c>
      <c r="B2097" s="5" t="str">
        <f ca="1">IFERROR(__xludf.DUMMYFUNCTION("""COMPUTED_VALUE"""),"Teen")</f>
        <v>Teen</v>
      </c>
      <c r="C2097" s="5" t="str">
        <f ca="1">IFERROR(__xludf.DUMMYFUNCTION("""COMPUTED_VALUE"""),"Male")</f>
        <v>Male</v>
      </c>
      <c r="D2097" s="5"/>
      <c r="E2097" s="5" t="str">
        <f ca="1">IFERROR(__xludf.DUMMYFUNCTION("""COMPUTED_VALUE"""),"Unknown")</f>
        <v>Unknown</v>
      </c>
      <c r="F2097" s="5" t="str">
        <f ca="1">IFERROR(__xludf.DUMMYFUNCTION("""COMPUTED_VALUE"""),"Fled/Apprehended")</f>
        <v>Fled/Apprehended</v>
      </c>
      <c r="G2097" s="5" t="str">
        <f ca="1">IFERROR(__xludf.DUMMYFUNCTION("""COMPUTED_VALUE"""),"No")</f>
        <v>No</v>
      </c>
      <c r="H2097" s="5" t="str">
        <f ca="1">IFERROR(__xludf.DUMMYFUNCTION("""COMPUTED_VALUE"""),"None")</f>
        <v>None</v>
      </c>
    </row>
    <row r="2098" spans="1:8">
      <c r="A2098" s="5" t="str">
        <f ca="1">IFERROR(__xludf.DUMMYFUNCTION("""COMPUTED_VALUE"""),"19820407CODEL")</f>
        <v>19820407CODEL</v>
      </c>
      <c r="B2098" s="5">
        <f ca="1">IFERROR(__xludf.DUMMYFUNCTION("""COMPUTED_VALUE"""),14)</f>
        <v>14</v>
      </c>
      <c r="C2098" s="5" t="str">
        <f ca="1">IFERROR(__xludf.DUMMYFUNCTION("""COMPUTED_VALUE"""),"Male")</f>
        <v>Male</v>
      </c>
      <c r="D2098" s="5" t="str">
        <f ca="1">IFERROR(__xludf.DUMMYFUNCTION("""COMPUTED_VALUE"""),"White")</f>
        <v>White</v>
      </c>
      <c r="E2098" s="5" t="str">
        <f ca="1">IFERROR(__xludf.DUMMYFUNCTION("""COMPUTED_VALUE"""),"Student")</f>
        <v>Student</v>
      </c>
      <c r="F2098" s="5" t="str">
        <f ca="1">IFERROR(__xludf.DUMMYFUNCTION("""COMPUTED_VALUE"""),"Unknown")</f>
        <v>Unknown</v>
      </c>
      <c r="G2098" s="5" t="str">
        <f ca="1">IFERROR(__xludf.DUMMYFUNCTION("""COMPUTED_VALUE"""),"No")</f>
        <v>No</v>
      </c>
      <c r="H2098" s="5" t="str">
        <f ca="1">IFERROR(__xludf.DUMMYFUNCTION("""COMPUTED_VALUE"""),"None")</f>
        <v>None</v>
      </c>
    </row>
    <row r="2099" spans="1:8">
      <c r="A2099" s="5" t="str">
        <f ca="1">IFERROR(__xludf.DUMMYFUNCTION("""COMPUTED_VALUE"""),"19820319NVVAL")</f>
        <v>19820319NVVAL</v>
      </c>
      <c r="B2099" s="5">
        <f ca="1">IFERROR(__xludf.DUMMYFUNCTION("""COMPUTED_VALUE"""),17)</f>
        <v>17</v>
      </c>
      <c r="C2099" s="5" t="str">
        <f ca="1">IFERROR(__xludf.DUMMYFUNCTION("""COMPUTED_VALUE"""),"Male")</f>
        <v>Male</v>
      </c>
      <c r="D2099" s="5" t="str">
        <f ca="1">IFERROR(__xludf.DUMMYFUNCTION("""COMPUTED_VALUE"""),"Black")</f>
        <v>Black</v>
      </c>
      <c r="E2099" s="5" t="str">
        <f ca="1">IFERROR(__xludf.DUMMYFUNCTION("""COMPUTED_VALUE"""),"Student")</f>
        <v>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c r="A2100" s="5" t="str">
        <f ca="1">IFERROR(__xludf.DUMMYFUNCTION("""COMPUTED_VALUE"""),"19820317OHLOL")</f>
        <v>19820317OHLOL</v>
      </c>
      <c r="B2100" s="5">
        <f ca="1">IFERROR(__xludf.DUMMYFUNCTION("""COMPUTED_VALUE"""),17)</f>
        <v>17</v>
      </c>
      <c r="C2100" s="5" t="str">
        <f ca="1">IFERROR(__xludf.DUMMYFUNCTION("""COMPUTED_VALUE"""),"Male")</f>
        <v>Male</v>
      </c>
      <c r="D2100" s="5"/>
      <c r="E2100" s="5" t="str">
        <f ca="1">IFERROR(__xludf.DUMMYFUNCTION("""COMPUTED_VALUE"""),"Student")</f>
        <v>Student</v>
      </c>
      <c r="F2100" s="5" t="str">
        <f ca="1">IFERROR(__xludf.DUMMYFUNCTION("""COMPUTED_VALUE"""),"Attempted Suicide")</f>
        <v>Attempted Suicide</v>
      </c>
      <c r="G2100" s="5" t="str">
        <f ca="1">IFERROR(__xludf.DUMMYFUNCTION("""COMPUTED_VALUE"""),"No")</f>
        <v>No</v>
      </c>
      <c r="H2100" s="5" t="str">
        <f ca="1">IFERROR(__xludf.DUMMYFUNCTION("""COMPUTED_VALUE"""),"Wounded")</f>
        <v>Wounded</v>
      </c>
    </row>
    <row r="2101" spans="1:8">
      <c r="A2101" s="5" t="str">
        <f ca="1">IFERROR(__xludf.DUMMYFUNCTION("""COMPUTED_VALUE"""),"19820315ORSPS")</f>
        <v>19820315ORSPS</v>
      </c>
      <c r="B2101" s="5">
        <f ca="1">IFERROR(__xludf.DUMMYFUNCTION("""COMPUTED_VALUE"""),14)</f>
        <v>14</v>
      </c>
      <c r="C2101" s="5" t="str">
        <f ca="1">IFERROR(__xludf.DUMMYFUNCTION("""COMPUTED_VALUE"""),"Male")</f>
        <v>Male</v>
      </c>
      <c r="D2101" s="5"/>
      <c r="E2101" s="5" t="str">
        <f ca="1">IFERROR(__xludf.DUMMYFUNCTION("""COMPUTED_VALUE"""),"Student")</f>
        <v>Student</v>
      </c>
      <c r="F2101" s="5" t="str">
        <f ca="1">IFERROR(__xludf.DUMMYFUNCTION("""COMPUTED_VALUE"""),"Suicide")</f>
        <v>Suicide</v>
      </c>
      <c r="G2101" s="5" t="str">
        <f ca="1">IFERROR(__xludf.DUMMYFUNCTION("""COMPUTED_VALUE"""),"Yes")</f>
        <v>Yes</v>
      </c>
      <c r="H2101" s="5" t="str">
        <f ca="1">IFERROR(__xludf.DUMMYFUNCTION("""COMPUTED_VALUE"""),"Suicide")</f>
        <v>Suicide</v>
      </c>
    </row>
    <row r="2102" spans="1:8">
      <c r="A2102" s="5" t="str">
        <f ca="1">IFERROR(__xludf.DUMMYFUNCTION("""COMPUTED_VALUE"""),"19820209LAJON")</f>
        <v>19820209LAJON</v>
      </c>
      <c r="B2102" s="5">
        <f ca="1">IFERROR(__xludf.DUMMYFUNCTION("""COMPUTED_VALUE"""),16)</f>
        <v>16</v>
      </c>
      <c r="C2102" s="5" t="str">
        <f ca="1">IFERROR(__xludf.DUMMYFUNCTION("""COMPUTED_VALUE"""),"Male")</f>
        <v>Male</v>
      </c>
      <c r="D2102" s="5"/>
      <c r="E2102" s="5" t="str">
        <f ca="1">IFERROR(__xludf.DUMMYFUNCTION("""COMPUTED_VALUE"""),"Former Student")</f>
        <v>Former Student</v>
      </c>
      <c r="F2102" s="5" t="str">
        <f ca="1">IFERROR(__xludf.DUMMYFUNCTION("""COMPUTED_VALUE"""),"Fled/Apprehended")</f>
        <v>Fled/Apprehended</v>
      </c>
      <c r="G2102" s="5" t="str">
        <f ca="1">IFERROR(__xludf.DUMMYFUNCTION("""COMPUTED_VALUE"""),"No")</f>
        <v>No</v>
      </c>
      <c r="H2102" s="5" t="str">
        <f ca="1">IFERROR(__xludf.DUMMYFUNCTION("""COMPUTED_VALUE"""),"Wounded")</f>
        <v>Wounded</v>
      </c>
    </row>
    <row r="2103" spans="1:8">
      <c r="A2103" s="5" t="str">
        <f ca="1">IFERROR(__xludf.DUMMYFUNCTION("""COMPUTED_VALUE"""),"19820209LAJON")</f>
        <v>19820209LAJON</v>
      </c>
      <c r="B2103" s="5">
        <f ca="1">IFERROR(__xludf.DUMMYFUNCTION("""COMPUTED_VALUE"""),15)</f>
        <v>15</v>
      </c>
      <c r="C2103" s="5" t="str">
        <f ca="1">IFERROR(__xludf.DUMMYFUNCTION("""COMPUTED_VALUE"""),"Male")</f>
        <v>Male</v>
      </c>
      <c r="D2103" s="5"/>
      <c r="E2103" s="5" t="str">
        <f ca="1">IFERROR(__xludf.DUMMYFUNCTION("""COMPUTED_VALUE"""),"Former Student")</f>
        <v>Former Student</v>
      </c>
      <c r="F2103" s="5" t="str">
        <f ca="1">IFERROR(__xludf.DUMMYFUNCTION("""COMPUTED_VALUE"""),"Fled/Apprehended")</f>
        <v>Fled/Apprehended</v>
      </c>
      <c r="G2103" s="5" t="str">
        <f ca="1">IFERROR(__xludf.DUMMYFUNCTION("""COMPUTED_VALUE"""),"No")</f>
        <v>No</v>
      </c>
      <c r="H2103" s="5" t="str">
        <f ca="1">IFERROR(__xludf.DUMMYFUNCTION("""COMPUTED_VALUE"""),"Wounded")</f>
        <v>Wounded</v>
      </c>
    </row>
    <row r="2104" spans="1:8">
      <c r="A2104" s="5" t="str">
        <f ca="1">IFERROR(__xludf.DUMMYFUNCTION("""COMPUTED_VALUE"""),"19820208MADOD")</f>
        <v>19820208MADOD</v>
      </c>
      <c r="B2104" s="5">
        <f ca="1">IFERROR(__xludf.DUMMYFUNCTION("""COMPUTED_VALUE"""),19)</f>
        <v>19</v>
      </c>
      <c r="C2104" s="5" t="str">
        <f ca="1">IFERROR(__xludf.DUMMYFUNCTION("""COMPUTED_VALUE"""),"Male")</f>
        <v>Male</v>
      </c>
      <c r="D2104" s="5" t="str">
        <f ca="1">IFERROR(__xludf.DUMMYFUNCTION("""COMPUTED_VALUE"""),"Black")</f>
        <v>Black</v>
      </c>
      <c r="E2104" s="5" t="str">
        <f ca="1">IFERROR(__xludf.DUMMYFUNCTION("""COMPUTED_VALUE"""),"Student")</f>
        <v>Student</v>
      </c>
      <c r="F2104" s="5" t="str">
        <f ca="1">IFERROR(__xludf.DUMMYFUNCTION("""COMPUTED_VALUE"""),"Fled/Apprehended")</f>
        <v>Fled/Apprehended</v>
      </c>
      <c r="G2104" s="5" t="str">
        <f ca="1">IFERROR(__xludf.DUMMYFUNCTION("""COMPUTED_VALUE"""),"No")</f>
        <v>No</v>
      </c>
      <c r="H2104" s="5" t="str">
        <f ca="1">IFERROR(__xludf.DUMMYFUNCTION("""COMPUTED_VALUE"""),"None")</f>
        <v>None</v>
      </c>
    </row>
    <row r="2105" spans="1:8">
      <c r="A2105" s="5" t="str">
        <f ca="1">IFERROR(__xludf.DUMMYFUNCTION("""COMPUTED_VALUE"""),"19820205TNHAM")</f>
        <v>19820205TNHAM</v>
      </c>
      <c r="B2105" s="5"/>
      <c r="C2105" s="5" t="str">
        <f ca="1">IFERROR(__xludf.DUMMYFUNCTION("""COMPUTED_VALUE"""),"Male")</f>
        <v>Male</v>
      </c>
      <c r="D2105" s="5"/>
      <c r="E2105" s="5" t="str">
        <f ca="1">IFERROR(__xludf.DUMMYFUNCTION("""COMPUTED_VALUE"""),"Unknown")</f>
        <v>Unknown</v>
      </c>
      <c r="F2105" s="5" t="str">
        <f ca="1">IFERROR(__xludf.DUMMYFUNCTION("""COMPUTED_VALUE"""),"Fled/Escaped")</f>
        <v>Fled/Escaped</v>
      </c>
      <c r="G2105" s="5" t="str">
        <f ca="1">IFERROR(__xludf.DUMMYFUNCTION("""COMPUTED_VALUE"""),"No")</f>
        <v>No</v>
      </c>
      <c r="H2105" s="5" t="str">
        <f ca="1">IFERROR(__xludf.DUMMYFUNCTION("""COMPUTED_VALUE"""),"None")</f>
        <v>None</v>
      </c>
    </row>
    <row r="2106" spans="1:8">
      <c r="A2106" s="5" t="str">
        <f ca="1">IFERROR(__xludf.DUMMYFUNCTION("""COMPUTED_VALUE"""),"19811223NYJAB")</f>
        <v>19811223NYJAB</v>
      </c>
      <c r="B2106" s="5" t="str">
        <f ca="1">IFERROR(__xludf.DUMMYFUNCTION("""COMPUTED_VALUE"""),"Teen")</f>
        <v>Teen</v>
      </c>
      <c r="C2106" s="5" t="str">
        <f ca="1">IFERROR(__xludf.DUMMYFUNCTION("""COMPUTED_VALUE"""),"Male")</f>
        <v>Male</v>
      </c>
      <c r="D2106" s="5"/>
      <c r="E2106" s="5" t="str">
        <f ca="1">IFERROR(__xludf.DUMMYFUNCTION("""COMPUTED_VALUE"""),"Student")</f>
        <v>Student</v>
      </c>
      <c r="F2106" s="5" t="str">
        <f ca="1">IFERROR(__xludf.DUMMYFUNCTION("""COMPUTED_VALUE"""),"Fled/Escaped")</f>
        <v>Fled/Escaped</v>
      </c>
      <c r="G2106" s="5" t="str">
        <f ca="1">IFERROR(__xludf.DUMMYFUNCTION("""COMPUTED_VALUE"""),"No")</f>
        <v>No</v>
      </c>
      <c r="H2106" s="5" t="str">
        <f ca="1">IFERROR(__xludf.DUMMYFUNCTION("""COMPUTED_VALUE"""),"None")</f>
        <v>None</v>
      </c>
    </row>
    <row r="2107" spans="1:8">
      <c r="A2107" s="5" t="str">
        <f ca="1">IFERROR(__xludf.DUMMYFUNCTION("""COMPUTED_VALUE"""),"19811216TXUNH")</f>
        <v>19811216TXUNH</v>
      </c>
      <c r="B2107" s="5">
        <f ca="1">IFERROR(__xludf.DUMMYFUNCTION("""COMPUTED_VALUE"""),17)</f>
        <v>17</v>
      </c>
      <c r="C2107" s="5" t="str">
        <f ca="1">IFERROR(__xludf.DUMMYFUNCTION("""COMPUTED_VALUE"""),"Male")</f>
        <v>Male</v>
      </c>
      <c r="D2107" s="5"/>
      <c r="E2107" s="5" t="str">
        <f ca="1">IFERROR(__xludf.DUMMYFUNCTION("""COMPUTED_VALUE"""),"Student")</f>
        <v>Student</v>
      </c>
      <c r="F2107" s="5" t="str">
        <f ca="1">IFERROR(__xludf.DUMMYFUNCTION("""COMPUTED_VALUE"""),"Fled/Apprehended")</f>
        <v>Fled/Apprehended</v>
      </c>
      <c r="G2107" s="5" t="str">
        <f ca="1">IFERROR(__xludf.DUMMYFUNCTION("""COMPUTED_VALUE"""),"No")</f>
        <v>No</v>
      </c>
      <c r="H2107" s="5" t="str">
        <f ca="1">IFERROR(__xludf.DUMMYFUNCTION("""COMPUTED_VALUE"""),"None")</f>
        <v>None</v>
      </c>
    </row>
    <row r="2108" spans="1:8">
      <c r="A2108" s="5" t="str">
        <f ca="1">IFERROR(__xludf.DUMMYFUNCTION("""COMPUTED_VALUE"""),"19811209NYGEB")</f>
        <v>19811209NYGEB</v>
      </c>
      <c r="B2108" s="5"/>
      <c r="C2108" s="5" t="str">
        <f ca="1">IFERROR(__xludf.DUMMYFUNCTION("""COMPUTED_VALUE"""),"Male")</f>
        <v>Male</v>
      </c>
      <c r="D2108" s="5"/>
      <c r="E2108" s="5" t="str">
        <f ca="1">IFERROR(__xludf.DUMMYFUNCTION("""COMPUTED_VALUE"""),"Unknown")</f>
        <v>Unknown</v>
      </c>
      <c r="F2108" s="5" t="str">
        <f ca="1">IFERROR(__xludf.DUMMYFUNCTION("""COMPUTED_VALUE"""),"Fled/Escaped")</f>
        <v>Fled/Escaped</v>
      </c>
      <c r="G2108" s="5" t="str">
        <f ca="1">IFERROR(__xludf.DUMMYFUNCTION("""COMPUTED_VALUE"""),"No")</f>
        <v>No</v>
      </c>
      <c r="H2108" s="5" t="str">
        <f ca="1">IFERROR(__xludf.DUMMYFUNCTION("""COMPUTED_VALUE"""),"None")</f>
        <v>None</v>
      </c>
    </row>
    <row r="2109" spans="1:8">
      <c r="A2109" s="5" t="str">
        <f ca="1">IFERROR(__xludf.DUMMYFUNCTION("""COMPUTED_VALUE"""),"19811013CTHAH")</f>
        <v>19811013CTHAH</v>
      </c>
      <c r="B2109" s="5">
        <f ca="1">IFERROR(__xludf.DUMMYFUNCTION("""COMPUTED_VALUE"""),16)</f>
        <v>16</v>
      </c>
      <c r="C2109" s="5" t="str">
        <f ca="1">IFERROR(__xludf.DUMMYFUNCTION("""COMPUTED_VALUE"""),"Male")</f>
        <v>Male</v>
      </c>
      <c r="D2109" s="5"/>
      <c r="E2109" s="5" t="str">
        <f ca="1">IFERROR(__xludf.DUMMYFUNCTION("""COMPUTED_VALUE"""),"Student")</f>
        <v>Student</v>
      </c>
      <c r="F2109" s="5" t="str">
        <f ca="1">IFERROR(__xludf.DUMMYFUNCTION("""COMPUTED_VALUE"""),"Fled/Apprehended")</f>
        <v>Fled/Apprehended</v>
      </c>
      <c r="G2109" s="5" t="str">
        <f ca="1">IFERROR(__xludf.DUMMYFUNCTION("""COMPUTED_VALUE"""),"No")</f>
        <v>No</v>
      </c>
      <c r="H2109" s="5" t="str">
        <f ca="1">IFERROR(__xludf.DUMMYFUNCTION("""COMPUTED_VALUE"""),"None")</f>
        <v>None</v>
      </c>
    </row>
    <row r="2110" spans="1:8">
      <c r="A2110" s="5" t="str">
        <f ca="1">IFERROR(__xludf.DUMMYFUNCTION("""COMPUTED_VALUE"""),"19810913MDABA")</f>
        <v>19810913MDABA</v>
      </c>
      <c r="B2110" s="5" t="str">
        <f ca="1">IFERROR(__xludf.DUMMYFUNCTION("""COMPUTED_VALUE"""),"Adult")</f>
        <v>Adult</v>
      </c>
      <c r="C2110" s="5"/>
      <c r="D2110" s="5"/>
      <c r="E2110" s="5" t="str">
        <f ca="1">IFERROR(__xludf.DUMMYFUNCTION("""COMPUTED_VALUE"""),"Police Officer/SRO")</f>
        <v>Police Officer/SRO</v>
      </c>
      <c r="F2110" s="5" t="str">
        <f ca="1">IFERROR(__xludf.DUMMYFUNCTION("""COMPUTED_VALUE"""),"Law Enforcement")</f>
        <v>Law Enforcement</v>
      </c>
      <c r="G2110" s="5" t="str">
        <f ca="1">IFERROR(__xludf.DUMMYFUNCTION("""COMPUTED_VALUE"""),"No")</f>
        <v>No</v>
      </c>
      <c r="H2110" s="5" t="str">
        <f ca="1">IFERROR(__xludf.DUMMYFUNCTION("""COMPUTED_VALUE"""),"None")</f>
        <v>None</v>
      </c>
    </row>
    <row r="2111" spans="1:8">
      <c r="A2111" s="5" t="str">
        <f ca="1">IFERROR(__xludf.DUMMYFUNCTION("""COMPUTED_VALUE"""),"19810908FLSTW")</f>
        <v>19810908FLSTW</v>
      </c>
      <c r="B2111" s="5">
        <f ca="1">IFERROR(__xludf.DUMMYFUNCTION("""COMPUTED_VALUE"""),12)</f>
        <v>12</v>
      </c>
      <c r="C2111" s="5" t="str">
        <f ca="1">IFERROR(__xludf.DUMMYFUNCTION("""COMPUTED_VALUE"""),"Male")</f>
        <v>Male</v>
      </c>
      <c r="D2111" s="5"/>
      <c r="E2111" s="5" t="str">
        <f ca="1">IFERROR(__xludf.DUMMYFUNCTION("""COMPUTED_VALUE"""),"Student")</f>
        <v>Student</v>
      </c>
      <c r="F2111" s="5" t="str">
        <f ca="1">IFERROR(__xludf.DUMMYFUNCTION("""COMPUTED_VALUE"""),"Fled/Apprehended")</f>
        <v>Fled/Apprehended</v>
      </c>
      <c r="G2111" s="5" t="str">
        <f ca="1">IFERROR(__xludf.DUMMYFUNCTION("""COMPUTED_VALUE"""),"No")</f>
        <v>No</v>
      </c>
      <c r="H2111" s="5" t="str">
        <f ca="1">IFERROR(__xludf.DUMMYFUNCTION("""COMPUTED_VALUE"""),"Wounded")</f>
        <v>Wounded</v>
      </c>
    </row>
    <row r="2112" spans="1:8">
      <c r="A2112" s="5" t="str">
        <f ca="1">IFERROR(__xludf.DUMMYFUNCTION("""COMPUTED_VALUE"""),"19810904NMHOS")</f>
        <v>19810904NMHOS</v>
      </c>
      <c r="B2112" s="5">
        <f ca="1">IFERROR(__xludf.DUMMYFUNCTION("""COMPUTED_VALUE"""),16)</f>
        <v>16</v>
      </c>
      <c r="C2112" s="5" t="str">
        <f ca="1">IFERROR(__xludf.DUMMYFUNCTION("""COMPUTED_VALUE"""),"Male")</f>
        <v>Male</v>
      </c>
      <c r="D2112" s="5"/>
      <c r="E2112" s="5" t="str">
        <f ca="1">IFERROR(__xludf.DUMMYFUNCTION("""COMPUTED_VALUE"""),"Student")</f>
        <v>Student</v>
      </c>
      <c r="F2112" s="5" t="str">
        <f ca="1">IFERROR(__xludf.DUMMYFUNCTION("""COMPUTED_VALUE"""),"Fled/Apprehended")</f>
        <v>Fled/Apprehended</v>
      </c>
      <c r="G2112" s="5" t="str">
        <f ca="1">IFERROR(__xludf.DUMMYFUNCTION("""COMPUTED_VALUE"""),"No")</f>
        <v>No</v>
      </c>
      <c r="H2112" s="5" t="str">
        <f ca="1">IFERROR(__xludf.DUMMYFUNCTION("""COMPUTED_VALUE"""),"None")</f>
        <v>None</v>
      </c>
    </row>
    <row r="2113" spans="1:8">
      <c r="A2113" s="5" t="str">
        <f ca="1">IFERROR(__xludf.DUMMYFUNCTION("""COMPUTED_VALUE"""),"19810901PAWIP")</f>
        <v>19810901PAWIP</v>
      </c>
      <c r="B2113" s="5"/>
      <c r="C2113" s="5" t="str">
        <f ca="1">IFERROR(__xludf.DUMMYFUNCTION("""COMPUTED_VALUE"""),"Male")</f>
        <v>Male</v>
      </c>
      <c r="D2113" s="5"/>
      <c r="E2113" s="5" t="str">
        <f ca="1">IFERROR(__xludf.DUMMYFUNCTION("""COMPUTED_VALUE"""),"Unknown")</f>
        <v>Unknown</v>
      </c>
      <c r="F2113" s="5" t="str">
        <f ca="1">IFERROR(__xludf.DUMMYFUNCTION("""COMPUTED_VALUE"""),"Fled/Escaped")</f>
        <v>Fled/Escaped</v>
      </c>
      <c r="G2113" s="5" t="str">
        <f ca="1">IFERROR(__xludf.DUMMYFUNCTION("""COMPUTED_VALUE"""),"No")</f>
        <v>No</v>
      </c>
      <c r="H2113" s="5" t="str">
        <f ca="1">IFERROR(__xludf.DUMMYFUNCTION("""COMPUTED_VALUE"""),"None")</f>
        <v>None</v>
      </c>
    </row>
    <row r="2114" spans="1:8">
      <c r="A2114" s="5" t="str">
        <f ca="1">IFERROR(__xludf.DUMMYFUNCTION("""COMPUTED_VALUE"""),"19810515LANEN")</f>
        <v>19810515LANEN</v>
      </c>
      <c r="B2114" s="5">
        <f ca="1">IFERROR(__xludf.DUMMYFUNCTION("""COMPUTED_VALUE"""),42)</f>
        <v>42</v>
      </c>
      <c r="C2114" s="5" t="str">
        <f ca="1">IFERROR(__xludf.DUMMYFUNCTION("""COMPUTED_VALUE"""),"Male")</f>
        <v>Male</v>
      </c>
      <c r="D2114" s="5"/>
      <c r="E2114" s="5" t="str">
        <f ca="1">IFERROR(__xludf.DUMMYFUNCTION("""COMPUTED_VALUE"""),"Other Staff")</f>
        <v>Other Staff</v>
      </c>
      <c r="F2114" s="5" t="str">
        <f ca="1">IFERROR(__xludf.DUMMYFUNCTION("""COMPUTED_VALUE"""),"Surrendered")</f>
        <v>Surrendered</v>
      </c>
      <c r="G2114" s="5" t="str">
        <f ca="1">IFERROR(__xludf.DUMMYFUNCTION("""COMPUTED_VALUE"""),"No")</f>
        <v>No</v>
      </c>
      <c r="H2114" s="5" t="str">
        <f ca="1">IFERROR(__xludf.DUMMYFUNCTION("""COMPUTED_VALUE"""),"None")</f>
        <v>None</v>
      </c>
    </row>
    <row r="2115" spans="1:8">
      <c r="A2115" s="5" t="str">
        <f ca="1">IFERROR(__xludf.DUMMYFUNCTION("""COMPUTED_VALUE"""),"19810407MSPOP")</f>
        <v>19810407MSPOP</v>
      </c>
      <c r="B2115" s="5"/>
      <c r="C2115" s="5"/>
      <c r="D2115" s="5"/>
      <c r="E2115" s="5" t="str">
        <f ca="1">IFERROR(__xludf.DUMMYFUNCTION("""COMPUTED_VALUE"""),"Unknown")</f>
        <v>Unknown</v>
      </c>
      <c r="F2115" s="5" t="str">
        <f ca="1">IFERROR(__xludf.DUMMYFUNCTION("""COMPUTED_VALUE"""),"Fled/Escaped")</f>
        <v>Fled/Escaped</v>
      </c>
      <c r="G2115" s="5" t="str">
        <f ca="1">IFERROR(__xludf.DUMMYFUNCTION("""COMPUTED_VALUE"""),"No")</f>
        <v>No</v>
      </c>
      <c r="H2115" s="5" t="str">
        <f ca="1">IFERROR(__xludf.DUMMYFUNCTION("""COMPUTED_VALUE"""),"None")</f>
        <v>None</v>
      </c>
    </row>
    <row r="2116" spans="1:8">
      <c r="A2116" s="5" t="str">
        <f ca="1">IFERROR(__xludf.DUMMYFUNCTION("""COMPUTED_VALUE"""),"19810402OHALC")</f>
        <v>19810402OHALC</v>
      </c>
      <c r="B2116" s="5">
        <f ca="1">IFERROR(__xludf.DUMMYFUNCTION("""COMPUTED_VALUE"""),14)</f>
        <v>14</v>
      </c>
      <c r="C2116" s="5" t="str">
        <f ca="1">IFERROR(__xludf.DUMMYFUNCTION("""COMPUTED_VALUE"""),"Male")</f>
        <v>Male</v>
      </c>
      <c r="D2116" s="5"/>
      <c r="E2116" s="5" t="str">
        <f ca="1">IFERROR(__xludf.DUMMYFUNCTION("""COMPUTED_VALUE"""),"Student")</f>
        <v>Student</v>
      </c>
      <c r="F2116" s="5" t="str">
        <f ca="1">IFERROR(__xludf.DUMMYFUNCTION("""COMPUTED_VALUE"""),"Fled/Apprehended")</f>
        <v>Fled/Apprehended</v>
      </c>
      <c r="G2116" s="5" t="str">
        <f ca="1">IFERROR(__xludf.DUMMYFUNCTION("""COMPUTED_VALUE"""),"No")</f>
        <v>No</v>
      </c>
      <c r="H2116" s="5" t="str">
        <f ca="1">IFERROR(__xludf.DUMMYFUNCTION("""COMPUTED_VALUE"""),"None")</f>
        <v>None</v>
      </c>
    </row>
    <row r="2117" spans="1:8">
      <c r="A2117" s="5" t="str">
        <f ca="1">IFERROR(__xludf.DUMMYFUNCTION("""COMPUTED_VALUE"""),"19810328FLDIF")</f>
        <v>19810328FLDIF</v>
      </c>
      <c r="B2117" s="5">
        <f ca="1">IFERROR(__xludf.DUMMYFUNCTION("""COMPUTED_VALUE"""),18)</f>
        <v>18</v>
      </c>
      <c r="C2117" s="5" t="str">
        <f ca="1">IFERROR(__xludf.DUMMYFUNCTION("""COMPUTED_VALUE"""),"Male")</f>
        <v>Male</v>
      </c>
      <c r="D2117" s="5"/>
      <c r="E2117" s="5" t="str">
        <f ca="1">IFERROR(__xludf.DUMMYFUNCTION("""COMPUTED_VALUE"""),"Student")</f>
        <v>Student</v>
      </c>
      <c r="F2117" s="5" t="str">
        <f ca="1">IFERROR(__xludf.DUMMYFUNCTION("""COMPUTED_VALUE"""),"Fled/Apprehended")</f>
        <v>Fled/Apprehended</v>
      </c>
      <c r="G2117" s="5" t="str">
        <f ca="1">IFERROR(__xludf.DUMMYFUNCTION("""COMPUTED_VALUE"""),"No")</f>
        <v>No</v>
      </c>
      <c r="H2117" s="5" t="str">
        <f ca="1">IFERROR(__xludf.DUMMYFUNCTION("""COMPUTED_VALUE"""),"None")</f>
        <v>None</v>
      </c>
    </row>
    <row r="2118" spans="1:8">
      <c r="A2118" s="5" t="str">
        <f ca="1">IFERROR(__xludf.DUMMYFUNCTION("""COMPUTED_VALUE"""),"19810303INMAI")</f>
        <v>19810303INMAI</v>
      </c>
      <c r="B2118" s="5">
        <f ca="1">IFERROR(__xludf.DUMMYFUNCTION("""COMPUTED_VALUE"""),15)</f>
        <v>15</v>
      </c>
      <c r="C2118" s="5" t="str">
        <f ca="1">IFERROR(__xludf.DUMMYFUNCTION("""COMPUTED_VALUE"""),"Male")</f>
        <v>Male</v>
      </c>
      <c r="D2118" s="5"/>
      <c r="E2118" s="5" t="str">
        <f ca="1">IFERROR(__xludf.DUMMYFUNCTION("""COMPUTED_VALUE"""),"Student")</f>
        <v>Student</v>
      </c>
      <c r="F2118" s="5" t="str">
        <f ca="1">IFERROR(__xludf.DUMMYFUNCTION("""COMPUTED_VALUE"""),"Fled/Apprehended")</f>
        <v>Fled/Apprehended</v>
      </c>
      <c r="G2118" s="5" t="str">
        <f ca="1">IFERROR(__xludf.DUMMYFUNCTION("""COMPUTED_VALUE"""),"No")</f>
        <v>No</v>
      </c>
      <c r="H2118" s="5" t="str">
        <f ca="1">IFERROR(__xludf.DUMMYFUNCTION("""COMPUTED_VALUE"""),"None")</f>
        <v>None</v>
      </c>
    </row>
    <row r="2119" spans="1:8">
      <c r="A2119" s="5" t="str">
        <f ca="1">IFERROR(__xludf.DUMMYFUNCTION("""COMPUTED_VALUE"""),"19810210CAMAL")</f>
        <v>19810210CAMAL</v>
      </c>
      <c r="B2119" s="5">
        <f ca="1">IFERROR(__xludf.DUMMYFUNCTION("""COMPUTED_VALUE"""),19)</f>
        <v>19</v>
      </c>
      <c r="C2119" s="5" t="str">
        <f ca="1">IFERROR(__xludf.DUMMYFUNCTION("""COMPUTED_VALUE"""),"Male")</f>
        <v>Male</v>
      </c>
      <c r="D2119" s="5"/>
      <c r="E2119" s="5" t="str">
        <f ca="1">IFERROR(__xludf.DUMMYFUNCTION("""COMPUTED_VALUE"""),"Unknown")</f>
        <v>Unknown</v>
      </c>
      <c r="F2119" s="5" t="str">
        <f ca="1">IFERROR(__xludf.DUMMYFUNCTION("""COMPUTED_VALUE"""),"Fled/Apprehended")</f>
        <v>Fled/Apprehended</v>
      </c>
      <c r="G2119" s="5" t="str">
        <f ca="1">IFERROR(__xludf.DUMMYFUNCTION("""COMPUTED_VALUE"""),"No")</f>
        <v>No</v>
      </c>
      <c r="H2119" s="5" t="str">
        <f ca="1">IFERROR(__xludf.DUMMYFUNCTION("""COMPUTED_VALUE"""),"None")</f>
        <v>None</v>
      </c>
    </row>
    <row r="2120" spans="1:8">
      <c r="A2120" s="5" t="str">
        <f ca="1">IFERROR(__xludf.DUMMYFUNCTION("""COMPUTED_VALUE"""),"19810210ARLIL")</f>
        <v>19810210ARLIL</v>
      </c>
      <c r="B2120" s="5">
        <f ca="1">IFERROR(__xludf.DUMMYFUNCTION("""COMPUTED_VALUE"""),16)</f>
        <v>16</v>
      </c>
      <c r="C2120" s="5" t="str">
        <f ca="1">IFERROR(__xludf.DUMMYFUNCTION("""COMPUTED_VALUE"""),"Male")</f>
        <v>Male</v>
      </c>
      <c r="D2120" s="5"/>
      <c r="E2120" s="5" t="str">
        <f ca="1">IFERROR(__xludf.DUMMYFUNCTION("""COMPUTED_VALUE"""),"Student")</f>
        <v>Student</v>
      </c>
      <c r="F2120" s="5" t="str">
        <f ca="1">IFERROR(__xludf.DUMMYFUNCTION("""COMPUTED_VALUE"""),"Fled/Apprehended")</f>
        <v>Fled/Apprehended</v>
      </c>
      <c r="G2120" s="5" t="str">
        <f ca="1">IFERROR(__xludf.DUMMYFUNCTION("""COMPUTED_VALUE"""),"No")</f>
        <v>No</v>
      </c>
      <c r="H2120" s="5" t="str">
        <f ca="1">IFERROR(__xludf.DUMMYFUNCTION("""COMPUTED_VALUE"""),"None")</f>
        <v>None</v>
      </c>
    </row>
    <row r="2121" spans="1:8">
      <c r="A2121" s="5" t="str">
        <f ca="1">IFERROR(__xludf.DUMMYFUNCTION("""COMPUTED_VALUE"""),"19810122MDFRB")</f>
        <v>19810122MDFRB</v>
      </c>
      <c r="B2121" s="5">
        <f ca="1">IFERROR(__xludf.DUMMYFUNCTION("""COMPUTED_VALUE"""),17)</f>
        <v>17</v>
      </c>
      <c r="C2121" s="5" t="str">
        <f ca="1">IFERROR(__xludf.DUMMYFUNCTION("""COMPUTED_VALUE"""),"Male")</f>
        <v>Male</v>
      </c>
      <c r="D2121" s="5"/>
      <c r="E2121" s="5" t="str">
        <f ca="1">IFERROR(__xludf.DUMMYFUNCTION("""COMPUTED_VALUE"""),"Student")</f>
        <v>Student</v>
      </c>
      <c r="F2121" s="5" t="str">
        <f ca="1">IFERROR(__xludf.DUMMYFUNCTION("""COMPUTED_VALUE"""),"Fled/Apprehended")</f>
        <v>Fled/Apprehended</v>
      </c>
      <c r="G2121" s="5" t="str">
        <f ca="1">IFERROR(__xludf.DUMMYFUNCTION("""COMPUTED_VALUE"""),"No")</f>
        <v>No</v>
      </c>
      <c r="H2121" s="5" t="str">
        <f ca="1">IFERROR(__xludf.DUMMYFUNCTION("""COMPUTED_VALUE"""),"None")</f>
        <v>None</v>
      </c>
    </row>
    <row r="2122" spans="1:8">
      <c r="A2122" s="5" t="str">
        <f ca="1">IFERROR(__xludf.DUMMYFUNCTION("""COMPUTED_VALUE"""),"19810121OHWIB")</f>
        <v>19810121OHWIB</v>
      </c>
      <c r="B2122" s="5">
        <f ca="1">IFERROR(__xludf.DUMMYFUNCTION("""COMPUTED_VALUE"""),14)</f>
        <v>14</v>
      </c>
      <c r="C2122" s="5" t="str">
        <f ca="1">IFERROR(__xludf.DUMMYFUNCTION("""COMPUTED_VALUE"""),"Male")</f>
        <v>Male</v>
      </c>
      <c r="D2122" s="5" t="str">
        <f ca="1">IFERROR(__xludf.DUMMYFUNCTION("""COMPUTED_VALUE"""),"White")</f>
        <v>White</v>
      </c>
      <c r="E2122" s="5" t="str">
        <f ca="1">IFERROR(__xludf.DUMMYFUNCTION("""COMPUTED_VALUE"""),"Student")</f>
        <v>Student</v>
      </c>
      <c r="F2122" s="5" t="str">
        <f ca="1">IFERROR(__xludf.DUMMYFUNCTION("""COMPUTED_VALUE"""),"Fled/Apprehended")</f>
        <v>Fled/Apprehended</v>
      </c>
      <c r="G2122" s="5" t="str">
        <f ca="1">IFERROR(__xludf.DUMMYFUNCTION("""COMPUTED_VALUE"""),"No")</f>
        <v>No</v>
      </c>
      <c r="H2122" s="5" t="str">
        <f ca="1">IFERROR(__xludf.DUMMYFUNCTION("""COMPUTED_VALUE"""),"None")</f>
        <v>None</v>
      </c>
    </row>
    <row r="2123" spans="1:8">
      <c r="A2123" s="5" t="str">
        <f ca="1">IFERROR(__xludf.DUMMYFUNCTION("""COMPUTED_VALUE"""),"19801212OHLOL")</f>
        <v>19801212OHLOL</v>
      </c>
      <c r="B2123" s="5">
        <f ca="1">IFERROR(__xludf.DUMMYFUNCTION("""COMPUTED_VALUE"""),14)</f>
        <v>14</v>
      </c>
      <c r="C2123" s="5" t="str">
        <f ca="1">IFERROR(__xludf.DUMMYFUNCTION("""COMPUTED_VALUE"""),"Male")</f>
        <v>Male</v>
      </c>
      <c r="D2123" s="5"/>
      <c r="E2123" s="5" t="str">
        <f ca="1">IFERROR(__xludf.DUMMYFUNCTION("""COMPUTED_VALUE"""),"Student")</f>
        <v>Student</v>
      </c>
      <c r="F2123" s="5" t="str">
        <f ca="1">IFERROR(__xludf.DUMMYFUNCTION("""COMPUTED_VALUE"""),"Surrendered")</f>
        <v>Surrendered</v>
      </c>
      <c r="G2123" s="5" t="str">
        <f ca="1">IFERROR(__xludf.DUMMYFUNCTION("""COMPUTED_VALUE"""),"No")</f>
        <v>No</v>
      </c>
      <c r="H2123" s="5" t="str">
        <f ca="1">IFERROR(__xludf.DUMMYFUNCTION("""COMPUTED_VALUE"""),"None")</f>
        <v>None</v>
      </c>
    </row>
    <row r="2124" spans="1:8">
      <c r="A2124" s="5" t="str">
        <f ca="1">IFERROR(__xludf.DUMMYFUNCTION("""COMPUTED_VALUE"""),"19801212ALPAB")</f>
        <v>19801212ALPAB</v>
      </c>
      <c r="B2124" s="5">
        <f ca="1">IFERROR(__xludf.DUMMYFUNCTION("""COMPUTED_VALUE"""),15)</f>
        <v>15</v>
      </c>
      <c r="C2124" s="5" t="str">
        <f ca="1">IFERROR(__xludf.DUMMYFUNCTION("""COMPUTED_VALUE"""),"Male")</f>
        <v>Male</v>
      </c>
      <c r="D2124" s="5"/>
      <c r="E2124" s="5" t="str">
        <f ca="1">IFERROR(__xludf.DUMMYFUNCTION("""COMPUTED_VALUE"""),"No Relation")</f>
        <v>No Relation</v>
      </c>
      <c r="F2124" s="5" t="str">
        <f ca="1">IFERROR(__xludf.DUMMYFUNCTION("""COMPUTED_VALUE"""),"Fled/Apprehended")</f>
        <v>Fled/Apprehended</v>
      </c>
      <c r="G2124" s="5" t="str">
        <f ca="1">IFERROR(__xludf.DUMMYFUNCTION("""COMPUTED_VALUE"""),"No")</f>
        <v>No</v>
      </c>
      <c r="H2124" s="5" t="str">
        <f ca="1">IFERROR(__xludf.DUMMYFUNCTION("""COMPUTED_VALUE"""),"None")</f>
        <v>None</v>
      </c>
    </row>
    <row r="2125" spans="1:8">
      <c r="A2125" s="5" t="str">
        <f ca="1">IFERROR(__xludf.DUMMYFUNCTION("""COMPUTED_VALUE"""),"19801117TXEAF")</f>
        <v>19801117TXEAF</v>
      </c>
      <c r="B2125" s="5">
        <f ca="1">IFERROR(__xludf.DUMMYFUNCTION("""COMPUTED_VALUE"""),16)</f>
        <v>16</v>
      </c>
      <c r="C2125" s="5" t="str">
        <f ca="1">IFERROR(__xludf.DUMMYFUNCTION("""COMPUTED_VALUE"""),"Male")</f>
        <v>Male</v>
      </c>
      <c r="D2125" s="5"/>
      <c r="E2125" s="5" t="str">
        <f ca="1">IFERROR(__xludf.DUMMYFUNCTION("""COMPUTED_VALUE"""),"Student")</f>
        <v>Student</v>
      </c>
      <c r="F2125" s="5" t="str">
        <f ca="1">IFERROR(__xludf.DUMMYFUNCTION("""COMPUTED_VALUE"""),"Subdued by Students/Staff/Other")</f>
        <v>Subdued by Students/Staff/Other</v>
      </c>
      <c r="G2125" s="5" t="str">
        <f ca="1">IFERROR(__xludf.DUMMYFUNCTION("""COMPUTED_VALUE"""),"No")</f>
        <v>No</v>
      </c>
      <c r="H2125" s="5" t="str">
        <f ca="1">IFERROR(__xludf.DUMMYFUNCTION("""COMPUTED_VALUE"""),"None")</f>
        <v>None</v>
      </c>
    </row>
    <row r="2126" spans="1:8">
      <c r="A2126" s="5" t="str">
        <f ca="1">IFERROR(__xludf.DUMMYFUNCTION("""COMPUTED_VALUE"""),"19801031ALHUH")</f>
        <v>19801031ALHUH</v>
      </c>
      <c r="B2126" s="5">
        <f ca="1">IFERROR(__xludf.DUMMYFUNCTION("""COMPUTED_VALUE"""),17)</f>
        <v>17</v>
      </c>
      <c r="C2126" s="5" t="str">
        <f ca="1">IFERROR(__xludf.DUMMYFUNCTION("""COMPUTED_VALUE"""),"Male")</f>
        <v>Male</v>
      </c>
      <c r="D2126" s="5"/>
      <c r="E2126" s="5" t="str">
        <f ca="1">IFERROR(__xludf.DUMMYFUNCTION("""COMPUTED_VALUE"""),"Student")</f>
        <v>Student</v>
      </c>
      <c r="F2126" s="5" t="str">
        <f ca="1">IFERROR(__xludf.DUMMYFUNCTION("""COMPUTED_VALUE"""),"Suicide")</f>
        <v>Suicide</v>
      </c>
      <c r="G2126" s="5" t="str">
        <f ca="1">IFERROR(__xludf.DUMMYFUNCTION("""COMPUTED_VALUE"""),"Yes")</f>
        <v>Yes</v>
      </c>
      <c r="H2126" s="5" t="str">
        <f ca="1">IFERROR(__xludf.DUMMYFUNCTION("""COMPUTED_VALUE"""),"Suicide")</f>
        <v>Suicide</v>
      </c>
    </row>
    <row r="2127" spans="1:8">
      <c r="A2127" s="5" t="str">
        <f ca="1">IFERROR(__xludf.DUMMYFUNCTION("""COMPUTED_VALUE"""),"19801013ALCET")</f>
        <v>19801013ALCET</v>
      </c>
      <c r="B2127" s="5">
        <f ca="1">IFERROR(__xludf.DUMMYFUNCTION("""COMPUTED_VALUE"""),17)</f>
        <v>17</v>
      </c>
      <c r="C2127" s="5" t="str">
        <f ca="1">IFERROR(__xludf.DUMMYFUNCTION("""COMPUTED_VALUE"""),"Male")</f>
        <v>Male</v>
      </c>
      <c r="D2127" s="5"/>
      <c r="E2127" s="5" t="str">
        <f ca="1">IFERROR(__xludf.DUMMYFUNCTION("""COMPUTED_VALUE"""),"Student")</f>
        <v>Student</v>
      </c>
      <c r="F2127" s="5" t="str">
        <f ca="1">IFERROR(__xludf.DUMMYFUNCTION("""COMPUTED_VALUE"""),"Fled/Apprehended")</f>
        <v>Fled/Apprehended</v>
      </c>
      <c r="G2127" s="5" t="str">
        <f ca="1">IFERROR(__xludf.DUMMYFUNCTION("""COMPUTED_VALUE"""),"No")</f>
        <v>No</v>
      </c>
      <c r="H2127" s="5" t="str">
        <f ca="1">IFERROR(__xludf.DUMMYFUNCTION("""COMPUTED_VALUE"""),"None")</f>
        <v>None</v>
      </c>
    </row>
    <row r="2128" spans="1:8">
      <c r="A2128" s="5" t="str">
        <f ca="1">IFERROR(__xludf.DUMMYFUNCTION("""COMPUTED_VALUE"""),"19800926CTBRB")</f>
        <v>19800926CTBRB</v>
      </c>
      <c r="B2128" s="5">
        <f ca="1">IFERROR(__xludf.DUMMYFUNCTION("""COMPUTED_VALUE"""),19)</f>
        <v>19</v>
      </c>
      <c r="C2128" s="5" t="str">
        <f ca="1">IFERROR(__xludf.DUMMYFUNCTION("""COMPUTED_VALUE"""),"Male")</f>
        <v>Male</v>
      </c>
      <c r="D2128" s="5"/>
      <c r="E2128" s="5" t="str">
        <f ca="1">IFERROR(__xludf.DUMMYFUNCTION("""COMPUTED_VALUE"""),"Former Student")</f>
        <v>Former Student</v>
      </c>
      <c r="F2128" s="5" t="str">
        <f ca="1">IFERROR(__xludf.DUMMYFUNCTION("""COMPUTED_VALUE"""),"Fled/Escaped")</f>
        <v>Fled/Escaped</v>
      </c>
      <c r="G2128" s="5" t="str">
        <f ca="1">IFERROR(__xludf.DUMMYFUNCTION("""COMPUTED_VALUE"""),"No")</f>
        <v>No</v>
      </c>
      <c r="H2128" s="5" t="str">
        <f ca="1">IFERROR(__xludf.DUMMYFUNCTION("""COMPUTED_VALUE"""),"None")</f>
        <v>None</v>
      </c>
    </row>
    <row r="2129" spans="1:8">
      <c r="A2129" s="5" t="str">
        <f ca="1">IFERROR(__xludf.DUMMYFUNCTION("""COMPUTED_VALUE"""),"19800911ALJOM")</f>
        <v>19800911ALJOM</v>
      </c>
      <c r="B2129" s="5">
        <f ca="1">IFERROR(__xludf.DUMMYFUNCTION("""COMPUTED_VALUE"""),29)</f>
        <v>29</v>
      </c>
      <c r="C2129" s="5" t="str">
        <f ca="1">IFERROR(__xludf.DUMMYFUNCTION("""COMPUTED_VALUE"""),"Female")</f>
        <v>Female</v>
      </c>
      <c r="D2129" s="5"/>
      <c r="E2129" s="5" t="str">
        <f ca="1">IFERROR(__xludf.DUMMYFUNCTION("""COMPUTED_VALUE"""),"Teacher")</f>
        <v>Teacher</v>
      </c>
      <c r="F2129" s="5" t="str">
        <f ca="1">IFERROR(__xludf.DUMMYFUNCTION("""COMPUTED_VALUE"""),"Surrendered")</f>
        <v>Surrendered</v>
      </c>
      <c r="G2129" s="5" t="str">
        <f ca="1">IFERROR(__xludf.DUMMYFUNCTION("""COMPUTED_VALUE"""),"No")</f>
        <v>No</v>
      </c>
      <c r="H2129" s="5" t="str">
        <f ca="1">IFERROR(__xludf.DUMMYFUNCTION("""COMPUTED_VALUE"""),"None")</f>
        <v>None</v>
      </c>
    </row>
    <row r="2130" spans="1:8">
      <c r="A2130" s="5" t="str">
        <f ca="1">IFERROR(__xludf.DUMMYFUNCTION("""COMPUTED_VALUE"""),"19800910DCSPW")</f>
        <v>19800910DCSPW</v>
      </c>
      <c r="B2130" s="5">
        <f ca="1">IFERROR(__xludf.DUMMYFUNCTION("""COMPUTED_VALUE"""),18)</f>
        <v>18</v>
      </c>
      <c r="C2130" s="5" t="str">
        <f ca="1">IFERROR(__xludf.DUMMYFUNCTION("""COMPUTED_VALUE"""),"Male")</f>
        <v>Male</v>
      </c>
      <c r="D2130" s="5"/>
      <c r="E2130" s="5" t="str">
        <f ca="1">IFERROR(__xludf.DUMMYFUNCTION("""COMPUTED_VALUE"""),"Student")</f>
        <v>Student</v>
      </c>
      <c r="F2130" s="5" t="str">
        <f ca="1">IFERROR(__xludf.DUMMYFUNCTION("""COMPUTED_VALUE"""),"Surrendered")</f>
        <v>Surrendered</v>
      </c>
      <c r="G2130" s="5" t="str">
        <f ca="1">IFERROR(__xludf.DUMMYFUNCTION("""COMPUTED_VALUE"""),"No")</f>
        <v>No</v>
      </c>
      <c r="H2130" s="5" t="str">
        <f ca="1">IFERROR(__xludf.DUMMYFUNCTION("""COMPUTED_VALUE"""),"None")</f>
        <v>None</v>
      </c>
    </row>
    <row r="2131" spans="1:8">
      <c r="A2131" s="5" t="str">
        <f ca="1">IFERROR(__xludf.DUMMYFUNCTION("""COMPUTED_VALUE"""),"19800908FLFOJ")</f>
        <v>19800908FLFOJ</v>
      </c>
      <c r="B2131" s="5" t="str">
        <f ca="1">IFERROR(__xludf.DUMMYFUNCTION("""COMPUTED_VALUE"""),"Teen")</f>
        <v>Teen</v>
      </c>
      <c r="C2131" s="5" t="str">
        <f ca="1">IFERROR(__xludf.DUMMYFUNCTION("""COMPUTED_VALUE"""),"Male")</f>
        <v>Male</v>
      </c>
      <c r="D2131" s="5"/>
      <c r="E2131" s="5" t="str">
        <f ca="1">IFERROR(__xludf.DUMMYFUNCTION("""COMPUTED_VALUE"""),"Student")</f>
        <v>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c r="A2132" s="5" t="str">
        <f ca="1">IFERROR(__xludf.DUMMYFUNCTION("""COMPUTED_VALUE"""),"19800902CAWHL")</f>
        <v>19800902CAWHL</v>
      </c>
      <c r="B2132" s="5">
        <f ca="1">IFERROR(__xludf.DUMMYFUNCTION("""COMPUTED_VALUE"""),18)</f>
        <v>18</v>
      </c>
      <c r="C2132" s="5" t="str">
        <f ca="1">IFERROR(__xludf.DUMMYFUNCTION("""COMPUTED_VALUE"""),"Male")</f>
        <v>Male</v>
      </c>
      <c r="D2132" s="5" t="str">
        <f ca="1">IFERROR(__xludf.DUMMYFUNCTION("""COMPUTED_VALUE"""),"White")</f>
        <v>White</v>
      </c>
      <c r="E2132" s="5" t="str">
        <f ca="1">IFERROR(__xludf.DUMMYFUNCTION("""COMPUTED_VALUE"""),"No Relation")</f>
        <v>No Relation</v>
      </c>
      <c r="F2132" s="5" t="str">
        <f ca="1">IFERROR(__xludf.DUMMYFUNCTION("""COMPUTED_VALUE"""),"Fled/Apprehended")</f>
        <v>Fled/Apprehended</v>
      </c>
      <c r="G2132" s="5" t="str">
        <f ca="1">IFERROR(__xludf.DUMMYFUNCTION("""COMPUTED_VALUE"""),"No")</f>
        <v>No</v>
      </c>
      <c r="H2132" s="5" t="str">
        <f ca="1">IFERROR(__xludf.DUMMYFUNCTION("""COMPUTED_VALUE"""),"None")</f>
        <v>None</v>
      </c>
    </row>
    <row r="2133" spans="1:8">
      <c r="A2133" s="5" t="str">
        <f ca="1">IFERROR(__xludf.DUMMYFUNCTION("""COMPUTED_VALUE"""),"19800530NYCLB")</f>
        <v>19800530NYCLB</v>
      </c>
      <c r="B2133" s="5">
        <f ca="1">IFERROR(__xludf.DUMMYFUNCTION("""COMPUTED_VALUE"""),15)</f>
        <v>15</v>
      </c>
      <c r="C2133" s="5" t="str">
        <f ca="1">IFERROR(__xludf.DUMMYFUNCTION("""COMPUTED_VALUE"""),"Male")</f>
        <v>Male</v>
      </c>
      <c r="D2133" s="5"/>
      <c r="E2133" s="5" t="str">
        <f ca="1">IFERROR(__xludf.DUMMYFUNCTION("""COMPUTED_VALUE"""),"Student")</f>
        <v>Student</v>
      </c>
      <c r="F2133" s="5" t="str">
        <f ca="1">IFERROR(__xludf.DUMMYFUNCTION("""COMPUTED_VALUE"""),"Fled/Apprehended")</f>
        <v>Fled/Apprehended</v>
      </c>
      <c r="G2133" s="5" t="str">
        <f ca="1">IFERROR(__xludf.DUMMYFUNCTION("""COMPUTED_VALUE"""),"No")</f>
        <v>No</v>
      </c>
      <c r="H2133" s="5" t="str">
        <f ca="1">IFERROR(__xludf.DUMMYFUNCTION("""COMPUTED_VALUE"""),"Wounded")</f>
        <v>Wounded</v>
      </c>
    </row>
    <row r="2134" spans="1:8">
      <c r="A2134" s="5" t="str">
        <f ca="1">IFERROR(__xludf.DUMMYFUNCTION("""COMPUTED_VALUE"""),"19800417VACAC")</f>
        <v>19800417VACAC</v>
      </c>
      <c r="B2134" s="5">
        <f ca="1">IFERROR(__xludf.DUMMYFUNCTION("""COMPUTED_VALUE"""),53)</f>
        <v>53</v>
      </c>
      <c r="C2134" s="5" t="str">
        <f ca="1">IFERROR(__xludf.DUMMYFUNCTION("""COMPUTED_VALUE"""),"Male")</f>
        <v>Male</v>
      </c>
      <c r="D2134" s="5"/>
      <c r="E2134" s="5" t="str">
        <f ca="1">IFERROR(__xludf.DUMMYFUNCTION("""COMPUTED_VALUE"""),"Intimate Relationship")</f>
        <v>Intimate Relationship</v>
      </c>
      <c r="F2134" s="5" t="str">
        <f ca="1">IFERROR(__xludf.DUMMYFUNCTION("""COMPUTED_VALUE"""),"Surrendered")</f>
        <v>Surrendered</v>
      </c>
      <c r="G2134" s="5" t="str">
        <f ca="1">IFERROR(__xludf.DUMMYFUNCTION("""COMPUTED_VALUE"""),"No")</f>
        <v>No</v>
      </c>
      <c r="H2134" s="5" t="str">
        <f ca="1">IFERROR(__xludf.DUMMYFUNCTION("""COMPUTED_VALUE"""),"None")</f>
        <v>None</v>
      </c>
    </row>
    <row r="2135" spans="1:8">
      <c r="A2135" s="5" t="str">
        <f ca="1">IFERROR(__xludf.DUMMYFUNCTION("""COMPUTED_VALUE"""),"19800331MDFRB")</f>
        <v>19800331MDFRB</v>
      </c>
      <c r="B2135" s="5">
        <f ca="1">IFERROR(__xludf.DUMMYFUNCTION("""COMPUTED_VALUE"""),16)</f>
        <v>16</v>
      </c>
      <c r="C2135" s="5" t="str">
        <f ca="1">IFERROR(__xludf.DUMMYFUNCTION("""COMPUTED_VALUE"""),"Male")</f>
        <v>Male</v>
      </c>
      <c r="D2135" s="5" t="str">
        <f ca="1">IFERROR(__xludf.DUMMYFUNCTION("""COMPUTED_VALUE"""),"Black")</f>
        <v>Black</v>
      </c>
      <c r="E2135" s="5" t="str">
        <f ca="1">IFERROR(__xludf.DUMMYFUNCTION("""COMPUTED_VALUE"""),"Former Student")</f>
        <v>Former Student</v>
      </c>
      <c r="F2135" s="5" t="str">
        <f ca="1">IFERROR(__xludf.DUMMYFUNCTION("""COMPUTED_VALUE"""),"Fled/Apprehended")</f>
        <v>Fled/Apprehended</v>
      </c>
      <c r="G2135" s="5" t="str">
        <f ca="1">IFERROR(__xludf.DUMMYFUNCTION("""COMPUTED_VALUE"""),"No")</f>
        <v>No</v>
      </c>
      <c r="H2135" s="5" t="str">
        <f ca="1">IFERROR(__xludf.DUMMYFUNCTION("""COMPUTED_VALUE"""),"None")</f>
        <v>None</v>
      </c>
    </row>
    <row r="2136" spans="1:8">
      <c r="A2136" s="5" t="str">
        <f ca="1">IFERROR(__xludf.DUMMYFUNCTION("""COMPUTED_VALUE"""),"19800320TXJLD")</f>
        <v>19800320TXJLD</v>
      </c>
      <c r="B2136" s="5">
        <f ca="1">IFERROR(__xludf.DUMMYFUNCTION("""COMPUTED_VALUE"""),30)</f>
        <v>30</v>
      </c>
      <c r="C2136" s="5" t="str">
        <f ca="1">IFERROR(__xludf.DUMMYFUNCTION("""COMPUTED_VALUE"""),"Male")</f>
        <v>Male</v>
      </c>
      <c r="D2136" s="5"/>
      <c r="E2136" s="5" t="str">
        <f ca="1">IFERROR(__xludf.DUMMYFUNCTION("""COMPUTED_VALUE"""),"Unknown")</f>
        <v>Unknown</v>
      </c>
      <c r="F2136" s="5" t="str">
        <f ca="1">IFERROR(__xludf.DUMMYFUNCTION("""COMPUTED_VALUE"""),"Fled/Apprehended")</f>
        <v>Fled/Apprehended</v>
      </c>
      <c r="G2136" s="5" t="str">
        <f ca="1">IFERROR(__xludf.DUMMYFUNCTION("""COMPUTED_VALUE"""),"No")</f>
        <v>No</v>
      </c>
      <c r="H2136" s="5" t="str">
        <f ca="1">IFERROR(__xludf.DUMMYFUNCTION("""COMPUTED_VALUE"""),"None")</f>
        <v>None</v>
      </c>
    </row>
    <row r="2137" spans="1:8">
      <c r="A2137" s="5" t="str">
        <f ca="1">IFERROR(__xludf.DUMMYFUNCTION("""COMPUTED_VALUE"""),"19800215MSHUM")</f>
        <v>19800215MSHUM</v>
      </c>
      <c r="B2137" s="5">
        <f ca="1">IFERROR(__xludf.DUMMYFUNCTION("""COMPUTED_VALUE"""),32)</f>
        <v>32</v>
      </c>
      <c r="C2137" s="5" t="str">
        <f ca="1">IFERROR(__xludf.DUMMYFUNCTION("""COMPUTED_VALUE"""),"Male")</f>
        <v>Male</v>
      </c>
      <c r="D2137" s="5"/>
      <c r="E2137" s="5" t="str">
        <f ca="1">IFERROR(__xludf.DUMMYFUNCTION("""COMPUTED_VALUE"""),"Intimate Relationship")</f>
        <v>Intimate Relationship</v>
      </c>
      <c r="F2137" s="5" t="str">
        <f ca="1">IFERROR(__xludf.DUMMYFUNCTION("""COMPUTED_VALUE"""),"Fled/Apprehended")</f>
        <v>Fled/Apprehended</v>
      </c>
      <c r="G2137" s="5" t="str">
        <f ca="1">IFERROR(__xludf.DUMMYFUNCTION("""COMPUTED_VALUE"""),"No")</f>
        <v>No</v>
      </c>
      <c r="H2137" s="5" t="str">
        <f ca="1">IFERROR(__xludf.DUMMYFUNCTION("""COMPUTED_VALUE"""),"None")</f>
        <v>None</v>
      </c>
    </row>
    <row r="2138" spans="1:8">
      <c r="A2138" s="5" t="str">
        <f ca="1">IFERROR(__xludf.DUMMYFUNCTION("""COMPUTED_VALUE"""),"19800211INARI")</f>
        <v>19800211INARI</v>
      </c>
      <c r="B2138" s="5">
        <f ca="1">IFERROR(__xludf.DUMMYFUNCTION("""COMPUTED_VALUE"""),17)</f>
        <v>17</v>
      </c>
      <c r="C2138" s="5" t="str">
        <f ca="1">IFERROR(__xludf.DUMMYFUNCTION("""COMPUTED_VALUE"""),"Male")</f>
        <v>Male</v>
      </c>
      <c r="D2138" s="5"/>
      <c r="E2138" s="5" t="str">
        <f ca="1">IFERROR(__xludf.DUMMYFUNCTION("""COMPUTED_VALUE"""),"Student")</f>
        <v>Student</v>
      </c>
      <c r="F2138" s="5" t="str">
        <f ca="1">IFERROR(__xludf.DUMMYFUNCTION("""COMPUTED_VALUE"""),"Fled/Apprehended")</f>
        <v>Fled/Apprehended</v>
      </c>
      <c r="G2138" s="5" t="str">
        <f ca="1">IFERROR(__xludf.DUMMYFUNCTION("""COMPUTED_VALUE"""),"No")</f>
        <v>No</v>
      </c>
      <c r="H2138" s="5" t="str">
        <f ca="1">IFERROR(__xludf.DUMMYFUNCTION("""COMPUTED_VALUE"""),"None")</f>
        <v>None</v>
      </c>
    </row>
    <row r="2139" spans="1:8">
      <c r="A2139" s="5" t="str">
        <f ca="1">IFERROR(__xludf.DUMMYFUNCTION("""COMPUTED_VALUE"""),"19800211INARI")</f>
        <v>19800211INARI</v>
      </c>
      <c r="B2139" s="5">
        <f ca="1">IFERROR(__xludf.DUMMYFUNCTION("""COMPUTED_VALUE"""),19)</f>
        <v>19</v>
      </c>
      <c r="C2139" s="5" t="str">
        <f ca="1">IFERROR(__xludf.DUMMYFUNCTION("""COMPUTED_VALUE"""),"Male")</f>
        <v>Male</v>
      </c>
      <c r="D2139" s="5"/>
      <c r="E2139" s="5" t="str">
        <f ca="1">IFERROR(__xludf.DUMMYFUNCTION("""COMPUTED_VALUE"""),"Student")</f>
        <v>Student</v>
      </c>
      <c r="F2139" s="5" t="str">
        <f ca="1">IFERROR(__xludf.DUMMYFUNCTION("""COMPUTED_VALUE"""),"Fled/Apprehended")</f>
        <v>Fled/Apprehended</v>
      </c>
      <c r="G2139" s="5" t="str">
        <f ca="1">IFERROR(__xludf.DUMMYFUNCTION("""COMPUTED_VALUE"""),"No")</f>
        <v>No</v>
      </c>
      <c r="H2139" s="5" t="str">
        <f ca="1">IFERROR(__xludf.DUMMYFUNCTION("""COMPUTED_VALUE"""),"None")</f>
        <v>None</v>
      </c>
    </row>
    <row r="2140" spans="1:8">
      <c r="A2140" s="5" t="str">
        <f ca="1">IFERROR(__xludf.DUMMYFUNCTION("""COMPUTED_VALUE"""),"19800207TXVAL")</f>
        <v>19800207TXVAL</v>
      </c>
      <c r="B2140" s="5">
        <f ca="1">IFERROR(__xludf.DUMMYFUNCTION("""COMPUTED_VALUE"""),9)</f>
        <v>9</v>
      </c>
      <c r="C2140" s="5" t="str">
        <f ca="1">IFERROR(__xludf.DUMMYFUNCTION("""COMPUTED_VALUE"""),"Male")</f>
        <v>Male</v>
      </c>
      <c r="D2140" s="5"/>
      <c r="E2140" s="5" t="str">
        <f ca="1">IFERROR(__xludf.DUMMYFUNCTION("""COMPUTED_VALUE"""),"Student")</f>
        <v>Student</v>
      </c>
      <c r="F2140" s="5" t="str">
        <f ca="1">IFERROR(__xludf.DUMMYFUNCTION("""COMPUTED_VALUE"""),"Surrendered")</f>
        <v>Surrendered</v>
      </c>
      <c r="G2140" s="5" t="str">
        <f ca="1">IFERROR(__xludf.DUMMYFUNCTION("""COMPUTED_VALUE"""),"No")</f>
        <v>No</v>
      </c>
      <c r="H2140" s="5" t="str">
        <f ca="1">IFERROR(__xludf.DUMMYFUNCTION("""COMPUTED_VALUE"""),"None")</f>
        <v>None</v>
      </c>
    </row>
    <row r="2141" spans="1:8">
      <c r="A2141" s="5" t="str">
        <f ca="1">IFERROR(__xludf.DUMMYFUNCTION("""COMPUTED_VALUE"""),"19800201DCLAW")</f>
        <v>19800201DCLAW</v>
      </c>
      <c r="B2141" s="5">
        <f ca="1">IFERROR(__xludf.DUMMYFUNCTION("""COMPUTED_VALUE"""),9)</f>
        <v>9</v>
      </c>
      <c r="C2141" s="5" t="str">
        <f ca="1">IFERROR(__xludf.DUMMYFUNCTION("""COMPUTED_VALUE"""),"Male")</f>
        <v>Male</v>
      </c>
      <c r="D2141" s="5"/>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c r="A2142" s="5" t="str">
        <f ca="1">IFERROR(__xludf.DUMMYFUNCTION("""COMPUTED_VALUE"""),"19800129VALAW")</f>
        <v>19800129VALAW</v>
      </c>
      <c r="B2142" s="5">
        <f ca="1">IFERROR(__xludf.DUMMYFUNCTION("""COMPUTED_VALUE"""),17)</f>
        <v>17</v>
      </c>
      <c r="C2142" s="5" t="str">
        <f ca="1">IFERROR(__xludf.DUMMYFUNCTION("""COMPUTED_VALUE"""),"Male")</f>
        <v>Male</v>
      </c>
      <c r="D2142" s="5"/>
      <c r="E2142" s="5" t="str">
        <f ca="1">IFERROR(__xludf.DUMMYFUNCTION("""COMPUTED_VALUE"""),"Student")</f>
        <v>Student</v>
      </c>
      <c r="F2142" s="5" t="str">
        <f ca="1">IFERROR(__xludf.DUMMYFUNCTION("""COMPUTED_VALUE"""),"Attempted Suicide")</f>
        <v>Attempted Suicide</v>
      </c>
      <c r="G2142" s="5" t="str">
        <f ca="1">IFERROR(__xludf.DUMMYFUNCTION("""COMPUTED_VALUE"""),"No")</f>
        <v>No</v>
      </c>
      <c r="H2142" s="5" t="str">
        <f ca="1">IFERROR(__xludf.DUMMYFUNCTION("""COMPUTED_VALUE"""),"Wounded")</f>
        <v>Wounded</v>
      </c>
    </row>
    <row r="2143" spans="1:8">
      <c r="A2143" s="5" t="str">
        <f ca="1">IFERROR(__xludf.DUMMYFUNCTION("""COMPUTED_VALUE"""),"19800107ARSTS")</f>
        <v>19800107ARSTS</v>
      </c>
      <c r="B2143" s="5">
        <f ca="1">IFERROR(__xludf.DUMMYFUNCTION("""COMPUTED_VALUE"""),16)</f>
        <v>16</v>
      </c>
      <c r="C2143" s="5" t="str">
        <f ca="1">IFERROR(__xludf.DUMMYFUNCTION("""COMPUTED_VALUE"""),"Male")</f>
        <v>Male</v>
      </c>
      <c r="D2143" s="5" t="str">
        <f ca="1">IFERROR(__xludf.DUMMYFUNCTION("""COMPUTED_VALUE"""),"White")</f>
        <v>White</v>
      </c>
      <c r="E2143" s="5" t="str">
        <f ca="1">IFERROR(__xludf.DUMMYFUNCTION("""COMPUTED_VALUE"""),"Student")</f>
        <v>Student</v>
      </c>
      <c r="F2143" s="5" t="str">
        <f ca="1">IFERROR(__xludf.DUMMYFUNCTION("""COMPUTED_VALUE"""),"Surrendered")</f>
        <v>Surrendered</v>
      </c>
      <c r="G2143" s="5" t="str">
        <f ca="1">IFERROR(__xludf.DUMMYFUNCTION("""COMPUTED_VALUE"""),"No")</f>
        <v>No</v>
      </c>
      <c r="H2143" s="5" t="str">
        <f ca="1">IFERROR(__xludf.DUMMYFUNCTION("""COMPUTED_VALUE"""),"None")</f>
        <v>None</v>
      </c>
    </row>
    <row r="2144" spans="1:8">
      <c r="A2144" s="5" t="str">
        <f ca="1">IFERROR(__xludf.DUMMYFUNCTION("""COMPUTED_VALUE"""),"19791221MOBLS")</f>
        <v>19791221MOBLS</v>
      </c>
      <c r="B2144" s="5">
        <f ca="1">IFERROR(__xludf.DUMMYFUNCTION("""COMPUTED_VALUE"""),14)</f>
        <v>14</v>
      </c>
      <c r="C2144" s="5" t="str">
        <f ca="1">IFERROR(__xludf.DUMMYFUNCTION("""COMPUTED_VALUE"""),"Male")</f>
        <v>Male</v>
      </c>
      <c r="D2144" s="5"/>
      <c r="E2144" s="5" t="str">
        <f ca="1">IFERROR(__xludf.DUMMYFUNCTION("""COMPUTED_VALUE"""),"Student")</f>
        <v>Student</v>
      </c>
      <c r="F2144" s="5" t="str">
        <f ca="1">IFERROR(__xludf.DUMMYFUNCTION("""COMPUTED_VALUE"""),"Fled/Apprehended")</f>
        <v>Fled/Apprehended</v>
      </c>
      <c r="G2144" s="5" t="str">
        <f ca="1">IFERROR(__xludf.DUMMYFUNCTION("""COMPUTED_VALUE"""),"No")</f>
        <v>No</v>
      </c>
      <c r="H2144" s="5" t="str">
        <f ca="1">IFERROR(__xludf.DUMMYFUNCTION("""COMPUTED_VALUE"""),"None")</f>
        <v>None</v>
      </c>
    </row>
    <row r="2145" spans="1:8">
      <c r="A2145" s="5" t="str">
        <f ca="1">IFERROR(__xludf.DUMMYFUNCTION("""COMPUTED_VALUE"""),"19791203MDEAB")</f>
        <v>19791203MDEAB</v>
      </c>
      <c r="B2145" s="5" t="str">
        <f ca="1">IFERROR(__xludf.DUMMYFUNCTION("""COMPUTED_VALUE"""),"Teen")</f>
        <v>Teen</v>
      </c>
      <c r="C2145" s="5" t="str">
        <f ca="1">IFERROR(__xludf.DUMMYFUNCTION("""COMPUTED_VALUE"""),"Male")</f>
        <v>Male</v>
      </c>
      <c r="D2145" s="5"/>
      <c r="E2145" s="5" t="str">
        <f ca="1">IFERROR(__xludf.DUMMYFUNCTION("""COMPUTED_VALUE"""),"Student")</f>
        <v>Student</v>
      </c>
      <c r="F2145" s="5" t="str">
        <f ca="1">IFERROR(__xludf.DUMMYFUNCTION("""COMPUTED_VALUE"""),"Fled/Escaped")</f>
        <v>Fled/Escaped</v>
      </c>
      <c r="G2145" s="5" t="str">
        <f ca="1">IFERROR(__xludf.DUMMYFUNCTION("""COMPUTED_VALUE"""),"No")</f>
        <v>No</v>
      </c>
      <c r="H2145" s="5" t="str">
        <f ca="1">IFERROR(__xludf.DUMMYFUNCTION("""COMPUTED_VALUE"""),"None")</f>
        <v>None</v>
      </c>
    </row>
    <row r="2146" spans="1:8">
      <c r="A2146" s="5" t="str">
        <f ca="1">IFERROR(__xludf.DUMMYFUNCTION("""COMPUTED_VALUE"""),"19791203MDEAB")</f>
        <v>19791203MDEAB</v>
      </c>
      <c r="B2146" s="5" t="str">
        <f ca="1">IFERROR(__xludf.DUMMYFUNCTION("""COMPUTED_VALUE"""),"Teen")</f>
        <v>Teen</v>
      </c>
      <c r="C2146" s="5" t="str">
        <f ca="1">IFERROR(__xludf.DUMMYFUNCTION("""COMPUTED_VALUE"""),"Male")</f>
        <v>Male</v>
      </c>
      <c r="D2146" s="5"/>
      <c r="E2146" s="5" t="str">
        <f ca="1">IFERROR(__xludf.DUMMYFUNCTION("""COMPUTED_VALUE"""),"Student")</f>
        <v>Student</v>
      </c>
      <c r="F2146" s="5" t="str">
        <f ca="1">IFERROR(__xludf.DUMMYFUNCTION("""COMPUTED_VALUE"""),"Fled/Escaped")</f>
        <v>Fled/Escaped</v>
      </c>
      <c r="G2146" s="5" t="str">
        <f ca="1">IFERROR(__xludf.DUMMYFUNCTION("""COMPUTED_VALUE"""),"No")</f>
        <v>No</v>
      </c>
      <c r="H2146" s="5" t="str">
        <f ca="1">IFERROR(__xludf.DUMMYFUNCTION("""COMPUTED_VALUE"""),"None")</f>
        <v>None</v>
      </c>
    </row>
    <row r="2147" spans="1:8">
      <c r="A2147" s="5" t="str">
        <f ca="1">IFERROR(__xludf.DUMMYFUNCTION("""COMPUTED_VALUE"""),"19791203MDEAB")</f>
        <v>19791203MDEAB</v>
      </c>
      <c r="B2147" s="5" t="str">
        <f ca="1">IFERROR(__xludf.DUMMYFUNCTION("""COMPUTED_VALUE"""),"Teen")</f>
        <v>Teen</v>
      </c>
      <c r="C2147" s="5" t="str">
        <f ca="1">IFERROR(__xludf.DUMMYFUNCTION("""COMPUTED_VALUE"""),"Male")</f>
        <v>Male</v>
      </c>
      <c r="D2147" s="5"/>
      <c r="E2147" s="5" t="str">
        <f ca="1">IFERROR(__xludf.DUMMYFUNCTION("""COMPUTED_VALUE"""),"Student")</f>
        <v>Student</v>
      </c>
      <c r="F2147" s="5" t="str">
        <f ca="1">IFERROR(__xludf.DUMMYFUNCTION("""COMPUTED_VALUE"""),"Fled/Escaped")</f>
        <v>Fled/Escaped</v>
      </c>
      <c r="G2147" s="5" t="str">
        <f ca="1">IFERROR(__xludf.DUMMYFUNCTION("""COMPUTED_VALUE"""),"No")</f>
        <v>No</v>
      </c>
      <c r="H2147" s="5" t="str">
        <f ca="1">IFERROR(__xludf.DUMMYFUNCTION("""COMPUTED_VALUE"""),"None")</f>
        <v>None</v>
      </c>
    </row>
    <row r="2148" spans="1:8">
      <c r="A2148" s="5" t="str">
        <f ca="1">IFERROR(__xludf.DUMMYFUNCTION("""COMPUTED_VALUE"""),"19791203MDEAB")</f>
        <v>19791203MDEAB</v>
      </c>
      <c r="B2148" s="5" t="str">
        <f ca="1">IFERROR(__xludf.DUMMYFUNCTION("""COMPUTED_VALUE"""),"Teen")</f>
        <v>Teen</v>
      </c>
      <c r="C2148" s="5" t="str">
        <f ca="1">IFERROR(__xludf.DUMMYFUNCTION("""COMPUTED_VALUE"""),"Male")</f>
        <v>Male</v>
      </c>
      <c r="D2148" s="5"/>
      <c r="E2148" s="5" t="str">
        <f ca="1">IFERROR(__xludf.DUMMYFUNCTION("""COMPUTED_VALUE"""),"Student")</f>
        <v>Student</v>
      </c>
      <c r="F2148" s="5" t="str">
        <f ca="1">IFERROR(__xludf.DUMMYFUNCTION("""COMPUTED_VALUE"""),"Fled/Escaped")</f>
        <v>Fled/Escaped</v>
      </c>
      <c r="G2148" s="5" t="str">
        <f ca="1">IFERROR(__xludf.DUMMYFUNCTION("""COMPUTED_VALUE"""),"No")</f>
        <v>No</v>
      </c>
      <c r="H2148" s="5" t="str">
        <f ca="1">IFERROR(__xludf.DUMMYFUNCTION("""COMPUTED_VALUE"""),"None")</f>
        <v>None</v>
      </c>
    </row>
    <row r="2149" spans="1:8">
      <c r="A2149" s="5" t="str">
        <f ca="1">IFERROR(__xludf.DUMMYFUNCTION("""COMPUTED_VALUE"""),"19791130TXUNL")</f>
        <v>19791130TXUNL</v>
      </c>
      <c r="B2149" s="5">
        <f ca="1">IFERROR(__xludf.DUMMYFUNCTION("""COMPUTED_VALUE"""),14)</f>
        <v>14</v>
      </c>
      <c r="C2149" s="5" t="str">
        <f ca="1">IFERROR(__xludf.DUMMYFUNCTION("""COMPUTED_VALUE"""),"Male")</f>
        <v>Male</v>
      </c>
      <c r="D2149" s="5"/>
      <c r="E2149" s="5" t="str">
        <f ca="1">IFERROR(__xludf.DUMMYFUNCTION("""COMPUTED_VALUE"""),"Student")</f>
        <v>Student</v>
      </c>
      <c r="F2149" s="5" t="str">
        <f ca="1">IFERROR(__xludf.DUMMYFUNCTION("""COMPUTED_VALUE"""),"Surrendered")</f>
        <v>Surrendered</v>
      </c>
      <c r="G2149" s="5" t="str">
        <f ca="1">IFERROR(__xludf.DUMMYFUNCTION("""COMPUTED_VALUE"""),"No")</f>
        <v>No</v>
      </c>
      <c r="H2149" s="5" t="str">
        <f ca="1">IFERROR(__xludf.DUMMYFUNCTION("""COMPUTED_VALUE"""),"None")</f>
        <v>None</v>
      </c>
    </row>
    <row r="2150" spans="1:8">
      <c r="A2150" s="5" t="str">
        <f ca="1">IFERROR(__xludf.DUMMYFUNCTION("""COMPUTED_VALUE"""),"19791105INWAI")</f>
        <v>19791105INWAI</v>
      </c>
      <c r="B2150" s="5">
        <f ca="1">IFERROR(__xludf.DUMMYFUNCTION("""COMPUTED_VALUE"""),18)</f>
        <v>18</v>
      </c>
      <c r="C2150" s="5" t="str">
        <f ca="1">IFERROR(__xludf.DUMMYFUNCTION("""COMPUTED_VALUE"""),"Male")</f>
        <v>Male</v>
      </c>
      <c r="D2150" s="5"/>
      <c r="E2150" s="5" t="str">
        <f ca="1">IFERROR(__xludf.DUMMYFUNCTION("""COMPUTED_VALUE"""),"Student")</f>
        <v>Student</v>
      </c>
      <c r="F2150" s="5" t="str">
        <f ca="1">IFERROR(__xludf.DUMMYFUNCTION("""COMPUTED_VALUE"""),"Fled/Apprehended")</f>
        <v>Fled/Apprehended</v>
      </c>
      <c r="G2150" s="5" t="str">
        <f ca="1">IFERROR(__xludf.DUMMYFUNCTION("""COMPUTED_VALUE"""),"No")</f>
        <v>No</v>
      </c>
      <c r="H2150" s="5" t="str">
        <f ca="1">IFERROR(__xludf.DUMMYFUNCTION("""COMPUTED_VALUE"""),"None")</f>
        <v>None</v>
      </c>
    </row>
    <row r="2151" spans="1:8">
      <c r="A2151" s="5" t="str">
        <f ca="1">IFERROR(__xludf.DUMMYFUNCTION("""COMPUTED_VALUE"""),"19791023MOOFS")</f>
        <v>19791023MOOFS</v>
      </c>
      <c r="B2151" s="5">
        <f ca="1">IFERROR(__xludf.DUMMYFUNCTION("""COMPUTED_VALUE"""),16)</f>
        <v>16</v>
      </c>
      <c r="C2151" s="5" t="str">
        <f ca="1">IFERROR(__xludf.DUMMYFUNCTION("""COMPUTED_VALUE"""),"Male")</f>
        <v>Male</v>
      </c>
      <c r="D2151" s="5"/>
      <c r="E2151" s="5" t="str">
        <f ca="1">IFERROR(__xludf.DUMMYFUNCTION("""COMPUTED_VALUE"""),"Student")</f>
        <v>Student</v>
      </c>
      <c r="F2151" s="5" t="str">
        <f ca="1">IFERROR(__xludf.DUMMYFUNCTION("""COMPUTED_VALUE"""),"Fled/Apprehended")</f>
        <v>Fled/Apprehended</v>
      </c>
      <c r="G2151" s="5" t="str">
        <f ca="1">IFERROR(__xludf.DUMMYFUNCTION("""COMPUTED_VALUE"""),"No")</f>
        <v>No</v>
      </c>
      <c r="H2151" s="5" t="str">
        <f ca="1">IFERROR(__xludf.DUMMYFUNCTION("""COMPUTED_VALUE"""),"None")</f>
        <v>None</v>
      </c>
    </row>
    <row r="2152" spans="1:8">
      <c r="A2152" s="5" t="str">
        <f ca="1">IFERROR(__xludf.DUMMYFUNCTION("""COMPUTED_VALUE"""),"19790928MACHC")</f>
        <v>19790928MACHC</v>
      </c>
      <c r="B2152" s="5" t="str">
        <f ca="1">IFERROR(__xludf.DUMMYFUNCTION("""COMPUTED_VALUE"""),"Teen")</f>
        <v>Teen</v>
      </c>
      <c r="C2152" s="5" t="str">
        <f ca="1">IFERROR(__xludf.DUMMYFUNCTION("""COMPUTED_VALUE"""),"Male")</f>
        <v>Male</v>
      </c>
      <c r="D2152" s="5" t="str">
        <f ca="1">IFERROR(__xludf.DUMMYFUNCTION("""COMPUTED_VALUE"""),"White")</f>
        <v>White</v>
      </c>
      <c r="E2152" s="5" t="str">
        <f ca="1">IFERROR(__xludf.DUMMYFUNCTION("""COMPUTED_VALUE"""),"Unknown")</f>
        <v>Unknown</v>
      </c>
      <c r="F2152" s="5" t="str">
        <f ca="1">IFERROR(__xludf.DUMMYFUNCTION("""COMPUTED_VALUE"""),"Fled/Escaped")</f>
        <v>Fled/Escaped</v>
      </c>
      <c r="G2152" s="5" t="str">
        <f ca="1">IFERROR(__xludf.DUMMYFUNCTION("""COMPUTED_VALUE"""),"No")</f>
        <v>No</v>
      </c>
      <c r="H2152" s="5" t="str">
        <f ca="1">IFERROR(__xludf.DUMMYFUNCTION("""COMPUTED_VALUE"""),"None")</f>
        <v>None</v>
      </c>
    </row>
    <row r="2153" spans="1:8">
      <c r="A2153" s="5" t="str">
        <f ca="1">IFERROR(__xludf.DUMMYFUNCTION("""COMPUTED_VALUE"""),"19790928MACHC")</f>
        <v>19790928MACHC</v>
      </c>
      <c r="B2153" s="5" t="str">
        <f ca="1">IFERROR(__xludf.DUMMYFUNCTION("""COMPUTED_VALUE"""),"Teen")</f>
        <v>Teen</v>
      </c>
      <c r="C2153" s="5" t="str">
        <f ca="1">IFERROR(__xludf.DUMMYFUNCTION("""COMPUTED_VALUE"""),"Male")</f>
        <v>Male</v>
      </c>
      <c r="D2153" s="5" t="str">
        <f ca="1">IFERROR(__xludf.DUMMYFUNCTION("""COMPUTED_VALUE"""),"White")</f>
        <v>White</v>
      </c>
      <c r="E2153" s="5" t="str">
        <f ca="1">IFERROR(__xludf.DUMMYFUNCTION("""COMPUTED_VALUE"""),"Unknown")</f>
        <v>Unknown</v>
      </c>
      <c r="F2153" s="5" t="str">
        <f ca="1">IFERROR(__xludf.DUMMYFUNCTION("""COMPUTED_VALUE"""),"Fled/Escaped")</f>
        <v>Fled/Escaped</v>
      </c>
      <c r="G2153" s="5" t="str">
        <f ca="1">IFERROR(__xludf.DUMMYFUNCTION("""COMPUTED_VALUE"""),"No")</f>
        <v>No</v>
      </c>
      <c r="H2153" s="5" t="str">
        <f ca="1">IFERROR(__xludf.DUMMYFUNCTION("""COMPUTED_VALUE"""),"None")</f>
        <v>None</v>
      </c>
    </row>
    <row r="2154" spans="1:8">
      <c r="A2154" s="5" t="str">
        <f ca="1">IFERROR(__xludf.DUMMYFUNCTION("""COMPUTED_VALUE"""),"19790926LACAN")</f>
        <v>19790926LACAN</v>
      </c>
      <c r="B2154" s="5">
        <f ca="1">IFERROR(__xludf.DUMMYFUNCTION("""COMPUTED_VALUE"""),13)</f>
        <v>13</v>
      </c>
      <c r="C2154" s="5" t="str">
        <f ca="1">IFERROR(__xludf.DUMMYFUNCTION("""COMPUTED_VALUE"""),"Male")</f>
        <v>Male</v>
      </c>
      <c r="D2154" s="5"/>
      <c r="E2154" s="5" t="str">
        <f ca="1">IFERROR(__xludf.DUMMYFUNCTION("""COMPUTED_VALUE"""),"Student")</f>
        <v>Student</v>
      </c>
      <c r="F2154" s="5" t="str">
        <f ca="1">IFERROR(__xludf.DUMMYFUNCTION("""COMPUTED_VALUE"""),"Surrendered")</f>
        <v>Surrendered</v>
      </c>
      <c r="G2154" s="5" t="str">
        <f ca="1">IFERROR(__xludf.DUMMYFUNCTION("""COMPUTED_VALUE"""),"No")</f>
        <v>No</v>
      </c>
      <c r="H2154" s="5" t="str">
        <f ca="1">IFERROR(__xludf.DUMMYFUNCTION("""COMPUTED_VALUE"""),"None")</f>
        <v>None</v>
      </c>
    </row>
    <row r="2155" spans="1:8">
      <c r="A2155" s="5" t="str">
        <f ca="1">IFERROR(__xludf.DUMMYFUNCTION("""COMPUTED_VALUE"""),"19790926LACAN")</f>
        <v>19790926LACAN</v>
      </c>
      <c r="B2155" s="5">
        <f ca="1">IFERROR(__xludf.DUMMYFUNCTION("""COMPUTED_VALUE"""),15)</f>
        <v>15</v>
      </c>
      <c r="C2155" s="5" t="str">
        <f ca="1">IFERROR(__xludf.DUMMYFUNCTION("""COMPUTED_VALUE"""),"Male")</f>
        <v>Male</v>
      </c>
      <c r="D2155" s="5"/>
      <c r="E2155" s="5" t="str">
        <f ca="1">IFERROR(__xludf.DUMMYFUNCTION("""COMPUTED_VALUE"""),"Student")</f>
        <v>Student</v>
      </c>
      <c r="F2155" s="5" t="str">
        <f ca="1">IFERROR(__xludf.DUMMYFUNCTION("""COMPUTED_VALUE"""),"Surrendered")</f>
        <v>Surrendered</v>
      </c>
      <c r="G2155" s="5" t="str">
        <f ca="1">IFERROR(__xludf.DUMMYFUNCTION("""COMPUTED_VALUE"""),"No")</f>
        <v>No</v>
      </c>
      <c r="H2155" s="5" t="str">
        <f ca="1">IFERROR(__xludf.DUMMYFUNCTION("""COMPUTED_VALUE"""),"None")</f>
        <v>None</v>
      </c>
    </row>
    <row r="2156" spans="1:8">
      <c r="A2156" s="5" t="str">
        <f ca="1">IFERROR(__xludf.DUMMYFUNCTION("""COMPUTED_VALUE"""),"19790614OHNEN")</f>
        <v>19790614OHNEN</v>
      </c>
      <c r="B2156" s="5">
        <f ca="1">IFERROR(__xludf.DUMMYFUNCTION("""COMPUTED_VALUE"""),13)</f>
        <v>13</v>
      </c>
      <c r="C2156" s="5" t="str">
        <f ca="1">IFERROR(__xludf.DUMMYFUNCTION("""COMPUTED_VALUE"""),"Male")</f>
        <v>Male</v>
      </c>
      <c r="D2156" s="5"/>
      <c r="E2156" s="5" t="str">
        <f ca="1">IFERROR(__xludf.DUMMYFUNCTION("""COMPUTED_VALUE"""),"Unknown")</f>
        <v>Unknown</v>
      </c>
      <c r="F2156" s="5" t="str">
        <f ca="1">IFERROR(__xludf.DUMMYFUNCTION("""COMPUTED_VALUE"""),"Fled/Apprehended")</f>
        <v>Fled/Apprehended</v>
      </c>
      <c r="G2156" s="5" t="str">
        <f ca="1">IFERROR(__xludf.DUMMYFUNCTION("""COMPUTED_VALUE"""),"No")</f>
        <v>No</v>
      </c>
      <c r="H2156" s="5" t="str">
        <f ca="1">IFERROR(__xludf.DUMMYFUNCTION("""COMPUTED_VALUE"""),"None")</f>
        <v>None</v>
      </c>
    </row>
    <row r="2157" spans="1:8">
      <c r="A2157" s="5" t="str">
        <f ca="1">IFERROR(__xludf.DUMMYFUNCTION("""COMPUTED_VALUE"""),"19790426TXAZA")</f>
        <v>19790426TXAZA</v>
      </c>
      <c r="B2157" s="5">
        <f ca="1">IFERROR(__xludf.DUMMYFUNCTION("""COMPUTED_VALUE"""),14)</f>
        <v>14</v>
      </c>
      <c r="C2157" s="5" t="str">
        <f ca="1">IFERROR(__xludf.DUMMYFUNCTION("""COMPUTED_VALUE"""),"Male")</f>
        <v>Male</v>
      </c>
      <c r="D2157" s="5"/>
      <c r="E2157" s="5" t="str">
        <f ca="1">IFERROR(__xludf.DUMMYFUNCTION("""COMPUTED_VALUE"""),"Student")</f>
        <v>Student</v>
      </c>
      <c r="F2157" s="5" t="str">
        <f ca="1">IFERROR(__xludf.DUMMYFUNCTION("""COMPUTED_VALUE"""),"Fled/Apprehended")</f>
        <v>Fled/Apprehended</v>
      </c>
      <c r="G2157" s="5" t="str">
        <f ca="1">IFERROR(__xludf.DUMMYFUNCTION("""COMPUTED_VALUE"""),"No")</f>
        <v>No</v>
      </c>
      <c r="H2157" s="5" t="str">
        <f ca="1">IFERROR(__xludf.DUMMYFUNCTION("""COMPUTED_VALUE"""),"None")</f>
        <v>None</v>
      </c>
    </row>
    <row r="2158" spans="1:8">
      <c r="A2158" s="5" t="str">
        <f ca="1">IFERROR(__xludf.DUMMYFUNCTION("""COMPUTED_VALUE"""),"19790425PAMAH")</f>
        <v>19790425PAMAH</v>
      </c>
      <c r="B2158" s="5"/>
      <c r="C2158" s="5"/>
      <c r="D2158" s="5"/>
      <c r="E2158" s="5" t="str">
        <f ca="1">IFERROR(__xludf.DUMMYFUNCTION("""COMPUTED_VALUE"""),"Unknown")</f>
        <v>Unknown</v>
      </c>
      <c r="F2158" s="5" t="str">
        <f ca="1">IFERROR(__xludf.DUMMYFUNCTION("""COMPUTED_VALUE"""),"Unknown")</f>
        <v>Unknown</v>
      </c>
      <c r="G2158" s="5" t="str">
        <f ca="1">IFERROR(__xludf.DUMMYFUNCTION("""COMPUTED_VALUE"""),"No")</f>
        <v>No</v>
      </c>
      <c r="H2158" s="5" t="str">
        <f ca="1">IFERROR(__xludf.DUMMYFUNCTION("""COMPUTED_VALUE"""),"None")</f>
        <v>None</v>
      </c>
    </row>
    <row r="2159" spans="1:8">
      <c r="A2159" s="5" t="str">
        <f ca="1">IFERROR(__xludf.DUMMYFUNCTION("""COMPUTED_VALUE"""),"19790416WIWIM")</f>
        <v>19790416WIWIM</v>
      </c>
      <c r="B2159" s="5">
        <f ca="1">IFERROR(__xludf.DUMMYFUNCTION("""COMPUTED_VALUE"""),28)</f>
        <v>28</v>
      </c>
      <c r="C2159" s="5" t="str">
        <f ca="1">IFERROR(__xludf.DUMMYFUNCTION("""COMPUTED_VALUE"""),"Male")</f>
        <v>Male</v>
      </c>
      <c r="D2159" s="5"/>
      <c r="E2159" s="5" t="str">
        <f ca="1">IFERROR(__xludf.DUMMYFUNCTION("""COMPUTED_VALUE"""),"Other Staff")</f>
        <v>Other Staff</v>
      </c>
      <c r="F2159" s="5" t="str">
        <f ca="1">IFERROR(__xludf.DUMMYFUNCTION("""COMPUTED_VALUE"""),"Surrendered")</f>
        <v>Surrendered</v>
      </c>
      <c r="G2159" s="5" t="str">
        <f ca="1">IFERROR(__xludf.DUMMYFUNCTION("""COMPUTED_VALUE"""),"No")</f>
        <v>No</v>
      </c>
      <c r="H2159" s="5" t="str">
        <f ca="1">IFERROR(__xludf.DUMMYFUNCTION("""COMPUTED_VALUE"""),"None")</f>
        <v>None</v>
      </c>
    </row>
    <row r="2160" spans="1:8">
      <c r="A2160" s="5" t="str">
        <f ca="1">IFERROR(__xludf.DUMMYFUNCTION("""COMPUTED_VALUE"""),"19790328CALOL")</f>
        <v>19790328CALOL</v>
      </c>
      <c r="B2160" s="5">
        <f ca="1">IFERROR(__xludf.DUMMYFUNCTION("""COMPUTED_VALUE"""),19)</f>
        <v>19</v>
      </c>
      <c r="C2160" s="5" t="str">
        <f ca="1">IFERROR(__xludf.DUMMYFUNCTION("""COMPUTED_VALUE"""),"Male")</f>
        <v>Male</v>
      </c>
      <c r="D2160" s="5"/>
      <c r="E2160" s="5" t="str">
        <f ca="1">IFERROR(__xludf.DUMMYFUNCTION("""COMPUTED_VALUE"""),"Unknown")</f>
        <v>Unknown</v>
      </c>
      <c r="F2160" s="5" t="str">
        <f ca="1">IFERROR(__xludf.DUMMYFUNCTION("""COMPUTED_VALUE"""),"Fled/Apprehended")</f>
        <v>Fled/Apprehended</v>
      </c>
      <c r="G2160" s="5" t="str">
        <f ca="1">IFERROR(__xludf.DUMMYFUNCTION("""COMPUTED_VALUE"""),"No")</f>
        <v>No</v>
      </c>
      <c r="H2160" s="5" t="str">
        <f ca="1">IFERROR(__xludf.DUMMYFUNCTION("""COMPUTED_VALUE"""),"None")</f>
        <v>None</v>
      </c>
    </row>
    <row r="2161" spans="1:8">
      <c r="A2161" s="5" t="str">
        <f ca="1">IFERROR(__xludf.DUMMYFUNCTION("""COMPUTED_VALUE"""),"19790314FLMCM")</f>
        <v>19790314FLMCM</v>
      </c>
      <c r="B2161" s="5" t="str">
        <f ca="1">IFERROR(__xludf.DUMMYFUNCTION("""COMPUTED_VALUE"""),"Teen")</f>
        <v>Teen</v>
      </c>
      <c r="C2161" s="5" t="str">
        <f ca="1">IFERROR(__xludf.DUMMYFUNCTION("""COMPUTED_VALUE"""),"Male")</f>
        <v>Male</v>
      </c>
      <c r="D2161" s="5" t="str">
        <f ca="1">IFERROR(__xludf.DUMMYFUNCTION("""COMPUTED_VALUE"""),"Black")</f>
        <v>Black</v>
      </c>
      <c r="E2161" s="5" t="str">
        <f ca="1">IFERROR(__xludf.DUMMYFUNCTION("""COMPUTED_VALUE"""),"Unknown")</f>
        <v>Unknown</v>
      </c>
      <c r="F2161" s="5" t="str">
        <f ca="1">IFERROR(__xludf.DUMMYFUNCTION("""COMPUTED_VALUE"""),"Fled/Apprehended")</f>
        <v>Fled/Apprehended</v>
      </c>
      <c r="G2161" s="5" t="str">
        <f ca="1">IFERROR(__xludf.DUMMYFUNCTION("""COMPUTED_VALUE"""),"No")</f>
        <v>No</v>
      </c>
      <c r="H2161" s="5" t="str">
        <f ca="1">IFERROR(__xludf.DUMMYFUNCTION("""COMPUTED_VALUE"""),"None")</f>
        <v>None</v>
      </c>
    </row>
    <row r="2162" spans="1:8">
      <c r="A2162" s="5" t="str">
        <f ca="1">IFERROR(__xludf.DUMMYFUNCTION("""COMPUTED_VALUE"""),"19790226CABAB")</f>
        <v>19790226CABAB</v>
      </c>
      <c r="B2162" s="5">
        <f ca="1">IFERROR(__xludf.DUMMYFUNCTION("""COMPUTED_VALUE"""),18)</f>
        <v>18</v>
      </c>
      <c r="C2162" s="5" t="str">
        <f ca="1">IFERROR(__xludf.DUMMYFUNCTION("""COMPUTED_VALUE"""),"Male")</f>
        <v>Male</v>
      </c>
      <c r="D2162" s="5" t="str">
        <f ca="1">IFERROR(__xludf.DUMMYFUNCTION("""COMPUTED_VALUE"""),"White")</f>
        <v>White</v>
      </c>
      <c r="E2162" s="5" t="str">
        <f ca="1">IFERROR(__xludf.DUMMYFUNCTION("""COMPUTED_VALUE"""),"Student")</f>
        <v>Student</v>
      </c>
      <c r="F2162" s="5" t="str">
        <f ca="1">IFERROR(__xludf.DUMMYFUNCTION("""COMPUTED_VALUE"""),"Fled/Apprehended")</f>
        <v>Fled/Apprehended</v>
      </c>
      <c r="G2162" s="5" t="str">
        <f ca="1">IFERROR(__xludf.DUMMYFUNCTION("""COMPUTED_VALUE"""),"No")</f>
        <v>No</v>
      </c>
      <c r="H2162" s="5" t="str">
        <f ca="1">IFERROR(__xludf.DUMMYFUNCTION("""COMPUTED_VALUE"""),"None")</f>
        <v>None</v>
      </c>
    </row>
    <row r="2163" spans="1:8">
      <c r="A2163" s="5" t="str">
        <f ca="1">IFERROR(__xludf.DUMMYFUNCTION("""COMPUTED_VALUE"""),"19790129CAGRS")</f>
        <v>19790129CAGRS</v>
      </c>
      <c r="B2163" s="5">
        <f ca="1">IFERROR(__xludf.DUMMYFUNCTION("""COMPUTED_VALUE"""),16)</f>
        <v>16</v>
      </c>
      <c r="C2163" s="5" t="str">
        <f ca="1">IFERROR(__xludf.DUMMYFUNCTION("""COMPUTED_VALUE"""),"Female")</f>
        <v>Female</v>
      </c>
      <c r="D2163" s="5" t="str">
        <f ca="1">IFERROR(__xludf.DUMMYFUNCTION("""COMPUTED_VALUE"""),"White")</f>
        <v>White</v>
      </c>
      <c r="E2163" s="5" t="str">
        <f ca="1">IFERROR(__xludf.DUMMYFUNCTION("""COMPUTED_VALUE"""),"No Relation")</f>
        <v>No Relation</v>
      </c>
      <c r="F2163" s="5" t="str">
        <f ca="1">IFERROR(__xludf.DUMMYFUNCTION("""COMPUTED_VALUE"""),"Apprehended/Killed by LE")</f>
        <v>Apprehended/Killed by LE</v>
      </c>
      <c r="G2163" s="5" t="str">
        <f ca="1">IFERROR(__xludf.DUMMYFUNCTION("""COMPUTED_VALUE"""),"No")</f>
        <v>No</v>
      </c>
      <c r="H2163" s="5" t="str">
        <f ca="1">IFERROR(__xludf.DUMMYFUNCTION("""COMPUTED_VALUE"""),"None")</f>
        <v>None</v>
      </c>
    </row>
    <row r="2164" spans="1:8">
      <c r="A2164" s="5" t="str">
        <f ca="1">IFERROR(__xludf.DUMMYFUNCTION("""COMPUTED_VALUE"""),"19781214CTWIN")</f>
        <v>19781214CTWIN</v>
      </c>
      <c r="B2164" s="5">
        <f ca="1">IFERROR(__xludf.DUMMYFUNCTION("""COMPUTED_VALUE"""),17)</f>
        <v>17</v>
      </c>
      <c r="C2164" s="5" t="str">
        <f ca="1">IFERROR(__xludf.DUMMYFUNCTION("""COMPUTED_VALUE"""),"Male")</f>
        <v>Male</v>
      </c>
      <c r="D2164" s="5"/>
      <c r="E2164" s="5" t="str">
        <f ca="1">IFERROR(__xludf.DUMMYFUNCTION("""COMPUTED_VALUE"""),"No Relation")</f>
        <v>No Relation</v>
      </c>
      <c r="F2164" s="5" t="str">
        <f ca="1">IFERROR(__xludf.DUMMYFUNCTION("""COMPUTED_VALUE"""),"Apprehended/Killed by LE")</f>
        <v>Apprehended/Killed by LE</v>
      </c>
      <c r="G2164" s="5" t="str">
        <f ca="1">IFERROR(__xludf.DUMMYFUNCTION("""COMPUTED_VALUE"""),"No")</f>
        <v>No</v>
      </c>
      <c r="H2164" s="5" t="str">
        <f ca="1">IFERROR(__xludf.DUMMYFUNCTION("""COMPUTED_VALUE"""),"None")</f>
        <v>None</v>
      </c>
    </row>
    <row r="2165" spans="1:8">
      <c r="A2165" s="5" t="str">
        <f ca="1">IFERROR(__xludf.DUMMYFUNCTION("""COMPUTED_VALUE"""),"19781129NYPAN")</f>
        <v>19781129NYPAN</v>
      </c>
      <c r="B2165" s="5">
        <f ca="1">IFERROR(__xludf.DUMMYFUNCTION("""COMPUTED_VALUE"""),15)</f>
        <v>15</v>
      </c>
      <c r="C2165" s="5" t="str">
        <f ca="1">IFERROR(__xludf.DUMMYFUNCTION("""COMPUTED_VALUE"""),"Male")</f>
        <v>Male</v>
      </c>
      <c r="D2165" s="5"/>
      <c r="E2165" s="5" t="str">
        <f ca="1">IFERROR(__xludf.DUMMYFUNCTION("""COMPUTED_VALUE"""),"Student")</f>
        <v>Student</v>
      </c>
      <c r="F2165" s="5" t="str">
        <f ca="1">IFERROR(__xludf.DUMMYFUNCTION("""COMPUTED_VALUE"""),"Fled/Apprehended")</f>
        <v>Fled/Apprehended</v>
      </c>
      <c r="G2165" s="5" t="str">
        <f ca="1">IFERROR(__xludf.DUMMYFUNCTION("""COMPUTED_VALUE"""),"No")</f>
        <v>No</v>
      </c>
      <c r="H2165" s="5" t="str">
        <f ca="1">IFERROR(__xludf.DUMMYFUNCTION("""COMPUTED_VALUE"""),"None")</f>
        <v>None</v>
      </c>
    </row>
    <row r="2166" spans="1:8">
      <c r="A2166" s="5" t="str">
        <f ca="1">IFERROR(__xludf.DUMMYFUNCTION("""COMPUTED_VALUE"""),"19781017MOUNU")</f>
        <v>19781017MOUNU</v>
      </c>
      <c r="B2166" s="5" t="str">
        <f ca="1">IFERROR(__xludf.DUMMYFUNCTION("""COMPUTED_VALUE"""),"Teen")</f>
        <v>Teen</v>
      </c>
      <c r="C2166" s="5" t="str">
        <f ca="1">IFERROR(__xludf.DUMMYFUNCTION("""COMPUTED_VALUE"""),"Male")</f>
        <v>Male</v>
      </c>
      <c r="D2166" s="5" t="str">
        <f ca="1">IFERROR(__xludf.DUMMYFUNCTION("""COMPUTED_VALUE"""),"White")</f>
        <v>White</v>
      </c>
      <c r="E2166" s="5" t="str">
        <f ca="1">IFERROR(__xludf.DUMMYFUNCTION("""COMPUTED_VALUE"""),"Former Student")</f>
        <v>Former Student</v>
      </c>
      <c r="F2166" s="5" t="str">
        <f ca="1">IFERROR(__xludf.DUMMYFUNCTION("""COMPUTED_VALUE"""),"Fled/Escaped")</f>
        <v>Fled/Escaped</v>
      </c>
      <c r="G2166" s="5" t="str">
        <f ca="1">IFERROR(__xludf.DUMMYFUNCTION("""COMPUTED_VALUE"""),"No")</f>
        <v>No</v>
      </c>
      <c r="H2166" s="5" t="str">
        <f ca="1">IFERROR(__xludf.DUMMYFUNCTION("""COMPUTED_VALUE"""),"None")</f>
        <v>None</v>
      </c>
    </row>
    <row r="2167" spans="1:8">
      <c r="A2167" s="5" t="str">
        <f ca="1">IFERROR(__xludf.DUMMYFUNCTION("""COMPUTED_VALUE"""),"19781017ALLAL")</f>
        <v>19781017ALLAL</v>
      </c>
      <c r="B2167" s="5">
        <f ca="1">IFERROR(__xludf.DUMMYFUNCTION("""COMPUTED_VALUE"""),13)</f>
        <v>13</v>
      </c>
      <c r="C2167" s="5" t="str">
        <f ca="1">IFERROR(__xludf.DUMMYFUNCTION("""COMPUTED_VALUE"""),"Male")</f>
        <v>Male</v>
      </c>
      <c r="D2167" s="5" t="str">
        <f ca="1">IFERROR(__xludf.DUMMYFUNCTION("""COMPUTED_VALUE"""),"White")</f>
        <v>White</v>
      </c>
      <c r="E2167" s="5" t="str">
        <f ca="1">IFERROR(__xludf.DUMMYFUNCTION("""COMPUTED_VALUE"""),"Student")</f>
        <v>Student</v>
      </c>
      <c r="F2167" s="5" t="str">
        <f ca="1">IFERROR(__xludf.DUMMYFUNCTION("""COMPUTED_VALUE"""),"Fled/Apprehended")</f>
        <v>Fled/Apprehended</v>
      </c>
      <c r="G2167" s="5" t="str">
        <f ca="1">IFERROR(__xludf.DUMMYFUNCTION("""COMPUTED_VALUE"""),"No")</f>
        <v>No</v>
      </c>
      <c r="H2167" s="5" t="str">
        <f ca="1">IFERROR(__xludf.DUMMYFUNCTION("""COMPUTED_VALUE"""),"None")</f>
        <v>None</v>
      </c>
    </row>
    <row r="2168" spans="1:8">
      <c r="A2168" s="5" t="str">
        <f ca="1">IFERROR(__xludf.DUMMYFUNCTION("""COMPUTED_VALUE"""),"19780610MAWEW")</f>
        <v>19780610MAWEW</v>
      </c>
      <c r="B2168" s="5">
        <f ca="1">IFERROR(__xludf.DUMMYFUNCTION("""COMPUTED_VALUE"""),17)</f>
        <v>17</v>
      </c>
      <c r="C2168" s="5" t="str">
        <f ca="1">IFERROR(__xludf.DUMMYFUNCTION("""COMPUTED_VALUE"""),"Male")</f>
        <v>Male</v>
      </c>
      <c r="D2168" s="5"/>
      <c r="E2168" s="5" t="str">
        <f ca="1">IFERROR(__xludf.DUMMYFUNCTION("""COMPUTED_VALUE"""),"Student")</f>
        <v>Student</v>
      </c>
      <c r="F2168" s="5" t="str">
        <f ca="1">IFERROR(__xludf.DUMMYFUNCTION("""COMPUTED_VALUE"""),"Attempted Suicide")</f>
        <v>Attempted Suicide</v>
      </c>
      <c r="G2168" s="5" t="str">
        <f ca="1">IFERROR(__xludf.DUMMYFUNCTION("""COMPUTED_VALUE"""),"No")</f>
        <v>No</v>
      </c>
      <c r="H2168" s="5" t="str">
        <f ca="1">IFERROR(__xludf.DUMMYFUNCTION("""COMPUTED_VALUE"""),"Wounded")</f>
        <v>Wounded</v>
      </c>
    </row>
    <row r="2169" spans="1:8">
      <c r="A2169" s="5" t="str">
        <f ca="1">IFERROR(__xludf.DUMMYFUNCTION("""COMPUTED_VALUE"""),"19780607DEDOD")</f>
        <v>19780607DEDOD</v>
      </c>
      <c r="B2169" s="5">
        <f ca="1">IFERROR(__xludf.DUMMYFUNCTION("""COMPUTED_VALUE"""),17)</f>
        <v>17</v>
      </c>
      <c r="C2169" s="5" t="str">
        <f ca="1">IFERROR(__xludf.DUMMYFUNCTION("""COMPUTED_VALUE"""),"Male")</f>
        <v>Male</v>
      </c>
      <c r="D2169" s="5"/>
      <c r="E2169" s="5" t="str">
        <f ca="1">IFERROR(__xludf.DUMMYFUNCTION("""COMPUTED_VALUE"""),"Student")</f>
        <v>Student</v>
      </c>
      <c r="F2169" s="5" t="str">
        <f ca="1">IFERROR(__xludf.DUMMYFUNCTION("""COMPUTED_VALUE"""),"Unknown")</f>
        <v>Unknown</v>
      </c>
      <c r="G2169" s="5" t="str">
        <f ca="1">IFERROR(__xludf.DUMMYFUNCTION("""COMPUTED_VALUE"""),"No")</f>
        <v>No</v>
      </c>
      <c r="H2169" s="5" t="str">
        <f ca="1">IFERROR(__xludf.DUMMYFUNCTION("""COMPUTED_VALUE"""),"None")</f>
        <v>None</v>
      </c>
    </row>
    <row r="2170" spans="1:8">
      <c r="A2170" s="5" t="str">
        <f ca="1">IFERROR(__xludf.DUMMYFUNCTION("""COMPUTED_VALUE"""),"19780519PADOP")</f>
        <v>19780519PADOP</v>
      </c>
      <c r="B2170" s="5"/>
      <c r="C2170" s="5"/>
      <c r="D2170" s="5"/>
      <c r="E2170" s="5" t="str">
        <f ca="1">IFERROR(__xludf.DUMMYFUNCTION("""COMPUTED_VALUE"""),"Unknown")</f>
        <v>Unknown</v>
      </c>
      <c r="F2170" s="5" t="str">
        <f ca="1">IFERROR(__xludf.DUMMYFUNCTION("""COMPUTED_VALUE"""),"Fled/Escaped")</f>
        <v>Fled/Escaped</v>
      </c>
      <c r="G2170" s="5" t="str">
        <f ca="1">IFERROR(__xludf.DUMMYFUNCTION("""COMPUTED_VALUE"""),"No")</f>
        <v>No</v>
      </c>
      <c r="H2170" s="5" t="str">
        <f ca="1">IFERROR(__xludf.DUMMYFUNCTION("""COMPUTED_VALUE"""),"None")</f>
        <v>None</v>
      </c>
    </row>
    <row r="2171" spans="1:8">
      <c r="A2171" s="5" t="str">
        <f ca="1">IFERROR(__xludf.DUMMYFUNCTION("""COMPUTED_VALUE"""),"19780518TXMUA")</f>
        <v>19780518TXMUA</v>
      </c>
      <c r="B2171" s="5">
        <f ca="1">IFERROR(__xludf.DUMMYFUNCTION("""COMPUTED_VALUE"""),13)</f>
        <v>13</v>
      </c>
      <c r="C2171" s="5" t="str">
        <f ca="1">IFERROR(__xludf.DUMMYFUNCTION("""COMPUTED_VALUE"""),"Male")</f>
        <v>Male</v>
      </c>
      <c r="D2171" s="5" t="str">
        <f ca="1">IFERROR(__xludf.DUMMYFUNCTION("""COMPUTED_VALUE"""),"White")</f>
        <v>White</v>
      </c>
      <c r="E2171" s="5" t="str">
        <f ca="1">IFERROR(__xludf.DUMMYFUNCTION("""COMPUTED_VALUE"""),"Student")</f>
        <v>Student</v>
      </c>
      <c r="F2171" s="5" t="str">
        <f ca="1">IFERROR(__xludf.DUMMYFUNCTION("""COMPUTED_VALUE"""),"Fled/Apprehended")</f>
        <v>Fled/Apprehended</v>
      </c>
      <c r="G2171" s="5" t="str">
        <f ca="1">IFERROR(__xludf.DUMMYFUNCTION("""COMPUTED_VALUE"""),"No")</f>
        <v>No</v>
      </c>
      <c r="H2171" s="5" t="str">
        <f ca="1">IFERROR(__xludf.DUMMYFUNCTION("""COMPUTED_VALUE"""),"None")</f>
        <v>None</v>
      </c>
    </row>
    <row r="2172" spans="1:8">
      <c r="A2172" s="5" t="str">
        <f ca="1">IFERROR(__xludf.DUMMYFUNCTION("""COMPUTED_VALUE"""),"19780428ILRIN")</f>
        <v>19780428ILRIN</v>
      </c>
      <c r="B2172" s="5" t="str">
        <f ca="1">IFERROR(__xludf.DUMMYFUNCTION("""COMPUTED_VALUE"""),"Teen")</f>
        <v>Teen</v>
      </c>
      <c r="C2172" s="5" t="str">
        <f ca="1">IFERROR(__xludf.DUMMYFUNCTION("""COMPUTED_VALUE"""),"Male")</f>
        <v>Male</v>
      </c>
      <c r="D2172" s="5"/>
      <c r="E2172" s="5" t="str">
        <f ca="1">IFERROR(__xludf.DUMMYFUNCTION("""COMPUTED_VALUE"""),"Student")</f>
        <v>Student</v>
      </c>
      <c r="F2172" s="5" t="str">
        <f ca="1">IFERROR(__xludf.DUMMYFUNCTION("""COMPUTED_VALUE"""),"Unknown")</f>
        <v>Unknown</v>
      </c>
      <c r="G2172" s="5" t="str">
        <f ca="1">IFERROR(__xludf.DUMMYFUNCTION("""COMPUTED_VALUE"""),"No")</f>
        <v>No</v>
      </c>
      <c r="H2172" s="5" t="str">
        <f ca="1">IFERROR(__xludf.DUMMYFUNCTION("""COMPUTED_VALUE"""),"None")</f>
        <v>None</v>
      </c>
    </row>
    <row r="2173" spans="1:8">
      <c r="A2173" s="5" t="str">
        <f ca="1">IFERROR(__xludf.DUMMYFUNCTION("""COMPUTED_VALUE"""),"19780426TXPAD")</f>
        <v>19780426TXPAD</v>
      </c>
      <c r="B2173" s="5">
        <f ca="1">IFERROR(__xludf.DUMMYFUNCTION("""COMPUTED_VALUE"""),56)</f>
        <v>56</v>
      </c>
      <c r="C2173" s="5" t="str">
        <f ca="1">IFERROR(__xludf.DUMMYFUNCTION("""COMPUTED_VALUE"""),"Female")</f>
        <v>Female</v>
      </c>
      <c r="D2173" s="5"/>
      <c r="E2173" s="5" t="str">
        <f ca="1">IFERROR(__xludf.DUMMYFUNCTION("""COMPUTED_VALUE"""),"Relative")</f>
        <v>Relative</v>
      </c>
      <c r="F2173" s="5" t="str">
        <f ca="1">IFERROR(__xludf.DUMMYFUNCTION("""COMPUTED_VALUE"""),"Surrendered")</f>
        <v>Surrendered</v>
      </c>
      <c r="G2173" s="5" t="str">
        <f ca="1">IFERROR(__xludf.DUMMYFUNCTION("""COMPUTED_VALUE"""),"No")</f>
        <v>No</v>
      </c>
      <c r="H2173" s="5" t="str">
        <f ca="1">IFERROR(__xludf.DUMMYFUNCTION("""COMPUTED_VALUE"""),"None")</f>
        <v>None</v>
      </c>
    </row>
    <row r="2174" spans="1:8">
      <c r="A2174" s="5" t="str">
        <f ca="1">IFERROR(__xludf.DUMMYFUNCTION("""COMPUTED_VALUE"""),"19780414MIFOD")</f>
        <v>19780414MIFOD</v>
      </c>
      <c r="B2174" s="5">
        <f ca="1">IFERROR(__xludf.DUMMYFUNCTION("""COMPUTED_VALUE"""),16)</f>
        <v>16</v>
      </c>
      <c r="C2174" s="5" t="str">
        <f ca="1">IFERROR(__xludf.DUMMYFUNCTION("""COMPUTED_VALUE"""),"Male")</f>
        <v>Male</v>
      </c>
      <c r="D2174" s="5"/>
      <c r="E2174" s="5" t="str">
        <f ca="1">IFERROR(__xludf.DUMMYFUNCTION("""COMPUTED_VALUE"""),"Student")</f>
        <v>Student</v>
      </c>
      <c r="F2174" s="5" t="str">
        <f ca="1">IFERROR(__xludf.DUMMYFUNCTION("""COMPUTED_VALUE"""),"Unknown")</f>
        <v>Unknown</v>
      </c>
      <c r="G2174" s="5" t="str">
        <f ca="1">IFERROR(__xludf.DUMMYFUNCTION("""COMPUTED_VALUE"""),"No")</f>
        <v>No</v>
      </c>
      <c r="H2174" s="5" t="str">
        <f ca="1">IFERROR(__xludf.DUMMYFUNCTION("""COMPUTED_VALUE"""),"None")</f>
        <v>None</v>
      </c>
    </row>
    <row r="2175" spans="1:8">
      <c r="A2175" s="5" t="str">
        <f ca="1">IFERROR(__xludf.DUMMYFUNCTION("""COMPUTED_VALUE"""),"19780329TNGAN")</f>
        <v>19780329TNGAN</v>
      </c>
      <c r="B2175" s="5" t="str">
        <f ca="1">IFERROR(__xludf.DUMMYFUNCTION("""COMPUTED_VALUE"""),"Adult")</f>
        <v>Adult</v>
      </c>
      <c r="C2175" s="5" t="str">
        <f ca="1">IFERROR(__xludf.DUMMYFUNCTION("""COMPUTED_VALUE"""),"Male")</f>
        <v>Male</v>
      </c>
      <c r="D2175" s="5" t="str">
        <f ca="1">IFERROR(__xludf.DUMMYFUNCTION("""COMPUTED_VALUE"""),"Black")</f>
        <v>Black</v>
      </c>
      <c r="E2175" s="5" t="str">
        <f ca="1">IFERROR(__xludf.DUMMYFUNCTION("""COMPUTED_VALUE"""),"Other Staff")</f>
        <v>Other Staff</v>
      </c>
      <c r="F2175" s="5" t="str">
        <f ca="1">IFERROR(__xludf.DUMMYFUNCTION("""COMPUTED_VALUE"""),"Surrendered")</f>
        <v>Surrendered</v>
      </c>
      <c r="G2175" s="5" t="str">
        <f ca="1">IFERROR(__xludf.DUMMYFUNCTION("""COMPUTED_VALUE"""),"No")</f>
        <v>No</v>
      </c>
      <c r="H2175" s="5" t="str">
        <f ca="1">IFERROR(__xludf.DUMMYFUNCTION("""COMPUTED_VALUE"""),"None")</f>
        <v>None</v>
      </c>
    </row>
    <row r="2176" spans="1:8">
      <c r="A2176" s="5" t="str">
        <f ca="1">IFERROR(__xludf.DUMMYFUNCTION("""COMPUTED_VALUE"""),"19780309CAMOS")</f>
        <v>19780309CAMOS</v>
      </c>
      <c r="B2176" s="5">
        <f ca="1">IFERROR(__xludf.DUMMYFUNCTION("""COMPUTED_VALUE"""),14)</f>
        <v>14</v>
      </c>
      <c r="C2176" s="5" t="str">
        <f ca="1">IFERROR(__xludf.DUMMYFUNCTION("""COMPUTED_VALUE"""),"Male")</f>
        <v>Male</v>
      </c>
      <c r="D2176" s="5"/>
      <c r="E2176" s="5" t="str">
        <f ca="1">IFERROR(__xludf.DUMMYFUNCTION("""COMPUTED_VALUE"""),"No Relation")</f>
        <v>No Relation</v>
      </c>
      <c r="F2176" s="5" t="str">
        <f ca="1">IFERROR(__xludf.DUMMYFUNCTION("""COMPUTED_VALUE"""),"Surrendered")</f>
        <v>Surrendered</v>
      </c>
      <c r="G2176" s="5" t="str">
        <f ca="1">IFERROR(__xludf.DUMMYFUNCTION("""COMPUTED_VALUE"""),"No")</f>
        <v>No</v>
      </c>
      <c r="H2176" s="5" t="str">
        <f ca="1">IFERROR(__xludf.DUMMYFUNCTION("""COMPUTED_VALUE"""),"None")</f>
        <v>None</v>
      </c>
    </row>
    <row r="2177" spans="1:8">
      <c r="A2177" s="5" t="str">
        <f ca="1">IFERROR(__xludf.DUMMYFUNCTION("""COMPUTED_VALUE"""),"19780222MIEVL")</f>
        <v>19780222MIEVL</v>
      </c>
      <c r="B2177" s="5">
        <f ca="1">IFERROR(__xludf.DUMMYFUNCTION("""COMPUTED_VALUE"""),15)</f>
        <v>15</v>
      </c>
      <c r="C2177" s="5" t="str">
        <f ca="1">IFERROR(__xludf.DUMMYFUNCTION("""COMPUTED_VALUE"""),"Male")</f>
        <v>Male</v>
      </c>
      <c r="D2177" s="5" t="str">
        <f ca="1">IFERROR(__xludf.DUMMYFUNCTION("""COMPUTED_VALUE"""),"White")</f>
        <v>White</v>
      </c>
      <c r="E2177" s="5" t="str">
        <f ca="1">IFERROR(__xludf.DUMMYFUNCTION("""COMPUTED_VALUE"""),"Student")</f>
        <v>Student</v>
      </c>
      <c r="F2177" s="5" t="str">
        <f ca="1">IFERROR(__xludf.DUMMYFUNCTION("""COMPUTED_VALUE"""),"Surrendered")</f>
        <v>Surrendered</v>
      </c>
      <c r="G2177" s="5" t="str">
        <f ca="1">IFERROR(__xludf.DUMMYFUNCTION("""COMPUTED_VALUE"""),"No")</f>
        <v>No</v>
      </c>
      <c r="H2177" s="5" t="str">
        <f ca="1">IFERROR(__xludf.DUMMYFUNCTION("""COMPUTED_VALUE"""),"None")</f>
        <v>None</v>
      </c>
    </row>
    <row r="2178" spans="1:8">
      <c r="A2178" s="5" t="str">
        <f ca="1">IFERROR(__xludf.DUMMYFUNCTION("""COMPUTED_VALUE"""),"19780209WVHAS")</f>
        <v>19780209WVHAS</v>
      </c>
      <c r="B2178" s="5">
        <f ca="1">IFERROR(__xludf.DUMMYFUNCTION("""COMPUTED_VALUE"""),15)</f>
        <v>15</v>
      </c>
      <c r="C2178" s="5" t="str">
        <f ca="1">IFERROR(__xludf.DUMMYFUNCTION("""COMPUTED_VALUE"""),"Male")</f>
        <v>Male</v>
      </c>
      <c r="D2178" s="5" t="str">
        <f ca="1">IFERROR(__xludf.DUMMYFUNCTION("""COMPUTED_VALUE"""),"White")</f>
        <v>White</v>
      </c>
      <c r="E2178" s="5" t="str">
        <f ca="1">IFERROR(__xludf.DUMMYFUNCTION("""COMPUTED_VALUE"""),"Student")</f>
        <v>Student</v>
      </c>
      <c r="F2178" s="5" t="str">
        <f ca="1">IFERROR(__xludf.DUMMYFUNCTION("""COMPUTED_VALUE"""),"Fled/Apprehended")</f>
        <v>Fled/Apprehended</v>
      </c>
      <c r="G2178" s="5" t="str">
        <f ca="1">IFERROR(__xludf.DUMMYFUNCTION("""COMPUTED_VALUE"""),"No")</f>
        <v>No</v>
      </c>
      <c r="H2178" s="5" t="str">
        <f ca="1">IFERROR(__xludf.DUMMYFUNCTION("""COMPUTED_VALUE"""),"None")</f>
        <v>None</v>
      </c>
    </row>
    <row r="2179" spans="1:8">
      <c r="A2179" s="5" t="str">
        <f ca="1">IFERROR(__xludf.DUMMYFUNCTION("""COMPUTED_VALUE"""),"19780111KYCHH")</f>
        <v>19780111KYCHH</v>
      </c>
      <c r="B2179" s="5">
        <f ca="1">IFERROR(__xludf.DUMMYFUNCTION("""COMPUTED_VALUE"""),16)</f>
        <v>16</v>
      </c>
      <c r="C2179" s="5" t="str">
        <f ca="1">IFERROR(__xludf.DUMMYFUNCTION("""COMPUTED_VALUE"""),"Male")</f>
        <v>Male</v>
      </c>
      <c r="D2179" s="5"/>
      <c r="E2179" s="5" t="str">
        <f ca="1">IFERROR(__xludf.DUMMYFUNCTION("""COMPUTED_VALUE"""),"Student")</f>
        <v>Student</v>
      </c>
      <c r="F2179" s="5" t="str">
        <f ca="1">IFERROR(__xludf.DUMMYFUNCTION("""COMPUTED_VALUE"""),"Subdued by Students/Staff/Other")</f>
        <v>Subdued by Students/Staff/Other</v>
      </c>
      <c r="G2179" s="5" t="str">
        <f ca="1">IFERROR(__xludf.DUMMYFUNCTION("""COMPUTED_VALUE"""),"No")</f>
        <v>No</v>
      </c>
      <c r="H2179" s="5" t="str">
        <f ca="1">IFERROR(__xludf.DUMMYFUNCTION("""COMPUTED_VALUE"""),"None")</f>
        <v>None</v>
      </c>
    </row>
    <row r="2180" spans="1:8">
      <c r="A2180" s="5" t="str">
        <f ca="1">IFERROR(__xludf.DUMMYFUNCTION("""COMPUTED_VALUE"""),"19771215MABLC")</f>
        <v>19771215MABLC</v>
      </c>
      <c r="B2180" s="5"/>
      <c r="C2180" s="5" t="str">
        <f ca="1">IFERROR(__xludf.DUMMYFUNCTION("""COMPUTED_VALUE"""),"Male")</f>
        <v>Male</v>
      </c>
      <c r="D2180" s="5"/>
      <c r="E2180" s="5" t="str">
        <f ca="1">IFERROR(__xludf.DUMMYFUNCTION("""COMPUTED_VALUE"""),"Unknown")</f>
        <v>Unknown</v>
      </c>
      <c r="F2180" s="5" t="str">
        <f ca="1">IFERROR(__xludf.DUMMYFUNCTION("""COMPUTED_VALUE"""),"Fled/Escaped")</f>
        <v>Fled/Escaped</v>
      </c>
      <c r="G2180" s="5" t="str">
        <f ca="1">IFERROR(__xludf.DUMMYFUNCTION("""COMPUTED_VALUE"""),"No")</f>
        <v>No</v>
      </c>
      <c r="H2180" s="5" t="str">
        <f ca="1">IFERROR(__xludf.DUMMYFUNCTION("""COMPUTED_VALUE"""),"None")</f>
        <v>None</v>
      </c>
    </row>
    <row r="2181" spans="1:8">
      <c r="A2181" s="5" t="str">
        <f ca="1">IFERROR(__xludf.DUMMYFUNCTION("""COMPUTED_VALUE"""),"19771212FLWEW")</f>
        <v>19771212FLWEW</v>
      </c>
      <c r="B2181" s="5">
        <f ca="1">IFERROR(__xludf.DUMMYFUNCTION("""COMPUTED_VALUE"""),41)</f>
        <v>41</v>
      </c>
      <c r="C2181" s="5" t="str">
        <f ca="1">IFERROR(__xludf.DUMMYFUNCTION("""COMPUTED_VALUE"""),"Male")</f>
        <v>Male</v>
      </c>
      <c r="D2181" s="5"/>
      <c r="E2181" s="5" t="str">
        <f ca="1">IFERROR(__xludf.DUMMYFUNCTION("""COMPUTED_VALUE"""),"Other Staff")</f>
        <v>Other Staff</v>
      </c>
      <c r="F2181" s="5" t="str">
        <f ca="1">IFERROR(__xludf.DUMMYFUNCTION("""COMPUTED_VALUE"""),"Surrendered")</f>
        <v>Surrendered</v>
      </c>
      <c r="G2181" s="5" t="str">
        <f ca="1">IFERROR(__xludf.DUMMYFUNCTION("""COMPUTED_VALUE"""),"No")</f>
        <v>No</v>
      </c>
      <c r="H2181" s="5" t="str">
        <f ca="1">IFERROR(__xludf.DUMMYFUNCTION("""COMPUTED_VALUE"""),"None")</f>
        <v>None</v>
      </c>
    </row>
    <row r="2182" spans="1:8">
      <c r="A2182" s="5" t="str">
        <f ca="1">IFERROR(__xludf.DUMMYFUNCTION("""COMPUTED_VALUE"""),"19771209CAPES")</f>
        <v>19771209CAPES</v>
      </c>
      <c r="B2182" s="5">
        <f ca="1">IFERROR(__xludf.DUMMYFUNCTION("""COMPUTED_VALUE"""),40)</f>
        <v>40</v>
      </c>
      <c r="C2182" s="5" t="str">
        <f ca="1">IFERROR(__xludf.DUMMYFUNCTION("""COMPUTED_VALUE"""),"Male")</f>
        <v>Male</v>
      </c>
      <c r="D2182" s="5"/>
      <c r="E2182" s="5" t="str">
        <f ca="1">IFERROR(__xludf.DUMMYFUNCTION("""COMPUTED_VALUE"""),"Intimate Relationship")</f>
        <v>Intimate Relationship</v>
      </c>
      <c r="F2182" s="5" t="str">
        <f ca="1">IFERROR(__xludf.DUMMYFUNCTION("""COMPUTED_VALUE"""),"Subdued by Students/Staff/Other")</f>
        <v>Subdued by Students/Staff/Other</v>
      </c>
      <c r="G2182" s="5" t="str">
        <f ca="1">IFERROR(__xludf.DUMMYFUNCTION("""COMPUTED_VALUE"""),"No")</f>
        <v>No</v>
      </c>
      <c r="H2182" s="5" t="str">
        <f ca="1">IFERROR(__xludf.DUMMYFUNCTION("""COMPUTED_VALUE"""),"None")</f>
        <v>None</v>
      </c>
    </row>
    <row r="2183" spans="1:8">
      <c r="A2183" s="5" t="str">
        <f ca="1">IFERROR(__xludf.DUMMYFUNCTION("""COMPUTED_VALUE"""),"19771129MOVAS")</f>
        <v>19771129MOVAS</v>
      </c>
      <c r="B2183" s="5">
        <f ca="1">IFERROR(__xludf.DUMMYFUNCTION("""COMPUTED_VALUE"""),18)</f>
        <v>18</v>
      </c>
      <c r="C2183" s="5" t="str">
        <f ca="1">IFERROR(__xludf.DUMMYFUNCTION("""COMPUTED_VALUE"""),"Male")</f>
        <v>Male</v>
      </c>
      <c r="D2183" s="5"/>
      <c r="E2183" s="5" t="str">
        <f ca="1">IFERROR(__xludf.DUMMYFUNCTION("""COMPUTED_VALUE"""),"Student")</f>
        <v>Student</v>
      </c>
      <c r="F2183" s="5" t="str">
        <f ca="1">IFERROR(__xludf.DUMMYFUNCTION("""COMPUTED_VALUE"""),"Unknown")</f>
        <v>Unknown</v>
      </c>
      <c r="G2183" s="5" t="str">
        <f ca="1">IFERROR(__xludf.DUMMYFUNCTION("""COMPUTED_VALUE"""),"No")</f>
        <v>No</v>
      </c>
      <c r="H2183" s="5" t="str">
        <f ca="1">IFERROR(__xludf.DUMMYFUNCTION("""COMPUTED_VALUE"""),"None")</f>
        <v>None</v>
      </c>
    </row>
    <row r="2184" spans="1:8">
      <c r="A2184" s="5" t="str">
        <f ca="1">IFERROR(__xludf.DUMMYFUNCTION("""COMPUTED_VALUE"""),"19771129MOHAS")</f>
        <v>19771129MOHAS</v>
      </c>
      <c r="B2184" s="5">
        <f ca="1">IFERROR(__xludf.DUMMYFUNCTION("""COMPUTED_VALUE"""),19)</f>
        <v>19</v>
      </c>
      <c r="C2184" s="5" t="str">
        <f ca="1">IFERROR(__xludf.DUMMYFUNCTION("""COMPUTED_VALUE"""),"Male")</f>
        <v>Male</v>
      </c>
      <c r="D2184" s="5"/>
      <c r="E2184" s="5" t="str">
        <f ca="1">IFERROR(__xludf.DUMMYFUNCTION("""COMPUTED_VALUE"""),"Former Student")</f>
        <v>Former Student</v>
      </c>
      <c r="F2184" s="5" t="str">
        <f ca="1">IFERROR(__xludf.DUMMYFUNCTION("""COMPUTED_VALUE"""),"Apprehended/Killed by LE")</f>
        <v>Apprehended/Killed by LE</v>
      </c>
      <c r="G2184" s="5" t="str">
        <f ca="1">IFERROR(__xludf.DUMMYFUNCTION("""COMPUTED_VALUE"""),"No")</f>
        <v>No</v>
      </c>
      <c r="H2184" s="5" t="str">
        <f ca="1">IFERROR(__xludf.DUMMYFUNCTION("""COMPUTED_VALUE"""),"None")</f>
        <v>None</v>
      </c>
    </row>
    <row r="2185" spans="1:8">
      <c r="A2185" s="5" t="str">
        <f ca="1">IFERROR(__xludf.DUMMYFUNCTION("""COMPUTED_VALUE"""),"19770711COSOC")</f>
        <v>19770711COSOC</v>
      </c>
      <c r="B2185" s="5">
        <f ca="1">IFERROR(__xludf.DUMMYFUNCTION("""COMPUTED_VALUE"""),15)</f>
        <v>15</v>
      </c>
      <c r="C2185" s="5"/>
      <c r="D2185" s="5"/>
      <c r="E2185" s="5" t="str">
        <f ca="1">IFERROR(__xludf.DUMMYFUNCTION("""COMPUTED_VALUE"""),"Student")</f>
        <v>Student</v>
      </c>
      <c r="F2185" s="5" t="str">
        <f ca="1">IFERROR(__xludf.DUMMYFUNCTION("""COMPUTED_VALUE"""),"Fled/Escaped")</f>
        <v>Fled/Escaped</v>
      </c>
      <c r="G2185" s="5" t="str">
        <f ca="1">IFERROR(__xludf.DUMMYFUNCTION("""COMPUTED_VALUE"""),"No")</f>
        <v>No</v>
      </c>
      <c r="H2185" s="5" t="str">
        <f ca="1">IFERROR(__xludf.DUMMYFUNCTION("""COMPUTED_VALUE"""),"None")</f>
        <v>None</v>
      </c>
    </row>
    <row r="2186" spans="1:8">
      <c r="A2186" s="5" t="str">
        <f ca="1">IFERROR(__xludf.DUMMYFUNCTION("""COMPUTED_VALUE"""),"19770622ILHOC")</f>
        <v>19770622ILHOC</v>
      </c>
      <c r="B2186" s="5" t="str">
        <f ca="1">IFERROR(__xludf.DUMMYFUNCTION("""COMPUTED_VALUE"""),"Teen")</f>
        <v>Teen</v>
      </c>
      <c r="C2186" s="5"/>
      <c r="D2186" s="5"/>
      <c r="E2186" s="5" t="str">
        <f ca="1">IFERROR(__xludf.DUMMYFUNCTION("""COMPUTED_VALUE"""),"Unknown")</f>
        <v>Unknown</v>
      </c>
      <c r="F2186" s="5" t="str">
        <f ca="1">IFERROR(__xludf.DUMMYFUNCTION("""COMPUTED_VALUE"""),"Fled/Escaped")</f>
        <v>Fled/Escaped</v>
      </c>
      <c r="G2186" s="5" t="str">
        <f ca="1">IFERROR(__xludf.DUMMYFUNCTION("""COMPUTED_VALUE"""),"No")</f>
        <v>No</v>
      </c>
      <c r="H2186" s="5" t="str">
        <f ca="1">IFERROR(__xludf.DUMMYFUNCTION("""COMPUTED_VALUE"""),"None")</f>
        <v>None</v>
      </c>
    </row>
    <row r="2187" spans="1:8">
      <c r="A2187" s="5" t="str">
        <f ca="1">IFERROR(__xludf.DUMMYFUNCTION("""COMPUTED_VALUE"""),"19770517FLSTC")</f>
        <v>19770517FLSTC</v>
      </c>
      <c r="B2187" s="5">
        <f ca="1">IFERROR(__xludf.DUMMYFUNCTION("""COMPUTED_VALUE"""),22)</f>
        <v>22</v>
      </c>
      <c r="C2187" s="5" t="str">
        <f ca="1">IFERROR(__xludf.DUMMYFUNCTION("""COMPUTED_VALUE"""),"Male")</f>
        <v>Male</v>
      </c>
      <c r="D2187" s="5"/>
      <c r="E2187" s="5" t="str">
        <f ca="1">IFERROR(__xludf.DUMMYFUNCTION("""COMPUTED_VALUE"""),"No Relation")</f>
        <v>No Relation</v>
      </c>
      <c r="F2187" s="5" t="str">
        <f ca="1">IFERROR(__xludf.DUMMYFUNCTION("""COMPUTED_VALUE"""),"Fled/Apprehended")</f>
        <v>Fled/Apprehended</v>
      </c>
      <c r="G2187" s="5" t="str">
        <f ca="1">IFERROR(__xludf.DUMMYFUNCTION("""COMPUTED_VALUE"""),"No")</f>
        <v>No</v>
      </c>
      <c r="H2187" s="5" t="str">
        <f ca="1">IFERROR(__xludf.DUMMYFUNCTION("""COMPUTED_VALUE"""),"None")</f>
        <v>None</v>
      </c>
    </row>
    <row r="2188" spans="1:8">
      <c r="A2188" s="5" t="str">
        <f ca="1">IFERROR(__xludf.DUMMYFUNCTION("""COMPUTED_VALUE"""),"19770418TNPIN")</f>
        <v>19770418TNPIN</v>
      </c>
      <c r="B2188" s="5">
        <f ca="1">IFERROR(__xludf.DUMMYFUNCTION("""COMPUTED_VALUE"""),46)</f>
        <v>46</v>
      </c>
      <c r="C2188" s="5" t="str">
        <f ca="1">IFERROR(__xludf.DUMMYFUNCTION("""COMPUTED_VALUE"""),"Male")</f>
        <v>Male</v>
      </c>
      <c r="D2188" s="5"/>
      <c r="E2188" s="5" t="str">
        <f ca="1">IFERROR(__xludf.DUMMYFUNCTION("""COMPUTED_VALUE"""),"Unknown")</f>
        <v>Unknown</v>
      </c>
      <c r="F2188" s="5" t="str">
        <f ca="1">IFERROR(__xludf.DUMMYFUNCTION("""COMPUTED_VALUE"""),"Fled/Apprehended")</f>
        <v>Fled/Apprehended</v>
      </c>
      <c r="G2188" s="5" t="str">
        <f ca="1">IFERROR(__xludf.DUMMYFUNCTION("""COMPUTED_VALUE"""),"No")</f>
        <v>No</v>
      </c>
      <c r="H2188" s="5" t="str">
        <f ca="1">IFERROR(__xludf.DUMMYFUNCTION("""COMPUTED_VALUE"""),"None")</f>
        <v>None</v>
      </c>
    </row>
    <row r="2189" spans="1:8">
      <c r="A2189" s="5" t="str">
        <f ca="1">IFERROR(__xludf.DUMMYFUNCTION("""COMPUTED_VALUE"""),"19770407TXWHW")</f>
        <v>19770407TXWHW</v>
      </c>
      <c r="B2189" s="5">
        <f ca="1">IFERROR(__xludf.DUMMYFUNCTION("""COMPUTED_VALUE"""),17)</f>
        <v>17</v>
      </c>
      <c r="C2189" s="5" t="str">
        <f ca="1">IFERROR(__xludf.DUMMYFUNCTION("""COMPUTED_VALUE"""),"Male")</f>
        <v>Male</v>
      </c>
      <c r="D2189" s="5"/>
      <c r="E2189" s="5" t="str">
        <f ca="1">IFERROR(__xludf.DUMMYFUNCTION("""COMPUTED_VALUE"""),"Student")</f>
        <v>Student</v>
      </c>
      <c r="F2189" s="5" t="str">
        <f ca="1">IFERROR(__xludf.DUMMYFUNCTION("""COMPUTED_VALUE"""),"Unknown")</f>
        <v>Unknown</v>
      </c>
      <c r="G2189" s="5" t="str">
        <f ca="1">IFERROR(__xludf.DUMMYFUNCTION("""COMPUTED_VALUE"""),"No")</f>
        <v>No</v>
      </c>
      <c r="H2189" s="5" t="str">
        <f ca="1">IFERROR(__xludf.DUMMYFUNCTION("""COMPUTED_VALUE"""),"None")</f>
        <v>None</v>
      </c>
    </row>
    <row r="2190" spans="1:8">
      <c r="A2190" s="5" t="str">
        <f ca="1">IFERROR(__xludf.DUMMYFUNCTION("""COMPUTED_VALUE"""),"19770321NYPAH")</f>
        <v>19770321NYPAH</v>
      </c>
      <c r="B2190" s="5">
        <f ca="1">IFERROR(__xludf.DUMMYFUNCTION("""COMPUTED_VALUE"""),18)</f>
        <v>18</v>
      </c>
      <c r="C2190" s="5" t="str">
        <f ca="1">IFERROR(__xludf.DUMMYFUNCTION("""COMPUTED_VALUE"""),"Male")</f>
        <v>Male</v>
      </c>
      <c r="D2190" s="5"/>
      <c r="E2190" s="5" t="str">
        <f ca="1">IFERROR(__xludf.DUMMYFUNCTION("""COMPUTED_VALUE"""),"Other Staff")</f>
        <v>Other Staff</v>
      </c>
      <c r="F2190" s="5" t="str">
        <f ca="1">IFERROR(__xludf.DUMMYFUNCTION("""COMPUTED_VALUE"""),"Apprehended/Killed by LE")</f>
        <v>Apprehended/Killed by LE</v>
      </c>
      <c r="G2190" s="5" t="str">
        <f ca="1">IFERROR(__xludf.DUMMYFUNCTION("""COMPUTED_VALUE"""),"No")</f>
        <v>No</v>
      </c>
      <c r="H2190" s="5" t="str">
        <f ca="1">IFERROR(__xludf.DUMMYFUNCTION("""COMPUTED_VALUE"""),"None")</f>
        <v>None</v>
      </c>
    </row>
    <row r="2191" spans="1:8">
      <c r="A2191" s="5" t="str">
        <f ca="1">IFERROR(__xludf.DUMMYFUNCTION("""COMPUTED_VALUE"""),"19770308ILCOE")</f>
        <v>19770308ILCOE</v>
      </c>
      <c r="B2191" s="5">
        <f ca="1">IFERROR(__xludf.DUMMYFUNCTION("""COMPUTED_VALUE"""),16)</f>
        <v>16</v>
      </c>
      <c r="C2191" s="5" t="str">
        <f ca="1">IFERROR(__xludf.DUMMYFUNCTION("""COMPUTED_VALUE"""),"Male")</f>
        <v>Male</v>
      </c>
      <c r="D2191" s="5"/>
      <c r="E2191" s="5" t="str">
        <f ca="1">IFERROR(__xludf.DUMMYFUNCTION("""COMPUTED_VALUE"""),"Student")</f>
        <v>Student</v>
      </c>
      <c r="F2191" s="5" t="str">
        <f ca="1">IFERROR(__xludf.DUMMYFUNCTION("""COMPUTED_VALUE"""),"Fled/Apprehended")</f>
        <v>Fled/Apprehended</v>
      </c>
      <c r="G2191" s="5" t="str">
        <f ca="1">IFERROR(__xludf.DUMMYFUNCTION("""COMPUTED_VALUE"""),"No")</f>
        <v>No</v>
      </c>
      <c r="H2191" s="5" t="str">
        <f ca="1">IFERROR(__xludf.DUMMYFUNCTION("""COMPUTED_VALUE"""),"None")</f>
        <v>None</v>
      </c>
    </row>
    <row r="2192" spans="1:8">
      <c r="A2192" s="5" t="str">
        <f ca="1">IFERROR(__xludf.DUMMYFUNCTION("""COMPUTED_VALUE"""),"19770228TXHOA")</f>
        <v>19770228TXHOA</v>
      </c>
      <c r="B2192" s="5">
        <f ca="1">IFERROR(__xludf.DUMMYFUNCTION("""COMPUTED_VALUE"""),15)</f>
        <v>15</v>
      </c>
      <c r="C2192" s="5" t="str">
        <f ca="1">IFERROR(__xludf.DUMMYFUNCTION("""COMPUTED_VALUE"""),"Male")</f>
        <v>Male</v>
      </c>
      <c r="D2192" s="5"/>
      <c r="E2192" s="5" t="str">
        <f ca="1">IFERROR(__xludf.DUMMYFUNCTION("""COMPUTED_VALUE"""),"Student")</f>
        <v>Student</v>
      </c>
      <c r="F2192" s="5" t="str">
        <f ca="1">IFERROR(__xludf.DUMMYFUNCTION("""COMPUTED_VALUE"""),"Unknown")</f>
        <v>Unknown</v>
      </c>
      <c r="G2192" s="5" t="str">
        <f ca="1">IFERROR(__xludf.DUMMYFUNCTION("""COMPUTED_VALUE"""),"No")</f>
        <v>No</v>
      </c>
      <c r="H2192" s="5" t="str">
        <f ca="1">IFERROR(__xludf.DUMMYFUNCTION("""COMPUTED_VALUE"""),"None")</f>
        <v>None</v>
      </c>
    </row>
    <row r="2193" spans="1:8">
      <c r="A2193" s="5" t="str">
        <f ca="1">IFERROR(__xludf.DUMMYFUNCTION("""COMPUTED_VALUE"""),"19770228MOROS")</f>
        <v>19770228MOROS</v>
      </c>
      <c r="B2193" s="5">
        <f ca="1">IFERROR(__xludf.DUMMYFUNCTION("""COMPUTED_VALUE"""),19)</f>
        <v>19</v>
      </c>
      <c r="C2193" s="5" t="str">
        <f ca="1">IFERROR(__xludf.DUMMYFUNCTION("""COMPUTED_VALUE"""),"Male")</f>
        <v>Male</v>
      </c>
      <c r="D2193" s="5"/>
      <c r="E2193" s="5" t="str">
        <f ca="1">IFERROR(__xludf.DUMMYFUNCTION("""COMPUTED_VALUE"""),"Student")</f>
        <v>Student</v>
      </c>
      <c r="F2193" s="5" t="str">
        <f ca="1">IFERROR(__xludf.DUMMYFUNCTION("""COMPUTED_VALUE"""),"Unknown")</f>
        <v>Unknown</v>
      </c>
      <c r="G2193" s="5" t="str">
        <f ca="1">IFERROR(__xludf.DUMMYFUNCTION("""COMPUTED_VALUE"""),"No")</f>
        <v>No</v>
      </c>
      <c r="H2193" s="5" t="str">
        <f ca="1">IFERROR(__xludf.DUMMYFUNCTION("""COMPUTED_VALUE"""),"None")</f>
        <v>None</v>
      </c>
    </row>
    <row r="2194" spans="1:8">
      <c r="A2194" s="5" t="str">
        <f ca="1">IFERROR(__xludf.DUMMYFUNCTION("""COMPUTED_VALUE"""),"19770209ILFEC")</f>
        <v>19770209ILFEC</v>
      </c>
      <c r="B2194" s="5">
        <f ca="1">IFERROR(__xludf.DUMMYFUNCTION("""COMPUTED_VALUE"""),14)</f>
        <v>14</v>
      </c>
      <c r="C2194" s="5" t="str">
        <f ca="1">IFERROR(__xludf.DUMMYFUNCTION("""COMPUTED_VALUE"""),"Male")</f>
        <v>Male</v>
      </c>
      <c r="D2194" s="5"/>
      <c r="E2194" s="5" t="str">
        <f ca="1">IFERROR(__xludf.DUMMYFUNCTION("""COMPUTED_VALUE"""),"Student")</f>
        <v>Student</v>
      </c>
      <c r="F2194" s="5" t="str">
        <f ca="1">IFERROR(__xludf.DUMMYFUNCTION("""COMPUTED_VALUE"""),"Fled/Apprehended")</f>
        <v>Fled/Apprehended</v>
      </c>
      <c r="G2194" s="5" t="str">
        <f ca="1">IFERROR(__xludf.DUMMYFUNCTION("""COMPUTED_VALUE"""),"No")</f>
        <v>No</v>
      </c>
      <c r="H2194" s="5" t="str">
        <f ca="1">IFERROR(__xludf.DUMMYFUNCTION("""COMPUTED_VALUE"""),"None")</f>
        <v>None</v>
      </c>
    </row>
    <row r="2195" spans="1:8">
      <c r="A2195" s="5" t="str">
        <f ca="1">IFERROR(__xludf.DUMMYFUNCTION("""COMPUTED_VALUE"""),"19770113ILOLB")</f>
        <v>19770113ILOLB</v>
      </c>
      <c r="B2195" s="5">
        <f ca="1">IFERROR(__xludf.DUMMYFUNCTION("""COMPUTED_VALUE"""),15)</f>
        <v>15</v>
      </c>
      <c r="C2195" s="5" t="str">
        <f ca="1">IFERROR(__xludf.DUMMYFUNCTION("""COMPUTED_VALUE"""),"Male")</f>
        <v>Male</v>
      </c>
      <c r="D2195" s="5"/>
      <c r="E2195" s="5" t="str">
        <f ca="1">IFERROR(__xludf.DUMMYFUNCTION("""COMPUTED_VALUE"""),"Student")</f>
        <v>Student</v>
      </c>
      <c r="F2195" s="5" t="str">
        <f ca="1">IFERROR(__xludf.DUMMYFUNCTION("""COMPUTED_VALUE"""),"Subdued by Students/Staff/Other")</f>
        <v>Subdued by Students/Staff/Other</v>
      </c>
      <c r="G2195" s="5" t="str">
        <f ca="1">IFERROR(__xludf.DUMMYFUNCTION("""COMPUTED_VALUE"""),"No")</f>
        <v>No</v>
      </c>
      <c r="H2195" s="5" t="str">
        <f ca="1">IFERROR(__xludf.DUMMYFUNCTION("""COMPUTED_VALUE"""),"None")</f>
        <v>None</v>
      </c>
    </row>
    <row r="2196" spans="1:8">
      <c r="A2196" s="5" t="str">
        <f ca="1">IFERROR(__xludf.DUMMYFUNCTION("""COMPUTED_VALUE"""),"19761210MOFRS")</f>
        <v>19761210MOFRS</v>
      </c>
      <c r="B2196" s="5">
        <f ca="1">IFERROR(__xludf.DUMMYFUNCTION("""COMPUTED_VALUE"""),11)</f>
        <v>11</v>
      </c>
      <c r="C2196" s="5" t="str">
        <f ca="1">IFERROR(__xludf.DUMMYFUNCTION("""COMPUTED_VALUE"""),"Male")</f>
        <v>Male</v>
      </c>
      <c r="D2196" s="5"/>
      <c r="E2196" s="5" t="str">
        <f ca="1">IFERROR(__xludf.DUMMYFUNCTION("""COMPUTED_VALUE"""),"Student")</f>
        <v>Student</v>
      </c>
      <c r="F2196" s="5" t="str">
        <f ca="1">IFERROR(__xludf.DUMMYFUNCTION("""COMPUTED_VALUE"""),"Surrendered")</f>
        <v>Surrendered</v>
      </c>
      <c r="G2196" s="5" t="str">
        <f ca="1">IFERROR(__xludf.DUMMYFUNCTION("""COMPUTED_VALUE"""),"No")</f>
        <v>No</v>
      </c>
      <c r="H2196" s="5" t="str">
        <f ca="1">IFERROR(__xludf.DUMMYFUNCTION("""COMPUTED_VALUE"""),"None")</f>
        <v>None</v>
      </c>
    </row>
    <row r="2197" spans="1:8">
      <c r="A2197" s="5" t="str">
        <f ca="1">IFERROR(__xludf.DUMMYFUNCTION("""COMPUTED_VALUE"""),"19761110MIBUD")</f>
        <v>19761110MIBUD</v>
      </c>
      <c r="B2197" s="5">
        <f ca="1">IFERROR(__xludf.DUMMYFUNCTION("""COMPUTED_VALUE"""),46)</f>
        <v>46</v>
      </c>
      <c r="C2197" s="5" t="str">
        <f ca="1">IFERROR(__xludf.DUMMYFUNCTION("""COMPUTED_VALUE"""),"Male")</f>
        <v>Male</v>
      </c>
      <c r="D2197" s="5"/>
      <c r="E2197" s="5" t="str">
        <f ca="1">IFERROR(__xludf.DUMMYFUNCTION("""COMPUTED_VALUE"""),"Intimate Relationship")</f>
        <v>Intimate Relationship</v>
      </c>
      <c r="F2197" s="5" t="str">
        <f ca="1">IFERROR(__xludf.DUMMYFUNCTION("""COMPUTED_VALUE"""),"Fled/Apprehended")</f>
        <v>Fled/Apprehended</v>
      </c>
      <c r="G2197" s="5" t="str">
        <f ca="1">IFERROR(__xludf.DUMMYFUNCTION("""COMPUTED_VALUE"""),"No")</f>
        <v>No</v>
      </c>
      <c r="H2197" s="5" t="str">
        <f ca="1">IFERROR(__xludf.DUMMYFUNCTION("""COMPUTED_VALUE"""),"None")</f>
        <v>None</v>
      </c>
    </row>
    <row r="2198" spans="1:8">
      <c r="A2198" s="5" t="str">
        <f ca="1">IFERROR(__xludf.DUMMYFUNCTION("""COMPUTED_VALUE"""),"19760920NCGUG")</f>
        <v>19760920NCGUG</v>
      </c>
      <c r="B2198" s="5">
        <f ca="1">IFERROR(__xludf.DUMMYFUNCTION("""COMPUTED_VALUE"""),38)</f>
        <v>38</v>
      </c>
      <c r="C2198" s="5" t="str">
        <f ca="1">IFERROR(__xludf.DUMMYFUNCTION("""COMPUTED_VALUE"""),"Male")</f>
        <v>Male</v>
      </c>
      <c r="D2198" s="5"/>
      <c r="E2198" s="5" t="str">
        <f ca="1">IFERROR(__xludf.DUMMYFUNCTION("""COMPUTED_VALUE"""),"No Relation")</f>
        <v>No Relation</v>
      </c>
      <c r="F2198" s="5" t="str">
        <f ca="1">IFERROR(__xludf.DUMMYFUNCTION("""COMPUTED_VALUE"""),"Suicide")</f>
        <v>Suicide</v>
      </c>
      <c r="G2198" s="5" t="str">
        <f ca="1">IFERROR(__xludf.DUMMYFUNCTION("""COMPUTED_VALUE"""),"Yes")</f>
        <v>Yes</v>
      </c>
      <c r="H2198" s="5" t="str">
        <f ca="1">IFERROR(__xludf.DUMMYFUNCTION("""COMPUTED_VALUE"""),"Suicide")</f>
        <v>Suicide</v>
      </c>
    </row>
    <row r="2199" spans="1:8">
      <c r="A2199" s="5" t="str">
        <f ca="1">IFERROR(__xludf.DUMMYFUNCTION("""COMPUTED_VALUE"""),"19760602MDMTC")</f>
        <v>19760602MDMTC</v>
      </c>
      <c r="B2199" s="5"/>
      <c r="C2199" s="5"/>
      <c r="D2199" s="5"/>
      <c r="E2199" s="5" t="str">
        <f ca="1">IFERROR(__xludf.DUMMYFUNCTION("""COMPUTED_VALUE"""),"Unknown")</f>
        <v>Unknown</v>
      </c>
      <c r="F2199" s="5" t="str">
        <f ca="1">IFERROR(__xludf.DUMMYFUNCTION("""COMPUTED_VALUE"""),"Fled/Escaped")</f>
        <v>Fled/Escaped</v>
      </c>
      <c r="G2199" s="5" t="str">
        <f ca="1">IFERROR(__xludf.DUMMYFUNCTION("""COMPUTED_VALUE"""),"No")</f>
        <v>No</v>
      </c>
      <c r="H2199" s="5" t="str">
        <f ca="1">IFERROR(__xludf.DUMMYFUNCTION("""COMPUTED_VALUE"""),"None")</f>
        <v>None</v>
      </c>
    </row>
    <row r="2200" spans="1:8">
      <c r="A2200" s="5" t="str">
        <f ca="1">IFERROR(__xludf.DUMMYFUNCTION("""COMPUTED_VALUE"""),"19760514FLPAW")</f>
        <v>19760514FLPAW</v>
      </c>
      <c r="B2200" s="5">
        <f ca="1">IFERROR(__xludf.DUMMYFUNCTION("""COMPUTED_VALUE"""),17)</f>
        <v>17</v>
      </c>
      <c r="C2200" s="5" t="str">
        <f ca="1">IFERROR(__xludf.DUMMYFUNCTION("""COMPUTED_VALUE"""),"Male")</f>
        <v>Male</v>
      </c>
      <c r="D2200" s="5"/>
      <c r="E2200" s="5" t="str">
        <f ca="1">IFERROR(__xludf.DUMMYFUNCTION("""COMPUTED_VALUE"""),"Former Student")</f>
        <v>Former Student</v>
      </c>
      <c r="F2200" s="5" t="str">
        <f ca="1">IFERROR(__xludf.DUMMYFUNCTION("""COMPUTED_VALUE"""),"Apprehended/Killed by LE")</f>
        <v>Apprehended/Killed by LE</v>
      </c>
      <c r="G2200" s="5" t="str">
        <f ca="1">IFERROR(__xludf.DUMMYFUNCTION("""COMPUTED_VALUE"""),"No")</f>
        <v>No</v>
      </c>
      <c r="H2200" s="5" t="str">
        <f ca="1">IFERROR(__xludf.DUMMYFUNCTION("""COMPUTED_VALUE"""),"None")</f>
        <v>None</v>
      </c>
    </row>
    <row r="2201" spans="1:8">
      <c r="A2201" s="5" t="str">
        <f ca="1">IFERROR(__xludf.DUMMYFUNCTION("""COMPUTED_VALUE"""),"19760513MOMAS")</f>
        <v>19760513MOMAS</v>
      </c>
      <c r="B2201" s="5">
        <f ca="1">IFERROR(__xludf.DUMMYFUNCTION("""COMPUTED_VALUE"""),15)</f>
        <v>15</v>
      </c>
      <c r="C2201" s="5" t="str">
        <f ca="1">IFERROR(__xludf.DUMMYFUNCTION("""COMPUTED_VALUE"""),"Male")</f>
        <v>Male</v>
      </c>
      <c r="D2201" s="5"/>
      <c r="E2201" s="5" t="str">
        <f ca="1">IFERROR(__xludf.DUMMYFUNCTION("""COMPUTED_VALUE"""),"Student")</f>
        <v>Student</v>
      </c>
      <c r="F2201" s="5" t="str">
        <f ca="1">IFERROR(__xludf.DUMMYFUNCTION("""COMPUTED_VALUE"""),"Subdued by Students/Staff/Other")</f>
        <v>Subdued by Students/Staff/Other</v>
      </c>
      <c r="G2201" s="5" t="str">
        <f ca="1">IFERROR(__xludf.DUMMYFUNCTION("""COMPUTED_VALUE"""),"No")</f>
        <v>No</v>
      </c>
      <c r="H2201" s="5" t="str">
        <f ca="1">IFERROR(__xludf.DUMMYFUNCTION("""COMPUTED_VALUE"""),"None")</f>
        <v>None</v>
      </c>
    </row>
    <row r="2202" spans="1:8">
      <c r="A2202" s="5" t="str">
        <f ca="1">IFERROR(__xludf.DUMMYFUNCTION("""COMPUTED_VALUE"""),"19760412TXODF")</f>
        <v>19760412TXODF</v>
      </c>
      <c r="B2202" s="5">
        <f ca="1">IFERROR(__xludf.DUMMYFUNCTION("""COMPUTED_VALUE"""),15)</f>
        <v>15</v>
      </c>
      <c r="C2202" s="5" t="str">
        <f ca="1">IFERROR(__xludf.DUMMYFUNCTION("""COMPUTED_VALUE"""),"Male")</f>
        <v>Male</v>
      </c>
      <c r="D2202" s="5"/>
      <c r="E2202" s="5" t="str">
        <f ca="1">IFERROR(__xludf.DUMMYFUNCTION("""COMPUTED_VALUE"""),"Student")</f>
        <v>Student</v>
      </c>
      <c r="F2202" s="5" t="str">
        <f ca="1">IFERROR(__xludf.DUMMYFUNCTION("""COMPUTED_VALUE"""),"Fled/Apprehended")</f>
        <v>Fled/Apprehended</v>
      </c>
      <c r="G2202" s="5" t="str">
        <f ca="1">IFERROR(__xludf.DUMMYFUNCTION("""COMPUTED_VALUE"""),"No")</f>
        <v>No</v>
      </c>
      <c r="H2202" s="5" t="str">
        <f ca="1">IFERROR(__xludf.DUMMYFUNCTION("""COMPUTED_VALUE"""),"None")</f>
        <v>None</v>
      </c>
    </row>
    <row r="2203" spans="1:8">
      <c r="A2203" s="5" t="str">
        <f ca="1">IFERROR(__xludf.DUMMYFUNCTION("""COMPUTED_VALUE"""),"19760212MIMUD")</f>
        <v>19760212MIMUD</v>
      </c>
      <c r="B2203" s="5" t="str">
        <f ca="1">IFERROR(__xludf.DUMMYFUNCTION("""COMPUTED_VALUE"""),"Teen")</f>
        <v>Teen</v>
      </c>
      <c r="C2203" s="5" t="str">
        <f ca="1">IFERROR(__xludf.DUMMYFUNCTION("""COMPUTED_VALUE"""),"Male")</f>
        <v>Male</v>
      </c>
      <c r="D2203" s="5"/>
      <c r="E2203" s="5" t="str">
        <f ca="1">IFERROR(__xludf.DUMMYFUNCTION("""COMPUTED_VALUE"""),"Other Student")</f>
        <v>Other Student</v>
      </c>
      <c r="F2203" s="5" t="str">
        <f ca="1">IFERROR(__xludf.DUMMYFUNCTION("""COMPUTED_VALUE"""),"Fled/Escaped")</f>
        <v>Fled/Escaped</v>
      </c>
      <c r="G2203" s="5" t="str">
        <f ca="1">IFERROR(__xludf.DUMMYFUNCTION("""COMPUTED_VALUE"""),"No")</f>
        <v>No</v>
      </c>
      <c r="H2203" s="5" t="str">
        <f ca="1">IFERROR(__xludf.DUMMYFUNCTION("""COMPUTED_VALUE"""),"None")</f>
        <v>None</v>
      </c>
    </row>
    <row r="2204" spans="1:8">
      <c r="A2204" s="5" t="str">
        <f ca="1">IFERROR(__xludf.DUMMYFUNCTION("""COMPUTED_VALUE"""),"19760212MIMUD")</f>
        <v>19760212MIMUD</v>
      </c>
      <c r="B2204" s="5" t="str">
        <f ca="1">IFERROR(__xludf.DUMMYFUNCTION("""COMPUTED_VALUE"""),"Teen")</f>
        <v>Teen</v>
      </c>
      <c r="C2204" s="5" t="str">
        <f ca="1">IFERROR(__xludf.DUMMYFUNCTION("""COMPUTED_VALUE"""),"Male")</f>
        <v>Male</v>
      </c>
      <c r="D2204" s="5"/>
      <c r="E2204" s="5" t="str">
        <f ca="1">IFERROR(__xludf.DUMMYFUNCTION("""COMPUTED_VALUE"""),"Other Student")</f>
        <v>Other Student</v>
      </c>
      <c r="F2204" s="5" t="str">
        <f ca="1">IFERROR(__xludf.DUMMYFUNCTION("""COMPUTED_VALUE"""),"Fled/Escaped")</f>
        <v>Fled/Escaped</v>
      </c>
      <c r="G2204" s="5" t="str">
        <f ca="1">IFERROR(__xludf.DUMMYFUNCTION("""COMPUTED_VALUE"""),"No")</f>
        <v>No</v>
      </c>
      <c r="H2204" s="5" t="str">
        <f ca="1">IFERROR(__xludf.DUMMYFUNCTION("""COMPUTED_VALUE"""),"None")</f>
        <v>None</v>
      </c>
    </row>
    <row r="2205" spans="1:8">
      <c r="A2205" s="5" t="str">
        <f ca="1">IFERROR(__xludf.DUMMYFUNCTION("""COMPUTED_VALUE"""),"19760212MIMUD")</f>
        <v>19760212MIMUD</v>
      </c>
      <c r="B2205" s="5" t="str">
        <f ca="1">IFERROR(__xludf.DUMMYFUNCTION("""COMPUTED_VALUE"""),"Teen")</f>
        <v>Teen</v>
      </c>
      <c r="C2205" s="5" t="str">
        <f ca="1">IFERROR(__xludf.DUMMYFUNCTION("""COMPUTED_VALUE"""),"Male")</f>
        <v>Male</v>
      </c>
      <c r="D2205" s="5"/>
      <c r="E2205" s="5" t="str">
        <f ca="1">IFERROR(__xludf.DUMMYFUNCTION("""COMPUTED_VALUE"""),"Other Student")</f>
        <v>Other Student</v>
      </c>
      <c r="F2205" s="5" t="str">
        <f ca="1">IFERROR(__xludf.DUMMYFUNCTION("""COMPUTED_VALUE"""),"Fled/Escaped")</f>
        <v>Fled/Escaped</v>
      </c>
      <c r="G2205" s="5" t="str">
        <f ca="1">IFERROR(__xludf.DUMMYFUNCTION("""COMPUTED_VALUE"""),"No")</f>
        <v>No</v>
      </c>
      <c r="H2205" s="5" t="str">
        <f ca="1">IFERROR(__xludf.DUMMYFUNCTION("""COMPUTED_VALUE"""),"None")</f>
        <v>None</v>
      </c>
    </row>
    <row r="2206" spans="1:8">
      <c r="A2206" s="5" t="str">
        <f ca="1">IFERROR(__xludf.DUMMYFUNCTION("""COMPUTED_VALUE"""),"19760212MIMUD")</f>
        <v>19760212MIMUD</v>
      </c>
      <c r="B2206" s="5" t="str">
        <f ca="1">IFERROR(__xludf.DUMMYFUNCTION("""COMPUTED_VALUE"""),"Teen")</f>
        <v>Teen</v>
      </c>
      <c r="C2206" s="5" t="str">
        <f ca="1">IFERROR(__xludf.DUMMYFUNCTION("""COMPUTED_VALUE"""),"Male")</f>
        <v>Male</v>
      </c>
      <c r="D2206" s="5"/>
      <c r="E2206" s="5" t="str">
        <f ca="1">IFERROR(__xludf.DUMMYFUNCTION("""COMPUTED_VALUE"""),"Other Student")</f>
        <v>Other Student</v>
      </c>
      <c r="F2206" s="5" t="str">
        <f ca="1">IFERROR(__xludf.DUMMYFUNCTION("""COMPUTED_VALUE"""),"Fled/Escaped")</f>
        <v>Fled/Escaped</v>
      </c>
      <c r="G2206" s="5" t="str">
        <f ca="1">IFERROR(__xludf.DUMMYFUNCTION("""COMPUTED_VALUE"""),"No")</f>
        <v>No</v>
      </c>
      <c r="H2206" s="5" t="str">
        <f ca="1">IFERROR(__xludf.DUMMYFUNCTION("""COMPUTED_VALUE"""),"None")</f>
        <v>None</v>
      </c>
    </row>
    <row r="2207" spans="1:8">
      <c r="A2207" s="5" t="str">
        <f ca="1">IFERROR(__xludf.DUMMYFUNCTION("""COMPUTED_VALUE"""),"19760212MIMUD")</f>
        <v>19760212MIMUD</v>
      </c>
      <c r="B2207" s="5" t="str">
        <f ca="1">IFERROR(__xludf.DUMMYFUNCTION("""COMPUTED_VALUE"""),"Teen")</f>
        <v>Teen</v>
      </c>
      <c r="C2207" s="5" t="str">
        <f ca="1">IFERROR(__xludf.DUMMYFUNCTION("""COMPUTED_VALUE"""),"Male")</f>
        <v>Male</v>
      </c>
      <c r="D2207" s="5"/>
      <c r="E2207" s="5" t="str">
        <f ca="1">IFERROR(__xludf.DUMMYFUNCTION("""COMPUTED_VALUE"""),"Other Student")</f>
        <v>Other Student</v>
      </c>
      <c r="F2207" s="5" t="str">
        <f ca="1">IFERROR(__xludf.DUMMYFUNCTION("""COMPUTED_VALUE"""),"Fled/Escaped")</f>
        <v>Fled/Escaped</v>
      </c>
      <c r="G2207" s="5" t="str">
        <f ca="1">IFERROR(__xludf.DUMMYFUNCTION("""COMPUTED_VALUE"""),"No")</f>
        <v>No</v>
      </c>
      <c r="H2207" s="5" t="str">
        <f ca="1">IFERROR(__xludf.DUMMYFUNCTION("""COMPUTED_VALUE"""),"None")</f>
        <v>None</v>
      </c>
    </row>
    <row r="2208" spans="1:8">
      <c r="A2208" s="5" t="str">
        <f ca="1">IFERROR(__xludf.DUMMYFUNCTION("""COMPUTED_VALUE"""),"19760212MIMUD")</f>
        <v>19760212MIMUD</v>
      </c>
      <c r="B2208" s="5" t="str">
        <f ca="1">IFERROR(__xludf.DUMMYFUNCTION("""COMPUTED_VALUE"""),"Teen")</f>
        <v>Teen</v>
      </c>
      <c r="C2208" s="5" t="str">
        <f ca="1">IFERROR(__xludf.DUMMYFUNCTION("""COMPUTED_VALUE"""),"Male")</f>
        <v>Male</v>
      </c>
      <c r="D2208" s="5"/>
      <c r="E2208" s="5" t="str">
        <f ca="1">IFERROR(__xludf.DUMMYFUNCTION("""COMPUTED_VALUE"""),"Other Student")</f>
        <v>Other Student</v>
      </c>
      <c r="F2208" s="5" t="str">
        <f ca="1">IFERROR(__xludf.DUMMYFUNCTION("""COMPUTED_VALUE"""),"Fled/Escaped")</f>
        <v>Fled/Escaped</v>
      </c>
      <c r="G2208" s="5" t="str">
        <f ca="1">IFERROR(__xludf.DUMMYFUNCTION("""COMPUTED_VALUE"""),"No")</f>
        <v>No</v>
      </c>
      <c r="H2208" s="5" t="str">
        <f ca="1">IFERROR(__xludf.DUMMYFUNCTION("""COMPUTED_VALUE"""),"None")</f>
        <v>None</v>
      </c>
    </row>
    <row r="2209" spans="1:8">
      <c r="A2209" s="5" t="str">
        <f ca="1">IFERROR(__xludf.DUMMYFUNCTION("""COMPUTED_VALUE"""),"19760206FLESP")</f>
        <v>19760206FLESP</v>
      </c>
      <c r="B2209" s="5"/>
      <c r="C2209" s="5"/>
      <c r="D2209" s="5"/>
      <c r="E2209" s="5" t="str">
        <f ca="1">IFERROR(__xludf.DUMMYFUNCTION("""COMPUTED_VALUE"""),"Unknown")</f>
        <v>Unknown</v>
      </c>
      <c r="F2209" s="5" t="str">
        <f ca="1">IFERROR(__xludf.DUMMYFUNCTION("""COMPUTED_VALUE"""),"Fled/Escaped")</f>
        <v>Fled/Escaped</v>
      </c>
      <c r="G2209" s="5" t="str">
        <f ca="1">IFERROR(__xludf.DUMMYFUNCTION("""COMPUTED_VALUE"""),"No")</f>
        <v>No</v>
      </c>
      <c r="H2209" s="5" t="str">
        <f ca="1">IFERROR(__xludf.DUMMYFUNCTION("""COMPUTED_VALUE"""),"None")</f>
        <v>None</v>
      </c>
    </row>
    <row r="2210" spans="1:8">
      <c r="A2210" s="5" t="str">
        <f ca="1">IFERROR(__xludf.DUMMYFUNCTION("""COMPUTED_VALUE"""),"19760123OHCOC")</f>
        <v>19760123OHCOC</v>
      </c>
      <c r="B2210" s="5">
        <f ca="1">IFERROR(__xludf.DUMMYFUNCTION("""COMPUTED_VALUE"""),17)</f>
        <v>17</v>
      </c>
      <c r="C2210" s="5" t="str">
        <f ca="1">IFERROR(__xludf.DUMMYFUNCTION("""COMPUTED_VALUE"""),"Male")</f>
        <v>Male</v>
      </c>
      <c r="D2210" s="5"/>
      <c r="E2210" s="5" t="str">
        <f ca="1">IFERROR(__xludf.DUMMYFUNCTION("""COMPUTED_VALUE"""),"Student")</f>
        <v>Student</v>
      </c>
      <c r="F2210" s="5" t="str">
        <f ca="1">IFERROR(__xludf.DUMMYFUNCTION("""COMPUTED_VALUE"""),"Fled/Apprehended")</f>
        <v>Fled/Apprehended</v>
      </c>
      <c r="G2210" s="5" t="str">
        <f ca="1">IFERROR(__xludf.DUMMYFUNCTION("""COMPUTED_VALUE"""),"No")</f>
        <v>No</v>
      </c>
      <c r="H2210" s="5" t="str">
        <f ca="1">IFERROR(__xludf.DUMMYFUNCTION("""COMPUTED_VALUE"""),"None")</f>
        <v>None</v>
      </c>
    </row>
    <row r="2211" spans="1:8">
      <c r="A2211" s="5" t="str">
        <f ca="1">IFERROR(__xludf.DUMMYFUNCTION("""COMPUTED_VALUE"""),"19760101AZCAP")</f>
        <v>19760101AZCAP</v>
      </c>
      <c r="B2211" s="5"/>
      <c r="C2211" s="5"/>
      <c r="D2211" s="5"/>
      <c r="E2211" s="5" t="str">
        <f ca="1">IFERROR(__xludf.DUMMYFUNCTION("""COMPUTED_VALUE"""),"Unknown")</f>
        <v>Unknown</v>
      </c>
      <c r="F2211" s="5" t="str">
        <f ca="1">IFERROR(__xludf.DUMMYFUNCTION("""COMPUTED_VALUE"""),"Fled/Escaped")</f>
        <v>Fled/Escaped</v>
      </c>
      <c r="G2211" s="5" t="str">
        <f ca="1">IFERROR(__xludf.DUMMYFUNCTION("""COMPUTED_VALUE"""),"No")</f>
        <v>No</v>
      </c>
      <c r="H2211" s="5" t="str">
        <f ca="1">IFERROR(__xludf.DUMMYFUNCTION("""COMPUTED_VALUE"""),"None")</f>
        <v>None</v>
      </c>
    </row>
    <row r="2212" spans="1:8">
      <c r="A2212" s="5" t="str">
        <f ca="1">IFERROR(__xludf.DUMMYFUNCTION("""COMPUTED_VALUE"""),"19751218CAORS")</f>
        <v>19751218CAORS</v>
      </c>
      <c r="B2212" s="5">
        <f ca="1">IFERROR(__xludf.DUMMYFUNCTION("""COMPUTED_VALUE"""),16)</f>
        <v>16</v>
      </c>
      <c r="C2212" s="5" t="str">
        <f ca="1">IFERROR(__xludf.DUMMYFUNCTION("""COMPUTED_VALUE"""),"Male")</f>
        <v>Male</v>
      </c>
      <c r="D2212" s="5"/>
      <c r="E2212" s="5" t="str">
        <f ca="1">IFERROR(__xludf.DUMMYFUNCTION("""COMPUTED_VALUE"""),"Student")</f>
        <v>Student</v>
      </c>
      <c r="F2212" s="5" t="str">
        <f ca="1">IFERROR(__xludf.DUMMYFUNCTION("""COMPUTED_VALUE"""),"Fled/Escaped")</f>
        <v>Fled/Escaped</v>
      </c>
      <c r="G2212" s="5" t="str">
        <f ca="1">IFERROR(__xludf.DUMMYFUNCTION("""COMPUTED_VALUE"""),"No")</f>
        <v>No</v>
      </c>
      <c r="H2212" s="5" t="str">
        <f ca="1">IFERROR(__xludf.DUMMYFUNCTION("""COMPUTED_VALUE"""),"None")</f>
        <v>None</v>
      </c>
    </row>
    <row r="2213" spans="1:8">
      <c r="A2213" s="5" t="str">
        <f ca="1">IFERROR(__xludf.DUMMYFUNCTION("""COMPUTED_VALUE"""),"19751024GAMUA")</f>
        <v>19751024GAMUA</v>
      </c>
      <c r="B2213" s="5">
        <f ca="1">IFERROR(__xludf.DUMMYFUNCTION("""COMPUTED_VALUE"""),15)</f>
        <v>15</v>
      </c>
      <c r="C2213" s="5" t="str">
        <f ca="1">IFERROR(__xludf.DUMMYFUNCTION("""COMPUTED_VALUE"""),"Male")</f>
        <v>Male</v>
      </c>
      <c r="D2213" s="5"/>
      <c r="E2213" s="5" t="str">
        <f ca="1">IFERROR(__xludf.DUMMYFUNCTION("""COMPUTED_VALUE"""),"Student")</f>
        <v>Student</v>
      </c>
      <c r="F2213" s="5" t="str">
        <f ca="1">IFERROR(__xludf.DUMMYFUNCTION("""COMPUTED_VALUE"""),"Fled/Apprehended")</f>
        <v>Fled/Apprehended</v>
      </c>
      <c r="G2213" s="5" t="str">
        <f ca="1">IFERROR(__xludf.DUMMYFUNCTION("""COMPUTED_VALUE"""),"No")</f>
        <v>No</v>
      </c>
      <c r="H2213" s="5" t="str">
        <f ca="1">IFERROR(__xludf.DUMMYFUNCTION("""COMPUTED_VALUE"""),"None")</f>
        <v>None</v>
      </c>
    </row>
    <row r="2214" spans="1:8">
      <c r="A2214" s="5" t="str">
        <f ca="1">IFERROR(__xludf.DUMMYFUNCTION("""COMPUTED_VALUE"""),"19751001NMHEA")</f>
        <v>19751001NMHEA</v>
      </c>
      <c r="B2214" s="5">
        <f ca="1">IFERROR(__xludf.DUMMYFUNCTION("""COMPUTED_VALUE"""),35)</f>
        <v>35</v>
      </c>
      <c r="C2214" s="5" t="str">
        <f ca="1">IFERROR(__xludf.DUMMYFUNCTION("""COMPUTED_VALUE"""),"Male")</f>
        <v>Male</v>
      </c>
      <c r="D2214" s="5"/>
      <c r="E2214" s="5" t="str">
        <f ca="1">IFERROR(__xludf.DUMMYFUNCTION("""COMPUTED_VALUE"""),"Unknown")</f>
        <v>Unknown</v>
      </c>
      <c r="F2214" s="5" t="str">
        <f ca="1">IFERROR(__xludf.DUMMYFUNCTION("""COMPUTED_VALUE"""),"Surrendered")</f>
        <v>Surrendered</v>
      </c>
      <c r="G2214" s="5" t="str">
        <f ca="1">IFERROR(__xludf.DUMMYFUNCTION("""COMPUTED_VALUE"""),"No")</f>
        <v>No</v>
      </c>
      <c r="H2214" s="5" t="str">
        <f ca="1">IFERROR(__xludf.DUMMYFUNCTION("""COMPUTED_VALUE"""),"None")</f>
        <v>None</v>
      </c>
    </row>
    <row r="2215" spans="1:8">
      <c r="A2215" s="5" t="str">
        <f ca="1">IFERROR(__xludf.DUMMYFUNCTION("""COMPUTED_VALUE"""),"19750911OKGRO")</f>
        <v>19750911OKGRO</v>
      </c>
      <c r="B2215" s="5">
        <f ca="1">IFERROR(__xludf.DUMMYFUNCTION("""COMPUTED_VALUE"""),15)</f>
        <v>15</v>
      </c>
      <c r="C2215" s="5" t="str">
        <f ca="1">IFERROR(__xludf.DUMMYFUNCTION("""COMPUTED_VALUE"""),"Male")</f>
        <v>Male</v>
      </c>
      <c r="D2215" s="5" t="str">
        <f ca="1">IFERROR(__xludf.DUMMYFUNCTION("""COMPUTED_VALUE"""),"White")</f>
        <v>White</v>
      </c>
      <c r="E2215" s="5" t="str">
        <f ca="1">IFERROR(__xludf.DUMMYFUNCTION("""COMPUTED_VALUE"""),"Student")</f>
        <v>Student</v>
      </c>
      <c r="F2215" s="5" t="str">
        <f ca="1">IFERROR(__xludf.DUMMYFUNCTION("""COMPUTED_VALUE"""),"Unknown")</f>
        <v>Unknown</v>
      </c>
      <c r="G2215" s="5" t="str">
        <f ca="1">IFERROR(__xludf.DUMMYFUNCTION("""COMPUTED_VALUE"""),"No")</f>
        <v>No</v>
      </c>
      <c r="H2215" s="5" t="str">
        <f ca="1">IFERROR(__xludf.DUMMYFUNCTION("""COMPUTED_VALUE"""),"None")</f>
        <v>None</v>
      </c>
    </row>
    <row r="2216" spans="1:8">
      <c r="A2216" s="5" t="str">
        <f ca="1">IFERROR(__xludf.DUMMYFUNCTION("""COMPUTED_VALUE"""),"19750711MOCES")</f>
        <v>19750711MOCES</v>
      </c>
      <c r="B2216" s="5">
        <f ca="1">IFERROR(__xludf.DUMMYFUNCTION("""COMPUTED_VALUE"""),18)</f>
        <v>18</v>
      </c>
      <c r="C2216" s="5" t="str">
        <f ca="1">IFERROR(__xludf.DUMMYFUNCTION("""COMPUTED_VALUE"""),"Male")</f>
        <v>Male</v>
      </c>
      <c r="D2216" s="5"/>
      <c r="E2216" s="5" t="str">
        <f ca="1">IFERROR(__xludf.DUMMYFUNCTION("""COMPUTED_VALUE"""),"Student")</f>
        <v>Student</v>
      </c>
      <c r="F2216" s="5" t="str">
        <f ca="1">IFERROR(__xludf.DUMMYFUNCTION("""COMPUTED_VALUE"""),"Fled/Apprehended")</f>
        <v>Fled/Apprehended</v>
      </c>
      <c r="G2216" s="5" t="str">
        <f ca="1">IFERROR(__xludf.DUMMYFUNCTION("""COMPUTED_VALUE"""),"No")</f>
        <v>No</v>
      </c>
      <c r="H2216" s="5" t="str">
        <f ca="1">IFERROR(__xludf.DUMMYFUNCTION("""COMPUTED_VALUE"""),"None")</f>
        <v>None</v>
      </c>
    </row>
    <row r="2217" spans="1:8">
      <c r="A2217" s="5" t="str">
        <f ca="1">IFERROR(__xludf.DUMMYFUNCTION("""COMPUTED_VALUE"""),"19750709ILDEC")</f>
        <v>19750709ILDEC</v>
      </c>
      <c r="B2217" s="5" t="str">
        <f ca="1">IFERROR(__xludf.DUMMYFUNCTION("""COMPUTED_VALUE"""),"Adult")</f>
        <v>Adult</v>
      </c>
      <c r="C2217" s="5" t="str">
        <f ca="1">IFERROR(__xludf.DUMMYFUNCTION("""COMPUTED_VALUE"""),"Male")</f>
        <v>Male</v>
      </c>
      <c r="D2217" s="5" t="str">
        <f ca="1">IFERROR(__xludf.DUMMYFUNCTION("""COMPUTED_VALUE"""),"Black")</f>
        <v>Black</v>
      </c>
      <c r="E2217" s="5" t="str">
        <f ca="1">IFERROR(__xludf.DUMMYFUNCTION("""COMPUTED_VALUE"""),"Intimate Relationship")</f>
        <v>Intimate Relationship</v>
      </c>
      <c r="F2217" s="5" t="str">
        <f ca="1">IFERROR(__xludf.DUMMYFUNCTION("""COMPUTED_VALUE"""),"Fled/Apprehended")</f>
        <v>Fled/Apprehended</v>
      </c>
      <c r="G2217" s="5" t="str">
        <f ca="1">IFERROR(__xludf.DUMMYFUNCTION("""COMPUTED_VALUE"""),"No")</f>
        <v>No</v>
      </c>
      <c r="H2217" s="5" t="str">
        <f ca="1">IFERROR(__xludf.DUMMYFUNCTION("""COMPUTED_VALUE"""),"None")</f>
        <v>None</v>
      </c>
    </row>
    <row r="2218" spans="1:8">
      <c r="A2218" s="5" t="str">
        <f ca="1">IFERROR(__xludf.DUMMYFUNCTION("""COMPUTED_VALUE"""),"19750527MIPID")</f>
        <v>19750527MIPID</v>
      </c>
      <c r="B2218" s="5">
        <f ca="1">IFERROR(__xludf.DUMMYFUNCTION("""COMPUTED_VALUE"""),9)</f>
        <v>9</v>
      </c>
      <c r="C2218" s="5" t="str">
        <f ca="1">IFERROR(__xludf.DUMMYFUNCTION("""COMPUTED_VALUE"""),"Male")</f>
        <v>Male</v>
      </c>
      <c r="D2218" s="5"/>
      <c r="E2218" s="5" t="str">
        <f ca="1">IFERROR(__xludf.DUMMYFUNCTION("""COMPUTED_VALUE"""),"Student")</f>
        <v>Student</v>
      </c>
      <c r="F2218" s="5" t="str">
        <f ca="1">IFERROR(__xludf.DUMMYFUNCTION("""COMPUTED_VALUE"""),"Fled/Apprehended")</f>
        <v>Fled/Apprehended</v>
      </c>
      <c r="G2218" s="5" t="str">
        <f ca="1">IFERROR(__xludf.DUMMYFUNCTION("""COMPUTED_VALUE"""),"No")</f>
        <v>No</v>
      </c>
      <c r="H2218" s="5" t="str">
        <f ca="1">IFERROR(__xludf.DUMMYFUNCTION("""COMPUTED_VALUE"""),"None")</f>
        <v>None</v>
      </c>
    </row>
    <row r="2219" spans="1:8">
      <c r="A2219" s="5" t="str">
        <f ca="1">IFERROR(__xludf.DUMMYFUNCTION("""COMPUTED_VALUE"""),"19750515MOROS")</f>
        <v>19750515MOROS</v>
      </c>
      <c r="B2219" s="5">
        <f ca="1">IFERROR(__xludf.DUMMYFUNCTION("""COMPUTED_VALUE"""),13)</f>
        <v>13</v>
      </c>
      <c r="C2219" s="5" t="str">
        <f ca="1">IFERROR(__xludf.DUMMYFUNCTION("""COMPUTED_VALUE"""),"Male")</f>
        <v>Male</v>
      </c>
      <c r="D2219" s="5"/>
      <c r="E2219" s="5" t="str">
        <f ca="1">IFERROR(__xludf.DUMMYFUNCTION("""COMPUTED_VALUE"""),"Student")</f>
        <v>Student</v>
      </c>
      <c r="F2219" s="5" t="str">
        <f ca="1">IFERROR(__xludf.DUMMYFUNCTION("""COMPUTED_VALUE"""),"Fled/Apprehended")</f>
        <v>Fled/Apprehended</v>
      </c>
      <c r="G2219" s="5" t="str">
        <f ca="1">IFERROR(__xludf.DUMMYFUNCTION("""COMPUTED_VALUE"""),"No")</f>
        <v>No</v>
      </c>
      <c r="H2219" s="5" t="str">
        <f ca="1">IFERROR(__xludf.DUMMYFUNCTION("""COMPUTED_VALUE"""),"None")</f>
        <v>None</v>
      </c>
    </row>
    <row r="2220" spans="1:8">
      <c r="A2220" s="5" t="str">
        <f ca="1">IFERROR(__xludf.DUMMYFUNCTION("""COMPUTED_VALUE"""),"19750321VAFAR")</f>
        <v>19750321VAFAR</v>
      </c>
      <c r="B2220" s="5">
        <f ca="1">IFERROR(__xludf.DUMMYFUNCTION("""COMPUTED_VALUE"""),18)</f>
        <v>18</v>
      </c>
      <c r="C2220" s="5" t="str">
        <f ca="1">IFERROR(__xludf.DUMMYFUNCTION("""COMPUTED_VALUE"""),"Male")</f>
        <v>Male</v>
      </c>
      <c r="D2220" s="5"/>
      <c r="E2220" s="5" t="str">
        <f ca="1">IFERROR(__xludf.DUMMYFUNCTION("""COMPUTED_VALUE"""),"No Relation")</f>
        <v>No Relation</v>
      </c>
      <c r="F2220" s="5" t="str">
        <f ca="1">IFERROR(__xludf.DUMMYFUNCTION("""COMPUTED_VALUE"""),"Other")</f>
        <v>Other</v>
      </c>
      <c r="G2220" s="5" t="str">
        <f ca="1">IFERROR(__xludf.DUMMYFUNCTION("""COMPUTED_VALUE"""),"No")</f>
        <v>No</v>
      </c>
      <c r="H2220" s="5" t="str">
        <f ca="1">IFERROR(__xludf.DUMMYFUNCTION("""COMPUTED_VALUE"""),"None")</f>
        <v>None</v>
      </c>
    </row>
    <row r="2221" spans="1:8">
      <c r="A2221" s="5" t="str">
        <f ca="1">IFERROR(__xludf.DUMMYFUNCTION("""COMPUTED_VALUE"""),"19750321OHPAD")</f>
        <v>19750321OHPAD</v>
      </c>
      <c r="B2221" s="5">
        <f ca="1">IFERROR(__xludf.DUMMYFUNCTION("""COMPUTED_VALUE"""),15)</f>
        <v>15</v>
      </c>
      <c r="C2221" s="5" t="str">
        <f ca="1">IFERROR(__xludf.DUMMYFUNCTION("""COMPUTED_VALUE"""),"Male")</f>
        <v>Male</v>
      </c>
      <c r="D2221" s="5"/>
      <c r="E2221" s="5" t="str">
        <f ca="1">IFERROR(__xludf.DUMMYFUNCTION("""COMPUTED_VALUE"""),"No Relation")</f>
        <v>No Relation</v>
      </c>
      <c r="F2221" s="5" t="str">
        <f ca="1">IFERROR(__xludf.DUMMYFUNCTION("""COMPUTED_VALUE"""),"Fled/Escaped")</f>
        <v>Fled/Escaped</v>
      </c>
      <c r="G2221" s="5" t="str">
        <f ca="1">IFERROR(__xludf.DUMMYFUNCTION("""COMPUTED_VALUE"""),"No")</f>
        <v>No</v>
      </c>
      <c r="H2221" s="5" t="str">
        <f ca="1">IFERROR(__xludf.DUMMYFUNCTION("""COMPUTED_VALUE"""),"None")</f>
        <v>None</v>
      </c>
    </row>
    <row r="2222" spans="1:8">
      <c r="A2222" s="5" t="str">
        <f ca="1">IFERROR(__xludf.DUMMYFUNCTION("""COMPUTED_VALUE"""),"19750318MOSUS")</f>
        <v>19750318MOSUS</v>
      </c>
      <c r="B2222" s="5">
        <f ca="1">IFERROR(__xludf.DUMMYFUNCTION("""COMPUTED_VALUE"""),19)</f>
        <v>19</v>
      </c>
      <c r="C2222" s="5" t="str">
        <f ca="1">IFERROR(__xludf.DUMMYFUNCTION("""COMPUTED_VALUE"""),"Male")</f>
        <v>Male</v>
      </c>
      <c r="D2222" s="5"/>
      <c r="E2222" s="5" t="str">
        <f ca="1">IFERROR(__xludf.DUMMYFUNCTION("""COMPUTED_VALUE"""),"Unknown")</f>
        <v>Unknown</v>
      </c>
      <c r="F2222" s="5" t="str">
        <f ca="1">IFERROR(__xludf.DUMMYFUNCTION("""COMPUTED_VALUE"""),"Fled/Apprehended")</f>
        <v>Fled/Apprehended</v>
      </c>
      <c r="G2222" s="5" t="str">
        <f ca="1">IFERROR(__xludf.DUMMYFUNCTION("""COMPUTED_VALUE"""),"No")</f>
        <v>No</v>
      </c>
      <c r="H2222" s="5" t="str">
        <f ca="1">IFERROR(__xludf.DUMMYFUNCTION("""COMPUTED_VALUE"""),"None")</f>
        <v>None</v>
      </c>
    </row>
    <row r="2223" spans="1:8">
      <c r="A2223" s="5" t="str">
        <f ca="1">IFERROR(__xludf.DUMMYFUNCTION("""COMPUTED_VALUE"""),"19750312TXJOH")</f>
        <v>19750312TXJOH</v>
      </c>
      <c r="B2223" s="5" t="str">
        <f ca="1">IFERROR(__xludf.DUMMYFUNCTION("""COMPUTED_VALUE"""),"Teen")</f>
        <v>Teen</v>
      </c>
      <c r="C2223" s="5"/>
      <c r="D2223" s="5"/>
      <c r="E2223" s="5" t="str">
        <f ca="1">IFERROR(__xludf.DUMMYFUNCTION("""COMPUTED_VALUE"""),"Student")</f>
        <v>Student</v>
      </c>
      <c r="F2223" s="5" t="str">
        <f ca="1">IFERROR(__xludf.DUMMYFUNCTION("""COMPUTED_VALUE"""),"Fled/Escaped")</f>
        <v>Fled/Escaped</v>
      </c>
      <c r="G2223" s="5" t="str">
        <f ca="1">IFERROR(__xludf.DUMMYFUNCTION("""COMPUTED_VALUE"""),"No")</f>
        <v>No</v>
      </c>
      <c r="H2223" s="5" t="str">
        <f ca="1">IFERROR(__xludf.DUMMYFUNCTION("""COMPUTED_VALUE"""),"None")</f>
        <v>None</v>
      </c>
    </row>
    <row r="2224" spans="1:8">
      <c r="A2224" s="5" t="str">
        <f ca="1">IFERROR(__xludf.DUMMYFUNCTION("""COMPUTED_VALUE"""),"19750224NJSTP")</f>
        <v>19750224NJSTP</v>
      </c>
      <c r="B2224" s="5">
        <f ca="1">IFERROR(__xludf.DUMMYFUNCTION("""COMPUTED_VALUE"""),24)</f>
        <v>24</v>
      </c>
      <c r="C2224" s="5" t="str">
        <f ca="1">IFERROR(__xludf.DUMMYFUNCTION("""COMPUTED_VALUE"""),"Male")</f>
        <v>Male</v>
      </c>
      <c r="D2224" s="5"/>
      <c r="E2224" s="5" t="str">
        <f ca="1">IFERROR(__xludf.DUMMYFUNCTION("""COMPUTED_VALUE"""),"Former Student")</f>
        <v>Former Student</v>
      </c>
      <c r="F2224" s="5" t="str">
        <f ca="1">IFERROR(__xludf.DUMMYFUNCTION("""COMPUTED_VALUE"""),"Fled/Apprehended")</f>
        <v>Fled/Apprehended</v>
      </c>
      <c r="G2224" s="5" t="str">
        <f ca="1">IFERROR(__xludf.DUMMYFUNCTION("""COMPUTED_VALUE"""),"No")</f>
        <v>No</v>
      </c>
      <c r="H2224" s="5" t="str">
        <f ca="1">IFERROR(__xludf.DUMMYFUNCTION("""COMPUTED_VALUE"""),"None")</f>
        <v>None</v>
      </c>
    </row>
    <row r="2225" spans="1:8">
      <c r="A2225" s="5" t="str">
        <f ca="1">IFERROR(__xludf.DUMMYFUNCTION("""COMPUTED_VALUE"""),"19750207NYBOM")</f>
        <v>19750207NYBOM</v>
      </c>
      <c r="B2225" s="5">
        <f ca="1">IFERROR(__xludf.DUMMYFUNCTION("""COMPUTED_VALUE"""),16)</f>
        <v>16</v>
      </c>
      <c r="C2225" s="5" t="str">
        <f ca="1">IFERROR(__xludf.DUMMYFUNCTION("""COMPUTED_VALUE"""),"Male")</f>
        <v>Male</v>
      </c>
      <c r="D2225" s="5"/>
      <c r="E2225" s="5" t="str">
        <f ca="1">IFERROR(__xludf.DUMMYFUNCTION("""COMPUTED_VALUE"""),"Student")</f>
        <v>Student</v>
      </c>
      <c r="F2225" s="5" t="str">
        <f ca="1">IFERROR(__xludf.DUMMYFUNCTION("""COMPUTED_VALUE"""),"Attempted Suicide")</f>
        <v>Attempted Suicide</v>
      </c>
      <c r="G2225" s="5" t="str">
        <f ca="1">IFERROR(__xludf.DUMMYFUNCTION("""COMPUTED_VALUE"""),"No")</f>
        <v>No</v>
      </c>
      <c r="H2225" s="5" t="str">
        <f ca="1">IFERROR(__xludf.DUMMYFUNCTION("""COMPUTED_VALUE"""),"Wounded")</f>
        <v>Wounded</v>
      </c>
    </row>
    <row r="2226" spans="1:8">
      <c r="A2226" s="5" t="str">
        <f ca="1">IFERROR(__xludf.DUMMYFUNCTION("""COMPUTED_VALUE"""),"19741230NYOLO")</f>
        <v>19741230NYOLO</v>
      </c>
      <c r="B2226" s="5">
        <f ca="1">IFERROR(__xludf.DUMMYFUNCTION("""COMPUTED_VALUE"""),17)</f>
        <v>17</v>
      </c>
      <c r="C2226" s="5" t="str">
        <f ca="1">IFERROR(__xludf.DUMMYFUNCTION("""COMPUTED_VALUE"""),"Male")</f>
        <v>Male</v>
      </c>
      <c r="D2226" s="5" t="str">
        <f ca="1">IFERROR(__xludf.DUMMYFUNCTION("""COMPUTED_VALUE"""),"White")</f>
        <v>White</v>
      </c>
      <c r="E2226" s="5" t="str">
        <f ca="1">IFERROR(__xludf.DUMMYFUNCTION("""COMPUTED_VALUE"""),"Student")</f>
        <v>Student</v>
      </c>
      <c r="F2226" s="5" t="str">
        <f ca="1">IFERROR(__xludf.DUMMYFUNCTION("""COMPUTED_VALUE"""),"Apprehended/Killed by LE")</f>
        <v>Apprehended/Killed by LE</v>
      </c>
      <c r="G2226" s="5" t="str">
        <f ca="1">IFERROR(__xludf.DUMMYFUNCTION("""COMPUTED_VALUE"""),"No")</f>
        <v>No</v>
      </c>
      <c r="H2226" s="5" t="str">
        <f ca="1">IFERROR(__xludf.DUMMYFUNCTION("""COMPUTED_VALUE"""),"None")</f>
        <v>None</v>
      </c>
    </row>
    <row r="2227" spans="1:8">
      <c r="A2227" s="5" t="str">
        <f ca="1">IFERROR(__xludf.DUMMYFUNCTION("""COMPUTED_VALUE"""),"19741218CAMAL")</f>
        <v>19741218CAMAL</v>
      </c>
      <c r="B2227" s="5">
        <f ca="1">IFERROR(__xludf.DUMMYFUNCTION("""COMPUTED_VALUE"""),17)</f>
        <v>17</v>
      </c>
      <c r="C2227" s="5" t="str">
        <f ca="1">IFERROR(__xludf.DUMMYFUNCTION("""COMPUTED_VALUE"""),"Male")</f>
        <v>Male</v>
      </c>
      <c r="D2227" s="5"/>
      <c r="E2227" s="5" t="str">
        <f ca="1">IFERROR(__xludf.DUMMYFUNCTION("""COMPUTED_VALUE"""),"No Relation")</f>
        <v>No Relation</v>
      </c>
      <c r="F2227" s="5" t="str">
        <f ca="1">IFERROR(__xludf.DUMMYFUNCTION("""COMPUTED_VALUE"""),"Fled/Escaped")</f>
        <v>Fled/Escaped</v>
      </c>
      <c r="G2227" s="5" t="str">
        <f ca="1">IFERROR(__xludf.DUMMYFUNCTION("""COMPUTED_VALUE"""),"No")</f>
        <v>No</v>
      </c>
      <c r="H2227" s="5" t="str">
        <f ca="1">IFERROR(__xludf.DUMMYFUNCTION("""COMPUTED_VALUE"""),"None")</f>
        <v>None</v>
      </c>
    </row>
    <row r="2228" spans="1:8">
      <c r="A2228" s="5" t="str">
        <f ca="1">IFERROR(__xludf.DUMMYFUNCTION("""COMPUTED_VALUE"""),"19741125SCCAC")</f>
        <v>19741125SCCAC</v>
      </c>
      <c r="B2228" s="5" t="str">
        <f ca="1">IFERROR(__xludf.DUMMYFUNCTION("""COMPUTED_VALUE"""),"Teen")</f>
        <v>Teen</v>
      </c>
      <c r="C2228" s="5" t="str">
        <f ca="1">IFERROR(__xludf.DUMMYFUNCTION("""COMPUTED_VALUE"""),"Male")</f>
        <v>Male</v>
      </c>
      <c r="D2228" s="5"/>
      <c r="E2228" s="5" t="str">
        <f ca="1">IFERROR(__xludf.DUMMYFUNCTION("""COMPUTED_VALUE"""),"Student")</f>
        <v>Student</v>
      </c>
      <c r="F2228" s="5" t="str">
        <f ca="1">IFERROR(__xludf.DUMMYFUNCTION("""COMPUTED_VALUE"""),"Fled/Escaped")</f>
        <v>Fled/Escaped</v>
      </c>
      <c r="G2228" s="5" t="str">
        <f ca="1">IFERROR(__xludf.DUMMYFUNCTION("""COMPUTED_VALUE"""),"No")</f>
        <v>No</v>
      </c>
      <c r="H2228" s="5" t="str">
        <f ca="1">IFERROR(__xludf.DUMMYFUNCTION("""COMPUTED_VALUE"""),"None")</f>
        <v>None</v>
      </c>
    </row>
    <row r="2229" spans="1:8">
      <c r="A2229" s="5" t="str">
        <f ca="1">IFERROR(__xludf.DUMMYFUNCTION("""COMPUTED_VALUE"""),"19741125SCCAC")</f>
        <v>19741125SCCAC</v>
      </c>
      <c r="B2229" s="5" t="str">
        <f ca="1">IFERROR(__xludf.DUMMYFUNCTION("""COMPUTED_VALUE"""),"Teen")</f>
        <v>Teen</v>
      </c>
      <c r="C2229" s="5" t="str">
        <f ca="1">IFERROR(__xludf.DUMMYFUNCTION("""COMPUTED_VALUE"""),"Male")</f>
        <v>Male</v>
      </c>
      <c r="D2229" s="5"/>
      <c r="E2229" s="5" t="str">
        <f ca="1">IFERROR(__xludf.DUMMYFUNCTION("""COMPUTED_VALUE"""),"Student")</f>
        <v>Student</v>
      </c>
      <c r="F2229" s="5" t="str">
        <f ca="1">IFERROR(__xludf.DUMMYFUNCTION("""COMPUTED_VALUE"""),"Fled/Escaped")</f>
        <v>Fled/Escaped</v>
      </c>
      <c r="G2229" s="5" t="str">
        <f ca="1">IFERROR(__xludf.DUMMYFUNCTION("""COMPUTED_VALUE"""),"No")</f>
        <v>No</v>
      </c>
      <c r="H2229" s="5" t="str">
        <f ca="1">IFERROR(__xludf.DUMMYFUNCTION("""COMPUTED_VALUE"""),"None")</f>
        <v>None</v>
      </c>
    </row>
    <row r="2230" spans="1:8">
      <c r="A2230" s="5" t="str">
        <f ca="1">IFERROR(__xludf.DUMMYFUNCTION("""COMPUTED_VALUE"""),"19741121ARBOL")</f>
        <v>19741121ARBOL</v>
      </c>
      <c r="B2230" s="5">
        <f ca="1">IFERROR(__xludf.DUMMYFUNCTION("""COMPUTED_VALUE"""),15)</f>
        <v>15</v>
      </c>
      <c r="C2230" s="5" t="str">
        <f ca="1">IFERROR(__xludf.DUMMYFUNCTION("""COMPUTED_VALUE"""),"Male")</f>
        <v>Male</v>
      </c>
      <c r="D2230" s="5"/>
      <c r="E2230" s="5" t="str">
        <f ca="1">IFERROR(__xludf.DUMMYFUNCTION("""COMPUTED_VALUE"""),"Student")</f>
        <v>Student</v>
      </c>
      <c r="F2230" s="5" t="str">
        <f ca="1">IFERROR(__xludf.DUMMYFUNCTION("""COMPUTED_VALUE"""),"Surrendered")</f>
        <v>Surrendered</v>
      </c>
      <c r="G2230" s="5" t="str">
        <f ca="1">IFERROR(__xludf.DUMMYFUNCTION("""COMPUTED_VALUE"""),"No")</f>
        <v>No</v>
      </c>
      <c r="H2230" s="5" t="str">
        <f ca="1">IFERROR(__xludf.DUMMYFUNCTION("""COMPUTED_VALUE"""),"None")</f>
        <v>None</v>
      </c>
    </row>
    <row r="2231" spans="1:8">
      <c r="A2231" s="5" t="str">
        <f ca="1">IFERROR(__xludf.DUMMYFUNCTION("""COMPUTED_VALUE"""),"19741118SCCAC")</f>
        <v>19741118SCCAC</v>
      </c>
      <c r="B2231" s="5"/>
      <c r="C2231" s="5" t="str">
        <f ca="1">IFERROR(__xludf.DUMMYFUNCTION("""COMPUTED_VALUE"""),"Male")</f>
        <v>Male</v>
      </c>
      <c r="D2231" s="5"/>
      <c r="E2231" s="5" t="str">
        <f ca="1">IFERROR(__xludf.DUMMYFUNCTION("""COMPUTED_VALUE"""),"No Relation")</f>
        <v>No Relation</v>
      </c>
      <c r="F2231" s="5" t="str">
        <f ca="1">IFERROR(__xludf.DUMMYFUNCTION("""COMPUTED_VALUE"""),"Fled/Escaped")</f>
        <v>Fled/Escaped</v>
      </c>
      <c r="G2231" s="5" t="str">
        <f ca="1">IFERROR(__xludf.DUMMYFUNCTION("""COMPUTED_VALUE"""),"No")</f>
        <v>No</v>
      </c>
      <c r="H2231" s="5" t="str">
        <f ca="1">IFERROR(__xludf.DUMMYFUNCTION("""COMPUTED_VALUE"""),"None")</f>
        <v>None</v>
      </c>
    </row>
    <row r="2232" spans="1:8">
      <c r="A2232" s="5" t="str">
        <f ca="1">IFERROR(__xludf.DUMMYFUNCTION("""COMPUTED_VALUE"""),"19741021MDDOB")</f>
        <v>19741021MDDOB</v>
      </c>
      <c r="B2232" s="5">
        <f ca="1">IFERROR(__xludf.DUMMYFUNCTION("""COMPUTED_VALUE"""),15)</f>
        <v>15</v>
      </c>
      <c r="C2232" s="5" t="str">
        <f ca="1">IFERROR(__xludf.DUMMYFUNCTION("""COMPUTED_VALUE"""),"Male")</f>
        <v>Male</v>
      </c>
      <c r="D2232" s="5"/>
      <c r="E2232" s="5" t="str">
        <f ca="1">IFERROR(__xludf.DUMMYFUNCTION("""COMPUTED_VALUE"""),"No Relation")</f>
        <v>No Relation</v>
      </c>
      <c r="F2232" s="5" t="str">
        <f ca="1">IFERROR(__xludf.DUMMYFUNCTION("""COMPUTED_VALUE"""),"Fled/Apprehended")</f>
        <v>Fled/Apprehended</v>
      </c>
      <c r="G2232" s="5" t="str">
        <f ca="1">IFERROR(__xludf.DUMMYFUNCTION("""COMPUTED_VALUE"""),"No")</f>
        <v>No</v>
      </c>
      <c r="H2232" s="5" t="str">
        <f ca="1">IFERROR(__xludf.DUMMYFUNCTION("""COMPUTED_VALUE"""),"None")</f>
        <v>None</v>
      </c>
    </row>
    <row r="2233" spans="1:8">
      <c r="A2233" s="5" t="str">
        <f ca="1">IFERROR(__xludf.DUMMYFUNCTION("""COMPUTED_VALUE"""),"19741007LADEH")</f>
        <v>19741007LADEH</v>
      </c>
      <c r="B2233" s="5">
        <f ca="1">IFERROR(__xludf.DUMMYFUNCTION("""COMPUTED_VALUE"""),17)</f>
        <v>17</v>
      </c>
      <c r="C2233" s="5" t="str">
        <f ca="1">IFERROR(__xludf.DUMMYFUNCTION("""COMPUTED_VALUE"""),"Male")</f>
        <v>Male</v>
      </c>
      <c r="D2233" s="5" t="str">
        <f ca="1">IFERROR(__xludf.DUMMYFUNCTION("""COMPUTED_VALUE"""),"Black")</f>
        <v>Black</v>
      </c>
      <c r="E2233" s="5" t="str">
        <f ca="1">IFERROR(__xludf.DUMMYFUNCTION("""COMPUTED_VALUE"""),"Student")</f>
        <v>Student</v>
      </c>
      <c r="F2233" s="5" t="str">
        <f ca="1">IFERROR(__xludf.DUMMYFUNCTION("""COMPUTED_VALUE"""),"Apprehended/Killed by LE")</f>
        <v>Apprehended/Killed by LE</v>
      </c>
      <c r="G2233" s="5" t="str">
        <f ca="1">IFERROR(__xludf.DUMMYFUNCTION("""COMPUTED_VALUE"""),"No")</f>
        <v>No</v>
      </c>
      <c r="H2233" s="5" t="str">
        <f ca="1">IFERROR(__xludf.DUMMYFUNCTION("""COMPUTED_VALUE"""),"None")</f>
        <v>None</v>
      </c>
    </row>
    <row r="2234" spans="1:8">
      <c r="A2234" s="5" t="str">
        <f ca="1">IFERROR(__xludf.DUMMYFUNCTION("""COMPUTED_VALUE"""),"19740925CASAL")</f>
        <v>19740925CASAL</v>
      </c>
      <c r="B2234" s="5">
        <f ca="1">IFERROR(__xludf.DUMMYFUNCTION("""COMPUTED_VALUE"""),17)</f>
        <v>17</v>
      </c>
      <c r="C2234" s="5" t="str">
        <f ca="1">IFERROR(__xludf.DUMMYFUNCTION("""COMPUTED_VALUE"""),"Male")</f>
        <v>Male</v>
      </c>
      <c r="D2234" s="5"/>
      <c r="E2234" s="5" t="str">
        <f ca="1">IFERROR(__xludf.DUMMYFUNCTION("""COMPUTED_VALUE"""),"Student")</f>
        <v>Student</v>
      </c>
      <c r="F2234" s="5" t="str">
        <f ca="1">IFERROR(__xludf.DUMMYFUNCTION("""COMPUTED_VALUE"""),"Fled/Apprehended")</f>
        <v>Fled/Apprehended</v>
      </c>
      <c r="G2234" s="5" t="str">
        <f ca="1">IFERROR(__xludf.DUMMYFUNCTION("""COMPUTED_VALUE"""),"No")</f>
        <v>No</v>
      </c>
      <c r="H2234" s="5" t="str">
        <f ca="1">IFERROR(__xludf.DUMMYFUNCTION("""COMPUTED_VALUE"""),"None")</f>
        <v>None</v>
      </c>
    </row>
    <row r="2235" spans="1:8">
      <c r="A2235" s="5" t="str">
        <f ca="1">IFERROR(__xludf.DUMMYFUNCTION("""COMPUTED_VALUE"""),"19740923CAJED")</f>
        <v>19740923CAJED</v>
      </c>
      <c r="B2235" s="5" t="str">
        <f ca="1">IFERROR(__xludf.DUMMYFUNCTION("""COMPUTED_VALUE"""),"Teen")</f>
        <v>Teen</v>
      </c>
      <c r="C2235" s="5" t="str">
        <f ca="1">IFERROR(__xludf.DUMMYFUNCTION("""COMPUTED_VALUE"""),"Male")</f>
        <v>Male</v>
      </c>
      <c r="D2235" s="5"/>
      <c r="E2235" s="5" t="str">
        <f ca="1">IFERROR(__xludf.DUMMYFUNCTION("""COMPUTED_VALUE"""),"Student")</f>
        <v>Student</v>
      </c>
      <c r="F2235" s="5" t="str">
        <f ca="1">IFERROR(__xludf.DUMMYFUNCTION("""COMPUTED_VALUE"""),"Fled/Apprehended")</f>
        <v>Fled/Apprehended</v>
      </c>
      <c r="G2235" s="5" t="str">
        <f ca="1">IFERROR(__xludf.DUMMYFUNCTION("""COMPUTED_VALUE"""),"No")</f>
        <v>No</v>
      </c>
      <c r="H2235" s="5" t="str">
        <f ca="1">IFERROR(__xludf.DUMMYFUNCTION("""COMPUTED_VALUE"""),"None")</f>
        <v>None</v>
      </c>
    </row>
    <row r="2236" spans="1:8">
      <c r="A2236" s="5" t="str">
        <f ca="1">IFERROR(__xludf.DUMMYFUNCTION("""COMPUTED_VALUE"""),"19740923CAJED")</f>
        <v>19740923CAJED</v>
      </c>
      <c r="B2236" s="5" t="str">
        <f ca="1">IFERROR(__xludf.DUMMYFUNCTION("""COMPUTED_VALUE"""),"Teen")</f>
        <v>Teen</v>
      </c>
      <c r="C2236" s="5" t="str">
        <f ca="1">IFERROR(__xludf.DUMMYFUNCTION("""COMPUTED_VALUE"""),"Male")</f>
        <v>Male</v>
      </c>
      <c r="D2236" s="5"/>
      <c r="E2236" s="5" t="str">
        <f ca="1">IFERROR(__xludf.DUMMYFUNCTION("""COMPUTED_VALUE"""),"Student")</f>
        <v>Student</v>
      </c>
      <c r="F2236" s="5" t="str">
        <f ca="1">IFERROR(__xludf.DUMMYFUNCTION("""COMPUTED_VALUE"""),"Fled/Apprehended")</f>
        <v>Fled/Apprehended</v>
      </c>
      <c r="G2236" s="5" t="str">
        <f ca="1">IFERROR(__xludf.DUMMYFUNCTION("""COMPUTED_VALUE"""),"No")</f>
        <v>No</v>
      </c>
      <c r="H2236" s="5" t="str">
        <f ca="1">IFERROR(__xludf.DUMMYFUNCTION("""COMPUTED_VALUE"""),"None")</f>
        <v>None</v>
      </c>
    </row>
    <row r="2237" spans="1:8">
      <c r="A2237" s="5" t="str">
        <f ca="1">IFERROR(__xludf.DUMMYFUNCTION("""COMPUTED_VALUE"""),"19740923CAJED")</f>
        <v>19740923CAJED</v>
      </c>
      <c r="B2237" s="5" t="str">
        <f ca="1">IFERROR(__xludf.DUMMYFUNCTION("""COMPUTED_VALUE"""),"Teen")</f>
        <v>Teen</v>
      </c>
      <c r="C2237" s="5" t="str">
        <f ca="1">IFERROR(__xludf.DUMMYFUNCTION("""COMPUTED_VALUE"""),"Male")</f>
        <v>Male</v>
      </c>
      <c r="D2237" s="5"/>
      <c r="E2237" s="5" t="str">
        <f ca="1">IFERROR(__xludf.DUMMYFUNCTION("""COMPUTED_VALUE"""),"Student")</f>
        <v>Student</v>
      </c>
      <c r="F2237" s="5" t="str">
        <f ca="1">IFERROR(__xludf.DUMMYFUNCTION("""COMPUTED_VALUE"""),"Fled/Apprehended")</f>
        <v>Fled/Apprehended</v>
      </c>
      <c r="G2237" s="5" t="str">
        <f ca="1">IFERROR(__xludf.DUMMYFUNCTION("""COMPUTED_VALUE"""),"No")</f>
        <v>No</v>
      </c>
      <c r="H2237" s="5" t="str">
        <f ca="1">IFERROR(__xludf.DUMMYFUNCTION("""COMPUTED_VALUE"""),"None")</f>
        <v>None</v>
      </c>
    </row>
    <row r="2238" spans="1:8">
      <c r="A2238" s="5" t="str">
        <f ca="1">IFERROR(__xludf.DUMMYFUNCTION("""COMPUTED_VALUE"""),"19740519FLHIO")</f>
        <v>19740519FLHIO</v>
      </c>
      <c r="B2238" s="5">
        <f ca="1">IFERROR(__xludf.DUMMYFUNCTION("""COMPUTED_VALUE"""),35)</f>
        <v>35</v>
      </c>
      <c r="C2238" s="5" t="str">
        <f ca="1">IFERROR(__xludf.DUMMYFUNCTION("""COMPUTED_VALUE"""),"Male")</f>
        <v>Male</v>
      </c>
      <c r="D2238" s="5"/>
      <c r="E2238" s="5" t="str">
        <f ca="1">IFERROR(__xludf.DUMMYFUNCTION("""COMPUTED_VALUE"""),"Intimate Relationship")</f>
        <v>Intimate Relationship</v>
      </c>
      <c r="F2238" s="5" t="str">
        <f ca="1">IFERROR(__xludf.DUMMYFUNCTION("""COMPUTED_VALUE"""),"Fled/Apprehended")</f>
        <v>Fled/Apprehended</v>
      </c>
      <c r="G2238" s="5" t="str">
        <f ca="1">IFERROR(__xludf.DUMMYFUNCTION("""COMPUTED_VALUE"""),"No")</f>
        <v>No</v>
      </c>
      <c r="H2238" s="5" t="str">
        <f ca="1">IFERROR(__xludf.DUMMYFUNCTION("""COMPUTED_VALUE"""),"None")</f>
        <v>None</v>
      </c>
    </row>
    <row r="2239" spans="1:8">
      <c r="A2239" s="5" t="str">
        <f ca="1">IFERROR(__xludf.DUMMYFUNCTION("""COMPUTED_VALUE"""),"19740510TNCHR")</f>
        <v>19740510TNCHR</v>
      </c>
      <c r="B2239" s="5">
        <f ca="1">IFERROR(__xludf.DUMMYFUNCTION("""COMPUTED_VALUE"""),20)</f>
        <v>20</v>
      </c>
      <c r="C2239" s="5" t="str">
        <f ca="1">IFERROR(__xludf.DUMMYFUNCTION("""COMPUTED_VALUE"""),"Male")</f>
        <v>Male</v>
      </c>
      <c r="D2239" s="5"/>
      <c r="E2239" s="5" t="str">
        <f ca="1">IFERROR(__xludf.DUMMYFUNCTION("""COMPUTED_VALUE"""),"Student")</f>
        <v>Student</v>
      </c>
      <c r="F2239" s="5" t="str">
        <f ca="1">IFERROR(__xludf.DUMMYFUNCTION("""COMPUTED_VALUE"""),"Surrendered")</f>
        <v>Surrendered</v>
      </c>
      <c r="G2239" s="5" t="str">
        <f ca="1">IFERROR(__xludf.DUMMYFUNCTION("""COMPUTED_VALUE"""),"No")</f>
        <v>No</v>
      </c>
      <c r="H2239" s="5" t="str">
        <f ca="1">IFERROR(__xludf.DUMMYFUNCTION("""COMPUTED_VALUE"""),"None")</f>
        <v>None</v>
      </c>
    </row>
    <row r="2240" spans="1:8">
      <c r="A2240" s="5" t="str">
        <f ca="1">IFERROR(__xludf.DUMMYFUNCTION("""COMPUTED_VALUE"""),"19740402CTSTB")</f>
        <v>19740402CTSTB</v>
      </c>
      <c r="B2240" s="5"/>
      <c r="C2240" s="5"/>
      <c r="D2240" s="5"/>
      <c r="E2240" s="5" t="str">
        <f ca="1">IFERROR(__xludf.DUMMYFUNCTION("""COMPUTED_VALUE"""),"Unknown")</f>
        <v>Unknown</v>
      </c>
      <c r="F2240" s="5" t="str">
        <f ca="1">IFERROR(__xludf.DUMMYFUNCTION("""COMPUTED_VALUE"""),"Fled/Escaped")</f>
        <v>Fled/Escaped</v>
      </c>
      <c r="G2240" s="5" t="str">
        <f ca="1">IFERROR(__xludf.DUMMYFUNCTION("""COMPUTED_VALUE"""),"No")</f>
        <v>No</v>
      </c>
      <c r="H2240" s="5" t="str">
        <f ca="1">IFERROR(__xludf.DUMMYFUNCTION("""COMPUTED_VALUE"""),"None")</f>
        <v>None</v>
      </c>
    </row>
    <row r="2241" spans="1:8">
      <c r="A2241" s="5" t="str">
        <f ca="1">IFERROR(__xludf.DUMMYFUNCTION("""COMPUTED_VALUE"""),"19740322INBRB")</f>
        <v>19740322INBRB</v>
      </c>
      <c r="B2241" s="5">
        <f ca="1">IFERROR(__xludf.DUMMYFUNCTION("""COMPUTED_VALUE"""),17)</f>
        <v>17</v>
      </c>
      <c r="C2241" s="5" t="str">
        <f ca="1">IFERROR(__xludf.DUMMYFUNCTION("""COMPUTED_VALUE"""),"Male")</f>
        <v>Male</v>
      </c>
      <c r="D2241" s="5" t="str">
        <f ca="1">IFERROR(__xludf.DUMMYFUNCTION("""COMPUTED_VALUE"""),"White")</f>
        <v>White</v>
      </c>
      <c r="E2241" s="5" t="str">
        <f ca="1">IFERROR(__xludf.DUMMYFUNCTION("""COMPUTED_VALUE"""),"Student")</f>
        <v>Student</v>
      </c>
      <c r="F2241" s="5" t="str">
        <f ca="1">IFERROR(__xludf.DUMMYFUNCTION("""COMPUTED_VALUE"""),"Surrendered")</f>
        <v>Surrendered</v>
      </c>
      <c r="G2241" s="5" t="str">
        <f ca="1">IFERROR(__xludf.DUMMYFUNCTION("""COMPUTED_VALUE"""),"No")</f>
        <v>No</v>
      </c>
      <c r="H2241" s="5" t="str">
        <f ca="1">IFERROR(__xludf.DUMMYFUNCTION("""COMPUTED_VALUE"""),"None")</f>
        <v>None</v>
      </c>
    </row>
    <row r="2242" spans="1:8">
      <c r="A2242" s="5" t="str">
        <f ca="1">IFERROR(__xludf.DUMMYFUNCTION("""COMPUTED_VALUE"""),"19740207CAJAO")</f>
        <v>19740207CAJAO</v>
      </c>
      <c r="B2242" s="5">
        <f ca="1">IFERROR(__xludf.DUMMYFUNCTION("""COMPUTED_VALUE"""),24)</f>
        <v>24</v>
      </c>
      <c r="C2242" s="5" t="str">
        <f ca="1">IFERROR(__xludf.DUMMYFUNCTION("""COMPUTED_VALUE"""),"Male")</f>
        <v>Male</v>
      </c>
      <c r="D2242" s="5" t="str">
        <f ca="1">IFERROR(__xludf.DUMMYFUNCTION("""COMPUTED_VALUE"""),"Black")</f>
        <v>Black</v>
      </c>
      <c r="E2242" s="5" t="str">
        <f ca="1">IFERROR(__xludf.DUMMYFUNCTION("""COMPUTED_VALUE"""),"No Relation")</f>
        <v>No Relation</v>
      </c>
      <c r="F2242" s="5" t="str">
        <f ca="1">IFERROR(__xludf.DUMMYFUNCTION("""COMPUTED_VALUE"""),"Fled/Apprehended")</f>
        <v>Fled/Apprehended</v>
      </c>
      <c r="G2242" s="5" t="str">
        <f ca="1">IFERROR(__xludf.DUMMYFUNCTION("""COMPUTED_VALUE"""),"No")</f>
        <v>No</v>
      </c>
      <c r="H2242" s="5" t="str">
        <f ca="1">IFERROR(__xludf.DUMMYFUNCTION("""COMPUTED_VALUE"""),"None")</f>
        <v>None</v>
      </c>
    </row>
    <row r="2243" spans="1:8">
      <c r="A2243" s="5" t="str">
        <f ca="1">IFERROR(__xludf.DUMMYFUNCTION("""COMPUTED_VALUE"""),"19740122CALOL")</f>
        <v>19740122CALOL</v>
      </c>
      <c r="B2243" s="5">
        <f ca="1">IFERROR(__xludf.DUMMYFUNCTION("""COMPUTED_VALUE"""),15)</f>
        <v>15</v>
      </c>
      <c r="C2243" s="5" t="str">
        <f ca="1">IFERROR(__xludf.DUMMYFUNCTION("""COMPUTED_VALUE"""),"Male")</f>
        <v>Male</v>
      </c>
      <c r="D2243" s="5"/>
      <c r="E2243" s="5" t="str">
        <f ca="1">IFERROR(__xludf.DUMMYFUNCTION("""COMPUTED_VALUE"""),"No Relation")</f>
        <v>No Relation</v>
      </c>
      <c r="F2243" s="5" t="str">
        <f ca="1">IFERROR(__xludf.DUMMYFUNCTION("""COMPUTED_VALUE"""),"Fled/Apprehended")</f>
        <v>Fled/Apprehended</v>
      </c>
      <c r="G2243" s="5" t="str">
        <f ca="1">IFERROR(__xludf.DUMMYFUNCTION("""COMPUTED_VALUE"""),"No")</f>
        <v>No</v>
      </c>
      <c r="H2243" s="5" t="str">
        <f ca="1">IFERROR(__xludf.DUMMYFUNCTION("""COMPUTED_VALUE"""),"None")</f>
        <v>None</v>
      </c>
    </row>
    <row r="2244" spans="1:8">
      <c r="A2244" s="5" t="str">
        <f ca="1">IFERROR(__xludf.DUMMYFUNCTION("""COMPUTED_VALUE"""),"19740117ILBAC")</f>
        <v>19740117ILBAC</v>
      </c>
      <c r="B2244" s="5">
        <f ca="1">IFERROR(__xludf.DUMMYFUNCTION("""COMPUTED_VALUE"""),14)</f>
        <v>14</v>
      </c>
      <c r="C2244" s="5" t="str">
        <f ca="1">IFERROR(__xludf.DUMMYFUNCTION("""COMPUTED_VALUE"""),"Male")</f>
        <v>Male</v>
      </c>
      <c r="D2244" s="5"/>
      <c r="E2244" s="5" t="str">
        <f ca="1">IFERROR(__xludf.DUMMYFUNCTION("""COMPUTED_VALUE"""),"Former Student")</f>
        <v>Former Student</v>
      </c>
      <c r="F2244" s="5" t="str">
        <f ca="1">IFERROR(__xludf.DUMMYFUNCTION("""COMPUTED_VALUE"""),"Subdued by Students/Staff/Other")</f>
        <v>Subdued by Students/Staff/Other</v>
      </c>
      <c r="G2244" s="5" t="str">
        <f ca="1">IFERROR(__xludf.DUMMYFUNCTION("""COMPUTED_VALUE"""),"No")</f>
        <v>No</v>
      </c>
      <c r="H2244" s="5" t="str">
        <f ca="1">IFERROR(__xludf.DUMMYFUNCTION("""COMPUTED_VALUE"""),"None")</f>
        <v>None</v>
      </c>
    </row>
    <row r="2245" spans="1:8">
      <c r="A2245" s="5" t="str">
        <f ca="1">IFERROR(__xludf.DUMMYFUNCTION("""COMPUTED_VALUE"""),"19731213OHHUC")</f>
        <v>19731213OHHUC</v>
      </c>
      <c r="B2245" s="5">
        <f ca="1">IFERROR(__xludf.DUMMYFUNCTION("""COMPUTED_VALUE"""),16)</f>
        <v>16</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c r="A2246" s="5" t="str">
        <f ca="1">IFERROR(__xludf.DUMMYFUNCTION("""COMPUTED_VALUE"""),"19731206CAFRL")</f>
        <v>19731206CAFRL</v>
      </c>
      <c r="B2246" s="5"/>
      <c r="C2246" s="5"/>
      <c r="D2246" s="5"/>
      <c r="E2246" s="5" t="str">
        <f ca="1">IFERROR(__xludf.DUMMYFUNCTION("""COMPUTED_VALUE"""),"Student")</f>
        <v>Student</v>
      </c>
      <c r="F2246" s="5" t="str">
        <f ca="1">IFERROR(__xludf.DUMMYFUNCTION("""COMPUTED_VALUE"""),"Fled/Apprehended")</f>
        <v>Fled/Apprehended</v>
      </c>
      <c r="G2246" s="5" t="str">
        <f ca="1">IFERROR(__xludf.DUMMYFUNCTION("""COMPUTED_VALUE"""),"No")</f>
        <v>No</v>
      </c>
      <c r="H2246" s="5" t="str">
        <f ca="1">IFERROR(__xludf.DUMMYFUNCTION("""COMPUTED_VALUE"""),"None")</f>
        <v>None</v>
      </c>
    </row>
    <row r="2247" spans="1:8">
      <c r="A2247" s="5" t="str">
        <f ca="1">IFERROR(__xludf.DUMMYFUNCTION("""COMPUTED_VALUE"""),"19731109CALOL")</f>
        <v>19731109CALOL</v>
      </c>
      <c r="B2247" s="5" t="str">
        <f ca="1">IFERROR(__xludf.DUMMYFUNCTION("""COMPUTED_VALUE"""),"Teen")</f>
        <v>Teen</v>
      </c>
      <c r="C2247" s="5" t="str">
        <f ca="1">IFERROR(__xludf.DUMMYFUNCTION("""COMPUTED_VALUE"""),"Male")</f>
        <v>Male</v>
      </c>
      <c r="D2247" s="5"/>
      <c r="E2247" s="5" t="str">
        <f ca="1">IFERROR(__xludf.DUMMYFUNCTION("""COMPUTED_VALUE"""),"Unknown")</f>
        <v>Unknown</v>
      </c>
      <c r="F2247" s="5" t="str">
        <f ca="1">IFERROR(__xludf.DUMMYFUNCTION("""COMPUTED_VALUE"""),"Fled/Apprehended")</f>
        <v>Fled/Apprehended</v>
      </c>
      <c r="G2247" s="5" t="str">
        <f ca="1">IFERROR(__xludf.DUMMYFUNCTION("""COMPUTED_VALUE"""),"No")</f>
        <v>No</v>
      </c>
      <c r="H2247" s="5" t="str">
        <f ca="1">IFERROR(__xludf.DUMMYFUNCTION("""COMPUTED_VALUE"""),"None")</f>
        <v>None</v>
      </c>
    </row>
    <row r="2248" spans="1:8">
      <c r="A2248" s="5" t="str">
        <f ca="1">IFERROR(__xludf.DUMMYFUNCTION("""COMPUTED_VALUE"""),"19731108ILWOC")</f>
        <v>19731108ILWOC</v>
      </c>
      <c r="B2248" s="5">
        <f ca="1">IFERROR(__xludf.DUMMYFUNCTION("""COMPUTED_VALUE"""),16)</f>
        <v>16</v>
      </c>
      <c r="C2248" s="5" t="str">
        <f ca="1">IFERROR(__xludf.DUMMYFUNCTION("""COMPUTED_VALUE"""),"Male")</f>
        <v>Male</v>
      </c>
      <c r="D2248" s="5"/>
      <c r="E2248" s="5" t="str">
        <f ca="1">IFERROR(__xludf.DUMMYFUNCTION("""COMPUTED_VALUE"""),"Student")</f>
        <v>Student</v>
      </c>
      <c r="F2248" s="5" t="str">
        <f ca="1">IFERROR(__xludf.DUMMYFUNCTION("""COMPUTED_VALUE"""),"Fled/Apprehended")</f>
        <v>Fled/Apprehended</v>
      </c>
      <c r="G2248" s="5" t="str">
        <f ca="1">IFERROR(__xludf.DUMMYFUNCTION("""COMPUTED_VALUE"""),"No")</f>
        <v>No</v>
      </c>
      <c r="H2248" s="5" t="str">
        <f ca="1">IFERROR(__xludf.DUMMYFUNCTION("""COMPUTED_VALUE"""),"None")</f>
        <v>None</v>
      </c>
    </row>
    <row r="2249" spans="1:8">
      <c r="A2249" s="5" t="str">
        <f ca="1">IFERROR(__xludf.DUMMYFUNCTION("""COMPUTED_VALUE"""),"19731031MONOS")</f>
        <v>19731031MONOS</v>
      </c>
      <c r="B2249" s="5">
        <f ca="1">IFERROR(__xludf.DUMMYFUNCTION("""COMPUTED_VALUE"""),18)</f>
        <v>18</v>
      </c>
      <c r="C2249" s="5" t="str">
        <f ca="1">IFERROR(__xludf.DUMMYFUNCTION("""COMPUTED_VALUE"""),"Male")</f>
        <v>Male</v>
      </c>
      <c r="D2249" s="5"/>
      <c r="E2249" s="5" t="str">
        <f ca="1">IFERROR(__xludf.DUMMYFUNCTION("""COMPUTED_VALUE"""),"No Relation")</f>
        <v>No Relation</v>
      </c>
      <c r="F2249" s="5" t="str">
        <f ca="1">IFERROR(__xludf.DUMMYFUNCTION("""COMPUTED_VALUE"""),"Fled/Apprehended")</f>
        <v>Fled/Apprehended</v>
      </c>
      <c r="G2249" s="5" t="str">
        <f ca="1">IFERROR(__xludf.DUMMYFUNCTION("""COMPUTED_VALUE"""),"No")</f>
        <v>No</v>
      </c>
      <c r="H2249" s="5" t="str">
        <f ca="1">IFERROR(__xludf.DUMMYFUNCTION("""COMPUTED_VALUE"""),"None")</f>
        <v>None</v>
      </c>
    </row>
    <row r="2250" spans="1:8">
      <c r="A2250" s="5" t="str">
        <f ca="1">IFERROR(__xludf.DUMMYFUNCTION("""COMPUTED_VALUE"""),"19731024MNCEM")</f>
        <v>19731024MNCEM</v>
      </c>
      <c r="B2250" s="5">
        <f ca="1">IFERROR(__xludf.DUMMYFUNCTION("""COMPUTED_VALUE"""),17)</f>
        <v>17</v>
      </c>
      <c r="C2250" s="5" t="str">
        <f ca="1">IFERROR(__xludf.DUMMYFUNCTION("""COMPUTED_VALUE"""),"Male")</f>
        <v>Male</v>
      </c>
      <c r="D2250" s="5"/>
      <c r="E2250" s="5" t="str">
        <f ca="1">IFERROR(__xludf.DUMMYFUNCTION("""COMPUTED_VALUE"""),"Student")</f>
        <v>Student</v>
      </c>
      <c r="F2250" s="5" t="str">
        <f ca="1">IFERROR(__xludf.DUMMYFUNCTION("""COMPUTED_VALUE"""),"Fled/Apprehended")</f>
        <v>Fled/Apprehended</v>
      </c>
      <c r="G2250" s="5" t="str">
        <f ca="1">IFERROR(__xludf.DUMMYFUNCTION("""COMPUTED_VALUE"""),"No")</f>
        <v>No</v>
      </c>
      <c r="H2250" s="5" t="str">
        <f ca="1">IFERROR(__xludf.DUMMYFUNCTION("""COMPUTED_VALUE"""),"None")</f>
        <v>None</v>
      </c>
    </row>
    <row r="2251" spans="1:8">
      <c r="A2251" s="5" t="str">
        <f ca="1">IFERROR(__xludf.DUMMYFUNCTION("""COMPUTED_VALUE"""),"19731023OHBAB")</f>
        <v>19731023OHBAB</v>
      </c>
      <c r="B2251" s="5">
        <f ca="1">IFERROR(__xludf.DUMMYFUNCTION("""COMPUTED_VALUE"""),17)</f>
        <v>17</v>
      </c>
      <c r="C2251" s="5" t="str">
        <f ca="1">IFERROR(__xludf.DUMMYFUNCTION("""COMPUTED_VALUE"""),"Male")</f>
        <v>Male</v>
      </c>
      <c r="D2251" s="5" t="str">
        <f ca="1">IFERROR(__xludf.DUMMYFUNCTION("""COMPUTED_VALUE"""),"White")</f>
        <v>White</v>
      </c>
      <c r="E2251" s="5" t="str">
        <f ca="1">IFERROR(__xludf.DUMMYFUNCTION("""COMPUTED_VALUE"""),"Student")</f>
        <v>Student</v>
      </c>
      <c r="F2251" s="5" t="str">
        <f ca="1">IFERROR(__xludf.DUMMYFUNCTION("""COMPUTED_VALUE"""),"Fled/Apprehended")</f>
        <v>Fled/Apprehended</v>
      </c>
      <c r="G2251" s="5" t="str">
        <f ca="1">IFERROR(__xludf.DUMMYFUNCTION("""COMPUTED_VALUE"""),"No")</f>
        <v>No</v>
      </c>
      <c r="H2251" s="5" t="str">
        <f ca="1">IFERROR(__xludf.DUMMYFUNCTION("""COMPUTED_VALUE"""),"None")</f>
        <v>None</v>
      </c>
    </row>
    <row r="2252" spans="1:8">
      <c r="A2252" s="5" t="str">
        <f ca="1">IFERROR(__xludf.DUMMYFUNCTION("""COMPUTED_VALUE"""),"19731023MOSUS")</f>
        <v>19731023MOSUS</v>
      </c>
      <c r="B2252" s="5">
        <f ca="1">IFERROR(__xludf.DUMMYFUNCTION("""COMPUTED_VALUE"""),14)</f>
        <v>14</v>
      </c>
      <c r="C2252" s="5" t="str">
        <f ca="1">IFERROR(__xludf.DUMMYFUNCTION("""COMPUTED_VALUE"""),"Male")</f>
        <v>Male</v>
      </c>
      <c r="D2252" s="5"/>
      <c r="E2252" s="5" t="str">
        <f ca="1">IFERROR(__xludf.DUMMYFUNCTION("""COMPUTED_VALUE"""),"Unknown")</f>
        <v>Unknown</v>
      </c>
      <c r="F2252" s="5" t="str">
        <f ca="1">IFERROR(__xludf.DUMMYFUNCTION("""COMPUTED_VALUE"""),"Fled/Apprehended")</f>
        <v>Fled/Apprehended</v>
      </c>
      <c r="G2252" s="5" t="str">
        <f ca="1">IFERROR(__xludf.DUMMYFUNCTION("""COMPUTED_VALUE"""),"No")</f>
        <v>No</v>
      </c>
      <c r="H2252" s="5" t="str">
        <f ca="1">IFERROR(__xludf.DUMMYFUNCTION("""COMPUTED_VALUE"""),"None")</f>
        <v>None</v>
      </c>
    </row>
    <row r="2253" spans="1:8">
      <c r="A2253" s="5" t="str">
        <f ca="1">IFERROR(__xludf.DUMMYFUNCTION("""COMPUTED_VALUE"""),"19731023MOSUS")</f>
        <v>19731023MOSUS</v>
      </c>
      <c r="B2253" s="5" t="str">
        <f ca="1">IFERROR(__xludf.DUMMYFUNCTION("""COMPUTED_VALUE"""),"Teen")</f>
        <v>Teen</v>
      </c>
      <c r="C2253" s="5" t="str">
        <f ca="1">IFERROR(__xludf.DUMMYFUNCTION("""COMPUTED_VALUE"""),"Male")</f>
        <v>Male</v>
      </c>
      <c r="D2253" s="5"/>
      <c r="E2253" s="5" t="str">
        <f ca="1">IFERROR(__xludf.DUMMYFUNCTION("""COMPUTED_VALUE"""),"Unknown")</f>
        <v>Unknown</v>
      </c>
      <c r="F2253" s="5" t="str">
        <f ca="1">IFERROR(__xludf.DUMMYFUNCTION("""COMPUTED_VALUE"""),"Fled/Apprehended")</f>
        <v>Fled/Apprehended</v>
      </c>
      <c r="G2253" s="5" t="str">
        <f ca="1">IFERROR(__xludf.DUMMYFUNCTION("""COMPUTED_VALUE"""),"No")</f>
        <v>No</v>
      </c>
      <c r="H2253" s="5" t="str">
        <f ca="1">IFERROR(__xludf.DUMMYFUNCTION("""COMPUTED_VALUE"""),"None")</f>
        <v>None</v>
      </c>
    </row>
    <row r="2254" spans="1:8">
      <c r="A2254" s="5" t="str">
        <f ca="1">IFERROR(__xludf.DUMMYFUNCTION("""COMPUTED_VALUE"""),"19731019MOBES")</f>
        <v>19731019MOBES</v>
      </c>
      <c r="B2254" s="5">
        <f ca="1">IFERROR(__xludf.DUMMYFUNCTION("""COMPUTED_VALUE"""),14)</f>
        <v>14</v>
      </c>
      <c r="C2254" s="5" t="str">
        <f ca="1">IFERROR(__xludf.DUMMYFUNCTION("""COMPUTED_VALUE"""),"Male")</f>
        <v>Male</v>
      </c>
      <c r="D2254" s="5"/>
      <c r="E2254" s="5" t="str">
        <f ca="1">IFERROR(__xludf.DUMMYFUNCTION("""COMPUTED_VALUE"""),"Student")</f>
        <v>Student</v>
      </c>
      <c r="F2254" s="5" t="str">
        <f ca="1">IFERROR(__xludf.DUMMYFUNCTION("""COMPUTED_VALUE"""),"Fled/Apprehended")</f>
        <v>Fled/Apprehended</v>
      </c>
      <c r="G2254" s="5" t="str">
        <f ca="1">IFERROR(__xludf.DUMMYFUNCTION("""COMPUTED_VALUE"""),"No")</f>
        <v>No</v>
      </c>
      <c r="H2254" s="5" t="str">
        <f ca="1">IFERROR(__xludf.DUMMYFUNCTION("""COMPUTED_VALUE"""),"None")</f>
        <v>None</v>
      </c>
    </row>
    <row r="2255" spans="1:8">
      <c r="A2255" s="5" t="str">
        <f ca="1">IFERROR(__xludf.DUMMYFUNCTION("""COMPUTED_VALUE"""),"19731002ILELA")</f>
        <v>19731002ILELA</v>
      </c>
      <c r="B2255" s="5">
        <f ca="1">IFERROR(__xludf.DUMMYFUNCTION("""COMPUTED_VALUE"""),17)</f>
        <v>17</v>
      </c>
      <c r="C2255" s="5" t="str">
        <f ca="1">IFERROR(__xludf.DUMMYFUNCTION("""COMPUTED_VALUE"""),"Male")</f>
        <v>Male</v>
      </c>
      <c r="D2255" s="5"/>
      <c r="E2255" s="5" t="str">
        <f ca="1">IFERROR(__xludf.DUMMYFUNCTION("""COMPUTED_VALUE"""),"Student")</f>
        <v>Student</v>
      </c>
      <c r="F2255" s="5" t="str">
        <f ca="1">IFERROR(__xludf.DUMMYFUNCTION("""COMPUTED_VALUE"""),"Suicide")</f>
        <v>Suicide</v>
      </c>
      <c r="G2255" s="5" t="str">
        <f ca="1">IFERROR(__xludf.DUMMYFUNCTION("""COMPUTED_VALUE"""),"Yes")</f>
        <v>Yes</v>
      </c>
      <c r="H2255" s="5" t="str">
        <f ca="1">IFERROR(__xludf.DUMMYFUNCTION("""COMPUTED_VALUE"""),"Suicide")</f>
        <v>Suicide</v>
      </c>
    </row>
    <row r="2256" spans="1:8">
      <c r="A2256" s="5" t="str">
        <f ca="1">IFERROR(__xludf.DUMMYFUNCTION("""COMPUTED_VALUE"""),"19730928CAWIL")</f>
        <v>19730928CAWIL</v>
      </c>
      <c r="B2256" s="5">
        <f ca="1">IFERROR(__xludf.DUMMYFUNCTION("""COMPUTED_VALUE"""),16)</f>
        <v>16</v>
      </c>
      <c r="C2256" s="5" t="str">
        <f ca="1">IFERROR(__xludf.DUMMYFUNCTION("""COMPUTED_VALUE"""),"Male")</f>
        <v>Male</v>
      </c>
      <c r="D2256" s="5"/>
      <c r="E2256" s="5" t="str">
        <f ca="1">IFERROR(__xludf.DUMMYFUNCTION("""COMPUTED_VALUE"""),"Student")</f>
        <v>Student</v>
      </c>
      <c r="F2256" s="5" t="str">
        <f ca="1">IFERROR(__xludf.DUMMYFUNCTION("""COMPUTED_VALUE"""),"Apprehended/Killed by SRO")</f>
        <v>Apprehended/Killed by SRO</v>
      </c>
      <c r="G2256" s="5" t="str">
        <f ca="1">IFERROR(__xludf.DUMMYFUNCTION("""COMPUTED_VALUE"""),"No")</f>
        <v>No</v>
      </c>
      <c r="H2256" s="5" t="str">
        <f ca="1">IFERROR(__xludf.DUMMYFUNCTION("""COMPUTED_VALUE"""),"Wounded")</f>
        <v>Wounded</v>
      </c>
    </row>
    <row r="2257" spans="1:8">
      <c r="A2257" s="5" t="str">
        <f ca="1">IFERROR(__xludf.DUMMYFUNCTION("""COMPUTED_VALUE"""),"19730501OHRAY")</f>
        <v>19730501OHRAY</v>
      </c>
      <c r="B2257" s="5">
        <f ca="1">IFERROR(__xludf.DUMMYFUNCTION("""COMPUTED_VALUE"""),15)</f>
        <v>15</v>
      </c>
      <c r="C2257" s="5" t="str">
        <f ca="1">IFERROR(__xludf.DUMMYFUNCTION("""COMPUTED_VALUE"""),"Male")</f>
        <v>Male</v>
      </c>
      <c r="D2257" s="5"/>
      <c r="E2257" s="5" t="str">
        <f ca="1">IFERROR(__xludf.DUMMYFUNCTION("""COMPUTED_VALUE"""),"Student")</f>
        <v>Student</v>
      </c>
      <c r="F2257" s="5" t="str">
        <f ca="1">IFERROR(__xludf.DUMMYFUNCTION("""COMPUTED_VALUE"""),"Fled/Apprehended")</f>
        <v>Fled/Apprehended</v>
      </c>
      <c r="G2257" s="5" t="str">
        <f ca="1">IFERROR(__xludf.DUMMYFUNCTION("""COMPUTED_VALUE"""),"No")</f>
        <v>No</v>
      </c>
      <c r="H2257" s="5" t="str">
        <f ca="1">IFERROR(__xludf.DUMMYFUNCTION("""COMPUTED_VALUE"""),"None")</f>
        <v>None</v>
      </c>
    </row>
    <row r="2258" spans="1:8">
      <c r="A2258" s="5" t="str">
        <f ca="1">IFERROR(__xludf.DUMMYFUNCTION("""COMPUTED_VALUE"""),"19730405CALOL")</f>
        <v>19730405CALOL</v>
      </c>
      <c r="B2258" s="5"/>
      <c r="C2258" s="5" t="str">
        <f ca="1">IFERROR(__xludf.DUMMYFUNCTION("""COMPUTED_VALUE"""),"Male")</f>
        <v>Male</v>
      </c>
      <c r="D2258" s="5"/>
      <c r="E2258" s="5" t="str">
        <f ca="1">IFERROR(__xludf.DUMMYFUNCTION("""COMPUTED_VALUE"""),"Student")</f>
        <v>Student</v>
      </c>
      <c r="F2258" s="5" t="str">
        <f ca="1">IFERROR(__xludf.DUMMYFUNCTION("""COMPUTED_VALUE"""),"Fled/Escaped")</f>
        <v>Fled/Escaped</v>
      </c>
      <c r="G2258" s="5" t="str">
        <f ca="1">IFERROR(__xludf.DUMMYFUNCTION("""COMPUTED_VALUE"""),"No")</f>
        <v>No</v>
      </c>
      <c r="H2258" s="5" t="str">
        <f ca="1">IFERROR(__xludf.DUMMYFUNCTION("""COMPUTED_VALUE"""),"None")</f>
        <v>None</v>
      </c>
    </row>
    <row r="2259" spans="1:8">
      <c r="A2259" s="5" t="str">
        <f ca="1">IFERROR(__xludf.DUMMYFUNCTION("""COMPUTED_VALUE"""),"19730226VAARR")</f>
        <v>19730226VAARR</v>
      </c>
      <c r="B2259" s="5">
        <f ca="1">IFERROR(__xludf.DUMMYFUNCTION("""COMPUTED_VALUE"""),18)</f>
        <v>18</v>
      </c>
      <c r="C2259" s="5" t="str">
        <f ca="1">IFERROR(__xludf.DUMMYFUNCTION("""COMPUTED_VALUE"""),"Male")</f>
        <v>Male</v>
      </c>
      <c r="D2259" s="5" t="str">
        <f ca="1">IFERROR(__xludf.DUMMYFUNCTION("""COMPUTED_VALUE"""),"Black")</f>
        <v>Black</v>
      </c>
      <c r="E2259" s="5" t="str">
        <f ca="1">IFERROR(__xludf.DUMMYFUNCTION("""COMPUTED_VALUE"""),"Student")</f>
        <v>Student</v>
      </c>
      <c r="F2259" s="5" t="str">
        <f ca="1">IFERROR(__xludf.DUMMYFUNCTION("""COMPUTED_VALUE"""),"Fled/Apprehended")</f>
        <v>Fled/Apprehended</v>
      </c>
      <c r="G2259" s="5" t="str">
        <f ca="1">IFERROR(__xludf.DUMMYFUNCTION("""COMPUTED_VALUE"""),"No")</f>
        <v>No</v>
      </c>
      <c r="H2259" s="5" t="str">
        <f ca="1">IFERROR(__xludf.DUMMYFUNCTION("""COMPUTED_VALUE"""),"None")</f>
        <v>None</v>
      </c>
    </row>
    <row r="2260" spans="1:8">
      <c r="A2260" s="5" t="str">
        <f ca="1">IFERROR(__xludf.DUMMYFUNCTION("""COMPUTED_VALUE"""),"19730212ALBOM")</f>
        <v>19730212ALBOM</v>
      </c>
      <c r="B2260" s="5">
        <f ca="1">IFERROR(__xludf.DUMMYFUNCTION("""COMPUTED_VALUE"""),19)</f>
        <v>19</v>
      </c>
      <c r="C2260" s="5" t="str">
        <f ca="1">IFERROR(__xludf.DUMMYFUNCTION("""COMPUTED_VALUE"""),"Male")</f>
        <v>Male</v>
      </c>
      <c r="D2260" s="5"/>
      <c r="E2260" s="5" t="str">
        <f ca="1">IFERROR(__xludf.DUMMYFUNCTION("""COMPUTED_VALUE"""),"No Relation")</f>
        <v>No Relation</v>
      </c>
      <c r="F2260" s="5" t="str">
        <f ca="1">IFERROR(__xludf.DUMMYFUNCTION("""COMPUTED_VALUE"""),"Fled/Apprehended")</f>
        <v>Fled/Apprehended</v>
      </c>
      <c r="G2260" s="5" t="str">
        <f ca="1">IFERROR(__xludf.DUMMYFUNCTION("""COMPUTED_VALUE"""),"No")</f>
        <v>No</v>
      </c>
      <c r="H2260" s="5" t="str">
        <f ca="1">IFERROR(__xludf.DUMMYFUNCTION("""COMPUTED_VALUE"""),"None")</f>
        <v>None</v>
      </c>
    </row>
    <row r="2261" spans="1:8">
      <c r="A2261" s="5" t="str">
        <f ca="1">IFERROR(__xludf.DUMMYFUNCTION("""COMPUTED_VALUE"""),"19730131NCCUB")</f>
        <v>19730131NCCUB</v>
      </c>
      <c r="B2261" s="5">
        <f ca="1">IFERROR(__xludf.DUMMYFUNCTION("""COMPUTED_VALUE"""),17)</f>
        <v>17</v>
      </c>
      <c r="C2261" s="5" t="str">
        <f ca="1">IFERROR(__xludf.DUMMYFUNCTION("""COMPUTED_VALUE"""),"Male")</f>
        <v>Male</v>
      </c>
      <c r="D2261" s="5"/>
      <c r="E2261" s="5" t="str">
        <f ca="1">IFERROR(__xludf.DUMMYFUNCTION("""COMPUTED_VALUE"""),"Student")</f>
        <v>Student</v>
      </c>
      <c r="F2261" s="5" t="str">
        <f ca="1">IFERROR(__xludf.DUMMYFUNCTION("""COMPUTED_VALUE"""),"Fled/Apprehended")</f>
        <v>Fled/Apprehended</v>
      </c>
      <c r="G2261" s="5" t="str">
        <f ca="1">IFERROR(__xludf.DUMMYFUNCTION("""COMPUTED_VALUE"""),"No")</f>
        <v>No</v>
      </c>
      <c r="H2261" s="5" t="str">
        <f ca="1">IFERROR(__xludf.DUMMYFUNCTION("""COMPUTED_VALUE"""),"None")</f>
        <v>None</v>
      </c>
    </row>
    <row r="2262" spans="1:8">
      <c r="A2262" s="5" t="str">
        <f ca="1">IFERROR(__xludf.DUMMYFUNCTION("""COMPUTED_VALUE"""),"19730118CAJOL")</f>
        <v>19730118CAJOL</v>
      </c>
      <c r="B2262" s="5">
        <f ca="1">IFERROR(__xludf.DUMMYFUNCTION("""COMPUTED_VALUE"""),19)</f>
        <v>19</v>
      </c>
      <c r="C2262" s="5" t="str">
        <f ca="1">IFERROR(__xludf.DUMMYFUNCTION("""COMPUTED_VALUE"""),"Male")</f>
        <v>Male</v>
      </c>
      <c r="D2262" s="5"/>
      <c r="E2262" s="5" t="str">
        <f ca="1">IFERROR(__xludf.DUMMYFUNCTION("""COMPUTED_VALUE"""),"Unknown")</f>
        <v>Unknown</v>
      </c>
      <c r="F2262" s="5" t="str">
        <f ca="1">IFERROR(__xludf.DUMMYFUNCTION("""COMPUTED_VALUE"""),"Fled/Apprehended")</f>
        <v>Fled/Apprehended</v>
      </c>
      <c r="G2262" s="5" t="str">
        <f ca="1">IFERROR(__xludf.DUMMYFUNCTION("""COMPUTED_VALUE"""),"No")</f>
        <v>No</v>
      </c>
      <c r="H2262" s="5" t="str">
        <f ca="1">IFERROR(__xludf.DUMMYFUNCTION("""COMPUTED_VALUE"""),"None")</f>
        <v>None</v>
      </c>
    </row>
    <row r="2263" spans="1:8">
      <c r="A2263" s="5" t="str">
        <f ca="1">IFERROR(__xludf.DUMMYFUNCTION("""COMPUTED_VALUE"""),"19730118CAJOL")</f>
        <v>19730118CAJOL</v>
      </c>
      <c r="B2263" s="5">
        <f ca="1">IFERROR(__xludf.DUMMYFUNCTION("""COMPUTED_VALUE"""),18)</f>
        <v>18</v>
      </c>
      <c r="C2263" s="5" t="str">
        <f ca="1">IFERROR(__xludf.DUMMYFUNCTION("""COMPUTED_VALUE"""),"Male")</f>
        <v>Male</v>
      </c>
      <c r="D2263" s="5"/>
      <c r="E2263" s="5" t="str">
        <f ca="1">IFERROR(__xludf.DUMMYFUNCTION("""COMPUTED_VALUE"""),"Unknown")</f>
        <v>Unknown</v>
      </c>
      <c r="F2263" s="5" t="str">
        <f ca="1">IFERROR(__xludf.DUMMYFUNCTION("""COMPUTED_VALUE"""),"Fled/Apprehended")</f>
        <v>Fled/Apprehended</v>
      </c>
      <c r="G2263" s="5" t="str">
        <f ca="1">IFERROR(__xludf.DUMMYFUNCTION("""COMPUTED_VALUE"""),"No")</f>
        <v>No</v>
      </c>
      <c r="H2263" s="5" t="str">
        <f ca="1">IFERROR(__xludf.DUMMYFUNCTION("""COMPUTED_VALUE"""),"None")</f>
        <v>None</v>
      </c>
    </row>
    <row r="2264" spans="1:8">
      <c r="A2264" s="5" t="str">
        <f ca="1">IFERROR(__xludf.DUMMYFUNCTION("""COMPUTED_VALUE"""),"19730105NCSOS")</f>
        <v>19730105NCSOS</v>
      </c>
      <c r="B2264" s="5" t="str">
        <f ca="1">IFERROR(__xludf.DUMMYFUNCTION("""COMPUTED_VALUE"""),"Teen")</f>
        <v>Teen</v>
      </c>
      <c r="C2264" s="5" t="str">
        <f ca="1">IFERROR(__xludf.DUMMYFUNCTION("""COMPUTED_VALUE"""),"Male")</f>
        <v>Male</v>
      </c>
      <c r="D2264" s="5" t="str">
        <f ca="1">IFERROR(__xludf.DUMMYFUNCTION("""COMPUTED_VALUE"""),"Black")</f>
        <v>Black</v>
      </c>
      <c r="E2264" s="5" t="str">
        <f ca="1">IFERROR(__xludf.DUMMYFUNCTION("""COMPUTED_VALUE"""),"Student")</f>
        <v>Student</v>
      </c>
      <c r="F2264" s="5" t="str">
        <f ca="1">IFERROR(__xludf.DUMMYFUNCTION("""COMPUTED_VALUE"""),"Fled/Apprehended")</f>
        <v>Fled/Apprehended</v>
      </c>
      <c r="G2264" s="5" t="str">
        <f ca="1">IFERROR(__xludf.DUMMYFUNCTION("""COMPUTED_VALUE"""),"No")</f>
        <v>No</v>
      </c>
      <c r="H2264" s="5" t="str">
        <f ca="1">IFERROR(__xludf.DUMMYFUNCTION("""COMPUTED_VALUE"""),"None")</f>
        <v>None</v>
      </c>
    </row>
    <row r="2265" spans="1:8">
      <c r="A2265" s="5" t="str">
        <f ca="1">IFERROR(__xludf.DUMMYFUNCTION("""COMPUTED_VALUE"""),"19721129FLMIM")</f>
        <v>19721129FLMIM</v>
      </c>
      <c r="B2265" s="5" t="str">
        <f ca="1">IFERROR(__xludf.DUMMYFUNCTION("""COMPUTED_VALUE"""),"Teen")</f>
        <v>Teen</v>
      </c>
      <c r="C2265" s="5" t="str">
        <f ca="1">IFERROR(__xludf.DUMMYFUNCTION("""COMPUTED_VALUE"""),"Male")</f>
        <v>Male</v>
      </c>
      <c r="D2265" s="5"/>
      <c r="E2265" s="5" t="str">
        <f ca="1">IFERROR(__xludf.DUMMYFUNCTION("""COMPUTED_VALUE"""),"Unknown")</f>
        <v>Unknown</v>
      </c>
      <c r="F2265" s="5" t="str">
        <f ca="1">IFERROR(__xludf.DUMMYFUNCTION("""COMPUTED_VALUE"""),"Fled/Escaped")</f>
        <v>Fled/Escaped</v>
      </c>
      <c r="G2265" s="5" t="str">
        <f ca="1">IFERROR(__xludf.DUMMYFUNCTION("""COMPUTED_VALUE"""),"No")</f>
        <v>No</v>
      </c>
      <c r="H2265" s="5" t="str">
        <f ca="1">IFERROR(__xludf.DUMMYFUNCTION("""COMPUTED_VALUE"""),"None")</f>
        <v>None</v>
      </c>
    </row>
    <row r="2266" spans="1:8">
      <c r="A2266" s="5" t="str">
        <f ca="1">IFERROR(__xludf.DUMMYFUNCTION("""COMPUTED_VALUE"""),"19721127MIPOP")</f>
        <v>19721127MIPOP</v>
      </c>
      <c r="B2266" s="5">
        <f ca="1">IFERROR(__xludf.DUMMYFUNCTION("""COMPUTED_VALUE"""),16)</f>
        <v>16</v>
      </c>
      <c r="C2266" s="5" t="str">
        <f ca="1">IFERROR(__xludf.DUMMYFUNCTION("""COMPUTED_VALUE"""),"Male")</f>
        <v>Male</v>
      </c>
      <c r="D2266" s="5" t="str">
        <f ca="1">IFERROR(__xludf.DUMMYFUNCTION("""COMPUTED_VALUE"""),"Black")</f>
        <v>Black</v>
      </c>
      <c r="E2266" s="5" t="str">
        <f ca="1">IFERROR(__xludf.DUMMYFUNCTION("""COMPUTED_VALUE"""),"Student")</f>
        <v>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c r="A2267" s="5" t="str">
        <f ca="1">IFERROR(__xludf.DUMMYFUNCTION("""COMPUTED_VALUE"""),"19721111CAJEL")</f>
        <v>19721111CAJEL</v>
      </c>
      <c r="B2267" s="5" t="str">
        <f ca="1">IFERROR(__xludf.DUMMYFUNCTION("""COMPUTED_VALUE"""),"Teen")</f>
        <v>Teen</v>
      </c>
      <c r="C2267" s="5" t="str">
        <f ca="1">IFERROR(__xludf.DUMMYFUNCTION("""COMPUTED_VALUE"""),"Male")</f>
        <v>Male</v>
      </c>
      <c r="D2267" s="5"/>
      <c r="E2267" s="5" t="str">
        <f ca="1">IFERROR(__xludf.DUMMYFUNCTION("""COMPUTED_VALUE"""),"Other Student")</f>
        <v>Other Student</v>
      </c>
      <c r="F2267" s="5" t="str">
        <f ca="1">IFERROR(__xludf.DUMMYFUNCTION("""COMPUTED_VALUE"""),"Fled/Apprehended")</f>
        <v>Fled/Apprehended</v>
      </c>
      <c r="G2267" s="5" t="str">
        <f ca="1">IFERROR(__xludf.DUMMYFUNCTION("""COMPUTED_VALUE"""),"No")</f>
        <v>No</v>
      </c>
      <c r="H2267" s="5" t="str">
        <f ca="1">IFERROR(__xludf.DUMMYFUNCTION("""COMPUTED_VALUE"""),"None")</f>
        <v>None</v>
      </c>
    </row>
    <row r="2268" spans="1:8">
      <c r="A2268" s="5" t="str">
        <f ca="1">IFERROR(__xludf.DUMMYFUNCTION("""COMPUTED_VALUE"""),"19721111CAJEL")</f>
        <v>19721111CAJEL</v>
      </c>
      <c r="B2268" s="5" t="str">
        <f ca="1">IFERROR(__xludf.DUMMYFUNCTION("""COMPUTED_VALUE"""),"Teen")</f>
        <v>Teen</v>
      </c>
      <c r="C2268" s="5" t="str">
        <f ca="1">IFERROR(__xludf.DUMMYFUNCTION("""COMPUTED_VALUE"""),"Male")</f>
        <v>Male</v>
      </c>
      <c r="D2268" s="5"/>
      <c r="E2268" s="5" t="str">
        <f ca="1">IFERROR(__xludf.DUMMYFUNCTION("""COMPUTED_VALUE"""),"Other Student")</f>
        <v>Other Student</v>
      </c>
      <c r="F2268" s="5" t="str">
        <f ca="1">IFERROR(__xludf.DUMMYFUNCTION("""COMPUTED_VALUE"""),"Fled/Apprehended")</f>
        <v>Fled/Apprehended</v>
      </c>
      <c r="G2268" s="5" t="str">
        <f ca="1">IFERROR(__xludf.DUMMYFUNCTION("""COMPUTED_VALUE"""),"No")</f>
        <v>No</v>
      </c>
      <c r="H2268" s="5" t="str">
        <f ca="1">IFERROR(__xludf.DUMMYFUNCTION("""COMPUTED_VALUE"""),"None")</f>
        <v>None</v>
      </c>
    </row>
    <row r="2269" spans="1:8">
      <c r="A2269" s="5" t="str">
        <f ca="1">IFERROR(__xludf.DUMMYFUNCTION("""COMPUTED_VALUE"""),"19720921OHTHA")</f>
        <v>19720921OHTHA</v>
      </c>
      <c r="B2269" s="5">
        <f ca="1">IFERROR(__xludf.DUMMYFUNCTION("""COMPUTED_VALUE"""),18)</f>
        <v>18</v>
      </c>
      <c r="C2269" s="5" t="str">
        <f ca="1">IFERROR(__xludf.DUMMYFUNCTION("""COMPUTED_VALUE"""),"Male")</f>
        <v>Male</v>
      </c>
      <c r="D2269" s="5"/>
      <c r="E2269" s="5" t="str">
        <f ca="1">IFERROR(__xludf.DUMMYFUNCTION("""COMPUTED_VALUE"""),"Former Student")</f>
        <v>Former Student</v>
      </c>
      <c r="F2269" s="5" t="str">
        <f ca="1">IFERROR(__xludf.DUMMYFUNCTION("""COMPUTED_VALUE"""),"Fled/Apprehended")</f>
        <v>Fled/Apprehended</v>
      </c>
      <c r="G2269" s="5" t="str">
        <f ca="1">IFERROR(__xludf.DUMMYFUNCTION("""COMPUTED_VALUE"""),"No")</f>
        <v>No</v>
      </c>
      <c r="H2269" s="5" t="str">
        <f ca="1">IFERROR(__xludf.DUMMYFUNCTION("""COMPUTED_VALUE"""),"None")</f>
        <v>None</v>
      </c>
    </row>
    <row r="2270" spans="1:8">
      <c r="A2270" s="5" t="str">
        <f ca="1">IFERROR(__xludf.DUMMYFUNCTION("""COMPUTED_VALUE"""),"19720919TXCUH")</f>
        <v>19720919TXCUH</v>
      </c>
      <c r="B2270" s="5">
        <f ca="1">IFERROR(__xludf.DUMMYFUNCTION("""COMPUTED_VALUE"""),33)</f>
        <v>33</v>
      </c>
      <c r="C2270" s="5" t="str">
        <f ca="1">IFERROR(__xludf.DUMMYFUNCTION("""COMPUTED_VALUE"""),"Male")</f>
        <v>Male</v>
      </c>
      <c r="D2270" s="5"/>
      <c r="E2270" s="5" t="str">
        <f ca="1">IFERROR(__xludf.DUMMYFUNCTION("""COMPUTED_VALUE"""),"Teacher")</f>
        <v>Teacher</v>
      </c>
      <c r="F2270" s="5" t="str">
        <f ca="1">IFERROR(__xludf.DUMMYFUNCTION("""COMPUTED_VALUE"""),"Fled/Apprehended")</f>
        <v>Fled/Apprehended</v>
      </c>
      <c r="G2270" s="5" t="str">
        <f ca="1">IFERROR(__xludf.DUMMYFUNCTION("""COMPUTED_VALUE"""),"No")</f>
        <v>No</v>
      </c>
      <c r="H2270" s="5" t="str">
        <f ca="1">IFERROR(__xludf.DUMMYFUNCTION("""COMPUTED_VALUE"""),"None")</f>
        <v>None</v>
      </c>
    </row>
    <row r="2271" spans="1:8">
      <c r="A2271" s="5" t="str">
        <f ca="1">IFERROR(__xludf.DUMMYFUNCTION("""COMPUTED_VALUE"""),"19720915MISAS")</f>
        <v>19720915MISAS</v>
      </c>
      <c r="B2271" s="5">
        <f ca="1">IFERROR(__xludf.DUMMYFUNCTION("""COMPUTED_VALUE"""),17)</f>
        <v>17</v>
      </c>
      <c r="C2271" s="5" t="str">
        <f ca="1">IFERROR(__xludf.DUMMYFUNCTION("""COMPUTED_VALUE"""),"Male")</f>
        <v>Male</v>
      </c>
      <c r="D2271" s="5"/>
      <c r="E2271" s="5" t="str">
        <f ca="1">IFERROR(__xludf.DUMMYFUNCTION("""COMPUTED_VALUE"""),"Student")</f>
        <v>Student</v>
      </c>
      <c r="F2271" s="5" t="str">
        <f ca="1">IFERROR(__xludf.DUMMYFUNCTION("""COMPUTED_VALUE"""),"Fled/Apprehended")</f>
        <v>Fled/Apprehended</v>
      </c>
      <c r="G2271" s="5" t="str">
        <f ca="1">IFERROR(__xludf.DUMMYFUNCTION("""COMPUTED_VALUE"""),"No")</f>
        <v>No</v>
      </c>
      <c r="H2271" s="5" t="str">
        <f ca="1">IFERROR(__xludf.DUMMYFUNCTION("""COMPUTED_VALUE"""),"None")</f>
        <v>None</v>
      </c>
    </row>
    <row r="2272" spans="1:8">
      <c r="A2272" s="5" t="str">
        <f ca="1">IFERROR(__xludf.DUMMYFUNCTION("""COMPUTED_VALUE"""),"19720914TXFRH")</f>
        <v>19720914TXFRH</v>
      </c>
      <c r="B2272" s="5">
        <f ca="1">IFERROR(__xludf.DUMMYFUNCTION("""COMPUTED_VALUE"""),16)</f>
        <v>16</v>
      </c>
      <c r="C2272" s="5" t="str">
        <f ca="1">IFERROR(__xludf.DUMMYFUNCTION("""COMPUTED_VALUE"""),"Male")</f>
        <v>Male</v>
      </c>
      <c r="D2272" s="5"/>
      <c r="E2272" s="5" t="str">
        <f ca="1">IFERROR(__xludf.DUMMYFUNCTION("""COMPUTED_VALUE"""),"Student")</f>
        <v>Student</v>
      </c>
      <c r="F2272" s="5" t="str">
        <f ca="1">IFERROR(__xludf.DUMMYFUNCTION("""COMPUTED_VALUE"""),"Fled/Apprehended")</f>
        <v>Fled/Apprehended</v>
      </c>
      <c r="G2272" s="5" t="str">
        <f ca="1">IFERROR(__xludf.DUMMYFUNCTION("""COMPUTED_VALUE"""),"No")</f>
        <v>No</v>
      </c>
      <c r="H2272" s="5" t="str">
        <f ca="1">IFERROR(__xludf.DUMMYFUNCTION("""COMPUTED_VALUE"""),"None")</f>
        <v>None</v>
      </c>
    </row>
    <row r="2273" spans="1:8">
      <c r="A2273" s="5" t="str">
        <f ca="1">IFERROR(__xludf.DUMMYFUNCTION("""COMPUTED_VALUE"""),"19720505INDEI")</f>
        <v>19720505INDEI</v>
      </c>
      <c r="B2273" s="5">
        <f ca="1">IFERROR(__xludf.DUMMYFUNCTION("""COMPUTED_VALUE"""),16)</f>
        <v>16</v>
      </c>
      <c r="C2273" s="5" t="str">
        <f ca="1">IFERROR(__xludf.DUMMYFUNCTION("""COMPUTED_VALUE"""),"Female")</f>
        <v>Female</v>
      </c>
      <c r="D2273" s="5" t="str">
        <f ca="1">IFERROR(__xludf.DUMMYFUNCTION("""COMPUTED_VALUE"""),"White")</f>
        <v>White</v>
      </c>
      <c r="E2273" s="5" t="str">
        <f ca="1">IFERROR(__xludf.DUMMYFUNCTION("""COMPUTED_VALUE"""),"Student")</f>
        <v>Student</v>
      </c>
      <c r="F2273" s="5" t="str">
        <f ca="1">IFERROR(__xludf.DUMMYFUNCTION("""COMPUTED_VALUE"""),"Surrendered")</f>
        <v>Surrendered</v>
      </c>
      <c r="G2273" s="5" t="str">
        <f ca="1">IFERROR(__xludf.DUMMYFUNCTION("""COMPUTED_VALUE"""),"No")</f>
        <v>No</v>
      </c>
      <c r="H2273" s="5" t="str">
        <f ca="1">IFERROR(__xludf.DUMMYFUNCTION("""COMPUTED_VALUE"""),"None")</f>
        <v>None</v>
      </c>
    </row>
    <row r="2274" spans="1:8">
      <c r="A2274" s="5" t="str">
        <f ca="1">IFERROR(__xludf.DUMMYFUNCTION("""COMPUTED_VALUE"""),"19720504NVLIR")</f>
        <v>19720504NVLIR</v>
      </c>
      <c r="B2274" s="5">
        <f ca="1">IFERROR(__xludf.DUMMYFUNCTION("""COMPUTED_VALUE"""),53)</f>
        <v>53</v>
      </c>
      <c r="C2274" s="5" t="str">
        <f ca="1">IFERROR(__xludf.DUMMYFUNCTION("""COMPUTED_VALUE"""),"Male")</f>
        <v>Male</v>
      </c>
      <c r="D2274" s="5" t="str">
        <f ca="1">IFERROR(__xludf.DUMMYFUNCTION("""COMPUTED_VALUE"""),"White")</f>
        <v>White</v>
      </c>
      <c r="E2274" s="5" t="str">
        <f ca="1">IFERROR(__xludf.DUMMYFUNCTION("""COMPUTED_VALUE"""),"Teacher")</f>
        <v>Teacher</v>
      </c>
      <c r="F2274" s="5" t="str">
        <f ca="1">IFERROR(__xludf.DUMMYFUNCTION("""COMPUTED_VALUE"""),"Fled/Escaped")</f>
        <v>Fled/Escaped</v>
      </c>
      <c r="G2274" s="5" t="str">
        <f ca="1">IFERROR(__xludf.DUMMYFUNCTION("""COMPUTED_VALUE"""),"No")</f>
        <v>No</v>
      </c>
      <c r="H2274" s="5" t="str">
        <f ca="1">IFERROR(__xludf.DUMMYFUNCTION("""COMPUTED_VALUE"""),"None")</f>
        <v>None</v>
      </c>
    </row>
    <row r="2275" spans="1:8">
      <c r="A2275" s="5" t="str">
        <f ca="1">IFERROR(__xludf.DUMMYFUNCTION("""COMPUTED_VALUE"""),"19720412LAEAG")</f>
        <v>19720412LAEAG</v>
      </c>
      <c r="B2275" s="5">
        <f ca="1">IFERROR(__xludf.DUMMYFUNCTION("""COMPUTED_VALUE"""),28)</f>
        <v>28</v>
      </c>
      <c r="C2275" s="5" t="str">
        <f ca="1">IFERROR(__xludf.DUMMYFUNCTION("""COMPUTED_VALUE"""),"Male")</f>
        <v>Male</v>
      </c>
      <c r="D2275" s="5"/>
      <c r="E2275" s="5" t="str">
        <f ca="1">IFERROR(__xludf.DUMMYFUNCTION("""COMPUTED_VALUE"""),"Teacher")</f>
        <v>Teacher</v>
      </c>
      <c r="F2275" s="5" t="str">
        <f ca="1">IFERROR(__xludf.DUMMYFUNCTION("""COMPUTED_VALUE"""),"Suicide")</f>
        <v>Suicide</v>
      </c>
      <c r="G2275" s="5" t="str">
        <f ca="1">IFERROR(__xludf.DUMMYFUNCTION("""COMPUTED_VALUE"""),"Yes")</f>
        <v>Yes</v>
      </c>
      <c r="H2275" s="5" t="str">
        <f ca="1">IFERROR(__xludf.DUMMYFUNCTION("""COMPUTED_VALUE"""),"Suicide")</f>
        <v>Suicide</v>
      </c>
    </row>
    <row r="2276" spans="1:8">
      <c r="A2276" s="5" t="str">
        <f ca="1">IFERROR(__xludf.DUMMYFUNCTION("""COMPUTED_VALUE"""),"19720313TXUNH")</f>
        <v>19720313TXUNH</v>
      </c>
      <c r="B2276" s="5">
        <f ca="1">IFERROR(__xludf.DUMMYFUNCTION("""COMPUTED_VALUE"""),15)</f>
        <v>15</v>
      </c>
      <c r="C2276" s="5" t="str">
        <f ca="1">IFERROR(__xludf.DUMMYFUNCTION("""COMPUTED_VALUE"""),"Male")</f>
        <v>Male</v>
      </c>
      <c r="D2276" s="5"/>
      <c r="E2276" s="5" t="str">
        <f ca="1">IFERROR(__xludf.DUMMYFUNCTION("""COMPUTED_VALUE"""),"Student")</f>
        <v>Student</v>
      </c>
      <c r="F2276" s="5" t="str">
        <f ca="1">IFERROR(__xludf.DUMMYFUNCTION("""COMPUTED_VALUE"""),"Surrendered")</f>
        <v>Surrendered</v>
      </c>
      <c r="G2276" s="5" t="str">
        <f ca="1">IFERROR(__xludf.DUMMYFUNCTION("""COMPUTED_VALUE"""),"No")</f>
        <v>No</v>
      </c>
      <c r="H2276" s="5" t="str">
        <f ca="1">IFERROR(__xludf.DUMMYFUNCTION("""COMPUTED_VALUE"""),"None")</f>
        <v>None</v>
      </c>
    </row>
    <row r="2277" spans="1:8">
      <c r="A2277" s="5" t="str">
        <f ca="1">IFERROR(__xludf.DUMMYFUNCTION("""COMPUTED_VALUE"""),"19720228CAMAL")</f>
        <v>19720228CAMAL</v>
      </c>
      <c r="B2277" s="5">
        <f ca="1">IFERROR(__xludf.DUMMYFUNCTION("""COMPUTED_VALUE"""),14)</f>
        <v>14</v>
      </c>
      <c r="C2277" s="5" t="str">
        <f ca="1">IFERROR(__xludf.DUMMYFUNCTION("""COMPUTED_VALUE"""),"Male")</f>
        <v>Male</v>
      </c>
      <c r="D2277" s="5"/>
      <c r="E2277" s="5" t="str">
        <f ca="1">IFERROR(__xludf.DUMMYFUNCTION("""COMPUTED_VALUE"""),"Student")</f>
        <v>Student</v>
      </c>
      <c r="F2277" s="5" t="str">
        <f ca="1">IFERROR(__xludf.DUMMYFUNCTION("""COMPUTED_VALUE"""),"Unknown")</f>
        <v>Unknown</v>
      </c>
      <c r="G2277" s="5" t="str">
        <f ca="1">IFERROR(__xludf.DUMMYFUNCTION("""COMPUTED_VALUE"""),"No")</f>
        <v>No</v>
      </c>
      <c r="H2277" s="5" t="str">
        <f ca="1">IFERROR(__xludf.DUMMYFUNCTION("""COMPUTED_VALUE"""),"None")</f>
        <v>None</v>
      </c>
    </row>
    <row r="2278" spans="1:8">
      <c r="A2278" s="5" t="str">
        <f ca="1">IFERROR(__xludf.DUMMYFUNCTION("""COMPUTED_VALUE"""),"19720215ILKEC")</f>
        <v>19720215ILKEC</v>
      </c>
      <c r="B2278" s="5">
        <f ca="1">IFERROR(__xludf.DUMMYFUNCTION("""COMPUTED_VALUE"""),21)</f>
        <v>21</v>
      </c>
      <c r="C2278" s="5" t="str">
        <f ca="1">IFERROR(__xludf.DUMMYFUNCTION("""COMPUTED_VALUE"""),"Male")</f>
        <v>Male</v>
      </c>
      <c r="D2278" s="5"/>
      <c r="E2278" s="5" t="str">
        <f ca="1">IFERROR(__xludf.DUMMYFUNCTION("""COMPUTED_VALUE"""),"Nonstudent")</f>
        <v>Nonstudent</v>
      </c>
      <c r="F2278" s="5" t="str">
        <f ca="1">IFERROR(__xludf.DUMMYFUNCTION("""COMPUTED_VALUE"""),"Apprehended/Killed by LE")</f>
        <v>Apprehended/Killed by LE</v>
      </c>
      <c r="G2278" s="5" t="str">
        <f ca="1">IFERROR(__xludf.DUMMYFUNCTION("""COMPUTED_VALUE"""),"Yes")</f>
        <v>Yes</v>
      </c>
      <c r="H2278" s="5" t="str">
        <f ca="1">IFERROR(__xludf.DUMMYFUNCTION("""COMPUTED_VALUE"""),"Fatal")</f>
        <v>Fatal</v>
      </c>
    </row>
    <row r="2279" spans="1:8">
      <c r="A2279" s="5" t="str">
        <f ca="1">IFERROR(__xludf.DUMMYFUNCTION("""COMPUTED_VALUE"""),"19720214ILCAC")</f>
        <v>19720214ILCAC</v>
      </c>
      <c r="B2279" s="5"/>
      <c r="C2279" s="5" t="str">
        <f ca="1">IFERROR(__xludf.DUMMYFUNCTION("""COMPUTED_VALUE"""),"Male")</f>
        <v>Male</v>
      </c>
      <c r="D2279" s="5"/>
      <c r="E2279" s="5" t="str">
        <f ca="1">IFERROR(__xludf.DUMMYFUNCTION("""COMPUTED_VALUE"""),"Student")</f>
        <v>Student</v>
      </c>
      <c r="F2279" s="5" t="str">
        <f ca="1">IFERROR(__xludf.DUMMYFUNCTION("""COMPUTED_VALUE"""),"Fled/Escaped")</f>
        <v>Fled/Escaped</v>
      </c>
      <c r="G2279" s="5" t="str">
        <f ca="1">IFERROR(__xludf.DUMMYFUNCTION("""COMPUTED_VALUE"""),"No")</f>
        <v>No</v>
      </c>
      <c r="H2279" s="5" t="str">
        <f ca="1">IFERROR(__xludf.DUMMYFUNCTION("""COMPUTED_VALUE"""),"None")</f>
        <v>None</v>
      </c>
    </row>
    <row r="2280" spans="1:8">
      <c r="A2280" s="5" t="str">
        <f ca="1">IFERROR(__xludf.DUMMYFUNCTION("""COMPUTED_VALUE"""),"19720126MDHAB")</f>
        <v>19720126MDHAB</v>
      </c>
      <c r="B2280" s="5">
        <f ca="1">IFERROR(__xludf.DUMMYFUNCTION("""COMPUTED_VALUE"""),17)</f>
        <v>17</v>
      </c>
      <c r="C2280" s="5" t="str">
        <f ca="1">IFERROR(__xludf.DUMMYFUNCTION("""COMPUTED_VALUE"""),"Male")</f>
        <v>Male</v>
      </c>
      <c r="D2280" s="5"/>
      <c r="E2280" s="5" t="str">
        <f ca="1">IFERROR(__xludf.DUMMYFUNCTION("""COMPUTED_VALUE"""),"Student")</f>
        <v>Student</v>
      </c>
      <c r="F2280" s="5" t="str">
        <f ca="1">IFERROR(__xludf.DUMMYFUNCTION("""COMPUTED_VALUE"""),"Fled/Apprehended")</f>
        <v>Fled/Apprehended</v>
      </c>
      <c r="G2280" s="5" t="str">
        <f ca="1">IFERROR(__xludf.DUMMYFUNCTION("""COMPUTED_VALUE"""),"No")</f>
        <v>No</v>
      </c>
      <c r="H2280" s="5" t="str">
        <f ca="1">IFERROR(__xludf.DUMMYFUNCTION("""COMPUTED_VALUE"""),"None")</f>
        <v>None</v>
      </c>
    </row>
    <row r="2281" spans="1:8">
      <c r="A2281" s="5" t="str">
        <f ca="1">IFERROR(__xludf.DUMMYFUNCTION("""COMPUTED_VALUE"""),"19720126MDGWB")</f>
        <v>19720126MDGWB</v>
      </c>
      <c r="B2281" s="5" t="str">
        <f ca="1">IFERROR(__xludf.DUMMYFUNCTION("""COMPUTED_VALUE"""),"Teen")</f>
        <v>Teen</v>
      </c>
      <c r="C2281" s="5" t="str">
        <f ca="1">IFERROR(__xludf.DUMMYFUNCTION("""COMPUTED_VALUE"""),"Male")</f>
        <v>Male</v>
      </c>
      <c r="D2281" s="5"/>
      <c r="E2281" s="5" t="str">
        <f ca="1">IFERROR(__xludf.DUMMYFUNCTION("""COMPUTED_VALUE"""),"Student")</f>
        <v>Student</v>
      </c>
      <c r="F2281" s="5" t="str">
        <f ca="1">IFERROR(__xludf.DUMMYFUNCTION("""COMPUTED_VALUE"""),"Unknown")</f>
        <v>Unknown</v>
      </c>
      <c r="G2281" s="5" t="str">
        <f ca="1">IFERROR(__xludf.DUMMYFUNCTION("""COMPUTED_VALUE"""),"No")</f>
        <v>No</v>
      </c>
      <c r="H2281" s="5" t="str">
        <f ca="1">IFERROR(__xludf.DUMMYFUNCTION("""COMPUTED_VALUE"""),"None")</f>
        <v>None</v>
      </c>
    </row>
    <row r="2282" spans="1:8">
      <c r="A2282" s="5" t="str">
        <f ca="1">IFERROR(__xludf.DUMMYFUNCTION("""COMPUTED_VALUE"""),"19720124OHSTS")</f>
        <v>19720124OHSTS</v>
      </c>
      <c r="B2282" s="5">
        <f ca="1">IFERROR(__xludf.DUMMYFUNCTION("""COMPUTED_VALUE"""),16)</f>
        <v>16</v>
      </c>
      <c r="C2282" s="5" t="str">
        <f ca="1">IFERROR(__xludf.DUMMYFUNCTION("""COMPUTED_VALUE"""),"Male")</f>
        <v>Male</v>
      </c>
      <c r="D2282" s="5" t="str">
        <f ca="1">IFERROR(__xludf.DUMMYFUNCTION("""COMPUTED_VALUE"""),"White")</f>
        <v>White</v>
      </c>
      <c r="E2282" s="5" t="str">
        <f ca="1">IFERROR(__xludf.DUMMYFUNCTION("""COMPUTED_VALUE"""),"Student")</f>
        <v>Student</v>
      </c>
      <c r="F2282" s="5" t="str">
        <f ca="1">IFERROR(__xludf.DUMMYFUNCTION("""COMPUTED_VALUE"""),"Surrendered")</f>
        <v>Surrendered</v>
      </c>
      <c r="G2282" s="5" t="str">
        <f ca="1">IFERROR(__xludf.DUMMYFUNCTION("""COMPUTED_VALUE"""),"No")</f>
        <v>No</v>
      </c>
      <c r="H2282" s="5" t="str">
        <f ca="1">IFERROR(__xludf.DUMMYFUNCTION("""COMPUTED_VALUE"""),"None")</f>
        <v>None</v>
      </c>
    </row>
    <row r="2283" spans="1:8">
      <c r="A2283" s="5" t="str">
        <f ca="1">IFERROR(__xludf.DUMMYFUNCTION("""COMPUTED_VALUE"""),"19720105DCPAW")</f>
        <v>19720105DCPAW</v>
      </c>
      <c r="B2283" s="5">
        <f ca="1">IFERROR(__xludf.DUMMYFUNCTION("""COMPUTED_VALUE"""),61)</f>
        <v>61</v>
      </c>
      <c r="C2283" s="5" t="str">
        <f ca="1">IFERROR(__xludf.DUMMYFUNCTION("""COMPUTED_VALUE"""),"Male")</f>
        <v>Male</v>
      </c>
      <c r="D2283" s="5"/>
      <c r="E2283" s="5" t="str">
        <f ca="1">IFERROR(__xludf.DUMMYFUNCTION("""COMPUTED_VALUE"""),"Teacher")</f>
        <v>Teacher</v>
      </c>
      <c r="F2283" s="5" t="str">
        <f ca="1">IFERROR(__xludf.DUMMYFUNCTION("""COMPUTED_VALUE"""),"Subdued by Students/Staff/Other")</f>
        <v>Subdued by Students/Staff/Other</v>
      </c>
      <c r="G2283" s="5" t="str">
        <f ca="1">IFERROR(__xludf.DUMMYFUNCTION("""COMPUTED_VALUE"""),"No")</f>
        <v>No</v>
      </c>
      <c r="H2283" s="5" t="str">
        <f ca="1">IFERROR(__xludf.DUMMYFUNCTION("""COMPUTED_VALUE"""),"None")</f>
        <v>None</v>
      </c>
    </row>
    <row r="2284" spans="1:8">
      <c r="A2284" s="5" t="str">
        <f ca="1">IFERROR(__xludf.DUMMYFUNCTION("""COMPUTED_VALUE"""),"19711213MDCAB")</f>
        <v>19711213MDCAB</v>
      </c>
      <c r="B2284" s="5">
        <f ca="1">IFERROR(__xludf.DUMMYFUNCTION("""COMPUTED_VALUE"""),17)</f>
        <v>17</v>
      </c>
      <c r="C2284" s="5" t="str">
        <f ca="1">IFERROR(__xludf.DUMMYFUNCTION("""COMPUTED_VALUE"""),"Male")</f>
        <v>Male</v>
      </c>
      <c r="D2284" s="5"/>
      <c r="E2284" s="5" t="str">
        <f ca="1">IFERROR(__xludf.DUMMYFUNCTION("""COMPUTED_VALUE"""),"Student")</f>
        <v>Student</v>
      </c>
      <c r="F2284" s="5" t="str">
        <f ca="1">IFERROR(__xludf.DUMMYFUNCTION("""COMPUTED_VALUE"""),"Fled/Apprehended")</f>
        <v>Fled/Apprehended</v>
      </c>
      <c r="G2284" s="5" t="str">
        <f ca="1">IFERROR(__xludf.DUMMYFUNCTION("""COMPUTED_VALUE"""),"No")</f>
        <v>No</v>
      </c>
      <c r="H2284" s="5" t="str">
        <f ca="1">IFERROR(__xludf.DUMMYFUNCTION("""COMPUTED_VALUE"""),"None")</f>
        <v>None</v>
      </c>
    </row>
    <row r="2285" spans="1:8">
      <c r="A2285" s="5" t="str">
        <f ca="1">IFERROR(__xludf.DUMMYFUNCTION("""COMPUTED_VALUE"""),"19711206CALOL")</f>
        <v>19711206CALOL</v>
      </c>
      <c r="B2285" s="5">
        <f ca="1">IFERROR(__xludf.DUMMYFUNCTION("""COMPUTED_VALUE"""),14)</f>
        <v>14</v>
      </c>
      <c r="C2285" s="5" t="str">
        <f ca="1">IFERROR(__xludf.DUMMYFUNCTION("""COMPUTED_VALUE"""),"Male")</f>
        <v>Male</v>
      </c>
      <c r="D2285" s="5" t="str">
        <f ca="1">IFERROR(__xludf.DUMMYFUNCTION("""COMPUTED_VALUE"""),"Hispanic")</f>
        <v>Hispanic</v>
      </c>
      <c r="E2285" s="5" t="str">
        <f ca="1">IFERROR(__xludf.DUMMYFUNCTION("""COMPUTED_VALUE"""),"Student")</f>
        <v>Student</v>
      </c>
      <c r="F2285" s="5" t="str">
        <f ca="1">IFERROR(__xludf.DUMMYFUNCTION("""COMPUTED_VALUE"""),"Fled/Apprehended")</f>
        <v>Fled/Apprehended</v>
      </c>
      <c r="G2285" s="5" t="str">
        <f ca="1">IFERROR(__xludf.DUMMYFUNCTION("""COMPUTED_VALUE"""),"No")</f>
        <v>No</v>
      </c>
      <c r="H2285" s="5" t="str">
        <f ca="1">IFERROR(__xludf.DUMMYFUNCTION("""COMPUTED_VALUE"""),"None")</f>
        <v>None</v>
      </c>
    </row>
    <row r="2286" spans="1:8">
      <c r="A2286" s="5" t="str">
        <f ca="1">IFERROR(__xludf.DUMMYFUNCTION("""COMPUTED_VALUE"""),"19711206CALOL")</f>
        <v>19711206CALOL</v>
      </c>
      <c r="B2286" s="5">
        <f ca="1">IFERROR(__xludf.DUMMYFUNCTION("""COMPUTED_VALUE"""),14)</f>
        <v>14</v>
      </c>
      <c r="C2286" s="5" t="str">
        <f ca="1">IFERROR(__xludf.DUMMYFUNCTION("""COMPUTED_VALUE"""),"Male")</f>
        <v>Male</v>
      </c>
      <c r="D2286" s="5" t="str">
        <f ca="1">IFERROR(__xludf.DUMMYFUNCTION("""COMPUTED_VALUE"""),"Hispanic")</f>
        <v>Hispanic</v>
      </c>
      <c r="E2286" s="5" t="str">
        <f ca="1">IFERROR(__xludf.DUMMYFUNCTION("""COMPUTED_VALUE"""),"Student")</f>
        <v>Student</v>
      </c>
      <c r="F2286" s="5" t="str">
        <f ca="1">IFERROR(__xludf.DUMMYFUNCTION("""COMPUTED_VALUE"""),"Fled/Apprehended")</f>
        <v>Fled/Apprehended</v>
      </c>
      <c r="G2286" s="5" t="str">
        <f ca="1">IFERROR(__xludf.DUMMYFUNCTION("""COMPUTED_VALUE"""),"No")</f>
        <v>No</v>
      </c>
      <c r="H2286" s="5" t="str">
        <f ca="1">IFERROR(__xludf.DUMMYFUNCTION("""COMPUTED_VALUE"""),"None")</f>
        <v>None</v>
      </c>
    </row>
    <row r="2287" spans="1:8">
      <c r="A2287" s="5" t="str">
        <f ca="1">IFERROR(__xludf.DUMMYFUNCTION("""COMPUTED_VALUE"""),"19711124MDEDB")</f>
        <v>19711124MDEDB</v>
      </c>
      <c r="B2287" s="5">
        <f ca="1">IFERROR(__xludf.DUMMYFUNCTION("""COMPUTED_VALUE"""),17)</f>
        <v>17</v>
      </c>
      <c r="C2287" s="5" t="str">
        <f ca="1">IFERROR(__xludf.DUMMYFUNCTION("""COMPUTED_VALUE"""),"Male")</f>
        <v>Male</v>
      </c>
      <c r="D2287" s="5"/>
      <c r="E2287" s="5" t="str">
        <f ca="1">IFERROR(__xludf.DUMMYFUNCTION("""COMPUTED_VALUE"""),"Student")</f>
        <v>Student</v>
      </c>
      <c r="F2287" s="5" t="str">
        <f ca="1">IFERROR(__xludf.DUMMYFUNCTION("""COMPUTED_VALUE"""),"Fled/Apprehended")</f>
        <v>Fled/Apprehended</v>
      </c>
      <c r="G2287" s="5" t="str">
        <f ca="1">IFERROR(__xludf.DUMMYFUNCTION("""COMPUTED_VALUE"""),"No")</f>
        <v>No</v>
      </c>
      <c r="H2287" s="5" t="str">
        <f ca="1">IFERROR(__xludf.DUMMYFUNCTION("""COMPUTED_VALUE"""),"None")</f>
        <v>None</v>
      </c>
    </row>
    <row r="2288" spans="1:8">
      <c r="A2288" s="5" t="str">
        <f ca="1">IFERROR(__xludf.DUMMYFUNCTION("""COMPUTED_VALUE"""),"19711108OKGRT")</f>
        <v>19711108OKGRT</v>
      </c>
      <c r="B2288" s="5">
        <f ca="1">IFERROR(__xludf.DUMMYFUNCTION("""COMPUTED_VALUE"""),63)</f>
        <v>63</v>
      </c>
      <c r="C2288" s="5" t="str">
        <f ca="1">IFERROR(__xludf.DUMMYFUNCTION("""COMPUTED_VALUE"""),"Male")</f>
        <v>Male</v>
      </c>
      <c r="D2288" s="5"/>
      <c r="E2288" s="5" t="str">
        <f ca="1">IFERROR(__xludf.DUMMYFUNCTION("""COMPUTED_VALUE"""),"Other Staff")</f>
        <v>Other Staff</v>
      </c>
      <c r="F2288" s="5" t="str">
        <f ca="1">IFERROR(__xludf.DUMMYFUNCTION("""COMPUTED_VALUE"""),"Unknown")</f>
        <v>Unknown</v>
      </c>
      <c r="G2288" s="5" t="str">
        <f ca="1">IFERROR(__xludf.DUMMYFUNCTION("""COMPUTED_VALUE"""),"No")</f>
        <v>No</v>
      </c>
      <c r="H2288" s="5" t="str">
        <f ca="1">IFERROR(__xludf.DUMMYFUNCTION("""COMPUTED_VALUE"""),"None")</f>
        <v>None</v>
      </c>
    </row>
    <row r="2289" spans="1:8">
      <c r="A2289" s="5" t="str">
        <f ca="1">IFERROR(__xludf.DUMMYFUNCTION("""COMPUTED_VALUE"""),"19711103NMCAC")</f>
        <v>19711103NMCAC</v>
      </c>
      <c r="B2289" s="5">
        <f ca="1">IFERROR(__xludf.DUMMYFUNCTION("""COMPUTED_VALUE"""),22)</f>
        <v>22</v>
      </c>
      <c r="C2289" s="5" t="str">
        <f ca="1">IFERROR(__xludf.DUMMYFUNCTION("""COMPUTED_VALUE"""),"Male")</f>
        <v>Male</v>
      </c>
      <c r="D2289" s="5"/>
      <c r="E2289" s="5" t="str">
        <f ca="1">IFERROR(__xludf.DUMMYFUNCTION("""COMPUTED_VALUE"""),"Former Student")</f>
        <v>Former Student</v>
      </c>
      <c r="F2289" s="5" t="str">
        <f ca="1">IFERROR(__xludf.DUMMYFUNCTION("""COMPUTED_VALUE"""),"Suicide")</f>
        <v>Suicide</v>
      </c>
      <c r="G2289" s="5" t="str">
        <f ca="1">IFERROR(__xludf.DUMMYFUNCTION("""COMPUTED_VALUE"""),"Yes")</f>
        <v>Yes</v>
      </c>
      <c r="H2289" s="5" t="str">
        <f ca="1">IFERROR(__xludf.DUMMYFUNCTION("""COMPUTED_VALUE"""),"Suicide")</f>
        <v>Suicide</v>
      </c>
    </row>
    <row r="2290" spans="1:8">
      <c r="A2290" s="5" t="str">
        <f ca="1">IFERROR(__xludf.DUMMYFUNCTION("""COMPUTED_VALUE"""),"19711029MDFRB")</f>
        <v>19711029MDFRB</v>
      </c>
      <c r="B2290" s="5" t="str">
        <f ca="1">IFERROR(__xludf.DUMMYFUNCTION("""COMPUTED_VALUE"""),"Teen")</f>
        <v>Teen</v>
      </c>
      <c r="C2290" s="5" t="str">
        <f ca="1">IFERROR(__xludf.DUMMYFUNCTION("""COMPUTED_VALUE"""),"Male")</f>
        <v>Male</v>
      </c>
      <c r="D2290" s="5"/>
      <c r="E2290" s="5" t="str">
        <f ca="1">IFERROR(__xludf.DUMMYFUNCTION("""COMPUTED_VALUE"""),"Student")</f>
        <v>Student</v>
      </c>
      <c r="F2290" s="5" t="str">
        <f ca="1">IFERROR(__xludf.DUMMYFUNCTION("""COMPUTED_VALUE"""),"Fled/Escaped")</f>
        <v>Fled/Escaped</v>
      </c>
      <c r="G2290" s="5" t="str">
        <f ca="1">IFERROR(__xludf.DUMMYFUNCTION("""COMPUTED_VALUE"""),"No")</f>
        <v>No</v>
      </c>
      <c r="H2290" s="5" t="str">
        <f ca="1">IFERROR(__xludf.DUMMYFUNCTION("""COMPUTED_VALUE"""),"None")</f>
        <v>None</v>
      </c>
    </row>
    <row r="2291" spans="1:8">
      <c r="A2291" s="5" t="str">
        <f ca="1">IFERROR(__xludf.DUMMYFUNCTION("""COMPUTED_VALUE"""),"19711029MDFRB")</f>
        <v>19711029MDFRB</v>
      </c>
      <c r="B2291" s="5" t="str">
        <f ca="1">IFERROR(__xludf.DUMMYFUNCTION("""COMPUTED_VALUE"""),"Teen")</f>
        <v>Teen</v>
      </c>
      <c r="C2291" s="5" t="str">
        <f ca="1">IFERROR(__xludf.DUMMYFUNCTION("""COMPUTED_VALUE"""),"Male")</f>
        <v>Male</v>
      </c>
      <c r="D2291" s="5"/>
      <c r="E2291" s="5" t="str">
        <f ca="1">IFERROR(__xludf.DUMMYFUNCTION("""COMPUTED_VALUE"""),"Student")</f>
        <v>Student</v>
      </c>
      <c r="F2291" s="5" t="str">
        <f ca="1">IFERROR(__xludf.DUMMYFUNCTION("""COMPUTED_VALUE"""),"Fled/Escaped")</f>
        <v>Fled/Escaped</v>
      </c>
      <c r="G2291" s="5" t="str">
        <f ca="1">IFERROR(__xludf.DUMMYFUNCTION("""COMPUTED_VALUE"""),"No")</f>
        <v>No</v>
      </c>
      <c r="H2291" s="5" t="str">
        <f ca="1">IFERROR(__xludf.DUMMYFUNCTION("""COMPUTED_VALUE"""),"None")</f>
        <v>None</v>
      </c>
    </row>
    <row r="2292" spans="1:8">
      <c r="A2292" s="5" t="str">
        <f ca="1">IFERROR(__xludf.DUMMYFUNCTION("""COMPUTED_VALUE"""),"19711029MDFOB")</f>
        <v>19711029MDFOB</v>
      </c>
      <c r="B2292" s="5">
        <f ca="1">IFERROR(__xludf.DUMMYFUNCTION("""COMPUTED_VALUE"""),17)</f>
        <v>17</v>
      </c>
      <c r="C2292" s="5" t="str">
        <f ca="1">IFERROR(__xludf.DUMMYFUNCTION("""COMPUTED_VALUE"""),"Male")</f>
        <v>Male</v>
      </c>
      <c r="D2292" s="5"/>
      <c r="E2292" s="5" t="str">
        <f ca="1">IFERROR(__xludf.DUMMYFUNCTION("""COMPUTED_VALUE"""),"Former Student")</f>
        <v>Former Student</v>
      </c>
      <c r="F2292" s="5" t="str">
        <f ca="1">IFERROR(__xludf.DUMMYFUNCTION("""COMPUTED_VALUE"""),"Fled/Escaped")</f>
        <v>Fled/Escaped</v>
      </c>
      <c r="G2292" s="5" t="str">
        <f ca="1">IFERROR(__xludf.DUMMYFUNCTION("""COMPUTED_VALUE"""),"No")</f>
        <v>No</v>
      </c>
      <c r="H2292" s="5" t="str">
        <f ca="1">IFERROR(__xludf.DUMMYFUNCTION("""COMPUTED_VALUE"""),"None")</f>
        <v>None</v>
      </c>
    </row>
    <row r="2293" spans="1:8">
      <c r="A2293" s="5" t="str">
        <f ca="1">IFERROR(__xludf.DUMMYFUNCTION("""COMPUTED_VALUE"""),"19711028MDCIB")</f>
        <v>19711028MDCIB</v>
      </c>
      <c r="B2293" s="5"/>
      <c r="C2293" s="5" t="str">
        <f ca="1">IFERROR(__xludf.DUMMYFUNCTION("""COMPUTED_VALUE"""),"Male")</f>
        <v>Male</v>
      </c>
      <c r="D2293" s="5"/>
      <c r="E2293" s="5" t="str">
        <f ca="1">IFERROR(__xludf.DUMMYFUNCTION("""COMPUTED_VALUE"""),"Student")</f>
        <v>Student</v>
      </c>
      <c r="F2293" s="5" t="str">
        <f ca="1">IFERROR(__xludf.DUMMYFUNCTION("""COMPUTED_VALUE"""),"Fled/Escaped")</f>
        <v>Fled/Escaped</v>
      </c>
      <c r="G2293" s="5" t="str">
        <f ca="1">IFERROR(__xludf.DUMMYFUNCTION("""COMPUTED_VALUE"""),"No")</f>
        <v>No</v>
      </c>
      <c r="H2293" s="5" t="str">
        <f ca="1">IFERROR(__xludf.DUMMYFUNCTION("""COMPUTED_VALUE"""),"None")</f>
        <v>None</v>
      </c>
    </row>
    <row r="2294" spans="1:8">
      <c r="A2294" s="5" t="str">
        <f ca="1">IFERROR(__xludf.DUMMYFUNCTION("""COMPUTED_VALUE"""),"19710929VAPEP")</f>
        <v>19710929VAPEP</v>
      </c>
      <c r="B2294" s="5">
        <f ca="1">IFERROR(__xludf.DUMMYFUNCTION("""COMPUTED_VALUE"""),14)</f>
        <v>14</v>
      </c>
      <c r="C2294" s="5" t="str">
        <f ca="1">IFERROR(__xludf.DUMMYFUNCTION("""COMPUTED_VALUE"""),"Male")</f>
        <v>Male</v>
      </c>
      <c r="D2294" s="5" t="str">
        <f ca="1">IFERROR(__xludf.DUMMYFUNCTION("""COMPUTED_VALUE"""),"Black")</f>
        <v>Black</v>
      </c>
      <c r="E2294" s="5" t="str">
        <f ca="1">IFERROR(__xludf.DUMMYFUNCTION("""COMPUTED_VALUE"""),"Student")</f>
        <v>Student</v>
      </c>
      <c r="F2294" s="5" t="str">
        <f ca="1">IFERROR(__xludf.DUMMYFUNCTION("""COMPUTED_VALUE"""),"Subdued by Students/Staff/Other")</f>
        <v>Subdued by Students/Staff/Other</v>
      </c>
      <c r="G2294" s="5" t="str">
        <f ca="1">IFERROR(__xludf.DUMMYFUNCTION("""COMPUTED_VALUE"""),"No")</f>
        <v>No</v>
      </c>
      <c r="H2294" s="5" t="str">
        <f ca="1">IFERROR(__xludf.DUMMYFUNCTION("""COMPUTED_VALUE"""),"None")</f>
        <v>None</v>
      </c>
    </row>
    <row r="2295" spans="1:8">
      <c r="A2295" s="5" t="str">
        <f ca="1">IFERROR(__xludf.DUMMYFUNCTION("""COMPUTED_VALUE"""),"19710928MNCEM")</f>
        <v>19710928MNCEM</v>
      </c>
      <c r="B2295" s="5">
        <f ca="1">IFERROR(__xludf.DUMMYFUNCTION("""COMPUTED_VALUE"""),18)</f>
        <v>18</v>
      </c>
      <c r="C2295" s="5" t="str">
        <f ca="1">IFERROR(__xludf.DUMMYFUNCTION("""COMPUTED_VALUE"""),"Male")</f>
        <v>Male</v>
      </c>
      <c r="D2295" s="5"/>
      <c r="E2295" s="5" t="str">
        <f ca="1">IFERROR(__xludf.DUMMYFUNCTION("""COMPUTED_VALUE"""),"No Relation")</f>
        <v>No Relation</v>
      </c>
      <c r="F2295" s="5" t="str">
        <f ca="1">IFERROR(__xludf.DUMMYFUNCTION("""COMPUTED_VALUE"""),"Fled/Apprehended")</f>
        <v>Fled/Apprehended</v>
      </c>
      <c r="G2295" s="5" t="str">
        <f ca="1">IFERROR(__xludf.DUMMYFUNCTION("""COMPUTED_VALUE"""),"No")</f>
        <v>No</v>
      </c>
      <c r="H2295" s="5" t="str">
        <f ca="1">IFERROR(__xludf.DUMMYFUNCTION("""COMPUTED_VALUE"""),"None")</f>
        <v>None</v>
      </c>
    </row>
    <row r="2296" spans="1:8">
      <c r="A2296" s="5" t="str">
        <f ca="1">IFERROR(__xludf.DUMMYFUNCTION("""COMPUTED_VALUE"""),"19710924NYMCB")</f>
        <v>19710924NYMCB</v>
      </c>
      <c r="B2296" s="5" t="str">
        <f ca="1">IFERROR(__xludf.DUMMYFUNCTION("""COMPUTED_VALUE"""),"Teen")</f>
        <v>Teen</v>
      </c>
      <c r="C2296" s="5"/>
      <c r="D2296" s="5"/>
      <c r="E2296" s="5" t="str">
        <f ca="1">IFERROR(__xludf.DUMMYFUNCTION("""COMPUTED_VALUE"""),"Student")</f>
        <v>Student</v>
      </c>
      <c r="F2296" s="5" t="str">
        <f ca="1">IFERROR(__xludf.DUMMYFUNCTION("""COMPUTED_VALUE"""),"Unknown")</f>
        <v>Unknown</v>
      </c>
      <c r="G2296" s="5" t="str">
        <f ca="1">IFERROR(__xludf.DUMMYFUNCTION("""COMPUTED_VALUE"""),"No")</f>
        <v>No</v>
      </c>
      <c r="H2296" s="5" t="str">
        <f ca="1">IFERROR(__xludf.DUMMYFUNCTION("""COMPUTED_VALUE"""),"None")</f>
        <v>None</v>
      </c>
    </row>
    <row r="2297" spans="1:8">
      <c r="A2297" s="5" t="str">
        <f ca="1">IFERROR(__xludf.DUMMYFUNCTION("""COMPUTED_VALUE"""),"19710909TXDUL")</f>
        <v>19710909TXDUL</v>
      </c>
      <c r="B2297" s="5">
        <f ca="1">IFERROR(__xludf.DUMMYFUNCTION("""COMPUTED_VALUE"""),15)</f>
        <v>15</v>
      </c>
      <c r="C2297" s="5" t="str">
        <f ca="1">IFERROR(__xludf.DUMMYFUNCTION("""COMPUTED_VALUE"""),"Male")</f>
        <v>Male</v>
      </c>
      <c r="D2297" s="5" t="str">
        <f ca="1">IFERROR(__xludf.DUMMYFUNCTION("""COMPUTED_VALUE"""),"White")</f>
        <v>White</v>
      </c>
      <c r="E2297" s="5" t="str">
        <f ca="1">IFERROR(__xludf.DUMMYFUNCTION("""COMPUTED_VALUE"""),"Student")</f>
        <v>Student</v>
      </c>
      <c r="F2297" s="5" t="str">
        <f ca="1">IFERROR(__xludf.DUMMYFUNCTION("""COMPUTED_VALUE"""),"Fled/Apprehended")</f>
        <v>Fled/Apprehended</v>
      </c>
      <c r="G2297" s="5" t="str">
        <f ca="1">IFERROR(__xludf.DUMMYFUNCTION("""COMPUTED_VALUE"""),"No")</f>
        <v>No</v>
      </c>
      <c r="H2297" s="5" t="str">
        <f ca="1">IFERROR(__xludf.DUMMYFUNCTION("""COMPUTED_VALUE"""),"None")</f>
        <v>None</v>
      </c>
    </row>
    <row r="2298" spans="1:8">
      <c r="A2298" s="5" t="str">
        <f ca="1">IFERROR(__xludf.DUMMYFUNCTION("""COMPUTED_VALUE"""),"19710820PAMOM")</f>
        <v>19710820PAMOM</v>
      </c>
      <c r="B2298" s="5">
        <f ca="1">IFERROR(__xludf.DUMMYFUNCTION("""COMPUTED_VALUE"""),72)</f>
        <v>72</v>
      </c>
      <c r="C2298" s="5" t="str">
        <f ca="1">IFERROR(__xludf.DUMMYFUNCTION("""COMPUTED_VALUE"""),"Male")</f>
        <v>Male</v>
      </c>
      <c r="D2298" s="5" t="str">
        <f ca="1">IFERROR(__xludf.DUMMYFUNCTION("""COMPUTED_VALUE"""),"White")</f>
        <v>White</v>
      </c>
      <c r="E2298" s="5" t="str">
        <f ca="1">IFERROR(__xludf.DUMMYFUNCTION("""COMPUTED_VALUE"""),"Security Guard")</f>
        <v>Security Guard</v>
      </c>
      <c r="F2298" s="5" t="str">
        <f ca="1">IFERROR(__xludf.DUMMYFUNCTION("""COMPUTED_VALUE"""),"Surrendered")</f>
        <v>Surrendered</v>
      </c>
      <c r="G2298" s="5" t="str">
        <f ca="1">IFERROR(__xludf.DUMMYFUNCTION("""COMPUTED_VALUE"""),"No")</f>
        <v>No</v>
      </c>
      <c r="H2298" s="5" t="str">
        <f ca="1">IFERROR(__xludf.DUMMYFUNCTION("""COMPUTED_VALUE"""),"None")</f>
        <v>None</v>
      </c>
    </row>
    <row r="2299" spans="1:8">
      <c r="A2299" s="5" t="str">
        <f ca="1">IFERROR(__xludf.DUMMYFUNCTION("""COMPUTED_VALUE"""),"19710602NYEAE")</f>
        <v>19710602NYEAE</v>
      </c>
      <c r="B2299" s="5">
        <f ca="1">IFERROR(__xludf.DUMMYFUNCTION("""COMPUTED_VALUE"""),13)</f>
        <v>13</v>
      </c>
      <c r="C2299" s="5" t="str">
        <f ca="1">IFERROR(__xludf.DUMMYFUNCTION("""COMPUTED_VALUE"""),"Male")</f>
        <v>Male</v>
      </c>
      <c r="D2299" s="5"/>
      <c r="E2299" s="5" t="str">
        <f ca="1">IFERROR(__xludf.DUMMYFUNCTION("""COMPUTED_VALUE"""),"Student")</f>
        <v>Student</v>
      </c>
      <c r="F2299" s="5" t="str">
        <f ca="1">IFERROR(__xludf.DUMMYFUNCTION("""COMPUTED_VALUE"""),"Suicide")</f>
        <v>Suicide</v>
      </c>
      <c r="G2299" s="5" t="str">
        <f ca="1">IFERROR(__xludf.DUMMYFUNCTION("""COMPUTED_VALUE"""),"Yes")</f>
        <v>Yes</v>
      </c>
      <c r="H2299" s="5" t="str">
        <f ca="1">IFERROR(__xludf.DUMMYFUNCTION("""COMPUTED_VALUE"""),"Suicide")</f>
        <v>Suicide</v>
      </c>
    </row>
    <row r="2300" spans="1:8">
      <c r="A2300" s="5" t="str">
        <f ca="1">IFERROR(__xludf.DUMMYFUNCTION("""COMPUTED_VALUE"""),"19710527MIBES")</f>
        <v>19710527MIBES</v>
      </c>
      <c r="B2300" s="5">
        <f ca="1">IFERROR(__xludf.DUMMYFUNCTION("""COMPUTED_VALUE"""),17)</f>
        <v>17</v>
      </c>
      <c r="C2300" s="5" t="str">
        <f ca="1">IFERROR(__xludf.DUMMYFUNCTION("""COMPUTED_VALUE"""),"Male")</f>
        <v>Male</v>
      </c>
      <c r="D2300" s="5"/>
      <c r="E2300" s="5" t="str">
        <f ca="1">IFERROR(__xludf.DUMMYFUNCTION("""COMPUTED_VALUE"""),"Student")</f>
        <v>Student</v>
      </c>
      <c r="F2300" s="5" t="str">
        <f ca="1">IFERROR(__xludf.DUMMYFUNCTION("""COMPUTED_VALUE"""),"Unknown")</f>
        <v>Unknown</v>
      </c>
      <c r="G2300" s="5" t="str">
        <f ca="1">IFERROR(__xludf.DUMMYFUNCTION("""COMPUTED_VALUE"""),"No")</f>
        <v>No</v>
      </c>
      <c r="H2300" s="5" t="str">
        <f ca="1">IFERROR(__xludf.DUMMYFUNCTION("""COMPUTED_VALUE"""),"None")</f>
        <v>None</v>
      </c>
    </row>
    <row r="2301" spans="1:8">
      <c r="A2301" s="5" t="str">
        <f ca="1">IFERROR(__xludf.DUMMYFUNCTION("""COMPUTED_VALUE"""),"19710405PAWIH")</f>
        <v>19710405PAWIH</v>
      </c>
      <c r="B2301" s="5">
        <f ca="1">IFERROR(__xludf.DUMMYFUNCTION("""COMPUTED_VALUE"""),17)</f>
        <v>17</v>
      </c>
      <c r="C2301" s="5" t="str">
        <f ca="1">IFERROR(__xludf.DUMMYFUNCTION("""COMPUTED_VALUE"""),"Male")</f>
        <v>Male</v>
      </c>
      <c r="D2301" s="5"/>
      <c r="E2301" s="5" t="str">
        <f ca="1">IFERROR(__xludf.DUMMYFUNCTION("""COMPUTED_VALUE"""),"Student")</f>
        <v>Student</v>
      </c>
      <c r="F2301" s="5" t="str">
        <f ca="1">IFERROR(__xludf.DUMMYFUNCTION("""COMPUTED_VALUE"""),"Unknown")</f>
        <v>Unknown</v>
      </c>
      <c r="G2301" s="5" t="str">
        <f ca="1">IFERROR(__xludf.DUMMYFUNCTION("""COMPUTED_VALUE"""),"No")</f>
        <v>No</v>
      </c>
      <c r="H2301" s="5" t="str">
        <f ca="1">IFERROR(__xludf.DUMMYFUNCTION("""COMPUTED_VALUE"""),"None")</f>
        <v>None</v>
      </c>
    </row>
    <row r="2302" spans="1:8">
      <c r="A2302" s="5" t="str">
        <f ca="1">IFERROR(__xludf.DUMMYFUNCTION("""COMPUTED_VALUE"""),"19710309AZROT")</f>
        <v>19710309AZROT</v>
      </c>
      <c r="B2302" s="5">
        <f ca="1">IFERROR(__xludf.DUMMYFUNCTION("""COMPUTED_VALUE"""),13)</f>
        <v>13</v>
      </c>
      <c r="C2302" s="5" t="str">
        <f ca="1">IFERROR(__xludf.DUMMYFUNCTION("""COMPUTED_VALUE"""),"Male")</f>
        <v>Male</v>
      </c>
      <c r="D2302" s="5"/>
      <c r="E2302" s="5" t="str">
        <f ca="1">IFERROR(__xludf.DUMMYFUNCTION("""COMPUTED_VALUE"""),"Student")</f>
        <v>Student</v>
      </c>
      <c r="F2302" s="5" t="str">
        <f ca="1">IFERROR(__xludf.DUMMYFUNCTION("""COMPUTED_VALUE"""),"Unknown")</f>
        <v>Unknown</v>
      </c>
      <c r="G2302" s="5" t="str">
        <f ca="1">IFERROR(__xludf.DUMMYFUNCTION("""COMPUTED_VALUE"""),"No")</f>
        <v>No</v>
      </c>
      <c r="H2302" s="5" t="str">
        <f ca="1">IFERROR(__xludf.DUMMYFUNCTION("""COMPUTED_VALUE"""),"None")</f>
        <v>None</v>
      </c>
    </row>
    <row r="2303" spans="1:8">
      <c r="A2303" s="5" t="str">
        <f ca="1">IFERROR(__xludf.DUMMYFUNCTION("""COMPUTED_VALUE"""),"19710225OHFRC")</f>
        <v>19710225OHFRC</v>
      </c>
      <c r="B2303" s="5" t="str">
        <f ca="1">IFERROR(__xludf.DUMMYFUNCTION("""COMPUTED_VALUE"""),"Teen")</f>
        <v>Teen</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c r="A2304" s="5" t="str">
        <f ca="1">IFERROR(__xludf.DUMMYFUNCTION("""COMPUTED_VALUE"""),"19710210TXOAD")</f>
        <v>19710210TXOAD</v>
      </c>
      <c r="B2304" s="5">
        <f ca="1">IFERROR(__xludf.DUMMYFUNCTION("""COMPUTED_VALUE"""),17)</f>
        <v>17</v>
      </c>
      <c r="C2304" s="5" t="str">
        <f ca="1">IFERROR(__xludf.DUMMYFUNCTION("""COMPUTED_VALUE"""),"Male")</f>
        <v>Male</v>
      </c>
      <c r="D2304" s="5"/>
      <c r="E2304" s="5" t="str">
        <f ca="1">IFERROR(__xludf.DUMMYFUNCTION("""COMPUTED_VALUE"""),"Student")</f>
        <v>Student</v>
      </c>
      <c r="F2304" s="5" t="str">
        <f ca="1">IFERROR(__xludf.DUMMYFUNCTION("""COMPUTED_VALUE"""),"Unknown")</f>
        <v>Unknown</v>
      </c>
      <c r="G2304" s="5" t="str">
        <f ca="1">IFERROR(__xludf.DUMMYFUNCTION("""COMPUTED_VALUE"""),"No")</f>
        <v>No</v>
      </c>
      <c r="H2304" s="5" t="str">
        <f ca="1">IFERROR(__xludf.DUMMYFUNCTION("""COMPUTED_VALUE"""),"None")</f>
        <v>None</v>
      </c>
    </row>
    <row r="2305" spans="1:8">
      <c r="A2305" s="5" t="str">
        <f ca="1">IFERROR(__xludf.DUMMYFUNCTION("""COMPUTED_VALUE"""),"19710205PAJOW")</f>
        <v>19710205PAJOW</v>
      </c>
      <c r="B2305" s="5">
        <f ca="1">IFERROR(__xludf.DUMMYFUNCTION("""COMPUTED_VALUE"""),14)</f>
        <v>14</v>
      </c>
      <c r="C2305" s="5" t="str">
        <f ca="1">IFERROR(__xludf.DUMMYFUNCTION("""COMPUTED_VALUE"""),"Male")</f>
        <v>Male</v>
      </c>
      <c r="D2305" s="5"/>
      <c r="E2305" s="5" t="str">
        <f ca="1">IFERROR(__xludf.DUMMYFUNCTION("""COMPUTED_VALUE"""),"Student")</f>
        <v>Student</v>
      </c>
      <c r="F2305" s="5" t="str">
        <f ca="1">IFERROR(__xludf.DUMMYFUNCTION("""COMPUTED_VALUE"""),"Unknown")</f>
        <v>Unknown</v>
      </c>
      <c r="G2305" s="5" t="str">
        <f ca="1">IFERROR(__xludf.DUMMYFUNCTION("""COMPUTED_VALUE"""),"No")</f>
        <v>No</v>
      </c>
      <c r="H2305" s="5" t="str">
        <f ca="1">IFERROR(__xludf.DUMMYFUNCTION("""COMPUTED_VALUE"""),"None")</f>
        <v>None</v>
      </c>
    </row>
    <row r="2306" spans="1:8">
      <c r="A2306" s="5" t="str">
        <f ca="1">IFERROR(__xludf.DUMMYFUNCTION("""COMPUTED_VALUE"""),"19710202PAMOP")</f>
        <v>19710202PAMOP</v>
      </c>
      <c r="B2306" s="5">
        <f ca="1">IFERROR(__xludf.DUMMYFUNCTION("""COMPUTED_VALUE"""),14)</f>
        <v>14</v>
      </c>
      <c r="C2306" s="5" t="str">
        <f ca="1">IFERROR(__xludf.DUMMYFUNCTION("""COMPUTED_VALUE"""),"Male")</f>
        <v>Male</v>
      </c>
      <c r="D2306" s="5" t="str">
        <f ca="1">IFERROR(__xludf.DUMMYFUNCTION("""COMPUTED_VALUE"""),"Black")</f>
        <v>Black</v>
      </c>
      <c r="E2306" s="5" t="str">
        <f ca="1">IFERROR(__xludf.DUMMYFUNCTION("""COMPUTED_VALUE"""),"Student")</f>
        <v>Student</v>
      </c>
      <c r="F2306" s="5" t="str">
        <f ca="1">IFERROR(__xludf.DUMMYFUNCTION("""COMPUTED_VALUE"""),"Fled/Apprehended")</f>
        <v>Fled/Apprehended</v>
      </c>
      <c r="G2306" s="5" t="str">
        <f ca="1">IFERROR(__xludf.DUMMYFUNCTION("""COMPUTED_VALUE"""),"No")</f>
        <v>No</v>
      </c>
      <c r="H2306" s="5" t="str">
        <f ca="1">IFERROR(__xludf.DUMMYFUNCTION("""COMPUTED_VALUE"""),"None")</f>
        <v>None</v>
      </c>
    </row>
    <row r="2307" spans="1:8">
      <c r="A2307" s="5" t="str">
        <f ca="1">IFERROR(__xludf.DUMMYFUNCTION("""COMPUTED_VALUE"""),"19701212WIXAA")</f>
        <v>19701212WIXAA</v>
      </c>
      <c r="B2307" s="5" t="str">
        <f ca="1">IFERROR(__xludf.DUMMYFUNCTION("""COMPUTED_VALUE"""),"Adult")</f>
        <v>Adult</v>
      </c>
      <c r="C2307" s="5"/>
      <c r="D2307" s="5"/>
      <c r="E2307" s="5" t="str">
        <f ca="1">IFERROR(__xludf.DUMMYFUNCTION("""COMPUTED_VALUE"""),"Police Officer/SRO")</f>
        <v>Police Officer/SRO</v>
      </c>
      <c r="F2307" s="5" t="str">
        <f ca="1">IFERROR(__xludf.DUMMYFUNCTION("""COMPUTED_VALUE"""),"Law Enforcement")</f>
        <v>Law Enforcement</v>
      </c>
      <c r="G2307" s="5" t="str">
        <f ca="1">IFERROR(__xludf.DUMMYFUNCTION("""COMPUTED_VALUE"""),"No")</f>
        <v>No</v>
      </c>
      <c r="H2307" s="5" t="str">
        <f ca="1">IFERROR(__xludf.DUMMYFUNCTION("""COMPUTED_VALUE"""),"None")</f>
        <v>None</v>
      </c>
    </row>
    <row r="2308" spans="1:8">
      <c r="A2308" s="5" t="str">
        <f ca="1">IFERROR(__xludf.DUMMYFUNCTION("""COMPUTED_VALUE"""),"19701120ILHAC")</f>
        <v>19701120ILHAC</v>
      </c>
      <c r="B2308" s="5">
        <f ca="1">IFERROR(__xludf.DUMMYFUNCTION("""COMPUTED_VALUE"""),15)</f>
        <v>15</v>
      </c>
      <c r="C2308" s="5" t="str">
        <f ca="1">IFERROR(__xludf.DUMMYFUNCTION("""COMPUTED_VALUE"""),"Male")</f>
        <v>Male</v>
      </c>
      <c r="D2308" s="5"/>
      <c r="E2308" s="5" t="str">
        <f ca="1">IFERROR(__xludf.DUMMYFUNCTION("""COMPUTED_VALUE"""),"Student")</f>
        <v>Student</v>
      </c>
      <c r="F2308" s="5" t="str">
        <f ca="1">IFERROR(__xludf.DUMMYFUNCTION("""COMPUTED_VALUE"""),"Fled/Apprehended")</f>
        <v>Fled/Apprehended</v>
      </c>
      <c r="G2308" s="5" t="str">
        <f ca="1">IFERROR(__xludf.DUMMYFUNCTION("""COMPUTED_VALUE"""),"No")</f>
        <v>No</v>
      </c>
      <c r="H2308" s="5" t="str">
        <f ca="1">IFERROR(__xludf.DUMMYFUNCTION("""COMPUTED_VALUE"""),"None")</f>
        <v>None</v>
      </c>
    </row>
    <row r="2309" spans="1:8">
      <c r="A2309" s="5" t="str">
        <f ca="1">IFERROR(__xludf.DUMMYFUNCTION("""COMPUTED_VALUE"""),"19701027OHAPM")</f>
        <v>19701027OHAPM</v>
      </c>
      <c r="B2309" s="5">
        <f ca="1">IFERROR(__xludf.DUMMYFUNCTION("""COMPUTED_VALUE"""),13)</f>
        <v>13</v>
      </c>
      <c r="C2309" s="5" t="str">
        <f ca="1">IFERROR(__xludf.DUMMYFUNCTION("""COMPUTED_VALUE"""),"Male")</f>
        <v>Male</v>
      </c>
      <c r="D2309" s="5"/>
      <c r="E2309" s="5" t="str">
        <f ca="1">IFERROR(__xludf.DUMMYFUNCTION("""COMPUTED_VALUE"""),"Student")</f>
        <v>Student</v>
      </c>
      <c r="F2309" s="5" t="str">
        <f ca="1">IFERROR(__xludf.DUMMYFUNCTION("""COMPUTED_VALUE"""),"Fled/Apprehended")</f>
        <v>Fled/Apprehended</v>
      </c>
      <c r="G2309" s="5" t="str">
        <f ca="1">IFERROR(__xludf.DUMMYFUNCTION("""COMPUTED_VALUE"""),"No")</f>
        <v>No</v>
      </c>
      <c r="H2309" s="5" t="str">
        <f ca="1">IFERROR(__xludf.DUMMYFUNCTION("""COMPUTED_VALUE"""),"None")</f>
        <v>None</v>
      </c>
    </row>
    <row r="2310" spans="1:8">
      <c r="A2310" s="5" t="str">
        <f ca="1">IFERROR(__xludf.DUMMYFUNCTION("""COMPUTED_VALUE"""),"19701020TNWAN")</f>
        <v>19701020TNWAN</v>
      </c>
      <c r="B2310" s="5">
        <f ca="1">IFERROR(__xludf.DUMMYFUNCTION("""COMPUTED_VALUE"""),13)</f>
        <v>13</v>
      </c>
      <c r="C2310" s="5" t="str">
        <f ca="1">IFERROR(__xludf.DUMMYFUNCTION("""COMPUTED_VALUE"""),"Male")</f>
        <v>Male</v>
      </c>
      <c r="D2310" s="5"/>
      <c r="E2310" s="5" t="str">
        <f ca="1">IFERROR(__xludf.DUMMYFUNCTION("""COMPUTED_VALUE"""),"Student")</f>
        <v>Student</v>
      </c>
      <c r="F2310" s="5" t="str">
        <f ca="1">IFERROR(__xludf.DUMMYFUNCTION("""COMPUTED_VALUE"""),"Unknown")</f>
        <v>Unknown</v>
      </c>
      <c r="G2310" s="5" t="str">
        <f ca="1">IFERROR(__xludf.DUMMYFUNCTION("""COMPUTED_VALUE"""),"No")</f>
        <v>No</v>
      </c>
      <c r="H2310" s="5" t="str">
        <f ca="1">IFERROR(__xludf.DUMMYFUNCTION("""COMPUTED_VALUE"""),"None")</f>
        <v>None</v>
      </c>
    </row>
    <row r="2311" spans="1:8">
      <c r="A2311" s="5" t="str">
        <f ca="1">IFERROR(__xludf.DUMMYFUNCTION("""COMPUTED_VALUE"""),"19701019TNBOM")</f>
        <v>19701019TNBOM</v>
      </c>
      <c r="B2311" s="5">
        <f ca="1">IFERROR(__xludf.DUMMYFUNCTION("""COMPUTED_VALUE"""),17)</f>
        <v>17</v>
      </c>
      <c r="C2311" s="5" t="str">
        <f ca="1">IFERROR(__xludf.DUMMYFUNCTION("""COMPUTED_VALUE"""),"Male")</f>
        <v>Male</v>
      </c>
      <c r="D2311" s="5"/>
      <c r="E2311" s="5" t="str">
        <f ca="1">IFERROR(__xludf.DUMMYFUNCTION("""COMPUTED_VALUE"""),"Student")</f>
        <v>Student</v>
      </c>
      <c r="F2311" s="5" t="str">
        <f ca="1">IFERROR(__xludf.DUMMYFUNCTION("""COMPUTED_VALUE"""),"Fled/Apprehended")</f>
        <v>Fled/Apprehended</v>
      </c>
      <c r="G2311" s="5" t="str">
        <f ca="1">IFERROR(__xludf.DUMMYFUNCTION("""COMPUTED_VALUE"""),"No")</f>
        <v>No</v>
      </c>
      <c r="H2311" s="5" t="str">
        <f ca="1">IFERROR(__xludf.DUMMYFUNCTION("""COMPUTED_VALUE"""),"None")</f>
        <v>None</v>
      </c>
    </row>
    <row r="2312" spans="1:8">
      <c r="A2312" s="5" t="str">
        <f ca="1">IFERROR(__xludf.DUMMYFUNCTION("""COMPUTED_VALUE"""),"19701005MIPOD")</f>
        <v>19701005MIPOD</v>
      </c>
      <c r="B2312" s="5" t="str">
        <f ca="1">IFERROR(__xludf.DUMMYFUNCTION("""COMPUTED_VALUE"""),"Teen")</f>
        <v>Teen</v>
      </c>
      <c r="C2312" s="5" t="str">
        <f ca="1">IFERROR(__xludf.DUMMYFUNCTION("""COMPUTED_VALUE"""),"Male")</f>
        <v>Male</v>
      </c>
      <c r="D2312" s="5"/>
      <c r="E2312" s="5" t="str">
        <f ca="1">IFERROR(__xludf.DUMMYFUNCTION("""COMPUTED_VALUE"""),"Student")</f>
        <v>Student</v>
      </c>
      <c r="F2312" s="5" t="str">
        <f ca="1">IFERROR(__xludf.DUMMYFUNCTION("""COMPUTED_VALUE"""),"Fled/Escaped")</f>
        <v>Fled/Escaped</v>
      </c>
      <c r="G2312" s="5" t="str">
        <f ca="1">IFERROR(__xludf.DUMMYFUNCTION("""COMPUTED_VALUE"""),"No")</f>
        <v>No</v>
      </c>
      <c r="H2312" s="5" t="str">
        <f ca="1">IFERROR(__xludf.DUMMYFUNCTION("""COMPUTED_VALUE"""),"None")</f>
        <v>None</v>
      </c>
    </row>
    <row r="2313" spans="1:8">
      <c r="A2313" s="5" t="str">
        <f ca="1">IFERROR(__xludf.DUMMYFUNCTION("""COMPUTED_VALUE"""),"19700928IACED")</f>
        <v>19700928IACED</v>
      </c>
      <c r="B2313" s="5">
        <f ca="1">IFERROR(__xludf.DUMMYFUNCTION("""COMPUTED_VALUE"""),17)</f>
        <v>17</v>
      </c>
      <c r="C2313" s="5" t="str">
        <f ca="1">IFERROR(__xludf.DUMMYFUNCTION("""COMPUTED_VALUE"""),"Male")</f>
        <v>Male</v>
      </c>
      <c r="D2313" s="5"/>
      <c r="E2313" s="5" t="str">
        <f ca="1">IFERROR(__xludf.DUMMYFUNCTION("""COMPUTED_VALUE"""),"Student")</f>
        <v>Student</v>
      </c>
      <c r="F2313" s="5" t="str">
        <f ca="1">IFERROR(__xludf.DUMMYFUNCTION("""COMPUTED_VALUE"""),"Fled/Apprehended")</f>
        <v>Fled/Apprehended</v>
      </c>
      <c r="G2313" s="5" t="str">
        <f ca="1">IFERROR(__xludf.DUMMYFUNCTION("""COMPUTED_VALUE"""),"No")</f>
        <v>No</v>
      </c>
      <c r="H2313" s="5" t="str">
        <f ca="1">IFERROR(__xludf.DUMMYFUNCTION("""COMPUTED_VALUE"""),"None")</f>
        <v>None</v>
      </c>
    </row>
    <row r="2314" spans="1:8">
      <c r="A2314" s="5" t="str">
        <f ca="1">IFERROR(__xludf.DUMMYFUNCTION("""COMPUTED_VALUE"""),"19700924IDMEM")</f>
        <v>19700924IDMEM</v>
      </c>
      <c r="B2314" s="5"/>
      <c r="C2314" s="5"/>
      <c r="D2314" s="5"/>
      <c r="E2314" s="5" t="str">
        <f ca="1">IFERROR(__xludf.DUMMYFUNCTION("""COMPUTED_VALUE"""),"Unknown")</f>
        <v>Unknown</v>
      </c>
      <c r="F2314" s="5" t="str">
        <f ca="1">IFERROR(__xludf.DUMMYFUNCTION("""COMPUTED_VALUE"""),"Unknown")</f>
        <v>Unknown</v>
      </c>
      <c r="G2314" s="5" t="str">
        <f ca="1">IFERROR(__xludf.DUMMYFUNCTION("""COMPUTED_VALUE"""),"No")</f>
        <v>No</v>
      </c>
      <c r="H2314" s="5" t="str">
        <f ca="1">IFERROR(__xludf.DUMMYFUNCTION("""COMPUTED_VALUE"""),"None")</f>
        <v>None</v>
      </c>
    </row>
    <row r="2315" spans="1:8">
      <c r="A2315" s="5" t="str">
        <f ca="1">IFERROR(__xludf.DUMMYFUNCTION("""COMPUTED_VALUE"""),"19700914TNHAN")</f>
        <v>19700914TNHAN</v>
      </c>
      <c r="B2315" s="5">
        <f ca="1">IFERROR(__xludf.DUMMYFUNCTION("""COMPUTED_VALUE"""),18)</f>
        <v>18</v>
      </c>
      <c r="C2315" s="5" t="str">
        <f ca="1">IFERROR(__xludf.DUMMYFUNCTION("""COMPUTED_VALUE"""),"Male")</f>
        <v>Male</v>
      </c>
      <c r="D2315" s="5" t="str">
        <f ca="1">IFERROR(__xludf.DUMMYFUNCTION("""COMPUTED_VALUE"""),"Black")</f>
        <v>Black</v>
      </c>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c r="A2316" s="5" t="str">
        <f ca="1">IFERROR(__xludf.DUMMYFUNCTION("""COMPUTED_VALUE"""),"19700831FLALM")</f>
        <v>19700831FLALM</v>
      </c>
      <c r="B2316" s="5">
        <f ca="1">IFERROR(__xludf.DUMMYFUNCTION("""COMPUTED_VALUE"""),27)</f>
        <v>27</v>
      </c>
      <c r="C2316" s="5" t="str">
        <f ca="1">IFERROR(__xludf.DUMMYFUNCTION("""COMPUTED_VALUE"""),"Male")</f>
        <v>Male</v>
      </c>
      <c r="D2316" s="5" t="str">
        <f ca="1">IFERROR(__xludf.DUMMYFUNCTION("""COMPUTED_VALUE"""),"Black")</f>
        <v>Black</v>
      </c>
      <c r="E2316" s="5" t="str">
        <f ca="1">IFERROR(__xludf.DUMMYFUNCTION("""COMPUTED_VALUE"""),"No Relation")</f>
        <v>No Relation</v>
      </c>
      <c r="F2316" s="5" t="str">
        <f ca="1">IFERROR(__xludf.DUMMYFUNCTION("""COMPUTED_VALUE"""),"Apprehended/Killed by LE")</f>
        <v>Apprehended/Killed by LE</v>
      </c>
      <c r="G2316" s="5" t="str">
        <f ca="1">IFERROR(__xludf.DUMMYFUNCTION("""COMPUTED_VALUE"""),"No")</f>
        <v>No</v>
      </c>
      <c r="H2316" s="5" t="str">
        <f ca="1">IFERROR(__xludf.DUMMYFUNCTION("""COMPUTED_VALUE"""),"None")</f>
        <v>None</v>
      </c>
    </row>
    <row r="2317" spans="1:8">
      <c r="A2317" s="5" t="str">
        <f ca="1">IFERROR(__xludf.DUMMYFUNCTION("""COMPUTED_VALUE"""),"19700828TXRIE")</f>
        <v>19700828TXRIE</v>
      </c>
      <c r="B2317" s="5">
        <f ca="1">IFERROR(__xludf.DUMMYFUNCTION("""COMPUTED_VALUE"""),15)</f>
        <v>15</v>
      </c>
      <c r="C2317" s="5" t="str">
        <f ca="1">IFERROR(__xludf.DUMMYFUNCTION("""COMPUTED_VALUE"""),"Male")</f>
        <v>Male</v>
      </c>
      <c r="D2317" s="5"/>
      <c r="E2317" s="5" t="str">
        <f ca="1">IFERROR(__xludf.DUMMYFUNCTION("""COMPUTED_VALUE"""),"Student")</f>
        <v>Student</v>
      </c>
      <c r="F2317" s="5" t="str">
        <f ca="1">IFERROR(__xludf.DUMMYFUNCTION("""COMPUTED_VALUE"""),"Fled/Apprehended")</f>
        <v>Fled/Apprehended</v>
      </c>
      <c r="G2317" s="5" t="str">
        <f ca="1">IFERROR(__xludf.DUMMYFUNCTION("""COMPUTED_VALUE"""),"No")</f>
        <v>No</v>
      </c>
      <c r="H2317" s="5" t="str">
        <f ca="1">IFERROR(__xludf.DUMMYFUNCTION("""COMPUTED_VALUE"""),"None")</f>
        <v>None</v>
      </c>
    </row>
    <row r="2318" spans="1:8">
      <c r="A2318" s="5" t="str">
        <f ca="1">IFERROR(__xludf.DUMMYFUNCTION("""COMPUTED_VALUE"""),"19700828TXRIE")</f>
        <v>19700828TXRIE</v>
      </c>
      <c r="B2318" s="5">
        <f ca="1">IFERROR(__xludf.DUMMYFUNCTION("""COMPUTED_VALUE"""),16)</f>
        <v>16</v>
      </c>
      <c r="C2318" s="5" t="str">
        <f ca="1">IFERROR(__xludf.DUMMYFUNCTION("""COMPUTED_VALUE"""),"Male")</f>
        <v>Male</v>
      </c>
      <c r="D2318" s="5"/>
      <c r="E2318" s="5" t="str">
        <f ca="1">IFERROR(__xludf.DUMMYFUNCTION("""COMPUTED_VALUE"""),"Student")</f>
        <v>Student</v>
      </c>
      <c r="F2318" s="5" t="str">
        <f ca="1">IFERROR(__xludf.DUMMYFUNCTION("""COMPUTED_VALUE"""),"Fled/Apprehended")</f>
        <v>Fled/Apprehended</v>
      </c>
      <c r="G2318" s="5" t="str">
        <f ca="1">IFERROR(__xludf.DUMMYFUNCTION("""COMPUTED_VALUE"""),"No")</f>
        <v>No</v>
      </c>
      <c r="H2318" s="5" t="str">
        <f ca="1">IFERROR(__xludf.DUMMYFUNCTION("""COMPUTED_VALUE"""),"None")</f>
        <v>None</v>
      </c>
    </row>
    <row r="2319" spans="1:8">
      <c r="A2319" s="5" t="str">
        <f ca="1">IFERROR(__xludf.DUMMYFUNCTION("""COMPUTED_VALUE"""),"19700515UTBEO")</f>
        <v>19700515UTBEO</v>
      </c>
      <c r="B2319" s="5">
        <f ca="1">IFERROR(__xludf.DUMMYFUNCTION("""COMPUTED_VALUE"""),15)</f>
        <v>15</v>
      </c>
      <c r="C2319" s="5" t="str">
        <f ca="1">IFERROR(__xludf.DUMMYFUNCTION("""COMPUTED_VALUE"""),"Male")</f>
        <v>Male</v>
      </c>
      <c r="D2319" s="5" t="str">
        <f ca="1">IFERROR(__xludf.DUMMYFUNCTION("""COMPUTED_VALUE"""),"White")</f>
        <v>White</v>
      </c>
      <c r="E2319" s="5" t="str">
        <f ca="1">IFERROR(__xludf.DUMMYFUNCTION("""COMPUTED_VALUE"""),"Student")</f>
        <v>Student</v>
      </c>
      <c r="F2319" s="5" t="str">
        <f ca="1">IFERROR(__xludf.DUMMYFUNCTION("""COMPUTED_VALUE"""),"Unknown")</f>
        <v>Unknown</v>
      </c>
      <c r="G2319" s="5" t="str">
        <f ca="1">IFERROR(__xludf.DUMMYFUNCTION("""COMPUTED_VALUE"""),"No")</f>
        <v>No</v>
      </c>
      <c r="H2319" s="5" t="str">
        <f ca="1">IFERROR(__xludf.DUMMYFUNCTION("""COMPUTED_VALUE"""),"None")</f>
        <v>None</v>
      </c>
    </row>
    <row r="2320" spans="1:8">
      <c r="A2320" s="5" t="str">
        <f ca="1">IFERROR(__xludf.DUMMYFUNCTION("""COMPUTED_VALUE"""),"19700508FLCAD")</f>
        <v>19700508FLCAD</v>
      </c>
      <c r="B2320" s="5">
        <f ca="1">IFERROR(__xludf.DUMMYFUNCTION("""COMPUTED_VALUE"""),18)</f>
        <v>18</v>
      </c>
      <c r="C2320" s="5" t="str">
        <f ca="1">IFERROR(__xludf.DUMMYFUNCTION("""COMPUTED_VALUE"""),"Male")</f>
        <v>Male</v>
      </c>
      <c r="D2320" s="5" t="str">
        <f ca="1">IFERROR(__xludf.DUMMYFUNCTION("""COMPUTED_VALUE"""),"Hispanic")</f>
        <v>Hispanic</v>
      </c>
      <c r="E2320" s="5" t="str">
        <f ca="1">IFERROR(__xludf.DUMMYFUNCTION("""COMPUTED_VALUE"""),"Student")</f>
        <v>Student</v>
      </c>
      <c r="F2320" s="5" t="str">
        <f ca="1">IFERROR(__xludf.DUMMYFUNCTION("""COMPUTED_VALUE"""),"Fled/Apprehended")</f>
        <v>Fled/Apprehended</v>
      </c>
      <c r="G2320" s="5" t="str">
        <f ca="1">IFERROR(__xludf.DUMMYFUNCTION("""COMPUTED_VALUE"""),"No")</f>
        <v>No</v>
      </c>
      <c r="H2320" s="5" t="str">
        <f ca="1">IFERROR(__xludf.DUMMYFUNCTION("""COMPUTED_VALUE"""),"None")</f>
        <v>None</v>
      </c>
    </row>
    <row r="2321" spans="1:8">
      <c r="A2321" s="5" t="str">
        <f ca="1">IFERROR(__xludf.DUMMYFUNCTION("""COMPUTED_VALUE"""),"19700422DEPIW")</f>
        <v>19700422DEPIW</v>
      </c>
      <c r="B2321" s="5">
        <f ca="1">IFERROR(__xludf.DUMMYFUNCTION("""COMPUTED_VALUE"""),16)</f>
        <v>16</v>
      </c>
      <c r="C2321" s="5" t="str">
        <f ca="1">IFERROR(__xludf.DUMMYFUNCTION("""COMPUTED_VALUE"""),"Male")</f>
        <v>Male</v>
      </c>
      <c r="D2321" s="5" t="str">
        <f ca="1">IFERROR(__xludf.DUMMYFUNCTION("""COMPUTED_VALUE"""),"Hispanic")</f>
        <v>Hispanic</v>
      </c>
      <c r="E2321" s="5" t="str">
        <f ca="1">IFERROR(__xludf.DUMMYFUNCTION("""COMPUTED_VALUE"""),"Student")</f>
        <v>Student</v>
      </c>
      <c r="F2321" s="5" t="str">
        <f ca="1">IFERROR(__xludf.DUMMYFUNCTION("""COMPUTED_VALUE"""),"Fled/Apprehended")</f>
        <v>Fled/Apprehended</v>
      </c>
      <c r="G2321" s="5" t="str">
        <f ca="1">IFERROR(__xludf.DUMMYFUNCTION("""COMPUTED_VALUE"""),"No")</f>
        <v>No</v>
      </c>
      <c r="H2321" s="5" t="str">
        <f ca="1">IFERROR(__xludf.DUMMYFUNCTION("""COMPUTED_VALUE"""),"None")</f>
        <v>None</v>
      </c>
    </row>
    <row r="2322" spans="1:8">
      <c r="A2322" s="5" t="str">
        <f ca="1">IFERROR(__xludf.DUMMYFUNCTION("""COMPUTED_VALUE"""),"19700415ARPIP")</f>
        <v>19700415ARPIP</v>
      </c>
      <c r="B2322" s="5">
        <f ca="1">IFERROR(__xludf.DUMMYFUNCTION("""COMPUTED_VALUE"""),18)</f>
        <v>18</v>
      </c>
      <c r="C2322" s="5" t="str">
        <f ca="1">IFERROR(__xludf.DUMMYFUNCTION("""COMPUTED_VALUE"""),"Male")</f>
        <v>Male</v>
      </c>
      <c r="D2322" s="5"/>
      <c r="E2322" s="5" t="str">
        <f ca="1">IFERROR(__xludf.DUMMYFUNCTION("""COMPUTED_VALUE"""),"No Relation")</f>
        <v>No Relation</v>
      </c>
      <c r="F2322" s="5" t="str">
        <f ca="1">IFERROR(__xludf.DUMMYFUNCTION("""COMPUTED_VALUE"""),"Fled/Apprehended")</f>
        <v>Fled/Apprehended</v>
      </c>
      <c r="G2322" s="5" t="str">
        <f ca="1">IFERROR(__xludf.DUMMYFUNCTION("""COMPUTED_VALUE"""),"No")</f>
        <v>No</v>
      </c>
      <c r="H2322" s="5" t="str">
        <f ca="1">IFERROR(__xludf.DUMMYFUNCTION("""COMPUTED_VALUE"""),"None")</f>
        <v>None</v>
      </c>
    </row>
    <row r="2323" spans="1:8">
      <c r="A2323" s="5" t="str">
        <f ca="1">IFERROR(__xludf.DUMMYFUNCTION("""COMPUTED_VALUE"""),"19700415ARPIP")</f>
        <v>19700415ARPIP</v>
      </c>
      <c r="B2323" s="5" t="str">
        <f ca="1">IFERROR(__xludf.DUMMYFUNCTION("""COMPUTED_VALUE"""),"Teen")</f>
        <v>Teen</v>
      </c>
      <c r="C2323" s="5" t="str">
        <f ca="1">IFERROR(__xludf.DUMMYFUNCTION("""COMPUTED_VALUE"""),"Male")</f>
        <v>Male</v>
      </c>
      <c r="D2323" s="5"/>
      <c r="E2323" s="5" t="str">
        <f ca="1">IFERROR(__xludf.DUMMYFUNCTION("""COMPUTED_VALUE"""),"No Relation")</f>
        <v>No Relation</v>
      </c>
      <c r="F2323" s="5" t="str">
        <f ca="1">IFERROR(__xludf.DUMMYFUNCTION("""COMPUTED_VALUE"""),"Fled/Apprehended")</f>
        <v>Fled/Apprehended</v>
      </c>
      <c r="G2323" s="5" t="str">
        <f ca="1">IFERROR(__xludf.DUMMYFUNCTION("""COMPUTED_VALUE"""),"No")</f>
        <v>No</v>
      </c>
      <c r="H2323" s="5" t="str">
        <f ca="1">IFERROR(__xludf.DUMMYFUNCTION("""COMPUTED_VALUE"""),"None")</f>
        <v>None</v>
      </c>
    </row>
    <row r="2324" spans="1:8">
      <c r="A2324" s="5" t="str">
        <f ca="1">IFERROR(__xludf.DUMMYFUNCTION("""COMPUTED_VALUE"""),"19700415ARPIP")</f>
        <v>19700415ARPIP</v>
      </c>
      <c r="B2324" s="5" t="str">
        <f ca="1">IFERROR(__xludf.DUMMYFUNCTION("""COMPUTED_VALUE"""),"Adult")</f>
        <v>Adult</v>
      </c>
      <c r="C2324" s="5" t="str">
        <f ca="1">IFERROR(__xludf.DUMMYFUNCTION("""COMPUTED_VALUE"""),"Male")</f>
        <v>Male</v>
      </c>
      <c r="D2324" s="5"/>
      <c r="E2324" s="5" t="str">
        <f ca="1">IFERROR(__xludf.DUMMYFUNCTION("""COMPUTED_VALUE"""),"No Relation")</f>
        <v>No Relation</v>
      </c>
      <c r="F2324" s="5" t="str">
        <f ca="1">IFERROR(__xludf.DUMMYFUNCTION("""COMPUTED_VALUE"""),"Fled/Apprehended")</f>
        <v>Fled/Apprehended</v>
      </c>
      <c r="G2324" s="5" t="str">
        <f ca="1">IFERROR(__xludf.DUMMYFUNCTION("""COMPUTED_VALUE"""),"No")</f>
        <v>No</v>
      </c>
      <c r="H2324" s="5" t="str">
        <f ca="1">IFERROR(__xludf.DUMMYFUNCTION("""COMPUTED_VALUE"""),"None")</f>
        <v>None</v>
      </c>
    </row>
    <row r="2325" spans="1:8">
      <c r="A2325" s="5" t="str">
        <f ca="1">IFERROR(__xludf.DUMMYFUNCTION("""COMPUTED_VALUE"""),"19700415ARPIP")</f>
        <v>19700415ARPIP</v>
      </c>
      <c r="B2325" s="5" t="str">
        <f ca="1">IFERROR(__xludf.DUMMYFUNCTION("""COMPUTED_VALUE"""),"Adult")</f>
        <v>Adult</v>
      </c>
      <c r="C2325" s="5" t="str">
        <f ca="1">IFERROR(__xludf.DUMMYFUNCTION("""COMPUTED_VALUE"""),"Male")</f>
        <v>Male</v>
      </c>
      <c r="D2325" s="5"/>
      <c r="E2325" s="5" t="str">
        <f ca="1">IFERROR(__xludf.DUMMYFUNCTION("""COMPUTED_VALUE"""),"No Relation")</f>
        <v>No Relation</v>
      </c>
      <c r="F2325" s="5" t="str">
        <f ca="1">IFERROR(__xludf.DUMMYFUNCTION("""COMPUTED_VALUE"""),"Fled/Apprehended")</f>
        <v>Fled/Apprehended</v>
      </c>
      <c r="G2325" s="5" t="str">
        <f ca="1">IFERROR(__xludf.DUMMYFUNCTION("""COMPUTED_VALUE"""),"No")</f>
        <v>No</v>
      </c>
      <c r="H2325" s="5" t="str">
        <f ca="1">IFERROR(__xludf.DUMMYFUNCTION("""COMPUTED_VALUE"""),"None")</f>
        <v>None</v>
      </c>
    </row>
    <row r="2326" spans="1:8">
      <c r="A2326" s="5" t="str">
        <f ca="1">IFERROR(__xludf.DUMMYFUNCTION("""COMPUTED_VALUE"""),"19700415ARPIP")</f>
        <v>19700415ARPIP</v>
      </c>
      <c r="B2326" s="5" t="str">
        <f ca="1">IFERROR(__xludf.DUMMYFUNCTION("""COMPUTED_VALUE"""),"Adult")</f>
        <v>Adult</v>
      </c>
      <c r="C2326" s="5" t="str">
        <f ca="1">IFERROR(__xludf.DUMMYFUNCTION("""COMPUTED_VALUE"""),"Male")</f>
        <v>Male</v>
      </c>
      <c r="D2326" s="5"/>
      <c r="E2326" s="5" t="str">
        <f ca="1">IFERROR(__xludf.DUMMYFUNCTION("""COMPUTED_VALUE"""),"No Relation")</f>
        <v>No Relation</v>
      </c>
      <c r="F2326" s="5" t="str">
        <f ca="1">IFERROR(__xludf.DUMMYFUNCTION("""COMPUTED_VALUE"""),"Fled/Apprehended")</f>
        <v>Fled/Apprehended</v>
      </c>
      <c r="G2326" s="5" t="str">
        <f ca="1">IFERROR(__xludf.DUMMYFUNCTION("""COMPUTED_VALUE"""),"No")</f>
        <v>No</v>
      </c>
      <c r="H2326" s="5" t="str">
        <f ca="1">IFERROR(__xludf.DUMMYFUNCTION("""COMPUTED_VALUE"""),"None")</f>
        <v>None</v>
      </c>
    </row>
    <row r="2327" spans="1:8">
      <c r="A2327" s="5" t="str">
        <f ca="1">IFERROR(__xludf.DUMMYFUNCTION("""COMPUTED_VALUE"""),"19700415ARPIP")</f>
        <v>19700415ARPIP</v>
      </c>
      <c r="B2327" s="5" t="str">
        <f ca="1">IFERROR(__xludf.DUMMYFUNCTION("""COMPUTED_VALUE"""),"Adult")</f>
        <v>Adult</v>
      </c>
      <c r="C2327" s="5" t="str">
        <f ca="1">IFERROR(__xludf.DUMMYFUNCTION("""COMPUTED_VALUE"""),"Male")</f>
        <v>Male</v>
      </c>
      <c r="D2327" s="5"/>
      <c r="E2327" s="5" t="str">
        <f ca="1">IFERROR(__xludf.DUMMYFUNCTION("""COMPUTED_VALUE"""),"No Relation")</f>
        <v>No Relation</v>
      </c>
      <c r="F2327" s="5" t="str">
        <f ca="1">IFERROR(__xludf.DUMMYFUNCTION("""COMPUTED_VALUE"""),"Fled/Apprehended")</f>
        <v>Fled/Apprehended</v>
      </c>
      <c r="G2327" s="5" t="str">
        <f ca="1">IFERROR(__xludf.DUMMYFUNCTION("""COMPUTED_VALUE"""),"No")</f>
        <v>No</v>
      </c>
      <c r="H2327" s="5" t="str">
        <f ca="1">IFERROR(__xludf.DUMMYFUNCTION("""COMPUTED_VALUE"""),"None")</f>
        <v>None</v>
      </c>
    </row>
    <row r="2328" spans="1:8">
      <c r="A2328" s="5" t="str">
        <f ca="1">IFERROR(__xludf.DUMMYFUNCTION("""COMPUTED_VALUE"""),"19700415ARPIP")</f>
        <v>19700415ARPIP</v>
      </c>
      <c r="B2328" s="5" t="str">
        <f ca="1">IFERROR(__xludf.DUMMYFUNCTION("""COMPUTED_VALUE"""),"Adult")</f>
        <v>Adult</v>
      </c>
      <c r="C2328" s="5" t="str">
        <f ca="1">IFERROR(__xludf.DUMMYFUNCTION("""COMPUTED_VALUE"""),"Male")</f>
        <v>Male</v>
      </c>
      <c r="D2328" s="5"/>
      <c r="E2328" s="5" t="str">
        <f ca="1">IFERROR(__xludf.DUMMYFUNCTION("""COMPUTED_VALUE"""),"No Relation")</f>
        <v>No Relation</v>
      </c>
      <c r="F2328" s="5" t="str">
        <f ca="1">IFERROR(__xludf.DUMMYFUNCTION("""COMPUTED_VALUE"""),"Fled/Apprehended")</f>
        <v>Fled/Apprehended</v>
      </c>
      <c r="G2328" s="5" t="str">
        <f ca="1">IFERROR(__xludf.DUMMYFUNCTION("""COMPUTED_VALUE"""),"No")</f>
        <v>No</v>
      </c>
      <c r="H2328" s="5" t="str">
        <f ca="1">IFERROR(__xludf.DUMMYFUNCTION("""COMPUTED_VALUE"""),"None")</f>
        <v>None</v>
      </c>
    </row>
    <row r="2329" spans="1:8">
      <c r="A2329" s="5" t="str">
        <f ca="1">IFERROR(__xludf.DUMMYFUNCTION("""COMPUTED_VALUE"""),"19700415ARPIP")</f>
        <v>19700415ARPIP</v>
      </c>
      <c r="B2329" s="5" t="str">
        <f ca="1">IFERROR(__xludf.DUMMYFUNCTION("""COMPUTED_VALUE"""),"Adult")</f>
        <v>Adult</v>
      </c>
      <c r="C2329" s="5" t="str">
        <f ca="1">IFERROR(__xludf.DUMMYFUNCTION("""COMPUTED_VALUE"""),"Male")</f>
        <v>Male</v>
      </c>
      <c r="D2329" s="5"/>
      <c r="E2329" s="5" t="str">
        <f ca="1">IFERROR(__xludf.DUMMYFUNCTION("""COMPUTED_VALUE"""),"No Relation")</f>
        <v>No Relation</v>
      </c>
      <c r="F2329" s="5" t="str">
        <f ca="1">IFERROR(__xludf.DUMMYFUNCTION("""COMPUTED_VALUE"""),"Fled/Apprehended")</f>
        <v>Fled/Apprehended</v>
      </c>
      <c r="G2329" s="5" t="str">
        <f ca="1">IFERROR(__xludf.DUMMYFUNCTION("""COMPUTED_VALUE"""),"No")</f>
        <v>No</v>
      </c>
      <c r="H2329" s="5" t="str">
        <f ca="1">IFERROR(__xludf.DUMMYFUNCTION("""COMPUTED_VALUE"""),"None")</f>
        <v>None</v>
      </c>
    </row>
    <row r="2330" spans="1:8">
      <c r="A2330" s="5" t="str">
        <f ca="1">IFERROR(__xludf.DUMMYFUNCTION("""COMPUTED_VALUE"""),"19700323CADAL")</f>
        <v>19700323CADAL</v>
      </c>
      <c r="B2330" s="5">
        <f ca="1">IFERROR(__xludf.DUMMYFUNCTION("""COMPUTED_VALUE"""),16)</f>
        <v>16</v>
      </c>
      <c r="C2330" s="5" t="str">
        <f ca="1">IFERROR(__xludf.DUMMYFUNCTION("""COMPUTED_VALUE"""),"Male")</f>
        <v>Male</v>
      </c>
      <c r="D2330" s="5" t="str">
        <f ca="1">IFERROR(__xludf.DUMMYFUNCTION("""COMPUTED_VALUE"""),"Hispanic")</f>
        <v>Hispanic</v>
      </c>
      <c r="E2330" s="5" t="str">
        <f ca="1">IFERROR(__xludf.DUMMYFUNCTION("""COMPUTED_VALUE"""),"Student")</f>
        <v>Student</v>
      </c>
      <c r="F2330" s="5" t="str">
        <f ca="1">IFERROR(__xludf.DUMMYFUNCTION("""COMPUTED_VALUE"""),"Surrendered")</f>
        <v>Surrendered</v>
      </c>
      <c r="G2330" s="5" t="str">
        <f ca="1">IFERROR(__xludf.DUMMYFUNCTION("""COMPUTED_VALUE"""),"No")</f>
        <v>No</v>
      </c>
      <c r="H2330" s="5" t="str">
        <f ca="1">IFERROR(__xludf.DUMMYFUNCTION("""COMPUTED_VALUE"""),"None")</f>
        <v>None</v>
      </c>
    </row>
    <row r="2331" spans="1:8">
      <c r="A2331" s="5" t="str">
        <f ca="1">IFERROR(__xludf.DUMMYFUNCTION("""COMPUTED_VALUE"""),"19700323CADAL")</f>
        <v>19700323CADAL</v>
      </c>
      <c r="B2331" s="5">
        <f ca="1">IFERROR(__xludf.DUMMYFUNCTION("""COMPUTED_VALUE"""),44)</f>
        <v>44</v>
      </c>
      <c r="C2331" s="5" t="str">
        <f ca="1">IFERROR(__xludf.DUMMYFUNCTION("""COMPUTED_VALUE"""),"Male")</f>
        <v>Male</v>
      </c>
      <c r="D2331" s="5" t="str">
        <f ca="1">IFERROR(__xludf.DUMMYFUNCTION("""COMPUTED_VALUE"""),"Hispanic")</f>
        <v>Hispanic</v>
      </c>
      <c r="E2331" s="5" t="str">
        <f ca="1">IFERROR(__xludf.DUMMYFUNCTION("""COMPUTED_VALUE"""),"Police Officer/SRO")</f>
        <v>Police Officer/SRO</v>
      </c>
      <c r="F2331" s="5" t="str">
        <f ca="1">IFERROR(__xludf.DUMMYFUNCTION("""COMPUTED_VALUE"""),"Surrendered")</f>
        <v>Surrendered</v>
      </c>
      <c r="G2331" s="5" t="str">
        <f ca="1">IFERROR(__xludf.DUMMYFUNCTION("""COMPUTED_VALUE"""),"No")</f>
        <v>No</v>
      </c>
      <c r="H2331" s="5" t="str">
        <f ca="1">IFERROR(__xludf.DUMMYFUNCTION("""COMPUTED_VALUE"""),"None")</f>
        <v>None</v>
      </c>
    </row>
    <row r="2332" spans="1:8">
      <c r="A2332" s="5" t="str">
        <f ca="1">IFERROR(__xludf.DUMMYFUNCTION("""COMPUTED_VALUE"""),"19700206OHJOC")</f>
        <v>19700206OHJOC</v>
      </c>
      <c r="B2332" s="5">
        <f ca="1">IFERROR(__xludf.DUMMYFUNCTION("""COMPUTED_VALUE"""),18)</f>
        <v>18</v>
      </c>
      <c r="C2332" s="5" t="str">
        <f ca="1">IFERROR(__xludf.DUMMYFUNCTION("""COMPUTED_VALUE"""),"Male")</f>
        <v>Male</v>
      </c>
      <c r="D2332" s="5" t="str">
        <f ca="1">IFERROR(__xludf.DUMMYFUNCTION("""COMPUTED_VALUE"""),"Hispanic")</f>
        <v>Hispanic</v>
      </c>
      <c r="E2332" s="5" t="str">
        <f ca="1">IFERROR(__xludf.DUMMYFUNCTION("""COMPUTED_VALUE"""),"Student")</f>
        <v>Student</v>
      </c>
      <c r="F2332" s="5" t="str">
        <f ca="1">IFERROR(__xludf.DUMMYFUNCTION("""COMPUTED_VALUE"""),"Unknown")</f>
        <v>Unknown</v>
      </c>
      <c r="G2332" s="5" t="str">
        <f ca="1">IFERROR(__xludf.DUMMYFUNCTION("""COMPUTED_VALUE"""),"No")</f>
        <v>No</v>
      </c>
      <c r="H2332" s="5" t="str">
        <f ca="1">IFERROR(__xludf.DUMMYFUNCTION("""COMPUTED_VALUE"""),"None")</f>
        <v>None</v>
      </c>
    </row>
    <row r="2333" spans="1:8">
      <c r="A2333" s="5" t="str">
        <f ca="1">IFERROR(__xludf.DUMMYFUNCTION("""COMPUTED_VALUE"""),"19700105DCUNW")</f>
        <v>19700105DCUNW</v>
      </c>
      <c r="B2333" s="5"/>
      <c r="C2333" s="5" t="str">
        <f ca="1">IFERROR(__xludf.DUMMYFUNCTION("""COMPUTED_VALUE"""),"Male")</f>
        <v>Male</v>
      </c>
      <c r="D2333" s="5"/>
      <c r="E2333" s="5" t="str">
        <f ca="1">IFERROR(__xludf.DUMMYFUNCTION("""COMPUTED_VALUE"""),"Student")</f>
        <v>Student</v>
      </c>
      <c r="F2333" s="5" t="str">
        <f ca="1">IFERROR(__xludf.DUMMYFUNCTION("""COMPUTED_VALUE"""),"Fled/Escaped")</f>
        <v>Fled/Escaped</v>
      </c>
      <c r="G2333" s="5" t="str">
        <f ca="1">IFERROR(__xludf.DUMMYFUNCTION("""COMPUTED_VALUE"""),"No")</f>
        <v>No</v>
      </c>
      <c r="H2333" s="5" t="str">
        <f ca="1">IFERROR(__xludf.DUMMYFUNCTION("""COMPUTED_VALUE"""),"None")</f>
        <v>None</v>
      </c>
    </row>
    <row r="2334" spans="1:8">
      <c r="A2334" s="5" t="str">
        <f ca="1">IFERROR(__xludf.DUMMYFUNCTION("""COMPUTED_VALUE"""),"19700105DCSOW")</f>
        <v>19700105DCSOW</v>
      </c>
      <c r="B2334" s="5"/>
      <c r="C2334" s="5" t="str">
        <f ca="1">IFERROR(__xludf.DUMMYFUNCTION("""COMPUTED_VALUE"""),"Male")</f>
        <v>Male</v>
      </c>
      <c r="D2334" s="5"/>
      <c r="E2334" s="5" t="str">
        <f ca="1">IFERROR(__xludf.DUMMYFUNCTION("""COMPUTED_VALUE"""),"Student")</f>
        <v>Student</v>
      </c>
      <c r="F2334" s="5" t="str">
        <f ca="1">IFERROR(__xludf.DUMMYFUNCTION("""COMPUTED_VALUE"""),"Surrendered")</f>
        <v>Surrendered</v>
      </c>
      <c r="G2334" s="5" t="str">
        <f ca="1">IFERROR(__xludf.DUMMYFUNCTION("""COMPUTED_VALUE"""),"No")</f>
        <v>No</v>
      </c>
      <c r="H2334" s="5" t="str">
        <f ca="1">IFERROR(__xludf.DUMMYFUNCTION("""COMPUTED_VALUE"""),"None")</f>
        <v>None</v>
      </c>
    </row>
    <row r="2335" spans="1:8">
      <c r="A2335" s="5" t="str">
        <f ca="1">IFERROR(__xludf.DUMMYFUNCTION("""COMPUTED_VALUE"""),"19700105DCHIW")</f>
        <v>19700105DCHIW</v>
      </c>
      <c r="B2335" s="5">
        <f ca="1">IFERROR(__xludf.DUMMYFUNCTION("""COMPUTED_VALUE"""),15)</f>
        <v>15</v>
      </c>
      <c r="C2335" s="5" t="str">
        <f ca="1">IFERROR(__xludf.DUMMYFUNCTION("""COMPUTED_VALUE"""),"Male")</f>
        <v>Male</v>
      </c>
      <c r="D2335" s="5"/>
      <c r="E2335" s="5" t="str">
        <f ca="1">IFERROR(__xludf.DUMMYFUNCTION("""COMPUTED_VALUE"""),"Student")</f>
        <v>Student</v>
      </c>
      <c r="F2335" s="5" t="str">
        <f ca="1">IFERROR(__xludf.DUMMYFUNCTION("""COMPUTED_VALUE"""),"Unknown")</f>
        <v>Unknown</v>
      </c>
      <c r="G2335" s="5" t="str">
        <f ca="1">IFERROR(__xludf.DUMMYFUNCTION("""COMPUTED_VALUE"""),"No")</f>
        <v>No</v>
      </c>
      <c r="H2335" s="5" t="str">
        <f ca="1">IFERROR(__xludf.DUMMYFUNCTION("""COMPUTED_VALUE"""),"None")</f>
        <v>None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500"/>
  <sheetViews>
    <sheetView workbookViewId="0"/>
  </sheetViews>
  <sheetFormatPr defaultColWidth="12.5703125" defaultRowHeight="15.75" customHeight="1"/>
  <sheetData>
    <row r="1" spans="1:6">
      <c r="A1" s="12" t="str">
        <f ca="1">IFERROR(__xludf.DUMMYFUNCTION("IMPORTRANGE(""https://docs.google.com/spreadsheets/d/13by1rx0kMN24Sm2nKqqR6GsRtIyhgOO8U6IyuCHwhEU/edit#gid=1519919770"", ""Victim!A1:F2500"")"),"Incident_ID")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c r="A2" s="5" t="str">
        <f ca="1">IFERROR(__xludf.DUMMYFUNCTION("""COMPUTED_VALUE"""),"20220904FLBOL")</f>
        <v>20220904FLBOL</v>
      </c>
      <c r="B2" s="5" t="str">
        <f ca="1">IFERROR(__xludf.DUMMYFUNCTION("""COMPUTED_VALUE"""),"Wounded")</f>
        <v>Wounded</v>
      </c>
      <c r="C2" s="5"/>
      <c r="D2" s="5" t="str">
        <f ca="1">IFERROR(__xludf.DUMMYFUNCTION("""COMPUTED_VALUE"""),"Nonstudent Using Athletic Facilities/Attending Game")</f>
        <v>Nonstudent Using Athletic Facilities/Attending Game</v>
      </c>
      <c r="E2" s="5">
        <f ca="1">IFERROR(__xludf.DUMMYFUNCTION("""COMPUTED_VALUE"""),18)</f>
        <v>18</v>
      </c>
      <c r="F2" s="5"/>
    </row>
    <row r="3" spans="1:6">
      <c r="A3" s="5" t="str">
        <f ca="1">IFERROR(__xludf.DUMMYFUNCTION("""COMPUTED_VALUE"""),"20220904FLBOL")</f>
        <v>20220904FLBOL</v>
      </c>
      <c r="B3" s="5" t="str">
        <f ca="1">IFERROR(__xludf.DUMMYFUNCTION("""COMPUTED_VALUE"""),"Wounded")</f>
        <v>Wounded</v>
      </c>
      <c r="C3" s="5"/>
      <c r="D3" s="5" t="str">
        <f ca="1">IFERROR(__xludf.DUMMYFUNCTION("""COMPUTED_VALUE"""),"Nonstudent Using Athletic Facilities/Attending Game")</f>
        <v>Nonstudent Using Athletic Facilities/Attending Game</v>
      </c>
      <c r="E3" s="5" t="str">
        <f ca="1">IFERROR(__xludf.DUMMYFUNCTION("""COMPUTED_VALUE"""),"Teen")</f>
        <v>Teen</v>
      </c>
      <c r="F3" s="5"/>
    </row>
    <row r="4" spans="1:6">
      <c r="A4" s="5" t="str">
        <f ca="1">IFERROR(__xludf.DUMMYFUNCTION("""COMPUTED_VALUE"""),"20220904FLBOL")</f>
        <v>20220904FLBOL</v>
      </c>
      <c r="B4" s="5" t="str">
        <f ca="1">IFERROR(__xludf.DUMMYFUNCTION("""COMPUTED_VALUE"""),"Wounded")</f>
        <v>Wounded</v>
      </c>
      <c r="C4" s="5"/>
      <c r="D4" s="5" t="str">
        <f ca="1">IFERROR(__xludf.DUMMYFUNCTION("""COMPUTED_VALUE"""),"Nonstudent Using Athletic Facilities/Attending Game")</f>
        <v>Nonstudent Using Athletic Facilities/Attending Game</v>
      </c>
      <c r="E4" s="5" t="str">
        <f ca="1">IFERROR(__xludf.DUMMYFUNCTION("""COMPUTED_VALUE"""),"Teen")</f>
        <v>Teen</v>
      </c>
      <c r="F4" s="5"/>
    </row>
    <row r="5" spans="1:6">
      <c r="A5" s="5" t="str">
        <f ca="1">IFERROR(__xludf.DUMMYFUNCTION("""COMPUTED_VALUE"""),"20220904FLBOL")</f>
        <v>20220904FLBOL</v>
      </c>
      <c r="B5" s="5" t="str">
        <f ca="1">IFERROR(__xludf.DUMMYFUNCTION("""COMPUTED_VALUE"""),"Wounded")</f>
        <v>Wounded</v>
      </c>
      <c r="C5" s="5"/>
      <c r="D5" s="5" t="str">
        <f ca="1">IFERROR(__xludf.DUMMYFUNCTION("""COMPUTED_VALUE"""),"Nonstudent Using Athletic Facilities/Attending Game")</f>
        <v>Nonstudent Using Athletic Facilities/Attending Game</v>
      </c>
      <c r="E5" s="5" t="str">
        <f ca="1">IFERROR(__xludf.DUMMYFUNCTION("""COMPUTED_VALUE"""),"Teen")</f>
        <v>Teen</v>
      </c>
      <c r="F5" s="5"/>
    </row>
    <row r="6" spans="1:6">
      <c r="A6" s="5" t="str">
        <f ca="1">IFERROR(__xludf.DUMMYFUNCTION("""COMPUTED_VALUE"""),"20220902MDMEB")</f>
        <v>20220902MDMEB</v>
      </c>
      <c r="B6" s="5" t="str">
        <f ca="1">IFERROR(__xludf.DUMMYFUNCTION("""COMPUTED_VALUE"""),"Fatal")</f>
        <v>Fatal</v>
      </c>
      <c r="C6" s="5" t="str">
        <f ca="1">IFERROR(__xludf.DUMMYFUNCTION("""COMPUTED_VALUE"""),"Male")</f>
        <v>Male</v>
      </c>
      <c r="D6" s="5" t="str">
        <f ca="1">IFERROR(__xludf.DUMMYFUNCTION("""COMPUTED_VALUE"""),"Student")</f>
        <v>Student</v>
      </c>
      <c r="E6" s="5">
        <f ca="1">IFERROR(__xludf.DUMMYFUNCTION("""COMPUTED_VALUE"""),17)</f>
        <v>17</v>
      </c>
      <c r="F6" s="5" t="str">
        <f ca="1">IFERROR(__xludf.DUMMYFUNCTION("""COMPUTED_VALUE"""),"Black")</f>
        <v>Black</v>
      </c>
    </row>
    <row r="7" spans="1:6">
      <c r="A7" s="5" t="str">
        <f ca="1">IFERROR(__xludf.DUMMYFUNCTION("""COMPUTED_VALUE"""),"20220831DCIDW")</f>
        <v>20220831DCIDW</v>
      </c>
      <c r="B7" s="5" t="str">
        <f ca="1">IFERROR(__xludf.DUMMYFUNCTION("""COMPUTED_VALUE"""),"Wounded")</f>
        <v>Wounded</v>
      </c>
      <c r="C7" s="5" t="str">
        <f ca="1">IFERROR(__xludf.DUMMYFUNCTION("""COMPUTED_VALUE"""),"Male")</f>
        <v>Male</v>
      </c>
      <c r="D7" s="5" t="str">
        <f ca="1">IFERROR(__xludf.DUMMYFUNCTION("""COMPUTED_VALUE"""),"Student")</f>
        <v>Student</v>
      </c>
      <c r="E7" s="5" t="str">
        <f ca="1">IFERROR(__xludf.DUMMYFUNCTION("""COMPUTED_VALUE"""),"Teen")</f>
        <v>Teen</v>
      </c>
      <c r="F7" s="5"/>
    </row>
    <row r="8" spans="1:6">
      <c r="A8" s="5" t="str">
        <f ca="1">IFERROR(__xludf.DUMMYFUNCTION("""COMPUTED_VALUE"""),"20220831DCIDW")</f>
        <v>20220831DCIDW</v>
      </c>
      <c r="B8" s="5" t="str">
        <f ca="1">IFERROR(__xludf.DUMMYFUNCTION("""COMPUTED_VALUE"""),"Wounded")</f>
        <v>Wounded</v>
      </c>
      <c r="C8" s="5" t="str">
        <f ca="1">IFERROR(__xludf.DUMMYFUNCTION("""COMPUTED_VALUE"""),"Male")</f>
        <v>Male</v>
      </c>
      <c r="D8" s="5" t="str">
        <f ca="1">IFERROR(__xludf.DUMMYFUNCTION("""COMPUTED_VALUE"""),"Student")</f>
        <v>Student</v>
      </c>
      <c r="E8" s="5" t="str">
        <f ca="1">IFERROR(__xludf.DUMMYFUNCTION("""COMPUTED_VALUE"""),"Teen")</f>
        <v>Teen</v>
      </c>
      <c r="F8" s="5"/>
    </row>
    <row r="9" spans="1:6">
      <c r="A9" s="5" t="str">
        <f ca="1">IFERROR(__xludf.DUMMYFUNCTION("""COMPUTED_VALUE"""),"20220831PAFRP")</f>
        <v>20220831PAFRP</v>
      </c>
      <c r="B9" s="5" t="str">
        <f ca="1">IFERROR(__xludf.DUMMYFUNCTION("""COMPUTED_VALUE"""),"Wounded")</f>
        <v>Wounded</v>
      </c>
      <c r="C9" s="5" t="str">
        <f ca="1">IFERROR(__xludf.DUMMYFUNCTION("""COMPUTED_VALUE"""),"Male")</f>
        <v>Male</v>
      </c>
      <c r="D9" s="5" t="str">
        <f ca="1">IFERROR(__xludf.DUMMYFUNCTION("""COMPUTED_VALUE"""),"No Relation")</f>
        <v>No Relation</v>
      </c>
      <c r="E9" s="5">
        <f ca="1">IFERROR(__xludf.DUMMYFUNCTION("""COMPUTED_VALUE"""),20)</f>
        <v>20</v>
      </c>
      <c r="F9" s="5"/>
    </row>
    <row r="10" spans="1:6">
      <c r="A10" s="5" t="str">
        <f ca="1">IFERROR(__xludf.DUMMYFUNCTION("""COMPUTED_VALUE"""),"20220831PAFRP")</f>
        <v>20220831PAFRP</v>
      </c>
      <c r="B10" s="5" t="str">
        <f ca="1">IFERROR(__xludf.DUMMYFUNCTION("""COMPUTED_VALUE"""),"Wounded")</f>
        <v>Wounded</v>
      </c>
      <c r="C10" s="5" t="str">
        <f ca="1">IFERROR(__xludf.DUMMYFUNCTION("""COMPUTED_VALUE"""),"Female")</f>
        <v>Female</v>
      </c>
      <c r="D10" s="5" t="str">
        <f ca="1">IFERROR(__xludf.DUMMYFUNCTION("""COMPUTED_VALUE"""),"No Relation")</f>
        <v>No Relation</v>
      </c>
      <c r="E10" s="5">
        <f ca="1">IFERROR(__xludf.DUMMYFUNCTION("""COMPUTED_VALUE"""),20)</f>
        <v>20</v>
      </c>
      <c r="F10" s="5"/>
    </row>
    <row r="11" spans="1:6">
      <c r="A11" s="5" t="str">
        <f ca="1">IFERROR(__xludf.DUMMYFUNCTION("""COMPUTED_VALUE"""),"20220831PAFRP")</f>
        <v>20220831PAFRP</v>
      </c>
      <c r="B11" s="5" t="str">
        <f ca="1">IFERROR(__xludf.DUMMYFUNCTION("""COMPUTED_VALUE"""),"Wounded")</f>
        <v>Wounded</v>
      </c>
      <c r="C11" s="5" t="str">
        <f ca="1">IFERROR(__xludf.DUMMYFUNCTION("""COMPUTED_VALUE"""),"Male")</f>
        <v>Male</v>
      </c>
      <c r="D11" s="5" t="str">
        <f ca="1">IFERROR(__xludf.DUMMYFUNCTION("""COMPUTED_VALUE"""),"No Relation")</f>
        <v>No Relation</v>
      </c>
      <c r="E11" s="5">
        <f ca="1">IFERROR(__xludf.DUMMYFUNCTION("""COMPUTED_VALUE"""),17)</f>
        <v>17</v>
      </c>
      <c r="F11" s="5"/>
    </row>
    <row r="12" spans="1:6">
      <c r="A12" s="5" t="str">
        <f ca="1">IFERROR(__xludf.DUMMYFUNCTION("""COMPUTED_VALUE"""),"20220829CAMAO")</f>
        <v>20220829CAMAO</v>
      </c>
      <c r="B12" s="5" t="str">
        <f ca="1">IFERROR(__xludf.DUMMYFUNCTION("""COMPUTED_VALUE"""),"Wounded")</f>
        <v>Wounded</v>
      </c>
      <c r="C12" s="5" t="str">
        <f ca="1">IFERROR(__xludf.DUMMYFUNCTION("""COMPUTED_VALUE"""),"Male")</f>
        <v>Male</v>
      </c>
      <c r="D12" s="5" t="str">
        <f ca="1">IFERROR(__xludf.DUMMYFUNCTION("""COMPUTED_VALUE"""),"Student")</f>
        <v>Student</v>
      </c>
      <c r="E12" s="5">
        <f ca="1">IFERROR(__xludf.DUMMYFUNCTION("""COMPUTED_VALUE"""),13)</f>
        <v>13</v>
      </c>
      <c r="F12" s="5"/>
    </row>
    <row r="13" spans="1:6">
      <c r="A13" s="5" t="str">
        <f ca="1">IFERROR(__xludf.DUMMYFUNCTION("""COMPUTED_VALUE"""),"20220823OHINC")</f>
        <v>20220823OHINC</v>
      </c>
      <c r="B13" s="5" t="str">
        <f ca="1">IFERROR(__xludf.DUMMYFUNCTION("""COMPUTED_VALUE"""),"Minor Injuries")</f>
        <v>Minor Injuries</v>
      </c>
      <c r="C13" s="5"/>
      <c r="D13" s="5" t="str">
        <f ca="1">IFERROR(__xludf.DUMMYFUNCTION("""COMPUTED_VALUE"""),"Teacher")</f>
        <v>Teacher</v>
      </c>
      <c r="E13" s="5" t="str">
        <f ca="1">IFERROR(__xludf.DUMMYFUNCTION("""COMPUTED_VALUE"""),"Adult")</f>
        <v>Adult</v>
      </c>
      <c r="F13" s="5"/>
    </row>
    <row r="14" spans="1:6">
      <c r="A14" s="5" t="str">
        <f ca="1">IFERROR(__xludf.DUMMYFUNCTION("""COMPUTED_VALUE"""),"20220823OHINC")</f>
        <v>20220823OHINC</v>
      </c>
      <c r="B14" s="5" t="str">
        <f ca="1">IFERROR(__xludf.DUMMYFUNCTION("""COMPUTED_VALUE"""),"Minor Injuries")</f>
        <v>Minor Injuries</v>
      </c>
      <c r="C14" s="5"/>
      <c r="D14" s="5" t="str">
        <f ca="1">IFERROR(__xludf.DUMMYFUNCTION("""COMPUTED_VALUE"""),"Teacher")</f>
        <v>Teacher</v>
      </c>
      <c r="E14" s="5" t="str">
        <f ca="1">IFERROR(__xludf.DUMMYFUNCTION("""COMPUTED_VALUE"""),"Adult")</f>
        <v>Adult</v>
      </c>
      <c r="F14" s="5"/>
    </row>
    <row r="15" spans="1:6">
      <c r="A15" s="5" t="str">
        <f ca="1">IFERROR(__xludf.DUMMYFUNCTION("""COMPUTED_VALUE"""),"20220823OHINC")</f>
        <v>20220823OHINC</v>
      </c>
      <c r="B15" s="5" t="str">
        <f ca="1">IFERROR(__xludf.DUMMYFUNCTION("""COMPUTED_VALUE"""),"Minor Injuries")</f>
        <v>Minor Injuries</v>
      </c>
      <c r="C15" s="5"/>
      <c r="D15" s="5" t="str">
        <f ca="1">IFERROR(__xludf.DUMMYFUNCTION("""COMPUTED_VALUE"""),"Teacher")</f>
        <v>Teacher</v>
      </c>
      <c r="E15" s="5" t="str">
        <f ca="1">IFERROR(__xludf.DUMMYFUNCTION("""COMPUTED_VALUE"""),"Adult")</f>
        <v>Adult</v>
      </c>
      <c r="F15" s="5"/>
    </row>
    <row r="16" spans="1:6">
      <c r="A16" s="5" t="str">
        <f ca="1">IFERROR(__xludf.DUMMYFUNCTION("""COMPUTED_VALUE"""),"20220809PACHP")</f>
        <v>20220809PACHP</v>
      </c>
      <c r="B16" s="5" t="str">
        <f ca="1">IFERROR(__xludf.DUMMYFUNCTION("""COMPUTED_VALUE"""),"Fatal")</f>
        <v>Fatal</v>
      </c>
      <c r="C16" s="5" t="str">
        <f ca="1">IFERROR(__xludf.DUMMYFUNCTION("""COMPUTED_VALUE"""),"Male")</f>
        <v>Male</v>
      </c>
      <c r="D16" s="5" t="str">
        <f ca="1">IFERROR(__xludf.DUMMYFUNCTION("""COMPUTED_VALUE"""),"No Relation")</f>
        <v>No Relation</v>
      </c>
      <c r="E16" s="5">
        <f ca="1">IFERROR(__xludf.DUMMYFUNCTION("""COMPUTED_VALUE"""),28)</f>
        <v>28</v>
      </c>
      <c r="F16" s="5"/>
    </row>
    <row r="17" spans="1:6">
      <c r="A17" s="5" t="str">
        <f ca="1">IFERROR(__xludf.DUMMYFUNCTION("""COMPUTED_VALUE"""),"20220809PACHP")</f>
        <v>20220809PACHP</v>
      </c>
      <c r="B17" s="5" t="str">
        <f ca="1">IFERROR(__xludf.DUMMYFUNCTION("""COMPUTED_VALUE"""),"Wounded")</f>
        <v>Wounded</v>
      </c>
      <c r="C17" s="5" t="str">
        <f ca="1">IFERROR(__xludf.DUMMYFUNCTION("""COMPUTED_VALUE"""),"Male")</f>
        <v>Male</v>
      </c>
      <c r="D17" s="5" t="str">
        <f ca="1">IFERROR(__xludf.DUMMYFUNCTION("""COMPUTED_VALUE"""),"No Relation")</f>
        <v>No Relation</v>
      </c>
      <c r="E17" s="5" t="str">
        <f ca="1">IFERROR(__xludf.DUMMYFUNCTION("""COMPUTED_VALUE"""),"Adult")</f>
        <v>Adult</v>
      </c>
      <c r="F17" s="5"/>
    </row>
    <row r="18" spans="1:6">
      <c r="A18" s="5" t="str">
        <f ca="1">IFERROR(__xludf.DUMMYFUNCTION("""COMPUTED_VALUE"""),"20220803PALEP")</f>
        <v>20220803PALEP</v>
      </c>
      <c r="B18" s="5" t="str">
        <f ca="1">IFERROR(__xludf.DUMMYFUNCTION("""COMPUTED_VALUE"""),"Fatal")</f>
        <v>Fatal</v>
      </c>
      <c r="C18" s="5" t="str">
        <f ca="1">IFERROR(__xludf.DUMMYFUNCTION("""COMPUTED_VALUE"""),"Male")</f>
        <v>Male</v>
      </c>
      <c r="D18" s="5" t="str">
        <f ca="1">IFERROR(__xludf.DUMMYFUNCTION("""COMPUTED_VALUE"""),"No Relation")</f>
        <v>No Relation</v>
      </c>
      <c r="E18" s="5">
        <f ca="1">IFERROR(__xludf.DUMMYFUNCTION("""COMPUTED_VALUE"""),26)</f>
        <v>26</v>
      </c>
      <c r="F18" s="5"/>
    </row>
    <row r="19" spans="1:6">
      <c r="A19" s="5" t="str">
        <f ca="1">IFERROR(__xludf.DUMMYFUNCTION("""COMPUTED_VALUE"""),"20220803PALEP")</f>
        <v>20220803PALEP</v>
      </c>
      <c r="B19" s="5" t="str">
        <f ca="1">IFERROR(__xludf.DUMMYFUNCTION("""COMPUTED_VALUE"""),"Wounded")</f>
        <v>Wounded</v>
      </c>
      <c r="C19" s="5" t="str">
        <f ca="1">IFERROR(__xludf.DUMMYFUNCTION("""COMPUTED_VALUE"""),"Male")</f>
        <v>Male</v>
      </c>
      <c r="D19" s="5" t="str">
        <f ca="1">IFERROR(__xludf.DUMMYFUNCTION("""COMPUTED_VALUE"""),"No Relation")</f>
        <v>No Relation</v>
      </c>
      <c r="E19" s="5">
        <f ca="1">IFERROR(__xludf.DUMMYFUNCTION("""COMPUTED_VALUE"""),24)</f>
        <v>24</v>
      </c>
      <c r="F19" s="5"/>
    </row>
    <row r="20" spans="1:6">
      <c r="A20" s="5" t="str">
        <f ca="1">IFERROR(__xludf.DUMMYFUNCTION("""COMPUTED_VALUE"""),"20220731CAOAO")</f>
        <v>20220731CAOAO</v>
      </c>
      <c r="B20" s="5" t="str">
        <f ca="1">IFERROR(__xludf.DUMMYFUNCTION("""COMPUTED_VALUE"""),"Wounded")</f>
        <v>Wounded</v>
      </c>
      <c r="C20" s="5" t="str">
        <f ca="1">IFERROR(__xludf.DUMMYFUNCTION("""COMPUTED_VALUE"""),"Female")</f>
        <v>Female</v>
      </c>
      <c r="D20" s="5" t="str">
        <f ca="1">IFERROR(__xludf.DUMMYFUNCTION("""COMPUTED_VALUE"""),"Nonstudent Using Athletic Facilities/Attending Game")</f>
        <v>Nonstudent Using Athletic Facilities/Attending Game</v>
      </c>
      <c r="E20" s="5">
        <f ca="1">IFERROR(__xludf.DUMMYFUNCTION("""COMPUTED_VALUE"""),6)</f>
        <v>6</v>
      </c>
      <c r="F20" s="5"/>
    </row>
    <row r="21" spans="1:6">
      <c r="A21" s="5" t="str">
        <f ca="1">IFERROR(__xludf.DUMMYFUNCTION("""COMPUTED_VALUE"""),"20220731CAOAO")</f>
        <v>20220731CAOAO</v>
      </c>
      <c r="B21" s="5" t="str">
        <f ca="1">IFERROR(__xludf.DUMMYFUNCTION("""COMPUTED_VALUE"""),"Wounded")</f>
        <v>Wounded</v>
      </c>
      <c r="C21" s="5" t="str">
        <f ca="1">IFERROR(__xludf.DUMMYFUNCTION("""COMPUTED_VALUE"""),"Female")</f>
        <v>Female</v>
      </c>
      <c r="D21" s="5" t="str">
        <f ca="1">IFERROR(__xludf.DUMMYFUNCTION("""COMPUTED_VALUE"""),"Nonstudent Using Athletic Facilities/Attending Game")</f>
        <v>Nonstudent Using Athletic Facilities/Attending Game</v>
      </c>
      <c r="E21" s="5" t="str">
        <f ca="1">IFERROR(__xludf.DUMMYFUNCTION("""COMPUTED_VALUE"""),"Adult")</f>
        <v>Adult</v>
      </c>
      <c r="F21" s="5"/>
    </row>
    <row r="22" spans="1:6">
      <c r="A22" s="5" t="str">
        <f ca="1">IFERROR(__xludf.DUMMYFUNCTION("""COMPUTED_VALUE"""),"20220731CAOAO")</f>
        <v>20220731CAOAO</v>
      </c>
      <c r="B22" s="5" t="str">
        <f ca="1">IFERROR(__xludf.DUMMYFUNCTION("""COMPUTED_VALUE"""),"Wounded")</f>
        <v>Wounded</v>
      </c>
      <c r="C22" s="5" t="str">
        <f ca="1">IFERROR(__xludf.DUMMYFUNCTION("""COMPUTED_VALUE"""),"Male")</f>
        <v>Male</v>
      </c>
      <c r="D22" s="5" t="str">
        <f ca="1">IFERROR(__xludf.DUMMYFUNCTION("""COMPUTED_VALUE"""),"Nonstudent Using Athletic Facilities/Attending Game")</f>
        <v>Nonstudent Using Athletic Facilities/Attending Game</v>
      </c>
      <c r="E22" s="5" t="str">
        <f ca="1">IFERROR(__xludf.DUMMYFUNCTION("""COMPUTED_VALUE"""),"Adult")</f>
        <v>Adult</v>
      </c>
      <c r="F22" s="5"/>
    </row>
    <row r="23" spans="1:6">
      <c r="A23" s="5" t="str">
        <f ca="1">IFERROR(__xludf.DUMMYFUNCTION("""COMPUTED_VALUE"""),"20220725NYBRB")</f>
        <v>20220725NYBRB</v>
      </c>
      <c r="B23" s="5" t="str">
        <f ca="1">IFERROR(__xludf.DUMMYFUNCTION("""COMPUTED_VALUE"""),"Wounded")</f>
        <v>Wounded</v>
      </c>
      <c r="C23" s="5" t="str">
        <f ca="1">IFERROR(__xludf.DUMMYFUNCTION("""COMPUTED_VALUE"""),"Female")</f>
        <v>Female</v>
      </c>
      <c r="D23" s="5" t="str">
        <f ca="1">IFERROR(__xludf.DUMMYFUNCTION("""COMPUTED_VALUE"""),"Nonstudent Using Athletic Facilities/Attending Game")</f>
        <v>Nonstudent Using Athletic Facilities/Attending Game</v>
      </c>
      <c r="E23" s="5">
        <f ca="1">IFERROR(__xludf.DUMMYFUNCTION("""COMPUTED_VALUE"""),12)</f>
        <v>12</v>
      </c>
      <c r="F23" s="5"/>
    </row>
    <row r="24" spans="1:6">
      <c r="A24" s="5" t="str">
        <f ca="1">IFERROR(__xludf.DUMMYFUNCTION("""COMPUTED_VALUE"""),"20220725NYBRB")</f>
        <v>20220725NYBRB</v>
      </c>
      <c r="B24" s="5" t="str">
        <f ca="1">IFERROR(__xludf.DUMMYFUNCTION("""COMPUTED_VALUE"""),"Wounded")</f>
        <v>Wounded</v>
      </c>
      <c r="C24" s="5" t="str">
        <f ca="1">IFERROR(__xludf.DUMMYFUNCTION("""COMPUTED_VALUE"""),"Male")</f>
        <v>Male</v>
      </c>
      <c r="D24" s="5" t="str">
        <f ca="1">IFERROR(__xludf.DUMMYFUNCTION("""COMPUTED_VALUE"""),"Nonstudent Using Athletic Facilities/Attending Game")</f>
        <v>Nonstudent Using Athletic Facilities/Attending Game</v>
      </c>
      <c r="E24" s="5">
        <f ca="1">IFERROR(__xludf.DUMMYFUNCTION("""COMPUTED_VALUE"""),16)</f>
        <v>16</v>
      </c>
      <c r="F24" s="5"/>
    </row>
    <row r="25" spans="1:6">
      <c r="A25" s="5" t="str">
        <f ca="1">IFERROR(__xludf.DUMMYFUNCTION("""COMPUTED_VALUE"""),"20220716GAAPF")</f>
        <v>20220716GAAPF</v>
      </c>
      <c r="B25" s="5" t="str">
        <f ca="1">IFERROR(__xludf.DUMMYFUNCTION("""COMPUTED_VALUE"""),"Wounded")</f>
        <v>Wounded</v>
      </c>
      <c r="C25" s="5" t="str">
        <f ca="1">IFERROR(__xludf.DUMMYFUNCTION("""COMPUTED_VALUE"""),"Male")</f>
        <v>Male</v>
      </c>
      <c r="D25" s="5" t="str">
        <f ca="1">IFERROR(__xludf.DUMMYFUNCTION("""COMPUTED_VALUE"""),"No Relation")</f>
        <v>No Relation</v>
      </c>
      <c r="E25" s="5">
        <f ca="1">IFERROR(__xludf.DUMMYFUNCTION("""COMPUTED_VALUE"""),19)</f>
        <v>19</v>
      </c>
      <c r="F25" s="5"/>
    </row>
    <row r="26" spans="1:6">
      <c r="A26" s="5" t="str">
        <f ca="1">IFERROR(__xludf.DUMMYFUNCTION("""COMPUTED_VALUE"""),"20220629CABUA")</f>
        <v>20220629CABUA</v>
      </c>
      <c r="B26" s="5" t="str">
        <f ca="1">IFERROR(__xludf.DUMMYFUNCTION("""COMPUTED_VALUE"""),"Fatal")</f>
        <v>Fatal</v>
      </c>
      <c r="C26" s="5" t="str">
        <f ca="1">IFERROR(__xludf.DUMMYFUNCTION("""COMPUTED_VALUE"""),"Male")</f>
        <v>Male</v>
      </c>
      <c r="D26" s="5" t="str">
        <f ca="1">IFERROR(__xludf.DUMMYFUNCTION("""COMPUTED_VALUE"""),"No Relation")</f>
        <v>No Relation</v>
      </c>
      <c r="E26" s="5" t="str">
        <f ca="1">IFERROR(__xludf.DUMMYFUNCTION("""COMPUTED_VALUE"""),"Adult")</f>
        <v>Adult</v>
      </c>
      <c r="F26" s="5"/>
    </row>
    <row r="27" spans="1:6">
      <c r="A27" s="5" t="str">
        <f ca="1">IFERROR(__xludf.DUMMYFUNCTION("""COMPUTED_VALUE"""),"20220620ILGRC")</f>
        <v>20220620ILGRC</v>
      </c>
      <c r="B27" s="5" t="str">
        <f ca="1">IFERROR(__xludf.DUMMYFUNCTION("""COMPUTED_VALUE"""),"Wounded")</f>
        <v>Wounded</v>
      </c>
      <c r="C27" s="5" t="str">
        <f ca="1">IFERROR(__xludf.DUMMYFUNCTION("""COMPUTED_VALUE"""),"Female")</f>
        <v>Female</v>
      </c>
      <c r="D27" s="5" t="str">
        <f ca="1">IFERROR(__xludf.DUMMYFUNCTION("""COMPUTED_VALUE"""),"No Relation")</f>
        <v>No Relation</v>
      </c>
      <c r="E27" s="5">
        <f ca="1">IFERROR(__xludf.DUMMYFUNCTION("""COMPUTED_VALUE"""),34)</f>
        <v>34</v>
      </c>
      <c r="F27" s="5"/>
    </row>
    <row r="28" spans="1:6">
      <c r="A28" s="5" t="str">
        <f ca="1">IFERROR(__xludf.DUMMYFUNCTION("""COMPUTED_VALUE"""),"20220620ILGRC")</f>
        <v>20220620ILGRC</v>
      </c>
      <c r="B28" s="5" t="str">
        <f ca="1">IFERROR(__xludf.DUMMYFUNCTION("""COMPUTED_VALUE"""),"Wounded")</f>
        <v>Wounded</v>
      </c>
      <c r="C28" s="5" t="str">
        <f ca="1">IFERROR(__xludf.DUMMYFUNCTION("""COMPUTED_VALUE"""),"Male")</f>
        <v>Male</v>
      </c>
      <c r="D28" s="5" t="str">
        <f ca="1">IFERROR(__xludf.DUMMYFUNCTION("""COMPUTED_VALUE"""),"No Relation")</f>
        <v>No Relation</v>
      </c>
      <c r="E28" s="5">
        <f ca="1">IFERROR(__xludf.DUMMYFUNCTION("""COMPUTED_VALUE"""),16)</f>
        <v>16</v>
      </c>
      <c r="F28" s="5"/>
    </row>
    <row r="29" spans="1:6">
      <c r="A29" s="5" t="str">
        <f ca="1">IFERROR(__xludf.DUMMYFUNCTION("""COMPUTED_VALUE"""),"20220620ILGRC")</f>
        <v>20220620ILGRC</v>
      </c>
      <c r="B29" s="5" t="str">
        <f ca="1">IFERROR(__xludf.DUMMYFUNCTION("""COMPUTED_VALUE"""),"Wounded")</f>
        <v>Wounded</v>
      </c>
      <c r="C29" s="5" t="str">
        <f ca="1">IFERROR(__xludf.DUMMYFUNCTION("""COMPUTED_VALUE"""),"Female")</f>
        <v>Female</v>
      </c>
      <c r="D29" s="5" t="str">
        <f ca="1">IFERROR(__xludf.DUMMYFUNCTION("""COMPUTED_VALUE"""),"No Relation")</f>
        <v>No Relation</v>
      </c>
      <c r="E29" s="5">
        <f ca="1">IFERROR(__xludf.DUMMYFUNCTION("""COMPUTED_VALUE"""),17)</f>
        <v>17</v>
      </c>
      <c r="F29" s="5"/>
    </row>
    <row r="30" spans="1:6">
      <c r="A30" s="5" t="str">
        <f ca="1">IFERROR(__xludf.DUMMYFUNCTION("""COMPUTED_VALUE"""),"20220609ALWAG")</f>
        <v>20220609ALWAG</v>
      </c>
      <c r="B30" s="5" t="str">
        <f ca="1">IFERROR(__xludf.DUMMYFUNCTION("""COMPUTED_VALUE"""),"Fatal")</f>
        <v>Fatal</v>
      </c>
      <c r="C30" s="5" t="str">
        <f ca="1">IFERROR(__xludf.DUMMYFUNCTION("""COMPUTED_VALUE"""),"Male")</f>
        <v>Male</v>
      </c>
      <c r="D30" s="5" t="str">
        <f ca="1">IFERROR(__xludf.DUMMYFUNCTION("""COMPUTED_VALUE"""),"No Relation")</f>
        <v>No Relation</v>
      </c>
      <c r="E30" s="5">
        <f ca="1">IFERROR(__xludf.DUMMYFUNCTION("""COMPUTED_VALUE"""),32)</f>
        <v>32</v>
      </c>
      <c r="F30" s="5" t="str">
        <f ca="1">IFERROR(__xludf.DUMMYFUNCTION("""COMPUTED_VALUE"""),"Black")</f>
        <v>Black</v>
      </c>
    </row>
    <row r="31" spans="1:6">
      <c r="A31" s="5" t="str">
        <f ca="1">IFERROR(__xludf.DUMMYFUNCTION("""COMPUTED_VALUE"""),"20220605INWEG")</f>
        <v>20220605INWEG</v>
      </c>
      <c r="B31" s="5" t="str">
        <f ca="1">IFERROR(__xludf.DUMMYFUNCTION("""COMPUTED_VALUE"""),"Wounded")</f>
        <v>Wounded</v>
      </c>
      <c r="C31" s="5" t="str">
        <f ca="1">IFERROR(__xludf.DUMMYFUNCTION("""COMPUTED_VALUE"""),"Male")</f>
        <v>Male</v>
      </c>
      <c r="D31" s="5"/>
      <c r="E31" s="5">
        <f ca="1">IFERROR(__xludf.DUMMYFUNCTION("""COMPUTED_VALUE"""),19)</f>
        <v>19</v>
      </c>
      <c r="F31" s="5"/>
    </row>
    <row r="32" spans="1:6">
      <c r="A32" s="5" t="str">
        <f ca="1">IFERROR(__xludf.DUMMYFUNCTION("""COMPUTED_VALUE"""),"20220605INWEG")</f>
        <v>20220605INWEG</v>
      </c>
      <c r="B32" s="5" t="str">
        <f ca="1">IFERROR(__xludf.DUMMYFUNCTION("""COMPUTED_VALUE"""),"Wounded")</f>
        <v>Wounded</v>
      </c>
      <c r="C32" s="5" t="str">
        <f ca="1">IFERROR(__xludf.DUMMYFUNCTION("""COMPUTED_VALUE"""),"Female")</f>
        <v>Female</v>
      </c>
      <c r="D32" s="5"/>
      <c r="E32" s="5">
        <f ca="1">IFERROR(__xludf.DUMMYFUNCTION("""COMPUTED_VALUE"""),19)</f>
        <v>19</v>
      </c>
      <c r="F32" s="5"/>
    </row>
    <row r="33" spans="1:6">
      <c r="A33" s="5" t="str">
        <f ca="1">IFERROR(__xludf.DUMMYFUNCTION("""COMPUTED_VALUE"""),"20220601CAULL")</f>
        <v>20220601CAULL</v>
      </c>
      <c r="B33" s="5" t="str">
        <f ca="1">IFERROR(__xludf.DUMMYFUNCTION("""COMPUTED_VALUE"""),"Wounded")</f>
        <v>Wounded</v>
      </c>
      <c r="C33" s="5" t="str">
        <f ca="1">IFERROR(__xludf.DUMMYFUNCTION("""COMPUTED_VALUE"""),"Male")</f>
        <v>Male</v>
      </c>
      <c r="D33" s="5" t="str">
        <f ca="1">IFERROR(__xludf.DUMMYFUNCTION("""COMPUTED_VALUE"""),"Student")</f>
        <v>Student</v>
      </c>
      <c r="E33" s="5">
        <f ca="1">IFERROR(__xludf.DUMMYFUNCTION("""COMPUTED_VALUE"""),16)</f>
        <v>16</v>
      </c>
      <c r="F33" s="5"/>
    </row>
    <row r="34" spans="1:6">
      <c r="A34" s="5" t="str">
        <f ca="1">IFERROR(__xludf.DUMMYFUNCTION("""COMPUTED_VALUE"""),"20220531LAMON")</f>
        <v>20220531LAMON</v>
      </c>
      <c r="B34" s="5" t="str">
        <f ca="1">IFERROR(__xludf.DUMMYFUNCTION("""COMPUTED_VALUE"""),"Wounded")</f>
        <v>Wounded</v>
      </c>
      <c r="C34" s="5" t="str">
        <f ca="1">IFERROR(__xludf.DUMMYFUNCTION("""COMPUTED_VALUE"""),"Male")</f>
        <v>Male</v>
      </c>
      <c r="D34" s="5" t="str">
        <f ca="1">IFERROR(__xludf.DUMMYFUNCTION("""COMPUTED_VALUE"""),"Relative")</f>
        <v>Relative</v>
      </c>
      <c r="E34" s="5" t="str">
        <f ca="1">IFERROR(__xludf.DUMMYFUNCTION("""COMPUTED_VALUE"""),"Adult")</f>
        <v>Adult</v>
      </c>
      <c r="F34" s="5"/>
    </row>
    <row r="35" spans="1:6">
      <c r="A35" s="5" t="str">
        <f ca="1">IFERROR(__xludf.DUMMYFUNCTION("""COMPUTED_VALUE"""),"20220531LAMON")</f>
        <v>20220531LAMON</v>
      </c>
      <c r="B35" s="5" t="str">
        <f ca="1">IFERROR(__xludf.DUMMYFUNCTION("""COMPUTED_VALUE"""),"Wounded")</f>
        <v>Wounded</v>
      </c>
      <c r="C35" s="5" t="str">
        <f ca="1">IFERROR(__xludf.DUMMYFUNCTION("""COMPUTED_VALUE"""),"Male")</f>
        <v>Male</v>
      </c>
      <c r="D35" s="5" t="str">
        <f ca="1">IFERROR(__xludf.DUMMYFUNCTION("""COMPUTED_VALUE"""),"Relative")</f>
        <v>Relative</v>
      </c>
      <c r="E35" s="5" t="str">
        <f ca="1">IFERROR(__xludf.DUMMYFUNCTION("""COMPUTED_VALUE"""),"Adult")</f>
        <v>Adult</v>
      </c>
      <c r="F35" s="5"/>
    </row>
    <row r="36" spans="1:6">
      <c r="A36" s="5" t="str">
        <f ca="1">IFERROR(__xludf.DUMMYFUNCTION("""COMPUTED_VALUE"""),"20220531LAMON")</f>
        <v>20220531LAMON</v>
      </c>
      <c r="B36" s="5" t="str">
        <f ca="1">IFERROR(__xludf.DUMMYFUNCTION("""COMPUTED_VALUE"""),"Fatal")</f>
        <v>Fatal</v>
      </c>
      <c r="C36" s="5" t="str">
        <f ca="1">IFERROR(__xludf.DUMMYFUNCTION("""COMPUTED_VALUE"""),"Female")</f>
        <v>Female</v>
      </c>
      <c r="D36" s="5" t="str">
        <f ca="1">IFERROR(__xludf.DUMMYFUNCTION("""COMPUTED_VALUE"""),"Relative")</f>
        <v>Relative</v>
      </c>
      <c r="E36" s="5">
        <f ca="1">IFERROR(__xludf.DUMMYFUNCTION("""COMPUTED_VALUE"""),80)</f>
        <v>80</v>
      </c>
      <c r="F36" s="5" t="str">
        <f ca="1">IFERROR(__xludf.DUMMYFUNCTION("""COMPUTED_VALUE"""),"Black")</f>
        <v>Black</v>
      </c>
    </row>
    <row r="37" spans="1:6">
      <c r="A37" s="5" t="str">
        <f ca="1">IFERROR(__xludf.DUMMYFUNCTION("""COMPUTED_VALUE"""),"20220530CAHEL")</f>
        <v>20220530CAHEL</v>
      </c>
      <c r="B37" s="5" t="str">
        <f ca="1">IFERROR(__xludf.DUMMYFUNCTION("""COMPUTED_VALUE"""),"Wounded")</f>
        <v>Wounded</v>
      </c>
      <c r="C37" s="5" t="str">
        <f ca="1">IFERROR(__xludf.DUMMYFUNCTION("""COMPUTED_VALUE"""),"Male")</f>
        <v>Male</v>
      </c>
      <c r="D37" s="5" t="str">
        <f ca="1">IFERROR(__xludf.DUMMYFUNCTION("""COMPUTED_VALUE"""),"No Relation")</f>
        <v>No Relation</v>
      </c>
      <c r="E37" s="5">
        <f ca="1">IFERROR(__xludf.DUMMYFUNCTION("""COMPUTED_VALUE"""),20)</f>
        <v>20</v>
      </c>
      <c r="F37" s="5"/>
    </row>
    <row r="38" spans="1:6">
      <c r="A38" s="5" t="str">
        <f ca="1">IFERROR(__xludf.DUMMYFUNCTION("""COMPUTED_VALUE"""),"20220529ILDAC")</f>
        <v>20220529ILDAC</v>
      </c>
      <c r="B38" s="5" t="str">
        <f ca="1">IFERROR(__xludf.DUMMYFUNCTION("""COMPUTED_VALUE"""),"Wounded")</f>
        <v>Wounded</v>
      </c>
      <c r="C38" s="5" t="str">
        <f ca="1">IFERROR(__xludf.DUMMYFUNCTION("""COMPUTED_VALUE"""),"Male")</f>
        <v>Male</v>
      </c>
      <c r="D38" s="5"/>
      <c r="E38" s="5">
        <f ca="1">IFERROR(__xludf.DUMMYFUNCTION("""COMPUTED_VALUE"""),21)</f>
        <v>21</v>
      </c>
      <c r="F38" s="5"/>
    </row>
    <row r="39" spans="1:6">
      <c r="A39" s="5" t="str">
        <f ca="1">IFERROR(__xludf.DUMMYFUNCTION("""COMPUTED_VALUE"""),"20220529ILDAC")</f>
        <v>20220529ILDAC</v>
      </c>
      <c r="B39" s="5" t="str">
        <f ca="1">IFERROR(__xludf.DUMMYFUNCTION("""COMPUTED_VALUE"""),"Wounded")</f>
        <v>Wounded</v>
      </c>
      <c r="C39" s="5" t="str">
        <f ca="1">IFERROR(__xludf.DUMMYFUNCTION("""COMPUTED_VALUE"""),"Male")</f>
        <v>Male</v>
      </c>
      <c r="D39" s="5"/>
      <c r="E39" s="5">
        <f ca="1">IFERROR(__xludf.DUMMYFUNCTION("""COMPUTED_VALUE"""),21)</f>
        <v>21</v>
      </c>
      <c r="F39" s="5"/>
    </row>
    <row r="40" spans="1:6">
      <c r="A40" s="5" t="str">
        <f ca="1">IFERROR(__xludf.DUMMYFUNCTION("""COMPUTED_VALUE"""),"20220529ILDAC")</f>
        <v>20220529ILDAC</v>
      </c>
      <c r="B40" s="5" t="str">
        <f ca="1">IFERROR(__xludf.DUMMYFUNCTION("""COMPUTED_VALUE"""),"Wounded")</f>
        <v>Wounded</v>
      </c>
      <c r="C40" s="5" t="str">
        <f ca="1">IFERROR(__xludf.DUMMYFUNCTION("""COMPUTED_VALUE"""),"Female")</f>
        <v>Female</v>
      </c>
      <c r="D40" s="5"/>
      <c r="E40" s="5">
        <f ca="1">IFERROR(__xludf.DUMMYFUNCTION("""COMPUTED_VALUE"""),21)</f>
        <v>21</v>
      </c>
      <c r="F40" s="5"/>
    </row>
    <row r="41" spans="1:6">
      <c r="A41" s="5" t="str">
        <f ca="1">IFERROR(__xludf.DUMMYFUNCTION("""COMPUTED_VALUE"""),"20220529ILDAC")</f>
        <v>20220529ILDAC</v>
      </c>
      <c r="B41" s="5" t="str">
        <f ca="1">IFERROR(__xludf.DUMMYFUNCTION("""COMPUTED_VALUE"""),"Wounded")</f>
        <v>Wounded</v>
      </c>
      <c r="C41" s="5" t="str">
        <f ca="1">IFERROR(__xludf.DUMMYFUNCTION("""COMPUTED_VALUE"""),"Female")</f>
        <v>Female</v>
      </c>
      <c r="D41" s="5"/>
      <c r="E41" s="5">
        <f ca="1">IFERROR(__xludf.DUMMYFUNCTION("""COMPUTED_VALUE"""),16)</f>
        <v>16</v>
      </c>
      <c r="F41" s="5"/>
    </row>
    <row r="42" spans="1:6">
      <c r="A42" s="5" t="str">
        <f ca="1">IFERROR(__xludf.DUMMYFUNCTION("""COMPUTED_VALUE"""),"20220529ILDAC")</f>
        <v>20220529ILDAC</v>
      </c>
      <c r="B42" s="5" t="str">
        <f ca="1">IFERROR(__xludf.DUMMYFUNCTION("""COMPUTED_VALUE"""),"Wounded")</f>
        <v>Wounded</v>
      </c>
      <c r="C42" s="5" t="str">
        <f ca="1">IFERROR(__xludf.DUMMYFUNCTION("""COMPUTED_VALUE"""),"Male")</f>
        <v>Male</v>
      </c>
      <c r="D42" s="5"/>
      <c r="E42" s="5">
        <f ca="1">IFERROR(__xludf.DUMMYFUNCTION("""COMPUTED_VALUE"""),33)</f>
        <v>33</v>
      </c>
      <c r="F42" s="5"/>
    </row>
    <row r="43" spans="1:6">
      <c r="A43" s="5" t="str">
        <f ca="1">IFERROR(__xludf.DUMMYFUNCTION("""COMPUTED_VALUE"""),"20220526SCMEG")</f>
        <v>20220526SCMEG</v>
      </c>
      <c r="B43" s="5" t="str">
        <f ca="1">IFERROR(__xludf.DUMMYFUNCTION("""COMPUTED_VALUE"""),"Fatal")</f>
        <v>Fatal</v>
      </c>
      <c r="C43" s="5" t="str">
        <f ca="1">IFERROR(__xludf.DUMMYFUNCTION("""COMPUTED_VALUE"""),"Male")</f>
        <v>Male</v>
      </c>
      <c r="D43" s="5" t="str">
        <f ca="1">IFERROR(__xludf.DUMMYFUNCTION("""COMPUTED_VALUE"""),"No Relation")</f>
        <v>No Relation</v>
      </c>
      <c r="E43" s="5">
        <f ca="1">IFERROR(__xludf.DUMMYFUNCTION("""COMPUTED_VALUE"""),31)</f>
        <v>31</v>
      </c>
      <c r="F43" s="5"/>
    </row>
    <row r="44" spans="1:6">
      <c r="A44" s="5" t="str">
        <f ca="1">IFERROR(__xludf.DUMMYFUNCTION("""COMPUTED_VALUE"""),"20220524TXROU")</f>
        <v>20220524TXROU</v>
      </c>
      <c r="B44" s="5" t="str">
        <f ca="1">IFERROR(__xludf.DUMMYFUNCTION("""COMPUTED_VALUE"""),"Wounded")</f>
        <v>Wounded</v>
      </c>
      <c r="C44" s="5"/>
      <c r="D44" s="5"/>
      <c r="E44" s="5"/>
      <c r="F44" s="5"/>
    </row>
    <row r="45" spans="1:6">
      <c r="A45" s="5" t="str">
        <f ca="1">IFERROR(__xludf.DUMMYFUNCTION("""COMPUTED_VALUE"""),"20220524TXROU")</f>
        <v>20220524TXROU</v>
      </c>
      <c r="B45" s="5" t="str">
        <f ca="1">IFERROR(__xludf.DUMMYFUNCTION("""COMPUTED_VALUE"""),"Fatal")</f>
        <v>Fatal</v>
      </c>
      <c r="C45" s="5"/>
      <c r="D45" s="5" t="str">
        <f ca="1">IFERROR(__xludf.DUMMYFUNCTION("""COMPUTED_VALUE"""),"Student")</f>
        <v>Student</v>
      </c>
      <c r="E45" s="5" t="str">
        <f ca="1">IFERROR(__xludf.DUMMYFUNCTION("""COMPUTED_VALUE"""),"Child")</f>
        <v>Child</v>
      </c>
      <c r="F45" s="5"/>
    </row>
    <row r="46" spans="1:6">
      <c r="A46" s="5" t="str">
        <f ca="1">IFERROR(__xludf.DUMMYFUNCTION("""COMPUTED_VALUE"""),"20220524TXROU")</f>
        <v>20220524TXROU</v>
      </c>
      <c r="B46" s="5" t="str">
        <f ca="1">IFERROR(__xludf.DUMMYFUNCTION("""COMPUTED_VALUE"""),"Wounded")</f>
        <v>Wounded</v>
      </c>
      <c r="C46" s="5"/>
      <c r="D46" s="5" t="str">
        <f ca="1">IFERROR(__xludf.DUMMYFUNCTION("""COMPUTED_VALUE"""),"Student")</f>
        <v>Student</v>
      </c>
      <c r="E46" s="5" t="str">
        <f ca="1">IFERROR(__xludf.DUMMYFUNCTION("""COMPUTED_VALUE"""),"Child")</f>
        <v>Child</v>
      </c>
      <c r="F46" s="5"/>
    </row>
    <row r="47" spans="1:6">
      <c r="A47" s="5" t="str">
        <f ca="1">IFERROR(__xludf.DUMMYFUNCTION("""COMPUTED_VALUE"""),"20220524TXROU")</f>
        <v>20220524TXROU</v>
      </c>
      <c r="B47" s="5" t="str">
        <f ca="1">IFERROR(__xludf.DUMMYFUNCTION("""COMPUTED_VALUE"""),"Fatal")</f>
        <v>Fatal</v>
      </c>
      <c r="C47" s="5"/>
      <c r="D47" s="5" t="str">
        <f ca="1">IFERROR(__xludf.DUMMYFUNCTION("""COMPUTED_VALUE"""),"Student")</f>
        <v>Student</v>
      </c>
      <c r="E47" s="5" t="str">
        <f ca="1">IFERROR(__xludf.DUMMYFUNCTION("""COMPUTED_VALUE"""),"Child")</f>
        <v>Child</v>
      </c>
      <c r="F47" s="5"/>
    </row>
    <row r="48" spans="1:6">
      <c r="A48" s="5" t="str">
        <f ca="1">IFERROR(__xludf.DUMMYFUNCTION("""COMPUTED_VALUE"""),"20220524TXROU")</f>
        <v>20220524TXROU</v>
      </c>
      <c r="B48" s="5" t="str">
        <f ca="1">IFERROR(__xludf.DUMMYFUNCTION("""COMPUTED_VALUE"""),"Fatal")</f>
        <v>Fatal</v>
      </c>
      <c r="C48" s="5"/>
      <c r="D48" s="5" t="str">
        <f ca="1">IFERROR(__xludf.DUMMYFUNCTION("""COMPUTED_VALUE"""),"Student")</f>
        <v>Student</v>
      </c>
      <c r="E48" s="5" t="str">
        <f ca="1">IFERROR(__xludf.DUMMYFUNCTION("""COMPUTED_VALUE"""),"Child")</f>
        <v>Child</v>
      </c>
      <c r="F48" s="5"/>
    </row>
    <row r="49" spans="1:6">
      <c r="A49" s="5" t="str">
        <f ca="1">IFERROR(__xludf.DUMMYFUNCTION("""COMPUTED_VALUE"""),"20220524TXROU")</f>
        <v>20220524TXROU</v>
      </c>
      <c r="B49" s="5" t="str">
        <f ca="1">IFERROR(__xludf.DUMMYFUNCTION("""COMPUTED_VALUE"""),"Wounded")</f>
        <v>Wounded</v>
      </c>
      <c r="C49" s="5"/>
      <c r="D49" s="5"/>
      <c r="E49" s="5"/>
      <c r="F49" s="5"/>
    </row>
    <row r="50" spans="1:6">
      <c r="A50" s="5" t="str">
        <f ca="1">IFERROR(__xludf.DUMMYFUNCTION("""COMPUTED_VALUE"""),"20220524TXROU")</f>
        <v>20220524TXROU</v>
      </c>
      <c r="B50" s="5" t="str">
        <f ca="1">IFERROR(__xludf.DUMMYFUNCTION("""COMPUTED_VALUE"""),"Fatal")</f>
        <v>Fatal</v>
      </c>
      <c r="C50" s="5"/>
      <c r="D50" s="5" t="str">
        <f ca="1">IFERROR(__xludf.DUMMYFUNCTION("""COMPUTED_VALUE"""),"Student")</f>
        <v>Student</v>
      </c>
      <c r="E50" s="5" t="str">
        <f ca="1">IFERROR(__xludf.DUMMYFUNCTION("""COMPUTED_VALUE"""),"Child")</f>
        <v>Child</v>
      </c>
      <c r="F50" s="5"/>
    </row>
    <row r="51" spans="1:6">
      <c r="A51" s="5" t="str">
        <f ca="1">IFERROR(__xludf.DUMMYFUNCTION("""COMPUTED_VALUE"""),"20220524TXROU")</f>
        <v>20220524TXROU</v>
      </c>
      <c r="B51" s="5" t="str">
        <f ca="1">IFERROR(__xludf.DUMMYFUNCTION("""COMPUTED_VALUE"""),"Wounded")</f>
        <v>Wounded</v>
      </c>
      <c r="C51" s="5"/>
      <c r="D51" s="5"/>
      <c r="E51" s="5"/>
      <c r="F51" s="5"/>
    </row>
    <row r="52" spans="1:6">
      <c r="A52" s="5" t="str">
        <f ca="1">IFERROR(__xludf.DUMMYFUNCTION("""COMPUTED_VALUE"""),"20220524TXROU")</f>
        <v>20220524TXROU</v>
      </c>
      <c r="B52" s="5" t="str">
        <f ca="1">IFERROR(__xludf.DUMMYFUNCTION("""COMPUTED_VALUE"""),"Wounded")</f>
        <v>Wounded</v>
      </c>
      <c r="C52" s="5"/>
      <c r="D52" s="5" t="str">
        <f ca="1">IFERROR(__xludf.DUMMYFUNCTION("""COMPUTED_VALUE"""),"Student")</f>
        <v>Student</v>
      </c>
      <c r="E52" s="5" t="str">
        <f ca="1">IFERROR(__xludf.DUMMYFUNCTION("""COMPUTED_VALUE"""),"Child")</f>
        <v>Child</v>
      </c>
      <c r="F52" s="5"/>
    </row>
    <row r="53" spans="1:6">
      <c r="A53" s="5" t="str">
        <f ca="1">IFERROR(__xludf.DUMMYFUNCTION("""COMPUTED_VALUE"""),"20220524TXROU")</f>
        <v>20220524TXROU</v>
      </c>
      <c r="B53" s="5" t="str">
        <f ca="1">IFERROR(__xludf.DUMMYFUNCTION("""COMPUTED_VALUE"""),"Wounded")</f>
        <v>Wounded</v>
      </c>
      <c r="C53" s="5"/>
      <c r="D53" s="5"/>
      <c r="E53" s="5"/>
      <c r="F53" s="5"/>
    </row>
    <row r="54" spans="1:6">
      <c r="A54" s="5" t="str">
        <f ca="1">IFERROR(__xludf.DUMMYFUNCTION("""COMPUTED_VALUE"""),"20220524TXROU")</f>
        <v>20220524TXROU</v>
      </c>
      <c r="B54" s="5" t="str">
        <f ca="1">IFERROR(__xludf.DUMMYFUNCTION("""COMPUTED_VALUE"""),"Fatal")</f>
        <v>Fatal</v>
      </c>
      <c r="C54" s="5"/>
      <c r="D54" s="5" t="str">
        <f ca="1">IFERROR(__xludf.DUMMYFUNCTION("""COMPUTED_VALUE"""),"Student")</f>
        <v>Student</v>
      </c>
      <c r="E54" s="5" t="str">
        <f ca="1">IFERROR(__xludf.DUMMYFUNCTION("""COMPUTED_VALUE"""),"Child")</f>
        <v>Child</v>
      </c>
      <c r="F54" s="5"/>
    </row>
    <row r="55" spans="1:6">
      <c r="A55" s="5" t="str">
        <f ca="1">IFERROR(__xludf.DUMMYFUNCTION("""COMPUTED_VALUE"""),"20220524TXROU")</f>
        <v>20220524TXROU</v>
      </c>
      <c r="B55" s="5" t="str">
        <f ca="1">IFERROR(__xludf.DUMMYFUNCTION("""COMPUTED_VALUE"""),"Fatal")</f>
        <v>Fatal</v>
      </c>
      <c r="C55" s="5"/>
      <c r="D55" s="5" t="str">
        <f ca="1">IFERROR(__xludf.DUMMYFUNCTION("""COMPUTED_VALUE"""),"Student")</f>
        <v>Student</v>
      </c>
      <c r="E55" s="5" t="str">
        <f ca="1">IFERROR(__xludf.DUMMYFUNCTION("""COMPUTED_VALUE"""),"Child")</f>
        <v>Child</v>
      </c>
      <c r="F55" s="5"/>
    </row>
    <row r="56" spans="1:6">
      <c r="A56" s="5" t="str">
        <f ca="1">IFERROR(__xludf.DUMMYFUNCTION("""COMPUTED_VALUE"""),"20220524TXROU")</f>
        <v>20220524TXROU</v>
      </c>
      <c r="B56" s="5" t="str">
        <f ca="1">IFERROR(__xludf.DUMMYFUNCTION("""COMPUTED_VALUE"""),"Fatal")</f>
        <v>Fatal</v>
      </c>
      <c r="C56" s="5"/>
      <c r="D56" s="5" t="str">
        <f ca="1">IFERROR(__xludf.DUMMYFUNCTION("""COMPUTED_VALUE"""),"Student")</f>
        <v>Student</v>
      </c>
      <c r="E56" s="5" t="str">
        <f ca="1">IFERROR(__xludf.DUMMYFUNCTION("""COMPUTED_VALUE"""),"Child")</f>
        <v>Child</v>
      </c>
      <c r="F56" s="5"/>
    </row>
    <row r="57" spans="1:6">
      <c r="A57" s="5" t="str">
        <f ca="1">IFERROR(__xludf.DUMMYFUNCTION("""COMPUTED_VALUE"""),"20220524TXROU")</f>
        <v>20220524TXROU</v>
      </c>
      <c r="B57" s="5" t="str">
        <f ca="1">IFERROR(__xludf.DUMMYFUNCTION("""COMPUTED_VALUE"""),"Wounded")</f>
        <v>Wounded</v>
      </c>
      <c r="C57" s="5"/>
      <c r="D57" s="5"/>
      <c r="E57" s="5"/>
      <c r="F57" s="5"/>
    </row>
    <row r="58" spans="1:6">
      <c r="A58" s="5" t="str">
        <f ca="1">IFERROR(__xludf.DUMMYFUNCTION("""COMPUTED_VALUE"""),"20220524TXROU")</f>
        <v>20220524TXROU</v>
      </c>
      <c r="B58" s="5" t="str">
        <f ca="1">IFERROR(__xludf.DUMMYFUNCTION("""COMPUTED_VALUE"""),"Fatal")</f>
        <v>Fatal</v>
      </c>
      <c r="C58" s="5"/>
      <c r="D58" s="5" t="str">
        <f ca="1">IFERROR(__xludf.DUMMYFUNCTION("""COMPUTED_VALUE"""),"Student")</f>
        <v>Student</v>
      </c>
      <c r="E58" s="5" t="str">
        <f ca="1">IFERROR(__xludf.DUMMYFUNCTION("""COMPUTED_VALUE"""),"Child")</f>
        <v>Child</v>
      </c>
      <c r="F58" s="5"/>
    </row>
    <row r="59" spans="1:6">
      <c r="A59" s="5" t="str">
        <f ca="1">IFERROR(__xludf.DUMMYFUNCTION("""COMPUTED_VALUE"""),"20220524TXROU")</f>
        <v>20220524TXROU</v>
      </c>
      <c r="B59" s="5" t="str">
        <f ca="1">IFERROR(__xludf.DUMMYFUNCTION("""COMPUTED_VALUE"""),"Wounded")</f>
        <v>Wounded</v>
      </c>
      <c r="C59" s="5"/>
      <c r="D59" s="5"/>
      <c r="E59" s="5"/>
      <c r="F59" s="5"/>
    </row>
    <row r="60" spans="1:6">
      <c r="A60" s="5" t="str">
        <f ca="1">IFERROR(__xludf.DUMMYFUNCTION("""COMPUTED_VALUE"""),"20220524TXROU")</f>
        <v>20220524TXROU</v>
      </c>
      <c r="B60" s="5" t="str">
        <f ca="1">IFERROR(__xludf.DUMMYFUNCTION("""COMPUTED_VALUE"""),"Wounded")</f>
        <v>Wounded</v>
      </c>
      <c r="C60" s="5"/>
      <c r="D60" s="5" t="str">
        <f ca="1">IFERROR(__xludf.DUMMYFUNCTION("""COMPUTED_VALUE"""),"Student")</f>
        <v>Student</v>
      </c>
      <c r="E60" s="5" t="str">
        <f ca="1">IFERROR(__xludf.DUMMYFUNCTION("""COMPUTED_VALUE"""),"Child")</f>
        <v>Child</v>
      </c>
      <c r="F60" s="5"/>
    </row>
    <row r="61" spans="1:6">
      <c r="A61" s="5" t="str">
        <f ca="1">IFERROR(__xludf.DUMMYFUNCTION("""COMPUTED_VALUE"""),"20220524TXROU")</f>
        <v>20220524TXROU</v>
      </c>
      <c r="B61" s="5" t="str">
        <f ca="1">IFERROR(__xludf.DUMMYFUNCTION("""COMPUTED_VALUE"""),"Fatal")</f>
        <v>Fatal</v>
      </c>
      <c r="C61" s="5"/>
      <c r="D61" s="5" t="str">
        <f ca="1">IFERROR(__xludf.DUMMYFUNCTION("""COMPUTED_VALUE"""),"Student")</f>
        <v>Student</v>
      </c>
      <c r="E61" s="5" t="str">
        <f ca="1">IFERROR(__xludf.DUMMYFUNCTION("""COMPUTED_VALUE"""),"Child")</f>
        <v>Child</v>
      </c>
      <c r="F61" s="5"/>
    </row>
    <row r="62" spans="1:6">
      <c r="A62" s="5" t="str">
        <f ca="1">IFERROR(__xludf.DUMMYFUNCTION("""COMPUTED_VALUE"""),"20220524TXROU")</f>
        <v>20220524TXROU</v>
      </c>
      <c r="B62" s="5" t="str">
        <f ca="1">IFERROR(__xludf.DUMMYFUNCTION("""COMPUTED_VALUE"""),"Wounded")</f>
        <v>Wounded</v>
      </c>
      <c r="C62" s="5"/>
      <c r="D62" s="5"/>
      <c r="E62" s="5"/>
      <c r="F62" s="5"/>
    </row>
    <row r="63" spans="1:6">
      <c r="A63" s="5" t="str">
        <f ca="1">IFERROR(__xludf.DUMMYFUNCTION("""COMPUTED_VALUE"""),"20220524TXROU")</f>
        <v>20220524TXROU</v>
      </c>
      <c r="B63" s="5" t="str">
        <f ca="1">IFERROR(__xludf.DUMMYFUNCTION("""COMPUTED_VALUE"""),"Fatal")</f>
        <v>Fatal</v>
      </c>
      <c r="C63" s="5"/>
      <c r="D63" s="5" t="str">
        <f ca="1">IFERROR(__xludf.DUMMYFUNCTION("""COMPUTED_VALUE"""),"Student")</f>
        <v>Student</v>
      </c>
      <c r="E63" s="5" t="str">
        <f ca="1">IFERROR(__xludf.DUMMYFUNCTION("""COMPUTED_VALUE"""),"Child")</f>
        <v>Child</v>
      </c>
      <c r="F63" s="5"/>
    </row>
    <row r="64" spans="1:6">
      <c r="A64" s="5" t="str">
        <f ca="1">IFERROR(__xludf.DUMMYFUNCTION("""COMPUTED_VALUE"""),"20220524TXROU")</f>
        <v>20220524TXROU</v>
      </c>
      <c r="B64" s="5" t="str">
        <f ca="1">IFERROR(__xludf.DUMMYFUNCTION("""COMPUTED_VALUE"""),"Fatal")</f>
        <v>Fatal</v>
      </c>
      <c r="C64" s="5"/>
      <c r="D64" s="5" t="str">
        <f ca="1">IFERROR(__xludf.DUMMYFUNCTION("""COMPUTED_VALUE"""),"Student")</f>
        <v>Student</v>
      </c>
      <c r="E64" s="5" t="str">
        <f ca="1">IFERROR(__xludf.DUMMYFUNCTION("""COMPUTED_VALUE"""),"Child")</f>
        <v>Child</v>
      </c>
      <c r="F64" s="5"/>
    </row>
    <row r="65" spans="1:6">
      <c r="A65" s="5" t="str">
        <f ca="1">IFERROR(__xludf.DUMMYFUNCTION("""COMPUTED_VALUE"""),"20220524TXROU")</f>
        <v>20220524TXROU</v>
      </c>
      <c r="B65" s="5" t="str">
        <f ca="1">IFERROR(__xludf.DUMMYFUNCTION("""COMPUTED_VALUE"""),"Fatal")</f>
        <v>Fatal</v>
      </c>
      <c r="C65" s="5"/>
      <c r="D65" s="5" t="str">
        <f ca="1">IFERROR(__xludf.DUMMYFUNCTION("""COMPUTED_VALUE"""),"Student")</f>
        <v>Student</v>
      </c>
      <c r="E65" s="5" t="str">
        <f ca="1">IFERROR(__xludf.DUMMYFUNCTION("""COMPUTED_VALUE"""),"Child")</f>
        <v>Child</v>
      </c>
      <c r="F65" s="5"/>
    </row>
    <row r="66" spans="1:6">
      <c r="A66" s="5" t="str">
        <f ca="1">IFERROR(__xludf.DUMMYFUNCTION("""COMPUTED_VALUE"""),"20220524TXROU")</f>
        <v>20220524TXROU</v>
      </c>
      <c r="B66" s="5" t="str">
        <f ca="1">IFERROR(__xludf.DUMMYFUNCTION("""COMPUTED_VALUE"""),"Wounded")</f>
        <v>Wounded</v>
      </c>
      <c r="C66" s="5"/>
      <c r="D66" s="5"/>
      <c r="E66" s="5"/>
      <c r="F66" s="5"/>
    </row>
    <row r="67" spans="1:6">
      <c r="A67" s="5" t="str">
        <f ca="1">IFERROR(__xludf.DUMMYFUNCTION("""COMPUTED_VALUE"""),"20220524TXROU")</f>
        <v>20220524TXROU</v>
      </c>
      <c r="B67" s="5" t="str">
        <f ca="1">IFERROR(__xludf.DUMMYFUNCTION("""COMPUTED_VALUE"""),"Wounded")</f>
        <v>Wounded</v>
      </c>
      <c r="C67" s="5"/>
      <c r="D67" s="5"/>
      <c r="E67" s="5" t="str">
        <f ca="1">IFERROR(__xludf.DUMMYFUNCTION("""COMPUTED_VALUE"""),"Adult")</f>
        <v>Adult</v>
      </c>
      <c r="F67" s="5"/>
    </row>
    <row r="68" spans="1:6">
      <c r="A68" s="5" t="str">
        <f ca="1">IFERROR(__xludf.DUMMYFUNCTION("""COMPUTED_VALUE"""),"20220524TXROU")</f>
        <v>20220524TXROU</v>
      </c>
      <c r="B68" s="5" t="str">
        <f ca="1">IFERROR(__xludf.DUMMYFUNCTION("""COMPUTED_VALUE"""),"Fatal")</f>
        <v>Fatal</v>
      </c>
      <c r="C68" s="5"/>
      <c r="D68" s="5" t="str">
        <f ca="1">IFERROR(__xludf.DUMMYFUNCTION("""COMPUTED_VALUE"""),"Student")</f>
        <v>Student</v>
      </c>
      <c r="E68" s="5" t="str">
        <f ca="1">IFERROR(__xludf.DUMMYFUNCTION("""COMPUTED_VALUE"""),"Child")</f>
        <v>Child</v>
      </c>
      <c r="F68" s="5"/>
    </row>
    <row r="69" spans="1:6">
      <c r="A69" s="5" t="str">
        <f ca="1">IFERROR(__xludf.DUMMYFUNCTION("""COMPUTED_VALUE"""),"20220524TXROU")</f>
        <v>20220524TXROU</v>
      </c>
      <c r="B69" s="5" t="str">
        <f ca="1">IFERROR(__xludf.DUMMYFUNCTION("""COMPUTED_VALUE"""),"Wounded")</f>
        <v>Wounded</v>
      </c>
      <c r="C69" s="5"/>
      <c r="D69" s="5"/>
      <c r="E69" s="5"/>
      <c r="F69" s="5"/>
    </row>
    <row r="70" spans="1:6">
      <c r="A70" s="5" t="str">
        <f ca="1">IFERROR(__xludf.DUMMYFUNCTION("""COMPUTED_VALUE"""),"20220524TXROU")</f>
        <v>20220524TXROU</v>
      </c>
      <c r="B70" s="5" t="str">
        <f ca="1">IFERROR(__xludf.DUMMYFUNCTION("""COMPUTED_VALUE"""),"Fatal")</f>
        <v>Fatal</v>
      </c>
      <c r="C70" s="5"/>
      <c r="D70" s="5" t="str">
        <f ca="1">IFERROR(__xludf.DUMMYFUNCTION("""COMPUTED_VALUE"""),"Student")</f>
        <v>Student</v>
      </c>
      <c r="E70" s="5" t="str">
        <f ca="1">IFERROR(__xludf.DUMMYFUNCTION("""COMPUTED_VALUE"""),"Child")</f>
        <v>Child</v>
      </c>
      <c r="F70" s="5"/>
    </row>
    <row r="71" spans="1:6">
      <c r="A71" s="5" t="str">
        <f ca="1">IFERROR(__xludf.DUMMYFUNCTION("""COMPUTED_VALUE"""),"20220524TXROU")</f>
        <v>20220524TXROU</v>
      </c>
      <c r="B71" s="5" t="str">
        <f ca="1">IFERROR(__xludf.DUMMYFUNCTION("""COMPUTED_VALUE"""),"Fatal")</f>
        <v>Fatal</v>
      </c>
      <c r="C71" s="5" t="str">
        <f ca="1">IFERROR(__xludf.DUMMYFUNCTION("""COMPUTED_VALUE"""),"Female")</f>
        <v>Female</v>
      </c>
      <c r="D71" s="5" t="str">
        <f ca="1">IFERROR(__xludf.DUMMYFUNCTION("""COMPUTED_VALUE"""),"Teacher")</f>
        <v>Teacher</v>
      </c>
      <c r="E71" s="5" t="str">
        <f ca="1">IFERROR(__xludf.DUMMYFUNCTION("""COMPUTED_VALUE"""),"Adult")</f>
        <v>Adult</v>
      </c>
      <c r="F71" s="5"/>
    </row>
    <row r="72" spans="1:6">
      <c r="A72" s="5" t="str">
        <f ca="1">IFERROR(__xludf.DUMMYFUNCTION("""COMPUTED_VALUE"""),"20220524TXROU")</f>
        <v>20220524TXROU</v>
      </c>
      <c r="B72" s="5" t="str">
        <f ca="1">IFERROR(__xludf.DUMMYFUNCTION("""COMPUTED_VALUE"""),"Fatal")</f>
        <v>Fatal</v>
      </c>
      <c r="C72" s="5"/>
      <c r="D72" s="5" t="str">
        <f ca="1">IFERROR(__xludf.DUMMYFUNCTION("""COMPUTED_VALUE"""),"Student")</f>
        <v>Student</v>
      </c>
      <c r="E72" s="5" t="str">
        <f ca="1">IFERROR(__xludf.DUMMYFUNCTION("""COMPUTED_VALUE"""),"Child")</f>
        <v>Child</v>
      </c>
      <c r="F72" s="5"/>
    </row>
    <row r="73" spans="1:6">
      <c r="A73" s="5" t="str">
        <f ca="1">IFERROR(__xludf.DUMMYFUNCTION("""COMPUTED_VALUE"""),"20220524TXROU")</f>
        <v>20220524TXROU</v>
      </c>
      <c r="B73" s="5" t="str">
        <f ca="1">IFERROR(__xludf.DUMMYFUNCTION("""COMPUTED_VALUE"""),"Wounded")</f>
        <v>Wounded</v>
      </c>
      <c r="C73" s="5"/>
      <c r="D73" s="5"/>
      <c r="E73" s="5"/>
      <c r="F73" s="5"/>
    </row>
    <row r="74" spans="1:6">
      <c r="A74" s="5" t="str">
        <f ca="1">IFERROR(__xludf.DUMMYFUNCTION("""COMPUTED_VALUE"""),"20220524TXROU")</f>
        <v>20220524TXROU</v>
      </c>
      <c r="B74" s="5" t="str">
        <f ca="1">IFERROR(__xludf.DUMMYFUNCTION("""COMPUTED_VALUE"""),"Wounded")</f>
        <v>Wounded</v>
      </c>
      <c r="C74" s="5"/>
      <c r="D74" s="5"/>
      <c r="E74" s="5"/>
      <c r="F74" s="5"/>
    </row>
    <row r="75" spans="1:6">
      <c r="A75" s="5" t="str">
        <f ca="1">IFERROR(__xludf.DUMMYFUNCTION("""COMPUTED_VALUE"""),"20220524TXROU")</f>
        <v>20220524TXROU</v>
      </c>
      <c r="B75" s="5" t="str">
        <f ca="1">IFERROR(__xludf.DUMMYFUNCTION("""COMPUTED_VALUE"""),"Fatal")</f>
        <v>Fatal</v>
      </c>
      <c r="C75" s="5"/>
      <c r="D75" s="5" t="str">
        <f ca="1">IFERROR(__xludf.DUMMYFUNCTION("""COMPUTED_VALUE"""),"Student")</f>
        <v>Student</v>
      </c>
      <c r="E75" s="5" t="str">
        <f ca="1">IFERROR(__xludf.DUMMYFUNCTION("""COMPUTED_VALUE"""),"Child")</f>
        <v>Child</v>
      </c>
      <c r="F75" s="5"/>
    </row>
    <row r="76" spans="1:6">
      <c r="A76" s="5" t="str">
        <f ca="1">IFERROR(__xludf.DUMMYFUNCTION("""COMPUTED_VALUE"""),"20220524TXROU")</f>
        <v>20220524TXROU</v>
      </c>
      <c r="B76" s="5" t="str">
        <f ca="1">IFERROR(__xludf.DUMMYFUNCTION("""COMPUTED_VALUE"""),"Wounded")</f>
        <v>Wounded</v>
      </c>
      <c r="C76" s="5"/>
      <c r="D76" s="5"/>
      <c r="E76" s="5"/>
      <c r="F76" s="5"/>
    </row>
    <row r="77" spans="1:6">
      <c r="A77" s="5" t="str">
        <f ca="1">IFERROR(__xludf.DUMMYFUNCTION("""COMPUTED_VALUE"""),"20220524TXROU")</f>
        <v>20220524TXROU</v>
      </c>
      <c r="B77" s="5" t="str">
        <f ca="1">IFERROR(__xludf.DUMMYFUNCTION("""COMPUTED_VALUE"""),"Fatal")</f>
        <v>Fatal</v>
      </c>
      <c r="C77" s="5"/>
      <c r="D77" s="5" t="str">
        <f ca="1">IFERROR(__xludf.DUMMYFUNCTION("""COMPUTED_VALUE"""),"Student")</f>
        <v>Student</v>
      </c>
      <c r="E77" s="5" t="str">
        <f ca="1">IFERROR(__xludf.DUMMYFUNCTION("""COMPUTED_VALUE"""),"Child")</f>
        <v>Child</v>
      </c>
      <c r="F77" s="5"/>
    </row>
    <row r="78" spans="1:6">
      <c r="A78" s="5" t="str">
        <f ca="1">IFERROR(__xludf.DUMMYFUNCTION("""COMPUTED_VALUE"""),"20220524TXROU")</f>
        <v>20220524TXROU</v>
      </c>
      <c r="B78" s="5" t="str">
        <f ca="1">IFERROR(__xludf.DUMMYFUNCTION("""COMPUTED_VALUE"""),"Fatal")</f>
        <v>Fatal</v>
      </c>
      <c r="C78" s="5"/>
      <c r="D78" s="5" t="str">
        <f ca="1">IFERROR(__xludf.DUMMYFUNCTION("""COMPUTED_VALUE"""),"Teacher")</f>
        <v>Teacher</v>
      </c>
      <c r="E78" s="5" t="str">
        <f ca="1">IFERROR(__xludf.DUMMYFUNCTION("""COMPUTED_VALUE"""),"Adult")</f>
        <v>Adult</v>
      </c>
      <c r="F78" s="5"/>
    </row>
    <row r="79" spans="1:6">
      <c r="A79" s="5" t="str">
        <f ca="1">IFERROR(__xludf.DUMMYFUNCTION("""COMPUTED_VALUE"""),"20220524TXROU")</f>
        <v>20220524TXROU</v>
      </c>
      <c r="B79" s="5" t="str">
        <f ca="1">IFERROR(__xludf.DUMMYFUNCTION("""COMPUTED_VALUE"""),"Fatal")</f>
        <v>Fatal</v>
      </c>
      <c r="C79" s="5"/>
      <c r="D79" s="5" t="str">
        <f ca="1">IFERROR(__xludf.DUMMYFUNCTION("""COMPUTED_VALUE"""),"Student")</f>
        <v>Student</v>
      </c>
      <c r="E79" s="5" t="str">
        <f ca="1">IFERROR(__xludf.DUMMYFUNCTION("""COMPUTED_VALUE"""),"Child")</f>
        <v>Child</v>
      </c>
      <c r="F79" s="5"/>
    </row>
    <row r="80" spans="1:6">
      <c r="A80" s="5" t="str">
        <f ca="1">IFERROR(__xludf.DUMMYFUNCTION("""COMPUTED_VALUE"""),"20220524TXROU")</f>
        <v>20220524TXROU</v>
      </c>
      <c r="B80" s="5" t="str">
        <f ca="1">IFERROR(__xludf.DUMMYFUNCTION("""COMPUTED_VALUE"""),"Wounded")</f>
        <v>Wounded</v>
      </c>
      <c r="C80" s="5"/>
      <c r="D80" s="5"/>
      <c r="E80" s="5"/>
      <c r="F80" s="5"/>
    </row>
    <row r="81" spans="1:6">
      <c r="A81" s="5" t="str">
        <f ca="1">IFERROR(__xludf.DUMMYFUNCTION("""COMPUTED_VALUE"""),"20220524TXROU")</f>
        <v>20220524TXROU</v>
      </c>
      <c r="B81" s="5" t="str">
        <f ca="1">IFERROR(__xludf.DUMMYFUNCTION("""COMPUTED_VALUE"""),"Fatal")</f>
        <v>Fatal</v>
      </c>
      <c r="C81" s="5"/>
      <c r="D81" s="5" t="str">
        <f ca="1">IFERROR(__xludf.DUMMYFUNCTION("""COMPUTED_VALUE"""),"Student")</f>
        <v>Student</v>
      </c>
      <c r="E81" s="5" t="str">
        <f ca="1">IFERROR(__xludf.DUMMYFUNCTION("""COMPUTED_VALUE"""),"Child")</f>
        <v>Child</v>
      </c>
      <c r="F81" s="5"/>
    </row>
    <row r="82" spans="1:6">
      <c r="A82" s="5" t="str">
        <f ca="1">IFERROR(__xludf.DUMMYFUNCTION("""COMPUTED_VALUE"""),"20220524TXROU")</f>
        <v>20220524TXROU</v>
      </c>
      <c r="B82" s="5" t="str">
        <f ca="1">IFERROR(__xludf.DUMMYFUNCTION("""COMPUTED_VALUE"""),"Wounded")</f>
        <v>Wounded</v>
      </c>
      <c r="C82" s="5"/>
      <c r="D82" s="5"/>
      <c r="E82" s="5"/>
      <c r="F82" s="5"/>
    </row>
    <row r="83" spans="1:6">
      <c r="A83" s="5" t="str">
        <f ca="1">IFERROR(__xludf.DUMMYFUNCTION("""COMPUTED_VALUE"""),"20220524DCPOW")</f>
        <v>20220524DCPOW</v>
      </c>
      <c r="B83" s="5" t="str">
        <f ca="1">IFERROR(__xludf.DUMMYFUNCTION("""COMPUTED_VALUE"""),"Wounded")</f>
        <v>Wounded</v>
      </c>
      <c r="C83" s="5" t="str">
        <f ca="1">IFERROR(__xludf.DUMMYFUNCTION("""COMPUTED_VALUE"""),"Male")</f>
        <v>Male</v>
      </c>
      <c r="D83" s="5" t="str">
        <f ca="1">IFERROR(__xludf.DUMMYFUNCTION("""COMPUTED_VALUE"""),"No Relation")</f>
        <v>No Relation</v>
      </c>
      <c r="E83" s="5">
        <f ca="1">IFERROR(__xludf.DUMMYFUNCTION("""COMPUTED_VALUE"""),19)</f>
        <v>19</v>
      </c>
      <c r="F83" s="5"/>
    </row>
    <row r="84" spans="1:6">
      <c r="A84" s="5" t="str">
        <f ca="1">IFERROR(__xludf.DUMMYFUNCTION("""COMPUTED_VALUE"""),"20220523PASIP")</f>
        <v>20220523PASIP</v>
      </c>
      <c r="B84" s="5" t="str">
        <f ca="1">IFERROR(__xludf.DUMMYFUNCTION("""COMPUTED_VALUE"""),"Wounded")</f>
        <v>Wounded</v>
      </c>
      <c r="C84" s="5" t="str">
        <f ca="1">IFERROR(__xludf.DUMMYFUNCTION("""COMPUTED_VALUE"""),"Male")</f>
        <v>Male</v>
      </c>
      <c r="D84" s="5" t="str">
        <f ca="1">IFERROR(__xludf.DUMMYFUNCTION("""COMPUTED_VALUE"""),"Student")</f>
        <v>Student</v>
      </c>
      <c r="E84" s="5">
        <f ca="1">IFERROR(__xludf.DUMMYFUNCTION("""COMPUTED_VALUE"""),15)</f>
        <v>15</v>
      </c>
      <c r="F84" s="5"/>
    </row>
    <row r="85" spans="1:6">
      <c r="A85" s="5" t="str">
        <f ca="1">IFERROR(__xludf.DUMMYFUNCTION("""COMPUTED_VALUE"""),"20220523PASIP")</f>
        <v>20220523PASIP</v>
      </c>
      <c r="B85" s="5" t="str">
        <f ca="1">IFERROR(__xludf.DUMMYFUNCTION("""COMPUTED_VALUE"""),"Wounded")</f>
        <v>Wounded</v>
      </c>
      <c r="C85" s="5" t="str">
        <f ca="1">IFERROR(__xludf.DUMMYFUNCTION("""COMPUTED_VALUE"""),"Male")</f>
        <v>Male</v>
      </c>
      <c r="D85" s="5" t="str">
        <f ca="1">IFERROR(__xludf.DUMMYFUNCTION("""COMPUTED_VALUE"""),"Student")</f>
        <v>Student</v>
      </c>
      <c r="E85" s="5">
        <f ca="1">IFERROR(__xludf.DUMMYFUNCTION("""COMPUTED_VALUE"""),16)</f>
        <v>16</v>
      </c>
      <c r="F85" s="5"/>
    </row>
    <row r="86" spans="1:6">
      <c r="A86" s="5" t="str">
        <f ca="1">IFERROR(__xludf.DUMMYFUNCTION("""COMPUTED_VALUE"""),"20220523PASIP")</f>
        <v>20220523PASIP</v>
      </c>
      <c r="B86" s="5" t="str">
        <f ca="1">IFERROR(__xludf.DUMMYFUNCTION("""COMPUTED_VALUE"""),"Wounded")</f>
        <v>Wounded</v>
      </c>
      <c r="C86" s="5" t="str">
        <f ca="1">IFERROR(__xludf.DUMMYFUNCTION("""COMPUTED_VALUE"""),"Male")</f>
        <v>Male</v>
      </c>
      <c r="D86" s="5" t="str">
        <f ca="1">IFERROR(__xludf.DUMMYFUNCTION("""COMPUTED_VALUE"""),"Student")</f>
        <v>Student</v>
      </c>
      <c r="E86" s="5">
        <f ca="1">IFERROR(__xludf.DUMMYFUNCTION("""COMPUTED_VALUE"""),17)</f>
        <v>17</v>
      </c>
      <c r="F86" s="5"/>
    </row>
    <row r="87" spans="1:6">
      <c r="A87" s="5" t="str">
        <f ca="1">IFERROR(__xludf.DUMMYFUNCTION("""COMPUTED_VALUE"""),"20220520VAPOD")</f>
        <v>20220520VAPOD</v>
      </c>
      <c r="B87" s="5" t="str">
        <f ca="1">IFERROR(__xludf.DUMMYFUNCTION("""COMPUTED_VALUE"""),"None")</f>
        <v>None</v>
      </c>
      <c r="C87" s="5" t="str">
        <f ca="1">IFERROR(__xludf.DUMMYFUNCTION("""COMPUTED_VALUE"""),"Male")</f>
        <v>Male</v>
      </c>
      <c r="D87" s="5" t="str">
        <f ca="1">IFERROR(__xludf.DUMMYFUNCTION("""COMPUTED_VALUE"""),"Student")</f>
        <v>Student</v>
      </c>
      <c r="E87" s="5" t="str">
        <f ca="1">IFERROR(__xludf.DUMMYFUNCTION("""COMPUTED_VALUE"""),"Teen")</f>
        <v>Teen</v>
      </c>
      <c r="F87" s="5"/>
    </row>
    <row r="88" spans="1:6">
      <c r="A88" s="5" t="str">
        <f ca="1">IFERROR(__xludf.DUMMYFUNCTION("""COMPUTED_VALUE"""),"20220520TNEAC")</f>
        <v>20220520TNEAC</v>
      </c>
      <c r="B88" s="5" t="str">
        <f ca="1">IFERROR(__xludf.DUMMYFUNCTION("""COMPUTED_VALUE"""),"Fatal")</f>
        <v>Fatal</v>
      </c>
      <c r="C88" s="5" t="str">
        <f ca="1">IFERROR(__xludf.DUMMYFUNCTION("""COMPUTED_VALUE"""),"Male")</f>
        <v>Male</v>
      </c>
      <c r="D88" s="5" t="str">
        <f ca="1">IFERROR(__xludf.DUMMYFUNCTION("""COMPUTED_VALUE"""),"No Relation")</f>
        <v>No Relation</v>
      </c>
      <c r="E88" s="5">
        <f ca="1">IFERROR(__xludf.DUMMYFUNCTION("""COMPUTED_VALUE"""),25)</f>
        <v>25</v>
      </c>
      <c r="F88" s="5"/>
    </row>
    <row r="89" spans="1:6">
      <c r="A89" s="5" t="str">
        <f ca="1">IFERROR(__xludf.DUMMYFUNCTION("""COMPUTED_VALUE"""),"20220520OHCAC")</f>
        <v>20220520OHCAC</v>
      </c>
      <c r="B89" s="5" t="str">
        <f ca="1">IFERROR(__xludf.DUMMYFUNCTION("""COMPUTED_VALUE"""),"Minor Injuries")</f>
        <v>Minor Injuries</v>
      </c>
      <c r="C89" s="5"/>
      <c r="D89" s="5" t="str">
        <f ca="1">IFERROR(__xludf.DUMMYFUNCTION("""COMPUTED_VALUE"""),"Bus Driver")</f>
        <v>Bus Driver</v>
      </c>
      <c r="E89" s="5" t="str">
        <f ca="1">IFERROR(__xludf.DUMMYFUNCTION("""COMPUTED_VALUE"""),"Adult")</f>
        <v>Adult</v>
      </c>
      <c r="F89" s="5"/>
    </row>
    <row r="90" spans="1:6">
      <c r="A90" s="5" t="str">
        <f ca="1">IFERROR(__xludf.DUMMYFUNCTION("""COMPUTED_VALUE"""),"20220519MIEAK")</f>
        <v>20220519MIEAK</v>
      </c>
      <c r="B90" s="5" t="str">
        <f ca="1">IFERROR(__xludf.DUMMYFUNCTION("""COMPUTED_VALUE"""),"Wounded")</f>
        <v>Wounded</v>
      </c>
      <c r="C90" s="5" t="str">
        <f ca="1">IFERROR(__xludf.DUMMYFUNCTION("""COMPUTED_VALUE"""),"Female")</f>
        <v>Female</v>
      </c>
      <c r="D90" s="5" t="str">
        <f ca="1">IFERROR(__xludf.DUMMYFUNCTION("""COMPUTED_VALUE"""),"Relative")</f>
        <v>Relative</v>
      </c>
      <c r="E90" s="5">
        <f ca="1">IFERROR(__xludf.DUMMYFUNCTION("""COMPUTED_VALUE"""),40)</f>
        <v>40</v>
      </c>
      <c r="F90" s="5"/>
    </row>
    <row r="91" spans="1:6">
      <c r="A91" s="5" t="str">
        <f ca="1">IFERROR(__xludf.DUMMYFUNCTION("""COMPUTED_VALUE"""),"20220519MIEAK")</f>
        <v>20220519MIEAK</v>
      </c>
      <c r="B91" s="5" t="str">
        <f ca="1">IFERROR(__xludf.DUMMYFUNCTION("""COMPUTED_VALUE"""),"Wounded")</f>
        <v>Wounded</v>
      </c>
      <c r="C91" s="5" t="str">
        <f ca="1">IFERROR(__xludf.DUMMYFUNCTION("""COMPUTED_VALUE"""),"Male")</f>
        <v>Male</v>
      </c>
      <c r="D91" s="5" t="str">
        <f ca="1">IFERROR(__xludf.DUMMYFUNCTION("""COMPUTED_VALUE"""),"Relative")</f>
        <v>Relative</v>
      </c>
      <c r="E91" s="5">
        <f ca="1">IFERROR(__xludf.DUMMYFUNCTION("""COMPUTED_VALUE"""),16)</f>
        <v>16</v>
      </c>
      <c r="F91" s="5"/>
    </row>
    <row r="92" spans="1:6">
      <c r="A92" s="5" t="str">
        <f ca="1">IFERROR(__xludf.DUMMYFUNCTION("""COMPUTED_VALUE"""),"20220519LAHAH")</f>
        <v>20220519LAHAH</v>
      </c>
      <c r="B92" s="5" t="str">
        <f ca="1">IFERROR(__xludf.DUMMYFUNCTION("""COMPUTED_VALUE"""),"Wounded")</f>
        <v>Wounded</v>
      </c>
      <c r="C92" s="5"/>
      <c r="D92" s="5"/>
      <c r="E92" s="5" t="str">
        <f ca="1">IFERROR(__xludf.DUMMYFUNCTION("""COMPUTED_VALUE"""),"Adult")</f>
        <v>Adult</v>
      </c>
      <c r="F92" s="5"/>
    </row>
    <row r="93" spans="1:6">
      <c r="A93" s="5" t="str">
        <f ca="1">IFERROR(__xludf.DUMMYFUNCTION("""COMPUTED_VALUE"""),"20220519LAHAH")</f>
        <v>20220519LAHAH</v>
      </c>
      <c r="B93" s="5" t="str">
        <f ca="1">IFERROR(__xludf.DUMMYFUNCTION("""COMPUTED_VALUE"""),"Wounded")</f>
        <v>Wounded</v>
      </c>
      <c r="C93" s="5"/>
      <c r="D93" s="5"/>
      <c r="E93" s="5" t="str">
        <f ca="1">IFERROR(__xludf.DUMMYFUNCTION("""COMPUTED_VALUE"""),"Adult")</f>
        <v>Adult</v>
      </c>
      <c r="F93" s="5"/>
    </row>
    <row r="94" spans="1:6">
      <c r="A94" s="5" t="str">
        <f ca="1">IFERROR(__xludf.DUMMYFUNCTION("""COMPUTED_VALUE"""),"20220519LAHAH")</f>
        <v>20220519LAHAH</v>
      </c>
      <c r="B94" s="5" t="str">
        <f ca="1">IFERROR(__xludf.DUMMYFUNCTION("""COMPUTED_VALUE"""),"Minor Injuries")</f>
        <v>Minor Injuries</v>
      </c>
      <c r="C94" s="5"/>
      <c r="D94" s="5"/>
      <c r="E94" s="5" t="str">
        <f ca="1">IFERROR(__xludf.DUMMYFUNCTION("""COMPUTED_VALUE"""),"Adult")</f>
        <v>Adult</v>
      </c>
      <c r="F94" s="5"/>
    </row>
    <row r="95" spans="1:6">
      <c r="A95" s="5" t="str">
        <f ca="1">IFERROR(__xludf.DUMMYFUNCTION("""COMPUTED_VALUE"""),"20220519LAHAH")</f>
        <v>20220519LAHAH</v>
      </c>
      <c r="B95" s="5" t="str">
        <f ca="1">IFERROR(__xludf.DUMMYFUNCTION("""COMPUTED_VALUE"""),"Wounded")</f>
        <v>Wounded</v>
      </c>
      <c r="C95" s="5"/>
      <c r="D95" s="5"/>
      <c r="E95" s="5" t="str">
        <f ca="1">IFERROR(__xludf.DUMMYFUNCTION("""COMPUTED_VALUE"""),"Adult")</f>
        <v>Adult</v>
      </c>
      <c r="F95" s="5"/>
    </row>
    <row r="96" spans="1:6">
      <c r="A96" s="5" t="str">
        <f ca="1">IFERROR(__xludf.DUMMYFUNCTION("""COMPUTED_VALUE"""),"20220518TNRIM")</f>
        <v>20220518TNRIM</v>
      </c>
      <c r="B96" s="5" t="str">
        <f ca="1">IFERROR(__xludf.DUMMYFUNCTION("""COMPUTED_VALUE"""),"Fatal")</f>
        <v>Fatal</v>
      </c>
      <c r="C96" s="5" t="str">
        <f ca="1">IFERROR(__xludf.DUMMYFUNCTION("""COMPUTED_VALUE"""),"Male")</f>
        <v>Male</v>
      </c>
      <c r="D96" s="5" t="str">
        <f ca="1">IFERROR(__xludf.DUMMYFUNCTION("""COMPUTED_VALUE"""),"Student")</f>
        <v>Student</v>
      </c>
      <c r="E96" s="5">
        <f ca="1">IFERROR(__xludf.DUMMYFUNCTION("""COMPUTED_VALUE"""),18)</f>
        <v>18</v>
      </c>
      <c r="F96" s="5"/>
    </row>
    <row r="97" spans="1:6">
      <c r="A97" s="5" t="str">
        <f ca="1">IFERROR(__xludf.DUMMYFUNCTION("""COMPUTED_VALUE"""),"20220518TNRIM")</f>
        <v>20220518TNRIM</v>
      </c>
      <c r="B97" s="5" t="str">
        <f ca="1">IFERROR(__xludf.DUMMYFUNCTION("""COMPUTED_VALUE"""),"Wounded")</f>
        <v>Wounded</v>
      </c>
      <c r="C97" s="5"/>
      <c r="D97" s="5"/>
      <c r="E97" s="5"/>
      <c r="F97" s="5"/>
    </row>
    <row r="98" spans="1:6">
      <c r="A98" s="5" t="str">
        <f ca="1">IFERROR(__xludf.DUMMYFUNCTION("""COMPUTED_VALUE"""),"20220517ILWAC")</f>
        <v>20220517ILWAC</v>
      </c>
      <c r="B98" s="5" t="str">
        <f ca="1">IFERROR(__xludf.DUMMYFUNCTION("""COMPUTED_VALUE"""),"Wounded")</f>
        <v>Wounded</v>
      </c>
      <c r="C98" s="5" t="str">
        <f ca="1">IFERROR(__xludf.DUMMYFUNCTION("""COMPUTED_VALUE"""),"Male")</f>
        <v>Male</v>
      </c>
      <c r="D98" s="5" t="str">
        <f ca="1">IFERROR(__xludf.DUMMYFUNCTION("""COMPUTED_VALUE"""),"Student")</f>
        <v>Student</v>
      </c>
      <c r="E98" s="5">
        <f ca="1">IFERROR(__xludf.DUMMYFUNCTION("""COMPUTED_VALUE"""),7)</f>
        <v>7</v>
      </c>
      <c r="F98" s="5"/>
    </row>
    <row r="99" spans="1:6">
      <c r="A99" s="5" t="str">
        <f ca="1">IFERROR(__xludf.DUMMYFUNCTION("""COMPUTED_VALUE"""),"20220515NHBEB")</f>
        <v>20220515NHBEB</v>
      </c>
      <c r="B99" s="5" t="str">
        <f ca="1">IFERROR(__xludf.DUMMYFUNCTION("""COMPUTED_VALUE"""),"Minor Injuries")</f>
        <v>Minor Injuries</v>
      </c>
      <c r="C99" s="5" t="str">
        <f ca="1">IFERROR(__xludf.DUMMYFUNCTION("""COMPUTED_VALUE"""),"Male")</f>
        <v>Male</v>
      </c>
      <c r="D99" s="5" t="str">
        <f ca="1">IFERROR(__xludf.DUMMYFUNCTION("""COMPUTED_VALUE"""),"No Relation")</f>
        <v>No Relation</v>
      </c>
      <c r="E99" s="5">
        <f ca="1">IFERROR(__xludf.DUMMYFUNCTION("""COMPUTED_VALUE"""),13)</f>
        <v>13</v>
      </c>
      <c r="F99" s="5"/>
    </row>
    <row r="100" spans="1:6">
      <c r="A100" s="5" t="str">
        <f ca="1">IFERROR(__xludf.DUMMYFUNCTION("""COMPUTED_VALUE"""),"20220515NHBEB")</f>
        <v>20220515NHBEB</v>
      </c>
      <c r="B100" s="5" t="str">
        <f ca="1">IFERROR(__xludf.DUMMYFUNCTION("""COMPUTED_VALUE"""),"Minor Injuries")</f>
        <v>Minor Injuries</v>
      </c>
      <c r="C100" s="5" t="str">
        <f ca="1">IFERROR(__xludf.DUMMYFUNCTION("""COMPUTED_VALUE"""),"Female")</f>
        <v>Female</v>
      </c>
      <c r="D100" s="5" t="str">
        <f ca="1">IFERROR(__xludf.DUMMYFUNCTION("""COMPUTED_VALUE"""),"No Relation")</f>
        <v>No Relation</v>
      </c>
      <c r="E100" s="5">
        <f ca="1">IFERROR(__xludf.DUMMYFUNCTION("""COMPUTED_VALUE"""),12)</f>
        <v>12</v>
      </c>
      <c r="F100" s="5"/>
    </row>
    <row r="101" spans="1:6">
      <c r="A101" s="5" t="str">
        <f ca="1">IFERROR(__xludf.DUMMYFUNCTION("""COMPUTED_VALUE"""),"20220515ILMEP")</f>
        <v>20220515ILMEP</v>
      </c>
      <c r="B101" s="5" t="str">
        <f ca="1">IFERROR(__xludf.DUMMYFUNCTION("""COMPUTED_VALUE"""),"Wounded")</f>
        <v>Wounded</v>
      </c>
      <c r="C101" s="5" t="str">
        <f ca="1">IFERROR(__xludf.DUMMYFUNCTION("""COMPUTED_VALUE"""),"Male")</f>
        <v>Male</v>
      </c>
      <c r="D101" s="5" t="str">
        <f ca="1">IFERROR(__xludf.DUMMYFUNCTION("""COMPUTED_VALUE"""),"No Relation")</f>
        <v>No Relation</v>
      </c>
      <c r="E101" s="5">
        <f ca="1">IFERROR(__xludf.DUMMYFUNCTION("""COMPUTED_VALUE"""),17)</f>
        <v>17</v>
      </c>
      <c r="F101" s="5"/>
    </row>
    <row r="102" spans="1:6">
      <c r="A102" s="5" t="str">
        <f ca="1">IFERROR(__xludf.DUMMYFUNCTION("""COMPUTED_VALUE"""),"20220513GASOM")</f>
        <v>20220513GASOM</v>
      </c>
      <c r="B102" s="5" t="str">
        <f ca="1">IFERROR(__xludf.DUMMYFUNCTION("""COMPUTED_VALUE"""),"Wounded")</f>
        <v>Wounded</v>
      </c>
      <c r="C102" s="5" t="str">
        <f ca="1">IFERROR(__xludf.DUMMYFUNCTION("""COMPUTED_VALUE"""),"Male")</f>
        <v>Male</v>
      </c>
      <c r="D102" s="5"/>
      <c r="E102" s="5">
        <f ca="1">IFERROR(__xludf.DUMMYFUNCTION("""COMPUTED_VALUE"""),21)</f>
        <v>21</v>
      </c>
      <c r="F102" s="5"/>
    </row>
    <row r="103" spans="1:6">
      <c r="A103" s="5" t="str">
        <f ca="1">IFERROR(__xludf.DUMMYFUNCTION("""COMPUTED_VALUE"""),"20220513FLALW")</f>
        <v>20220513FLALW</v>
      </c>
      <c r="B103" s="5" t="str">
        <f ca="1">IFERROR(__xludf.DUMMYFUNCTION("""COMPUTED_VALUE"""),"Fatal")</f>
        <v>Fatal</v>
      </c>
      <c r="C103" s="5" t="str">
        <f ca="1">IFERROR(__xludf.DUMMYFUNCTION("""COMPUTED_VALUE"""),"Male")</f>
        <v>Male</v>
      </c>
      <c r="D103" s="5" t="str">
        <f ca="1">IFERROR(__xludf.DUMMYFUNCTION("""COMPUTED_VALUE"""),"Former Student")</f>
        <v>Former Student</v>
      </c>
      <c r="E103" s="5">
        <f ca="1">IFERROR(__xludf.DUMMYFUNCTION("""COMPUTED_VALUE"""),33)</f>
        <v>33</v>
      </c>
      <c r="F103" s="5"/>
    </row>
    <row r="104" spans="1:6">
      <c r="A104" s="5" t="str">
        <f ca="1">IFERROR(__xludf.DUMMYFUNCTION("""COMPUTED_VALUE"""),"20220512TXHEH")</f>
        <v>20220512TXHEH</v>
      </c>
      <c r="B104" s="5" t="str">
        <f ca="1">IFERROR(__xludf.DUMMYFUNCTION("""COMPUTED_VALUE"""),"Wounded")</f>
        <v>Wounded</v>
      </c>
      <c r="C104" s="5"/>
      <c r="D104" s="5" t="str">
        <f ca="1">IFERROR(__xludf.DUMMYFUNCTION("""COMPUTED_VALUE"""),"Student")</f>
        <v>Student</v>
      </c>
      <c r="E104" s="5" t="str">
        <f ca="1">IFERROR(__xludf.DUMMYFUNCTION("""COMPUTED_VALUE"""),"Teen")</f>
        <v>Teen</v>
      </c>
      <c r="F104" s="5"/>
    </row>
    <row r="105" spans="1:6">
      <c r="A105" s="5" t="str">
        <f ca="1">IFERROR(__xludf.DUMMYFUNCTION("""COMPUTED_VALUE"""),"20220512ARHOH")</f>
        <v>20220512ARHOH</v>
      </c>
      <c r="B105" s="5" t="str">
        <f ca="1">IFERROR(__xludf.DUMMYFUNCTION("""COMPUTED_VALUE"""),"Wounded")</f>
        <v>Wounded</v>
      </c>
      <c r="C105" s="5"/>
      <c r="D105" s="5"/>
      <c r="E105" s="5"/>
      <c r="F105" s="5"/>
    </row>
    <row r="106" spans="1:6">
      <c r="A106" s="5" t="str">
        <f ca="1">IFERROR(__xludf.DUMMYFUNCTION("""COMPUTED_VALUE"""),"20220512ARHOH")</f>
        <v>20220512ARHOH</v>
      </c>
      <c r="B106" s="5" t="str">
        <f ca="1">IFERROR(__xludf.DUMMYFUNCTION("""COMPUTED_VALUE"""),"Wounded")</f>
        <v>Wounded</v>
      </c>
      <c r="C106" s="5"/>
      <c r="D106" s="5"/>
      <c r="E106" s="5"/>
      <c r="F106" s="5"/>
    </row>
    <row r="107" spans="1:6">
      <c r="A107" s="5" t="str">
        <f ca="1">IFERROR(__xludf.DUMMYFUNCTION("""COMPUTED_VALUE"""),"20220512ARHOH")</f>
        <v>20220512ARHOH</v>
      </c>
      <c r="B107" s="5" t="str">
        <f ca="1">IFERROR(__xludf.DUMMYFUNCTION("""COMPUTED_VALUE"""),"Fatal")</f>
        <v>Fatal</v>
      </c>
      <c r="C107" s="5" t="str">
        <f ca="1">IFERROR(__xludf.DUMMYFUNCTION("""COMPUTED_VALUE"""),"Male")</f>
        <v>Male</v>
      </c>
      <c r="D107" s="5"/>
      <c r="E107" s="5">
        <f ca="1">IFERROR(__xludf.DUMMYFUNCTION("""COMPUTED_VALUE"""),39)</f>
        <v>39</v>
      </c>
      <c r="F107" s="5"/>
    </row>
    <row r="108" spans="1:6">
      <c r="A108" s="5" t="str">
        <f ca="1">IFERROR(__xludf.DUMMYFUNCTION("""COMPUTED_VALUE"""),"20220511FLJAJ")</f>
        <v>20220511FLJAJ</v>
      </c>
      <c r="B108" s="5" t="str">
        <f ca="1">IFERROR(__xludf.DUMMYFUNCTION("""COMPUTED_VALUE"""),"Wounded")</f>
        <v>Wounded</v>
      </c>
      <c r="C108" s="5" t="str">
        <f ca="1">IFERROR(__xludf.DUMMYFUNCTION("""COMPUTED_VALUE"""),"Male")</f>
        <v>Male</v>
      </c>
      <c r="D108" s="5" t="str">
        <f ca="1">IFERROR(__xludf.DUMMYFUNCTION("""COMPUTED_VALUE"""),"Student")</f>
        <v>Student</v>
      </c>
      <c r="E108" s="5">
        <f ca="1">IFERROR(__xludf.DUMMYFUNCTION("""COMPUTED_VALUE"""),17)</f>
        <v>17</v>
      </c>
      <c r="F108" s="5"/>
    </row>
    <row r="109" spans="1:6">
      <c r="A109" s="5" t="str">
        <f ca="1">IFERROR(__xludf.DUMMYFUNCTION("""COMPUTED_VALUE"""),"20220509NYEDS")</f>
        <v>20220509NYEDS</v>
      </c>
      <c r="B109" s="5" t="str">
        <f ca="1">IFERROR(__xludf.DUMMYFUNCTION("""COMPUTED_VALUE"""),"Fatal")</f>
        <v>Fatal</v>
      </c>
      <c r="C109" s="5" t="str">
        <f ca="1">IFERROR(__xludf.DUMMYFUNCTION("""COMPUTED_VALUE"""),"Male")</f>
        <v>Male</v>
      </c>
      <c r="D109" s="5"/>
      <c r="E109" s="5">
        <f ca="1">IFERROR(__xludf.DUMMYFUNCTION("""COMPUTED_VALUE"""),26)</f>
        <v>26</v>
      </c>
      <c r="F109" s="5"/>
    </row>
    <row r="110" spans="1:6">
      <c r="A110" s="5" t="str">
        <f ca="1">IFERROR(__xludf.DUMMYFUNCTION("""COMPUTED_VALUE"""),"20220509GARIS")</f>
        <v>20220509GARIS</v>
      </c>
      <c r="B110" s="5" t="str">
        <f ca="1">IFERROR(__xludf.DUMMYFUNCTION("""COMPUTED_VALUE"""),"Minor Injuries")</f>
        <v>Minor Injuries</v>
      </c>
      <c r="C110" s="5" t="str">
        <f ca="1">IFERROR(__xludf.DUMMYFUNCTION("""COMPUTED_VALUE"""),"Female")</f>
        <v>Female</v>
      </c>
      <c r="D110" s="5" t="str">
        <f ca="1">IFERROR(__xludf.DUMMYFUNCTION("""COMPUTED_VALUE"""),"Bus Driver")</f>
        <v>Bus Driver</v>
      </c>
      <c r="E110" s="5" t="str">
        <f ca="1">IFERROR(__xludf.DUMMYFUNCTION("""COMPUTED_VALUE"""),"Adult")</f>
        <v>Adult</v>
      </c>
      <c r="F110" s="5"/>
    </row>
    <row r="111" spans="1:6">
      <c r="A111" s="5" t="str">
        <f ca="1">IFERROR(__xludf.DUMMYFUNCTION("""COMPUTED_VALUE"""),"20220501VALOM")</f>
        <v>20220501VALOM</v>
      </c>
      <c r="B111" s="5" t="str">
        <f ca="1">IFERROR(__xludf.DUMMYFUNCTION("""COMPUTED_VALUE"""),"Wounded")</f>
        <v>Wounded</v>
      </c>
      <c r="C111" s="5" t="str">
        <f ca="1">IFERROR(__xludf.DUMMYFUNCTION("""COMPUTED_VALUE"""),"Male")</f>
        <v>Male</v>
      </c>
      <c r="D111" s="5" t="str">
        <f ca="1">IFERROR(__xludf.DUMMYFUNCTION("""COMPUTED_VALUE"""),"Nonstudent Using Athletic Facilities/Attending Game")</f>
        <v>Nonstudent Using Athletic Facilities/Attending Game</v>
      </c>
      <c r="E111" s="5" t="str">
        <f ca="1">IFERROR(__xludf.DUMMYFUNCTION("""COMPUTED_VALUE"""),"Adult")</f>
        <v>Adult</v>
      </c>
      <c r="F111" s="5"/>
    </row>
    <row r="112" spans="1:6">
      <c r="A112" s="5" t="str">
        <f ca="1">IFERROR(__xludf.DUMMYFUNCTION("""COMPUTED_VALUE"""),"20220501VALOM")</f>
        <v>20220501VALOM</v>
      </c>
      <c r="B112" s="5" t="str">
        <f ca="1">IFERROR(__xludf.DUMMYFUNCTION("""COMPUTED_VALUE"""),"Wounded")</f>
        <v>Wounded</v>
      </c>
      <c r="C112" s="5" t="str">
        <f ca="1">IFERROR(__xludf.DUMMYFUNCTION("""COMPUTED_VALUE"""),"Male")</f>
        <v>Male</v>
      </c>
      <c r="D112" s="5" t="str">
        <f ca="1">IFERROR(__xludf.DUMMYFUNCTION("""COMPUTED_VALUE"""),"Nonstudent Using Athletic Facilities/Attending Game")</f>
        <v>Nonstudent Using Athletic Facilities/Attending Game</v>
      </c>
      <c r="E112" s="5" t="str">
        <f ca="1">IFERROR(__xludf.DUMMYFUNCTION("""COMPUTED_VALUE"""),"Adult")</f>
        <v>Adult</v>
      </c>
      <c r="F112" s="5"/>
    </row>
    <row r="113" spans="1:6">
      <c r="A113" s="5" t="str">
        <f ca="1">IFERROR(__xludf.DUMMYFUNCTION("""COMPUTED_VALUE"""),"20220501OHHAC")</f>
        <v>20220501OHHAC</v>
      </c>
      <c r="B113" s="5" t="str">
        <f ca="1">IFERROR(__xludf.DUMMYFUNCTION("""COMPUTED_VALUE"""),"Fatal")</f>
        <v>Fatal</v>
      </c>
      <c r="C113" s="5" t="str">
        <f ca="1">IFERROR(__xludf.DUMMYFUNCTION("""COMPUTED_VALUE"""),"Male")</f>
        <v>Male</v>
      </c>
      <c r="D113" s="5"/>
      <c r="E113" s="5" t="str">
        <f ca="1">IFERROR(__xludf.DUMMYFUNCTION("""COMPUTED_VALUE"""),"Adult")</f>
        <v>Adult</v>
      </c>
      <c r="F113" s="5"/>
    </row>
    <row r="114" spans="1:6">
      <c r="A114" s="5" t="str">
        <f ca="1">IFERROR(__xludf.DUMMYFUNCTION("""COMPUTED_VALUE"""),"20220430PAMCJ")</f>
        <v>20220430PAMCJ</v>
      </c>
      <c r="B114" s="5" t="str">
        <f ca="1">IFERROR(__xludf.DUMMYFUNCTION("""COMPUTED_VALUE"""),"None")</f>
        <v>None</v>
      </c>
      <c r="C114" s="5" t="str">
        <f ca="1">IFERROR(__xludf.DUMMYFUNCTION("""COMPUTED_VALUE"""),"Male")</f>
        <v>Male</v>
      </c>
      <c r="D114" s="5" t="str">
        <f ca="1">IFERROR(__xludf.DUMMYFUNCTION("""COMPUTED_VALUE"""),"Nonstudent Using Athletic Facilities/Attending Game")</f>
        <v>Nonstudent Using Athletic Facilities/Attending Game</v>
      </c>
      <c r="E114" s="5" t="str">
        <f ca="1">IFERROR(__xludf.DUMMYFUNCTION("""COMPUTED_VALUE"""),"Adult")</f>
        <v>Adult</v>
      </c>
      <c r="F114" s="5"/>
    </row>
    <row r="115" spans="1:6">
      <c r="A115" s="5" t="str">
        <f ca="1">IFERROR(__xludf.DUMMYFUNCTION("""COMPUTED_VALUE"""),"20220427TXMOS")</f>
        <v>20220427TXMOS</v>
      </c>
      <c r="B115" s="5" t="str">
        <f ca="1">IFERROR(__xludf.DUMMYFUNCTION("""COMPUTED_VALUE"""),"Wounded")</f>
        <v>Wounded</v>
      </c>
      <c r="C115" s="5" t="str">
        <f ca="1">IFERROR(__xludf.DUMMYFUNCTION("""COMPUTED_VALUE"""),"Male")</f>
        <v>Male</v>
      </c>
      <c r="D115" s="5" t="str">
        <f ca="1">IFERROR(__xludf.DUMMYFUNCTION("""COMPUTED_VALUE"""),"No Relation")</f>
        <v>No Relation</v>
      </c>
      <c r="E115" s="5" t="str">
        <f ca="1">IFERROR(__xludf.DUMMYFUNCTION("""COMPUTED_VALUE"""),"Adult")</f>
        <v>Adult</v>
      </c>
      <c r="F115" s="5"/>
    </row>
    <row r="116" spans="1:6">
      <c r="A116" s="5" t="str">
        <f ca="1">IFERROR(__xludf.DUMMYFUNCTION("""COMPUTED_VALUE"""),"20220426GASOM")</f>
        <v>20220426GASOM</v>
      </c>
      <c r="B116" s="5" t="str">
        <f ca="1">IFERROR(__xludf.DUMMYFUNCTION("""COMPUTED_VALUE"""),"Fatal")</f>
        <v>Fatal</v>
      </c>
      <c r="C116" s="5" t="str">
        <f ca="1">IFERROR(__xludf.DUMMYFUNCTION("""COMPUTED_VALUE"""),"Male")</f>
        <v>Male</v>
      </c>
      <c r="D116" s="5"/>
      <c r="E116" s="5">
        <f ca="1">IFERROR(__xludf.DUMMYFUNCTION("""COMPUTED_VALUE"""),15)</f>
        <v>15</v>
      </c>
      <c r="F116" s="5" t="str">
        <f ca="1">IFERROR(__xludf.DUMMYFUNCTION("""COMPUTED_VALUE"""),"Black")</f>
        <v>Black</v>
      </c>
    </row>
    <row r="117" spans="1:6">
      <c r="A117" s="5" t="str">
        <f ca="1">IFERROR(__xludf.DUMMYFUNCTION("""COMPUTED_VALUE"""),"20220424MOHAF")</f>
        <v>20220424MOHAF</v>
      </c>
      <c r="B117" s="5" t="str">
        <f ca="1">IFERROR(__xludf.DUMMYFUNCTION("""COMPUTED_VALUE"""),"Fatal")</f>
        <v>Fatal</v>
      </c>
      <c r="C117" s="5" t="str">
        <f ca="1">IFERROR(__xludf.DUMMYFUNCTION("""COMPUTED_VALUE"""),"Male")</f>
        <v>Male</v>
      </c>
      <c r="D117" s="5" t="str">
        <f ca="1">IFERROR(__xludf.DUMMYFUNCTION("""COMPUTED_VALUE"""),"No Relation")</f>
        <v>No Relation</v>
      </c>
      <c r="E117" s="5" t="str">
        <f ca="1">IFERROR(__xludf.DUMMYFUNCTION("""COMPUTED_VALUE"""),"Adult")</f>
        <v>Adult</v>
      </c>
      <c r="F117" s="5"/>
    </row>
    <row r="118" spans="1:6">
      <c r="A118" s="5" t="str">
        <f ca="1">IFERROR(__xludf.DUMMYFUNCTION("""COMPUTED_VALUE"""),"20220422DCEDW")</f>
        <v>20220422DCEDW</v>
      </c>
      <c r="B118" s="5" t="str">
        <f ca="1">IFERROR(__xludf.DUMMYFUNCTION("""COMPUTED_VALUE"""),"Wounded")</f>
        <v>Wounded</v>
      </c>
      <c r="C118" s="5" t="str">
        <f ca="1">IFERROR(__xludf.DUMMYFUNCTION("""COMPUTED_VALUE"""),"Female")</f>
        <v>Female</v>
      </c>
      <c r="D118" s="5" t="str">
        <f ca="1">IFERROR(__xludf.DUMMYFUNCTION("""COMPUTED_VALUE"""),"Parent")</f>
        <v>Parent</v>
      </c>
      <c r="E118" s="5" t="str">
        <f ca="1">IFERROR(__xludf.DUMMYFUNCTION("""COMPUTED_VALUE"""),"Adult")</f>
        <v>Adult</v>
      </c>
      <c r="F118" s="5"/>
    </row>
    <row r="119" spans="1:6">
      <c r="A119" s="5" t="str">
        <f ca="1">IFERROR(__xludf.DUMMYFUNCTION("""COMPUTED_VALUE"""),"20220422DCEDW")</f>
        <v>20220422DCEDW</v>
      </c>
      <c r="B119" s="5" t="str">
        <f ca="1">IFERROR(__xludf.DUMMYFUNCTION("""COMPUTED_VALUE"""),"Wounded")</f>
        <v>Wounded</v>
      </c>
      <c r="C119" s="5" t="str">
        <f ca="1">IFERROR(__xludf.DUMMYFUNCTION("""COMPUTED_VALUE"""),"Female")</f>
        <v>Female</v>
      </c>
      <c r="D119" s="5" t="str">
        <f ca="1">IFERROR(__xludf.DUMMYFUNCTION("""COMPUTED_VALUE"""),"Student")</f>
        <v>Student</v>
      </c>
      <c r="E119" s="5">
        <f ca="1">IFERROR(__xludf.DUMMYFUNCTION("""COMPUTED_VALUE"""),12)</f>
        <v>12</v>
      </c>
      <c r="F119" s="5"/>
    </row>
    <row r="120" spans="1:6">
      <c r="A120" s="5" t="str">
        <f ca="1">IFERROR(__xludf.DUMMYFUNCTION("""COMPUTED_VALUE"""),"20220422DCEDW")</f>
        <v>20220422DCEDW</v>
      </c>
      <c r="B120" s="5" t="str">
        <f ca="1">IFERROR(__xludf.DUMMYFUNCTION("""COMPUTED_VALUE"""),"Minor Injuries")</f>
        <v>Minor Injuries</v>
      </c>
      <c r="C120" s="5" t="str">
        <f ca="1">IFERROR(__xludf.DUMMYFUNCTION("""COMPUTED_VALUE"""),"Female")</f>
        <v>Female</v>
      </c>
      <c r="D120" s="5" t="str">
        <f ca="1">IFERROR(__xludf.DUMMYFUNCTION("""COMPUTED_VALUE"""),"Student")</f>
        <v>Student</v>
      </c>
      <c r="E120" s="5">
        <f ca="1">IFERROR(__xludf.DUMMYFUNCTION("""COMPUTED_VALUE"""),16)</f>
        <v>16</v>
      </c>
      <c r="F120" s="5"/>
    </row>
    <row r="121" spans="1:6">
      <c r="A121" s="5" t="str">
        <f ca="1">IFERROR(__xludf.DUMMYFUNCTION("""COMPUTED_VALUE"""),"20220422DCEDW")</f>
        <v>20220422DCEDW</v>
      </c>
      <c r="B121" s="5" t="str">
        <f ca="1">IFERROR(__xludf.DUMMYFUNCTION("""COMPUTED_VALUE"""),"Wounded")</f>
        <v>Wounded</v>
      </c>
      <c r="C121" s="5" t="str">
        <f ca="1">IFERROR(__xludf.DUMMYFUNCTION("""COMPUTED_VALUE"""),"Male")</f>
        <v>Male</v>
      </c>
      <c r="D121" s="5" t="str">
        <f ca="1">IFERROR(__xludf.DUMMYFUNCTION("""COMPUTED_VALUE"""),"Security Guard")</f>
        <v>Security Guard</v>
      </c>
      <c r="E121" s="5" t="str">
        <f ca="1">IFERROR(__xludf.DUMMYFUNCTION("""COMPUTED_VALUE"""),"Adult")</f>
        <v>Adult</v>
      </c>
      <c r="F121" s="5"/>
    </row>
    <row r="122" spans="1:6">
      <c r="A122" s="5" t="str">
        <f ca="1">IFERROR(__xludf.DUMMYFUNCTION("""COMPUTED_VALUE"""),"20220422DCEDW")</f>
        <v>20220422DCEDW</v>
      </c>
      <c r="B122" s="5" t="str">
        <f ca="1">IFERROR(__xludf.DUMMYFUNCTION("""COMPUTED_VALUE"""),"Wounded")</f>
        <v>Wounded</v>
      </c>
      <c r="C122" s="5" t="str">
        <f ca="1">IFERROR(__xludf.DUMMYFUNCTION("""COMPUTED_VALUE"""),"Female")</f>
        <v>Female</v>
      </c>
      <c r="D122" s="5" t="str">
        <f ca="1">IFERROR(__xludf.DUMMYFUNCTION("""COMPUTED_VALUE"""),"No Relation")</f>
        <v>No Relation</v>
      </c>
      <c r="E122" s="5" t="str">
        <f ca="1">IFERROR(__xludf.DUMMYFUNCTION("""COMPUTED_VALUE"""),"Adult")</f>
        <v>Adult</v>
      </c>
      <c r="F122" s="5"/>
    </row>
    <row r="123" spans="1:6">
      <c r="A123" s="5" t="str">
        <f ca="1">IFERROR(__xludf.DUMMYFUNCTION("""COMPUTED_VALUE"""),"20220421NDMOM")</f>
        <v>20220421NDMOM</v>
      </c>
      <c r="B123" s="5" t="str">
        <f ca="1">IFERROR(__xludf.DUMMYFUNCTION("""COMPUTED_VALUE"""),"Fatal")</f>
        <v>Fatal</v>
      </c>
      <c r="C123" s="5" t="str">
        <f ca="1">IFERROR(__xludf.DUMMYFUNCTION("""COMPUTED_VALUE"""),"Male")</f>
        <v>Male</v>
      </c>
      <c r="D123" s="5"/>
      <c r="E123" s="5">
        <f ca="1">IFERROR(__xludf.DUMMYFUNCTION("""COMPUTED_VALUE"""),34)</f>
        <v>34</v>
      </c>
      <c r="F123" s="5"/>
    </row>
    <row r="124" spans="1:6">
      <c r="A124" s="5" t="str">
        <f ca="1">IFERROR(__xludf.DUMMYFUNCTION("""COMPUTED_VALUE"""),"20220416IAMED")</f>
        <v>20220416IAMED</v>
      </c>
      <c r="B124" s="5" t="str">
        <f ca="1">IFERROR(__xludf.DUMMYFUNCTION("""COMPUTED_VALUE"""),"Wounded")</f>
        <v>Wounded</v>
      </c>
      <c r="C124" s="5"/>
      <c r="D124" s="5"/>
      <c r="E124" s="5" t="str">
        <f ca="1">IFERROR(__xludf.DUMMYFUNCTION("""COMPUTED_VALUE"""),"Adult")</f>
        <v>Adult</v>
      </c>
      <c r="F124" s="5"/>
    </row>
    <row r="125" spans="1:6">
      <c r="A125" s="5" t="str">
        <f ca="1">IFERROR(__xludf.DUMMYFUNCTION("""COMPUTED_VALUE"""),"20220415VAGAW")</f>
        <v>20220415VAGAW</v>
      </c>
      <c r="B125" s="5" t="str">
        <f ca="1">IFERROR(__xludf.DUMMYFUNCTION("""COMPUTED_VALUE"""),"Wounded")</f>
        <v>Wounded</v>
      </c>
      <c r="C125" s="5" t="str">
        <f ca="1">IFERROR(__xludf.DUMMYFUNCTION("""COMPUTED_VALUE"""),"Female")</f>
        <v>Female</v>
      </c>
      <c r="D125" s="5" t="str">
        <f ca="1">IFERROR(__xludf.DUMMYFUNCTION("""COMPUTED_VALUE"""),"Student")</f>
        <v>Student</v>
      </c>
      <c r="E125" s="5" t="str">
        <f ca="1">IFERROR(__xludf.DUMMYFUNCTION("""COMPUTED_VALUE"""),"Teen")</f>
        <v>Teen</v>
      </c>
      <c r="F125" s="5"/>
    </row>
    <row r="126" spans="1:6">
      <c r="A126" s="5" t="str">
        <f ca="1">IFERROR(__xludf.DUMMYFUNCTION("""COMPUTED_VALUE"""),"20220414MSNEP")</f>
        <v>20220414MSNEP</v>
      </c>
      <c r="B126" s="5" t="str">
        <f ca="1">IFERROR(__xludf.DUMMYFUNCTION("""COMPUTED_VALUE"""),"Wounded")</f>
        <v>Wounded</v>
      </c>
      <c r="C126" s="5" t="str">
        <f ca="1">IFERROR(__xludf.DUMMYFUNCTION("""COMPUTED_VALUE"""),"Male")</f>
        <v>Male</v>
      </c>
      <c r="D126" s="5" t="str">
        <f ca="1">IFERROR(__xludf.DUMMYFUNCTION("""COMPUTED_VALUE"""),"Student")</f>
        <v>Student</v>
      </c>
      <c r="E126" s="5" t="str">
        <f ca="1">IFERROR(__xludf.DUMMYFUNCTION("""COMPUTED_VALUE"""),"Teen")</f>
        <v>Teen</v>
      </c>
      <c r="F126" s="5"/>
    </row>
    <row r="127" spans="1:6">
      <c r="A127" s="5" t="str">
        <f ca="1">IFERROR(__xludf.DUMMYFUNCTION("""COMPUTED_VALUE"""),"20220414MSNEP")</f>
        <v>20220414MSNEP</v>
      </c>
      <c r="B127" s="5" t="str">
        <f ca="1">IFERROR(__xludf.DUMMYFUNCTION("""COMPUTED_VALUE"""),"Minor Injuries")</f>
        <v>Minor Injuries</v>
      </c>
      <c r="C127" s="5" t="str">
        <f ca="1">IFERROR(__xludf.DUMMYFUNCTION("""COMPUTED_VALUE"""),"Male")</f>
        <v>Male</v>
      </c>
      <c r="D127" s="5" t="str">
        <f ca="1">IFERROR(__xludf.DUMMYFUNCTION("""COMPUTED_VALUE"""),"Student")</f>
        <v>Student</v>
      </c>
      <c r="E127" s="5" t="str">
        <f ca="1">IFERROR(__xludf.DUMMYFUNCTION("""COMPUTED_VALUE"""),"Teen")</f>
        <v>Teen</v>
      </c>
      <c r="F127" s="5"/>
    </row>
    <row r="128" spans="1:6">
      <c r="A128" s="5" t="str">
        <f ca="1">IFERROR(__xludf.DUMMYFUNCTION("""COMPUTED_VALUE"""),"20220414MSNEP")</f>
        <v>20220414MSNEP</v>
      </c>
      <c r="B128" s="5" t="str">
        <f ca="1">IFERROR(__xludf.DUMMYFUNCTION("""COMPUTED_VALUE"""),"Wounded")</f>
        <v>Wounded</v>
      </c>
      <c r="C128" s="5" t="str">
        <f ca="1">IFERROR(__xludf.DUMMYFUNCTION("""COMPUTED_VALUE"""),"Male")</f>
        <v>Male</v>
      </c>
      <c r="D128" s="5" t="str">
        <f ca="1">IFERROR(__xludf.DUMMYFUNCTION("""COMPUTED_VALUE"""),"Student")</f>
        <v>Student</v>
      </c>
      <c r="E128" s="5" t="str">
        <f ca="1">IFERROR(__xludf.DUMMYFUNCTION("""COMPUTED_VALUE"""),"Teen")</f>
        <v>Teen</v>
      </c>
      <c r="F128" s="5"/>
    </row>
    <row r="129" spans="1:6">
      <c r="A129" s="5" t="str">
        <f ca="1">IFERROR(__xludf.DUMMYFUNCTION("""COMPUTED_VALUE"""),"20220413MISHS")</f>
        <v>20220413MISHS</v>
      </c>
      <c r="B129" s="5" t="str">
        <f ca="1">IFERROR(__xludf.DUMMYFUNCTION("""COMPUTED_VALUE"""),"Minor Injuries")</f>
        <v>Minor Injuries</v>
      </c>
      <c r="C129" s="5"/>
      <c r="D129" s="5" t="str">
        <f ca="1">IFERROR(__xludf.DUMMYFUNCTION("""COMPUTED_VALUE"""),"Student")</f>
        <v>Student</v>
      </c>
      <c r="E129" s="5" t="str">
        <f ca="1">IFERROR(__xludf.DUMMYFUNCTION("""COMPUTED_VALUE"""),"Child")</f>
        <v>Child</v>
      </c>
      <c r="F129" s="5"/>
    </row>
    <row r="130" spans="1:6">
      <c r="A130" s="5" t="str">
        <f ca="1">IFERROR(__xludf.DUMMYFUNCTION("""COMPUTED_VALUE"""),"20220410MALYL")</f>
        <v>20220410MALYL</v>
      </c>
      <c r="B130" s="5" t="str">
        <f ca="1">IFERROR(__xludf.DUMMYFUNCTION("""COMPUTED_VALUE"""),"Fatal")</f>
        <v>Fatal</v>
      </c>
      <c r="C130" s="5" t="str">
        <f ca="1">IFERROR(__xludf.DUMMYFUNCTION("""COMPUTED_VALUE"""),"Male")</f>
        <v>Male</v>
      </c>
      <c r="D130" s="5" t="str">
        <f ca="1">IFERROR(__xludf.DUMMYFUNCTION("""COMPUTED_VALUE"""),"No Relation")</f>
        <v>No Relation</v>
      </c>
      <c r="E130" s="5">
        <f ca="1">IFERROR(__xludf.DUMMYFUNCTION("""COMPUTED_VALUE"""),20)</f>
        <v>20</v>
      </c>
      <c r="F130" s="5"/>
    </row>
    <row r="131" spans="1:6">
      <c r="A131" s="5" t="str">
        <f ca="1">IFERROR(__xludf.DUMMYFUNCTION("""COMPUTED_VALUE"""),"20220406WASTM")</f>
        <v>20220406WASTM</v>
      </c>
      <c r="B131" s="5" t="str">
        <f ca="1">IFERROR(__xludf.DUMMYFUNCTION("""COMPUTED_VALUE"""),"None")</f>
        <v>None</v>
      </c>
      <c r="C131" s="5"/>
      <c r="D131" s="5" t="str">
        <f ca="1">IFERROR(__xludf.DUMMYFUNCTION("""COMPUTED_VALUE"""),"Student")</f>
        <v>Student</v>
      </c>
      <c r="E131" s="5" t="str">
        <f ca="1">IFERROR(__xludf.DUMMYFUNCTION("""COMPUTED_VALUE"""),"Child")</f>
        <v>Child</v>
      </c>
      <c r="F131" s="5"/>
    </row>
    <row r="132" spans="1:6">
      <c r="A132" s="5" t="str">
        <f ca="1">IFERROR(__xludf.DUMMYFUNCTION("""COMPUTED_VALUE"""),"20220406WASTM")</f>
        <v>20220406WASTM</v>
      </c>
      <c r="B132" s="5" t="str">
        <f ca="1">IFERROR(__xludf.DUMMYFUNCTION("""COMPUTED_VALUE"""),"None")</f>
        <v>None</v>
      </c>
      <c r="C132" s="5"/>
      <c r="D132" s="5" t="str">
        <f ca="1">IFERROR(__xludf.DUMMYFUNCTION("""COMPUTED_VALUE"""),"Student")</f>
        <v>Student</v>
      </c>
      <c r="E132" s="5" t="str">
        <f ca="1">IFERROR(__xludf.DUMMYFUNCTION("""COMPUTED_VALUE"""),"Child")</f>
        <v>Child</v>
      </c>
      <c r="F132" s="5"/>
    </row>
    <row r="133" spans="1:6">
      <c r="A133" s="5" t="str">
        <f ca="1">IFERROR(__xludf.DUMMYFUNCTION("""COMPUTED_VALUE"""),"20220406ORROP")</f>
        <v>20220406ORROP</v>
      </c>
      <c r="B133" s="5" t="str">
        <f ca="1">IFERROR(__xludf.DUMMYFUNCTION("""COMPUTED_VALUE"""),"Wounded")</f>
        <v>Wounded</v>
      </c>
      <c r="C133" s="5"/>
      <c r="D133" s="5"/>
      <c r="E133" s="5" t="str">
        <f ca="1">IFERROR(__xludf.DUMMYFUNCTION("""COMPUTED_VALUE"""),"Adult")</f>
        <v>Adult</v>
      </c>
      <c r="F133" s="5"/>
    </row>
    <row r="134" spans="1:6">
      <c r="A134" s="5" t="str">
        <f ca="1">IFERROR(__xludf.DUMMYFUNCTION("""COMPUTED_VALUE"""),"20220405PAERE")</f>
        <v>20220405PAERE</v>
      </c>
      <c r="B134" s="5" t="str">
        <f ca="1">IFERROR(__xludf.DUMMYFUNCTION("""COMPUTED_VALUE"""),"Wounded")</f>
        <v>Wounded</v>
      </c>
      <c r="C134" s="5"/>
      <c r="D134" s="5" t="str">
        <f ca="1">IFERROR(__xludf.DUMMYFUNCTION("""COMPUTED_VALUE"""),"Student")</f>
        <v>Student</v>
      </c>
      <c r="E134" s="5" t="str">
        <f ca="1">IFERROR(__xludf.DUMMYFUNCTION("""COMPUTED_VALUE"""),"Teen")</f>
        <v>Teen</v>
      </c>
      <c r="F134" s="5"/>
    </row>
    <row r="135" spans="1:6">
      <c r="A135" s="5" t="str">
        <f ca="1">IFERROR(__xludf.DUMMYFUNCTION("""COMPUTED_VALUE"""),"20220403INBLB")</f>
        <v>20220403INBLB</v>
      </c>
      <c r="B135" s="5" t="str">
        <f ca="1">IFERROR(__xludf.DUMMYFUNCTION("""COMPUTED_VALUE"""),"Wounded")</f>
        <v>Wounded</v>
      </c>
      <c r="C135" s="5" t="str">
        <f ca="1">IFERROR(__xludf.DUMMYFUNCTION("""COMPUTED_VALUE"""),"Male")</f>
        <v>Male</v>
      </c>
      <c r="D135" s="5"/>
      <c r="E135" s="5">
        <f ca="1">IFERROR(__xludf.DUMMYFUNCTION("""COMPUTED_VALUE"""),17)</f>
        <v>17</v>
      </c>
      <c r="F135" s="5"/>
    </row>
    <row r="136" spans="1:6">
      <c r="A136" s="5" t="str">
        <f ca="1">IFERROR(__xludf.DUMMYFUNCTION("""COMPUTED_VALUE"""),"20220331SCTAG")</f>
        <v>20220331SCTAG</v>
      </c>
      <c r="B136" s="5" t="str">
        <f ca="1">IFERROR(__xludf.DUMMYFUNCTION("""COMPUTED_VALUE"""),"Fatal")</f>
        <v>Fatal</v>
      </c>
      <c r="C136" s="5" t="str">
        <f ca="1">IFERROR(__xludf.DUMMYFUNCTION("""COMPUTED_VALUE"""),"Male")</f>
        <v>Male</v>
      </c>
      <c r="D136" s="5" t="str">
        <f ca="1">IFERROR(__xludf.DUMMYFUNCTION("""COMPUTED_VALUE"""),"Student")</f>
        <v>Student</v>
      </c>
      <c r="E136" s="5">
        <f ca="1">IFERROR(__xludf.DUMMYFUNCTION("""COMPUTED_VALUE"""),12)</f>
        <v>12</v>
      </c>
      <c r="F136" s="5" t="str">
        <f ca="1">IFERROR(__xludf.DUMMYFUNCTION("""COMPUTED_VALUE"""),"Black")</f>
        <v>Black</v>
      </c>
    </row>
    <row r="137" spans="1:6">
      <c r="A137" s="5" t="str">
        <f ca="1">IFERROR(__xludf.DUMMYFUNCTION("""COMPUTED_VALUE"""),"20220330AZKIK")</f>
        <v>20220330AZKIK</v>
      </c>
      <c r="B137" s="5" t="str">
        <f ca="1">IFERROR(__xludf.DUMMYFUNCTION("""COMPUTED_VALUE"""),"Wounded")</f>
        <v>Wounded</v>
      </c>
      <c r="C137" s="5" t="str">
        <f ca="1">IFERROR(__xludf.DUMMYFUNCTION("""COMPUTED_VALUE"""),"Male")</f>
        <v>Male</v>
      </c>
      <c r="D137" s="5" t="str">
        <f ca="1">IFERROR(__xludf.DUMMYFUNCTION("""COMPUTED_VALUE"""),"Student")</f>
        <v>Student</v>
      </c>
      <c r="E137" s="5">
        <f ca="1">IFERROR(__xludf.DUMMYFUNCTION("""COMPUTED_VALUE"""),15)</f>
        <v>15</v>
      </c>
      <c r="F137" s="5"/>
    </row>
    <row r="138" spans="1:6">
      <c r="A138" s="5" t="str">
        <f ca="1">IFERROR(__xludf.DUMMYFUNCTION("""COMPUTED_VALUE"""),"20220329NVWEL")</f>
        <v>20220329NVWEL</v>
      </c>
      <c r="B138" s="5" t="str">
        <f ca="1">IFERROR(__xludf.DUMMYFUNCTION("""COMPUTED_VALUE"""),"Wounded")</f>
        <v>Wounded</v>
      </c>
      <c r="C138" s="5" t="str">
        <f ca="1">IFERROR(__xludf.DUMMYFUNCTION("""COMPUTED_VALUE"""),"Male")</f>
        <v>Male</v>
      </c>
      <c r="D138" s="5" t="str">
        <f ca="1">IFERROR(__xludf.DUMMYFUNCTION("""COMPUTED_VALUE"""),"Student")</f>
        <v>Student</v>
      </c>
      <c r="E138" s="5">
        <f ca="1">IFERROR(__xludf.DUMMYFUNCTION("""COMPUTED_VALUE"""),16)</f>
        <v>16</v>
      </c>
      <c r="F138" s="5"/>
    </row>
    <row r="139" spans="1:6">
      <c r="A139" s="5" t="str">
        <f ca="1">IFERROR(__xludf.DUMMYFUNCTION("""COMPUTED_VALUE"""),"20220329NVWEL")</f>
        <v>20220329NVWEL</v>
      </c>
      <c r="B139" s="5" t="str">
        <f ca="1">IFERROR(__xludf.DUMMYFUNCTION("""COMPUTED_VALUE"""),"Wounded")</f>
        <v>Wounded</v>
      </c>
      <c r="C139" s="5" t="str">
        <f ca="1">IFERROR(__xludf.DUMMYFUNCTION("""COMPUTED_VALUE"""),"Male")</f>
        <v>Male</v>
      </c>
      <c r="D139" s="5" t="str">
        <f ca="1">IFERROR(__xludf.DUMMYFUNCTION("""COMPUTED_VALUE"""),"Nonstudent")</f>
        <v>Nonstudent</v>
      </c>
      <c r="E139" s="5" t="str">
        <f ca="1">IFERROR(__xludf.DUMMYFUNCTION("""COMPUTED_VALUE"""),"Teen")</f>
        <v>Teen</v>
      </c>
      <c r="F139" s="5"/>
    </row>
    <row r="140" spans="1:6">
      <c r="A140" s="5" t="str">
        <f ca="1">IFERROR(__xludf.DUMMYFUNCTION("""COMPUTED_VALUE"""),"20220329NVWEL")</f>
        <v>20220329NVWEL</v>
      </c>
      <c r="B140" s="5" t="str">
        <f ca="1">IFERROR(__xludf.DUMMYFUNCTION("""COMPUTED_VALUE"""),"Minor Injuries")</f>
        <v>Minor Injuries</v>
      </c>
      <c r="C140" s="5" t="str">
        <f ca="1">IFERROR(__xludf.DUMMYFUNCTION("""COMPUTED_VALUE"""),"Female")</f>
        <v>Female</v>
      </c>
      <c r="D140" s="5" t="str">
        <f ca="1">IFERROR(__xludf.DUMMYFUNCTION("""COMPUTED_VALUE"""),"Student")</f>
        <v>Student</v>
      </c>
      <c r="E140" s="5" t="str">
        <f ca="1">IFERROR(__xludf.DUMMYFUNCTION("""COMPUTED_VALUE"""),"Teen")</f>
        <v>Teen</v>
      </c>
      <c r="F140" s="5"/>
    </row>
    <row r="141" spans="1:6">
      <c r="A141" s="5" t="str">
        <f ca="1">IFERROR(__xludf.DUMMYFUNCTION("""COMPUTED_VALUE"""),"20220328NCOAC")</f>
        <v>20220328NCOAC</v>
      </c>
      <c r="B141" s="5" t="str">
        <f ca="1">IFERROR(__xludf.DUMMYFUNCTION("""COMPUTED_VALUE"""),"Wounded")</f>
        <v>Wounded</v>
      </c>
      <c r="C141" s="5" t="str">
        <f ca="1">IFERROR(__xludf.DUMMYFUNCTION("""COMPUTED_VALUE"""),"Male")</f>
        <v>Male</v>
      </c>
      <c r="D141" s="5" t="str">
        <f ca="1">IFERROR(__xludf.DUMMYFUNCTION("""COMPUTED_VALUE"""),"No Relation")</f>
        <v>No Relation</v>
      </c>
      <c r="E141" s="5">
        <f ca="1">IFERROR(__xludf.DUMMYFUNCTION("""COMPUTED_VALUE"""),16)</f>
        <v>16</v>
      </c>
      <c r="F141" s="5"/>
    </row>
    <row r="142" spans="1:6">
      <c r="A142" s="5" t="str">
        <f ca="1">IFERROR(__xludf.DUMMYFUNCTION("""COMPUTED_VALUE"""),"20220322FLNEN")</f>
        <v>20220322FLNEN</v>
      </c>
      <c r="B142" s="5" t="str">
        <f ca="1">IFERROR(__xludf.DUMMYFUNCTION("""COMPUTED_VALUE"""),"Minor Injuries")</f>
        <v>Minor Injuries</v>
      </c>
      <c r="C142" s="5" t="str">
        <f ca="1">IFERROR(__xludf.DUMMYFUNCTION("""COMPUTED_VALUE"""),"Female")</f>
        <v>Female</v>
      </c>
      <c r="D142" s="5" t="str">
        <f ca="1">IFERROR(__xludf.DUMMYFUNCTION("""COMPUTED_VALUE"""),"Other Staff")</f>
        <v>Other Staff</v>
      </c>
      <c r="E142" s="5" t="str">
        <f ca="1">IFERROR(__xludf.DUMMYFUNCTION("""COMPUTED_VALUE"""),"Adult")</f>
        <v>Adult</v>
      </c>
      <c r="F142" s="5"/>
    </row>
    <row r="143" spans="1:6">
      <c r="A143" s="5" t="str">
        <f ca="1">IFERROR(__xludf.DUMMYFUNCTION("""COMPUTED_VALUE"""),"20220321MIMAK")</f>
        <v>20220321MIMAK</v>
      </c>
      <c r="B143" s="5" t="str">
        <f ca="1">IFERROR(__xludf.DUMMYFUNCTION("""COMPUTED_VALUE"""),"None")</f>
        <v>None</v>
      </c>
      <c r="C143" s="5" t="str">
        <f ca="1">IFERROR(__xludf.DUMMYFUNCTION("""COMPUTED_VALUE"""),"Male")</f>
        <v>Male</v>
      </c>
      <c r="D143" s="5" t="str">
        <f ca="1">IFERROR(__xludf.DUMMYFUNCTION("""COMPUTED_VALUE"""),"Parent")</f>
        <v>Parent</v>
      </c>
      <c r="E143" s="5" t="str">
        <f ca="1">IFERROR(__xludf.DUMMYFUNCTION("""COMPUTED_VALUE"""),"Adult")</f>
        <v>Adult</v>
      </c>
      <c r="F143" s="5"/>
    </row>
    <row r="144" spans="1:6">
      <c r="A144" s="5" t="str">
        <f ca="1">IFERROR(__xludf.DUMMYFUNCTION("""COMPUTED_VALUE"""),"20220319ALCEL")</f>
        <v>20220319ALCEL</v>
      </c>
      <c r="B144" s="5" t="str">
        <f ca="1">IFERROR(__xludf.DUMMYFUNCTION("""COMPUTED_VALUE"""),"None")</f>
        <v>None</v>
      </c>
      <c r="C144" s="5" t="str">
        <f ca="1">IFERROR(__xludf.DUMMYFUNCTION("""COMPUTED_VALUE"""),"Male")</f>
        <v>Male</v>
      </c>
      <c r="D144" s="5" t="str">
        <f ca="1">IFERROR(__xludf.DUMMYFUNCTION("""COMPUTED_VALUE"""),"No Relation")</f>
        <v>No Relation</v>
      </c>
      <c r="E144" s="5" t="str">
        <f ca="1">IFERROR(__xludf.DUMMYFUNCTION("""COMPUTED_VALUE"""),"Adult")</f>
        <v>Adult</v>
      </c>
      <c r="F144" s="5"/>
    </row>
    <row r="145" spans="1:6">
      <c r="A145" s="5" t="str">
        <f ca="1">IFERROR(__xludf.DUMMYFUNCTION("""COMPUTED_VALUE"""),"20220318RICEP")</f>
        <v>20220318RICEP</v>
      </c>
      <c r="B145" s="5" t="str">
        <f ca="1">IFERROR(__xludf.DUMMYFUNCTION("""COMPUTED_VALUE"""),"Minor Injuries")</f>
        <v>Minor Injuries</v>
      </c>
      <c r="C145" s="5"/>
      <c r="D145" s="5" t="str">
        <f ca="1">IFERROR(__xludf.DUMMYFUNCTION("""COMPUTED_VALUE"""),"Other Staff")</f>
        <v>Other Staff</v>
      </c>
      <c r="E145" s="5" t="str">
        <f ca="1">IFERROR(__xludf.DUMMYFUNCTION("""COMPUTED_VALUE"""),"Adult")</f>
        <v>Adult</v>
      </c>
      <c r="F145" s="5"/>
    </row>
    <row r="146" spans="1:6">
      <c r="A146" s="5" t="str">
        <f ca="1">IFERROR(__xludf.DUMMYFUNCTION("""COMPUTED_VALUE"""),"20220318ILBAB")</f>
        <v>20220318ILBAB</v>
      </c>
      <c r="B146" s="5" t="str">
        <f ca="1">IFERROR(__xludf.DUMMYFUNCTION("""COMPUTED_VALUE"""),"Minor Injuries")</f>
        <v>Minor Injuries</v>
      </c>
      <c r="C146" s="5" t="str">
        <f ca="1">IFERROR(__xludf.DUMMYFUNCTION("""COMPUTED_VALUE"""),"Male")</f>
        <v>Male</v>
      </c>
      <c r="D146" s="5" t="str">
        <f ca="1">IFERROR(__xludf.DUMMYFUNCTION("""COMPUTED_VALUE"""),"Student")</f>
        <v>Student</v>
      </c>
      <c r="E146" s="5" t="str">
        <f ca="1">IFERROR(__xludf.DUMMYFUNCTION("""COMPUTED_VALUE"""),"Teen")</f>
        <v>Teen</v>
      </c>
      <c r="F146" s="5"/>
    </row>
    <row r="147" spans="1:6">
      <c r="A147" s="5" t="str">
        <f ca="1">IFERROR(__xludf.DUMMYFUNCTION("""COMPUTED_VALUE"""),"20220318ILBAB")</f>
        <v>20220318ILBAB</v>
      </c>
      <c r="B147" s="5" t="str">
        <f ca="1">IFERROR(__xludf.DUMMYFUNCTION("""COMPUTED_VALUE"""),"Minor Injuries")</f>
        <v>Minor Injuries</v>
      </c>
      <c r="C147" s="5" t="str">
        <f ca="1">IFERROR(__xludf.DUMMYFUNCTION("""COMPUTED_VALUE"""),"Male")</f>
        <v>Male</v>
      </c>
      <c r="D147" s="5" t="str">
        <f ca="1">IFERROR(__xludf.DUMMYFUNCTION("""COMPUTED_VALUE"""),"Student")</f>
        <v>Student</v>
      </c>
      <c r="E147" s="5" t="str">
        <f ca="1">IFERROR(__xludf.DUMMYFUNCTION("""COMPUTED_VALUE"""),"Teen")</f>
        <v>Teen</v>
      </c>
      <c r="F147" s="5"/>
    </row>
    <row r="148" spans="1:6">
      <c r="A148" s="5" t="str">
        <f ca="1">IFERROR(__xludf.DUMMYFUNCTION("""COMPUTED_VALUE"""),"20220315WAEIY")</f>
        <v>20220315WAEIY</v>
      </c>
      <c r="B148" s="5" t="str">
        <f ca="1">IFERROR(__xludf.DUMMYFUNCTION("""COMPUTED_VALUE"""),"Fatal")</f>
        <v>Fatal</v>
      </c>
      <c r="C148" s="5" t="str">
        <f ca="1">IFERROR(__xludf.DUMMYFUNCTION("""COMPUTED_VALUE"""),"Male")</f>
        <v>Male</v>
      </c>
      <c r="D148" s="5" t="str">
        <f ca="1">IFERROR(__xludf.DUMMYFUNCTION("""COMPUTED_VALUE"""),"Student")</f>
        <v>Student</v>
      </c>
      <c r="E148" s="5">
        <f ca="1">IFERROR(__xludf.DUMMYFUNCTION("""COMPUTED_VALUE"""),16)</f>
        <v>16</v>
      </c>
      <c r="F148" s="5"/>
    </row>
    <row r="149" spans="1:6">
      <c r="A149" s="5" t="str">
        <f ca="1">IFERROR(__xludf.DUMMYFUNCTION("""COMPUTED_VALUE"""),"20220315WAEIY")</f>
        <v>20220315WAEIY</v>
      </c>
      <c r="B149" s="5" t="str">
        <f ca="1">IFERROR(__xludf.DUMMYFUNCTION("""COMPUTED_VALUE"""),"Wounded")</f>
        <v>Wounded</v>
      </c>
      <c r="C149" s="5" t="str">
        <f ca="1">IFERROR(__xludf.DUMMYFUNCTION("""COMPUTED_VALUE"""),"Male")</f>
        <v>Male</v>
      </c>
      <c r="D149" s="5" t="str">
        <f ca="1">IFERROR(__xludf.DUMMYFUNCTION("""COMPUTED_VALUE"""),"Student")</f>
        <v>Student</v>
      </c>
      <c r="E149" s="5">
        <f ca="1">IFERROR(__xludf.DUMMYFUNCTION("""COMPUTED_VALUE"""),18)</f>
        <v>18</v>
      </c>
      <c r="F149" s="5"/>
    </row>
    <row r="150" spans="1:6">
      <c r="A150" s="5" t="str">
        <f ca="1">IFERROR(__xludf.DUMMYFUNCTION("""COMPUTED_VALUE"""),"20220315MDPAB")</f>
        <v>20220315MDPAB</v>
      </c>
      <c r="B150" s="5" t="str">
        <f ca="1">IFERROR(__xludf.DUMMYFUNCTION("""COMPUTED_VALUE"""),"Wounded")</f>
        <v>Wounded</v>
      </c>
      <c r="C150" s="5" t="str">
        <f ca="1">IFERROR(__xludf.DUMMYFUNCTION("""COMPUTED_VALUE"""),"Male")</f>
        <v>Male</v>
      </c>
      <c r="D150" s="5" t="str">
        <f ca="1">IFERROR(__xludf.DUMMYFUNCTION("""COMPUTED_VALUE"""),"Student")</f>
        <v>Student</v>
      </c>
      <c r="E150" s="5">
        <f ca="1">IFERROR(__xludf.DUMMYFUNCTION("""COMPUTED_VALUE"""),18)</f>
        <v>18</v>
      </c>
      <c r="F150" s="5"/>
    </row>
    <row r="151" spans="1:6">
      <c r="A151" s="5" t="str">
        <f ca="1">IFERROR(__xludf.DUMMYFUNCTION("""COMPUTED_VALUE"""),"20220315MATEB")</f>
        <v>20220315MATEB</v>
      </c>
      <c r="B151" s="5" t="str">
        <f ca="1">IFERROR(__xludf.DUMMYFUNCTION("""COMPUTED_VALUE"""),"Wounded")</f>
        <v>Wounded</v>
      </c>
      <c r="C151" s="5"/>
      <c r="D151" s="5" t="str">
        <f ca="1">IFERROR(__xludf.DUMMYFUNCTION("""COMPUTED_VALUE"""),"Student")</f>
        <v>Student</v>
      </c>
      <c r="E151" s="5">
        <f ca="1">IFERROR(__xludf.DUMMYFUNCTION("""COMPUTED_VALUE"""),17)</f>
        <v>17</v>
      </c>
      <c r="F151" s="5"/>
    </row>
    <row r="152" spans="1:6">
      <c r="A152" s="5" t="str">
        <f ca="1">IFERROR(__xludf.DUMMYFUNCTION("""COMPUTED_VALUE"""),"20220315MATEB")</f>
        <v>20220315MATEB</v>
      </c>
      <c r="B152" s="5" t="str">
        <f ca="1">IFERROR(__xludf.DUMMYFUNCTION("""COMPUTED_VALUE"""),"Wounded")</f>
        <v>Wounded</v>
      </c>
      <c r="C152" s="5"/>
      <c r="D152" s="5" t="str">
        <f ca="1">IFERROR(__xludf.DUMMYFUNCTION("""COMPUTED_VALUE"""),"Teacher")</f>
        <v>Teacher</v>
      </c>
      <c r="E152" s="5">
        <f ca="1">IFERROR(__xludf.DUMMYFUNCTION("""COMPUTED_VALUE"""),31)</f>
        <v>31</v>
      </c>
      <c r="F152" s="5"/>
    </row>
    <row r="153" spans="1:6">
      <c r="A153" s="5" t="str">
        <f ca="1">IFERROR(__xludf.DUMMYFUNCTION("""COMPUTED_VALUE"""),"20220311OHFAP")</f>
        <v>20220311OHFAP</v>
      </c>
      <c r="B153" s="5" t="str">
        <f ca="1">IFERROR(__xludf.DUMMYFUNCTION("""COMPUTED_VALUE"""),"None")</f>
        <v>None</v>
      </c>
      <c r="C153" s="5" t="str">
        <f ca="1">IFERROR(__xludf.DUMMYFUNCTION("""COMPUTED_VALUE"""),"Male")</f>
        <v>Male</v>
      </c>
      <c r="D153" s="5" t="str">
        <f ca="1">IFERROR(__xludf.DUMMYFUNCTION("""COMPUTED_VALUE"""),"No Relation")</f>
        <v>No Relation</v>
      </c>
      <c r="E153" s="5">
        <f ca="1">IFERROR(__xludf.DUMMYFUNCTION("""COMPUTED_VALUE"""),43)</f>
        <v>43</v>
      </c>
      <c r="F153" s="5"/>
    </row>
    <row r="154" spans="1:6">
      <c r="A154" s="5" t="str">
        <f ca="1">IFERROR(__xludf.DUMMYFUNCTION("""COMPUTED_VALUE"""),"20220311CADER")</f>
        <v>20220311CADER</v>
      </c>
      <c r="B154" s="5" t="str">
        <f ca="1">IFERROR(__xludf.DUMMYFUNCTION("""COMPUTED_VALUE"""),"Minor Injuries")</f>
        <v>Minor Injuries</v>
      </c>
      <c r="C154" s="5" t="str">
        <f ca="1">IFERROR(__xludf.DUMMYFUNCTION("""COMPUTED_VALUE"""),"Male")</f>
        <v>Male</v>
      </c>
      <c r="D154" s="5" t="str">
        <f ca="1">IFERROR(__xludf.DUMMYFUNCTION("""COMPUTED_VALUE"""),"Student")</f>
        <v>Student</v>
      </c>
      <c r="E154" s="5" t="str">
        <f ca="1">IFERROR(__xludf.DUMMYFUNCTION("""COMPUTED_VALUE"""),"Teen")</f>
        <v>Teen</v>
      </c>
      <c r="F154" s="5"/>
    </row>
    <row r="155" spans="1:6">
      <c r="A155" s="5" t="str">
        <f ca="1">IFERROR(__xludf.DUMMYFUNCTION("""COMPUTED_VALUE"""),"20220310TNHAM")</f>
        <v>20220310TNHAM</v>
      </c>
      <c r="B155" s="5" t="str">
        <f ca="1">IFERROR(__xludf.DUMMYFUNCTION("""COMPUTED_VALUE"""),"None")</f>
        <v>None</v>
      </c>
      <c r="C155" s="5"/>
      <c r="D155" s="5" t="str">
        <f ca="1">IFERROR(__xludf.DUMMYFUNCTION("""COMPUTED_VALUE"""),"Student")</f>
        <v>Student</v>
      </c>
      <c r="E155" s="5" t="str">
        <f ca="1">IFERROR(__xludf.DUMMYFUNCTION("""COMPUTED_VALUE"""),"Child")</f>
        <v>Child</v>
      </c>
      <c r="F155" s="5"/>
    </row>
    <row r="156" spans="1:6">
      <c r="A156" s="5" t="str">
        <f ca="1">IFERROR(__xludf.DUMMYFUNCTION("""COMPUTED_VALUE"""),"20220310TNHAM")</f>
        <v>20220310TNHAM</v>
      </c>
      <c r="B156" s="5" t="str">
        <f ca="1">IFERROR(__xludf.DUMMYFUNCTION("""COMPUTED_VALUE"""),"None")</f>
        <v>None</v>
      </c>
      <c r="C156" s="5"/>
      <c r="D156" s="5" t="str">
        <f ca="1">IFERROR(__xludf.DUMMYFUNCTION("""COMPUTED_VALUE"""),"Student")</f>
        <v>Student</v>
      </c>
      <c r="E156" s="5" t="str">
        <f ca="1">IFERROR(__xludf.DUMMYFUNCTION("""COMPUTED_VALUE"""),"Child")</f>
        <v>Child</v>
      </c>
      <c r="F156" s="5"/>
    </row>
    <row r="157" spans="1:6">
      <c r="A157" s="5" t="str">
        <f ca="1">IFERROR(__xludf.DUMMYFUNCTION("""COMPUTED_VALUE"""),"20220310TNHAM")</f>
        <v>20220310TNHAM</v>
      </c>
      <c r="B157" s="5" t="str">
        <f ca="1">IFERROR(__xludf.DUMMYFUNCTION("""COMPUTED_VALUE"""),"None")</f>
        <v>None</v>
      </c>
      <c r="C157" s="5"/>
      <c r="D157" s="5" t="str">
        <f ca="1">IFERROR(__xludf.DUMMYFUNCTION("""COMPUTED_VALUE"""),"Student")</f>
        <v>Student</v>
      </c>
      <c r="E157" s="5" t="str">
        <f ca="1">IFERROR(__xludf.DUMMYFUNCTION("""COMPUTED_VALUE"""),"Child")</f>
        <v>Child</v>
      </c>
      <c r="F157" s="5"/>
    </row>
    <row r="158" spans="1:6">
      <c r="A158" s="5" t="str">
        <f ca="1">IFERROR(__xludf.DUMMYFUNCTION("""COMPUTED_VALUE"""),"20220310TNHAM")</f>
        <v>20220310TNHAM</v>
      </c>
      <c r="B158" s="5" t="str">
        <f ca="1">IFERROR(__xludf.DUMMYFUNCTION("""COMPUTED_VALUE"""),"None")</f>
        <v>None</v>
      </c>
      <c r="C158" s="5"/>
      <c r="D158" s="5" t="str">
        <f ca="1">IFERROR(__xludf.DUMMYFUNCTION("""COMPUTED_VALUE"""),"Student")</f>
        <v>Student</v>
      </c>
      <c r="E158" s="5" t="str">
        <f ca="1">IFERROR(__xludf.DUMMYFUNCTION("""COMPUTED_VALUE"""),"Child")</f>
        <v>Child</v>
      </c>
      <c r="F158" s="5"/>
    </row>
    <row r="159" spans="1:6">
      <c r="A159" s="5" t="str">
        <f ca="1">IFERROR(__xludf.DUMMYFUNCTION("""COMPUTED_VALUE"""),"20220310TNHAM")</f>
        <v>20220310TNHAM</v>
      </c>
      <c r="B159" s="5" t="str">
        <f ca="1">IFERROR(__xludf.DUMMYFUNCTION("""COMPUTED_VALUE"""),"None")</f>
        <v>None</v>
      </c>
      <c r="C159" s="5"/>
      <c r="D159" s="5" t="str">
        <f ca="1">IFERROR(__xludf.DUMMYFUNCTION("""COMPUTED_VALUE"""),"Student")</f>
        <v>Student</v>
      </c>
      <c r="E159" s="5" t="str">
        <f ca="1">IFERROR(__xludf.DUMMYFUNCTION("""COMPUTED_VALUE"""),"Child")</f>
        <v>Child</v>
      </c>
      <c r="F159" s="5"/>
    </row>
    <row r="160" spans="1:6">
      <c r="A160" s="5" t="str">
        <f ca="1">IFERROR(__xludf.DUMMYFUNCTION("""COMPUTED_VALUE"""),"20220310MDCOL")</f>
        <v>20220310MDCOL</v>
      </c>
      <c r="B160" s="5" t="str">
        <f ca="1">IFERROR(__xludf.DUMMYFUNCTION("""COMPUTED_VALUE"""),"Fatal")</f>
        <v>Fatal</v>
      </c>
      <c r="C160" s="5" t="str">
        <f ca="1">IFERROR(__xludf.DUMMYFUNCTION("""COMPUTED_VALUE"""),"Male")</f>
        <v>Male</v>
      </c>
      <c r="D160" s="5"/>
      <c r="E160" s="5" t="str">
        <f ca="1">IFERROR(__xludf.DUMMYFUNCTION("""COMPUTED_VALUE"""),"Adult")</f>
        <v>Adult</v>
      </c>
      <c r="F160" s="5"/>
    </row>
    <row r="161" spans="1:6">
      <c r="A161" s="5" t="str">
        <f ca="1">IFERROR(__xludf.DUMMYFUNCTION("""COMPUTED_VALUE"""),"20220309TXNOH")</f>
        <v>20220309TXNOH</v>
      </c>
      <c r="B161" s="5" t="str">
        <f ca="1">IFERROR(__xludf.DUMMYFUNCTION("""COMPUTED_VALUE"""),"Wounded")</f>
        <v>Wounded</v>
      </c>
      <c r="C161" s="5" t="str">
        <f ca="1">IFERROR(__xludf.DUMMYFUNCTION("""COMPUTED_VALUE"""),"Female")</f>
        <v>Female</v>
      </c>
      <c r="D161" s="5" t="str">
        <f ca="1">IFERROR(__xludf.DUMMYFUNCTION("""COMPUTED_VALUE"""),"Student")</f>
        <v>Student</v>
      </c>
      <c r="E161" s="5">
        <f ca="1">IFERROR(__xludf.DUMMYFUNCTION("""COMPUTED_VALUE"""),17)</f>
        <v>17</v>
      </c>
      <c r="F161" s="5"/>
    </row>
    <row r="162" spans="1:6">
      <c r="A162" s="5" t="str">
        <f ca="1">IFERROR(__xludf.DUMMYFUNCTION("""COMPUTED_VALUE"""),"20220309FLNOM")</f>
        <v>20220309FLNOM</v>
      </c>
      <c r="B162" s="5" t="str">
        <f ca="1">IFERROR(__xludf.DUMMYFUNCTION("""COMPUTED_VALUE"""),"Wounded")</f>
        <v>Wounded</v>
      </c>
      <c r="C162" s="5" t="str">
        <f ca="1">IFERROR(__xludf.DUMMYFUNCTION("""COMPUTED_VALUE"""),"Male")</f>
        <v>Male</v>
      </c>
      <c r="D162" s="5" t="str">
        <f ca="1">IFERROR(__xludf.DUMMYFUNCTION("""COMPUTED_VALUE"""),"Student")</f>
        <v>Student</v>
      </c>
      <c r="E162" s="5">
        <f ca="1">IFERROR(__xludf.DUMMYFUNCTION("""COMPUTED_VALUE"""),17)</f>
        <v>17</v>
      </c>
      <c r="F162" s="5"/>
    </row>
    <row r="163" spans="1:6">
      <c r="A163" s="5" t="str">
        <f ca="1">IFERROR(__xludf.DUMMYFUNCTION("""COMPUTED_VALUE"""),"20220309FLNOM")</f>
        <v>20220309FLNOM</v>
      </c>
      <c r="B163" s="5" t="str">
        <f ca="1">IFERROR(__xludf.DUMMYFUNCTION("""COMPUTED_VALUE"""),"Wounded")</f>
        <v>Wounded</v>
      </c>
      <c r="C163" s="5" t="str">
        <f ca="1">IFERROR(__xludf.DUMMYFUNCTION("""COMPUTED_VALUE"""),"Male")</f>
        <v>Male</v>
      </c>
      <c r="D163" s="5" t="str">
        <f ca="1">IFERROR(__xludf.DUMMYFUNCTION("""COMPUTED_VALUE"""),"Student")</f>
        <v>Student</v>
      </c>
      <c r="E163" s="5">
        <f ca="1">IFERROR(__xludf.DUMMYFUNCTION("""COMPUTED_VALUE"""),18)</f>
        <v>18</v>
      </c>
      <c r="F163" s="5"/>
    </row>
    <row r="164" spans="1:6">
      <c r="A164" s="5" t="str">
        <f ca="1">IFERROR(__xludf.DUMMYFUNCTION("""COMPUTED_VALUE"""),"20220309FLNOM")</f>
        <v>20220309FLNOM</v>
      </c>
      <c r="B164" s="5" t="str">
        <f ca="1">IFERROR(__xludf.DUMMYFUNCTION("""COMPUTED_VALUE"""),"Wounded")</f>
        <v>Wounded</v>
      </c>
      <c r="C164" s="5"/>
      <c r="D164" s="5" t="str">
        <f ca="1">IFERROR(__xludf.DUMMYFUNCTION("""COMPUTED_VALUE"""),"Student")</f>
        <v>Student</v>
      </c>
      <c r="E164" s="5" t="str">
        <f ca="1">IFERROR(__xludf.DUMMYFUNCTION("""COMPUTED_VALUE"""),"Teen")</f>
        <v>Teen</v>
      </c>
      <c r="F164" s="5"/>
    </row>
    <row r="165" spans="1:6">
      <c r="A165" s="5" t="str">
        <f ca="1">IFERROR(__xludf.DUMMYFUNCTION("""COMPUTED_VALUE"""),"20220307IAEAD")</f>
        <v>20220307IAEAD</v>
      </c>
      <c r="B165" s="5" t="str">
        <f ca="1">IFERROR(__xludf.DUMMYFUNCTION("""COMPUTED_VALUE"""),"Fatal")</f>
        <v>Fatal</v>
      </c>
      <c r="C165" s="5" t="str">
        <f ca="1">IFERROR(__xludf.DUMMYFUNCTION("""COMPUTED_VALUE"""),"Male")</f>
        <v>Male</v>
      </c>
      <c r="D165" s="5" t="str">
        <f ca="1">IFERROR(__xludf.DUMMYFUNCTION("""COMPUTED_VALUE"""),"Former Student")</f>
        <v>Former Student</v>
      </c>
      <c r="E165" s="5">
        <f ca="1">IFERROR(__xludf.DUMMYFUNCTION("""COMPUTED_VALUE"""),15)</f>
        <v>15</v>
      </c>
      <c r="F165" s="5" t="str">
        <f ca="1">IFERROR(__xludf.DUMMYFUNCTION("""COMPUTED_VALUE"""),"Hispanic")</f>
        <v>Hispanic</v>
      </c>
    </row>
    <row r="166" spans="1:6">
      <c r="A166" s="5" t="str">
        <f ca="1">IFERROR(__xludf.DUMMYFUNCTION("""COMPUTED_VALUE"""),"20220307IAEAD")</f>
        <v>20220307IAEAD</v>
      </c>
      <c r="B166" s="5" t="str">
        <f ca="1">IFERROR(__xludf.DUMMYFUNCTION("""COMPUTED_VALUE"""),"Wounded")</f>
        <v>Wounded</v>
      </c>
      <c r="C166" s="5" t="str">
        <f ca="1">IFERROR(__xludf.DUMMYFUNCTION("""COMPUTED_VALUE"""),"Female")</f>
        <v>Female</v>
      </c>
      <c r="D166" s="5" t="str">
        <f ca="1">IFERROR(__xludf.DUMMYFUNCTION("""COMPUTED_VALUE"""),"Student")</f>
        <v>Student</v>
      </c>
      <c r="E166" s="5">
        <f ca="1">IFERROR(__xludf.DUMMYFUNCTION("""COMPUTED_VALUE"""),16)</f>
        <v>16</v>
      </c>
      <c r="F166" s="5"/>
    </row>
    <row r="167" spans="1:6">
      <c r="A167" s="5" t="str">
        <f ca="1">IFERROR(__xludf.DUMMYFUNCTION("""COMPUTED_VALUE"""),"20220307IAEAD")</f>
        <v>20220307IAEAD</v>
      </c>
      <c r="B167" s="5" t="str">
        <f ca="1">IFERROR(__xludf.DUMMYFUNCTION("""COMPUTED_VALUE"""),"Wounded")</f>
        <v>Wounded</v>
      </c>
      <c r="C167" s="5" t="str">
        <f ca="1">IFERROR(__xludf.DUMMYFUNCTION("""COMPUTED_VALUE"""),"Female")</f>
        <v>Female</v>
      </c>
      <c r="D167" s="5" t="str">
        <f ca="1">IFERROR(__xludf.DUMMYFUNCTION("""COMPUTED_VALUE"""),"Student")</f>
        <v>Student</v>
      </c>
      <c r="E167" s="5">
        <f ca="1">IFERROR(__xludf.DUMMYFUNCTION("""COMPUTED_VALUE"""),18)</f>
        <v>18</v>
      </c>
      <c r="F167" s="5"/>
    </row>
    <row r="168" spans="1:6">
      <c r="A168" s="5" t="str">
        <f ca="1">IFERROR(__xludf.DUMMYFUNCTION("""COMPUTED_VALUE"""),"20220304KSOLO")</f>
        <v>20220304KSOLO</v>
      </c>
      <c r="B168" s="5" t="str">
        <f ca="1">IFERROR(__xludf.DUMMYFUNCTION("""COMPUTED_VALUE"""),"Wounded")</f>
        <v>Wounded</v>
      </c>
      <c r="C168" s="5" t="str">
        <f ca="1">IFERROR(__xludf.DUMMYFUNCTION("""COMPUTED_VALUE"""),"Male")</f>
        <v>Male</v>
      </c>
      <c r="D168" s="5" t="str">
        <f ca="1">IFERROR(__xludf.DUMMYFUNCTION("""COMPUTED_VALUE"""),"Principal/Vice-Principal")</f>
        <v>Principal/Vice-Principal</v>
      </c>
      <c r="E168" s="5" t="str">
        <f ca="1">IFERROR(__xludf.DUMMYFUNCTION("""COMPUTED_VALUE"""),"Adult")</f>
        <v>Adult</v>
      </c>
      <c r="F168" s="5"/>
    </row>
    <row r="169" spans="1:6">
      <c r="A169" s="5" t="str">
        <f ca="1">IFERROR(__xludf.DUMMYFUNCTION("""COMPUTED_VALUE"""),"20220304KSOLO")</f>
        <v>20220304KSOLO</v>
      </c>
      <c r="B169" s="5" t="str">
        <f ca="1">IFERROR(__xludf.DUMMYFUNCTION("""COMPUTED_VALUE"""),"Wounded")</f>
        <v>Wounded</v>
      </c>
      <c r="C169" s="5" t="str">
        <f ca="1">IFERROR(__xludf.DUMMYFUNCTION("""COMPUTED_VALUE"""),"Male")</f>
        <v>Male</v>
      </c>
      <c r="D169" s="5" t="str">
        <f ca="1">IFERROR(__xludf.DUMMYFUNCTION("""COMPUTED_VALUE"""),"Police Officer/SRO")</f>
        <v>Police Officer/SRO</v>
      </c>
      <c r="E169" s="5" t="str">
        <f ca="1">IFERROR(__xludf.DUMMYFUNCTION("""COMPUTED_VALUE"""),"Adult")</f>
        <v>Adult</v>
      </c>
      <c r="F169" s="5"/>
    </row>
    <row r="170" spans="1:6">
      <c r="A170" s="5" t="str">
        <f ca="1">IFERROR(__xludf.DUMMYFUNCTION("""COMPUTED_VALUE"""),"20220303MIJWL")</f>
        <v>20220303MIJWL</v>
      </c>
      <c r="B170" s="5" t="str">
        <f ca="1">IFERROR(__xludf.DUMMYFUNCTION("""COMPUTED_VALUE"""),"Wounded")</f>
        <v>Wounded</v>
      </c>
      <c r="C170" s="5" t="str">
        <f ca="1">IFERROR(__xludf.DUMMYFUNCTION("""COMPUTED_VALUE"""),"Male")</f>
        <v>Male</v>
      </c>
      <c r="D170" s="5"/>
      <c r="E170" s="5">
        <f ca="1">IFERROR(__xludf.DUMMYFUNCTION("""COMPUTED_VALUE"""),17)</f>
        <v>17</v>
      </c>
      <c r="F170" s="5"/>
    </row>
    <row r="171" spans="1:6">
      <c r="A171" s="5" t="str">
        <f ca="1">IFERROR(__xludf.DUMMYFUNCTION("""COMPUTED_VALUE"""),"20220228NYBOB")</f>
        <v>20220228NYBOB</v>
      </c>
      <c r="B171" s="5" t="str">
        <f ca="1">IFERROR(__xludf.DUMMYFUNCTION("""COMPUTED_VALUE"""),"Wounded")</f>
        <v>Wounded</v>
      </c>
      <c r="C171" s="5" t="str">
        <f ca="1">IFERROR(__xludf.DUMMYFUNCTION("""COMPUTED_VALUE"""),"Male")</f>
        <v>Male</v>
      </c>
      <c r="D171" s="5" t="str">
        <f ca="1">IFERROR(__xludf.DUMMYFUNCTION("""COMPUTED_VALUE"""),"Student")</f>
        <v>Student</v>
      </c>
      <c r="E171" s="5">
        <f ca="1">IFERROR(__xludf.DUMMYFUNCTION("""COMPUTED_VALUE"""),14)</f>
        <v>14</v>
      </c>
      <c r="F171" s="5"/>
    </row>
    <row r="172" spans="1:6">
      <c r="A172" s="5" t="str">
        <f ca="1">IFERROR(__xludf.DUMMYFUNCTION("""COMPUTED_VALUE"""),"20220227DCDUW")</f>
        <v>20220227DCDUW</v>
      </c>
      <c r="B172" s="5" t="str">
        <f ca="1">IFERROR(__xludf.DUMMYFUNCTION("""COMPUTED_VALUE"""),"Fatal")</f>
        <v>Fatal</v>
      </c>
      <c r="C172" s="5" t="str">
        <f ca="1">IFERROR(__xludf.DUMMYFUNCTION("""COMPUTED_VALUE"""),"Male")</f>
        <v>Male</v>
      </c>
      <c r="D172" s="5" t="str">
        <f ca="1">IFERROR(__xludf.DUMMYFUNCTION("""COMPUTED_VALUE"""),"No Relation")</f>
        <v>No Relation</v>
      </c>
      <c r="E172" s="5">
        <f ca="1">IFERROR(__xludf.DUMMYFUNCTION("""COMPUTED_VALUE"""),32)</f>
        <v>32</v>
      </c>
      <c r="F172" s="5"/>
    </row>
    <row r="173" spans="1:6">
      <c r="A173" s="5" t="str">
        <f ca="1">IFERROR(__xludf.DUMMYFUNCTION("""COMPUTED_VALUE"""),"20220225NMWEA")</f>
        <v>20220225NMWEA</v>
      </c>
      <c r="B173" s="5" t="str">
        <f ca="1">IFERROR(__xludf.DUMMYFUNCTION("""COMPUTED_VALUE"""),"Fatal")</f>
        <v>Fatal</v>
      </c>
      <c r="C173" s="5" t="str">
        <f ca="1">IFERROR(__xludf.DUMMYFUNCTION("""COMPUTED_VALUE"""),"Male")</f>
        <v>Male</v>
      </c>
      <c r="D173" s="5" t="str">
        <f ca="1">IFERROR(__xludf.DUMMYFUNCTION("""COMPUTED_VALUE"""),"Student")</f>
        <v>Student</v>
      </c>
      <c r="E173" s="5">
        <f ca="1">IFERROR(__xludf.DUMMYFUNCTION("""COMPUTED_VALUE"""),16)</f>
        <v>16</v>
      </c>
      <c r="F173" s="5"/>
    </row>
    <row r="174" spans="1:6">
      <c r="A174" s="5" t="str">
        <f ca="1">IFERROR(__xludf.DUMMYFUNCTION("""COMPUTED_VALUE"""),"20220222TXALH")</f>
        <v>20220222TXALH</v>
      </c>
      <c r="B174" s="5" t="str">
        <f ca="1">IFERROR(__xludf.DUMMYFUNCTION("""COMPUTED_VALUE"""),"Fatal")</f>
        <v>Fatal</v>
      </c>
      <c r="C174" s="5" t="str">
        <f ca="1">IFERROR(__xludf.DUMMYFUNCTION("""COMPUTED_VALUE"""),"Male")</f>
        <v>Male</v>
      </c>
      <c r="D174" s="5" t="str">
        <f ca="1">IFERROR(__xludf.DUMMYFUNCTION("""COMPUTED_VALUE"""),"No Relation")</f>
        <v>No Relation</v>
      </c>
      <c r="E174" s="5" t="str">
        <f ca="1">IFERROR(__xludf.DUMMYFUNCTION("""COMPUTED_VALUE"""),"Adult")</f>
        <v>Adult</v>
      </c>
      <c r="F174" s="5"/>
    </row>
    <row r="175" spans="1:6">
      <c r="A175" s="5" t="str">
        <f ca="1">IFERROR(__xludf.DUMMYFUNCTION("""COMPUTED_VALUE"""),"20220222COLIP")</f>
        <v>20220222COLIP</v>
      </c>
      <c r="B175" s="5" t="str">
        <f ca="1">IFERROR(__xludf.DUMMYFUNCTION("""COMPUTED_VALUE"""),"Fatal")</f>
        <v>Fatal</v>
      </c>
      <c r="C175" s="5" t="str">
        <f ca="1">IFERROR(__xludf.DUMMYFUNCTION("""COMPUTED_VALUE"""),"Male")</f>
        <v>Male</v>
      </c>
      <c r="D175" s="5" t="str">
        <f ca="1">IFERROR(__xludf.DUMMYFUNCTION("""COMPUTED_VALUE"""),"No Relation")</f>
        <v>No Relation</v>
      </c>
      <c r="E175" s="5" t="str">
        <f ca="1">IFERROR(__xludf.DUMMYFUNCTION("""COMPUTED_VALUE"""),"Adult")</f>
        <v>Adult</v>
      </c>
      <c r="F175" s="5"/>
    </row>
    <row r="176" spans="1:6">
      <c r="A176" s="5" t="str">
        <f ca="1">IFERROR(__xludf.DUMMYFUNCTION("""COMPUTED_VALUE"""),"20220221MDJOH")</f>
        <v>20220221MDJOH</v>
      </c>
      <c r="B176" s="5" t="str">
        <f ca="1">IFERROR(__xludf.DUMMYFUNCTION("""COMPUTED_VALUE"""),"Fatal")</f>
        <v>Fatal</v>
      </c>
      <c r="C176" s="5" t="str">
        <f ca="1">IFERROR(__xludf.DUMMYFUNCTION("""COMPUTED_VALUE"""),"Male")</f>
        <v>Male</v>
      </c>
      <c r="D176" s="5" t="str">
        <f ca="1">IFERROR(__xludf.DUMMYFUNCTION("""COMPUTED_VALUE"""),"No Relation")</f>
        <v>No Relation</v>
      </c>
      <c r="E176" s="5">
        <f ca="1">IFERROR(__xludf.DUMMYFUNCTION("""COMPUTED_VALUE"""),18)</f>
        <v>18</v>
      </c>
      <c r="F176" s="5"/>
    </row>
    <row r="177" spans="1:6">
      <c r="A177" s="5" t="str">
        <f ca="1">IFERROR(__xludf.DUMMYFUNCTION("""COMPUTED_VALUE"""),"20220220OKWIW")</f>
        <v>20220220OKWIW</v>
      </c>
      <c r="B177" s="5" t="str">
        <f ca="1">IFERROR(__xludf.DUMMYFUNCTION("""COMPUTED_VALUE"""),"Wounded")</f>
        <v>Wounded</v>
      </c>
      <c r="C177" s="5" t="str">
        <f ca="1">IFERROR(__xludf.DUMMYFUNCTION("""COMPUTED_VALUE"""),"Male")</f>
        <v>Male</v>
      </c>
      <c r="D177" s="5" t="str">
        <f ca="1">IFERROR(__xludf.DUMMYFUNCTION("""COMPUTED_VALUE"""),"Police Officer/SRO")</f>
        <v>Police Officer/SRO</v>
      </c>
      <c r="E177" s="5" t="str">
        <f ca="1">IFERROR(__xludf.DUMMYFUNCTION("""COMPUTED_VALUE"""),"Adult")</f>
        <v>Adult</v>
      </c>
      <c r="F177" s="5"/>
    </row>
    <row r="178" spans="1:6">
      <c r="A178" s="5" t="str">
        <f ca="1">IFERROR(__xludf.DUMMYFUNCTION("""COMPUTED_VALUE"""),"20220220MSMCM")</f>
        <v>20220220MSMCM</v>
      </c>
      <c r="B178" s="5" t="str">
        <f ca="1">IFERROR(__xludf.DUMMYFUNCTION("""COMPUTED_VALUE"""),"Wounded")</f>
        <v>Wounded</v>
      </c>
      <c r="C178" s="5"/>
      <c r="D178" s="5"/>
      <c r="E178" s="5"/>
      <c r="F178" s="5"/>
    </row>
    <row r="179" spans="1:6">
      <c r="A179" s="5" t="str">
        <f ca="1">IFERROR(__xludf.DUMMYFUNCTION("""COMPUTED_VALUE"""),"20220220MSMCM")</f>
        <v>20220220MSMCM</v>
      </c>
      <c r="B179" s="5" t="str">
        <f ca="1">IFERROR(__xludf.DUMMYFUNCTION("""COMPUTED_VALUE"""),"Wounded")</f>
        <v>Wounded</v>
      </c>
      <c r="C179" s="5"/>
      <c r="D179" s="5"/>
      <c r="E179" s="5"/>
      <c r="F179" s="5"/>
    </row>
    <row r="180" spans="1:6">
      <c r="A180" s="5" t="str">
        <f ca="1">IFERROR(__xludf.DUMMYFUNCTION("""COMPUTED_VALUE"""),"20220220MSMCM")</f>
        <v>20220220MSMCM</v>
      </c>
      <c r="B180" s="5" t="str">
        <f ca="1">IFERROR(__xludf.DUMMYFUNCTION("""COMPUTED_VALUE"""),"Wounded")</f>
        <v>Wounded</v>
      </c>
      <c r="C180" s="5"/>
      <c r="D180" s="5"/>
      <c r="E180" s="5"/>
      <c r="F180" s="5"/>
    </row>
    <row r="181" spans="1:6">
      <c r="A181" s="5" t="str">
        <f ca="1">IFERROR(__xludf.DUMMYFUNCTION("""COMPUTED_VALUE"""),"20220220MSMCM")</f>
        <v>20220220MSMCM</v>
      </c>
      <c r="B181" s="5" t="str">
        <f ca="1">IFERROR(__xludf.DUMMYFUNCTION("""COMPUTED_VALUE"""),"Wounded")</f>
        <v>Wounded</v>
      </c>
      <c r="C181" s="5"/>
      <c r="D181" s="5"/>
      <c r="E181" s="5"/>
      <c r="F181" s="5"/>
    </row>
    <row r="182" spans="1:6">
      <c r="A182" s="5" t="str">
        <f ca="1">IFERROR(__xludf.DUMMYFUNCTION("""COMPUTED_VALUE"""),"20220220MSMCM")</f>
        <v>20220220MSMCM</v>
      </c>
      <c r="B182" s="5" t="str">
        <f ca="1">IFERROR(__xludf.DUMMYFUNCTION("""COMPUTED_VALUE"""),"Fatal")</f>
        <v>Fatal</v>
      </c>
      <c r="C182" s="5" t="str">
        <f ca="1">IFERROR(__xludf.DUMMYFUNCTION("""COMPUTED_VALUE"""),"Male")</f>
        <v>Male</v>
      </c>
      <c r="D182" s="5" t="str">
        <f ca="1">IFERROR(__xludf.DUMMYFUNCTION("""COMPUTED_VALUE"""),"Nonstudent Using Athletic Facilities/Attending Game")</f>
        <v>Nonstudent Using Athletic Facilities/Attending Game</v>
      </c>
      <c r="E182" s="5">
        <f ca="1">IFERROR(__xludf.DUMMYFUNCTION("""COMPUTED_VALUE"""),6)</f>
        <v>6</v>
      </c>
      <c r="F182" s="5"/>
    </row>
    <row r="183" spans="1:6">
      <c r="A183" s="5" t="str">
        <f ca="1">IFERROR(__xludf.DUMMYFUNCTION("""COMPUTED_VALUE"""),"20220219VACAC")</f>
        <v>20220219VACAC</v>
      </c>
      <c r="B183" s="5" t="str">
        <f ca="1">IFERROR(__xludf.DUMMYFUNCTION("""COMPUTED_VALUE"""),"Fatal")</f>
        <v>Fatal</v>
      </c>
      <c r="C183" s="5" t="str">
        <f ca="1">IFERROR(__xludf.DUMMYFUNCTION("""COMPUTED_VALUE"""),"Male")</f>
        <v>Male</v>
      </c>
      <c r="D183" s="5"/>
      <c r="E183" s="5">
        <f ca="1">IFERROR(__xludf.DUMMYFUNCTION("""COMPUTED_VALUE"""),17)</f>
        <v>17</v>
      </c>
      <c r="F183" s="5"/>
    </row>
    <row r="184" spans="1:6">
      <c r="A184" s="5" t="str">
        <f ca="1">IFERROR(__xludf.DUMMYFUNCTION("""COMPUTED_VALUE"""),"20220218MATET")</f>
        <v>20220218MATET</v>
      </c>
      <c r="B184" s="5" t="str">
        <f ca="1">IFERROR(__xludf.DUMMYFUNCTION("""COMPUTED_VALUE"""),"Minor Injuries")</f>
        <v>Minor Injuries</v>
      </c>
      <c r="C184" s="5"/>
      <c r="D184" s="5" t="str">
        <f ca="1">IFERROR(__xludf.DUMMYFUNCTION("""COMPUTED_VALUE"""),"Student")</f>
        <v>Student</v>
      </c>
      <c r="E184" s="5" t="str">
        <f ca="1">IFERROR(__xludf.DUMMYFUNCTION("""COMPUTED_VALUE"""),"Teen")</f>
        <v>Teen</v>
      </c>
      <c r="F184" s="5"/>
    </row>
    <row r="185" spans="1:6">
      <c r="A185" s="5" t="str">
        <f ca="1">IFERROR(__xludf.DUMMYFUNCTION("""COMPUTED_VALUE"""),"20220218MATET")</f>
        <v>20220218MATET</v>
      </c>
      <c r="B185" s="5" t="str">
        <f ca="1">IFERROR(__xludf.DUMMYFUNCTION("""COMPUTED_VALUE"""),"Minor Injuries")</f>
        <v>Minor Injuries</v>
      </c>
      <c r="C185" s="5" t="str">
        <f ca="1">IFERROR(__xludf.DUMMYFUNCTION("""COMPUTED_VALUE"""),"Female")</f>
        <v>Female</v>
      </c>
      <c r="D185" s="5" t="str">
        <f ca="1">IFERROR(__xludf.DUMMYFUNCTION("""COMPUTED_VALUE"""),"Student")</f>
        <v>Student</v>
      </c>
      <c r="E185" s="5" t="str">
        <f ca="1">IFERROR(__xludf.DUMMYFUNCTION("""COMPUTED_VALUE"""),"Teen")</f>
        <v>Teen</v>
      </c>
      <c r="F185" s="5"/>
    </row>
    <row r="186" spans="1:6">
      <c r="A186" s="5" t="str">
        <f ca="1">IFERROR(__xludf.DUMMYFUNCTION("""COMPUTED_VALUE"""),"20220218MATET")</f>
        <v>20220218MATET</v>
      </c>
      <c r="B186" s="5" t="str">
        <f ca="1">IFERROR(__xludf.DUMMYFUNCTION("""COMPUTED_VALUE"""),"Minor Injuries")</f>
        <v>Minor Injuries</v>
      </c>
      <c r="C186" s="5"/>
      <c r="D186" s="5" t="str">
        <f ca="1">IFERROR(__xludf.DUMMYFUNCTION("""COMPUTED_VALUE"""),"Student")</f>
        <v>Student</v>
      </c>
      <c r="E186" s="5" t="str">
        <f ca="1">IFERROR(__xludf.DUMMYFUNCTION("""COMPUTED_VALUE"""),"Teen")</f>
        <v>Teen</v>
      </c>
      <c r="F186" s="5"/>
    </row>
    <row r="187" spans="1:6">
      <c r="A187" s="5" t="str">
        <f ca="1">IFERROR(__xludf.DUMMYFUNCTION("""COMPUTED_VALUE"""),"20220218MATET")</f>
        <v>20220218MATET</v>
      </c>
      <c r="B187" s="5" t="str">
        <f ca="1">IFERROR(__xludf.DUMMYFUNCTION("""COMPUTED_VALUE"""),"Minor Injuries")</f>
        <v>Minor Injuries</v>
      </c>
      <c r="C187" s="5"/>
      <c r="D187" s="5" t="str">
        <f ca="1">IFERROR(__xludf.DUMMYFUNCTION("""COMPUTED_VALUE"""),"Student")</f>
        <v>Student</v>
      </c>
      <c r="E187" s="5" t="str">
        <f ca="1">IFERROR(__xludf.DUMMYFUNCTION("""COMPUTED_VALUE"""),"Teen")</f>
        <v>Teen</v>
      </c>
      <c r="F187" s="5"/>
    </row>
    <row r="188" spans="1:6">
      <c r="A188" s="5" t="str">
        <f ca="1">IFERROR(__xludf.DUMMYFUNCTION("""COMPUTED_VALUE"""),"20220218MATET")</f>
        <v>20220218MATET</v>
      </c>
      <c r="B188" s="5" t="str">
        <f ca="1">IFERROR(__xludf.DUMMYFUNCTION("""COMPUTED_VALUE"""),"Minor Injuries")</f>
        <v>Minor Injuries</v>
      </c>
      <c r="C188" s="5"/>
      <c r="D188" s="5" t="str">
        <f ca="1">IFERROR(__xludf.DUMMYFUNCTION("""COMPUTED_VALUE"""),"Student")</f>
        <v>Student</v>
      </c>
      <c r="E188" s="5" t="str">
        <f ca="1">IFERROR(__xludf.DUMMYFUNCTION("""COMPUTED_VALUE"""),"Teen")</f>
        <v>Teen</v>
      </c>
      <c r="F188" s="5"/>
    </row>
    <row r="189" spans="1:6">
      <c r="A189" s="5" t="str">
        <f ca="1">IFERROR(__xludf.DUMMYFUNCTION("""COMPUTED_VALUE"""),"20220218MATET")</f>
        <v>20220218MATET</v>
      </c>
      <c r="B189" s="5" t="str">
        <f ca="1">IFERROR(__xludf.DUMMYFUNCTION("""COMPUTED_VALUE"""),"Minor Injuries")</f>
        <v>Minor Injuries</v>
      </c>
      <c r="C189" s="5"/>
      <c r="D189" s="5" t="str">
        <f ca="1">IFERROR(__xludf.DUMMYFUNCTION("""COMPUTED_VALUE"""),"Student")</f>
        <v>Student</v>
      </c>
      <c r="E189" s="5" t="str">
        <f ca="1">IFERROR(__xludf.DUMMYFUNCTION("""COMPUTED_VALUE"""),"Teen")</f>
        <v>Teen</v>
      </c>
      <c r="F189" s="5"/>
    </row>
    <row r="190" spans="1:6">
      <c r="A190" s="5" t="str">
        <f ca="1">IFERROR(__xludf.DUMMYFUNCTION("""COMPUTED_VALUE"""),"20220218MATET")</f>
        <v>20220218MATET</v>
      </c>
      <c r="B190" s="5" t="str">
        <f ca="1">IFERROR(__xludf.DUMMYFUNCTION("""COMPUTED_VALUE"""),"Minor Injuries")</f>
        <v>Minor Injuries</v>
      </c>
      <c r="C190" s="5"/>
      <c r="D190" s="5" t="str">
        <f ca="1">IFERROR(__xludf.DUMMYFUNCTION("""COMPUTED_VALUE"""),"Student")</f>
        <v>Student</v>
      </c>
      <c r="E190" s="5" t="str">
        <f ca="1">IFERROR(__xludf.DUMMYFUNCTION("""COMPUTED_VALUE"""),"Teen")</f>
        <v>Teen</v>
      </c>
      <c r="F190" s="5"/>
    </row>
    <row r="191" spans="1:6">
      <c r="A191" s="5" t="str">
        <f ca="1">IFERROR(__xludf.DUMMYFUNCTION("""COMPUTED_VALUE"""),"20220217WAMCG")</f>
        <v>20220217WAMCG</v>
      </c>
      <c r="B191" s="5" t="str">
        <f ca="1">IFERROR(__xludf.DUMMYFUNCTION("""COMPUTED_VALUE"""),"Wounded")</f>
        <v>Wounded</v>
      </c>
      <c r="C191" s="5" t="str">
        <f ca="1">IFERROR(__xludf.DUMMYFUNCTION("""COMPUTED_VALUE"""),"Male")</f>
        <v>Male</v>
      </c>
      <c r="D191" s="5" t="str">
        <f ca="1">IFERROR(__xludf.DUMMYFUNCTION("""COMPUTED_VALUE"""),"Gang Member")</f>
        <v>Gang Member</v>
      </c>
      <c r="E191" s="5" t="str">
        <f ca="1">IFERROR(__xludf.DUMMYFUNCTION("""COMPUTED_VALUE"""),"Adult")</f>
        <v>Adult</v>
      </c>
      <c r="F191" s="5"/>
    </row>
    <row r="192" spans="1:6">
      <c r="A192" s="5" t="str">
        <f ca="1">IFERROR(__xludf.DUMMYFUNCTION("""COMPUTED_VALUE"""),"20220211DCEAW")</f>
        <v>20220211DCEAW</v>
      </c>
      <c r="B192" s="5" t="str">
        <f ca="1">IFERROR(__xludf.DUMMYFUNCTION("""COMPUTED_VALUE"""),"Wounded")</f>
        <v>Wounded</v>
      </c>
      <c r="C192" s="5" t="str">
        <f ca="1">IFERROR(__xludf.DUMMYFUNCTION("""COMPUTED_VALUE"""),"Male")</f>
        <v>Male</v>
      </c>
      <c r="D192" s="5"/>
      <c r="E192" s="5" t="str">
        <f ca="1">IFERROR(__xludf.DUMMYFUNCTION("""COMPUTED_VALUE"""),"Adult")</f>
        <v>Adult</v>
      </c>
      <c r="F192" s="5"/>
    </row>
    <row r="193" spans="1:6">
      <c r="A193" s="5" t="str">
        <f ca="1">IFERROR(__xludf.DUMMYFUNCTION("""COMPUTED_VALUE"""),"20220209NYMCB")</f>
        <v>20220209NYMCB</v>
      </c>
      <c r="B193" s="5" t="str">
        <f ca="1">IFERROR(__xludf.DUMMYFUNCTION("""COMPUTED_VALUE"""),"Wounded")</f>
        <v>Wounded</v>
      </c>
      <c r="C193" s="5" t="str">
        <f ca="1">IFERROR(__xludf.DUMMYFUNCTION("""COMPUTED_VALUE"""),"Male")</f>
        <v>Male</v>
      </c>
      <c r="D193" s="5" t="str">
        <f ca="1">IFERROR(__xludf.DUMMYFUNCTION("""COMPUTED_VALUE"""),"Police Officer/SRO")</f>
        <v>Police Officer/SRO</v>
      </c>
      <c r="E193" s="5" t="str">
        <f ca="1">IFERROR(__xludf.DUMMYFUNCTION("""COMPUTED_VALUE"""),"Adult")</f>
        <v>Adult</v>
      </c>
      <c r="F193" s="5"/>
    </row>
    <row r="194" spans="1:6">
      <c r="A194" s="5" t="str">
        <f ca="1">IFERROR(__xludf.DUMMYFUNCTION("""COMPUTED_VALUE"""),"20220209NYMCB")</f>
        <v>20220209NYMCB</v>
      </c>
      <c r="B194" s="5" t="str">
        <f ca="1">IFERROR(__xludf.DUMMYFUNCTION("""COMPUTED_VALUE"""),"Wounded")</f>
        <v>Wounded</v>
      </c>
      <c r="C194" s="5" t="str">
        <f ca="1">IFERROR(__xludf.DUMMYFUNCTION("""COMPUTED_VALUE"""),"Male")</f>
        <v>Male</v>
      </c>
      <c r="D194" s="5" t="str">
        <f ca="1">IFERROR(__xludf.DUMMYFUNCTION("""COMPUTED_VALUE"""),"Student")</f>
        <v>Student</v>
      </c>
      <c r="E194" s="5">
        <f ca="1">IFERROR(__xludf.DUMMYFUNCTION("""COMPUTED_VALUE"""),13)</f>
        <v>13</v>
      </c>
      <c r="F194" s="5"/>
    </row>
    <row r="195" spans="1:6">
      <c r="A195" s="5" t="str">
        <f ca="1">IFERROR(__xludf.DUMMYFUNCTION("""COMPUTED_VALUE"""),"20220209MNMIM")</f>
        <v>20220209MNMIM</v>
      </c>
      <c r="B195" s="5" t="str">
        <f ca="1">IFERROR(__xludf.DUMMYFUNCTION("""COMPUTED_VALUE"""),"Wounded")</f>
        <v>Wounded</v>
      </c>
      <c r="C195" s="5"/>
      <c r="D195" s="5" t="str">
        <f ca="1">IFERROR(__xludf.DUMMYFUNCTION("""COMPUTED_VALUE"""),"Bus Driver")</f>
        <v>Bus Driver</v>
      </c>
      <c r="E195" s="5" t="str">
        <f ca="1">IFERROR(__xludf.DUMMYFUNCTION("""COMPUTED_VALUE"""),"Adult")</f>
        <v>Adult</v>
      </c>
      <c r="F195" s="5"/>
    </row>
    <row r="196" spans="1:6">
      <c r="A196" s="5" t="str">
        <f ca="1">IFERROR(__xludf.DUMMYFUNCTION("""COMPUTED_VALUE"""),"20220208MDCAC")</f>
        <v>20220208MDCAC</v>
      </c>
      <c r="B196" s="5" t="str">
        <f ca="1">IFERROR(__xludf.DUMMYFUNCTION("""COMPUTED_VALUE"""),"Wounded")</f>
        <v>Wounded</v>
      </c>
      <c r="C196" s="5" t="str">
        <f ca="1">IFERROR(__xludf.DUMMYFUNCTION("""COMPUTED_VALUE"""),"Male")</f>
        <v>Male</v>
      </c>
      <c r="D196" s="5" t="str">
        <f ca="1">IFERROR(__xludf.DUMMYFUNCTION("""COMPUTED_VALUE"""),"Student")</f>
        <v>Student</v>
      </c>
      <c r="E196" s="5">
        <f ca="1">IFERROR(__xludf.DUMMYFUNCTION("""COMPUTED_VALUE"""),16)</f>
        <v>16</v>
      </c>
      <c r="F196" s="5"/>
    </row>
    <row r="197" spans="1:6">
      <c r="A197" s="5" t="str">
        <f ca="1">IFERROR(__xludf.DUMMYFUNCTION("""COMPUTED_VALUE"""),"20220208MDCAC")</f>
        <v>20220208MDCAC</v>
      </c>
      <c r="B197" s="5" t="str">
        <f ca="1">IFERROR(__xludf.DUMMYFUNCTION("""COMPUTED_VALUE"""),"Wounded")</f>
        <v>Wounded</v>
      </c>
      <c r="C197" s="5"/>
      <c r="D197" s="5" t="str">
        <f ca="1">IFERROR(__xludf.DUMMYFUNCTION("""COMPUTED_VALUE"""),"Student")</f>
        <v>Student</v>
      </c>
      <c r="E197" s="5">
        <f ca="1">IFERROR(__xludf.DUMMYFUNCTION("""COMPUTED_VALUE"""),16)</f>
        <v>16</v>
      </c>
      <c r="F197" s="5"/>
    </row>
    <row r="198" spans="1:6">
      <c r="A198" s="5" t="str">
        <f ca="1">IFERROR(__xludf.DUMMYFUNCTION("""COMPUTED_VALUE"""),"20220204ALWEB")</f>
        <v>20220204ALWEB</v>
      </c>
      <c r="B198" s="5" t="str">
        <f ca="1">IFERROR(__xludf.DUMMYFUNCTION("""COMPUTED_VALUE"""),"Wounded")</f>
        <v>Wounded</v>
      </c>
      <c r="C198" s="5"/>
      <c r="D198" s="5" t="str">
        <f ca="1">IFERROR(__xludf.DUMMYFUNCTION("""COMPUTED_VALUE"""),"Student")</f>
        <v>Student</v>
      </c>
      <c r="E198" s="5">
        <f ca="1">IFERROR(__xludf.DUMMYFUNCTION("""COMPUTED_VALUE"""),16)</f>
        <v>16</v>
      </c>
      <c r="F198" s="5"/>
    </row>
    <row r="199" spans="1:6">
      <c r="A199" s="5" t="str">
        <f ca="1">IFERROR(__xludf.DUMMYFUNCTION("""COMPUTED_VALUE"""),"20220201WIRUM")</f>
        <v>20220201WIRUM</v>
      </c>
      <c r="B199" s="5" t="str">
        <f ca="1">IFERROR(__xludf.DUMMYFUNCTION("""COMPUTED_VALUE"""),"Wounded")</f>
        <v>Wounded</v>
      </c>
      <c r="C199" s="5" t="str">
        <f ca="1">IFERROR(__xludf.DUMMYFUNCTION("""COMPUTED_VALUE"""),"Female")</f>
        <v>Female</v>
      </c>
      <c r="D199" s="5" t="str">
        <f ca="1">IFERROR(__xludf.DUMMYFUNCTION("""COMPUTED_VALUE"""),"Student")</f>
        <v>Student</v>
      </c>
      <c r="E199" s="5">
        <f ca="1">IFERROR(__xludf.DUMMYFUNCTION("""COMPUTED_VALUE"""),15)</f>
        <v>15</v>
      </c>
      <c r="F199" s="5"/>
    </row>
    <row r="200" spans="1:6">
      <c r="A200" s="5" t="str">
        <f ca="1">IFERROR(__xludf.DUMMYFUNCTION("""COMPUTED_VALUE"""),"20220201WIRUM")</f>
        <v>20220201WIRUM</v>
      </c>
      <c r="B200" s="5" t="str">
        <f ca="1">IFERROR(__xludf.DUMMYFUNCTION("""COMPUTED_VALUE"""),"Wounded")</f>
        <v>Wounded</v>
      </c>
      <c r="C200" s="5" t="str">
        <f ca="1">IFERROR(__xludf.DUMMYFUNCTION("""COMPUTED_VALUE"""),"Female")</f>
        <v>Female</v>
      </c>
      <c r="D200" s="5" t="str">
        <f ca="1">IFERROR(__xludf.DUMMYFUNCTION("""COMPUTED_VALUE"""),"Student")</f>
        <v>Student</v>
      </c>
      <c r="E200" s="5">
        <f ca="1">IFERROR(__xludf.DUMMYFUNCTION("""COMPUTED_VALUE"""),15)</f>
        <v>15</v>
      </c>
      <c r="F200" s="5"/>
    </row>
    <row r="201" spans="1:6">
      <c r="A201" s="5" t="str">
        <f ca="1">IFERROR(__xludf.DUMMYFUNCTION("""COMPUTED_VALUE"""),"20220201WIRUM")</f>
        <v>20220201WIRUM</v>
      </c>
      <c r="B201" s="5" t="str">
        <f ca="1">IFERROR(__xludf.DUMMYFUNCTION("""COMPUTED_VALUE"""),"Wounded")</f>
        <v>Wounded</v>
      </c>
      <c r="C201" s="5" t="str">
        <f ca="1">IFERROR(__xludf.DUMMYFUNCTION("""COMPUTED_VALUE"""),"Female")</f>
        <v>Female</v>
      </c>
      <c r="D201" s="5" t="str">
        <f ca="1">IFERROR(__xludf.DUMMYFUNCTION("""COMPUTED_VALUE"""),"Student")</f>
        <v>Student</v>
      </c>
      <c r="E201" s="5">
        <f ca="1">IFERROR(__xludf.DUMMYFUNCTION("""COMPUTED_VALUE"""),16)</f>
        <v>16</v>
      </c>
      <c r="F201" s="5"/>
    </row>
    <row r="202" spans="1:6">
      <c r="A202" s="5" t="str">
        <f ca="1">IFERROR(__xludf.DUMMYFUNCTION("""COMPUTED_VALUE"""),"20220201WIRUM")</f>
        <v>20220201WIRUM</v>
      </c>
      <c r="B202" s="5" t="str">
        <f ca="1">IFERROR(__xludf.DUMMYFUNCTION("""COMPUTED_VALUE"""),"Wounded")</f>
        <v>Wounded</v>
      </c>
      <c r="C202" s="5" t="str">
        <f ca="1">IFERROR(__xludf.DUMMYFUNCTION("""COMPUTED_VALUE"""),"Female")</f>
        <v>Female</v>
      </c>
      <c r="D202" s="5" t="str">
        <f ca="1">IFERROR(__xludf.DUMMYFUNCTION("""COMPUTED_VALUE"""),"Student")</f>
        <v>Student</v>
      </c>
      <c r="E202" s="5">
        <f ca="1">IFERROR(__xludf.DUMMYFUNCTION("""COMPUTED_VALUE"""),17)</f>
        <v>17</v>
      </c>
      <c r="F202" s="5"/>
    </row>
    <row r="203" spans="1:6">
      <c r="A203" s="5" t="str">
        <f ca="1">IFERROR(__xludf.DUMMYFUNCTION("""COMPUTED_VALUE"""),"20220201WIRUM")</f>
        <v>20220201WIRUM</v>
      </c>
      <c r="B203" s="5" t="str">
        <f ca="1">IFERROR(__xludf.DUMMYFUNCTION("""COMPUTED_VALUE"""),"Wounded")</f>
        <v>Wounded</v>
      </c>
      <c r="C203" s="5" t="str">
        <f ca="1">IFERROR(__xludf.DUMMYFUNCTION("""COMPUTED_VALUE"""),"Female")</f>
        <v>Female</v>
      </c>
      <c r="D203" s="5" t="str">
        <f ca="1">IFERROR(__xludf.DUMMYFUNCTION("""COMPUTED_VALUE"""),"Nonstudent Using Athletic Facilities/Attending Game")</f>
        <v>Nonstudent Using Athletic Facilities/Attending Game</v>
      </c>
      <c r="E203" s="5">
        <f ca="1">IFERROR(__xludf.DUMMYFUNCTION("""COMPUTED_VALUE"""),20)</f>
        <v>20</v>
      </c>
      <c r="F203" s="5"/>
    </row>
    <row r="204" spans="1:6">
      <c r="A204" s="5" t="str">
        <f ca="1">IFERROR(__xludf.DUMMYFUNCTION("""COMPUTED_VALUE"""),"20220201MNSOR")</f>
        <v>20220201MNSOR</v>
      </c>
      <c r="B204" s="5" t="str">
        <f ca="1">IFERROR(__xludf.DUMMYFUNCTION("""COMPUTED_VALUE"""),"Fatal")</f>
        <v>Fatal</v>
      </c>
      <c r="C204" s="5" t="str">
        <f ca="1">IFERROR(__xludf.DUMMYFUNCTION("""COMPUTED_VALUE"""),"Male")</f>
        <v>Male</v>
      </c>
      <c r="D204" s="5" t="str">
        <f ca="1">IFERROR(__xludf.DUMMYFUNCTION("""COMPUTED_VALUE"""),"Student")</f>
        <v>Student</v>
      </c>
      <c r="E204" s="5">
        <f ca="1">IFERROR(__xludf.DUMMYFUNCTION("""COMPUTED_VALUE"""),15)</f>
        <v>15</v>
      </c>
      <c r="F204" s="5" t="str">
        <f ca="1">IFERROR(__xludf.DUMMYFUNCTION("""COMPUTED_VALUE"""),"Black")</f>
        <v>Black</v>
      </c>
    </row>
    <row r="205" spans="1:6">
      <c r="A205" s="5" t="str">
        <f ca="1">IFERROR(__xludf.DUMMYFUNCTION("""COMPUTED_VALUE"""),"20220201MNSOR")</f>
        <v>20220201MNSOR</v>
      </c>
      <c r="B205" s="5" t="str">
        <f ca="1">IFERROR(__xludf.DUMMYFUNCTION("""COMPUTED_VALUE"""),"Wounded")</f>
        <v>Wounded</v>
      </c>
      <c r="C205" s="5" t="str">
        <f ca="1">IFERROR(__xludf.DUMMYFUNCTION("""COMPUTED_VALUE"""),"Male")</f>
        <v>Male</v>
      </c>
      <c r="D205" s="5" t="str">
        <f ca="1">IFERROR(__xludf.DUMMYFUNCTION("""COMPUTED_VALUE"""),"Student")</f>
        <v>Student</v>
      </c>
      <c r="E205" s="5">
        <f ca="1">IFERROR(__xludf.DUMMYFUNCTION("""COMPUTED_VALUE"""),17)</f>
        <v>17</v>
      </c>
      <c r="F205" s="5"/>
    </row>
    <row r="206" spans="1:6">
      <c r="A206" s="5" t="str">
        <f ca="1">IFERROR(__xludf.DUMMYFUNCTION("""COMPUTED_VALUE"""),"20220201MNSOR")</f>
        <v>20220201MNSOR</v>
      </c>
      <c r="B206" s="5" t="str">
        <f ca="1">IFERROR(__xludf.DUMMYFUNCTION("""COMPUTED_VALUE"""),"Wounded")</f>
        <v>Wounded</v>
      </c>
      <c r="C206" s="5" t="str">
        <f ca="1">IFERROR(__xludf.DUMMYFUNCTION("""COMPUTED_VALUE"""),"Male")</f>
        <v>Male</v>
      </c>
      <c r="D206" s="5" t="str">
        <f ca="1">IFERROR(__xludf.DUMMYFUNCTION("""COMPUTED_VALUE"""),"Student")</f>
        <v>Student</v>
      </c>
      <c r="E206" s="5">
        <f ca="1">IFERROR(__xludf.DUMMYFUNCTION("""COMPUTED_VALUE"""),19)</f>
        <v>19</v>
      </c>
      <c r="F206" s="5"/>
    </row>
    <row r="207" spans="1:6">
      <c r="A207" s="5" t="str">
        <f ca="1">IFERROR(__xludf.DUMMYFUNCTION("""COMPUTED_VALUE"""),"20220201ILALC")</f>
        <v>20220201ILALC</v>
      </c>
      <c r="B207" s="5" t="str">
        <f ca="1">IFERROR(__xludf.DUMMYFUNCTION("""COMPUTED_VALUE"""),"Wounded")</f>
        <v>Wounded</v>
      </c>
      <c r="C207" s="5" t="str">
        <f ca="1">IFERROR(__xludf.DUMMYFUNCTION("""COMPUTED_VALUE"""),"Female")</f>
        <v>Female</v>
      </c>
      <c r="D207" s="5" t="str">
        <f ca="1">IFERROR(__xludf.DUMMYFUNCTION("""COMPUTED_VALUE"""),"No Relation")</f>
        <v>No Relation</v>
      </c>
      <c r="E207" s="5">
        <f ca="1">IFERROR(__xludf.DUMMYFUNCTION("""COMPUTED_VALUE"""),16)</f>
        <v>16</v>
      </c>
      <c r="F207" s="5"/>
    </row>
    <row r="208" spans="1:6">
      <c r="A208" s="5" t="str">
        <f ca="1">IFERROR(__xludf.DUMMYFUNCTION("""COMPUTED_VALUE"""),"20220129WIBEB")</f>
        <v>20220129WIBEB</v>
      </c>
      <c r="B208" s="5" t="str">
        <f ca="1">IFERROR(__xludf.DUMMYFUNCTION("""COMPUTED_VALUE"""),"Fatal")</f>
        <v>Fatal</v>
      </c>
      <c r="C208" s="5" t="str">
        <f ca="1">IFERROR(__xludf.DUMMYFUNCTION("""COMPUTED_VALUE"""),"Male")</f>
        <v>Male</v>
      </c>
      <c r="D208" s="5" t="str">
        <f ca="1">IFERROR(__xludf.DUMMYFUNCTION("""COMPUTED_VALUE"""),"Nonstudent Using Athletic Facilities/Attending Game")</f>
        <v>Nonstudent Using Athletic Facilities/Attending Game</v>
      </c>
      <c r="E208" s="5">
        <f ca="1">IFERROR(__xludf.DUMMYFUNCTION("""COMPUTED_VALUE"""),19)</f>
        <v>19</v>
      </c>
      <c r="F208" s="5"/>
    </row>
    <row r="209" spans="1:6">
      <c r="A209" s="5" t="str">
        <f ca="1">IFERROR(__xludf.DUMMYFUNCTION("""COMPUTED_VALUE"""),"20220128LACAM")</f>
        <v>20220128LACAM</v>
      </c>
      <c r="B209" s="5" t="str">
        <f ca="1">IFERROR(__xludf.DUMMYFUNCTION("""COMPUTED_VALUE"""),"None")</f>
        <v>None</v>
      </c>
      <c r="C209" s="5"/>
      <c r="D209" s="5" t="str">
        <f ca="1">IFERROR(__xludf.DUMMYFUNCTION("""COMPUTED_VALUE"""),"Nonstudent Using Athletic Facilities/Attending Game")</f>
        <v>Nonstudent Using Athletic Facilities/Attending Game</v>
      </c>
      <c r="E209" s="5" t="str">
        <f ca="1">IFERROR(__xludf.DUMMYFUNCTION("""COMPUTED_VALUE"""),"Adult")</f>
        <v>Adult</v>
      </c>
      <c r="F209" s="5"/>
    </row>
    <row r="210" spans="1:6">
      <c r="A210" s="5" t="str">
        <f ca="1">IFERROR(__xludf.DUMMYFUNCTION("""COMPUTED_VALUE"""),"20220128LACAM")</f>
        <v>20220128LACAM</v>
      </c>
      <c r="B210" s="5" t="str">
        <f ca="1">IFERROR(__xludf.DUMMYFUNCTION("""COMPUTED_VALUE"""),"None")</f>
        <v>None</v>
      </c>
      <c r="C210" s="5"/>
      <c r="D210" s="5" t="str">
        <f ca="1">IFERROR(__xludf.DUMMYFUNCTION("""COMPUTED_VALUE"""),"Nonstudent Using Athletic Facilities/Attending Game")</f>
        <v>Nonstudent Using Athletic Facilities/Attending Game</v>
      </c>
      <c r="E210" s="5" t="str">
        <f ca="1">IFERROR(__xludf.DUMMYFUNCTION("""COMPUTED_VALUE"""),"Adult")</f>
        <v>Adult</v>
      </c>
      <c r="F210" s="5"/>
    </row>
    <row r="211" spans="1:6">
      <c r="A211" s="5" t="str">
        <f ca="1">IFERROR(__xludf.DUMMYFUNCTION("""COMPUTED_VALUE"""),"20220127TXMOH")</f>
        <v>20220127TXMOH</v>
      </c>
      <c r="B211" s="5" t="str">
        <f ca="1">IFERROR(__xludf.DUMMYFUNCTION("""COMPUTED_VALUE"""),"Wounded")</f>
        <v>Wounded</v>
      </c>
      <c r="C211" s="5" t="str">
        <f ca="1">IFERROR(__xludf.DUMMYFUNCTION("""COMPUTED_VALUE"""),"Female")</f>
        <v>Female</v>
      </c>
      <c r="D211" s="5" t="str">
        <f ca="1">IFERROR(__xludf.DUMMYFUNCTION("""COMPUTED_VALUE"""),"No Relation")</f>
        <v>No Relation</v>
      </c>
      <c r="E211" s="5" t="str">
        <f ca="1">IFERROR(__xludf.DUMMYFUNCTION("""COMPUTED_VALUE"""),"Adult")</f>
        <v>Adult</v>
      </c>
      <c r="F211" s="5"/>
    </row>
    <row r="212" spans="1:6">
      <c r="A212" s="5" t="str">
        <f ca="1">IFERROR(__xludf.DUMMYFUNCTION("""COMPUTED_VALUE"""),"20220126PABAP")</f>
        <v>20220126PABAP</v>
      </c>
      <c r="B212" s="5" t="str">
        <f ca="1">IFERROR(__xludf.DUMMYFUNCTION("""COMPUTED_VALUE"""),"Fatal")</f>
        <v>Fatal</v>
      </c>
      <c r="C212" s="5" t="str">
        <f ca="1">IFERROR(__xludf.DUMMYFUNCTION("""COMPUTED_VALUE"""),"Male")</f>
        <v>Male</v>
      </c>
      <c r="D212" s="5" t="str">
        <f ca="1">IFERROR(__xludf.DUMMYFUNCTION("""COMPUTED_VALUE"""),"Student")</f>
        <v>Student</v>
      </c>
      <c r="E212" s="5">
        <f ca="1">IFERROR(__xludf.DUMMYFUNCTION("""COMPUTED_VALUE"""),17)</f>
        <v>17</v>
      </c>
      <c r="F212" s="5" t="str">
        <f ca="1">IFERROR(__xludf.DUMMYFUNCTION("""COMPUTED_VALUE"""),"Black")</f>
        <v>Black</v>
      </c>
    </row>
    <row r="213" spans="1:6">
      <c r="A213" s="5" t="str">
        <f ca="1">IFERROR(__xludf.DUMMYFUNCTION("""COMPUTED_VALUE"""),"20220124NVSUL")</f>
        <v>20220124NVSUL</v>
      </c>
      <c r="B213" s="5" t="str">
        <f ca="1">IFERROR(__xludf.DUMMYFUNCTION("""COMPUTED_VALUE"""),"Wounded")</f>
        <v>Wounded</v>
      </c>
      <c r="C213" s="5"/>
      <c r="D213" s="5"/>
      <c r="E213" s="5"/>
      <c r="F213" s="5"/>
    </row>
    <row r="214" spans="1:6">
      <c r="A214" s="5" t="str">
        <f ca="1">IFERROR(__xludf.DUMMYFUNCTION("""COMPUTED_VALUE"""),"20220121MDMAR")</f>
        <v>20220121MDMAR</v>
      </c>
      <c r="B214" s="5" t="str">
        <f ca="1">IFERROR(__xludf.DUMMYFUNCTION("""COMPUTED_VALUE"""),"Wounded")</f>
        <v>Wounded</v>
      </c>
      <c r="C214" s="5" t="str">
        <f ca="1">IFERROR(__xludf.DUMMYFUNCTION("""COMPUTED_VALUE"""),"Male")</f>
        <v>Male</v>
      </c>
      <c r="D214" s="5" t="str">
        <f ca="1">IFERROR(__xludf.DUMMYFUNCTION("""COMPUTED_VALUE"""),"Student")</f>
        <v>Student</v>
      </c>
      <c r="E214" s="5">
        <f ca="1">IFERROR(__xludf.DUMMYFUNCTION("""COMPUTED_VALUE"""),15)</f>
        <v>15</v>
      </c>
      <c r="F214" s="5"/>
    </row>
    <row r="215" spans="1:6">
      <c r="A215" s="5" t="str">
        <f ca="1">IFERROR(__xludf.DUMMYFUNCTION("""COMPUTED_VALUE"""),"20220119VAMAP")</f>
        <v>20220119VAMAP</v>
      </c>
      <c r="B215" s="5" t="str">
        <f ca="1">IFERROR(__xludf.DUMMYFUNCTION("""COMPUTED_VALUE"""),"Wounded")</f>
        <v>Wounded</v>
      </c>
      <c r="C215" s="5" t="str">
        <f ca="1">IFERROR(__xludf.DUMMYFUNCTION("""COMPUTED_VALUE"""),"Male")</f>
        <v>Male</v>
      </c>
      <c r="D215" s="5" t="str">
        <f ca="1">IFERROR(__xludf.DUMMYFUNCTION("""COMPUTED_VALUE"""),"Student")</f>
        <v>Student</v>
      </c>
      <c r="E215" s="5" t="str">
        <f ca="1">IFERROR(__xludf.DUMMYFUNCTION("""COMPUTED_VALUE"""),"Teen")</f>
        <v>Teen</v>
      </c>
      <c r="F215" s="5"/>
    </row>
    <row r="216" spans="1:6">
      <c r="A216" s="5" t="str">
        <f ca="1">IFERROR(__xludf.DUMMYFUNCTION("""COMPUTED_VALUE"""),"20220119PAPIP")</f>
        <v>20220119PAPIP</v>
      </c>
      <c r="B216" s="5" t="str">
        <f ca="1">IFERROR(__xludf.DUMMYFUNCTION("""COMPUTED_VALUE"""),"Fatal")</f>
        <v>Fatal</v>
      </c>
      <c r="C216" s="5" t="str">
        <f ca="1">IFERROR(__xludf.DUMMYFUNCTION("""COMPUTED_VALUE"""),"Male")</f>
        <v>Male</v>
      </c>
      <c r="D216" s="5" t="str">
        <f ca="1">IFERROR(__xludf.DUMMYFUNCTION("""COMPUTED_VALUE"""),"Student")</f>
        <v>Student</v>
      </c>
      <c r="E216" s="5">
        <f ca="1">IFERROR(__xludf.DUMMYFUNCTION("""COMPUTED_VALUE"""),15)</f>
        <v>15</v>
      </c>
      <c r="F216" s="5" t="str">
        <f ca="1">IFERROR(__xludf.DUMMYFUNCTION("""COMPUTED_VALUE"""),"Black")</f>
        <v>Black</v>
      </c>
    </row>
    <row r="217" spans="1:6">
      <c r="A217" s="5" t="str">
        <f ca="1">IFERROR(__xludf.DUMMYFUNCTION("""COMPUTED_VALUE"""),"20220119FLSES")</f>
        <v>20220119FLSES</v>
      </c>
      <c r="B217" s="5" t="str">
        <f ca="1">IFERROR(__xludf.DUMMYFUNCTION("""COMPUTED_VALUE"""),"Wounded")</f>
        <v>Wounded</v>
      </c>
      <c r="C217" s="5" t="str">
        <f ca="1">IFERROR(__xludf.DUMMYFUNCTION("""COMPUTED_VALUE"""),"Male")</f>
        <v>Male</v>
      </c>
      <c r="D217" s="5" t="str">
        <f ca="1">IFERROR(__xludf.DUMMYFUNCTION("""COMPUTED_VALUE"""),"Student")</f>
        <v>Student</v>
      </c>
      <c r="E217" s="5">
        <f ca="1">IFERROR(__xludf.DUMMYFUNCTION("""COMPUTED_VALUE"""),17)</f>
        <v>17</v>
      </c>
      <c r="F217" s="5"/>
    </row>
    <row r="218" spans="1:6">
      <c r="A218" s="5" t="str">
        <f ca="1">IFERROR(__xludf.DUMMYFUNCTION("""COMPUTED_VALUE"""),"20220119DCANW")</f>
        <v>20220119DCANW</v>
      </c>
      <c r="B218" s="5" t="str">
        <f ca="1">IFERROR(__xludf.DUMMYFUNCTION("""COMPUTED_VALUE"""),"None")</f>
        <v>None</v>
      </c>
      <c r="C218" s="5" t="str">
        <f ca="1">IFERROR(__xludf.DUMMYFUNCTION("""COMPUTED_VALUE"""),"Male")</f>
        <v>Male</v>
      </c>
      <c r="D218" s="5"/>
      <c r="E218" s="5"/>
      <c r="F218" s="5"/>
    </row>
    <row r="219" spans="1:6">
      <c r="A219" s="5" t="str">
        <f ca="1">IFERROR(__xludf.DUMMYFUNCTION("""COMPUTED_VALUE"""),"20220117TXPYH")</f>
        <v>20220117TXPYH</v>
      </c>
      <c r="B219" s="5" t="str">
        <f ca="1">IFERROR(__xludf.DUMMYFUNCTION("""COMPUTED_VALUE"""),"Fatal")</f>
        <v>Fatal</v>
      </c>
      <c r="C219" s="5" t="str">
        <f ca="1">IFERROR(__xludf.DUMMYFUNCTION("""COMPUTED_VALUE"""),"Male")</f>
        <v>Male</v>
      </c>
      <c r="D219" s="5" t="str">
        <f ca="1">IFERROR(__xludf.DUMMYFUNCTION("""COMPUTED_VALUE"""),"No Relation")</f>
        <v>No Relation</v>
      </c>
      <c r="E219" s="5" t="str">
        <f ca="1">IFERROR(__xludf.DUMMYFUNCTION("""COMPUTED_VALUE"""),"Adult")</f>
        <v>Adult</v>
      </c>
      <c r="F219" s="5"/>
    </row>
    <row r="220" spans="1:6">
      <c r="A220" s="5" t="str">
        <f ca="1">IFERROR(__xludf.DUMMYFUNCTION("""COMPUTED_VALUE"""),"20220117TXPYH")</f>
        <v>20220117TXPYH</v>
      </c>
      <c r="B220" s="5" t="str">
        <f ca="1">IFERROR(__xludf.DUMMYFUNCTION("""COMPUTED_VALUE"""),"Fatal")</f>
        <v>Fatal</v>
      </c>
      <c r="C220" s="5" t="str">
        <f ca="1">IFERROR(__xludf.DUMMYFUNCTION("""COMPUTED_VALUE"""),"Female")</f>
        <v>Female</v>
      </c>
      <c r="D220" s="5" t="str">
        <f ca="1">IFERROR(__xludf.DUMMYFUNCTION("""COMPUTED_VALUE"""),"No Relation")</f>
        <v>No Relation</v>
      </c>
      <c r="E220" s="5" t="str">
        <f ca="1">IFERROR(__xludf.DUMMYFUNCTION("""COMPUTED_VALUE"""),"Adult")</f>
        <v>Adult</v>
      </c>
      <c r="F220" s="5"/>
    </row>
    <row r="221" spans="1:6">
      <c r="A221" s="5" t="str">
        <f ca="1">IFERROR(__xludf.DUMMYFUNCTION("""COMPUTED_VALUE"""),"20220106CAFLS")</f>
        <v>20220106CAFLS</v>
      </c>
      <c r="B221" s="5" t="str">
        <f ca="1">IFERROR(__xludf.DUMMYFUNCTION("""COMPUTED_VALUE"""),"Wounded")</f>
        <v>Wounded</v>
      </c>
      <c r="C221" s="5" t="str">
        <f ca="1">IFERROR(__xludf.DUMMYFUNCTION("""COMPUTED_VALUE"""),"Male")</f>
        <v>Male</v>
      </c>
      <c r="D221" s="5" t="str">
        <f ca="1">IFERROR(__xludf.DUMMYFUNCTION("""COMPUTED_VALUE"""),"Student")</f>
        <v>Student</v>
      </c>
      <c r="E221" s="5">
        <f ca="1">IFERROR(__xludf.DUMMYFUNCTION("""COMPUTED_VALUE"""),17)</f>
        <v>17</v>
      </c>
      <c r="F221" s="5"/>
    </row>
    <row r="222" spans="1:6">
      <c r="A222" s="5" t="str">
        <f ca="1">IFERROR(__xludf.DUMMYFUNCTION("""COMPUTED_VALUE"""),"20220106CAFLS")</f>
        <v>20220106CAFLS</v>
      </c>
      <c r="B222" s="5" t="str">
        <f ca="1">IFERROR(__xludf.DUMMYFUNCTION("""COMPUTED_VALUE"""),"Wounded")</f>
        <v>Wounded</v>
      </c>
      <c r="C222" s="5" t="str">
        <f ca="1">IFERROR(__xludf.DUMMYFUNCTION("""COMPUTED_VALUE"""),"Male")</f>
        <v>Male</v>
      </c>
      <c r="D222" s="5" t="str">
        <f ca="1">IFERROR(__xludf.DUMMYFUNCTION("""COMPUTED_VALUE"""),"Student")</f>
        <v>Student</v>
      </c>
      <c r="E222" s="5">
        <f ca="1">IFERROR(__xludf.DUMMYFUNCTION("""COMPUTED_VALUE"""),17)</f>
        <v>17</v>
      </c>
      <c r="F222" s="5"/>
    </row>
    <row r="223" spans="1:6">
      <c r="A223" s="5" t="str">
        <f ca="1">IFERROR(__xludf.DUMMYFUNCTION("""COMPUTED_VALUE"""),"20220104ILAUR")</f>
        <v>20220104ILAUR</v>
      </c>
      <c r="B223" s="5" t="str">
        <f ca="1">IFERROR(__xludf.DUMMYFUNCTION("""COMPUTED_VALUE"""),"Wounded")</f>
        <v>Wounded</v>
      </c>
      <c r="C223" s="5" t="str">
        <f ca="1">IFERROR(__xludf.DUMMYFUNCTION("""COMPUTED_VALUE"""),"Male")</f>
        <v>Male</v>
      </c>
      <c r="D223" s="5" t="str">
        <f ca="1">IFERROR(__xludf.DUMMYFUNCTION("""COMPUTED_VALUE"""),"Student")</f>
        <v>Student</v>
      </c>
      <c r="E223" s="5">
        <f ca="1">IFERROR(__xludf.DUMMYFUNCTION("""COMPUTED_VALUE"""),15)</f>
        <v>15</v>
      </c>
      <c r="F223" s="5"/>
    </row>
    <row r="224" spans="1:6">
      <c r="A224" s="5" t="str">
        <f ca="1">IFERROR(__xludf.DUMMYFUNCTION("""COMPUTED_VALUE"""),"20220104ILAUR")</f>
        <v>20220104ILAUR</v>
      </c>
      <c r="B224" s="5" t="str">
        <f ca="1">IFERROR(__xludf.DUMMYFUNCTION("""COMPUTED_VALUE"""),"Wounded")</f>
        <v>Wounded</v>
      </c>
      <c r="C224" s="5" t="str">
        <f ca="1">IFERROR(__xludf.DUMMYFUNCTION("""COMPUTED_VALUE"""),"Female")</f>
        <v>Female</v>
      </c>
      <c r="D224" s="5" t="str">
        <f ca="1">IFERROR(__xludf.DUMMYFUNCTION("""COMPUTED_VALUE"""),"Student")</f>
        <v>Student</v>
      </c>
      <c r="E224" s="5">
        <f ca="1">IFERROR(__xludf.DUMMYFUNCTION("""COMPUTED_VALUE"""),17)</f>
        <v>17</v>
      </c>
      <c r="F224" s="5"/>
    </row>
    <row r="225" spans="1:6">
      <c r="A225" s="5" t="str">
        <f ca="1">IFERROR(__xludf.DUMMYFUNCTION("""COMPUTED_VALUE"""),"20211229NCCAS")</f>
        <v>20211229NCCAS</v>
      </c>
      <c r="B225" s="5" t="str">
        <f ca="1">IFERROR(__xludf.DUMMYFUNCTION("""COMPUTED_VALUE"""),"Wounded")</f>
        <v>Wounded</v>
      </c>
      <c r="C225" s="5" t="str">
        <f ca="1">IFERROR(__xludf.DUMMYFUNCTION("""COMPUTED_VALUE"""),"Male")</f>
        <v>Male</v>
      </c>
      <c r="D225" s="5" t="str">
        <f ca="1">IFERROR(__xludf.DUMMYFUNCTION("""COMPUTED_VALUE"""),"Student")</f>
        <v>Student</v>
      </c>
      <c r="E225" s="5">
        <f ca="1">IFERROR(__xludf.DUMMYFUNCTION("""COMPUTED_VALUE"""),13)</f>
        <v>13</v>
      </c>
      <c r="F225" s="5"/>
    </row>
    <row r="226" spans="1:6">
      <c r="A226" s="5" t="str">
        <f ca="1">IFERROR(__xludf.DUMMYFUNCTION("""COMPUTED_VALUE"""),"20211229NCCAS")</f>
        <v>20211229NCCAS</v>
      </c>
      <c r="B226" s="5" t="str">
        <f ca="1">IFERROR(__xludf.DUMMYFUNCTION("""COMPUTED_VALUE"""),"Wounded")</f>
        <v>Wounded</v>
      </c>
      <c r="C226" s="5" t="str">
        <f ca="1">IFERROR(__xludf.DUMMYFUNCTION("""COMPUTED_VALUE"""),"Male")</f>
        <v>Male</v>
      </c>
      <c r="D226" s="5" t="str">
        <f ca="1">IFERROR(__xludf.DUMMYFUNCTION("""COMPUTED_VALUE"""),"Student")</f>
        <v>Student</v>
      </c>
      <c r="E226" s="5">
        <f ca="1">IFERROR(__xludf.DUMMYFUNCTION("""COMPUTED_VALUE"""),14)</f>
        <v>14</v>
      </c>
      <c r="F226" s="5"/>
    </row>
    <row r="227" spans="1:6">
      <c r="A227" s="5" t="str">
        <f ca="1">IFERROR(__xludf.DUMMYFUNCTION("""COMPUTED_VALUE"""),"20211214VAMEN")</f>
        <v>20211214VAMEN</v>
      </c>
      <c r="B227" s="5" t="str">
        <f ca="1">IFERROR(__xludf.DUMMYFUNCTION("""COMPUTED_VALUE"""),"Fatal")</f>
        <v>Fatal</v>
      </c>
      <c r="C227" s="5" t="str">
        <f ca="1">IFERROR(__xludf.DUMMYFUNCTION("""COMPUTED_VALUE"""),"Male")</f>
        <v>Male</v>
      </c>
      <c r="D227" s="5" t="str">
        <f ca="1">IFERROR(__xludf.DUMMYFUNCTION("""COMPUTED_VALUE"""),"Student")</f>
        <v>Student</v>
      </c>
      <c r="E227" s="5">
        <f ca="1">IFERROR(__xludf.DUMMYFUNCTION("""COMPUTED_VALUE"""),17)</f>
        <v>17</v>
      </c>
      <c r="F227" s="5"/>
    </row>
    <row r="228" spans="1:6">
      <c r="A228" s="5" t="str">
        <f ca="1">IFERROR(__xludf.DUMMYFUNCTION("""COMPUTED_VALUE"""),"20211213NCWEC")</f>
        <v>20211213NCWEC</v>
      </c>
      <c r="B228" s="5" t="str">
        <f ca="1">IFERROR(__xludf.DUMMYFUNCTION("""COMPUTED_VALUE"""),"None")</f>
        <v>None</v>
      </c>
      <c r="C228" s="5" t="str">
        <f ca="1">IFERROR(__xludf.DUMMYFUNCTION("""COMPUTED_VALUE"""),"Male")</f>
        <v>Male</v>
      </c>
      <c r="D228" s="5" t="str">
        <f ca="1">IFERROR(__xludf.DUMMYFUNCTION("""COMPUTED_VALUE"""),"Student")</f>
        <v>Student</v>
      </c>
      <c r="E228" s="5" t="str">
        <f ca="1">IFERROR(__xludf.DUMMYFUNCTION("""COMPUTED_VALUE"""),"Teen")</f>
        <v>Teen</v>
      </c>
      <c r="F228" s="5"/>
    </row>
    <row r="229" spans="1:6">
      <c r="A229" s="5" t="str">
        <f ca="1">IFERROR(__xludf.DUMMYFUNCTION("""COMPUTED_VALUE"""),"20211212NYSCR")</f>
        <v>20211212NYSCR</v>
      </c>
      <c r="B229" s="5" t="str">
        <f ca="1">IFERROR(__xludf.DUMMYFUNCTION("""COMPUTED_VALUE"""),"Fatal")</f>
        <v>Fatal</v>
      </c>
      <c r="C229" s="5" t="str">
        <f ca="1">IFERROR(__xludf.DUMMYFUNCTION("""COMPUTED_VALUE"""),"Male")</f>
        <v>Male</v>
      </c>
      <c r="D229" s="5" t="str">
        <f ca="1">IFERROR(__xludf.DUMMYFUNCTION("""COMPUTED_VALUE"""),"No Relation")</f>
        <v>No Relation</v>
      </c>
      <c r="E229" s="5">
        <f ca="1">IFERROR(__xludf.DUMMYFUNCTION("""COMPUTED_VALUE"""),25)</f>
        <v>25</v>
      </c>
      <c r="F229" s="5"/>
    </row>
    <row r="230" spans="1:6">
      <c r="A230" s="5" t="str">
        <f ca="1">IFERROR(__xludf.DUMMYFUNCTION("""COMPUTED_VALUE"""),"20211211FLEDL")</f>
        <v>20211211FLEDL</v>
      </c>
      <c r="B230" s="5" t="str">
        <f ca="1">IFERROR(__xludf.DUMMYFUNCTION("""COMPUTED_VALUE"""),"Wounded")</f>
        <v>Wounded</v>
      </c>
      <c r="C230" s="5" t="str">
        <f ca="1">IFERROR(__xludf.DUMMYFUNCTION("""COMPUTED_VALUE"""),"Male")</f>
        <v>Male</v>
      </c>
      <c r="D230" s="5" t="str">
        <f ca="1">IFERROR(__xludf.DUMMYFUNCTION("""COMPUTED_VALUE"""),"Nonstudent Using Athletic Facilities/Attending Game")</f>
        <v>Nonstudent Using Athletic Facilities/Attending Game</v>
      </c>
      <c r="E230" s="5" t="str">
        <f ca="1">IFERROR(__xludf.DUMMYFUNCTION("""COMPUTED_VALUE"""),"Adult")</f>
        <v>Adult</v>
      </c>
      <c r="F230" s="5"/>
    </row>
    <row r="231" spans="1:6">
      <c r="A231" s="5" t="str">
        <f ca="1">IFERROR(__xludf.DUMMYFUNCTION("""COMPUTED_VALUE"""),"20211208MOEWK")</f>
        <v>20211208MOEWK</v>
      </c>
      <c r="B231" s="5" t="str">
        <f ca="1">IFERROR(__xludf.DUMMYFUNCTION("""COMPUTED_VALUE"""),"Wounded")</f>
        <v>Wounded</v>
      </c>
      <c r="C231" s="5" t="str">
        <f ca="1">IFERROR(__xludf.DUMMYFUNCTION("""COMPUTED_VALUE"""),"Male")</f>
        <v>Male</v>
      </c>
      <c r="D231" s="5" t="str">
        <f ca="1">IFERROR(__xludf.DUMMYFUNCTION("""COMPUTED_VALUE"""),"Nonstudent Using Athletic Facilities/Attending Game")</f>
        <v>Nonstudent Using Athletic Facilities/Attending Game</v>
      </c>
      <c r="E231" s="5" t="str">
        <f ca="1">IFERROR(__xludf.DUMMYFUNCTION("""COMPUTED_VALUE"""),"Teen")</f>
        <v>Teen</v>
      </c>
      <c r="F231" s="5"/>
    </row>
    <row r="232" spans="1:6">
      <c r="A232" s="5" t="str">
        <f ca="1">IFERROR(__xludf.DUMMYFUNCTION("""COMPUTED_VALUE"""),"20211208MOEWK")</f>
        <v>20211208MOEWK</v>
      </c>
      <c r="B232" s="5" t="str">
        <f ca="1">IFERROR(__xludf.DUMMYFUNCTION("""COMPUTED_VALUE"""),"Wounded")</f>
        <v>Wounded</v>
      </c>
      <c r="C232" s="5" t="str">
        <f ca="1">IFERROR(__xludf.DUMMYFUNCTION("""COMPUTED_VALUE"""),"Male")</f>
        <v>Male</v>
      </c>
      <c r="D232" s="5" t="str">
        <f ca="1">IFERROR(__xludf.DUMMYFUNCTION("""COMPUTED_VALUE"""),"Nonstudent Using Athletic Facilities/Attending Game")</f>
        <v>Nonstudent Using Athletic Facilities/Attending Game</v>
      </c>
      <c r="E232" s="5" t="str">
        <f ca="1">IFERROR(__xludf.DUMMYFUNCTION("""COMPUTED_VALUE"""),"Teen")</f>
        <v>Teen</v>
      </c>
      <c r="F232" s="5"/>
    </row>
    <row r="233" spans="1:6">
      <c r="A233" s="5" t="str">
        <f ca="1">IFERROR(__xludf.DUMMYFUNCTION("""COMPUTED_VALUE"""),"20211208KYSTL")</f>
        <v>20211208KYSTL</v>
      </c>
      <c r="B233" s="5" t="str">
        <f ca="1">IFERROR(__xludf.DUMMYFUNCTION("""COMPUTED_VALUE"""),"None")</f>
        <v>None</v>
      </c>
      <c r="C233" s="5"/>
      <c r="D233" s="5" t="str">
        <f ca="1">IFERROR(__xludf.DUMMYFUNCTION("""COMPUTED_VALUE"""),"No Relation")</f>
        <v>No Relation</v>
      </c>
      <c r="E233" s="5" t="str">
        <f ca="1">IFERROR(__xludf.DUMMYFUNCTION("""COMPUTED_VALUE"""),"Adult")</f>
        <v>Adult</v>
      </c>
      <c r="F233" s="5"/>
    </row>
    <row r="234" spans="1:6">
      <c r="A234" s="5" t="str">
        <f ca="1">IFERROR(__xludf.DUMMYFUNCTION("""COMPUTED_VALUE"""),"20211207ILHAC")</f>
        <v>20211207ILHAC</v>
      </c>
      <c r="B234" s="5" t="str">
        <f ca="1">IFERROR(__xludf.DUMMYFUNCTION("""COMPUTED_VALUE"""),"Fatal")</f>
        <v>Fatal</v>
      </c>
      <c r="C234" s="5" t="str">
        <f ca="1">IFERROR(__xludf.DUMMYFUNCTION("""COMPUTED_VALUE"""),"Male")</f>
        <v>Male</v>
      </c>
      <c r="D234" s="5" t="str">
        <f ca="1">IFERROR(__xludf.DUMMYFUNCTION("""COMPUTED_VALUE"""),"No Relation")</f>
        <v>No Relation</v>
      </c>
      <c r="E234" s="5">
        <f ca="1">IFERROR(__xludf.DUMMYFUNCTION("""COMPUTED_VALUE"""),71)</f>
        <v>71</v>
      </c>
      <c r="F234" s="5" t="str">
        <f ca="1">IFERROR(__xludf.DUMMYFUNCTION("""COMPUTED_VALUE"""),"Asian")</f>
        <v>Asian</v>
      </c>
    </row>
    <row r="235" spans="1:6">
      <c r="A235" s="5" t="str">
        <f ca="1">IFERROR(__xludf.DUMMYFUNCTION("""COMPUTED_VALUE"""),"20211206NYSUS")</f>
        <v>20211206NYSUS</v>
      </c>
      <c r="B235" s="5" t="str">
        <f ca="1">IFERROR(__xludf.DUMMYFUNCTION("""COMPUTED_VALUE"""),"Wounded")</f>
        <v>Wounded</v>
      </c>
      <c r="C235" s="5" t="str">
        <f ca="1">IFERROR(__xludf.DUMMYFUNCTION("""COMPUTED_VALUE"""),"Male")</f>
        <v>Male</v>
      </c>
      <c r="D235" s="5" t="str">
        <f ca="1">IFERROR(__xludf.DUMMYFUNCTION("""COMPUTED_VALUE"""),"Student")</f>
        <v>Student</v>
      </c>
      <c r="E235" s="5">
        <f ca="1">IFERROR(__xludf.DUMMYFUNCTION("""COMPUTED_VALUE"""),16)</f>
        <v>16</v>
      </c>
      <c r="F235" s="5"/>
    </row>
    <row r="236" spans="1:6">
      <c r="A236" s="5" t="str">
        <f ca="1">IFERROR(__xludf.DUMMYFUNCTION("""COMPUTED_VALUE"""),"20211206CAWIW")</f>
        <v>20211206CAWIW</v>
      </c>
      <c r="B236" s="5" t="str">
        <f ca="1">IFERROR(__xludf.DUMMYFUNCTION("""COMPUTED_VALUE"""),"Fatal")</f>
        <v>Fatal</v>
      </c>
      <c r="C236" s="5" t="str">
        <f ca="1">IFERROR(__xludf.DUMMYFUNCTION("""COMPUTED_VALUE"""),"Male")</f>
        <v>Male</v>
      </c>
      <c r="D236" s="5"/>
      <c r="E236" s="5">
        <f ca="1">IFERROR(__xludf.DUMMYFUNCTION("""COMPUTED_VALUE"""),13)</f>
        <v>13</v>
      </c>
      <c r="F236" s="5"/>
    </row>
    <row r="237" spans="1:6">
      <c r="A237" s="5" t="str">
        <f ca="1">IFERROR(__xludf.DUMMYFUNCTION("""COMPUTED_VALUE"""),"20211206CAWIW")</f>
        <v>20211206CAWIW</v>
      </c>
      <c r="B237" s="5" t="str">
        <f ca="1">IFERROR(__xludf.DUMMYFUNCTION("""COMPUTED_VALUE"""),"Wounded")</f>
        <v>Wounded</v>
      </c>
      <c r="C237" s="5" t="str">
        <f ca="1">IFERROR(__xludf.DUMMYFUNCTION("""COMPUTED_VALUE"""),"Female")</f>
        <v>Female</v>
      </c>
      <c r="D237" s="5"/>
      <c r="E237" s="5">
        <f ca="1">IFERROR(__xludf.DUMMYFUNCTION("""COMPUTED_VALUE"""),30)</f>
        <v>30</v>
      </c>
      <c r="F237" s="5"/>
    </row>
    <row r="238" spans="1:6">
      <c r="A238" s="5" t="str">
        <f ca="1">IFERROR(__xludf.DUMMYFUNCTION("""COMPUTED_VALUE"""),"20211206CAWIW")</f>
        <v>20211206CAWIW</v>
      </c>
      <c r="B238" s="5" t="str">
        <f ca="1">IFERROR(__xludf.DUMMYFUNCTION("""COMPUTED_VALUE"""),"Wounded")</f>
        <v>Wounded</v>
      </c>
      <c r="C238" s="5" t="str">
        <f ca="1">IFERROR(__xludf.DUMMYFUNCTION("""COMPUTED_VALUE"""),"Female")</f>
        <v>Female</v>
      </c>
      <c r="D238" s="5" t="str">
        <f ca="1">IFERROR(__xludf.DUMMYFUNCTION("""COMPUTED_VALUE"""),"Student")</f>
        <v>Student</v>
      </c>
      <c r="E238" s="5">
        <f ca="1">IFERROR(__xludf.DUMMYFUNCTION("""COMPUTED_VALUE"""),9)</f>
        <v>9</v>
      </c>
      <c r="F238" s="5"/>
    </row>
    <row r="239" spans="1:6">
      <c r="A239" s="5" t="str">
        <f ca="1">IFERROR(__xludf.DUMMYFUNCTION("""COMPUTED_VALUE"""),"20211203ARBLB")</f>
        <v>20211203ARBLB</v>
      </c>
      <c r="B239" s="5" t="str">
        <f ca="1">IFERROR(__xludf.DUMMYFUNCTION("""COMPUTED_VALUE"""),"None")</f>
        <v>None</v>
      </c>
      <c r="C239" s="5" t="str">
        <f ca="1">IFERROR(__xludf.DUMMYFUNCTION("""COMPUTED_VALUE"""),"Male")</f>
        <v>Male</v>
      </c>
      <c r="D239" s="5" t="str">
        <f ca="1">IFERROR(__xludf.DUMMYFUNCTION("""COMPUTED_VALUE"""),"No Relation")</f>
        <v>No Relation</v>
      </c>
      <c r="E239" s="5" t="str">
        <f ca="1">IFERROR(__xludf.DUMMYFUNCTION("""COMPUTED_VALUE"""),"Adult")</f>
        <v>Adult</v>
      </c>
      <c r="F239" s="5"/>
    </row>
    <row r="240" spans="1:6">
      <c r="A240" s="5" t="str">
        <f ca="1">IFERROR(__xludf.DUMMYFUNCTION("""COMPUTED_VALUE"""),"20211201TXSAP")</f>
        <v>20211201TXSAP</v>
      </c>
      <c r="B240" s="5" t="str">
        <f ca="1">IFERROR(__xludf.DUMMYFUNCTION("""COMPUTED_VALUE"""),"None")</f>
        <v>None</v>
      </c>
      <c r="C240" s="5" t="str">
        <f ca="1">IFERROR(__xludf.DUMMYFUNCTION("""COMPUTED_VALUE"""),"Male")</f>
        <v>Male</v>
      </c>
      <c r="D240" s="5" t="str">
        <f ca="1">IFERROR(__xludf.DUMMYFUNCTION("""COMPUTED_VALUE"""),"Student")</f>
        <v>Student</v>
      </c>
      <c r="E240" s="5" t="str">
        <f ca="1">IFERROR(__xludf.DUMMYFUNCTION("""COMPUTED_VALUE"""),"Teen")</f>
        <v>Teen</v>
      </c>
      <c r="F240" s="5"/>
    </row>
    <row r="241" spans="1:6">
      <c r="A241" s="5" t="str">
        <f ca="1">IFERROR(__xludf.DUMMYFUNCTION("""COMPUTED_VALUE"""),"20211130TNHUH")</f>
        <v>20211130TNHUH</v>
      </c>
      <c r="B241" s="5" t="str">
        <f ca="1">IFERROR(__xludf.DUMMYFUNCTION("""COMPUTED_VALUE"""),"Fatal")</f>
        <v>Fatal</v>
      </c>
      <c r="C241" s="5" t="str">
        <f ca="1">IFERROR(__xludf.DUMMYFUNCTION("""COMPUTED_VALUE"""),"Male")</f>
        <v>Male</v>
      </c>
      <c r="D241" s="5" t="str">
        <f ca="1">IFERROR(__xludf.DUMMYFUNCTION("""COMPUTED_VALUE"""),"Nonstudent Using Athletic Facilities/Attending Game")</f>
        <v>Nonstudent Using Athletic Facilities/Attending Game</v>
      </c>
      <c r="E241" s="5">
        <f ca="1">IFERROR(__xludf.DUMMYFUNCTION("""COMPUTED_VALUE"""),21)</f>
        <v>21</v>
      </c>
      <c r="F241" s="5"/>
    </row>
    <row r="242" spans="1:6">
      <c r="A242" s="5" t="str">
        <f ca="1">IFERROR(__xludf.DUMMYFUNCTION("""COMPUTED_VALUE"""),"20211130TNHUH")</f>
        <v>20211130TNHUH</v>
      </c>
      <c r="B242" s="5" t="str">
        <f ca="1">IFERROR(__xludf.DUMMYFUNCTION("""COMPUTED_VALUE"""),"Wounded")</f>
        <v>Wounded</v>
      </c>
      <c r="C242" s="5" t="str">
        <f ca="1">IFERROR(__xludf.DUMMYFUNCTION("""COMPUTED_VALUE"""),"Male")</f>
        <v>Male</v>
      </c>
      <c r="D242" s="5" t="str">
        <f ca="1">IFERROR(__xludf.DUMMYFUNCTION("""COMPUTED_VALUE"""),"Nonstudent Using Athletic Facilities/Attending Game")</f>
        <v>Nonstudent Using Athletic Facilities/Attending Game</v>
      </c>
      <c r="E242" s="5">
        <f ca="1">IFERROR(__xludf.DUMMYFUNCTION("""COMPUTED_VALUE"""),18)</f>
        <v>18</v>
      </c>
      <c r="F242" s="5"/>
    </row>
    <row r="243" spans="1:6">
      <c r="A243" s="5" t="str">
        <f ca="1">IFERROR(__xludf.DUMMYFUNCTION("""COMPUTED_VALUE"""),"20211130TNHUH")</f>
        <v>20211130TNHUH</v>
      </c>
      <c r="B243" s="5" t="str">
        <f ca="1">IFERROR(__xludf.DUMMYFUNCTION("""COMPUTED_VALUE"""),"Wounded")</f>
        <v>Wounded</v>
      </c>
      <c r="C243" s="5" t="str">
        <f ca="1">IFERROR(__xludf.DUMMYFUNCTION("""COMPUTED_VALUE"""),"Male")</f>
        <v>Male</v>
      </c>
      <c r="D243" s="5" t="str">
        <f ca="1">IFERROR(__xludf.DUMMYFUNCTION("""COMPUTED_VALUE"""),"Nonstudent Using Athletic Facilities/Attending Game")</f>
        <v>Nonstudent Using Athletic Facilities/Attending Game</v>
      </c>
      <c r="E243" s="5" t="str">
        <f ca="1">IFERROR(__xludf.DUMMYFUNCTION("""COMPUTED_VALUE"""),"Adult")</f>
        <v>Adult</v>
      </c>
      <c r="F243" s="5"/>
    </row>
    <row r="244" spans="1:6">
      <c r="A244" s="5" t="str">
        <f ca="1">IFERROR(__xludf.DUMMYFUNCTION("""COMPUTED_VALUE"""),"20211130MIOXO")</f>
        <v>20211130MIOXO</v>
      </c>
      <c r="B244" s="5" t="str">
        <f ca="1">IFERROR(__xludf.DUMMYFUNCTION("""COMPUTED_VALUE"""),"Fatal")</f>
        <v>Fatal</v>
      </c>
      <c r="C244" s="5" t="str">
        <f ca="1">IFERROR(__xludf.DUMMYFUNCTION("""COMPUTED_VALUE"""),"Male")</f>
        <v>Male</v>
      </c>
      <c r="D244" s="5" t="str">
        <f ca="1">IFERROR(__xludf.DUMMYFUNCTION("""COMPUTED_VALUE"""),"Student")</f>
        <v>Student</v>
      </c>
      <c r="E244" s="5">
        <f ca="1">IFERROR(__xludf.DUMMYFUNCTION("""COMPUTED_VALUE"""),17)</f>
        <v>17</v>
      </c>
      <c r="F244" s="5"/>
    </row>
    <row r="245" spans="1:6">
      <c r="A245" s="5" t="str">
        <f ca="1">IFERROR(__xludf.DUMMYFUNCTION("""COMPUTED_VALUE"""),"20211130MIOXO")</f>
        <v>20211130MIOXO</v>
      </c>
      <c r="B245" s="5" t="str">
        <f ca="1">IFERROR(__xludf.DUMMYFUNCTION("""COMPUTED_VALUE"""),"Wounded")</f>
        <v>Wounded</v>
      </c>
      <c r="C245" s="5" t="str">
        <f ca="1">IFERROR(__xludf.DUMMYFUNCTION("""COMPUTED_VALUE"""),"Male")</f>
        <v>Male</v>
      </c>
      <c r="D245" s="5" t="str">
        <f ca="1">IFERROR(__xludf.DUMMYFUNCTION("""COMPUTED_VALUE"""),"Student")</f>
        <v>Student</v>
      </c>
      <c r="E245" s="5">
        <f ca="1">IFERROR(__xludf.DUMMYFUNCTION("""COMPUTED_VALUE"""),14)</f>
        <v>14</v>
      </c>
      <c r="F245" s="5"/>
    </row>
    <row r="246" spans="1:6">
      <c r="A246" s="5" t="str">
        <f ca="1">IFERROR(__xludf.DUMMYFUNCTION("""COMPUTED_VALUE"""),"20211130MIOXO")</f>
        <v>20211130MIOXO</v>
      </c>
      <c r="B246" s="5" t="str">
        <f ca="1">IFERROR(__xludf.DUMMYFUNCTION("""COMPUTED_VALUE"""),"Wounded")</f>
        <v>Wounded</v>
      </c>
      <c r="C246" s="5" t="str">
        <f ca="1">IFERROR(__xludf.DUMMYFUNCTION("""COMPUTED_VALUE"""),"Male")</f>
        <v>Male</v>
      </c>
      <c r="D246" s="5" t="str">
        <f ca="1">IFERROR(__xludf.DUMMYFUNCTION("""COMPUTED_VALUE"""),"Teacher")</f>
        <v>Teacher</v>
      </c>
      <c r="E246" s="5">
        <f ca="1">IFERROR(__xludf.DUMMYFUNCTION("""COMPUTED_VALUE"""),47)</f>
        <v>47</v>
      </c>
      <c r="F246" s="5"/>
    </row>
    <row r="247" spans="1:6">
      <c r="A247" s="5" t="str">
        <f ca="1">IFERROR(__xludf.DUMMYFUNCTION("""COMPUTED_VALUE"""),"20211130MIOXO")</f>
        <v>20211130MIOXO</v>
      </c>
      <c r="B247" s="5" t="str">
        <f ca="1">IFERROR(__xludf.DUMMYFUNCTION("""COMPUTED_VALUE"""),"Wounded")</f>
        <v>Wounded</v>
      </c>
      <c r="C247" s="5" t="str">
        <f ca="1">IFERROR(__xludf.DUMMYFUNCTION("""COMPUTED_VALUE"""),"Male")</f>
        <v>Male</v>
      </c>
      <c r="D247" s="5" t="str">
        <f ca="1">IFERROR(__xludf.DUMMYFUNCTION("""COMPUTED_VALUE"""),"Student")</f>
        <v>Student</v>
      </c>
      <c r="E247" s="5">
        <f ca="1">IFERROR(__xludf.DUMMYFUNCTION("""COMPUTED_VALUE"""),14)</f>
        <v>14</v>
      </c>
      <c r="F247" s="5"/>
    </row>
    <row r="248" spans="1:6">
      <c r="A248" s="5" t="str">
        <f ca="1">IFERROR(__xludf.DUMMYFUNCTION("""COMPUTED_VALUE"""),"20211130MIOXO")</f>
        <v>20211130MIOXO</v>
      </c>
      <c r="B248" s="5" t="str">
        <f ca="1">IFERROR(__xludf.DUMMYFUNCTION("""COMPUTED_VALUE"""),"Fatal")</f>
        <v>Fatal</v>
      </c>
      <c r="C248" s="5" t="str">
        <f ca="1">IFERROR(__xludf.DUMMYFUNCTION("""COMPUTED_VALUE"""),"Female")</f>
        <v>Female</v>
      </c>
      <c r="D248" s="5" t="str">
        <f ca="1">IFERROR(__xludf.DUMMYFUNCTION("""COMPUTED_VALUE"""),"Student")</f>
        <v>Student</v>
      </c>
      <c r="E248" s="5">
        <f ca="1">IFERROR(__xludf.DUMMYFUNCTION("""COMPUTED_VALUE"""),14)</f>
        <v>14</v>
      </c>
      <c r="F248" s="5"/>
    </row>
    <row r="249" spans="1:6">
      <c r="A249" s="5" t="str">
        <f ca="1">IFERROR(__xludf.DUMMYFUNCTION("""COMPUTED_VALUE"""),"20211130MIOXO")</f>
        <v>20211130MIOXO</v>
      </c>
      <c r="B249" s="5" t="str">
        <f ca="1">IFERROR(__xludf.DUMMYFUNCTION("""COMPUTED_VALUE"""),"Wounded")</f>
        <v>Wounded</v>
      </c>
      <c r="C249" s="5" t="str">
        <f ca="1">IFERROR(__xludf.DUMMYFUNCTION("""COMPUTED_VALUE"""),"Female")</f>
        <v>Female</v>
      </c>
      <c r="D249" s="5" t="str">
        <f ca="1">IFERROR(__xludf.DUMMYFUNCTION("""COMPUTED_VALUE"""),"Student")</f>
        <v>Student</v>
      </c>
      <c r="E249" s="5">
        <f ca="1">IFERROR(__xludf.DUMMYFUNCTION("""COMPUTED_VALUE"""),17)</f>
        <v>17</v>
      </c>
      <c r="F249" s="5"/>
    </row>
    <row r="250" spans="1:6">
      <c r="A250" s="5" t="str">
        <f ca="1">IFERROR(__xludf.DUMMYFUNCTION("""COMPUTED_VALUE"""),"20211130MIOXO")</f>
        <v>20211130MIOXO</v>
      </c>
      <c r="B250" s="5" t="str">
        <f ca="1">IFERROR(__xludf.DUMMYFUNCTION("""COMPUTED_VALUE"""),"Fatal")</f>
        <v>Fatal</v>
      </c>
      <c r="C250" s="5" t="str">
        <f ca="1">IFERROR(__xludf.DUMMYFUNCTION("""COMPUTED_VALUE"""),"Female")</f>
        <v>Female</v>
      </c>
      <c r="D250" s="5" t="str">
        <f ca="1">IFERROR(__xludf.DUMMYFUNCTION("""COMPUTED_VALUE"""),"Student")</f>
        <v>Student</v>
      </c>
      <c r="E250" s="5">
        <f ca="1">IFERROR(__xludf.DUMMYFUNCTION("""COMPUTED_VALUE"""),17)</f>
        <v>17</v>
      </c>
      <c r="F250" s="5" t="str">
        <f ca="1">IFERROR(__xludf.DUMMYFUNCTION("""COMPUTED_VALUE"""),"White")</f>
        <v>White</v>
      </c>
    </row>
    <row r="251" spans="1:6">
      <c r="A251" s="5" t="str">
        <f ca="1">IFERROR(__xludf.DUMMYFUNCTION("""COMPUTED_VALUE"""),"20211130MIOXO")</f>
        <v>20211130MIOXO</v>
      </c>
      <c r="B251" s="5" t="str">
        <f ca="1">IFERROR(__xludf.DUMMYFUNCTION("""COMPUTED_VALUE"""),"Wounded")</f>
        <v>Wounded</v>
      </c>
      <c r="C251" s="5" t="str">
        <f ca="1">IFERROR(__xludf.DUMMYFUNCTION("""COMPUTED_VALUE"""),"Male")</f>
        <v>Male</v>
      </c>
      <c r="D251" s="5" t="str">
        <f ca="1">IFERROR(__xludf.DUMMYFUNCTION("""COMPUTED_VALUE"""),"Student")</f>
        <v>Student</v>
      </c>
      <c r="E251" s="5">
        <f ca="1">IFERROR(__xludf.DUMMYFUNCTION("""COMPUTED_VALUE"""),15)</f>
        <v>15</v>
      </c>
      <c r="F251" s="5"/>
    </row>
    <row r="252" spans="1:6">
      <c r="A252" s="5" t="str">
        <f ca="1">IFERROR(__xludf.DUMMYFUNCTION("""COMPUTED_VALUE"""),"20211130MIOXO")</f>
        <v>20211130MIOXO</v>
      </c>
      <c r="B252" s="5" t="str">
        <f ca="1">IFERROR(__xludf.DUMMYFUNCTION("""COMPUTED_VALUE"""),"Fatal")</f>
        <v>Fatal</v>
      </c>
      <c r="C252" s="5" t="str">
        <f ca="1">IFERROR(__xludf.DUMMYFUNCTION("""COMPUTED_VALUE"""),"Male")</f>
        <v>Male</v>
      </c>
      <c r="D252" s="5" t="str">
        <f ca="1">IFERROR(__xludf.DUMMYFUNCTION("""COMPUTED_VALUE"""),"Student")</f>
        <v>Student</v>
      </c>
      <c r="E252" s="5">
        <f ca="1">IFERROR(__xludf.DUMMYFUNCTION("""COMPUTED_VALUE"""),16)</f>
        <v>16</v>
      </c>
      <c r="F252" s="5"/>
    </row>
    <row r="253" spans="1:6">
      <c r="A253" s="5" t="str">
        <f ca="1">IFERROR(__xludf.DUMMYFUNCTION("""COMPUTED_VALUE"""),"20211130MIOXO")</f>
        <v>20211130MIOXO</v>
      </c>
      <c r="B253" s="5" t="str">
        <f ca="1">IFERROR(__xludf.DUMMYFUNCTION("""COMPUTED_VALUE"""),"Wounded")</f>
        <v>Wounded</v>
      </c>
      <c r="C253" s="5" t="str">
        <f ca="1">IFERROR(__xludf.DUMMYFUNCTION("""COMPUTED_VALUE"""),"Male")</f>
        <v>Male</v>
      </c>
      <c r="D253" s="5" t="str">
        <f ca="1">IFERROR(__xludf.DUMMYFUNCTION("""COMPUTED_VALUE"""),"Student")</f>
        <v>Student</v>
      </c>
      <c r="E253" s="5">
        <f ca="1">IFERROR(__xludf.DUMMYFUNCTION("""COMPUTED_VALUE"""),17)</f>
        <v>17</v>
      </c>
      <c r="F253" s="5"/>
    </row>
    <row r="254" spans="1:6">
      <c r="A254" s="5" t="str">
        <f ca="1">IFERROR(__xludf.DUMMYFUNCTION("""COMPUTED_VALUE"""),"20211130MIOXO")</f>
        <v>20211130MIOXO</v>
      </c>
      <c r="B254" s="5" t="str">
        <f ca="1">IFERROR(__xludf.DUMMYFUNCTION("""COMPUTED_VALUE"""),"Wounded")</f>
        <v>Wounded</v>
      </c>
      <c r="C254" s="5" t="str">
        <f ca="1">IFERROR(__xludf.DUMMYFUNCTION("""COMPUTED_VALUE"""),"Female")</f>
        <v>Female</v>
      </c>
      <c r="D254" s="5" t="str">
        <f ca="1">IFERROR(__xludf.DUMMYFUNCTION("""COMPUTED_VALUE"""),"Student")</f>
        <v>Student</v>
      </c>
      <c r="E254" s="5">
        <f ca="1">IFERROR(__xludf.DUMMYFUNCTION("""COMPUTED_VALUE"""),14)</f>
        <v>14</v>
      </c>
      <c r="F254" s="5"/>
    </row>
    <row r="255" spans="1:6">
      <c r="A255" s="5" t="str">
        <f ca="1">IFERROR(__xludf.DUMMYFUNCTION("""COMPUTED_VALUE"""),"20211129AZCHP")</f>
        <v>20211129AZCHP</v>
      </c>
      <c r="B255" s="5" t="str">
        <f ca="1">IFERROR(__xludf.DUMMYFUNCTION("""COMPUTED_VALUE"""),"Wounded")</f>
        <v>Wounded</v>
      </c>
      <c r="C255" s="5" t="str">
        <f ca="1">IFERROR(__xludf.DUMMYFUNCTION("""COMPUTED_VALUE"""),"Male")</f>
        <v>Male</v>
      </c>
      <c r="D255" s="5" t="str">
        <f ca="1">IFERROR(__xludf.DUMMYFUNCTION("""COMPUTED_VALUE"""),"Student")</f>
        <v>Student</v>
      </c>
      <c r="E255" s="5">
        <f ca="1">IFERROR(__xludf.DUMMYFUNCTION("""COMPUTED_VALUE"""),16)</f>
        <v>16</v>
      </c>
      <c r="F255" s="5"/>
    </row>
    <row r="256" spans="1:6">
      <c r="A256" s="5" t="str">
        <f ca="1">IFERROR(__xludf.DUMMYFUNCTION("""COMPUTED_VALUE"""),"20211126CAWES")</f>
        <v>20211126CAWES</v>
      </c>
      <c r="B256" s="5" t="str">
        <f ca="1">IFERROR(__xludf.DUMMYFUNCTION("""COMPUTED_VALUE"""),"Wounded")</f>
        <v>Wounded</v>
      </c>
      <c r="C256" s="5" t="str">
        <f ca="1">IFERROR(__xludf.DUMMYFUNCTION("""COMPUTED_VALUE"""),"Male")</f>
        <v>Male</v>
      </c>
      <c r="D256" s="5" t="str">
        <f ca="1">IFERROR(__xludf.DUMMYFUNCTION("""COMPUTED_VALUE"""),"Nonstudent Using Athletic Facilities/Attending Game")</f>
        <v>Nonstudent Using Athletic Facilities/Attending Game</v>
      </c>
      <c r="E256" s="5" t="str">
        <f ca="1">IFERROR(__xludf.DUMMYFUNCTION("""COMPUTED_VALUE"""),"Adult")</f>
        <v>Adult</v>
      </c>
      <c r="F256" s="5"/>
    </row>
    <row r="257" spans="1:6">
      <c r="A257" s="5" t="str">
        <f ca="1">IFERROR(__xludf.DUMMYFUNCTION("""COMPUTED_VALUE"""),"20211126CAWES")</f>
        <v>20211126CAWES</v>
      </c>
      <c r="B257" s="5" t="str">
        <f ca="1">IFERROR(__xludf.DUMMYFUNCTION("""COMPUTED_VALUE"""),"Wounded")</f>
        <v>Wounded</v>
      </c>
      <c r="C257" s="5" t="str">
        <f ca="1">IFERROR(__xludf.DUMMYFUNCTION("""COMPUTED_VALUE"""),"Male")</f>
        <v>Male</v>
      </c>
      <c r="D257" s="5" t="str">
        <f ca="1">IFERROR(__xludf.DUMMYFUNCTION("""COMPUTED_VALUE"""),"Nonstudent Using Athletic Facilities/Attending Game")</f>
        <v>Nonstudent Using Athletic Facilities/Attending Game</v>
      </c>
      <c r="E257" s="5" t="str">
        <f ca="1">IFERROR(__xludf.DUMMYFUNCTION("""COMPUTED_VALUE"""),"Adult")</f>
        <v>Adult</v>
      </c>
      <c r="F257" s="5"/>
    </row>
    <row r="258" spans="1:6">
      <c r="A258" s="5" t="str">
        <f ca="1">IFERROR(__xludf.DUMMYFUNCTION("""COMPUTED_VALUE"""),"20211119MDGIB")</f>
        <v>20211119MDGIB</v>
      </c>
      <c r="B258" s="5" t="str">
        <f ca="1">IFERROR(__xludf.DUMMYFUNCTION("""COMPUTED_VALUE"""),"Fatal")</f>
        <v>Fatal</v>
      </c>
      <c r="C258" s="5" t="str">
        <f ca="1">IFERROR(__xludf.DUMMYFUNCTION("""COMPUTED_VALUE"""),"Female")</f>
        <v>Female</v>
      </c>
      <c r="D258" s="5"/>
      <c r="E258" s="5">
        <f ca="1">IFERROR(__xludf.DUMMYFUNCTION("""COMPUTED_VALUE"""),13)</f>
        <v>13</v>
      </c>
      <c r="F258" s="5"/>
    </row>
    <row r="259" spans="1:6">
      <c r="A259" s="5" t="str">
        <f ca="1">IFERROR(__xludf.DUMMYFUNCTION("""COMPUTED_VALUE"""),"20211119COHIA")</f>
        <v>20211119COHIA</v>
      </c>
      <c r="B259" s="5" t="str">
        <f ca="1">IFERROR(__xludf.DUMMYFUNCTION("""COMPUTED_VALUE"""),"Wounded")</f>
        <v>Wounded</v>
      </c>
      <c r="C259" s="5" t="str">
        <f ca="1">IFERROR(__xludf.DUMMYFUNCTION("""COMPUTED_VALUE"""),"Male")</f>
        <v>Male</v>
      </c>
      <c r="D259" s="5" t="str">
        <f ca="1">IFERROR(__xludf.DUMMYFUNCTION("""COMPUTED_VALUE"""),"Student")</f>
        <v>Student</v>
      </c>
      <c r="E259" s="5" t="str">
        <f ca="1">IFERROR(__xludf.DUMMYFUNCTION("""COMPUTED_VALUE"""),"Teen")</f>
        <v>Teen</v>
      </c>
      <c r="F259" s="5"/>
    </row>
    <row r="260" spans="1:6">
      <c r="A260" s="5" t="str">
        <f ca="1">IFERROR(__xludf.DUMMYFUNCTION("""COMPUTED_VALUE"""),"20211119COHIA")</f>
        <v>20211119COHIA</v>
      </c>
      <c r="B260" s="5" t="str">
        <f ca="1">IFERROR(__xludf.DUMMYFUNCTION("""COMPUTED_VALUE"""),"Wounded")</f>
        <v>Wounded</v>
      </c>
      <c r="C260" s="5" t="str">
        <f ca="1">IFERROR(__xludf.DUMMYFUNCTION("""COMPUTED_VALUE"""),"Male")</f>
        <v>Male</v>
      </c>
      <c r="D260" s="5" t="str">
        <f ca="1">IFERROR(__xludf.DUMMYFUNCTION("""COMPUTED_VALUE"""),"Student")</f>
        <v>Student</v>
      </c>
      <c r="E260" s="5" t="str">
        <f ca="1">IFERROR(__xludf.DUMMYFUNCTION("""COMPUTED_VALUE"""),"Teen")</f>
        <v>Teen</v>
      </c>
      <c r="F260" s="5"/>
    </row>
    <row r="261" spans="1:6">
      <c r="A261" s="5" t="str">
        <f ca="1">IFERROR(__xludf.DUMMYFUNCTION("""COMPUTED_VALUE"""),"20211119COHIA")</f>
        <v>20211119COHIA</v>
      </c>
      <c r="B261" s="5" t="str">
        <f ca="1">IFERROR(__xludf.DUMMYFUNCTION("""COMPUTED_VALUE"""),"Wounded")</f>
        <v>Wounded</v>
      </c>
      <c r="C261" s="5" t="str">
        <f ca="1">IFERROR(__xludf.DUMMYFUNCTION("""COMPUTED_VALUE"""),"Male")</f>
        <v>Male</v>
      </c>
      <c r="D261" s="5" t="str">
        <f ca="1">IFERROR(__xludf.DUMMYFUNCTION("""COMPUTED_VALUE"""),"Student")</f>
        <v>Student</v>
      </c>
      <c r="E261" s="5" t="str">
        <f ca="1">IFERROR(__xludf.DUMMYFUNCTION("""COMPUTED_VALUE"""),"Teen")</f>
        <v>Teen</v>
      </c>
      <c r="F261" s="5"/>
    </row>
    <row r="262" spans="1:6">
      <c r="A262" s="5" t="str">
        <f ca="1">IFERROR(__xludf.DUMMYFUNCTION("""COMPUTED_VALUE"""),"20211108NYTHB")</f>
        <v>20211108NYTHB</v>
      </c>
      <c r="B262" s="5" t="str">
        <f ca="1">IFERROR(__xludf.DUMMYFUNCTION("""COMPUTED_VALUE"""),"Wounded")</f>
        <v>Wounded</v>
      </c>
      <c r="C262" s="5" t="str">
        <f ca="1">IFERROR(__xludf.DUMMYFUNCTION("""COMPUTED_VALUE"""),"Male")</f>
        <v>Male</v>
      </c>
      <c r="D262" s="5" t="str">
        <f ca="1">IFERROR(__xludf.DUMMYFUNCTION("""COMPUTED_VALUE"""),"Student")</f>
        <v>Student</v>
      </c>
      <c r="E262" s="5">
        <f ca="1">IFERROR(__xludf.DUMMYFUNCTION("""COMPUTED_VALUE"""),17)</f>
        <v>17</v>
      </c>
      <c r="F262" s="5"/>
    </row>
    <row r="263" spans="1:6">
      <c r="A263" s="5" t="str">
        <f ca="1">IFERROR(__xludf.DUMMYFUNCTION("""COMPUTED_VALUE"""),"20211102NMHIH")</f>
        <v>20211102NMHIH</v>
      </c>
      <c r="B263" s="5" t="str">
        <f ca="1">IFERROR(__xludf.DUMMYFUNCTION("""COMPUTED_VALUE"""),"Wounded")</f>
        <v>Wounded</v>
      </c>
      <c r="C263" s="5" t="str">
        <f ca="1">IFERROR(__xludf.DUMMYFUNCTION("""COMPUTED_VALUE"""),"Male")</f>
        <v>Male</v>
      </c>
      <c r="D263" s="5" t="str">
        <f ca="1">IFERROR(__xludf.DUMMYFUNCTION("""COMPUTED_VALUE"""),"Student")</f>
        <v>Student</v>
      </c>
      <c r="E263" s="5" t="str">
        <f ca="1">IFERROR(__xludf.DUMMYFUNCTION("""COMPUTED_VALUE"""),"Child")</f>
        <v>Child</v>
      </c>
      <c r="F263" s="5"/>
    </row>
    <row r="264" spans="1:6">
      <c r="A264" s="5" t="str">
        <f ca="1">IFERROR(__xludf.DUMMYFUNCTION("""COMPUTED_VALUE"""),"20211102NMHIH")</f>
        <v>20211102NMHIH</v>
      </c>
      <c r="B264" s="5" t="str">
        <f ca="1">IFERROR(__xludf.DUMMYFUNCTION("""COMPUTED_VALUE"""),"Wounded")</f>
        <v>Wounded</v>
      </c>
      <c r="C264" s="5"/>
      <c r="D264" s="5" t="str">
        <f ca="1">IFERROR(__xludf.DUMMYFUNCTION("""COMPUTED_VALUE"""),"Student")</f>
        <v>Student</v>
      </c>
      <c r="E264" s="5" t="str">
        <f ca="1">IFERROR(__xludf.DUMMYFUNCTION("""COMPUTED_VALUE"""),"Child")</f>
        <v>Child</v>
      </c>
      <c r="F264" s="5"/>
    </row>
    <row r="265" spans="1:6">
      <c r="A265" s="5" t="str">
        <f ca="1">IFERROR(__xludf.DUMMYFUNCTION("""COMPUTED_VALUE"""),"20211102NMHIH")</f>
        <v>20211102NMHIH</v>
      </c>
      <c r="B265" s="5" t="str">
        <f ca="1">IFERROR(__xludf.DUMMYFUNCTION("""COMPUTED_VALUE"""),"Wounded")</f>
        <v>Wounded</v>
      </c>
      <c r="C265" s="5"/>
      <c r="D265" s="5" t="str">
        <f ca="1">IFERROR(__xludf.DUMMYFUNCTION("""COMPUTED_VALUE"""),"Student")</f>
        <v>Student</v>
      </c>
      <c r="E265" s="5" t="str">
        <f ca="1">IFERROR(__xludf.DUMMYFUNCTION("""COMPUTED_VALUE"""),"Child")</f>
        <v>Child</v>
      </c>
      <c r="F265" s="5"/>
    </row>
    <row r="266" spans="1:6">
      <c r="A266" s="5" t="str">
        <f ca="1">IFERROR(__xludf.DUMMYFUNCTION("""COMPUTED_VALUE"""),"20211102NMHIH")</f>
        <v>20211102NMHIH</v>
      </c>
      <c r="B266" s="5" t="str">
        <f ca="1">IFERROR(__xludf.DUMMYFUNCTION("""COMPUTED_VALUE"""),"None")</f>
        <v>None</v>
      </c>
      <c r="C266" s="5"/>
      <c r="D266" s="5" t="str">
        <f ca="1">IFERROR(__xludf.DUMMYFUNCTION("""COMPUTED_VALUE"""),"Teacher")</f>
        <v>Teacher</v>
      </c>
      <c r="E266" s="5" t="str">
        <f ca="1">IFERROR(__xludf.DUMMYFUNCTION("""COMPUTED_VALUE"""),"Adult")</f>
        <v>Adult</v>
      </c>
      <c r="F266" s="5"/>
    </row>
    <row r="267" spans="1:6">
      <c r="A267" s="5" t="str">
        <f ca="1">IFERROR(__xludf.DUMMYFUNCTION("""COMPUTED_VALUE"""),"20211030PASTM")</f>
        <v>20211030PASTM</v>
      </c>
      <c r="B267" s="5" t="str">
        <f ca="1">IFERROR(__xludf.DUMMYFUNCTION("""COMPUTED_VALUE"""),"Wounded")</f>
        <v>Wounded</v>
      </c>
      <c r="C267" s="5" t="str">
        <f ca="1">IFERROR(__xludf.DUMMYFUNCTION("""COMPUTED_VALUE"""),"Male")</f>
        <v>Male</v>
      </c>
      <c r="D267" s="5" t="str">
        <f ca="1">IFERROR(__xludf.DUMMYFUNCTION("""COMPUTED_VALUE"""),"Nonstudent Using Athletic Facilities/Attending Game")</f>
        <v>Nonstudent Using Athletic Facilities/Attending Game</v>
      </c>
      <c r="E267" s="5" t="str">
        <f ca="1">IFERROR(__xludf.DUMMYFUNCTION("""COMPUTED_VALUE"""),"Adult")</f>
        <v>Adult</v>
      </c>
      <c r="F267" s="5"/>
    </row>
    <row r="268" spans="1:6">
      <c r="A268" s="5" t="str">
        <f ca="1">IFERROR(__xludf.DUMMYFUNCTION("""COMPUTED_VALUE"""),"20211021NYPSB")</f>
        <v>20211021NYPSB</v>
      </c>
      <c r="B268" s="5" t="str">
        <f ca="1">IFERROR(__xludf.DUMMYFUNCTION("""COMPUTED_VALUE"""),"Wounded")</f>
        <v>Wounded</v>
      </c>
      <c r="C268" s="5" t="str">
        <f ca="1">IFERROR(__xludf.DUMMYFUNCTION("""COMPUTED_VALUE"""),"Male")</f>
        <v>Male</v>
      </c>
      <c r="D268" s="5" t="str">
        <f ca="1">IFERROR(__xludf.DUMMYFUNCTION("""COMPUTED_VALUE"""),"No Relation")</f>
        <v>No Relation</v>
      </c>
      <c r="E268" s="5">
        <f ca="1">IFERROR(__xludf.DUMMYFUNCTION("""COMPUTED_VALUE"""),25)</f>
        <v>25</v>
      </c>
      <c r="F268" s="5"/>
    </row>
    <row r="269" spans="1:6">
      <c r="A269" s="5" t="str">
        <f ca="1">IFERROR(__xludf.DUMMYFUNCTION("""COMPUTED_VALUE"""),"20211021GABES")</f>
        <v>20211021GABES</v>
      </c>
      <c r="B269" s="5" t="str">
        <f ca="1">IFERROR(__xludf.DUMMYFUNCTION("""COMPUTED_VALUE"""),"Minor Injuries")</f>
        <v>Minor Injuries</v>
      </c>
      <c r="C269" s="5"/>
      <c r="D269" s="5"/>
      <c r="E269" s="5"/>
      <c r="F269" s="5"/>
    </row>
    <row r="270" spans="1:6">
      <c r="A270" s="5" t="str">
        <f ca="1">IFERROR(__xludf.DUMMYFUNCTION("""COMPUTED_VALUE"""),"20211018PALIP")</f>
        <v>20211018PALIP</v>
      </c>
      <c r="B270" s="5" t="str">
        <f ca="1">IFERROR(__xludf.DUMMYFUNCTION("""COMPUTED_VALUE"""),"Wounded")</f>
        <v>Wounded</v>
      </c>
      <c r="C270" s="5" t="str">
        <f ca="1">IFERROR(__xludf.DUMMYFUNCTION("""COMPUTED_VALUE"""),"Male")</f>
        <v>Male</v>
      </c>
      <c r="D270" s="5" t="str">
        <f ca="1">IFERROR(__xludf.DUMMYFUNCTION("""COMPUTED_VALUE"""),"Student")</f>
        <v>Student</v>
      </c>
      <c r="E270" s="5">
        <f ca="1">IFERROR(__xludf.DUMMYFUNCTION("""COMPUTED_VALUE"""),16)</f>
        <v>16</v>
      </c>
      <c r="F270" s="5"/>
    </row>
    <row r="271" spans="1:6">
      <c r="A271" s="5" t="str">
        <f ca="1">IFERROR(__xludf.DUMMYFUNCTION("""COMPUTED_VALUE"""),"20211018PALIP")</f>
        <v>20211018PALIP</v>
      </c>
      <c r="B271" s="5" t="str">
        <f ca="1">IFERROR(__xludf.DUMMYFUNCTION("""COMPUTED_VALUE"""),"Wounded")</f>
        <v>Wounded</v>
      </c>
      <c r="C271" s="5" t="str">
        <f ca="1">IFERROR(__xludf.DUMMYFUNCTION("""COMPUTED_VALUE"""),"Male")</f>
        <v>Male</v>
      </c>
      <c r="D271" s="5" t="str">
        <f ca="1">IFERROR(__xludf.DUMMYFUNCTION("""COMPUTED_VALUE"""),"No Relation")</f>
        <v>No Relation</v>
      </c>
      <c r="E271" s="5">
        <f ca="1">IFERROR(__xludf.DUMMYFUNCTION("""COMPUTED_VALUE"""),66)</f>
        <v>66</v>
      </c>
      <c r="F271" s="5"/>
    </row>
    <row r="272" spans="1:6">
      <c r="A272" s="5" t="str">
        <f ca="1">IFERROR(__xludf.DUMMYFUNCTION("""COMPUTED_VALUE"""),"20211015CAKEF")</f>
        <v>20211015CAKEF</v>
      </c>
      <c r="B272" s="5" t="str">
        <f ca="1">IFERROR(__xludf.DUMMYFUNCTION("""COMPUTED_VALUE"""),"Wounded")</f>
        <v>Wounded</v>
      </c>
      <c r="C272" s="5"/>
      <c r="D272" s="5"/>
      <c r="E272" s="5"/>
      <c r="F272" s="5"/>
    </row>
    <row r="273" spans="1:6">
      <c r="A273" s="5" t="str">
        <f ca="1">IFERROR(__xludf.DUMMYFUNCTION("""COMPUTED_VALUE"""),"20211015ALWIM")</f>
        <v>20211015ALWIM</v>
      </c>
      <c r="B273" s="5" t="str">
        <f ca="1">IFERROR(__xludf.DUMMYFUNCTION("""COMPUTED_VALUE"""),"Wounded")</f>
        <v>Wounded</v>
      </c>
      <c r="C273" s="5" t="str">
        <f ca="1">IFERROR(__xludf.DUMMYFUNCTION("""COMPUTED_VALUE"""),"Male")</f>
        <v>Male</v>
      </c>
      <c r="D273" s="5"/>
      <c r="E273" s="5"/>
      <c r="F273" s="5"/>
    </row>
    <row r="274" spans="1:6">
      <c r="A274" s="5" t="str">
        <f ca="1">IFERROR(__xludf.DUMMYFUNCTION("""COMPUTED_VALUE"""),"20211015ALWIM")</f>
        <v>20211015ALWIM</v>
      </c>
      <c r="B274" s="5" t="str">
        <f ca="1">IFERROR(__xludf.DUMMYFUNCTION("""COMPUTED_VALUE"""),"Wounded")</f>
        <v>Wounded</v>
      </c>
      <c r="C274" s="5" t="str">
        <f ca="1">IFERROR(__xludf.DUMMYFUNCTION("""COMPUTED_VALUE"""),"Male")</f>
        <v>Male</v>
      </c>
      <c r="D274" s="5"/>
      <c r="E274" s="5"/>
      <c r="F274" s="5"/>
    </row>
    <row r="275" spans="1:6">
      <c r="A275" s="5" t="str">
        <f ca="1">IFERROR(__xludf.DUMMYFUNCTION("""COMPUTED_VALUE"""),"20211015ALWIM")</f>
        <v>20211015ALWIM</v>
      </c>
      <c r="B275" s="5" t="str">
        <f ca="1">IFERROR(__xludf.DUMMYFUNCTION("""COMPUTED_VALUE"""),"Wounded")</f>
        <v>Wounded</v>
      </c>
      <c r="C275" s="5" t="str">
        <f ca="1">IFERROR(__xludf.DUMMYFUNCTION("""COMPUTED_VALUE"""),"Female")</f>
        <v>Female</v>
      </c>
      <c r="D275" s="5"/>
      <c r="E275" s="5"/>
      <c r="F275" s="5"/>
    </row>
    <row r="276" spans="1:6">
      <c r="A276" s="5" t="str">
        <f ca="1">IFERROR(__xludf.DUMMYFUNCTION("""COMPUTED_VALUE"""),"20211015ALWIM")</f>
        <v>20211015ALWIM</v>
      </c>
      <c r="B276" s="5" t="str">
        <f ca="1">IFERROR(__xludf.DUMMYFUNCTION("""COMPUTED_VALUE"""),"Wounded")</f>
        <v>Wounded</v>
      </c>
      <c r="C276" s="5" t="str">
        <f ca="1">IFERROR(__xludf.DUMMYFUNCTION("""COMPUTED_VALUE"""),"Male")</f>
        <v>Male</v>
      </c>
      <c r="D276" s="5"/>
      <c r="E276" s="5"/>
      <c r="F276" s="5"/>
    </row>
    <row r="277" spans="1:6">
      <c r="A277" s="5" t="str">
        <f ca="1">IFERROR(__xludf.DUMMYFUNCTION("""COMPUTED_VALUE"""),"20211014MEREP")</f>
        <v>20211014MEREP</v>
      </c>
      <c r="B277" s="5" t="str">
        <f ca="1">IFERROR(__xludf.DUMMYFUNCTION("""COMPUTED_VALUE"""),"Fatal")</f>
        <v>Fatal</v>
      </c>
      <c r="C277" s="5"/>
      <c r="D277" s="5" t="str">
        <f ca="1">IFERROR(__xludf.DUMMYFUNCTION("""COMPUTED_VALUE"""),"No Relation")</f>
        <v>No Relation</v>
      </c>
      <c r="E277" s="5"/>
      <c r="F277" s="5"/>
    </row>
    <row r="278" spans="1:6">
      <c r="A278" s="5" t="str">
        <f ca="1">IFERROR(__xludf.DUMMYFUNCTION("""COMPUTED_VALUE"""),"20211013PACHD")</f>
        <v>20211013PACHD</v>
      </c>
      <c r="B278" s="5" t="str">
        <f ca="1">IFERROR(__xludf.DUMMYFUNCTION("""COMPUTED_VALUE"""),"Minor Injuries")</f>
        <v>Minor Injuries</v>
      </c>
      <c r="C278" s="5"/>
      <c r="D278" s="5" t="str">
        <f ca="1">IFERROR(__xludf.DUMMYFUNCTION("""COMPUTED_VALUE"""),"Student")</f>
        <v>Student</v>
      </c>
      <c r="E278" s="5" t="str">
        <f ca="1">IFERROR(__xludf.DUMMYFUNCTION("""COMPUTED_VALUE"""),"Child")</f>
        <v>Child</v>
      </c>
      <c r="F278" s="5"/>
    </row>
    <row r="279" spans="1:6">
      <c r="A279" s="5" t="str">
        <f ca="1">IFERROR(__xludf.DUMMYFUNCTION("""COMPUTED_VALUE"""),"20211013PACHD")</f>
        <v>20211013PACHD</v>
      </c>
      <c r="B279" s="5" t="str">
        <f ca="1">IFERROR(__xludf.DUMMYFUNCTION("""COMPUTED_VALUE"""),"Minor Injuries")</f>
        <v>Minor Injuries</v>
      </c>
      <c r="C279" s="5"/>
      <c r="D279" s="5" t="str">
        <f ca="1">IFERROR(__xludf.DUMMYFUNCTION("""COMPUTED_VALUE"""),"Student")</f>
        <v>Student</v>
      </c>
      <c r="E279" s="5" t="str">
        <f ca="1">IFERROR(__xludf.DUMMYFUNCTION("""COMPUTED_VALUE"""),"Child")</f>
        <v>Child</v>
      </c>
      <c r="F279" s="5"/>
    </row>
    <row r="280" spans="1:6">
      <c r="A280" s="5" t="str">
        <f ca="1">IFERROR(__xludf.DUMMYFUNCTION("""COMPUTED_VALUE"""),"20211013PACHD")</f>
        <v>20211013PACHD</v>
      </c>
      <c r="B280" s="5" t="str">
        <f ca="1">IFERROR(__xludf.DUMMYFUNCTION("""COMPUTED_VALUE"""),"Minor Injuries")</f>
        <v>Minor Injuries</v>
      </c>
      <c r="C280" s="5"/>
      <c r="D280" s="5" t="str">
        <f ca="1">IFERROR(__xludf.DUMMYFUNCTION("""COMPUTED_VALUE"""),"Student")</f>
        <v>Student</v>
      </c>
      <c r="E280" s="5" t="str">
        <f ca="1">IFERROR(__xludf.DUMMYFUNCTION("""COMPUTED_VALUE"""),"Child")</f>
        <v>Child</v>
      </c>
      <c r="F280" s="5"/>
    </row>
    <row r="281" spans="1:6">
      <c r="A281" s="5" t="str">
        <f ca="1">IFERROR(__xludf.DUMMYFUNCTION("""COMPUTED_VALUE"""),"20211013PACHD")</f>
        <v>20211013PACHD</v>
      </c>
      <c r="B281" s="5" t="str">
        <f ca="1">IFERROR(__xludf.DUMMYFUNCTION("""COMPUTED_VALUE"""),"Minor Injuries")</f>
        <v>Minor Injuries</v>
      </c>
      <c r="C281" s="5"/>
      <c r="D281" s="5" t="str">
        <f ca="1">IFERROR(__xludf.DUMMYFUNCTION("""COMPUTED_VALUE"""),"Student")</f>
        <v>Student</v>
      </c>
      <c r="E281" s="5" t="str">
        <f ca="1">IFERROR(__xludf.DUMMYFUNCTION("""COMPUTED_VALUE"""),"Child")</f>
        <v>Child</v>
      </c>
      <c r="F281" s="5"/>
    </row>
    <row r="282" spans="1:6">
      <c r="A282" s="5" t="str">
        <f ca="1">IFERROR(__xludf.DUMMYFUNCTION("""COMPUTED_VALUE"""),"20211012MIELK")</f>
        <v>20211012MIELK</v>
      </c>
      <c r="B282" s="5" t="str">
        <f ca="1">IFERROR(__xludf.DUMMYFUNCTION("""COMPUTED_VALUE"""),"Wounded")</f>
        <v>Wounded</v>
      </c>
      <c r="C282" s="5" t="str">
        <f ca="1">IFERROR(__xludf.DUMMYFUNCTION("""COMPUTED_VALUE"""),"Male")</f>
        <v>Male</v>
      </c>
      <c r="D282" s="5" t="str">
        <f ca="1">IFERROR(__xludf.DUMMYFUNCTION("""COMPUTED_VALUE"""),"No Relation")</f>
        <v>No Relation</v>
      </c>
      <c r="E282" s="5">
        <f ca="1">IFERROR(__xludf.DUMMYFUNCTION("""COMPUTED_VALUE"""),15)</f>
        <v>15</v>
      </c>
      <c r="F282" s="5"/>
    </row>
    <row r="283" spans="1:6">
      <c r="A283" s="5" t="str">
        <f ca="1">IFERROR(__xludf.DUMMYFUNCTION("""COMPUTED_VALUE"""),"20211012MIELK")</f>
        <v>20211012MIELK</v>
      </c>
      <c r="B283" s="5" t="str">
        <f ca="1">IFERROR(__xludf.DUMMYFUNCTION("""COMPUTED_VALUE"""),"Wounded")</f>
        <v>Wounded</v>
      </c>
      <c r="C283" s="5" t="str">
        <f ca="1">IFERROR(__xludf.DUMMYFUNCTION("""COMPUTED_VALUE"""),"Male")</f>
        <v>Male</v>
      </c>
      <c r="D283" s="5" t="str">
        <f ca="1">IFERROR(__xludf.DUMMYFUNCTION("""COMPUTED_VALUE"""),"No Relation")</f>
        <v>No Relation</v>
      </c>
      <c r="E283" s="5">
        <f ca="1">IFERROR(__xludf.DUMMYFUNCTION("""COMPUTED_VALUE"""),17)</f>
        <v>17</v>
      </c>
      <c r="F283" s="5"/>
    </row>
    <row r="284" spans="1:6">
      <c r="A284" s="5" t="str">
        <f ca="1">IFERROR(__xludf.DUMMYFUNCTION("""COMPUTED_VALUE"""),"20211012ILWEC")</f>
        <v>20211012ILWEC</v>
      </c>
      <c r="B284" s="5" t="str">
        <f ca="1">IFERROR(__xludf.DUMMYFUNCTION("""COMPUTED_VALUE"""),"Wounded")</f>
        <v>Wounded</v>
      </c>
      <c r="C284" s="5" t="str">
        <f ca="1">IFERROR(__xludf.DUMMYFUNCTION("""COMPUTED_VALUE"""),"Female")</f>
        <v>Female</v>
      </c>
      <c r="D284" s="5" t="str">
        <f ca="1">IFERROR(__xludf.DUMMYFUNCTION("""COMPUTED_VALUE"""),"Student")</f>
        <v>Student</v>
      </c>
      <c r="E284" s="5">
        <f ca="1">IFERROR(__xludf.DUMMYFUNCTION("""COMPUTED_VALUE"""),14)</f>
        <v>14</v>
      </c>
      <c r="F284" s="5"/>
    </row>
    <row r="285" spans="1:6">
      <c r="A285" s="5" t="str">
        <f ca="1">IFERROR(__xludf.DUMMYFUNCTION("""COMPUTED_VALUE"""),"20211012ILWEC")</f>
        <v>20211012ILWEC</v>
      </c>
      <c r="B285" s="5" t="str">
        <f ca="1">IFERROR(__xludf.DUMMYFUNCTION("""COMPUTED_VALUE"""),"Wounded")</f>
        <v>Wounded</v>
      </c>
      <c r="C285" s="5" t="str">
        <f ca="1">IFERROR(__xludf.DUMMYFUNCTION("""COMPUTED_VALUE"""),"Male")</f>
        <v>Male</v>
      </c>
      <c r="D285" s="5" t="str">
        <f ca="1">IFERROR(__xludf.DUMMYFUNCTION("""COMPUTED_VALUE"""),"Security Guard")</f>
        <v>Security Guard</v>
      </c>
      <c r="E285" s="5">
        <f ca="1">IFERROR(__xludf.DUMMYFUNCTION("""COMPUTED_VALUE"""),46)</f>
        <v>46</v>
      </c>
      <c r="F285" s="5"/>
    </row>
    <row r="286" spans="1:6">
      <c r="A286" s="5" t="str">
        <f ca="1">IFERROR(__xludf.DUMMYFUNCTION("""COMPUTED_VALUE"""),"20211011ORROP")</f>
        <v>20211011ORROP</v>
      </c>
      <c r="B286" s="5" t="str">
        <f ca="1">IFERROR(__xludf.DUMMYFUNCTION("""COMPUTED_VALUE"""),"Wounded")</f>
        <v>Wounded</v>
      </c>
      <c r="C286" s="5" t="str">
        <f ca="1">IFERROR(__xludf.DUMMYFUNCTION("""COMPUTED_VALUE"""),"Male")</f>
        <v>Male</v>
      </c>
      <c r="D286" s="5" t="str">
        <f ca="1">IFERROR(__xludf.DUMMYFUNCTION("""COMPUTED_VALUE"""),"Student")</f>
        <v>Student</v>
      </c>
      <c r="E286" s="5" t="str">
        <f ca="1">IFERROR(__xludf.DUMMYFUNCTION("""COMPUTED_VALUE"""),"Teen")</f>
        <v>Teen</v>
      </c>
      <c r="F286" s="5"/>
    </row>
    <row r="287" spans="1:6">
      <c r="A287" s="5" t="str">
        <f ca="1">IFERROR(__xludf.DUMMYFUNCTION("""COMPUTED_VALUE"""),"20211007TXEAW")</f>
        <v>20211007TXEAW</v>
      </c>
      <c r="B287" s="5" t="str">
        <f ca="1">IFERROR(__xludf.DUMMYFUNCTION("""COMPUTED_VALUE"""),"Wounded")</f>
        <v>Wounded</v>
      </c>
      <c r="C287" s="5" t="str">
        <f ca="1">IFERROR(__xludf.DUMMYFUNCTION("""COMPUTED_VALUE"""),"Female")</f>
        <v>Female</v>
      </c>
      <c r="D287" s="5" t="str">
        <f ca="1">IFERROR(__xludf.DUMMYFUNCTION("""COMPUTED_VALUE"""),"Student")</f>
        <v>Student</v>
      </c>
      <c r="E287" s="5" t="str">
        <f ca="1">IFERROR(__xludf.DUMMYFUNCTION("""COMPUTED_VALUE"""),"Teen")</f>
        <v>Teen</v>
      </c>
      <c r="F287" s="5"/>
    </row>
    <row r="288" spans="1:6">
      <c r="A288" s="5" t="str">
        <f ca="1">IFERROR(__xludf.DUMMYFUNCTION("""COMPUTED_VALUE"""),"20211007DCWAW")</f>
        <v>20211007DCWAW</v>
      </c>
      <c r="B288" s="5" t="str">
        <f ca="1">IFERROR(__xludf.DUMMYFUNCTION("""COMPUTED_VALUE"""),"Fatal")</f>
        <v>Fatal</v>
      </c>
      <c r="C288" s="5" t="str">
        <f ca="1">IFERROR(__xludf.DUMMYFUNCTION("""COMPUTED_VALUE"""),"Male")</f>
        <v>Male</v>
      </c>
      <c r="D288" s="5" t="str">
        <f ca="1">IFERROR(__xludf.DUMMYFUNCTION("""COMPUTED_VALUE"""),"Nonstudent Using Athletic Facilities/Attending Game")</f>
        <v>Nonstudent Using Athletic Facilities/Attending Game</v>
      </c>
      <c r="E288" s="5">
        <f ca="1">IFERROR(__xludf.DUMMYFUNCTION("""COMPUTED_VALUE"""),26)</f>
        <v>26</v>
      </c>
      <c r="F288" s="5"/>
    </row>
    <row r="289" spans="1:6">
      <c r="A289" s="5" t="str">
        <f ca="1">IFERROR(__xludf.DUMMYFUNCTION("""COMPUTED_VALUE"""),"20211006TXTIA")</f>
        <v>20211006TXTIA</v>
      </c>
      <c r="B289" s="5" t="str">
        <f ca="1">IFERROR(__xludf.DUMMYFUNCTION("""COMPUTED_VALUE"""),"Wounded")</f>
        <v>Wounded</v>
      </c>
      <c r="C289" s="5" t="str">
        <f ca="1">IFERROR(__xludf.DUMMYFUNCTION("""COMPUTED_VALUE"""),"Female")</f>
        <v>Female</v>
      </c>
      <c r="D289" s="5" t="str">
        <f ca="1">IFERROR(__xludf.DUMMYFUNCTION("""COMPUTED_VALUE"""),"Student")</f>
        <v>Student</v>
      </c>
      <c r="E289" s="5" t="str">
        <f ca="1">IFERROR(__xludf.DUMMYFUNCTION("""COMPUTED_VALUE"""),"Teen")</f>
        <v>Teen</v>
      </c>
      <c r="F289" s="5"/>
    </row>
    <row r="290" spans="1:6">
      <c r="A290" s="5" t="str">
        <f ca="1">IFERROR(__xludf.DUMMYFUNCTION("""COMPUTED_VALUE"""),"20211006TXTIA")</f>
        <v>20211006TXTIA</v>
      </c>
      <c r="B290" s="5" t="str">
        <f ca="1">IFERROR(__xludf.DUMMYFUNCTION("""COMPUTED_VALUE"""),"Wounded")</f>
        <v>Wounded</v>
      </c>
      <c r="C290" s="5" t="str">
        <f ca="1">IFERROR(__xludf.DUMMYFUNCTION("""COMPUTED_VALUE"""),"Male")</f>
        <v>Male</v>
      </c>
      <c r="D290" s="5" t="str">
        <f ca="1">IFERROR(__xludf.DUMMYFUNCTION("""COMPUTED_VALUE"""),"Teacher")</f>
        <v>Teacher</v>
      </c>
      <c r="E290" s="5">
        <f ca="1">IFERROR(__xludf.DUMMYFUNCTION("""COMPUTED_VALUE"""),25)</f>
        <v>25</v>
      </c>
      <c r="F290" s="5"/>
    </row>
    <row r="291" spans="1:6">
      <c r="A291" s="5" t="str">
        <f ca="1">IFERROR(__xludf.DUMMYFUNCTION("""COMPUTED_VALUE"""),"20211006TXTIA")</f>
        <v>20211006TXTIA</v>
      </c>
      <c r="B291" s="5" t="str">
        <f ca="1">IFERROR(__xludf.DUMMYFUNCTION("""COMPUTED_VALUE"""),"Minor Injuries")</f>
        <v>Minor Injuries</v>
      </c>
      <c r="C291" s="5"/>
      <c r="D291" s="5" t="str">
        <f ca="1">IFERROR(__xludf.DUMMYFUNCTION("""COMPUTED_VALUE"""),"Student")</f>
        <v>Student</v>
      </c>
      <c r="E291" s="5" t="str">
        <f ca="1">IFERROR(__xludf.DUMMYFUNCTION("""COMPUTED_VALUE"""),"Teen")</f>
        <v>Teen</v>
      </c>
      <c r="F291" s="5"/>
    </row>
    <row r="292" spans="1:6">
      <c r="A292" s="5" t="str">
        <f ca="1">IFERROR(__xludf.DUMMYFUNCTION("""COMPUTED_VALUE"""),"20211006TXTIA")</f>
        <v>20211006TXTIA</v>
      </c>
      <c r="B292" s="5" t="str">
        <f ca="1">IFERROR(__xludf.DUMMYFUNCTION("""COMPUTED_VALUE"""),"Wounded")</f>
        <v>Wounded</v>
      </c>
      <c r="C292" s="5" t="str">
        <f ca="1">IFERROR(__xludf.DUMMYFUNCTION("""COMPUTED_VALUE"""),"Male")</f>
        <v>Male</v>
      </c>
      <c r="D292" s="5" t="str">
        <f ca="1">IFERROR(__xludf.DUMMYFUNCTION("""COMPUTED_VALUE"""),"Student")</f>
        <v>Student</v>
      </c>
      <c r="E292" s="5">
        <f ca="1">IFERROR(__xludf.DUMMYFUNCTION("""COMPUTED_VALUE"""),15)</f>
        <v>15</v>
      </c>
      <c r="F292" s="5"/>
    </row>
    <row r="293" spans="1:6">
      <c r="A293" s="5" t="str">
        <f ca="1">IFERROR(__xludf.DUMMYFUNCTION("""COMPUTED_VALUE"""),"20211004PASCP")</f>
        <v>20211004PASCP</v>
      </c>
      <c r="B293" s="5" t="str">
        <f ca="1">IFERROR(__xludf.DUMMYFUNCTION("""COMPUTED_VALUE"""),"Wounded")</f>
        <v>Wounded</v>
      </c>
      <c r="C293" s="5"/>
      <c r="D293" s="5" t="str">
        <f ca="1">IFERROR(__xludf.DUMMYFUNCTION("""COMPUTED_VALUE"""),"Police Officer/SRO")</f>
        <v>Police Officer/SRO</v>
      </c>
      <c r="E293" s="5" t="str">
        <f ca="1">IFERROR(__xludf.DUMMYFUNCTION("""COMPUTED_VALUE"""),"Adult")</f>
        <v>Adult</v>
      </c>
      <c r="F293" s="5"/>
    </row>
    <row r="294" spans="1:6">
      <c r="A294" s="5" t="str">
        <f ca="1">IFERROR(__xludf.DUMMYFUNCTION("""COMPUTED_VALUE"""),"20211004PASCP")</f>
        <v>20211004PASCP</v>
      </c>
      <c r="B294" s="5" t="str">
        <f ca="1">IFERROR(__xludf.DUMMYFUNCTION("""COMPUTED_VALUE"""),"Wounded")</f>
        <v>Wounded</v>
      </c>
      <c r="C294" s="5"/>
      <c r="D294" s="5" t="str">
        <f ca="1">IFERROR(__xludf.DUMMYFUNCTION("""COMPUTED_VALUE"""),"Police Officer/SRO")</f>
        <v>Police Officer/SRO</v>
      </c>
      <c r="E294" s="5" t="str">
        <f ca="1">IFERROR(__xludf.DUMMYFUNCTION("""COMPUTED_VALUE"""),"Adult")</f>
        <v>Adult</v>
      </c>
      <c r="F294" s="5"/>
    </row>
    <row r="295" spans="1:6">
      <c r="A295" s="5" t="str">
        <f ca="1">IFERROR(__xludf.DUMMYFUNCTION("""COMPUTED_VALUE"""),"20211004OHWOT")</f>
        <v>20211004OHWOT</v>
      </c>
      <c r="B295" s="5" t="str">
        <f ca="1">IFERROR(__xludf.DUMMYFUNCTION("""COMPUTED_VALUE"""),"Wounded")</f>
        <v>Wounded</v>
      </c>
      <c r="C295" s="5" t="str">
        <f ca="1">IFERROR(__xludf.DUMMYFUNCTION("""COMPUTED_VALUE"""),"Male")</f>
        <v>Male</v>
      </c>
      <c r="D295" s="5" t="str">
        <f ca="1">IFERROR(__xludf.DUMMYFUNCTION("""COMPUTED_VALUE"""),"Student")</f>
        <v>Student</v>
      </c>
      <c r="E295" s="5">
        <f ca="1">IFERROR(__xludf.DUMMYFUNCTION("""COMPUTED_VALUE"""),17)</f>
        <v>17</v>
      </c>
      <c r="F295" s="5"/>
    </row>
    <row r="296" spans="1:6">
      <c r="A296" s="5" t="str">
        <f ca="1">IFERROR(__xludf.DUMMYFUNCTION("""COMPUTED_VALUE"""),"20211001TXYEH")</f>
        <v>20211001TXYEH</v>
      </c>
      <c r="B296" s="5" t="str">
        <f ca="1">IFERROR(__xludf.DUMMYFUNCTION("""COMPUTED_VALUE"""),"Wounded")</f>
        <v>Wounded</v>
      </c>
      <c r="C296" s="5" t="str">
        <f ca="1">IFERROR(__xludf.DUMMYFUNCTION("""COMPUTED_VALUE"""),"Male")</f>
        <v>Male</v>
      </c>
      <c r="D296" s="5" t="str">
        <f ca="1">IFERROR(__xludf.DUMMYFUNCTION("""COMPUTED_VALUE"""),"Principal/Vice-Principal")</f>
        <v>Principal/Vice-Principal</v>
      </c>
      <c r="E296" s="5" t="str">
        <f ca="1">IFERROR(__xludf.DUMMYFUNCTION("""COMPUTED_VALUE"""),"Adult")</f>
        <v>Adult</v>
      </c>
      <c r="F296" s="5"/>
    </row>
    <row r="297" spans="1:6">
      <c r="A297" s="5" t="str">
        <f ca="1">IFERROR(__xludf.DUMMYFUNCTION("""COMPUTED_VALUE"""),"20211001NCSEF")</f>
        <v>20211001NCSEF</v>
      </c>
      <c r="B297" s="5" t="str">
        <f ca="1">IFERROR(__xludf.DUMMYFUNCTION("""COMPUTED_VALUE"""),"Wounded")</f>
        <v>Wounded</v>
      </c>
      <c r="C297" s="5" t="str">
        <f ca="1">IFERROR(__xludf.DUMMYFUNCTION("""COMPUTED_VALUE"""),"Male")</f>
        <v>Male</v>
      </c>
      <c r="D297" s="5" t="str">
        <f ca="1">IFERROR(__xludf.DUMMYFUNCTION("""COMPUTED_VALUE"""),"Nonstudent Using Athletic Facilities/Attending Game")</f>
        <v>Nonstudent Using Athletic Facilities/Attending Game</v>
      </c>
      <c r="E297" s="5">
        <f ca="1">IFERROR(__xludf.DUMMYFUNCTION("""COMPUTED_VALUE"""),18)</f>
        <v>18</v>
      </c>
      <c r="F297" s="5"/>
    </row>
    <row r="298" spans="1:6">
      <c r="A298" s="5" t="str">
        <f ca="1">IFERROR(__xludf.DUMMYFUNCTION("""COMPUTED_VALUE"""),"20211001NCSEF")</f>
        <v>20211001NCSEF</v>
      </c>
      <c r="B298" s="5" t="str">
        <f ca="1">IFERROR(__xludf.DUMMYFUNCTION("""COMPUTED_VALUE"""),"Wounded")</f>
        <v>Wounded</v>
      </c>
      <c r="C298" s="5" t="str">
        <f ca="1">IFERROR(__xludf.DUMMYFUNCTION("""COMPUTED_VALUE"""),"Male")</f>
        <v>Male</v>
      </c>
      <c r="D298" s="5" t="str">
        <f ca="1">IFERROR(__xludf.DUMMYFUNCTION("""COMPUTED_VALUE"""),"Nonstudent Using Athletic Facilities/Attending Game")</f>
        <v>Nonstudent Using Athletic Facilities/Attending Game</v>
      </c>
      <c r="E298" s="5">
        <f ca="1">IFERROR(__xludf.DUMMYFUNCTION("""COMPUTED_VALUE"""),19)</f>
        <v>19</v>
      </c>
      <c r="F298" s="5"/>
    </row>
    <row r="299" spans="1:6">
      <c r="A299" s="5" t="str">
        <f ca="1">IFERROR(__xludf.DUMMYFUNCTION("""COMPUTED_VALUE"""),"20211001NCNOD")</f>
        <v>20211001NCNOD</v>
      </c>
      <c r="B299" s="5" t="str">
        <f ca="1">IFERROR(__xludf.DUMMYFUNCTION("""COMPUTED_VALUE"""),"Wounded")</f>
        <v>Wounded</v>
      </c>
      <c r="C299" s="5" t="str">
        <f ca="1">IFERROR(__xludf.DUMMYFUNCTION("""COMPUTED_VALUE"""),"Male")</f>
        <v>Male</v>
      </c>
      <c r="D299" s="5" t="str">
        <f ca="1">IFERROR(__xludf.DUMMYFUNCTION("""COMPUTED_VALUE"""),"Student")</f>
        <v>Student</v>
      </c>
      <c r="E299" s="5">
        <f ca="1">IFERROR(__xludf.DUMMYFUNCTION("""COMPUTED_VALUE"""),17)</f>
        <v>17</v>
      </c>
      <c r="F299" s="5"/>
    </row>
    <row r="300" spans="1:6">
      <c r="A300" s="5" t="str">
        <f ca="1">IFERROR(__xludf.DUMMYFUNCTION("""COMPUTED_VALUE"""),"20211001INBEI")</f>
        <v>20211001INBEI</v>
      </c>
      <c r="B300" s="5" t="str">
        <f ca="1">IFERROR(__xludf.DUMMYFUNCTION("""COMPUTED_VALUE"""),"Wounded")</f>
        <v>Wounded</v>
      </c>
      <c r="C300" s="5" t="str">
        <f ca="1">IFERROR(__xludf.DUMMYFUNCTION("""COMPUTED_VALUE"""),"Male")</f>
        <v>Male</v>
      </c>
      <c r="D300" s="5" t="str">
        <f ca="1">IFERROR(__xludf.DUMMYFUNCTION("""COMPUTED_VALUE"""),"Nonstudent Using Athletic Facilities/Attending Game")</f>
        <v>Nonstudent Using Athletic Facilities/Attending Game</v>
      </c>
      <c r="E300" s="5">
        <f ca="1">IFERROR(__xludf.DUMMYFUNCTION("""COMPUTED_VALUE"""),16)</f>
        <v>16</v>
      </c>
      <c r="F300" s="5"/>
    </row>
    <row r="301" spans="1:6">
      <c r="A301" s="5" t="str">
        <f ca="1">IFERROR(__xludf.DUMMYFUNCTION("""COMPUTED_VALUE"""),"20210930TNCUM")</f>
        <v>20210930TNCUM</v>
      </c>
      <c r="B301" s="5" t="str">
        <f ca="1">IFERROR(__xludf.DUMMYFUNCTION("""COMPUTED_VALUE"""),"Wounded")</f>
        <v>Wounded</v>
      </c>
      <c r="C301" s="5" t="str">
        <f ca="1">IFERROR(__xludf.DUMMYFUNCTION("""COMPUTED_VALUE"""),"Male")</f>
        <v>Male</v>
      </c>
      <c r="D301" s="5" t="str">
        <f ca="1">IFERROR(__xludf.DUMMYFUNCTION("""COMPUTED_VALUE"""),"Student")</f>
        <v>Student</v>
      </c>
      <c r="E301" s="5">
        <f ca="1">IFERROR(__xludf.DUMMYFUNCTION("""COMPUTED_VALUE"""),13)</f>
        <v>13</v>
      </c>
      <c r="F301" s="5"/>
    </row>
    <row r="302" spans="1:6">
      <c r="A302" s="5" t="str">
        <f ca="1">IFERROR(__xludf.DUMMYFUNCTION("""COMPUTED_VALUE"""),"20210930MSNEN")</f>
        <v>20210930MSNEN</v>
      </c>
      <c r="B302" s="5" t="str">
        <f ca="1">IFERROR(__xludf.DUMMYFUNCTION("""COMPUTED_VALUE"""),"Wounded")</f>
        <v>Wounded</v>
      </c>
      <c r="C302" s="5" t="str">
        <f ca="1">IFERROR(__xludf.DUMMYFUNCTION("""COMPUTED_VALUE"""),"Male")</f>
        <v>Male</v>
      </c>
      <c r="D302" s="5" t="str">
        <f ca="1">IFERROR(__xludf.DUMMYFUNCTION("""COMPUTED_VALUE"""),"Student")</f>
        <v>Student</v>
      </c>
      <c r="E302" s="5">
        <f ca="1">IFERROR(__xludf.DUMMYFUNCTION("""COMPUTED_VALUE"""),6)</f>
        <v>6</v>
      </c>
      <c r="F302" s="5"/>
    </row>
    <row r="303" spans="1:6">
      <c r="A303" s="5" t="str">
        <f ca="1">IFERROR(__xludf.DUMMYFUNCTION("""COMPUTED_VALUE"""),"20210928MESOS")</f>
        <v>20210928MESOS</v>
      </c>
      <c r="B303" s="5" t="str">
        <f ca="1">IFERROR(__xludf.DUMMYFUNCTION("""COMPUTED_VALUE"""),"Wounded")</f>
        <v>Wounded</v>
      </c>
      <c r="C303" s="5" t="str">
        <f ca="1">IFERROR(__xludf.DUMMYFUNCTION("""COMPUTED_VALUE"""),"Male")</f>
        <v>Male</v>
      </c>
      <c r="D303" s="5" t="str">
        <f ca="1">IFERROR(__xludf.DUMMYFUNCTION("""COMPUTED_VALUE"""),"Student")</f>
        <v>Student</v>
      </c>
      <c r="E303" s="5" t="str">
        <f ca="1">IFERROR(__xludf.DUMMYFUNCTION("""COMPUTED_VALUE"""),"Teen")</f>
        <v>Teen</v>
      </c>
      <c r="F303" s="5"/>
    </row>
    <row r="304" spans="1:6">
      <c r="A304" s="5" t="str">
        <f ca="1">IFERROR(__xludf.DUMMYFUNCTION("""COMPUTED_VALUE"""),"20210927ILCAC")</f>
        <v>20210927ILCAC</v>
      </c>
      <c r="B304" s="5" t="str">
        <f ca="1">IFERROR(__xludf.DUMMYFUNCTION("""COMPUTED_VALUE"""),"Minor Injuries")</f>
        <v>Minor Injuries</v>
      </c>
      <c r="C304" s="5"/>
      <c r="D304" s="5" t="str">
        <f ca="1">IFERROR(__xludf.DUMMYFUNCTION("""COMPUTED_VALUE"""),"Student")</f>
        <v>Student</v>
      </c>
      <c r="E304" s="5" t="str">
        <f ca="1">IFERROR(__xludf.DUMMYFUNCTION("""COMPUTED_VALUE"""),"Child")</f>
        <v>Child</v>
      </c>
      <c r="F304" s="5"/>
    </row>
    <row r="305" spans="1:6">
      <c r="A305" s="5" t="str">
        <f ca="1">IFERROR(__xludf.DUMMYFUNCTION("""COMPUTED_VALUE"""),"20210927ILCAC")</f>
        <v>20210927ILCAC</v>
      </c>
      <c r="B305" s="5" t="str">
        <f ca="1">IFERROR(__xludf.DUMMYFUNCTION("""COMPUTED_VALUE"""),"Minor Injuries")</f>
        <v>Minor Injuries</v>
      </c>
      <c r="C305" s="5"/>
      <c r="D305" s="5" t="str">
        <f ca="1">IFERROR(__xludf.DUMMYFUNCTION("""COMPUTED_VALUE"""),"Student")</f>
        <v>Student</v>
      </c>
      <c r="E305" s="5" t="str">
        <f ca="1">IFERROR(__xludf.DUMMYFUNCTION("""COMPUTED_VALUE"""),"Child")</f>
        <v>Child</v>
      </c>
      <c r="F305" s="5"/>
    </row>
    <row r="306" spans="1:6">
      <c r="A306" s="5" t="str">
        <f ca="1">IFERROR(__xludf.DUMMYFUNCTION("""COMPUTED_VALUE"""),"20210927ILCAC")</f>
        <v>20210927ILCAC</v>
      </c>
      <c r="B306" s="5" t="str">
        <f ca="1">IFERROR(__xludf.DUMMYFUNCTION("""COMPUTED_VALUE"""),"Minor Injuries")</f>
        <v>Minor Injuries</v>
      </c>
      <c r="C306" s="5"/>
      <c r="D306" s="5" t="str">
        <f ca="1">IFERROR(__xludf.DUMMYFUNCTION("""COMPUTED_VALUE"""),"Student")</f>
        <v>Student</v>
      </c>
      <c r="E306" s="5" t="str">
        <f ca="1">IFERROR(__xludf.DUMMYFUNCTION("""COMPUTED_VALUE"""),"Child")</f>
        <v>Child</v>
      </c>
      <c r="F306" s="5"/>
    </row>
    <row r="307" spans="1:6">
      <c r="A307" s="5" t="str">
        <f ca="1">IFERROR(__xludf.DUMMYFUNCTION("""COMPUTED_VALUE"""),"20210924MDWIB")</f>
        <v>20210924MDWIB</v>
      </c>
      <c r="B307" s="5" t="str">
        <f ca="1">IFERROR(__xludf.DUMMYFUNCTION("""COMPUTED_VALUE"""),"Wounded")</f>
        <v>Wounded</v>
      </c>
      <c r="C307" s="5" t="str">
        <f ca="1">IFERROR(__xludf.DUMMYFUNCTION("""COMPUTED_VALUE"""),"Male")</f>
        <v>Male</v>
      </c>
      <c r="D307" s="5" t="str">
        <f ca="1">IFERROR(__xludf.DUMMYFUNCTION("""COMPUTED_VALUE"""),"No Relation")</f>
        <v>No Relation</v>
      </c>
      <c r="E307" s="5">
        <f ca="1">IFERROR(__xludf.DUMMYFUNCTION("""COMPUTED_VALUE"""),18)</f>
        <v>18</v>
      </c>
      <c r="F307" s="5"/>
    </row>
    <row r="308" spans="1:6">
      <c r="A308" s="5" t="str">
        <f ca="1">IFERROR(__xludf.DUMMYFUNCTION("""COMPUTED_VALUE"""),"20210924ALFAF")</f>
        <v>20210924ALFAF</v>
      </c>
      <c r="B308" s="5" t="str">
        <f ca="1">IFERROR(__xludf.DUMMYFUNCTION("""COMPUTED_VALUE"""),"Wounded")</f>
        <v>Wounded</v>
      </c>
      <c r="C308" s="5" t="str">
        <f ca="1">IFERROR(__xludf.DUMMYFUNCTION("""COMPUTED_VALUE"""),"Male")</f>
        <v>Male</v>
      </c>
      <c r="D308" s="5" t="str">
        <f ca="1">IFERROR(__xludf.DUMMYFUNCTION("""COMPUTED_VALUE"""),"Nonstudent Using Athletic Facilities/Attending Game")</f>
        <v>Nonstudent Using Athletic Facilities/Attending Game</v>
      </c>
      <c r="E308" s="5" t="str">
        <f ca="1">IFERROR(__xludf.DUMMYFUNCTION("""COMPUTED_VALUE"""),"Adult")</f>
        <v>Adult</v>
      </c>
      <c r="F308" s="5"/>
    </row>
    <row r="309" spans="1:6">
      <c r="A309" s="5" t="str">
        <f ca="1">IFERROR(__xludf.DUMMYFUNCTION("""COMPUTED_VALUE"""),"20210922NYSOB")</f>
        <v>20210922NYSOB</v>
      </c>
      <c r="B309" s="5" t="str">
        <f ca="1">IFERROR(__xludf.DUMMYFUNCTION("""COMPUTED_VALUE"""),"Wounded")</f>
        <v>Wounded</v>
      </c>
      <c r="C309" s="5" t="str">
        <f ca="1">IFERROR(__xludf.DUMMYFUNCTION("""COMPUTED_VALUE"""),"Male")</f>
        <v>Male</v>
      </c>
      <c r="D309" s="5" t="str">
        <f ca="1">IFERROR(__xludf.DUMMYFUNCTION("""COMPUTED_VALUE"""),"Student")</f>
        <v>Student</v>
      </c>
      <c r="E309" s="5">
        <f ca="1">IFERROR(__xludf.DUMMYFUNCTION("""COMPUTED_VALUE"""),17)</f>
        <v>17</v>
      </c>
      <c r="F309" s="5"/>
    </row>
    <row r="310" spans="1:6">
      <c r="A310" s="5" t="str">
        <f ca="1">IFERROR(__xludf.DUMMYFUNCTION("""COMPUTED_VALUE"""),"20210921PAVAP")</f>
        <v>20210921PAVAP</v>
      </c>
      <c r="B310" s="5" t="str">
        <f ca="1">IFERROR(__xludf.DUMMYFUNCTION("""COMPUTED_VALUE"""),"Wounded")</f>
        <v>Wounded</v>
      </c>
      <c r="C310" s="5" t="str">
        <f ca="1">IFERROR(__xludf.DUMMYFUNCTION("""COMPUTED_VALUE"""),"Male")</f>
        <v>Male</v>
      </c>
      <c r="D310" s="5" t="str">
        <f ca="1">IFERROR(__xludf.DUMMYFUNCTION("""COMPUTED_VALUE"""),"Student")</f>
        <v>Student</v>
      </c>
      <c r="E310" s="5">
        <f ca="1">IFERROR(__xludf.DUMMYFUNCTION("""COMPUTED_VALUE"""),15)</f>
        <v>15</v>
      </c>
      <c r="F310" s="5"/>
    </row>
    <row r="311" spans="1:6">
      <c r="A311" s="5" t="str">
        <f ca="1">IFERROR(__xludf.DUMMYFUNCTION("""COMPUTED_VALUE"""),"20210921KSEAW")</f>
        <v>20210921KSEAW</v>
      </c>
      <c r="B311" s="5" t="str">
        <f ca="1">IFERROR(__xludf.DUMMYFUNCTION("""COMPUTED_VALUE"""),"Wounded")</f>
        <v>Wounded</v>
      </c>
      <c r="C311" s="5" t="str">
        <f ca="1">IFERROR(__xludf.DUMMYFUNCTION("""COMPUTED_VALUE"""),"Male")</f>
        <v>Male</v>
      </c>
      <c r="D311" s="5" t="str">
        <f ca="1">IFERROR(__xludf.DUMMYFUNCTION("""COMPUTED_VALUE"""),"Student")</f>
        <v>Student</v>
      </c>
      <c r="E311" s="5">
        <f ca="1">IFERROR(__xludf.DUMMYFUNCTION("""COMPUTED_VALUE"""),15)</f>
        <v>15</v>
      </c>
      <c r="F311" s="5"/>
    </row>
    <row r="312" spans="1:6">
      <c r="A312" s="5" t="str">
        <f ca="1">IFERROR(__xludf.DUMMYFUNCTION("""COMPUTED_VALUE"""),"20210921KSEAW")</f>
        <v>20210921KSEAW</v>
      </c>
      <c r="B312" s="5" t="str">
        <f ca="1">IFERROR(__xludf.DUMMYFUNCTION("""COMPUTED_VALUE"""),"Wounded")</f>
        <v>Wounded</v>
      </c>
      <c r="C312" s="5" t="str">
        <f ca="1">IFERROR(__xludf.DUMMYFUNCTION("""COMPUTED_VALUE"""),"Male")</f>
        <v>Male</v>
      </c>
      <c r="D312" s="5" t="str">
        <f ca="1">IFERROR(__xludf.DUMMYFUNCTION("""COMPUTED_VALUE"""),"Student")</f>
        <v>Student</v>
      </c>
      <c r="E312" s="5">
        <f ca="1">IFERROR(__xludf.DUMMYFUNCTION("""COMPUTED_VALUE"""),17)</f>
        <v>17</v>
      </c>
      <c r="F312" s="5"/>
    </row>
    <row r="313" spans="1:6">
      <c r="A313" s="5" t="str">
        <f ca="1">IFERROR(__xludf.DUMMYFUNCTION("""COMPUTED_VALUE"""),"20210921KSEAW")</f>
        <v>20210921KSEAW</v>
      </c>
      <c r="B313" s="5" t="str">
        <f ca="1">IFERROR(__xludf.DUMMYFUNCTION("""COMPUTED_VALUE"""),"Wounded")</f>
        <v>Wounded</v>
      </c>
      <c r="C313" s="5" t="str">
        <f ca="1">IFERROR(__xludf.DUMMYFUNCTION("""COMPUTED_VALUE"""),"Male")</f>
        <v>Male</v>
      </c>
      <c r="D313" s="5" t="str">
        <f ca="1">IFERROR(__xludf.DUMMYFUNCTION("""COMPUTED_VALUE"""),"Student")</f>
        <v>Student</v>
      </c>
      <c r="E313" s="5">
        <f ca="1">IFERROR(__xludf.DUMMYFUNCTION("""COMPUTED_VALUE"""),15)</f>
        <v>15</v>
      </c>
      <c r="F313" s="5"/>
    </row>
    <row r="314" spans="1:6">
      <c r="A314" s="5" t="str">
        <f ca="1">IFERROR(__xludf.DUMMYFUNCTION("""COMPUTED_VALUE"""),"20210920VAHEN")</f>
        <v>20210920VAHEN</v>
      </c>
      <c r="B314" s="5" t="str">
        <f ca="1">IFERROR(__xludf.DUMMYFUNCTION("""COMPUTED_VALUE"""),"Wounded")</f>
        <v>Wounded</v>
      </c>
      <c r="C314" s="5" t="str">
        <f ca="1">IFERROR(__xludf.DUMMYFUNCTION("""COMPUTED_VALUE"""),"Male")</f>
        <v>Male</v>
      </c>
      <c r="D314" s="5" t="str">
        <f ca="1">IFERROR(__xludf.DUMMYFUNCTION("""COMPUTED_VALUE"""),"Student")</f>
        <v>Student</v>
      </c>
      <c r="E314" s="5">
        <f ca="1">IFERROR(__xludf.DUMMYFUNCTION("""COMPUTED_VALUE"""),17)</f>
        <v>17</v>
      </c>
      <c r="F314" s="5"/>
    </row>
    <row r="315" spans="1:6">
      <c r="A315" s="5" t="str">
        <f ca="1">IFERROR(__xludf.DUMMYFUNCTION("""COMPUTED_VALUE"""),"20210920VAHEN")</f>
        <v>20210920VAHEN</v>
      </c>
      <c r="B315" s="5" t="str">
        <f ca="1">IFERROR(__xludf.DUMMYFUNCTION("""COMPUTED_VALUE"""),"Wounded")</f>
        <v>Wounded</v>
      </c>
      <c r="C315" s="5" t="str">
        <f ca="1">IFERROR(__xludf.DUMMYFUNCTION("""COMPUTED_VALUE"""),"Female")</f>
        <v>Female</v>
      </c>
      <c r="D315" s="5" t="str">
        <f ca="1">IFERROR(__xludf.DUMMYFUNCTION("""COMPUTED_VALUE"""),"Student")</f>
        <v>Student</v>
      </c>
      <c r="E315" s="5">
        <f ca="1">IFERROR(__xludf.DUMMYFUNCTION("""COMPUTED_VALUE"""),17)</f>
        <v>17</v>
      </c>
      <c r="F315" s="5"/>
    </row>
    <row r="316" spans="1:6">
      <c r="A316" s="5" t="str">
        <f ca="1">IFERROR(__xludf.DUMMYFUNCTION("""COMPUTED_VALUE"""),"20210920OHEAC")</f>
        <v>20210920OHEAC</v>
      </c>
      <c r="B316" s="5" t="str">
        <f ca="1">IFERROR(__xludf.DUMMYFUNCTION("""COMPUTED_VALUE"""),"Wounded")</f>
        <v>Wounded</v>
      </c>
      <c r="C316" s="5" t="str">
        <f ca="1">IFERROR(__xludf.DUMMYFUNCTION("""COMPUTED_VALUE"""),"Male")</f>
        <v>Male</v>
      </c>
      <c r="D316" s="5" t="str">
        <f ca="1">IFERROR(__xludf.DUMMYFUNCTION("""COMPUTED_VALUE"""),"No Relation")</f>
        <v>No Relation</v>
      </c>
      <c r="E316" s="5">
        <f ca="1">IFERROR(__xludf.DUMMYFUNCTION("""COMPUTED_VALUE"""),14)</f>
        <v>14</v>
      </c>
      <c r="F316" s="5"/>
    </row>
    <row r="317" spans="1:6">
      <c r="A317" s="5" t="str">
        <f ca="1">IFERROR(__xludf.DUMMYFUNCTION("""COMPUTED_VALUE"""),"20210920OHEAC")</f>
        <v>20210920OHEAC</v>
      </c>
      <c r="B317" s="5" t="str">
        <f ca="1">IFERROR(__xludf.DUMMYFUNCTION("""COMPUTED_VALUE"""),"Wounded")</f>
        <v>Wounded</v>
      </c>
      <c r="C317" s="5" t="str">
        <f ca="1">IFERROR(__xludf.DUMMYFUNCTION("""COMPUTED_VALUE"""),"Male")</f>
        <v>Male</v>
      </c>
      <c r="D317" s="5" t="str">
        <f ca="1">IFERROR(__xludf.DUMMYFUNCTION("""COMPUTED_VALUE"""),"No Relation")</f>
        <v>No Relation</v>
      </c>
      <c r="E317" s="5">
        <f ca="1">IFERROR(__xludf.DUMMYFUNCTION("""COMPUTED_VALUE"""),15)</f>
        <v>15</v>
      </c>
      <c r="F317" s="5"/>
    </row>
    <row r="318" spans="1:6">
      <c r="A318" s="5" t="str">
        <f ca="1">IFERROR(__xludf.DUMMYFUNCTION("""COMPUTED_VALUE"""),"20210920OHEAC")</f>
        <v>20210920OHEAC</v>
      </c>
      <c r="B318" s="5" t="str">
        <f ca="1">IFERROR(__xludf.DUMMYFUNCTION("""COMPUTED_VALUE"""),"Wounded")</f>
        <v>Wounded</v>
      </c>
      <c r="C318" s="5" t="str">
        <f ca="1">IFERROR(__xludf.DUMMYFUNCTION("""COMPUTED_VALUE"""),"Male")</f>
        <v>Male</v>
      </c>
      <c r="D318" s="5" t="str">
        <f ca="1">IFERROR(__xludf.DUMMYFUNCTION("""COMPUTED_VALUE"""),"No Relation")</f>
        <v>No Relation</v>
      </c>
      <c r="E318" s="5">
        <f ca="1">IFERROR(__xludf.DUMMYFUNCTION("""COMPUTED_VALUE"""),19)</f>
        <v>19</v>
      </c>
      <c r="F318" s="5"/>
    </row>
    <row r="319" spans="1:6">
      <c r="A319" s="5" t="str">
        <f ca="1">IFERROR(__xludf.DUMMYFUNCTION("""COMPUTED_VALUE"""),"20210918COWIC")</f>
        <v>20210918COWIC</v>
      </c>
      <c r="B319" s="5" t="str">
        <f ca="1">IFERROR(__xludf.DUMMYFUNCTION("""COMPUTED_VALUE"""),"Wounded")</f>
        <v>Wounded</v>
      </c>
      <c r="C319" s="5"/>
      <c r="D319" s="5" t="str">
        <f ca="1">IFERROR(__xludf.DUMMYFUNCTION("""COMPUTED_VALUE"""),"Student")</f>
        <v>Student</v>
      </c>
      <c r="E319" s="5" t="str">
        <f ca="1">IFERROR(__xludf.DUMMYFUNCTION("""COMPUTED_VALUE"""),"Teen")</f>
        <v>Teen</v>
      </c>
      <c r="F319" s="5"/>
    </row>
    <row r="320" spans="1:6">
      <c r="A320" s="5" t="str">
        <f ca="1">IFERROR(__xludf.DUMMYFUNCTION("""COMPUTED_VALUE"""),"20210918COWIC")</f>
        <v>20210918COWIC</v>
      </c>
      <c r="B320" s="5" t="str">
        <f ca="1">IFERROR(__xludf.DUMMYFUNCTION("""COMPUTED_VALUE"""),"Wounded")</f>
        <v>Wounded</v>
      </c>
      <c r="C320" s="5"/>
      <c r="D320" s="5" t="str">
        <f ca="1">IFERROR(__xludf.DUMMYFUNCTION("""COMPUTED_VALUE"""),"Student")</f>
        <v>Student</v>
      </c>
      <c r="E320" s="5" t="str">
        <f ca="1">IFERROR(__xludf.DUMMYFUNCTION("""COMPUTED_VALUE"""),"Teen")</f>
        <v>Teen</v>
      </c>
      <c r="F320" s="5"/>
    </row>
    <row r="321" spans="1:6">
      <c r="A321" s="5" t="str">
        <f ca="1">IFERROR(__xludf.DUMMYFUNCTION("""COMPUTED_VALUE"""),"20210918COWIC")</f>
        <v>20210918COWIC</v>
      </c>
      <c r="B321" s="5" t="str">
        <f ca="1">IFERROR(__xludf.DUMMYFUNCTION("""COMPUTED_VALUE"""),"Wounded")</f>
        <v>Wounded</v>
      </c>
      <c r="C321" s="5"/>
      <c r="D321" s="5" t="str">
        <f ca="1">IFERROR(__xludf.DUMMYFUNCTION("""COMPUTED_VALUE"""),"Nonstudent Using Athletic Facilities/Attending Game")</f>
        <v>Nonstudent Using Athletic Facilities/Attending Game</v>
      </c>
      <c r="E321" s="5" t="str">
        <f ca="1">IFERROR(__xludf.DUMMYFUNCTION("""COMPUTED_VALUE"""),"Adult")</f>
        <v>Adult</v>
      </c>
      <c r="F321" s="5"/>
    </row>
    <row r="322" spans="1:6">
      <c r="A322" s="5" t="str">
        <f ca="1">IFERROR(__xludf.DUMMYFUNCTION("""COMPUTED_VALUE"""),"20210917VAHEH")</f>
        <v>20210917VAHEH</v>
      </c>
      <c r="B322" s="5" t="str">
        <f ca="1">IFERROR(__xludf.DUMMYFUNCTION("""COMPUTED_VALUE"""),"Minor Injuries")</f>
        <v>Minor Injuries</v>
      </c>
      <c r="C322" s="5" t="str">
        <f ca="1">IFERROR(__xludf.DUMMYFUNCTION("""COMPUTED_VALUE"""),"Male")</f>
        <v>Male</v>
      </c>
      <c r="D322" s="5" t="str">
        <f ca="1">IFERROR(__xludf.DUMMYFUNCTION("""COMPUTED_VALUE"""),"Student")</f>
        <v>Student</v>
      </c>
      <c r="E322" s="5" t="str">
        <f ca="1">IFERROR(__xludf.DUMMYFUNCTION("""COMPUTED_VALUE"""),"Teen")</f>
        <v>Teen</v>
      </c>
      <c r="F322" s="5"/>
    </row>
    <row r="323" spans="1:6">
      <c r="A323" s="5" t="str">
        <f ca="1">IFERROR(__xludf.DUMMYFUNCTION("""COMPUTED_VALUE"""),"20210917TNAUK")</f>
        <v>20210917TNAUK</v>
      </c>
      <c r="B323" s="5" t="str">
        <f ca="1">IFERROR(__xludf.DUMMYFUNCTION("""COMPUTED_VALUE"""),"Wounded")</f>
        <v>Wounded</v>
      </c>
      <c r="C323" s="5" t="str">
        <f ca="1">IFERROR(__xludf.DUMMYFUNCTION("""COMPUTED_VALUE"""),"Male")</f>
        <v>Male</v>
      </c>
      <c r="D323" s="5"/>
      <c r="E323" s="5" t="str">
        <f ca="1">IFERROR(__xludf.DUMMYFUNCTION("""COMPUTED_VALUE"""),"Teen")</f>
        <v>Teen</v>
      </c>
      <c r="F323" s="5"/>
    </row>
    <row r="324" spans="1:6">
      <c r="A324" s="5" t="str">
        <f ca="1">IFERROR(__xludf.DUMMYFUNCTION("""COMPUTED_VALUE"""),"20210917PAWEP")</f>
        <v>20210917PAWEP</v>
      </c>
      <c r="B324" s="5" t="str">
        <f ca="1">IFERROR(__xludf.DUMMYFUNCTION("""COMPUTED_VALUE"""),"Wounded")</f>
        <v>Wounded</v>
      </c>
      <c r="C324" s="5"/>
      <c r="D324" s="5" t="str">
        <f ca="1">IFERROR(__xludf.DUMMYFUNCTION("""COMPUTED_VALUE"""),"Student")</f>
        <v>Student</v>
      </c>
      <c r="E324" s="5">
        <f ca="1">IFERROR(__xludf.DUMMYFUNCTION("""COMPUTED_VALUE"""),16)</f>
        <v>16</v>
      </c>
      <c r="F324" s="5"/>
    </row>
    <row r="325" spans="1:6">
      <c r="A325" s="5" t="str">
        <f ca="1">IFERROR(__xludf.DUMMYFUNCTION("""COMPUTED_VALUE"""),"20210917PAWEP")</f>
        <v>20210917PAWEP</v>
      </c>
      <c r="B325" s="5" t="str">
        <f ca="1">IFERROR(__xludf.DUMMYFUNCTION("""COMPUTED_VALUE"""),"Wounded")</f>
        <v>Wounded</v>
      </c>
      <c r="C325" s="5"/>
      <c r="D325" s="5" t="str">
        <f ca="1">IFERROR(__xludf.DUMMYFUNCTION("""COMPUTED_VALUE"""),"Student")</f>
        <v>Student</v>
      </c>
      <c r="E325" s="5">
        <f ca="1">IFERROR(__xludf.DUMMYFUNCTION("""COMPUTED_VALUE"""),14)</f>
        <v>14</v>
      </c>
      <c r="F325" s="5"/>
    </row>
    <row r="326" spans="1:6">
      <c r="A326" s="5" t="str">
        <f ca="1">IFERROR(__xludf.DUMMYFUNCTION("""COMPUTED_VALUE"""),"20210915VASPS")</f>
        <v>20210915VASPS</v>
      </c>
      <c r="B326" s="5" t="str">
        <f ca="1">IFERROR(__xludf.DUMMYFUNCTION("""COMPUTED_VALUE"""),"None")</f>
        <v>None</v>
      </c>
      <c r="C326" s="5"/>
      <c r="D326" s="5" t="str">
        <f ca="1">IFERROR(__xludf.DUMMYFUNCTION("""COMPUTED_VALUE"""),"Student")</f>
        <v>Student</v>
      </c>
      <c r="E326" s="5" t="str">
        <f ca="1">IFERROR(__xludf.DUMMYFUNCTION("""COMPUTED_VALUE"""),"Child")</f>
        <v>Child</v>
      </c>
      <c r="F326" s="5"/>
    </row>
    <row r="327" spans="1:6">
      <c r="A327" s="5" t="str">
        <f ca="1">IFERROR(__xludf.DUMMYFUNCTION("""COMPUTED_VALUE"""),"20210915VASPS")</f>
        <v>20210915VASPS</v>
      </c>
      <c r="B327" s="5" t="str">
        <f ca="1">IFERROR(__xludf.DUMMYFUNCTION("""COMPUTED_VALUE"""),"None")</f>
        <v>None</v>
      </c>
      <c r="C327" s="5"/>
      <c r="D327" s="5" t="str">
        <f ca="1">IFERROR(__xludf.DUMMYFUNCTION("""COMPUTED_VALUE"""),"Student")</f>
        <v>Student</v>
      </c>
      <c r="E327" s="5" t="str">
        <f ca="1">IFERROR(__xludf.DUMMYFUNCTION("""COMPUTED_VALUE"""),"Child")</f>
        <v>Child</v>
      </c>
      <c r="F327" s="5"/>
    </row>
    <row r="328" spans="1:6">
      <c r="A328" s="5" t="str">
        <f ca="1">IFERROR(__xludf.DUMMYFUNCTION("""COMPUTED_VALUE"""),"20210915VASPS")</f>
        <v>20210915VASPS</v>
      </c>
      <c r="B328" s="5" t="str">
        <f ca="1">IFERROR(__xludf.DUMMYFUNCTION("""COMPUTED_VALUE"""),"None")</f>
        <v>None</v>
      </c>
      <c r="C328" s="5"/>
      <c r="D328" s="5" t="str">
        <f ca="1">IFERROR(__xludf.DUMMYFUNCTION("""COMPUTED_VALUE"""),"Student")</f>
        <v>Student</v>
      </c>
      <c r="E328" s="5" t="str">
        <f ca="1">IFERROR(__xludf.DUMMYFUNCTION("""COMPUTED_VALUE"""),"Child")</f>
        <v>Child</v>
      </c>
      <c r="F328" s="5"/>
    </row>
    <row r="329" spans="1:6">
      <c r="A329" s="5" t="str">
        <f ca="1">IFERROR(__xludf.DUMMYFUNCTION("""COMPUTED_VALUE"""),"20210915KYMAL")</f>
        <v>20210915KYMAL</v>
      </c>
      <c r="B329" s="5" t="str">
        <f ca="1">IFERROR(__xludf.DUMMYFUNCTION("""COMPUTED_VALUE"""),"Wounded")</f>
        <v>Wounded</v>
      </c>
      <c r="C329" s="5" t="str">
        <f ca="1">IFERROR(__xludf.DUMMYFUNCTION("""COMPUTED_VALUE"""),"Male")</f>
        <v>Male</v>
      </c>
      <c r="D329" s="5" t="str">
        <f ca="1">IFERROR(__xludf.DUMMYFUNCTION("""COMPUTED_VALUE"""),"No Relation")</f>
        <v>No Relation</v>
      </c>
      <c r="E329" s="5" t="str">
        <f ca="1">IFERROR(__xludf.DUMMYFUNCTION("""COMPUTED_VALUE"""),"Adult")</f>
        <v>Adult</v>
      </c>
      <c r="F329" s="5"/>
    </row>
    <row r="330" spans="1:6">
      <c r="A330" s="5" t="str">
        <f ca="1">IFERROR(__xludf.DUMMYFUNCTION("""COMPUTED_VALUE"""),"20210913SCEDC")</f>
        <v>20210913SCEDC</v>
      </c>
      <c r="B330" s="5" t="str">
        <f ca="1">IFERROR(__xludf.DUMMYFUNCTION("""COMPUTED_VALUE"""),"Wounded")</f>
        <v>Wounded</v>
      </c>
      <c r="C330" s="5" t="str">
        <f ca="1">IFERROR(__xludf.DUMMYFUNCTION("""COMPUTED_VALUE"""),"Male")</f>
        <v>Male</v>
      </c>
      <c r="D330" s="5" t="str">
        <f ca="1">IFERROR(__xludf.DUMMYFUNCTION("""COMPUTED_VALUE"""),"Parent")</f>
        <v>Parent</v>
      </c>
      <c r="E330" s="5" t="str">
        <f ca="1">IFERROR(__xludf.DUMMYFUNCTION("""COMPUTED_VALUE"""),"Adult")</f>
        <v>Adult</v>
      </c>
      <c r="F330" s="5"/>
    </row>
    <row r="331" spans="1:6">
      <c r="A331" s="5" t="str">
        <f ca="1">IFERROR(__xludf.DUMMYFUNCTION("""COMPUTED_VALUE"""),"20210909ILCHC")</f>
        <v>20210909ILCHC</v>
      </c>
      <c r="B331" s="5" t="str">
        <f ca="1">IFERROR(__xludf.DUMMYFUNCTION("""COMPUTED_VALUE"""),"Wounded")</f>
        <v>Wounded</v>
      </c>
      <c r="C331" s="5" t="str">
        <f ca="1">IFERROR(__xludf.DUMMYFUNCTION("""COMPUTED_VALUE"""),"Male")</f>
        <v>Male</v>
      </c>
      <c r="D331" s="5" t="str">
        <f ca="1">IFERROR(__xludf.DUMMYFUNCTION("""COMPUTED_VALUE"""),"No Relation")</f>
        <v>No Relation</v>
      </c>
      <c r="E331" s="5">
        <f ca="1">IFERROR(__xludf.DUMMYFUNCTION("""COMPUTED_VALUE"""),34)</f>
        <v>34</v>
      </c>
      <c r="F331" s="5"/>
    </row>
    <row r="332" spans="1:6">
      <c r="A332" s="5" t="str">
        <f ca="1">IFERROR(__xludf.DUMMYFUNCTION("""COMPUTED_VALUE"""),"20210908MNPRB")</f>
        <v>20210908MNPRB</v>
      </c>
      <c r="B332" s="5" t="str">
        <f ca="1">IFERROR(__xludf.DUMMYFUNCTION("""COMPUTED_VALUE"""),"Wounded")</f>
        <v>Wounded</v>
      </c>
      <c r="C332" s="5" t="str">
        <f ca="1">IFERROR(__xludf.DUMMYFUNCTION("""COMPUTED_VALUE"""),"Male")</f>
        <v>Male</v>
      </c>
      <c r="D332" s="5" t="str">
        <f ca="1">IFERROR(__xludf.DUMMYFUNCTION("""COMPUTED_VALUE"""),"No Relation")</f>
        <v>No Relation</v>
      </c>
      <c r="E332" s="5" t="str">
        <f ca="1">IFERROR(__xludf.DUMMYFUNCTION("""COMPUTED_VALUE"""),"Adult")</f>
        <v>Adult</v>
      </c>
      <c r="F332" s="5"/>
    </row>
    <row r="333" spans="1:6">
      <c r="A333" s="5" t="str">
        <f ca="1">IFERROR(__xludf.DUMMYFUNCTION("""COMPUTED_VALUE"""),"20210903CABUB")</f>
        <v>20210903CABUB</v>
      </c>
      <c r="B333" s="5" t="str">
        <f ca="1">IFERROR(__xludf.DUMMYFUNCTION("""COMPUTED_VALUE"""),"None")</f>
        <v>None</v>
      </c>
      <c r="C333" s="5" t="str">
        <f ca="1">IFERROR(__xludf.DUMMYFUNCTION("""COMPUTED_VALUE"""),"Female")</f>
        <v>Female</v>
      </c>
      <c r="D333" s="5" t="str">
        <f ca="1">IFERROR(__xludf.DUMMYFUNCTION("""COMPUTED_VALUE"""),"Bus Driver")</f>
        <v>Bus Driver</v>
      </c>
      <c r="E333" s="5" t="str">
        <f ca="1">IFERROR(__xludf.DUMMYFUNCTION("""COMPUTED_VALUE"""),"Adult")</f>
        <v>Adult</v>
      </c>
      <c r="F333" s="5"/>
    </row>
    <row r="334" spans="1:6">
      <c r="A334" s="5" t="str">
        <f ca="1">IFERROR(__xludf.DUMMYFUNCTION("""COMPUTED_VALUE"""),"20210903CABUB")</f>
        <v>20210903CABUB</v>
      </c>
      <c r="B334" s="5" t="str">
        <f ca="1">IFERROR(__xludf.DUMMYFUNCTION("""COMPUTED_VALUE"""),"None")</f>
        <v>None</v>
      </c>
      <c r="C334" s="5"/>
      <c r="D334" s="5" t="str">
        <f ca="1">IFERROR(__xludf.DUMMYFUNCTION("""COMPUTED_VALUE"""),"Student")</f>
        <v>Student</v>
      </c>
      <c r="E334" s="5"/>
      <c r="F334" s="5"/>
    </row>
    <row r="335" spans="1:6">
      <c r="A335" s="5" t="str">
        <f ca="1">IFERROR(__xludf.DUMMYFUNCTION("""COMPUTED_VALUE"""),"20210902INWEG")</f>
        <v>20210902INWEG</v>
      </c>
      <c r="B335" s="5" t="str">
        <f ca="1">IFERROR(__xludf.DUMMYFUNCTION("""COMPUTED_VALUE"""),"Wounded")</f>
        <v>Wounded</v>
      </c>
      <c r="C335" s="5" t="str">
        <f ca="1">IFERROR(__xludf.DUMMYFUNCTION("""COMPUTED_VALUE"""),"Male")</f>
        <v>Male</v>
      </c>
      <c r="D335" s="5" t="str">
        <f ca="1">IFERROR(__xludf.DUMMYFUNCTION("""COMPUTED_VALUE"""),"Student")</f>
        <v>Student</v>
      </c>
      <c r="E335" s="5" t="str">
        <f ca="1">IFERROR(__xludf.DUMMYFUNCTION("""COMPUTED_VALUE"""),"Teen")</f>
        <v>Teen</v>
      </c>
      <c r="F335" s="5"/>
    </row>
    <row r="336" spans="1:6">
      <c r="A336" s="5" t="str">
        <f ca="1">IFERROR(__xludf.DUMMYFUNCTION("""COMPUTED_VALUE"""),"20210902CASAL")</f>
        <v>20210902CASAL</v>
      </c>
      <c r="B336" s="5" t="str">
        <f ca="1">IFERROR(__xludf.DUMMYFUNCTION("""COMPUTED_VALUE"""),"Wounded")</f>
        <v>Wounded</v>
      </c>
      <c r="C336" s="5" t="str">
        <f ca="1">IFERROR(__xludf.DUMMYFUNCTION("""COMPUTED_VALUE"""),"Male")</f>
        <v>Male</v>
      </c>
      <c r="D336" s="5" t="str">
        <f ca="1">IFERROR(__xludf.DUMMYFUNCTION("""COMPUTED_VALUE"""),"Student")</f>
        <v>Student</v>
      </c>
      <c r="E336" s="5" t="str">
        <f ca="1">IFERROR(__xludf.DUMMYFUNCTION("""COMPUTED_VALUE"""),"Teen")</f>
        <v>Teen</v>
      </c>
      <c r="F336" s="5"/>
    </row>
    <row r="337" spans="1:6">
      <c r="A337" s="5" t="str">
        <f ca="1">IFERROR(__xludf.DUMMYFUNCTION("""COMPUTED_VALUE"""),"20210902CASAL")</f>
        <v>20210902CASAL</v>
      </c>
      <c r="B337" s="5" t="str">
        <f ca="1">IFERROR(__xludf.DUMMYFUNCTION("""COMPUTED_VALUE"""),"Wounded")</f>
        <v>Wounded</v>
      </c>
      <c r="C337" s="5" t="str">
        <f ca="1">IFERROR(__xludf.DUMMYFUNCTION("""COMPUTED_VALUE"""),"Male")</f>
        <v>Male</v>
      </c>
      <c r="D337" s="5" t="str">
        <f ca="1">IFERROR(__xludf.DUMMYFUNCTION("""COMPUTED_VALUE"""),"Student")</f>
        <v>Student</v>
      </c>
      <c r="E337" s="5">
        <f ca="1">IFERROR(__xludf.DUMMYFUNCTION("""COMPUTED_VALUE"""),17)</f>
        <v>17</v>
      </c>
      <c r="F337" s="5"/>
    </row>
    <row r="338" spans="1:6">
      <c r="A338" s="5" t="str">
        <f ca="1">IFERROR(__xludf.DUMMYFUNCTION("""COMPUTED_VALUE"""),"20210902CASAL")</f>
        <v>20210902CASAL</v>
      </c>
      <c r="B338" s="5" t="str">
        <f ca="1">IFERROR(__xludf.DUMMYFUNCTION("""COMPUTED_VALUE"""),"Wounded")</f>
        <v>Wounded</v>
      </c>
      <c r="C338" s="5" t="str">
        <f ca="1">IFERROR(__xludf.DUMMYFUNCTION("""COMPUTED_VALUE"""),"Male")</f>
        <v>Male</v>
      </c>
      <c r="D338" s="5" t="str">
        <f ca="1">IFERROR(__xludf.DUMMYFUNCTION("""COMPUTED_VALUE"""),"Student")</f>
        <v>Student</v>
      </c>
      <c r="E338" s="5" t="str">
        <f ca="1">IFERROR(__xludf.DUMMYFUNCTION("""COMPUTED_VALUE"""),"Teen")</f>
        <v>Teen</v>
      </c>
      <c r="F338" s="5"/>
    </row>
    <row r="339" spans="1:6">
      <c r="A339" s="5" t="str">
        <f ca="1">IFERROR(__xludf.DUMMYFUNCTION("""COMPUTED_VALUE"""),"20210902CASAL")</f>
        <v>20210902CASAL</v>
      </c>
      <c r="B339" s="5" t="str">
        <f ca="1">IFERROR(__xludf.DUMMYFUNCTION("""COMPUTED_VALUE"""),"Wounded")</f>
        <v>Wounded</v>
      </c>
      <c r="C339" s="5" t="str">
        <f ca="1">IFERROR(__xludf.DUMMYFUNCTION("""COMPUTED_VALUE"""),"Male")</f>
        <v>Male</v>
      </c>
      <c r="D339" s="5" t="str">
        <f ca="1">IFERROR(__xludf.DUMMYFUNCTION("""COMPUTED_VALUE"""),"Student")</f>
        <v>Student</v>
      </c>
      <c r="E339" s="5" t="str">
        <f ca="1">IFERROR(__xludf.DUMMYFUNCTION("""COMPUTED_VALUE"""),"Teen")</f>
        <v>Teen</v>
      </c>
      <c r="F339" s="5"/>
    </row>
    <row r="340" spans="1:6">
      <c r="A340" s="5" t="str">
        <f ca="1">IFERROR(__xludf.DUMMYFUNCTION("""COMPUTED_VALUE"""),"20210902CASAL")</f>
        <v>20210902CASAL</v>
      </c>
      <c r="B340" s="5" t="str">
        <f ca="1">IFERROR(__xludf.DUMMYFUNCTION("""COMPUTED_VALUE"""),"Wounded")</f>
        <v>Wounded</v>
      </c>
      <c r="C340" s="5" t="str">
        <f ca="1">IFERROR(__xludf.DUMMYFUNCTION("""COMPUTED_VALUE"""),"Male")</f>
        <v>Male</v>
      </c>
      <c r="D340" s="5" t="str">
        <f ca="1">IFERROR(__xludf.DUMMYFUNCTION("""COMPUTED_VALUE"""),"Student")</f>
        <v>Student</v>
      </c>
      <c r="E340" s="5">
        <f ca="1">IFERROR(__xludf.DUMMYFUNCTION("""COMPUTED_VALUE"""),17)</f>
        <v>17</v>
      </c>
      <c r="F340" s="5"/>
    </row>
    <row r="341" spans="1:6">
      <c r="A341" s="5" t="str">
        <f ca="1">IFERROR(__xludf.DUMMYFUNCTION("""COMPUTED_VALUE"""),"20210902CASAL")</f>
        <v>20210902CASAL</v>
      </c>
      <c r="B341" s="5" t="str">
        <f ca="1">IFERROR(__xludf.DUMMYFUNCTION("""COMPUTED_VALUE"""),"Wounded")</f>
        <v>Wounded</v>
      </c>
      <c r="C341" s="5" t="str">
        <f ca="1">IFERROR(__xludf.DUMMYFUNCTION("""COMPUTED_VALUE"""),"Male")</f>
        <v>Male</v>
      </c>
      <c r="D341" s="5" t="str">
        <f ca="1">IFERROR(__xludf.DUMMYFUNCTION("""COMPUTED_VALUE"""),"Student")</f>
        <v>Student</v>
      </c>
      <c r="E341" s="5" t="str">
        <f ca="1">IFERROR(__xludf.DUMMYFUNCTION("""COMPUTED_VALUE"""),"Teen")</f>
        <v>Teen</v>
      </c>
      <c r="F341" s="5"/>
    </row>
    <row r="342" spans="1:6">
      <c r="A342" s="5" t="str">
        <f ca="1">IFERROR(__xludf.DUMMYFUNCTION("""COMPUTED_VALUE"""),"20210901NCMTW")</f>
        <v>20210901NCMTW</v>
      </c>
      <c r="B342" s="5" t="str">
        <f ca="1">IFERROR(__xludf.DUMMYFUNCTION("""COMPUTED_VALUE"""),"Fatal")</f>
        <v>Fatal</v>
      </c>
      <c r="C342" s="5" t="str">
        <f ca="1">IFERROR(__xludf.DUMMYFUNCTION("""COMPUTED_VALUE"""),"Male")</f>
        <v>Male</v>
      </c>
      <c r="D342" s="5" t="str">
        <f ca="1">IFERROR(__xludf.DUMMYFUNCTION("""COMPUTED_VALUE"""),"Student")</f>
        <v>Student</v>
      </c>
      <c r="E342" s="5">
        <f ca="1">IFERROR(__xludf.DUMMYFUNCTION("""COMPUTED_VALUE"""),15)</f>
        <v>15</v>
      </c>
      <c r="F342" s="5" t="str">
        <f ca="1">IFERROR(__xludf.DUMMYFUNCTION("""COMPUTED_VALUE"""),"Black")</f>
        <v>Black</v>
      </c>
    </row>
    <row r="343" spans="1:6">
      <c r="A343" s="5" t="str">
        <f ca="1">IFERROR(__xludf.DUMMYFUNCTION("""COMPUTED_VALUE"""),"20210901ILFRC")</f>
        <v>20210901ILFRC</v>
      </c>
      <c r="B343" s="5" t="str">
        <f ca="1">IFERROR(__xludf.DUMMYFUNCTION("""COMPUTED_VALUE"""),"Fatal")</f>
        <v>Fatal</v>
      </c>
      <c r="C343" s="5" t="str">
        <f ca="1">IFERROR(__xludf.DUMMYFUNCTION("""COMPUTED_VALUE"""),"Male")</f>
        <v>Male</v>
      </c>
      <c r="D343" s="5" t="str">
        <f ca="1">IFERROR(__xludf.DUMMYFUNCTION("""COMPUTED_VALUE"""),"No Relation")</f>
        <v>No Relation</v>
      </c>
      <c r="E343" s="5">
        <f ca="1">IFERROR(__xludf.DUMMYFUNCTION("""COMPUTED_VALUE"""),41)</f>
        <v>41</v>
      </c>
      <c r="F343" s="5"/>
    </row>
    <row r="344" spans="1:6">
      <c r="A344" s="5" t="str">
        <f ca="1">IFERROR(__xludf.DUMMYFUNCTION("""COMPUTED_VALUE"""),"20210830NJWEN")</f>
        <v>20210830NJWEN</v>
      </c>
      <c r="B344" s="5" t="str">
        <f ca="1">IFERROR(__xludf.DUMMYFUNCTION("""COMPUTED_VALUE"""),"Fatal")</f>
        <v>Fatal</v>
      </c>
      <c r="C344" s="5" t="str">
        <f ca="1">IFERROR(__xludf.DUMMYFUNCTION("""COMPUTED_VALUE"""),"Male")</f>
        <v>Male</v>
      </c>
      <c r="D344" s="5" t="str">
        <f ca="1">IFERROR(__xludf.DUMMYFUNCTION("""COMPUTED_VALUE"""),"Student")</f>
        <v>Student</v>
      </c>
      <c r="E344" s="5" t="str">
        <f ca="1">IFERROR(__xludf.DUMMYFUNCTION("""COMPUTED_VALUE"""),"Teen")</f>
        <v>Teen</v>
      </c>
      <c r="F344" s="5"/>
    </row>
    <row r="345" spans="1:6">
      <c r="A345" s="5" t="str">
        <f ca="1">IFERROR(__xludf.DUMMYFUNCTION("""COMPUTED_VALUE"""),"20210830NCNEW")</f>
        <v>20210830NCNEW</v>
      </c>
      <c r="B345" s="5" t="str">
        <f ca="1">IFERROR(__xludf.DUMMYFUNCTION("""COMPUTED_VALUE"""),"Wounded")</f>
        <v>Wounded</v>
      </c>
      <c r="C345" s="5" t="str">
        <f ca="1">IFERROR(__xludf.DUMMYFUNCTION("""COMPUTED_VALUE"""),"Male")</f>
        <v>Male</v>
      </c>
      <c r="D345" s="5" t="str">
        <f ca="1">IFERROR(__xludf.DUMMYFUNCTION("""COMPUTED_VALUE"""),"Student")</f>
        <v>Student</v>
      </c>
      <c r="E345" s="5" t="str">
        <f ca="1">IFERROR(__xludf.DUMMYFUNCTION("""COMPUTED_VALUE"""),"Teen")</f>
        <v>Teen</v>
      </c>
      <c r="F345" s="5"/>
    </row>
    <row r="346" spans="1:6">
      <c r="A346" s="5" t="str">
        <f ca="1">IFERROR(__xludf.DUMMYFUNCTION("""COMPUTED_VALUE"""),"20210830FLOKW")</f>
        <v>20210830FLOKW</v>
      </c>
      <c r="B346" s="5" t="str">
        <f ca="1">IFERROR(__xludf.DUMMYFUNCTION("""COMPUTED_VALUE"""),"Minor Injuries")</f>
        <v>Minor Injuries</v>
      </c>
      <c r="C346" s="5" t="str">
        <f ca="1">IFERROR(__xludf.DUMMYFUNCTION("""COMPUTED_VALUE"""),"Female")</f>
        <v>Female</v>
      </c>
      <c r="D346" s="5" t="str">
        <f ca="1">IFERROR(__xludf.DUMMYFUNCTION("""COMPUTED_VALUE"""),"Student")</f>
        <v>Student</v>
      </c>
      <c r="E346" s="5" t="str">
        <f ca="1">IFERROR(__xludf.DUMMYFUNCTION("""COMPUTED_VALUE"""),"Teen")</f>
        <v>Teen</v>
      </c>
      <c r="F346" s="5"/>
    </row>
    <row r="347" spans="1:6">
      <c r="A347" s="5" t="str">
        <f ca="1">IFERROR(__xludf.DUMMYFUNCTION("""COMPUTED_VALUE"""),"20210827VAFRW")</f>
        <v>20210827VAFRW</v>
      </c>
      <c r="B347" s="5" t="str">
        <f ca="1">IFERROR(__xludf.DUMMYFUNCTION("""COMPUTED_VALUE"""),"Wounded")</f>
        <v>Wounded</v>
      </c>
      <c r="C347" s="5" t="str">
        <f ca="1">IFERROR(__xludf.DUMMYFUNCTION("""COMPUTED_VALUE"""),"Male")</f>
        <v>Male</v>
      </c>
      <c r="D347" s="5" t="str">
        <f ca="1">IFERROR(__xludf.DUMMYFUNCTION("""COMPUTED_VALUE"""),"Student")</f>
        <v>Student</v>
      </c>
      <c r="E347" s="5">
        <f ca="1">IFERROR(__xludf.DUMMYFUNCTION("""COMPUTED_VALUE"""),15)</f>
        <v>15</v>
      </c>
      <c r="F347" s="5"/>
    </row>
    <row r="348" spans="1:6">
      <c r="A348" s="5" t="str">
        <f ca="1">IFERROR(__xludf.DUMMYFUNCTION("""COMPUTED_VALUE"""),"20210827VAFRW")</f>
        <v>20210827VAFRW</v>
      </c>
      <c r="B348" s="5" t="str">
        <f ca="1">IFERROR(__xludf.DUMMYFUNCTION("""COMPUTED_VALUE"""),"Wounded")</f>
        <v>Wounded</v>
      </c>
      <c r="C348" s="5" t="str">
        <f ca="1">IFERROR(__xludf.DUMMYFUNCTION("""COMPUTED_VALUE"""),"Female")</f>
        <v>Female</v>
      </c>
      <c r="D348" s="5" t="str">
        <f ca="1">IFERROR(__xludf.DUMMYFUNCTION("""COMPUTED_VALUE"""),"Student")</f>
        <v>Student</v>
      </c>
      <c r="E348" s="5">
        <f ca="1">IFERROR(__xludf.DUMMYFUNCTION("""COMPUTED_VALUE"""),14)</f>
        <v>14</v>
      </c>
      <c r="F348" s="5"/>
    </row>
    <row r="349" spans="1:6">
      <c r="A349" s="5" t="str">
        <f ca="1">IFERROR(__xludf.DUMMYFUNCTION("""COMPUTED_VALUE"""),"20210827PAACS")</f>
        <v>20210827PAACS</v>
      </c>
      <c r="B349" s="5" t="str">
        <f ca="1">IFERROR(__xludf.DUMMYFUNCTION("""COMPUTED_VALUE"""),"Wounded")</f>
        <v>Wounded</v>
      </c>
      <c r="C349" s="5"/>
      <c r="D349" s="5" t="str">
        <f ca="1">IFERROR(__xludf.DUMMYFUNCTION("""COMPUTED_VALUE"""),"Nonstudent Using Athletic Facilities/Attending Game")</f>
        <v>Nonstudent Using Athletic Facilities/Attending Game</v>
      </c>
      <c r="E349" s="5" t="str">
        <f ca="1">IFERROR(__xludf.DUMMYFUNCTION("""COMPUTED_VALUE"""),"Adult")</f>
        <v>Adult</v>
      </c>
      <c r="F349" s="5"/>
    </row>
    <row r="350" spans="1:6">
      <c r="A350" s="5" t="str">
        <f ca="1">IFERROR(__xludf.DUMMYFUNCTION("""COMPUTED_VALUE"""),"20210827PAACS")</f>
        <v>20210827PAACS</v>
      </c>
      <c r="B350" s="5" t="str">
        <f ca="1">IFERROR(__xludf.DUMMYFUNCTION("""COMPUTED_VALUE"""),"Fatal")</f>
        <v>Fatal</v>
      </c>
      <c r="C350" s="5" t="str">
        <f ca="1">IFERROR(__xludf.DUMMYFUNCTION("""COMPUTED_VALUE"""),"Female")</f>
        <v>Female</v>
      </c>
      <c r="D350" s="5" t="str">
        <f ca="1">IFERROR(__xludf.DUMMYFUNCTION("""COMPUTED_VALUE"""),"Nonstudent Using Athletic Facilities/Attending Game")</f>
        <v>Nonstudent Using Athletic Facilities/Attending Game</v>
      </c>
      <c r="E350" s="5">
        <f ca="1">IFERROR(__xludf.DUMMYFUNCTION("""COMPUTED_VALUE"""),8)</f>
        <v>8</v>
      </c>
      <c r="F350" s="5" t="str">
        <f ca="1">IFERROR(__xludf.DUMMYFUNCTION("""COMPUTED_VALUE"""),"Black")</f>
        <v>Black</v>
      </c>
    </row>
    <row r="351" spans="1:6">
      <c r="A351" s="5" t="str">
        <f ca="1">IFERROR(__xludf.DUMMYFUNCTION("""COMPUTED_VALUE"""),"20210827PAACS")</f>
        <v>20210827PAACS</v>
      </c>
      <c r="B351" s="5" t="str">
        <f ca="1">IFERROR(__xludf.DUMMYFUNCTION("""COMPUTED_VALUE"""),"Wounded")</f>
        <v>Wounded</v>
      </c>
      <c r="C351" s="5"/>
      <c r="D351" s="5" t="str">
        <f ca="1">IFERROR(__xludf.DUMMYFUNCTION("""COMPUTED_VALUE"""),"Student")</f>
        <v>Student</v>
      </c>
      <c r="E351" s="5" t="str">
        <f ca="1">IFERROR(__xludf.DUMMYFUNCTION("""COMPUTED_VALUE"""),"Teen")</f>
        <v>Teen</v>
      </c>
      <c r="F351" s="5"/>
    </row>
    <row r="352" spans="1:6">
      <c r="A352" s="5" t="str">
        <f ca="1">IFERROR(__xludf.DUMMYFUNCTION("""COMPUTED_VALUE"""),"20210827PAACS")</f>
        <v>20210827PAACS</v>
      </c>
      <c r="B352" s="5" t="str">
        <f ca="1">IFERROR(__xludf.DUMMYFUNCTION("""COMPUTED_VALUE"""),"Wounded")</f>
        <v>Wounded</v>
      </c>
      <c r="C352" s="5"/>
      <c r="D352" s="5" t="str">
        <f ca="1">IFERROR(__xludf.DUMMYFUNCTION("""COMPUTED_VALUE"""),"Student")</f>
        <v>Student</v>
      </c>
      <c r="E352" s="5" t="str">
        <f ca="1">IFERROR(__xludf.DUMMYFUNCTION("""COMPUTED_VALUE"""),"Teen")</f>
        <v>Teen</v>
      </c>
      <c r="F352" s="5"/>
    </row>
    <row r="353" spans="1:6">
      <c r="A353" s="5" t="str">
        <f ca="1">IFERROR(__xludf.DUMMYFUNCTION("""COMPUTED_VALUE"""),"20210827PAACS")</f>
        <v>20210827PAACS</v>
      </c>
      <c r="B353" s="5" t="str">
        <f ca="1">IFERROR(__xludf.DUMMYFUNCTION("""COMPUTED_VALUE"""),"Wounded")</f>
        <v>Wounded</v>
      </c>
      <c r="C353" s="5"/>
      <c r="D353" s="5" t="str">
        <f ca="1">IFERROR(__xludf.DUMMYFUNCTION("""COMPUTED_VALUE"""),"Nonstudent Using Athletic Facilities/Attending Game")</f>
        <v>Nonstudent Using Athletic Facilities/Attending Game</v>
      </c>
      <c r="E353" s="5" t="str">
        <f ca="1">IFERROR(__xludf.DUMMYFUNCTION("""COMPUTED_VALUE"""),"Adult")</f>
        <v>Adult</v>
      </c>
      <c r="F353" s="5"/>
    </row>
    <row r="354" spans="1:6">
      <c r="A354" s="5" t="str">
        <f ca="1">IFERROR(__xludf.DUMMYFUNCTION("""COMPUTED_VALUE"""),"20210827KYAPO")</f>
        <v>20210827KYAPO</v>
      </c>
      <c r="B354" s="5" t="str">
        <f ca="1">IFERROR(__xludf.DUMMYFUNCTION("""COMPUTED_VALUE"""),"Wounded")</f>
        <v>Wounded</v>
      </c>
      <c r="C354" s="5" t="str">
        <f ca="1">IFERROR(__xludf.DUMMYFUNCTION("""COMPUTED_VALUE"""),"Male")</f>
        <v>Male</v>
      </c>
      <c r="D354" s="5" t="str">
        <f ca="1">IFERROR(__xludf.DUMMYFUNCTION("""COMPUTED_VALUE"""),"Nonstudent Using Athletic Facilities/Attending Game")</f>
        <v>Nonstudent Using Athletic Facilities/Attending Game</v>
      </c>
      <c r="E354" s="5" t="str">
        <f ca="1">IFERROR(__xludf.DUMMYFUNCTION("""COMPUTED_VALUE"""),"Adult")</f>
        <v>Adult</v>
      </c>
      <c r="F354" s="5"/>
    </row>
    <row r="355" spans="1:6">
      <c r="A355" s="5" t="str">
        <f ca="1">IFERROR(__xludf.DUMMYFUNCTION("""COMPUTED_VALUE"""),"20210827INHAH")</f>
        <v>20210827INHAH</v>
      </c>
      <c r="B355" s="5" t="str">
        <f ca="1">IFERROR(__xludf.DUMMYFUNCTION("""COMPUTED_VALUE"""),"Wounded")</f>
        <v>Wounded</v>
      </c>
      <c r="C355" s="5"/>
      <c r="D355" s="5" t="str">
        <f ca="1">IFERROR(__xludf.DUMMYFUNCTION("""COMPUTED_VALUE"""),"Student")</f>
        <v>Student</v>
      </c>
      <c r="E355" s="5" t="str">
        <f ca="1">IFERROR(__xludf.DUMMYFUNCTION("""COMPUTED_VALUE"""),"Teen")</f>
        <v>Teen</v>
      </c>
      <c r="F355" s="5"/>
    </row>
    <row r="356" spans="1:6">
      <c r="A356" s="5" t="str">
        <f ca="1">IFERROR(__xludf.DUMMYFUNCTION("""COMPUTED_VALUE"""),"20210827INHAH")</f>
        <v>20210827INHAH</v>
      </c>
      <c r="B356" s="5" t="str">
        <f ca="1">IFERROR(__xludf.DUMMYFUNCTION("""COMPUTED_VALUE"""),"Wounded")</f>
        <v>Wounded</v>
      </c>
      <c r="C356" s="5"/>
      <c r="D356" s="5" t="str">
        <f ca="1">IFERROR(__xludf.DUMMYFUNCTION("""COMPUTED_VALUE"""),"Student")</f>
        <v>Student</v>
      </c>
      <c r="E356" s="5" t="str">
        <f ca="1">IFERROR(__xludf.DUMMYFUNCTION("""COMPUTED_VALUE"""),"Teen")</f>
        <v>Teen</v>
      </c>
      <c r="F356" s="5"/>
    </row>
    <row r="357" spans="1:6">
      <c r="A357" s="5" t="str">
        <f ca="1">IFERROR(__xludf.DUMMYFUNCTION("""COMPUTED_VALUE"""),"20210822ILWER")</f>
        <v>20210822ILWER</v>
      </c>
      <c r="B357" s="5" t="str">
        <f ca="1">IFERROR(__xludf.DUMMYFUNCTION("""COMPUTED_VALUE"""),"Wounded")</f>
        <v>Wounded</v>
      </c>
      <c r="C357" s="5" t="str">
        <f ca="1">IFERROR(__xludf.DUMMYFUNCTION("""COMPUTED_VALUE"""),"Male")</f>
        <v>Male</v>
      </c>
      <c r="D357" s="5" t="str">
        <f ca="1">IFERROR(__xludf.DUMMYFUNCTION("""COMPUTED_VALUE"""),"Student")</f>
        <v>Student</v>
      </c>
      <c r="E357" s="5">
        <f ca="1">IFERROR(__xludf.DUMMYFUNCTION("""COMPUTED_VALUE"""),13)</f>
        <v>13</v>
      </c>
      <c r="F357" s="5"/>
    </row>
    <row r="358" spans="1:6">
      <c r="A358" s="5" t="str">
        <f ca="1">IFERROR(__xludf.DUMMYFUNCTION("""COMPUTED_VALUE"""),"20210820NEMIO")</f>
        <v>20210820NEMIO</v>
      </c>
      <c r="B358" s="5" t="str">
        <f ca="1">IFERROR(__xludf.DUMMYFUNCTION("""COMPUTED_VALUE"""),"Wounded")</f>
        <v>Wounded</v>
      </c>
      <c r="C358" s="5" t="str">
        <f ca="1">IFERROR(__xludf.DUMMYFUNCTION("""COMPUTED_VALUE"""),"Male")</f>
        <v>Male</v>
      </c>
      <c r="D358" s="5" t="str">
        <f ca="1">IFERROR(__xludf.DUMMYFUNCTION("""COMPUTED_VALUE"""),"No Relation")</f>
        <v>No Relation</v>
      </c>
      <c r="E358" s="5">
        <f ca="1">IFERROR(__xludf.DUMMYFUNCTION("""COMPUTED_VALUE"""),24)</f>
        <v>24</v>
      </c>
      <c r="F358" s="5" t="str">
        <f ca="1">IFERROR(__xludf.DUMMYFUNCTION("""COMPUTED_VALUE"""),"Black")</f>
        <v>Black</v>
      </c>
    </row>
    <row r="359" spans="1:6">
      <c r="A359" s="5" t="str">
        <f ca="1">IFERROR(__xludf.DUMMYFUNCTION("""COMPUTED_VALUE"""),"20210820NEMIO")</f>
        <v>20210820NEMIO</v>
      </c>
      <c r="B359" s="5" t="str">
        <f ca="1">IFERROR(__xludf.DUMMYFUNCTION("""COMPUTED_VALUE"""),"Wounded")</f>
        <v>Wounded</v>
      </c>
      <c r="C359" s="5" t="str">
        <f ca="1">IFERROR(__xludf.DUMMYFUNCTION("""COMPUTED_VALUE"""),"Female")</f>
        <v>Female</v>
      </c>
      <c r="D359" s="5" t="str">
        <f ca="1">IFERROR(__xludf.DUMMYFUNCTION("""COMPUTED_VALUE"""),"No Relation")</f>
        <v>No Relation</v>
      </c>
      <c r="E359" s="5">
        <f ca="1">IFERROR(__xludf.DUMMYFUNCTION("""COMPUTED_VALUE"""),29)</f>
        <v>29</v>
      </c>
      <c r="F359" s="5" t="str">
        <f ca="1">IFERROR(__xludf.DUMMYFUNCTION("""COMPUTED_VALUE"""),"Black")</f>
        <v>Black</v>
      </c>
    </row>
    <row r="360" spans="1:6">
      <c r="A360" s="5" t="str">
        <f ca="1">IFERROR(__xludf.DUMMYFUNCTION("""COMPUTED_VALUE"""),"20210820CACEF")</f>
        <v>20210820CACEF</v>
      </c>
      <c r="B360" s="5" t="str">
        <f ca="1">IFERROR(__xludf.DUMMYFUNCTION("""COMPUTED_VALUE"""),"Wounded")</f>
        <v>Wounded</v>
      </c>
      <c r="C360" s="5" t="str">
        <f ca="1">IFERROR(__xludf.DUMMYFUNCTION("""COMPUTED_VALUE"""),"Male")</f>
        <v>Male</v>
      </c>
      <c r="D360" s="5" t="str">
        <f ca="1">IFERROR(__xludf.DUMMYFUNCTION("""COMPUTED_VALUE"""),"Nonstudent Using Athletic Facilities/Attending Game")</f>
        <v>Nonstudent Using Athletic Facilities/Attending Game</v>
      </c>
      <c r="E360" s="5">
        <f ca="1">IFERROR(__xludf.DUMMYFUNCTION("""COMPUTED_VALUE"""),19)</f>
        <v>19</v>
      </c>
      <c r="F360" s="5" t="str">
        <f ca="1">IFERROR(__xludf.DUMMYFUNCTION("""COMPUTED_VALUE"""),"Black")</f>
        <v>Black</v>
      </c>
    </row>
    <row r="361" spans="1:6">
      <c r="A361" s="5" t="str">
        <f ca="1">IFERROR(__xludf.DUMMYFUNCTION("""COMPUTED_VALUE"""),"20210818SCORO")</f>
        <v>20210818SCORO</v>
      </c>
      <c r="B361" s="5" t="str">
        <f ca="1">IFERROR(__xludf.DUMMYFUNCTION("""COMPUTED_VALUE"""),"Wounded")</f>
        <v>Wounded</v>
      </c>
      <c r="C361" s="5"/>
      <c r="D361" s="5" t="str">
        <f ca="1">IFERROR(__xludf.DUMMYFUNCTION("""COMPUTED_VALUE"""),"Student")</f>
        <v>Student</v>
      </c>
      <c r="E361" s="5" t="str">
        <f ca="1">IFERROR(__xludf.DUMMYFUNCTION("""COMPUTED_VALUE"""),"Teen")</f>
        <v>Teen</v>
      </c>
      <c r="F361" s="5"/>
    </row>
    <row r="362" spans="1:6">
      <c r="A362" s="5" t="str">
        <f ca="1">IFERROR(__xludf.DUMMYFUNCTION("""COMPUTED_VALUE"""),"20210818SCORO")</f>
        <v>20210818SCORO</v>
      </c>
      <c r="B362" s="5" t="str">
        <f ca="1">IFERROR(__xludf.DUMMYFUNCTION("""COMPUTED_VALUE"""),"Wounded")</f>
        <v>Wounded</v>
      </c>
      <c r="C362" s="5"/>
      <c r="D362" s="5" t="str">
        <f ca="1">IFERROR(__xludf.DUMMYFUNCTION("""COMPUTED_VALUE"""),"Student")</f>
        <v>Student</v>
      </c>
      <c r="E362" s="5" t="str">
        <f ca="1">IFERROR(__xludf.DUMMYFUNCTION("""COMPUTED_VALUE"""),"Teen")</f>
        <v>Teen</v>
      </c>
      <c r="F362" s="5"/>
    </row>
    <row r="363" spans="1:6">
      <c r="A363" s="5" t="str">
        <f ca="1">IFERROR(__xludf.DUMMYFUNCTION("""COMPUTED_VALUE"""),"20210818SCORO")</f>
        <v>20210818SCORO</v>
      </c>
      <c r="B363" s="5" t="str">
        <f ca="1">IFERROR(__xludf.DUMMYFUNCTION("""COMPUTED_VALUE"""),"Wounded")</f>
        <v>Wounded</v>
      </c>
      <c r="C363" s="5"/>
      <c r="D363" s="5" t="str">
        <f ca="1">IFERROR(__xludf.DUMMYFUNCTION("""COMPUTED_VALUE"""),"Student")</f>
        <v>Student</v>
      </c>
      <c r="E363" s="5" t="str">
        <f ca="1">IFERROR(__xludf.DUMMYFUNCTION("""COMPUTED_VALUE"""),"Teen")</f>
        <v>Teen</v>
      </c>
      <c r="F363" s="5"/>
    </row>
    <row r="364" spans="1:6">
      <c r="A364" s="5" t="str">
        <f ca="1">IFERROR(__xludf.DUMMYFUNCTION("""COMPUTED_VALUE"""),"20210817COYED")</f>
        <v>20210817COYED</v>
      </c>
      <c r="B364" s="5" t="str">
        <f ca="1">IFERROR(__xludf.DUMMYFUNCTION("""COMPUTED_VALUE"""),"Fatal")</f>
        <v>Fatal</v>
      </c>
      <c r="C364" s="5" t="str">
        <f ca="1">IFERROR(__xludf.DUMMYFUNCTION("""COMPUTED_VALUE"""),"Male")</f>
        <v>Male</v>
      </c>
      <c r="D364" s="5" t="str">
        <f ca="1">IFERROR(__xludf.DUMMYFUNCTION("""COMPUTED_VALUE"""),"Student")</f>
        <v>Student</v>
      </c>
      <c r="E364" s="5">
        <f ca="1">IFERROR(__xludf.DUMMYFUNCTION("""COMPUTED_VALUE"""),18)</f>
        <v>18</v>
      </c>
      <c r="F364" s="5"/>
    </row>
    <row r="365" spans="1:6">
      <c r="A365" s="5" t="str">
        <f ca="1">IFERROR(__xludf.DUMMYFUNCTION("""COMPUTED_VALUE"""),"20210814ILMAC")</f>
        <v>20210814ILMAC</v>
      </c>
      <c r="B365" s="5" t="str">
        <f ca="1">IFERROR(__xludf.DUMMYFUNCTION("""COMPUTED_VALUE"""),"Wounded")</f>
        <v>Wounded</v>
      </c>
      <c r="C365" s="5" t="str">
        <f ca="1">IFERROR(__xludf.DUMMYFUNCTION("""COMPUTED_VALUE"""),"Male")</f>
        <v>Male</v>
      </c>
      <c r="D365" s="5" t="str">
        <f ca="1">IFERROR(__xludf.DUMMYFUNCTION("""COMPUTED_VALUE"""),"No Relation")</f>
        <v>No Relation</v>
      </c>
      <c r="E365" s="5">
        <f ca="1">IFERROR(__xludf.DUMMYFUNCTION("""COMPUTED_VALUE"""),15)</f>
        <v>15</v>
      </c>
      <c r="F365" s="5"/>
    </row>
    <row r="366" spans="1:6">
      <c r="A366" s="5" t="str">
        <f ca="1">IFERROR(__xludf.DUMMYFUNCTION("""COMPUTED_VALUE"""),"20210813NMWAA")</f>
        <v>20210813NMWAA</v>
      </c>
      <c r="B366" s="5" t="str">
        <f ca="1">IFERROR(__xludf.DUMMYFUNCTION("""COMPUTED_VALUE"""),"Fatal")</f>
        <v>Fatal</v>
      </c>
      <c r="C366" s="5" t="str">
        <f ca="1">IFERROR(__xludf.DUMMYFUNCTION("""COMPUTED_VALUE"""),"Male")</f>
        <v>Male</v>
      </c>
      <c r="D366" s="5" t="str">
        <f ca="1">IFERROR(__xludf.DUMMYFUNCTION("""COMPUTED_VALUE"""),"Student")</f>
        <v>Student</v>
      </c>
      <c r="E366" s="5">
        <f ca="1">IFERROR(__xludf.DUMMYFUNCTION("""COMPUTED_VALUE"""),13)</f>
        <v>13</v>
      </c>
      <c r="F366" s="5"/>
    </row>
    <row r="367" spans="1:6">
      <c r="A367" s="5" t="str">
        <f ca="1">IFERROR(__xludf.DUMMYFUNCTION("""COMPUTED_VALUE"""),"20210812GALIL")</f>
        <v>20210812GALIL</v>
      </c>
      <c r="B367" s="5" t="str">
        <f ca="1">IFERROR(__xludf.DUMMYFUNCTION("""COMPUTED_VALUE"""),"Wounded")</f>
        <v>Wounded</v>
      </c>
      <c r="C367" s="5" t="str">
        <f ca="1">IFERROR(__xludf.DUMMYFUNCTION("""COMPUTED_VALUE"""),"Male")</f>
        <v>Male</v>
      </c>
      <c r="D367" s="5"/>
      <c r="E367" s="5" t="str">
        <f ca="1">IFERROR(__xludf.DUMMYFUNCTION("""COMPUTED_VALUE"""),"Adult")</f>
        <v>Adult</v>
      </c>
      <c r="F367" s="5"/>
    </row>
    <row r="368" spans="1:6">
      <c r="A368" s="5" t="str">
        <f ca="1">IFERROR(__xludf.DUMMYFUNCTION("""COMPUTED_VALUE"""),"20210811COMAC")</f>
        <v>20210811COMAC</v>
      </c>
      <c r="B368" s="5" t="str">
        <f ca="1">IFERROR(__xludf.DUMMYFUNCTION("""COMPUTED_VALUE"""),"Wounded")</f>
        <v>Wounded</v>
      </c>
      <c r="C368" s="5" t="str">
        <f ca="1">IFERROR(__xludf.DUMMYFUNCTION("""COMPUTED_VALUE"""),"Male")</f>
        <v>Male</v>
      </c>
      <c r="D368" s="5" t="str">
        <f ca="1">IFERROR(__xludf.DUMMYFUNCTION("""COMPUTED_VALUE"""),"No Relation")</f>
        <v>No Relation</v>
      </c>
      <c r="E368" s="5" t="str">
        <f ca="1">IFERROR(__xludf.DUMMYFUNCTION("""COMPUTED_VALUE"""),"Adult")</f>
        <v>Adult</v>
      </c>
      <c r="F368" s="5"/>
    </row>
    <row r="369" spans="1:6">
      <c r="A369" s="5" t="str">
        <f ca="1">IFERROR(__xludf.DUMMYFUNCTION("""COMPUTED_VALUE"""),"20210810OHEAC")</f>
        <v>20210810OHEAC</v>
      </c>
      <c r="B369" s="5" t="str">
        <f ca="1">IFERROR(__xludf.DUMMYFUNCTION("""COMPUTED_VALUE"""),"Wounded")</f>
        <v>Wounded</v>
      </c>
      <c r="C369" s="5" t="str">
        <f ca="1">IFERROR(__xludf.DUMMYFUNCTION("""COMPUTED_VALUE"""),"Male")</f>
        <v>Male</v>
      </c>
      <c r="D369" s="5" t="str">
        <f ca="1">IFERROR(__xludf.DUMMYFUNCTION("""COMPUTED_VALUE"""),"Former Student")</f>
        <v>Former Student</v>
      </c>
      <c r="E369" s="5">
        <f ca="1">IFERROR(__xludf.DUMMYFUNCTION("""COMPUTED_VALUE"""),15)</f>
        <v>15</v>
      </c>
      <c r="F369" s="5"/>
    </row>
    <row r="370" spans="1:6">
      <c r="A370" s="5" t="str">
        <f ca="1">IFERROR(__xludf.DUMMYFUNCTION("""COMPUTED_VALUE"""),"20210807ORGIP")</f>
        <v>20210807ORGIP</v>
      </c>
      <c r="B370" s="5" t="str">
        <f ca="1">IFERROR(__xludf.DUMMYFUNCTION("""COMPUTED_VALUE"""),"Fatal")</f>
        <v>Fatal</v>
      </c>
      <c r="C370" s="5" t="str">
        <f ca="1">IFERROR(__xludf.DUMMYFUNCTION("""COMPUTED_VALUE"""),"Male")</f>
        <v>Male</v>
      </c>
      <c r="D370" s="5" t="str">
        <f ca="1">IFERROR(__xludf.DUMMYFUNCTION("""COMPUTED_VALUE"""),"No Relation")</f>
        <v>No Relation</v>
      </c>
      <c r="E370" s="5" t="str">
        <f ca="1">IFERROR(__xludf.DUMMYFUNCTION("""COMPUTED_VALUE"""),"Adult")</f>
        <v>Adult</v>
      </c>
      <c r="F370" s="5"/>
    </row>
    <row r="371" spans="1:6">
      <c r="A371" s="5" t="str">
        <f ca="1">IFERROR(__xludf.DUMMYFUNCTION("""COMPUTED_VALUE"""),"20210806LASTH")</f>
        <v>20210806LASTH</v>
      </c>
      <c r="B371" s="5" t="str">
        <f ca="1">IFERROR(__xludf.DUMMYFUNCTION("""COMPUTED_VALUE"""),"Wounded")</f>
        <v>Wounded</v>
      </c>
      <c r="C371" s="5" t="str">
        <f ca="1">IFERROR(__xludf.DUMMYFUNCTION("""COMPUTED_VALUE"""),"Female")</f>
        <v>Female</v>
      </c>
      <c r="D371" s="5" t="str">
        <f ca="1">IFERROR(__xludf.DUMMYFUNCTION("""COMPUTED_VALUE"""),"Parent")</f>
        <v>Parent</v>
      </c>
      <c r="E371" s="5">
        <f ca="1">IFERROR(__xludf.DUMMYFUNCTION("""COMPUTED_VALUE"""),60)</f>
        <v>60</v>
      </c>
      <c r="F371" s="5"/>
    </row>
    <row r="372" spans="1:6">
      <c r="A372" s="5" t="str">
        <f ca="1">IFERROR(__xludf.DUMMYFUNCTION("""COMPUTED_VALUE"""),"20210804ALBUM")</f>
        <v>20210804ALBUM</v>
      </c>
      <c r="B372" s="5" t="str">
        <f ca="1">IFERROR(__xludf.DUMMYFUNCTION("""COMPUTED_VALUE"""),"Wounded")</f>
        <v>Wounded</v>
      </c>
      <c r="C372" s="5" t="str">
        <f ca="1">IFERROR(__xludf.DUMMYFUNCTION("""COMPUTED_VALUE"""),"Male")</f>
        <v>Male</v>
      </c>
      <c r="D372" s="5"/>
      <c r="E372" s="5" t="str">
        <f ca="1">IFERROR(__xludf.DUMMYFUNCTION("""COMPUTED_VALUE"""),"Teen")</f>
        <v>Teen</v>
      </c>
      <c r="F372" s="5"/>
    </row>
    <row r="373" spans="1:6">
      <c r="A373" s="5" t="str">
        <f ca="1">IFERROR(__xludf.DUMMYFUNCTION("""COMPUTED_VALUE"""),"20210804ALBUM")</f>
        <v>20210804ALBUM</v>
      </c>
      <c r="B373" s="5" t="str">
        <f ca="1">IFERROR(__xludf.DUMMYFUNCTION("""COMPUTED_VALUE"""),"Wounded")</f>
        <v>Wounded</v>
      </c>
      <c r="C373" s="5" t="str">
        <f ca="1">IFERROR(__xludf.DUMMYFUNCTION("""COMPUTED_VALUE"""),"Male")</f>
        <v>Male</v>
      </c>
      <c r="D373" s="5"/>
      <c r="E373" s="5" t="str">
        <f ca="1">IFERROR(__xludf.DUMMYFUNCTION("""COMPUTED_VALUE"""),"Teen")</f>
        <v>Teen</v>
      </c>
      <c r="F373" s="5"/>
    </row>
    <row r="374" spans="1:6">
      <c r="A374" s="5" t="str">
        <f ca="1">IFERROR(__xludf.DUMMYFUNCTION("""COMPUTED_VALUE"""),"20210727WATYS")</f>
        <v>20210727WATYS</v>
      </c>
      <c r="B374" s="5" t="str">
        <f ca="1">IFERROR(__xludf.DUMMYFUNCTION("""COMPUTED_VALUE"""),"Fatal")</f>
        <v>Fatal</v>
      </c>
      <c r="C374" s="5" t="str">
        <f ca="1">IFERROR(__xludf.DUMMYFUNCTION("""COMPUTED_VALUE"""),"Male")</f>
        <v>Male</v>
      </c>
      <c r="D374" s="5" t="str">
        <f ca="1">IFERROR(__xludf.DUMMYFUNCTION("""COMPUTED_VALUE"""),"Nonstudent Using Athletic Facilities/Attending Game")</f>
        <v>Nonstudent Using Athletic Facilities/Attending Game</v>
      </c>
      <c r="E374" s="5" t="str">
        <f ca="1">IFERROR(__xludf.DUMMYFUNCTION("""COMPUTED_VALUE"""),"Adult")</f>
        <v>Adult</v>
      </c>
      <c r="F374" s="5"/>
    </row>
    <row r="375" spans="1:6">
      <c r="A375" s="5" t="str">
        <f ca="1">IFERROR(__xludf.DUMMYFUNCTION("""COMPUTED_VALUE"""),"20210721ILTHC")</f>
        <v>20210721ILTHC</v>
      </c>
      <c r="B375" s="5" t="str">
        <f ca="1">IFERROR(__xludf.DUMMYFUNCTION("""COMPUTED_VALUE"""),"Wounded")</f>
        <v>Wounded</v>
      </c>
      <c r="C375" s="5" t="str">
        <f ca="1">IFERROR(__xludf.DUMMYFUNCTION("""COMPUTED_VALUE"""),"Male")</f>
        <v>Male</v>
      </c>
      <c r="D375" s="5" t="str">
        <f ca="1">IFERROR(__xludf.DUMMYFUNCTION("""COMPUTED_VALUE"""),"No Relation")</f>
        <v>No Relation</v>
      </c>
      <c r="E375" s="5">
        <f ca="1">IFERROR(__xludf.DUMMYFUNCTION("""COMPUTED_VALUE"""),22)</f>
        <v>22</v>
      </c>
      <c r="F375" s="5"/>
    </row>
    <row r="376" spans="1:6">
      <c r="A376" s="5" t="str">
        <f ca="1">IFERROR(__xludf.DUMMYFUNCTION("""COMPUTED_VALUE"""),"20210721ILTHC")</f>
        <v>20210721ILTHC</v>
      </c>
      <c r="B376" s="5" t="str">
        <f ca="1">IFERROR(__xludf.DUMMYFUNCTION("""COMPUTED_VALUE"""),"Wounded")</f>
        <v>Wounded</v>
      </c>
      <c r="C376" s="5" t="str">
        <f ca="1">IFERROR(__xludf.DUMMYFUNCTION("""COMPUTED_VALUE"""),"Male")</f>
        <v>Male</v>
      </c>
      <c r="D376" s="5" t="str">
        <f ca="1">IFERROR(__xludf.DUMMYFUNCTION("""COMPUTED_VALUE"""),"No Relation")</f>
        <v>No Relation</v>
      </c>
      <c r="E376" s="5">
        <f ca="1">IFERROR(__xludf.DUMMYFUNCTION("""COMPUTED_VALUE"""),18)</f>
        <v>18</v>
      </c>
      <c r="F376" s="5"/>
    </row>
    <row r="377" spans="1:6">
      <c r="A377" s="5" t="str">
        <f ca="1">IFERROR(__xludf.DUMMYFUNCTION("""COMPUTED_VALUE"""),"20210721ILTHC")</f>
        <v>20210721ILTHC</v>
      </c>
      <c r="B377" s="5" t="str">
        <f ca="1">IFERROR(__xludf.DUMMYFUNCTION("""COMPUTED_VALUE"""),"Wounded")</f>
        <v>Wounded</v>
      </c>
      <c r="C377" s="5" t="str">
        <f ca="1">IFERROR(__xludf.DUMMYFUNCTION("""COMPUTED_VALUE"""),"Male")</f>
        <v>Male</v>
      </c>
      <c r="D377" s="5" t="str">
        <f ca="1">IFERROR(__xludf.DUMMYFUNCTION("""COMPUTED_VALUE"""),"No Relation")</f>
        <v>No Relation</v>
      </c>
      <c r="E377" s="5">
        <f ca="1">IFERROR(__xludf.DUMMYFUNCTION("""COMPUTED_VALUE"""),15)</f>
        <v>15</v>
      </c>
      <c r="F377" s="5"/>
    </row>
    <row r="378" spans="1:6">
      <c r="A378" s="5" t="str">
        <f ca="1">IFERROR(__xludf.DUMMYFUNCTION("""COMPUTED_VALUE"""),"20210721ILTHC")</f>
        <v>20210721ILTHC</v>
      </c>
      <c r="B378" s="5" t="str">
        <f ca="1">IFERROR(__xludf.DUMMYFUNCTION("""COMPUTED_VALUE"""),"Wounded")</f>
        <v>Wounded</v>
      </c>
      <c r="C378" s="5" t="str">
        <f ca="1">IFERROR(__xludf.DUMMYFUNCTION("""COMPUTED_VALUE"""),"Male")</f>
        <v>Male</v>
      </c>
      <c r="D378" s="5" t="str">
        <f ca="1">IFERROR(__xludf.DUMMYFUNCTION("""COMPUTED_VALUE"""),"No Relation")</f>
        <v>No Relation</v>
      </c>
      <c r="E378" s="5">
        <f ca="1">IFERROR(__xludf.DUMMYFUNCTION("""COMPUTED_VALUE"""),17)</f>
        <v>17</v>
      </c>
      <c r="F378" s="5"/>
    </row>
    <row r="379" spans="1:6">
      <c r="A379" s="5" t="str">
        <f ca="1">IFERROR(__xludf.DUMMYFUNCTION("""COMPUTED_VALUE"""),"20210721ILTHC")</f>
        <v>20210721ILTHC</v>
      </c>
      <c r="B379" s="5" t="str">
        <f ca="1">IFERROR(__xludf.DUMMYFUNCTION("""COMPUTED_VALUE"""),"Wounded")</f>
        <v>Wounded</v>
      </c>
      <c r="C379" s="5" t="str">
        <f ca="1">IFERROR(__xludf.DUMMYFUNCTION("""COMPUTED_VALUE"""),"Male")</f>
        <v>Male</v>
      </c>
      <c r="D379" s="5" t="str">
        <f ca="1">IFERROR(__xludf.DUMMYFUNCTION("""COMPUTED_VALUE"""),"No Relation")</f>
        <v>No Relation</v>
      </c>
      <c r="E379" s="5">
        <f ca="1">IFERROR(__xludf.DUMMYFUNCTION("""COMPUTED_VALUE"""),14)</f>
        <v>14</v>
      </c>
      <c r="F379" s="5"/>
    </row>
    <row r="380" spans="1:6">
      <c r="A380" s="5" t="str">
        <f ca="1">IFERROR(__xludf.DUMMYFUNCTION("""COMPUTED_VALUE"""),"20210719TXCAC")</f>
        <v>20210719TXCAC</v>
      </c>
      <c r="B380" s="5" t="str">
        <f ca="1">IFERROR(__xludf.DUMMYFUNCTION("""COMPUTED_VALUE"""),"Minor Injuries")</f>
        <v>Minor Injuries</v>
      </c>
      <c r="C380" s="5" t="str">
        <f ca="1">IFERROR(__xludf.DUMMYFUNCTION("""COMPUTED_VALUE"""),"Female")</f>
        <v>Female</v>
      </c>
      <c r="D380" s="5" t="str">
        <f ca="1">IFERROR(__xludf.DUMMYFUNCTION("""COMPUTED_VALUE"""),"Student")</f>
        <v>Student</v>
      </c>
      <c r="E380" s="5">
        <f ca="1">IFERROR(__xludf.DUMMYFUNCTION("""COMPUTED_VALUE"""),17)</f>
        <v>17</v>
      </c>
      <c r="F380" s="5"/>
    </row>
    <row r="381" spans="1:6">
      <c r="A381" s="5" t="str">
        <f ca="1">IFERROR(__xludf.DUMMYFUNCTION("""COMPUTED_VALUE"""),"20210719TXCAC")</f>
        <v>20210719TXCAC</v>
      </c>
      <c r="B381" s="5" t="str">
        <f ca="1">IFERROR(__xludf.DUMMYFUNCTION("""COMPUTED_VALUE"""),"Minor Injuries")</f>
        <v>Minor Injuries</v>
      </c>
      <c r="C381" s="5" t="str">
        <f ca="1">IFERROR(__xludf.DUMMYFUNCTION("""COMPUTED_VALUE"""),"Male")</f>
        <v>Male</v>
      </c>
      <c r="D381" s="5" t="str">
        <f ca="1">IFERROR(__xludf.DUMMYFUNCTION("""COMPUTED_VALUE"""),"Student")</f>
        <v>Student</v>
      </c>
      <c r="E381" s="5">
        <f ca="1">IFERROR(__xludf.DUMMYFUNCTION("""COMPUTED_VALUE"""),17)</f>
        <v>17</v>
      </c>
      <c r="F381" s="5"/>
    </row>
    <row r="382" spans="1:6">
      <c r="A382" s="5" t="str">
        <f ca="1">IFERROR(__xludf.DUMMYFUNCTION("""COMPUTED_VALUE"""),"20210708ILBEC")</f>
        <v>20210708ILBEC</v>
      </c>
      <c r="B382" s="5" t="str">
        <f ca="1">IFERROR(__xludf.DUMMYFUNCTION("""COMPUTED_VALUE"""),"Wounded")</f>
        <v>Wounded</v>
      </c>
      <c r="C382" s="5" t="str">
        <f ca="1">IFERROR(__xludf.DUMMYFUNCTION("""COMPUTED_VALUE"""),"Female")</f>
        <v>Female</v>
      </c>
      <c r="D382" s="5" t="str">
        <f ca="1">IFERROR(__xludf.DUMMYFUNCTION("""COMPUTED_VALUE"""),"No Relation")</f>
        <v>No Relation</v>
      </c>
      <c r="E382" s="5">
        <f ca="1">IFERROR(__xludf.DUMMYFUNCTION("""COMPUTED_VALUE"""),34)</f>
        <v>34</v>
      </c>
      <c r="F382" s="5"/>
    </row>
    <row r="383" spans="1:6">
      <c r="A383" s="5" t="str">
        <f ca="1">IFERROR(__xludf.DUMMYFUNCTION("""COMPUTED_VALUE"""),"20210708ILBEC")</f>
        <v>20210708ILBEC</v>
      </c>
      <c r="B383" s="5" t="str">
        <f ca="1">IFERROR(__xludf.DUMMYFUNCTION("""COMPUTED_VALUE"""),"Wounded")</f>
        <v>Wounded</v>
      </c>
      <c r="C383" s="5" t="str">
        <f ca="1">IFERROR(__xludf.DUMMYFUNCTION("""COMPUTED_VALUE"""),"Male")</f>
        <v>Male</v>
      </c>
      <c r="D383" s="5" t="str">
        <f ca="1">IFERROR(__xludf.DUMMYFUNCTION("""COMPUTED_VALUE"""),"Student")</f>
        <v>Student</v>
      </c>
      <c r="E383" s="5">
        <f ca="1">IFERROR(__xludf.DUMMYFUNCTION("""COMPUTED_VALUE"""),16)</f>
        <v>16</v>
      </c>
      <c r="F383" s="5"/>
    </row>
    <row r="384" spans="1:6">
      <c r="A384" s="5" t="str">
        <f ca="1">IFERROR(__xludf.DUMMYFUNCTION("""COMPUTED_VALUE"""),"20210704NYDRR")</f>
        <v>20210704NYDRR</v>
      </c>
      <c r="B384" s="5" t="str">
        <f ca="1">IFERROR(__xludf.DUMMYFUNCTION("""COMPUTED_VALUE"""),"Fatal")</f>
        <v>Fatal</v>
      </c>
      <c r="C384" s="5" t="str">
        <f ca="1">IFERROR(__xludf.DUMMYFUNCTION("""COMPUTED_VALUE"""),"Male")</f>
        <v>Male</v>
      </c>
      <c r="D384" s="5"/>
      <c r="E384" s="5">
        <f ca="1">IFERROR(__xludf.DUMMYFUNCTION("""COMPUTED_VALUE"""),16)</f>
        <v>16</v>
      </c>
      <c r="F384" s="5"/>
    </row>
    <row r="385" spans="1:6">
      <c r="A385" s="5" t="str">
        <f ca="1">IFERROR(__xludf.DUMMYFUNCTION("""COMPUTED_VALUE"""),"20210628CASLF")</f>
        <v>20210628CASLF</v>
      </c>
      <c r="B385" s="5" t="str">
        <f ca="1">IFERROR(__xludf.DUMMYFUNCTION("""COMPUTED_VALUE"""),"Wounded")</f>
        <v>Wounded</v>
      </c>
      <c r="C385" s="5" t="str">
        <f ca="1">IFERROR(__xludf.DUMMYFUNCTION("""COMPUTED_VALUE"""),"Male")</f>
        <v>Male</v>
      </c>
      <c r="D385" s="5" t="str">
        <f ca="1">IFERROR(__xludf.DUMMYFUNCTION("""COMPUTED_VALUE"""),"No Relation")</f>
        <v>No Relation</v>
      </c>
      <c r="E385" s="5" t="str">
        <f ca="1">IFERROR(__xludf.DUMMYFUNCTION("""COMPUTED_VALUE"""),"Adult")</f>
        <v>Adult</v>
      </c>
      <c r="F385" s="5"/>
    </row>
    <row r="386" spans="1:6">
      <c r="A386" s="5" t="str">
        <f ca="1">IFERROR(__xludf.DUMMYFUNCTION("""COMPUTED_VALUE"""),"20210624ILABR")</f>
        <v>20210624ILABR</v>
      </c>
      <c r="B386" s="5" t="str">
        <f ca="1">IFERROR(__xludf.DUMMYFUNCTION("""COMPUTED_VALUE"""),"Wounded")</f>
        <v>Wounded</v>
      </c>
      <c r="C386" s="5" t="str">
        <f ca="1">IFERROR(__xludf.DUMMYFUNCTION("""COMPUTED_VALUE"""),"Male")</f>
        <v>Male</v>
      </c>
      <c r="D386" s="5" t="str">
        <f ca="1">IFERROR(__xludf.DUMMYFUNCTION("""COMPUTED_VALUE"""),"No Relation")</f>
        <v>No Relation</v>
      </c>
      <c r="E386" s="5" t="str">
        <f ca="1">IFERROR(__xludf.DUMMYFUNCTION("""COMPUTED_VALUE"""),"Adult")</f>
        <v>Adult</v>
      </c>
      <c r="F386" s="5"/>
    </row>
    <row r="387" spans="1:6">
      <c r="A387" s="5" t="str">
        <f ca="1">IFERROR(__xludf.DUMMYFUNCTION("""COMPUTED_VALUE"""),"20210620CAGRM")</f>
        <v>20210620CAGRM</v>
      </c>
      <c r="B387" s="5" t="str">
        <f ca="1">IFERROR(__xludf.DUMMYFUNCTION("""COMPUTED_VALUE"""),"Wounded")</f>
        <v>Wounded</v>
      </c>
      <c r="C387" s="5" t="str">
        <f ca="1">IFERROR(__xludf.DUMMYFUNCTION("""COMPUTED_VALUE"""),"Male")</f>
        <v>Male</v>
      </c>
      <c r="D387" s="5" t="str">
        <f ca="1">IFERROR(__xludf.DUMMYFUNCTION("""COMPUTED_VALUE"""),"No Relation")</f>
        <v>No Relation</v>
      </c>
      <c r="E387" s="5" t="str">
        <f ca="1">IFERROR(__xludf.DUMMYFUNCTION("""COMPUTED_VALUE"""),"Adult")</f>
        <v>Adult</v>
      </c>
      <c r="F387" s="5"/>
    </row>
    <row r="388" spans="1:6">
      <c r="A388" s="5" t="str">
        <f ca="1">IFERROR(__xludf.DUMMYFUNCTION("""COMPUTED_VALUE"""),"20210614TXEAF")</f>
        <v>20210614TXEAF</v>
      </c>
      <c r="B388" s="5" t="str">
        <f ca="1">IFERROR(__xludf.DUMMYFUNCTION("""COMPUTED_VALUE"""),"Wounded")</f>
        <v>Wounded</v>
      </c>
      <c r="C388" s="5" t="str">
        <f ca="1">IFERROR(__xludf.DUMMYFUNCTION("""COMPUTED_VALUE"""),"Male")</f>
        <v>Male</v>
      </c>
      <c r="D388" s="5"/>
      <c r="E388" s="5" t="str">
        <f ca="1">IFERROR(__xludf.DUMMYFUNCTION("""COMPUTED_VALUE"""),"Adult")</f>
        <v>Adult</v>
      </c>
      <c r="F388" s="5"/>
    </row>
    <row r="389" spans="1:6">
      <c r="A389" s="5" t="str">
        <f ca="1">IFERROR(__xludf.DUMMYFUNCTION("""COMPUTED_VALUE"""),"20210613PAWIP")</f>
        <v>20210613PAWIP</v>
      </c>
      <c r="B389" s="5" t="str">
        <f ca="1">IFERROR(__xludf.DUMMYFUNCTION("""COMPUTED_VALUE"""),"Fatal")</f>
        <v>Fatal</v>
      </c>
      <c r="C389" s="5" t="str">
        <f ca="1">IFERROR(__xludf.DUMMYFUNCTION("""COMPUTED_VALUE"""),"Male")</f>
        <v>Male</v>
      </c>
      <c r="D389" s="5" t="str">
        <f ca="1">IFERROR(__xludf.DUMMYFUNCTION("""COMPUTED_VALUE"""),"Nonstudent Using Athletic Facilities/Attending Game")</f>
        <v>Nonstudent Using Athletic Facilities/Attending Game</v>
      </c>
      <c r="E389" s="5" t="str">
        <f ca="1">IFERROR(__xludf.DUMMYFUNCTION("""COMPUTED_VALUE"""),"Adult")</f>
        <v>Adult</v>
      </c>
      <c r="F389" s="5"/>
    </row>
    <row r="390" spans="1:6">
      <c r="A390" s="5" t="str">
        <f ca="1">IFERROR(__xludf.DUMMYFUNCTION("""COMPUTED_VALUE"""),"20210612MOMCF")</f>
        <v>20210612MOMCF</v>
      </c>
      <c r="B390" s="5" t="str">
        <f ca="1">IFERROR(__xludf.DUMMYFUNCTION("""COMPUTED_VALUE"""),"Fatal")</f>
        <v>Fatal</v>
      </c>
      <c r="C390" s="5" t="str">
        <f ca="1">IFERROR(__xludf.DUMMYFUNCTION("""COMPUTED_VALUE"""),"Male")</f>
        <v>Male</v>
      </c>
      <c r="D390" s="5" t="str">
        <f ca="1">IFERROR(__xludf.DUMMYFUNCTION("""COMPUTED_VALUE"""),"Student")</f>
        <v>Student</v>
      </c>
      <c r="E390" s="5">
        <f ca="1">IFERROR(__xludf.DUMMYFUNCTION("""COMPUTED_VALUE"""),18)</f>
        <v>18</v>
      </c>
      <c r="F390" s="5" t="str">
        <f ca="1">IFERROR(__xludf.DUMMYFUNCTION("""COMPUTED_VALUE"""),"Black")</f>
        <v>Black</v>
      </c>
    </row>
    <row r="391" spans="1:6">
      <c r="A391" s="5" t="str">
        <f ca="1">IFERROR(__xludf.DUMMYFUNCTION("""COMPUTED_VALUE"""),"20210609VAWIR")</f>
        <v>20210609VAWIR</v>
      </c>
      <c r="B391" s="5" t="str">
        <f ca="1">IFERROR(__xludf.DUMMYFUNCTION("""COMPUTED_VALUE"""),"Wounded")</f>
        <v>Wounded</v>
      </c>
      <c r="C391" s="5" t="str">
        <f ca="1">IFERROR(__xludf.DUMMYFUNCTION("""COMPUTED_VALUE"""),"Male")</f>
        <v>Male</v>
      </c>
      <c r="D391" s="5" t="str">
        <f ca="1">IFERROR(__xludf.DUMMYFUNCTION("""COMPUTED_VALUE"""),"Student")</f>
        <v>Student</v>
      </c>
      <c r="E391" s="5" t="str">
        <f ca="1">IFERROR(__xludf.DUMMYFUNCTION("""COMPUTED_VALUE"""),"Teen")</f>
        <v>Teen</v>
      </c>
      <c r="F391" s="5"/>
    </row>
    <row r="392" spans="1:6">
      <c r="A392" s="5" t="str">
        <f ca="1">IFERROR(__xludf.DUMMYFUNCTION("""COMPUTED_VALUE"""),"20210609TXNOH")</f>
        <v>20210609TXNOH</v>
      </c>
      <c r="B392" s="5" t="str">
        <f ca="1">IFERROR(__xludf.DUMMYFUNCTION("""COMPUTED_VALUE"""),"Wounded")</f>
        <v>Wounded</v>
      </c>
      <c r="C392" s="5" t="str">
        <f ca="1">IFERROR(__xludf.DUMMYFUNCTION("""COMPUTED_VALUE"""),"Male")</f>
        <v>Male</v>
      </c>
      <c r="D392" s="5" t="str">
        <f ca="1">IFERROR(__xludf.DUMMYFUNCTION("""COMPUTED_VALUE"""),"Student")</f>
        <v>Student</v>
      </c>
      <c r="E392" s="5">
        <f ca="1">IFERROR(__xludf.DUMMYFUNCTION("""COMPUTED_VALUE"""),18)</f>
        <v>18</v>
      </c>
      <c r="F392" s="5" t="str">
        <f ca="1">IFERROR(__xludf.DUMMYFUNCTION("""COMPUTED_VALUE"""),"Black")</f>
        <v>Black</v>
      </c>
    </row>
    <row r="393" spans="1:6">
      <c r="A393" s="5" t="str">
        <f ca="1">IFERROR(__xludf.DUMMYFUNCTION("""COMPUTED_VALUE"""),"20210608KSHAK")</f>
        <v>20210608KSHAK</v>
      </c>
      <c r="B393" s="5" t="str">
        <f ca="1">IFERROR(__xludf.DUMMYFUNCTION("""COMPUTED_VALUE"""),"Fatal")</f>
        <v>Fatal</v>
      </c>
      <c r="C393" s="5" t="str">
        <f ca="1">IFERROR(__xludf.DUMMYFUNCTION("""COMPUTED_VALUE"""),"Male")</f>
        <v>Male</v>
      </c>
      <c r="D393" s="5" t="str">
        <f ca="1">IFERROR(__xludf.DUMMYFUNCTION("""COMPUTED_VALUE"""),"No Relation")</f>
        <v>No Relation</v>
      </c>
      <c r="E393" s="5">
        <f ca="1">IFERROR(__xludf.DUMMYFUNCTION("""COMPUTED_VALUE"""),15)</f>
        <v>15</v>
      </c>
      <c r="F393" s="5"/>
    </row>
    <row r="394" spans="1:6">
      <c r="A394" s="5" t="str">
        <f ca="1">IFERROR(__xludf.DUMMYFUNCTION("""COMPUTED_VALUE"""),"20210607TXEAF")</f>
        <v>20210607TXEAF</v>
      </c>
      <c r="B394" s="5" t="str">
        <f ca="1">IFERROR(__xludf.DUMMYFUNCTION("""COMPUTED_VALUE"""),"Fatal")</f>
        <v>Fatal</v>
      </c>
      <c r="C394" s="5" t="str">
        <f ca="1">IFERROR(__xludf.DUMMYFUNCTION("""COMPUTED_VALUE"""),"Male")</f>
        <v>Male</v>
      </c>
      <c r="D394" s="5" t="str">
        <f ca="1">IFERROR(__xludf.DUMMYFUNCTION("""COMPUTED_VALUE"""),"Student")</f>
        <v>Student</v>
      </c>
      <c r="E394" s="5">
        <f ca="1">IFERROR(__xludf.DUMMYFUNCTION("""COMPUTED_VALUE"""),17)</f>
        <v>17</v>
      </c>
      <c r="F394" s="5"/>
    </row>
    <row r="395" spans="1:6">
      <c r="A395" s="5" t="str">
        <f ca="1">IFERROR(__xludf.DUMMYFUNCTION("""COMPUTED_VALUE"""),"20210601ILLIC")</f>
        <v>20210601ILLIC</v>
      </c>
      <c r="B395" s="5" t="str">
        <f ca="1">IFERROR(__xludf.DUMMYFUNCTION("""COMPUTED_VALUE"""),"Wounded")</f>
        <v>Wounded</v>
      </c>
      <c r="C395" s="5" t="str">
        <f ca="1">IFERROR(__xludf.DUMMYFUNCTION("""COMPUTED_VALUE"""),"Male")</f>
        <v>Male</v>
      </c>
      <c r="D395" s="5"/>
      <c r="E395" s="5">
        <f ca="1">IFERROR(__xludf.DUMMYFUNCTION("""COMPUTED_VALUE"""),17)</f>
        <v>17</v>
      </c>
      <c r="F395" s="5"/>
    </row>
    <row r="396" spans="1:6">
      <c r="A396" s="5" t="str">
        <f ca="1">IFERROR(__xludf.DUMMYFUNCTION("""COMPUTED_VALUE"""),"20210517TXBRE")</f>
        <v>20210517TXBRE</v>
      </c>
      <c r="B396" s="5" t="str">
        <f ca="1">IFERROR(__xludf.DUMMYFUNCTION("""COMPUTED_VALUE"""),"Minor Injuries")</f>
        <v>Minor Injuries</v>
      </c>
      <c r="C396" s="5" t="str">
        <f ca="1">IFERROR(__xludf.DUMMYFUNCTION("""COMPUTED_VALUE"""),"Female")</f>
        <v>Female</v>
      </c>
      <c r="D396" s="5" t="str">
        <f ca="1">IFERROR(__xludf.DUMMYFUNCTION("""COMPUTED_VALUE"""),"Student")</f>
        <v>Student</v>
      </c>
      <c r="E396" s="5">
        <f ca="1">IFERROR(__xludf.DUMMYFUNCTION("""COMPUTED_VALUE"""),13)</f>
        <v>13</v>
      </c>
      <c r="F396" s="5"/>
    </row>
    <row r="397" spans="1:6">
      <c r="A397" s="5" t="str">
        <f ca="1">IFERROR(__xludf.DUMMYFUNCTION("""COMPUTED_VALUE"""),"20210517TXBRE")</f>
        <v>20210517TXBRE</v>
      </c>
      <c r="B397" s="5" t="str">
        <f ca="1">IFERROR(__xludf.DUMMYFUNCTION("""COMPUTED_VALUE"""),"Minor Injuries")</f>
        <v>Minor Injuries</v>
      </c>
      <c r="C397" s="5" t="str">
        <f ca="1">IFERROR(__xludf.DUMMYFUNCTION("""COMPUTED_VALUE"""),"Male")</f>
        <v>Male</v>
      </c>
      <c r="D397" s="5" t="str">
        <f ca="1">IFERROR(__xludf.DUMMYFUNCTION("""COMPUTED_VALUE"""),"Student")</f>
        <v>Student</v>
      </c>
      <c r="E397" s="5" t="str">
        <f ca="1">IFERROR(__xludf.DUMMYFUNCTION("""COMPUTED_VALUE"""),"Teen")</f>
        <v>Teen</v>
      </c>
      <c r="F397" s="5"/>
    </row>
    <row r="398" spans="1:6">
      <c r="A398" s="5" t="str">
        <f ca="1">IFERROR(__xludf.DUMMYFUNCTION("""COMPUTED_VALUE"""),"20210517TNAUM")</f>
        <v>20210517TNAUM</v>
      </c>
      <c r="B398" s="5" t="str">
        <f ca="1">IFERROR(__xludf.DUMMYFUNCTION("""COMPUTED_VALUE"""),"Wounded")</f>
        <v>Wounded</v>
      </c>
      <c r="C398" s="5" t="str">
        <f ca="1">IFERROR(__xludf.DUMMYFUNCTION("""COMPUTED_VALUE"""),"Male")</f>
        <v>Male</v>
      </c>
      <c r="D398" s="5" t="str">
        <f ca="1">IFERROR(__xludf.DUMMYFUNCTION("""COMPUTED_VALUE"""),"No Relation")</f>
        <v>No Relation</v>
      </c>
      <c r="E398" s="5" t="str">
        <f ca="1">IFERROR(__xludf.DUMMYFUNCTION("""COMPUTED_VALUE"""),"Adult")</f>
        <v>Adult</v>
      </c>
      <c r="F398" s="5"/>
    </row>
    <row r="399" spans="1:6">
      <c r="A399" s="5" t="str">
        <f ca="1">IFERROR(__xludf.DUMMYFUNCTION("""COMPUTED_VALUE"""),"20210514CASAS")</f>
        <v>20210514CASAS</v>
      </c>
      <c r="B399" s="5" t="str">
        <f ca="1">IFERROR(__xludf.DUMMYFUNCTION("""COMPUTED_VALUE"""),"Fatal")</f>
        <v>Fatal</v>
      </c>
      <c r="C399" s="5" t="str">
        <f ca="1">IFERROR(__xludf.DUMMYFUNCTION("""COMPUTED_VALUE"""),"Male")</f>
        <v>Male</v>
      </c>
      <c r="D399" s="5" t="str">
        <f ca="1">IFERROR(__xludf.DUMMYFUNCTION("""COMPUTED_VALUE"""),"No Relation")</f>
        <v>No Relation</v>
      </c>
      <c r="E399" s="5">
        <f ca="1">IFERROR(__xludf.DUMMYFUNCTION("""COMPUTED_VALUE"""),19)</f>
        <v>19</v>
      </c>
      <c r="F399" s="5" t="str">
        <f ca="1">IFERROR(__xludf.DUMMYFUNCTION("""COMPUTED_VALUE"""),"Asian")</f>
        <v>Asian</v>
      </c>
    </row>
    <row r="400" spans="1:6">
      <c r="A400" s="5" t="str">
        <f ca="1">IFERROR(__xludf.DUMMYFUNCTION("""COMPUTED_VALUE"""),"20210511NYPSB")</f>
        <v>20210511NYPSB</v>
      </c>
      <c r="B400" s="5" t="str">
        <f ca="1">IFERROR(__xludf.DUMMYFUNCTION("""COMPUTED_VALUE"""),"Wounded")</f>
        <v>Wounded</v>
      </c>
      <c r="C400" s="5" t="str">
        <f ca="1">IFERROR(__xludf.DUMMYFUNCTION("""COMPUTED_VALUE"""),"Male")</f>
        <v>Male</v>
      </c>
      <c r="D400" s="5" t="str">
        <f ca="1">IFERROR(__xludf.DUMMYFUNCTION("""COMPUTED_VALUE"""),"No Relation")</f>
        <v>No Relation</v>
      </c>
      <c r="E400" s="5">
        <f ca="1">IFERROR(__xludf.DUMMYFUNCTION("""COMPUTED_VALUE"""),16)</f>
        <v>16</v>
      </c>
      <c r="F400" s="5"/>
    </row>
    <row r="401" spans="1:6">
      <c r="A401" s="5" t="str">
        <f ca="1">IFERROR(__xludf.DUMMYFUNCTION("""COMPUTED_VALUE"""),"20210506SCFOC")</f>
        <v>20210506SCFOC</v>
      </c>
      <c r="B401" s="5" t="str">
        <f ca="1">IFERROR(__xludf.DUMMYFUNCTION("""COMPUTED_VALUE"""),"None")</f>
        <v>None</v>
      </c>
      <c r="C401" s="5" t="str">
        <f ca="1">IFERROR(__xludf.DUMMYFUNCTION("""COMPUTED_VALUE"""),"Male")</f>
        <v>Male</v>
      </c>
      <c r="D401" s="5" t="str">
        <f ca="1">IFERROR(__xludf.DUMMYFUNCTION("""COMPUTED_VALUE"""),"Bus Driver")</f>
        <v>Bus Driver</v>
      </c>
      <c r="E401" s="5" t="str">
        <f ca="1">IFERROR(__xludf.DUMMYFUNCTION("""COMPUTED_VALUE"""),"Adult")</f>
        <v>Adult</v>
      </c>
      <c r="F401" s="5"/>
    </row>
    <row r="402" spans="1:6">
      <c r="A402" s="5" t="str">
        <f ca="1">IFERROR(__xludf.DUMMYFUNCTION("""COMPUTED_VALUE"""),"20210506IDRIR")</f>
        <v>20210506IDRIR</v>
      </c>
      <c r="B402" s="5" t="str">
        <f ca="1">IFERROR(__xludf.DUMMYFUNCTION("""COMPUTED_VALUE"""),"Wounded")</f>
        <v>Wounded</v>
      </c>
      <c r="C402" s="5" t="str">
        <f ca="1">IFERROR(__xludf.DUMMYFUNCTION("""COMPUTED_VALUE"""),"Male")</f>
        <v>Male</v>
      </c>
      <c r="D402" s="5" t="str">
        <f ca="1">IFERROR(__xludf.DUMMYFUNCTION("""COMPUTED_VALUE"""),"Student")</f>
        <v>Student</v>
      </c>
      <c r="E402" s="5" t="str">
        <f ca="1">IFERROR(__xludf.DUMMYFUNCTION("""COMPUTED_VALUE"""),"Teen")</f>
        <v>Teen</v>
      </c>
      <c r="F402" s="5"/>
    </row>
    <row r="403" spans="1:6">
      <c r="A403" s="5" t="str">
        <f ca="1">IFERROR(__xludf.DUMMYFUNCTION("""COMPUTED_VALUE"""),"20210506IDRIR")</f>
        <v>20210506IDRIR</v>
      </c>
      <c r="B403" s="5" t="str">
        <f ca="1">IFERROR(__xludf.DUMMYFUNCTION("""COMPUTED_VALUE"""),"Wounded")</f>
        <v>Wounded</v>
      </c>
      <c r="C403" s="5" t="str">
        <f ca="1">IFERROR(__xludf.DUMMYFUNCTION("""COMPUTED_VALUE"""),"Female")</f>
        <v>Female</v>
      </c>
      <c r="D403" s="5" t="str">
        <f ca="1">IFERROR(__xludf.DUMMYFUNCTION("""COMPUTED_VALUE"""),"Student")</f>
        <v>Student</v>
      </c>
      <c r="E403" s="5">
        <f ca="1">IFERROR(__xludf.DUMMYFUNCTION("""COMPUTED_VALUE"""),11)</f>
        <v>11</v>
      </c>
      <c r="F403" s="5"/>
    </row>
    <row r="404" spans="1:6">
      <c r="A404" s="5" t="str">
        <f ca="1">IFERROR(__xludf.DUMMYFUNCTION("""COMPUTED_VALUE"""),"20210506IDRIR")</f>
        <v>20210506IDRIR</v>
      </c>
      <c r="B404" s="5" t="str">
        <f ca="1">IFERROR(__xludf.DUMMYFUNCTION("""COMPUTED_VALUE"""),"Wounded")</f>
        <v>Wounded</v>
      </c>
      <c r="C404" s="5" t="str">
        <f ca="1">IFERROR(__xludf.DUMMYFUNCTION("""COMPUTED_VALUE"""),"Male")</f>
        <v>Male</v>
      </c>
      <c r="D404" s="5" t="str">
        <f ca="1">IFERROR(__xludf.DUMMYFUNCTION("""COMPUTED_VALUE"""),"Other Staff")</f>
        <v>Other Staff</v>
      </c>
      <c r="E404" s="5" t="str">
        <f ca="1">IFERROR(__xludf.DUMMYFUNCTION("""COMPUTED_VALUE"""),"Adult")</f>
        <v>Adult</v>
      </c>
      <c r="F404" s="5"/>
    </row>
    <row r="405" spans="1:6">
      <c r="A405" s="5" t="str">
        <f ca="1">IFERROR(__xludf.DUMMYFUNCTION("""COMPUTED_VALUE"""),"20210505MICRC")</f>
        <v>20210505MICRC</v>
      </c>
      <c r="B405" s="5" t="str">
        <f ca="1">IFERROR(__xludf.DUMMYFUNCTION("""COMPUTED_VALUE"""),"Wounded")</f>
        <v>Wounded</v>
      </c>
      <c r="C405" s="5" t="str">
        <f ca="1">IFERROR(__xludf.DUMMYFUNCTION("""COMPUTED_VALUE"""),"Male")</f>
        <v>Male</v>
      </c>
      <c r="D405" s="5" t="str">
        <f ca="1">IFERROR(__xludf.DUMMYFUNCTION("""COMPUTED_VALUE"""),"No Relation")</f>
        <v>No Relation</v>
      </c>
      <c r="E405" s="5" t="str">
        <f ca="1">IFERROR(__xludf.DUMMYFUNCTION("""COMPUTED_VALUE"""),"Adult")</f>
        <v>Adult</v>
      </c>
      <c r="F405" s="5"/>
    </row>
    <row r="406" spans="1:6">
      <c r="A406" s="5" t="str">
        <f ca="1">IFERROR(__xludf.DUMMYFUNCTION("""COMPUTED_VALUE"""),"20210502ILCHC")</f>
        <v>20210502ILCHC</v>
      </c>
      <c r="B406" s="5" t="str">
        <f ca="1">IFERROR(__xludf.DUMMYFUNCTION("""COMPUTED_VALUE"""),"Wounded")</f>
        <v>Wounded</v>
      </c>
      <c r="C406" s="5" t="str">
        <f ca="1">IFERROR(__xludf.DUMMYFUNCTION("""COMPUTED_VALUE"""),"Female")</f>
        <v>Female</v>
      </c>
      <c r="D406" s="5" t="str">
        <f ca="1">IFERROR(__xludf.DUMMYFUNCTION("""COMPUTED_VALUE"""),"No Relation")</f>
        <v>No Relation</v>
      </c>
      <c r="E406" s="5">
        <f ca="1">IFERROR(__xludf.DUMMYFUNCTION("""COMPUTED_VALUE"""),21)</f>
        <v>21</v>
      </c>
      <c r="F406" s="5"/>
    </row>
    <row r="407" spans="1:6">
      <c r="A407" s="5" t="str">
        <f ca="1">IFERROR(__xludf.DUMMYFUNCTION("""COMPUTED_VALUE"""),"20210502ILCHC")</f>
        <v>20210502ILCHC</v>
      </c>
      <c r="B407" s="5" t="str">
        <f ca="1">IFERROR(__xludf.DUMMYFUNCTION("""COMPUTED_VALUE"""),"Wounded")</f>
        <v>Wounded</v>
      </c>
      <c r="C407" s="5" t="str">
        <f ca="1">IFERROR(__xludf.DUMMYFUNCTION("""COMPUTED_VALUE"""),"Male")</f>
        <v>Male</v>
      </c>
      <c r="D407" s="5" t="str">
        <f ca="1">IFERROR(__xludf.DUMMYFUNCTION("""COMPUTED_VALUE"""),"No Relation")</f>
        <v>No Relation</v>
      </c>
      <c r="E407" s="5">
        <f ca="1">IFERROR(__xludf.DUMMYFUNCTION("""COMPUTED_VALUE"""),29)</f>
        <v>29</v>
      </c>
      <c r="F407" s="5"/>
    </row>
    <row r="408" spans="1:6">
      <c r="A408" s="5" t="str">
        <f ca="1">IFERROR(__xludf.DUMMYFUNCTION("""COMPUTED_VALUE"""),"20210502ILCHC")</f>
        <v>20210502ILCHC</v>
      </c>
      <c r="B408" s="5" t="str">
        <f ca="1">IFERROR(__xludf.DUMMYFUNCTION("""COMPUTED_VALUE"""),"Wounded")</f>
        <v>Wounded</v>
      </c>
      <c r="C408" s="5" t="str">
        <f ca="1">IFERROR(__xludf.DUMMYFUNCTION("""COMPUTED_VALUE"""),"Male")</f>
        <v>Male</v>
      </c>
      <c r="D408" s="5" t="str">
        <f ca="1">IFERROR(__xludf.DUMMYFUNCTION("""COMPUTED_VALUE"""),"No Relation")</f>
        <v>No Relation</v>
      </c>
      <c r="E408" s="5">
        <f ca="1">IFERROR(__xludf.DUMMYFUNCTION("""COMPUTED_VALUE"""),20)</f>
        <v>20</v>
      </c>
      <c r="F408" s="5"/>
    </row>
    <row r="409" spans="1:6">
      <c r="A409" s="5" t="str">
        <f ca="1">IFERROR(__xludf.DUMMYFUNCTION("""COMPUTED_VALUE"""),"20210502ILCHC")</f>
        <v>20210502ILCHC</v>
      </c>
      <c r="B409" s="5" t="str">
        <f ca="1">IFERROR(__xludf.DUMMYFUNCTION("""COMPUTED_VALUE"""),"Wounded")</f>
        <v>Wounded</v>
      </c>
      <c r="C409" s="5" t="str">
        <f ca="1">IFERROR(__xludf.DUMMYFUNCTION("""COMPUTED_VALUE"""),"Female")</f>
        <v>Female</v>
      </c>
      <c r="D409" s="5" t="str">
        <f ca="1">IFERROR(__xludf.DUMMYFUNCTION("""COMPUTED_VALUE"""),"No Relation")</f>
        <v>No Relation</v>
      </c>
      <c r="E409" s="5">
        <f ca="1">IFERROR(__xludf.DUMMYFUNCTION("""COMPUTED_VALUE"""),32)</f>
        <v>32</v>
      </c>
      <c r="F409" s="5"/>
    </row>
    <row r="410" spans="1:6">
      <c r="A410" s="5" t="str">
        <f ca="1">IFERROR(__xludf.DUMMYFUNCTION("""COMPUTED_VALUE"""),"20210502ILCHC")</f>
        <v>20210502ILCHC</v>
      </c>
      <c r="B410" s="5" t="str">
        <f ca="1">IFERROR(__xludf.DUMMYFUNCTION("""COMPUTED_VALUE"""),"Wounded")</f>
        <v>Wounded</v>
      </c>
      <c r="C410" s="5" t="str">
        <f ca="1">IFERROR(__xludf.DUMMYFUNCTION("""COMPUTED_VALUE"""),"Female")</f>
        <v>Female</v>
      </c>
      <c r="D410" s="5" t="str">
        <f ca="1">IFERROR(__xludf.DUMMYFUNCTION("""COMPUTED_VALUE"""),"No Relation")</f>
        <v>No Relation</v>
      </c>
      <c r="E410" s="5">
        <f ca="1">IFERROR(__xludf.DUMMYFUNCTION("""COMPUTED_VALUE"""),26)</f>
        <v>26</v>
      </c>
      <c r="F410" s="5"/>
    </row>
    <row r="411" spans="1:6">
      <c r="A411" s="5" t="str">
        <f ca="1">IFERROR(__xludf.DUMMYFUNCTION("""COMPUTED_VALUE"""),"20210501MNBES")</f>
        <v>20210501MNBES</v>
      </c>
      <c r="B411" s="5" t="str">
        <f ca="1">IFERROR(__xludf.DUMMYFUNCTION("""COMPUTED_VALUE"""),"None")</f>
        <v>None</v>
      </c>
      <c r="C411" s="5" t="str">
        <f ca="1">IFERROR(__xludf.DUMMYFUNCTION("""COMPUTED_VALUE"""),"Male")</f>
        <v>Male</v>
      </c>
      <c r="D411" s="5" t="str">
        <f ca="1">IFERROR(__xludf.DUMMYFUNCTION("""COMPUTED_VALUE"""),"No Relation")</f>
        <v>No Relation</v>
      </c>
      <c r="E411" s="5" t="str">
        <f ca="1">IFERROR(__xludf.DUMMYFUNCTION("""COMPUTED_VALUE"""),"Adult")</f>
        <v>Adult</v>
      </c>
      <c r="F411" s="5"/>
    </row>
    <row r="412" spans="1:6">
      <c r="A412" s="5" t="str">
        <f ca="1">IFERROR(__xludf.DUMMYFUNCTION("""COMPUTED_VALUE"""),"20210501MNBES")</f>
        <v>20210501MNBES</v>
      </c>
      <c r="B412" s="5" t="str">
        <f ca="1">IFERROR(__xludf.DUMMYFUNCTION("""COMPUTED_VALUE"""),"None")</f>
        <v>None</v>
      </c>
      <c r="C412" s="5" t="str">
        <f ca="1">IFERROR(__xludf.DUMMYFUNCTION("""COMPUTED_VALUE"""),"Male")</f>
        <v>Male</v>
      </c>
      <c r="D412" s="5" t="str">
        <f ca="1">IFERROR(__xludf.DUMMYFUNCTION("""COMPUTED_VALUE"""),"No Relation")</f>
        <v>No Relation</v>
      </c>
      <c r="E412" s="5" t="str">
        <f ca="1">IFERROR(__xludf.DUMMYFUNCTION("""COMPUTED_VALUE"""),"Adult")</f>
        <v>Adult</v>
      </c>
      <c r="F412" s="5"/>
    </row>
    <row r="413" spans="1:6">
      <c r="A413" s="5" t="str">
        <f ca="1">IFERROR(__xludf.DUMMYFUNCTION("""COMPUTED_VALUE"""),"20210430INMAI")</f>
        <v>20210430INMAI</v>
      </c>
      <c r="B413" s="5" t="str">
        <f ca="1">IFERROR(__xludf.DUMMYFUNCTION("""COMPUTED_VALUE"""),"Wounded")</f>
        <v>Wounded</v>
      </c>
      <c r="C413" s="5" t="str">
        <f ca="1">IFERROR(__xludf.DUMMYFUNCTION("""COMPUTED_VALUE"""),"Female")</f>
        <v>Female</v>
      </c>
      <c r="D413" s="5" t="str">
        <f ca="1">IFERROR(__xludf.DUMMYFUNCTION("""COMPUTED_VALUE"""),"Parent")</f>
        <v>Parent</v>
      </c>
      <c r="E413" s="5" t="str">
        <f ca="1">IFERROR(__xludf.DUMMYFUNCTION("""COMPUTED_VALUE"""),"Adult")</f>
        <v>Adult</v>
      </c>
      <c r="F413" s="5"/>
    </row>
    <row r="414" spans="1:6">
      <c r="A414" s="5" t="str">
        <f ca="1">IFERROR(__xludf.DUMMYFUNCTION("""COMPUTED_VALUE"""),"20210429NYURB")</f>
        <v>20210429NYURB</v>
      </c>
      <c r="B414" s="5" t="str">
        <f ca="1">IFERROR(__xludf.DUMMYFUNCTION("""COMPUTED_VALUE"""),"Fatal")</f>
        <v>Fatal</v>
      </c>
      <c r="C414" s="5" t="str">
        <f ca="1">IFERROR(__xludf.DUMMYFUNCTION("""COMPUTED_VALUE"""),"Male")</f>
        <v>Male</v>
      </c>
      <c r="D414" s="5" t="str">
        <f ca="1">IFERROR(__xludf.DUMMYFUNCTION("""COMPUTED_VALUE"""),"Student")</f>
        <v>Student</v>
      </c>
      <c r="E414" s="5">
        <f ca="1">IFERROR(__xludf.DUMMYFUNCTION("""COMPUTED_VALUE"""),17)</f>
        <v>17</v>
      </c>
      <c r="F414" s="5"/>
    </row>
    <row r="415" spans="1:6">
      <c r="A415" s="5" t="str">
        <f ca="1">IFERROR(__xludf.DUMMYFUNCTION("""COMPUTED_VALUE"""),"20210429CAVIV")</f>
        <v>20210429CAVIV</v>
      </c>
      <c r="B415" s="5" t="str">
        <f ca="1">IFERROR(__xludf.DUMMYFUNCTION("""COMPUTED_VALUE"""),"Wounded")</f>
        <v>Wounded</v>
      </c>
      <c r="C415" s="5" t="str">
        <f ca="1">IFERROR(__xludf.DUMMYFUNCTION("""COMPUTED_VALUE"""),"Male")</f>
        <v>Male</v>
      </c>
      <c r="D415" s="5" t="str">
        <f ca="1">IFERROR(__xludf.DUMMYFUNCTION("""COMPUTED_VALUE"""),"Student")</f>
        <v>Student</v>
      </c>
      <c r="E415" s="5">
        <f ca="1">IFERROR(__xludf.DUMMYFUNCTION("""COMPUTED_VALUE"""),16)</f>
        <v>16</v>
      </c>
      <c r="F415" s="5"/>
    </row>
    <row r="416" spans="1:6">
      <c r="A416" s="5" t="str">
        <f ca="1">IFERROR(__xludf.DUMMYFUNCTION("""COMPUTED_VALUE"""),"20210427DESMS")</f>
        <v>20210427DESMS</v>
      </c>
      <c r="B416" s="5" t="str">
        <f ca="1">IFERROR(__xludf.DUMMYFUNCTION("""COMPUTED_VALUE"""),"Fatal")</f>
        <v>Fatal</v>
      </c>
      <c r="C416" s="5" t="str">
        <f ca="1">IFERROR(__xludf.DUMMYFUNCTION("""COMPUTED_VALUE"""),"Female")</f>
        <v>Female</v>
      </c>
      <c r="D416" s="5" t="str">
        <f ca="1">IFERROR(__xludf.DUMMYFUNCTION("""COMPUTED_VALUE"""),"Parent")</f>
        <v>Parent</v>
      </c>
      <c r="E416" s="5">
        <f ca="1">IFERROR(__xludf.DUMMYFUNCTION("""COMPUTED_VALUE"""),38)</f>
        <v>38</v>
      </c>
      <c r="F416" s="5"/>
    </row>
    <row r="417" spans="1:6">
      <c r="A417" s="5" t="str">
        <f ca="1">IFERROR(__xludf.DUMMYFUNCTION("""COMPUTED_VALUE"""),"20210420TXHAH")</f>
        <v>20210420TXHAH</v>
      </c>
      <c r="B417" s="5" t="str">
        <f ca="1">IFERROR(__xludf.DUMMYFUNCTION("""COMPUTED_VALUE"""),"Fatal")</f>
        <v>Fatal</v>
      </c>
      <c r="C417" s="5" t="str">
        <f ca="1">IFERROR(__xludf.DUMMYFUNCTION("""COMPUTED_VALUE"""),"Male")</f>
        <v>Male</v>
      </c>
      <c r="D417" s="5" t="str">
        <f ca="1">IFERROR(__xludf.DUMMYFUNCTION("""COMPUTED_VALUE"""),"No Relation")</f>
        <v>No Relation</v>
      </c>
      <c r="E417" s="5">
        <f ca="1">IFERROR(__xludf.DUMMYFUNCTION("""COMPUTED_VALUE"""),19)</f>
        <v>19</v>
      </c>
      <c r="F417" s="5" t="str">
        <f ca="1">IFERROR(__xludf.DUMMYFUNCTION("""COMPUTED_VALUE"""),"Black")</f>
        <v>Black</v>
      </c>
    </row>
    <row r="418" spans="1:6">
      <c r="A418" s="5" t="str">
        <f ca="1">IFERROR(__xludf.DUMMYFUNCTION("""COMPUTED_VALUE"""),"20210418OHWED")</f>
        <v>20210418OHWED</v>
      </c>
      <c r="B418" s="5" t="str">
        <f ca="1">IFERROR(__xludf.DUMMYFUNCTION("""COMPUTED_VALUE"""),"Fatal")</f>
        <v>Fatal</v>
      </c>
      <c r="C418" s="5" t="str">
        <f ca="1">IFERROR(__xludf.DUMMYFUNCTION("""COMPUTED_VALUE"""),"Male")</f>
        <v>Male</v>
      </c>
      <c r="D418" s="5" t="str">
        <f ca="1">IFERROR(__xludf.DUMMYFUNCTION("""COMPUTED_VALUE"""),"No Relation")</f>
        <v>No Relation</v>
      </c>
      <c r="E418" s="5">
        <f ca="1">IFERROR(__xludf.DUMMYFUNCTION("""COMPUTED_VALUE"""),16)</f>
        <v>16</v>
      </c>
      <c r="F418" s="5"/>
    </row>
    <row r="419" spans="1:6">
      <c r="A419" s="5" t="str">
        <f ca="1">IFERROR(__xludf.DUMMYFUNCTION("""COMPUTED_VALUE"""),"20210418OHWED")</f>
        <v>20210418OHWED</v>
      </c>
      <c r="B419" s="5" t="str">
        <f ca="1">IFERROR(__xludf.DUMMYFUNCTION("""COMPUTED_VALUE"""),"Wounded")</f>
        <v>Wounded</v>
      </c>
      <c r="C419" s="5" t="str">
        <f ca="1">IFERROR(__xludf.DUMMYFUNCTION("""COMPUTED_VALUE"""),"Male")</f>
        <v>Male</v>
      </c>
      <c r="D419" s="5" t="str">
        <f ca="1">IFERROR(__xludf.DUMMYFUNCTION("""COMPUTED_VALUE"""),"No Relation")</f>
        <v>No Relation</v>
      </c>
      <c r="E419" s="5" t="str">
        <f ca="1">IFERROR(__xludf.DUMMYFUNCTION("""COMPUTED_VALUE"""),"Teen")</f>
        <v>Teen</v>
      </c>
      <c r="F419" s="5"/>
    </row>
    <row r="420" spans="1:6">
      <c r="A420" s="5" t="str">
        <f ca="1">IFERROR(__xludf.DUMMYFUNCTION("""COMPUTED_VALUE"""),"20210413TNMAC")</f>
        <v>20210413TNMAC</v>
      </c>
      <c r="B420" s="5" t="str">
        <f ca="1">IFERROR(__xludf.DUMMYFUNCTION("""COMPUTED_VALUE"""),"None")</f>
        <v>None</v>
      </c>
      <c r="C420" s="5"/>
      <c r="D420" s="5" t="str">
        <f ca="1">IFERROR(__xludf.DUMMYFUNCTION("""COMPUTED_VALUE"""),"Bus Driver")</f>
        <v>Bus Driver</v>
      </c>
      <c r="E420" s="5" t="str">
        <f ca="1">IFERROR(__xludf.DUMMYFUNCTION("""COMPUTED_VALUE"""),"Adult")</f>
        <v>Adult</v>
      </c>
      <c r="F420" s="5"/>
    </row>
    <row r="421" spans="1:6">
      <c r="A421" s="5" t="str">
        <f ca="1">IFERROR(__xludf.DUMMYFUNCTION("""COMPUTED_VALUE"""),"20210412TNAUK")</f>
        <v>20210412TNAUK</v>
      </c>
      <c r="B421" s="5" t="str">
        <f ca="1">IFERROR(__xludf.DUMMYFUNCTION("""COMPUTED_VALUE"""),"Wounded")</f>
        <v>Wounded</v>
      </c>
      <c r="C421" s="5" t="str">
        <f ca="1">IFERROR(__xludf.DUMMYFUNCTION("""COMPUTED_VALUE"""),"Male")</f>
        <v>Male</v>
      </c>
      <c r="D421" s="5" t="str">
        <f ca="1">IFERROR(__xludf.DUMMYFUNCTION("""COMPUTED_VALUE"""),"Police Officer/SRO")</f>
        <v>Police Officer/SRO</v>
      </c>
      <c r="E421" s="5" t="str">
        <f ca="1">IFERROR(__xludf.DUMMYFUNCTION("""COMPUTED_VALUE"""),"Adult")</f>
        <v>Adult</v>
      </c>
      <c r="F421" s="5"/>
    </row>
    <row r="422" spans="1:6">
      <c r="A422" s="5" t="str">
        <f ca="1">IFERROR(__xludf.DUMMYFUNCTION("""COMPUTED_VALUE"""),"20210412CASAS")</f>
        <v>20210412CASAS</v>
      </c>
      <c r="B422" s="5" t="str">
        <f ca="1">IFERROR(__xludf.DUMMYFUNCTION("""COMPUTED_VALUE"""),"None")</f>
        <v>None</v>
      </c>
      <c r="C422" s="5" t="str">
        <f ca="1">IFERROR(__xludf.DUMMYFUNCTION("""COMPUTED_VALUE"""),"Female")</f>
        <v>Female</v>
      </c>
      <c r="D422" s="5" t="str">
        <f ca="1">IFERROR(__xludf.DUMMYFUNCTION("""COMPUTED_VALUE"""),"No Relation")</f>
        <v>No Relation</v>
      </c>
      <c r="E422" s="5">
        <f ca="1">IFERROR(__xludf.DUMMYFUNCTION("""COMPUTED_VALUE"""),33)</f>
        <v>33</v>
      </c>
      <c r="F422" s="5"/>
    </row>
    <row r="423" spans="1:6">
      <c r="A423" s="5" t="str">
        <f ca="1">IFERROR(__xludf.DUMMYFUNCTION("""COMPUTED_VALUE"""),"20210411INBIH")</f>
        <v>20210411INBIH</v>
      </c>
      <c r="B423" s="5" t="str">
        <f ca="1">IFERROR(__xludf.DUMMYFUNCTION("""COMPUTED_VALUE"""),"Fatal")</f>
        <v>Fatal</v>
      </c>
      <c r="C423" s="5" t="str">
        <f ca="1">IFERROR(__xludf.DUMMYFUNCTION("""COMPUTED_VALUE"""),"Female")</f>
        <v>Female</v>
      </c>
      <c r="D423" s="5" t="str">
        <f ca="1">IFERROR(__xludf.DUMMYFUNCTION("""COMPUTED_VALUE"""),"No Relation")</f>
        <v>No Relation</v>
      </c>
      <c r="E423" s="5">
        <f ca="1">IFERROR(__xludf.DUMMYFUNCTION("""COMPUTED_VALUE"""),43)</f>
        <v>43</v>
      </c>
      <c r="F423" s="5"/>
    </row>
    <row r="424" spans="1:6">
      <c r="A424" s="5" t="str">
        <f ca="1">IFERROR(__xludf.DUMMYFUNCTION("""COMPUTED_VALUE"""),"20210407ILPEP")</f>
        <v>20210407ILPEP</v>
      </c>
      <c r="B424" s="5" t="str">
        <f ca="1">IFERROR(__xludf.DUMMYFUNCTION("""COMPUTED_VALUE"""),"None")</f>
        <v>None</v>
      </c>
      <c r="C424" s="5" t="str">
        <f ca="1">IFERROR(__xludf.DUMMYFUNCTION("""COMPUTED_VALUE"""),"Male")</f>
        <v>Male</v>
      </c>
      <c r="D424" s="5" t="str">
        <f ca="1">IFERROR(__xludf.DUMMYFUNCTION("""COMPUTED_VALUE"""),"Student")</f>
        <v>Student</v>
      </c>
      <c r="E424" s="5">
        <f ca="1">IFERROR(__xludf.DUMMYFUNCTION("""COMPUTED_VALUE"""),16)</f>
        <v>16</v>
      </c>
      <c r="F424" s="5"/>
    </row>
    <row r="425" spans="1:6">
      <c r="A425" s="5" t="str">
        <f ca="1">IFERROR(__xludf.DUMMYFUNCTION("""COMPUTED_VALUE"""),"20210401ALSES")</f>
        <v>20210401ALSES</v>
      </c>
      <c r="B425" s="5" t="str">
        <f ca="1">IFERROR(__xludf.DUMMYFUNCTION("""COMPUTED_VALUE"""),"None")</f>
        <v>None</v>
      </c>
      <c r="C425" s="5" t="str">
        <f ca="1">IFERROR(__xludf.DUMMYFUNCTION("""COMPUTED_VALUE"""),"Male")</f>
        <v>Male</v>
      </c>
      <c r="D425" s="5" t="str">
        <f ca="1">IFERROR(__xludf.DUMMYFUNCTION("""COMPUTED_VALUE"""),"Student")</f>
        <v>Student</v>
      </c>
      <c r="E425" s="5" t="str">
        <f ca="1">IFERROR(__xludf.DUMMYFUNCTION("""COMPUTED_VALUE"""),"Teen")</f>
        <v>Teen</v>
      </c>
      <c r="F425" s="5"/>
    </row>
    <row r="426" spans="1:6">
      <c r="A426" s="5" t="str">
        <f ca="1">IFERROR(__xludf.DUMMYFUNCTION("""COMPUTED_VALUE"""),"20210327MAPEC")</f>
        <v>20210327MAPEC</v>
      </c>
      <c r="B426" s="5" t="str">
        <f ca="1">IFERROR(__xludf.DUMMYFUNCTION("""COMPUTED_VALUE"""),"Fatal")</f>
        <v>Fatal</v>
      </c>
      <c r="C426" s="5" t="str">
        <f ca="1">IFERROR(__xludf.DUMMYFUNCTION("""COMPUTED_VALUE"""),"Male")</f>
        <v>Male</v>
      </c>
      <c r="D426" s="5" t="str">
        <f ca="1">IFERROR(__xludf.DUMMYFUNCTION("""COMPUTED_VALUE"""),"Nonstudent Using Athletic Facilities/Attending Game")</f>
        <v>Nonstudent Using Athletic Facilities/Attending Game</v>
      </c>
      <c r="E426" s="5">
        <f ca="1">IFERROR(__xludf.DUMMYFUNCTION("""COMPUTED_VALUE"""),19)</f>
        <v>19</v>
      </c>
      <c r="F426" s="5"/>
    </row>
    <row r="427" spans="1:6">
      <c r="A427" s="5" t="str">
        <f ca="1">IFERROR(__xludf.DUMMYFUNCTION("""COMPUTED_VALUE"""),"20210324ORFOS")</f>
        <v>20210324ORFOS</v>
      </c>
      <c r="B427" s="5" t="str">
        <f ca="1">IFERROR(__xludf.DUMMYFUNCTION("""COMPUTED_VALUE"""),"Fatal")</f>
        <v>Fatal</v>
      </c>
      <c r="C427" s="5" t="str">
        <f ca="1">IFERROR(__xludf.DUMMYFUNCTION("""COMPUTED_VALUE"""),"Male")</f>
        <v>Male</v>
      </c>
      <c r="D427" s="5" t="str">
        <f ca="1">IFERROR(__xludf.DUMMYFUNCTION("""COMPUTED_VALUE"""),"No Relation")</f>
        <v>No Relation</v>
      </c>
      <c r="E427" s="5">
        <f ca="1">IFERROR(__xludf.DUMMYFUNCTION("""COMPUTED_VALUE"""),17)</f>
        <v>17</v>
      </c>
      <c r="F427" s="5"/>
    </row>
    <row r="428" spans="1:6">
      <c r="A428" s="5" t="str">
        <f ca="1">IFERROR(__xludf.DUMMYFUNCTION("""COMPUTED_VALUE"""),"20210324ORFOS")</f>
        <v>20210324ORFOS</v>
      </c>
      <c r="B428" s="5" t="str">
        <f ca="1">IFERROR(__xludf.DUMMYFUNCTION("""COMPUTED_VALUE"""),"Wounded")</f>
        <v>Wounded</v>
      </c>
      <c r="C428" s="5" t="str">
        <f ca="1">IFERROR(__xludf.DUMMYFUNCTION("""COMPUTED_VALUE"""),"Male")</f>
        <v>Male</v>
      </c>
      <c r="D428" s="5" t="str">
        <f ca="1">IFERROR(__xludf.DUMMYFUNCTION("""COMPUTED_VALUE"""),"No Relation")</f>
        <v>No Relation</v>
      </c>
      <c r="E428" s="5">
        <f ca="1">IFERROR(__xludf.DUMMYFUNCTION("""COMPUTED_VALUE"""),17)</f>
        <v>17</v>
      </c>
      <c r="F428" s="5"/>
    </row>
    <row r="429" spans="1:6">
      <c r="A429" s="5" t="str">
        <f ca="1">IFERROR(__xludf.DUMMYFUNCTION("""COMPUTED_VALUE"""),"20210315INMEM")</f>
        <v>20210315INMEM</v>
      </c>
      <c r="B429" s="5" t="str">
        <f ca="1">IFERROR(__xludf.DUMMYFUNCTION("""COMPUTED_VALUE"""),"Fatal")</f>
        <v>Fatal</v>
      </c>
      <c r="C429" s="5" t="str">
        <f ca="1">IFERROR(__xludf.DUMMYFUNCTION("""COMPUTED_VALUE"""),"Male")</f>
        <v>Male</v>
      </c>
      <c r="D429" s="5" t="str">
        <f ca="1">IFERROR(__xludf.DUMMYFUNCTION("""COMPUTED_VALUE"""),"No Relation")</f>
        <v>No Relation</v>
      </c>
      <c r="E429" s="5">
        <f ca="1">IFERROR(__xludf.DUMMYFUNCTION("""COMPUTED_VALUE"""),18)</f>
        <v>18</v>
      </c>
      <c r="F429" s="5" t="str">
        <f ca="1">IFERROR(__xludf.DUMMYFUNCTION("""COMPUTED_VALUE"""),"Black")</f>
        <v>Black</v>
      </c>
    </row>
    <row r="430" spans="1:6">
      <c r="A430" s="5" t="str">
        <f ca="1">IFERROR(__xludf.DUMMYFUNCTION("""COMPUTED_VALUE"""),"20210315INMEM")</f>
        <v>20210315INMEM</v>
      </c>
      <c r="B430" s="5" t="str">
        <f ca="1">IFERROR(__xludf.DUMMYFUNCTION("""COMPUTED_VALUE"""),"Wounded")</f>
        <v>Wounded</v>
      </c>
      <c r="C430" s="5" t="str">
        <f ca="1">IFERROR(__xludf.DUMMYFUNCTION("""COMPUTED_VALUE"""),"Male")</f>
        <v>Male</v>
      </c>
      <c r="D430" s="5" t="str">
        <f ca="1">IFERROR(__xludf.DUMMYFUNCTION("""COMPUTED_VALUE"""),"No Relation")</f>
        <v>No Relation</v>
      </c>
      <c r="E430" s="5" t="str">
        <f ca="1">IFERROR(__xludf.DUMMYFUNCTION("""COMPUTED_VALUE"""),"Teen")</f>
        <v>Teen</v>
      </c>
      <c r="F430" s="5"/>
    </row>
    <row r="431" spans="1:6">
      <c r="A431" s="5" t="str">
        <f ca="1">IFERROR(__xludf.DUMMYFUNCTION("""COMPUTED_VALUE"""),"20210313TXLEA")</f>
        <v>20210313TXLEA</v>
      </c>
      <c r="B431" s="5" t="str">
        <f ca="1">IFERROR(__xludf.DUMMYFUNCTION("""COMPUTED_VALUE"""),"Wounded")</f>
        <v>Wounded</v>
      </c>
      <c r="C431" s="5" t="str">
        <f ca="1">IFERROR(__xludf.DUMMYFUNCTION("""COMPUTED_VALUE"""),"Male")</f>
        <v>Male</v>
      </c>
      <c r="D431" s="5" t="str">
        <f ca="1">IFERROR(__xludf.DUMMYFUNCTION("""COMPUTED_VALUE"""),"Nonstudent Using Athletic Facilities/Attending Game")</f>
        <v>Nonstudent Using Athletic Facilities/Attending Game</v>
      </c>
      <c r="E431" s="5" t="str">
        <f ca="1">IFERROR(__xludf.DUMMYFUNCTION("""COMPUTED_VALUE"""),"Adult")</f>
        <v>Adult</v>
      </c>
      <c r="F431" s="5"/>
    </row>
    <row r="432" spans="1:6">
      <c r="A432" s="5" t="str">
        <f ca="1">IFERROR(__xludf.DUMMYFUNCTION("""COMPUTED_VALUE"""),"20210311OHCIC")</f>
        <v>20210311OHCIC</v>
      </c>
      <c r="B432" s="5" t="str">
        <f ca="1">IFERROR(__xludf.DUMMYFUNCTION("""COMPUTED_VALUE"""),"Wounded")</f>
        <v>Wounded</v>
      </c>
      <c r="C432" s="5" t="str">
        <f ca="1">IFERROR(__xludf.DUMMYFUNCTION("""COMPUTED_VALUE"""),"Male")</f>
        <v>Male</v>
      </c>
      <c r="D432" s="5" t="str">
        <f ca="1">IFERROR(__xludf.DUMMYFUNCTION("""COMPUTED_VALUE"""),"No Relation")</f>
        <v>No Relation</v>
      </c>
      <c r="E432" s="5" t="str">
        <f ca="1">IFERROR(__xludf.DUMMYFUNCTION("""COMPUTED_VALUE"""),"Adult")</f>
        <v>Adult</v>
      </c>
      <c r="F432" s="5"/>
    </row>
    <row r="433" spans="1:6">
      <c r="A433" s="5" t="str">
        <f ca="1">IFERROR(__xludf.DUMMYFUNCTION("""COMPUTED_VALUE"""),"20210308SCEDC")</f>
        <v>20210308SCEDC</v>
      </c>
      <c r="B433" s="5" t="str">
        <f ca="1">IFERROR(__xludf.DUMMYFUNCTION("""COMPUTED_VALUE"""),"Wounded")</f>
        <v>Wounded</v>
      </c>
      <c r="C433" s="5" t="str">
        <f ca="1">IFERROR(__xludf.DUMMYFUNCTION("""COMPUTED_VALUE"""),"Male")</f>
        <v>Male</v>
      </c>
      <c r="D433" s="5" t="str">
        <f ca="1">IFERROR(__xludf.DUMMYFUNCTION("""COMPUTED_VALUE"""),"Relative")</f>
        <v>Relative</v>
      </c>
      <c r="E433" s="5" t="str">
        <f ca="1">IFERROR(__xludf.DUMMYFUNCTION("""COMPUTED_VALUE"""),"Adult")</f>
        <v>Adult</v>
      </c>
      <c r="F433" s="5"/>
    </row>
    <row r="434" spans="1:6">
      <c r="A434" s="5" t="str">
        <f ca="1">IFERROR(__xludf.DUMMYFUNCTION("""COMPUTED_VALUE"""),"20210301ARWAP")</f>
        <v>20210301ARWAP</v>
      </c>
      <c r="B434" s="5" t="str">
        <f ca="1">IFERROR(__xludf.DUMMYFUNCTION("""COMPUTED_VALUE"""),"Fatal")</f>
        <v>Fatal</v>
      </c>
      <c r="C434" s="5" t="str">
        <f ca="1">IFERROR(__xludf.DUMMYFUNCTION("""COMPUTED_VALUE"""),"Male")</f>
        <v>Male</v>
      </c>
      <c r="D434" s="5" t="str">
        <f ca="1">IFERROR(__xludf.DUMMYFUNCTION("""COMPUTED_VALUE"""),"Student")</f>
        <v>Student</v>
      </c>
      <c r="E434" s="5">
        <f ca="1">IFERROR(__xludf.DUMMYFUNCTION("""COMPUTED_VALUE"""),15)</f>
        <v>15</v>
      </c>
      <c r="F434" s="5"/>
    </row>
    <row r="435" spans="1:6">
      <c r="A435" s="5" t="str">
        <f ca="1">IFERROR(__xludf.DUMMYFUNCTION("""COMPUTED_VALUE"""),"20210226LAGEN")</f>
        <v>20210226LAGEN</v>
      </c>
      <c r="B435" s="5" t="str">
        <f ca="1">IFERROR(__xludf.DUMMYFUNCTION("""COMPUTED_VALUE"""),"Fatal")</f>
        <v>Fatal</v>
      </c>
      <c r="C435" s="5" t="str">
        <f ca="1">IFERROR(__xludf.DUMMYFUNCTION("""COMPUTED_VALUE"""),"Male")</f>
        <v>Male</v>
      </c>
      <c r="D435" s="5" t="str">
        <f ca="1">IFERROR(__xludf.DUMMYFUNCTION("""COMPUTED_VALUE"""),"Police Officer/SRO")</f>
        <v>Police Officer/SRO</v>
      </c>
      <c r="E435" s="5">
        <f ca="1">IFERROR(__xludf.DUMMYFUNCTION("""COMPUTED_VALUE"""),38)</f>
        <v>38</v>
      </c>
      <c r="F435" s="5" t="str">
        <f ca="1">IFERROR(__xludf.DUMMYFUNCTION("""COMPUTED_VALUE"""),"Black")</f>
        <v>Black</v>
      </c>
    </row>
    <row r="436" spans="1:6">
      <c r="A436" s="5" t="str">
        <f ca="1">IFERROR(__xludf.DUMMYFUNCTION("""COMPUTED_VALUE"""),"20210224WAGAY")</f>
        <v>20210224WAGAY</v>
      </c>
      <c r="B436" s="5" t="str">
        <f ca="1">IFERROR(__xludf.DUMMYFUNCTION("""COMPUTED_VALUE"""),"Wounded")</f>
        <v>Wounded</v>
      </c>
      <c r="C436" s="5" t="str">
        <f ca="1">IFERROR(__xludf.DUMMYFUNCTION("""COMPUTED_VALUE"""),"Male")</f>
        <v>Male</v>
      </c>
      <c r="D436" s="5" t="str">
        <f ca="1">IFERROR(__xludf.DUMMYFUNCTION("""COMPUTED_VALUE"""),"No Relation")</f>
        <v>No Relation</v>
      </c>
      <c r="E436" s="5">
        <f ca="1">IFERROR(__xludf.DUMMYFUNCTION("""COMPUTED_VALUE"""),16)</f>
        <v>16</v>
      </c>
      <c r="F436" s="5"/>
    </row>
    <row r="437" spans="1:6">
      <c r="A437" s="5" t="str">
        <f ca="1">IFERROR(__xludf.DUMMYFUNCTION("""COMPUTED_VALUE"""),"20210222CAHOV")</f>
        <v>20210222CAHOV</v>
      </c>
      <c r="B437" s="5" t="str">
        <f ca="1">IFERROR(__xludf.DUMMYFUNCTION("""COMPUTED_VALUE"""),"Wounded")</f>
        <v>Wounded</v>
      </c>
      <c r="C437" s="5" t="str">
        <f ca="1">IFERROR(__xludf.DUMMYFUNCTION("""COMPUTED_VALUE"""),"Male")</f>
        <v>Male</v>
      </c>
      <c r="D437" s="5" t="str">
        <f ca="1">IFERROR(__xludf.DUMMYFUNCTION("""COMPUTED_VALUE"""),"No Relation")</f>
        <v>No Relation</v>
      </c>
      <c r="E437" s="5" t="str">
        <f ca="1">IFERROR(__xludf.DUMMYFUNCTION("""COMPUTED_VALUE"""),"Adult")</f>
        <v>Adult</v>
      </c>
      <c r="F437" s="5"/>
    </row>
    <row r="438" spans="1:6">
      <c r="A438" s="5" t="str">
        <f ca="1">IFERROR(__xludf.DUMMYFUNCTION("""COMPUTED_VALUE"""),"20210219ILLIR")</f>
        <v>20210219ILLIR</v>
      </c>
      <c r="B438" s="5" t="str">
        <f ca="1">IFERROR(__xludf.DUMMYFUNCTION("""COMPUTED_VALUE"""),"Fatal")</f>
        <v>Fatal</v>
      </c>
      <c r="C438" s="5" t="str">
        <f ca="1">IFERROR(__xludf.DUMMYFUNCTION("""COMPUTED_VALUE"""),"Male")</f>
        <v>Male</v>
      </c>
      <c r="D438" s="5" t="str">
        <f ca="1">IFERROR(__xludf.DUMMYFUNCTION("""COMPUTED_VALUE"""),"No Relation")</f>
        <v>No Relation</v>
      </c>
      <c r="E438" s="5">
        <f ca="1">IFERROR(__xludf.DUMMYFUNCTION("""COMPUTED_VALUE"""),30)</f>
        <v>30</v>
      </c>
      <c r="F438" s="5"/>
    </row>
    <row r="439" spans="1:6">
      <c r="A439" s="5" t="str">
        <f ca="1">IFERROR(__xludf.DUMMYFUNCTION("""COMPUTED_VALUE"""),"20210214MNROM")</f>
        <v>20210214MNROM</v>
      </c>
      <c r="B439" s="5" t="str">
        <f ca="1">IFERROR(__xludf.DUMMYFUNCTION("""COMPUTED_VALUE"""),"Wounded")</f>
        <v>Wounded</v>
      </c>
      <c r="C439" s="5"/>
      <c r="D439" s="5" t="str">
        <f ca="1">IFERROR(__xludf.DUMMYFUNCTION("""COMPUTED_VALUE"""),"No Relation")</f>
        <v>No Relation</v>
      </c>
      <c r="E439" s="5" t="str">
        <f ca="1">IFERROR(__xludf.DUMMYFUNCTION("""COMPUTED_VALUE"""),"Adult")</f>
        <v>Adult</v>
      </c>
      <c r="F439" s="5"/>
    </row>
    <row r="440" spans="1:6">
      <c r="A440" s="5" t="str">
        <f ca="1">IFERROR(__xludf.DUMMYFUNCTION("""COMPUTED_VALUE"""),"20210214MNROM")</f>
        <v>20210214MNROM</v>
      </c>
      <c r="B440" s="5" t="str">
        <f ca="1">IFERROR(__xludf.DUMMYFUNCTION("""COMPUTED_VALUE"""),"Fatal")</f>
        <v>Fatal</v>
      </c>
      <c r="C440" s="5" t="str">
        <f ca="1">IFERROR(__xludf.DUMMYFUNCTION("""COMPUTED_VALUE"""),"Male")</f>
        <v>Male</v>
      </c>
      <c r="D440" s="5" t="str">
        <f ca="1">IFERROR(__xludf.DUMMYFUNCTION("""COMPUTED_VALUE"""),"No Relation")</f>
        <v>No Relation</v>
      </c>
      <c r="E440" s="5">
        <f ca="1">IFERROR(__xludf.DUMMYFUNCTION("""COMPUTED_VALUE"""),53)</f>
        <v>53</v>
      </c>
      <c r="F440" s="5"/>
    </row>
    <row r="441" spans="1:6">
      <c r="A441" s="5" t="str">
        <f ca="1">IFERROR(__xludf.DUMMYFUNCTION("""COMPUTED_VALUE"""),"20210214MNROM")</f>
        <v>20210214MNROM</v>
      </c>
      <c r="B441" s="5" t="str">
        <f ca="1">IFERROR(__xludf.DUMMYFUNCTION("""COMPUTED_VALUE"""),"Fatal")</f>
        <v>Fatal</v>
      </c>
      <c r="C441" s="5" t="str">
        <f ca="1">IFERROR(__xludf.DUMMYFUNCTION("""COMPUTED_VALUE"""),"Female")</f>
        <v>Female</v>
      </c>
      <c r="D441" s="5" t="str">
        <f ca="1">IFERROR(__xludf.DUMMYFUNCTION("""COMPUTED_VALUE"""),"No Relation")</f>
        <v>No Relation</v>
      </c>
      <c r="E441" s="5">
        <f ca="1">IFERROR(__xludf.DUMMYFUNCTION("""COMPUTED_VALUE"""),34)</f>
        <v>34</v>
      </c>
      <c r="F441" s="5"/>
    </row>
    <row r="442" spans="1:6">
      <c r="A442" s="5" t="str">
        <f ca="1">IFERROR(__xludf.DUMMYFUNCTION("""COMPUTED_VALUE"""),"20210210TXFOF")</f>
        <v>20210210TXFOF</v>
      </c>
      <c r="B442" s="5" t="str">
        <f ca="1">IFERROR(__xludf.DUMMYFUNCTION("""COMPUTED_VALUE"""),"Fatal")</f>
        <v>Fatal</v>
      </c>
      <c r="C442" s="5" t="str">
        <f ca="1">IFERROR(__xludf.DUMMYFUNCTION("""COMPUTED_VALUE"""),"Male")</f>
        <v>Male</v>
      </c>
      <c r="D442" s="5" t="str">
        <f ca="1">IFERROR(__xludf.DUMMYFUNCTION("""COMPUTED_VALUE"""),"No Relation")</f>
        <v>No Relation</v>
      </c>
      <c r="E442" s="5" t="str">
        <f ca="1">IFERROR(__xludf.DUMMYFUNCTION("""COMPUTED_VALUE"""),"Adult")</f>
        <v>Adult</v>
      </c>
      <c r="F442" s="5"/>
    </row>
    <row r="443" spans="1:6">
      <c r="A443" s="5" t="str">
        <f ca="1">IFERROR(__xludf.DUMMYFUNCTION("""COMPUTED_VALUE"""),"20210210NJSCP")</f>
        <v>20210210NJSCP</v>
      </c>
      <c r="B443" s="5" t="str">
        <f ca="1">IFERROR(__xludf.DUMMYFUNCTION("""COMPUTED_VALUE"""),"Fatal")</f>
        <v>Fatal</v>
      </c>
      <c r="C443" s="5" t="str">
        <f ca="1">IFERROR(__xludf.DUMMYFUNCTION("""COMPUTED_VALUE"""),"Female")</f>
        <v>Female</v>
      </c>
      <c r="D443" s="5" t="str">
        <f ca="1">IFERROR(__xludf.DUMMYFUNCTION("""COMPUTED_VALUE"""),"No Relation")</f>
        <v>No Relation</v>
      </c>
      <c r="E443" s="5">
        <f ca="1">IFERROR(__xludf.DUMMYFUNCTION("""COMPUTED_VALUE"""),41)</f>
        <v>41</v>
      </c>
      <c r="F443" s="5"/>
    </row>
    <row r="444" spans="1:6">
      <c r="A444" s="5" t="str">
        <f ca="1">IFERROR(__xludf.DUMMYFUNCTION("""COMPUTED_VALUE"""),"20210210LASTS")</f>
        <v>20210210LASTS</v>
      </c>
      <c r="B444" s="5" t="str">
        <f ca="1">IFERROR(__xludf.DUMMYFUNCTION("""COMPUTED_VALUE"""),"Minor Injuries")</f>
        <v>Minor Injuries</v>
      </c>
      <c r="C444" s="5" t="str">
        <f ca="1">IFERROR(__xludf.DUMMYFUNCTION("""COMPUTED_VALUE"""),"Male")</f>
        <v>Male</v>
      </c>
      <c r="D444" s="5" t="str">
        <f ca="1">IFERROR(__xludf.DUMMYFUNCTION("""COMPUTED_VALUE"""),"Student")</f>
        <v>Student</v>
      </c>
      <c r="E444" s="5">
        <f ca="1">IFERROR(__xludf.DUMMYFUNCTION("""COMPUTED_VALUE"""),4)</f>
        <v>4</v>
      </c>
      <c r="F444" s="5"/>
    </row>
    <row r="445" spans="1:6">
      <c r="A445" s="5" t="str">
        <f ca="1">IFERROR(__xludf.DUMMYFUNCTION("""COMPUTED_VALUE"""),"20210205MDBEM")</f>
        <v>20210205MDBEM</v>
      </c>
      <c r="B445" s="5" t="str">
        <f ca="1">IFERROR(__xludf.DUMMYFUNCTION("""COMPUTED_VALUE"""),"Wounded")</f>
        <v>Wounded</v>
      </c>
      <c r="C445" s="5" t="str">
        <f ca="1">IFERROR(__xludf.DUMMYFUNCTION("""COMPUTED_VALUE"""),"Male")</f>
        <v>Male</v>
      </c>
      <c r="D445" s="5" t="str">
        <f ca="1">IFERROR(__xludf.DUMMYFUNCTION("""COMPUTED_VALUE"""),"No Relation")</f>
        <v>No Relation</v>
      </c>
      <c r="E445" s="5" t="str">
        <f ca="1">IFERROR(__xludf.DUMMYFUNCTION("""COMPUTED_VALUE"""),"Adult")</f>
        <v>Adult</v>
      </c>
      <c r="F445" s="5"/>
    </row>
    <row r="446" spans="1:6">
      <c r="A446" s="5" t="str">
        <f ca="1">IFERROR(__xludf.DUMMYFUNCTION("""COMPUTED_VALUE"""),"20210201MIMUD")</f>
        <v>20210201MIMUD</v>
      </c>
      <c r="B446" s="5" t="str">
        <f ca="1">IFERROR(__xludf.DUMMYFUNCTION("""COMPUTED_VALUE"""),"Wounded")</f>
        <v>Wounded</v>
      </c>
      <c r="C446" s="5"/>
      <c r="D446" s="5" t="str">
        <f ca="1">IFERROR(__xludf.DUMMYFUNCTION("""COMPUTED_VALUE"""),"Nonstudent Using Athletic Facilities/Attending Game")</f>
        <v>Nonstudent Using Athletic Facilities/Attending Game</v>
      </c>
      <c r="E446" s="5"/>
      <c r="F446" s="5"/>
    </row>
    <row r="447" spans="1:6">
      <c r="A447" s="5" t="str">
        <f ca="1">IFERROR(__xludf.DUMMYFUNCTION("""COMPUTED_VALUE"""),"20210127FLHOH")</f>
        <v>20210127FLHOH</v>
      </c>
      <c r="B447" s="5" t="str">
        <f ca="1">IFERROR(__xludf.DUMMYFUNCTION("""COMPUTED_VALUE"""),"Minor Injuries")</f>
        <v>Minor Injuries</v>
      </c>
      <c r="C447" s="5"/>
      <c r="D447" s="5" t="str">
        <f ca="1">IFERROR(__xludf.DUMMYFUNCTION("""COMPUTED_VALUE"""),"Student")</f>
        <v>Student</v>
      </c>
      <c r="E447" s="5" t="str">
        <f ca="1">IFERROR(__xludf.DUMMYFUNCTION("""COMPUTED_VALUE"""),"Teen")</f>
        <v>Teen</v>
      </c>
      <c r="F447" s="5"/>
    </row>
    <row r="448" spans="1:6">
      <c r="A448" s="5" t="str">
        <f ca="1">IFERROR(__xludf.DUMMYFUNCTION("""COMPUTED_VALUE"""),"20210121OHEAC")</f>
        <v>20210121OHEAC</v>
      </c>
      <c r="B448" s="5" t="str">
        <f ca="1">IFERROR(__xludf.DUMMYFUNCTION("""COMPUTED_VALUE"""),"Wounded")</f>
        <v>Wounded</v>
      </c>
      <c r="C448" s="5" t="str">
        <f ca="1">IFERROR(__xludf.DUMMYFUNCTION("""COMPUTED_VALUE"""),"Male")</f>
        <v>Male</v>
      </c>
      <c r="D448" s="5" t="str">
        <f ca="1">IFERROR(__xludf.DUMMYFUNCTION("""COMPUTED_VALUE"""),"No Relation")</f>
        <v>No Relation</v>
      </c>
      <c r="E448" s="5">
        <f ca="1">IFERROR(__xludf.DUMMYFUNCTION("""COMPUTED_VALUE"""),19)</f>
        <v>19</v>
      </c>
      <c r="F448" s="5"/>
    </row>
    <row r="449" spans="1:6">
      <c r="A449" s="5" t="str">
        <f ca="1">IFERROR(__xludf.DUMMYFUNCTION("""COMPUTED_VALUE"""),"20210114MDHIW")</f>
        <v>20210114MDHIW</v>
      </c>
      <c r="B449" s="5" t="str">
        <f ca="1">IFERROR(__xludf.DUMMYFUNCTION("""COMPUTED_VALUE"""),"Fatal")</f>
        <v>Fatal</v>
      </c>
      <c r="C449" s="5" t="str">
        <f ca="1">IFERROR(__xludf.DUMMYFUNCTION("""COMPUTED_VALUE"""),"Male")</f>
        <v>Male</v>
      </c>
      <c r="D449" s="5" t="str">
        <f ca="1">IFERROR(__xludf.DUMMYFUNCTION("""COMPUTED_VALUE"""),"No Relation")</f>
        <v>No Relation</v>
      </c>
      <c r="E449" s="5">
        <f ca="1">IFERROR(__xludf.DUMMYFUNCTION("""COMPUTED_VALUE"""),21)</f>
        <v>21</v>
      </c>
      <c r="F449" s="5"/>
    </row>
    <row r="450" spans="1:6">
      <c r="A450" s="5" t="str">
        <f ca="1">IFERROR(__xludf.DUMMYFUNCTION("""COMPUTED_VALUE"""),"20210110ILSOS")</f>
        <v>20210110ILSOS</v>
      </c>
      <c r="B450" s="5" t="str">
        <f ca="1">IFERROR(__xludf.DUMMYFUNCTION("""COMPUTED_VALUE"""),"Wounded")</f>
        <v>Wounded</v>
      </c>
      <c r="C450" s="5" t="str">
        <f ca="1">IFERROR(__xludf.DUMMYFUNCTION("""COMPUTED_VALUE"""),"Female")</f>
        <v>Female</v>
      </c>
      <c r="D450" s="5" t="str">
        <f ca="1">IFERROR(__xludf.DUMMYFUNCTION("""COMPUTED_VALUE"""),"Student")</f>
        <v>Student</v>
      </c>
      <c r="E450" s="5">
        <f ca="1">IFERROR(__xludf.DUMMYFUNCTION("""COMPUTED_VALUE"""),16)</f>
        <v>16</v>
      </c>
      <c r="F450" s="5" t="str">
        <f ca="1">IFERROR(__xludf.DUMMYFUNCTION("""COMPUTED_VALUE"""),"Black")</f>
        <v>Black</v>
      </c>
    </row>
    <row r="451" spans="1:6">
      <c r="A451" s="5" t="str">
        <f ca="1">IFERROR(__xludf.DUMMYFUNCTION("""COMPUTED_VALUE"""),"20210110ILSOS")</f>
        <v>20210110ILSOS</v>
      </c>
      <c r="B451" s="5" t="str">
        <f ca="1">IFERROR(__xludf.DUMMYFUNCTION("""COMPUTED_VALUE"""),"Wounded")</f>
        <v>Wounded</v>
      </c>
      <c r="C451" s="5" t="str">
        <f ca="1">IFERROR(__xludf.DUMMYFUNCTION("""COMPUTED_VALUE"""),"Female")</f>
        <v>Female</v>
      </c>
      <c r="D451" s="5" t="str">
        <f ca="1">IFERROR(__xludf.DUMMYFUNCTION("""COMPUTED_VALUE"""),"Relative")</f>
        <v>Relative</v>
      </c>
      <c r="E451" s="5">
        <f ca="1">IFERROR(__xludf.DUMMYFUNCTION("""COMPUTED_VALUE"""),20)</f>
        <v>20</v>
      </c>
      <c r="F451" s="5"/>
    </row>
    <row r="452" spans="1:6">
      <c r="A452" s="5" t="str">
        <f ca="1">IFERROR(__xludf.DUMMYFUNCTION("""COMPUTED_VALUE"""),"20201229WAROS")</f>
        <v>20201229WAROS</v>
      </c>
      <c r="B452" s="5" t="str">
        <f ca="1">IFERROR(__xludf.DUMMYFUNCTION("""COMPUTED_VALUE"""),"Wounded")</f>
        <v>Wounded</v>
      </c>
      <c r="C452" s="5" t="str">
        <f ca="1">IFERROR(__xludf.DUMMYFUNCTION("""COMPUTED_VALUE"""),"Male")</f>
        <v>Male</v>
      </c>
      <c r="D452" s="5"/>
      <c r="E452" s="5" t="str">
        <f ca="1">IFERROR(__xludf.DUMMYFUNCTION("""COMPUTED_VALUE"""),"Teen")</f>
        <v>Teen</v>
      </c>
      <c r="F452" s="5"/>
    </row>
    <row r="453" spans="1:6">
      <c r="A453" s="5" t="str">
        <f ca="1">IFERROR(__xludf.DUMMYFUNCTION("""COMPUTED_VALUE"""),"20201229WAROS")</f>
        <v>20201229WAROS</v>
      </c>
      <c r="B453" s="5" t="str">
        <f ca="1">IFERROR(__xludf.DUMMYFUNCTION("""COMPUTED_VALUE"""),"Wounded")</f>
        <v>Wounded</v>
      </c>
      <c r="C453" s="5" t="str">
        <f ca="1">IFERROR(__xludf.DUMMYFUNCTION("""COMPUTED_VALUE"""),"Male")</f>
        <v>Male</v>
      </c>
      <c r="D453" s="5"/>
      <c r="E453" s="5" t="str">
        <f ca="1">IFERROR(__xludf.DUMMYFUNCTION("""COMPUTED_VALUE"""),"Teen")</f>
        <v>Teen</v>
      </c>
      <c r="F453" s="5"/>
    </row>
    <row r="454" spans="1:6">
      <c r="A454" s="5" t="str">
        <f ca="1">IFERROR(__xludf.DUMMYFUNCTION("""COMPUTED_VALUE"""),"20201216ILDUC")</f>
        <v>20201216ILDUC</v>
      </c>
      <c r="B454" s="5" t="str">
        <f ca="1">IFERROR(__xludf.DUMMYFUNCTION("""COMPUTED_VALUE"""),"Fatal")</f>
        <v>Fatal</v>
      </c>
      <c r="C454" s="5" t="str">
        <f ca="1">IFERROR(__xludf.DUMMYFUNCTION("""COMPUTED_VALUE"""),"Male")</f>
        <v>Male</v>
      </c>
      <c r="D454" s="5" t="str">
        <f ca="1">IFERROR(__xludf.DUMMYFUNCTION("""COMPUTED_VALUE"""),"No Relation")</f>
        <v>No Relation</v>
      </c>
      <c r="E454" s="5">
        <f ca="1">IFERROR(__xludf.DUMMYFUNCTION("""COMPUTED_VALUE"""),19)</f>
        <v>19</v>
      </c>
      <c r="F454" s="5" t="str">
        <f ca="1">IFERROR(__xludf.DUMMYFUNCTION("""COMPUTED_VALUE"""),"Black")</f>
        <v>Black</v>
      </c>
    </row>
    <row r="455" spans="1:6">
      <c r="A455" s="5" t="str">
        <f ca="1">IFERROR(__xludf.DUMMYFUNCTION("""COMPUTED_VALUE"""),"20201207ILEAC")</f>
        <v>20201207ILEAC</v>
      </c>
      <c r="B455" s="5" t="str">
        <f ca="1">IFERROR(__xludf.DUMMYFUNCTION("""COMPUTED_VALUE"""),"Fatal")</f>
        <v>Fatal</v>
      </c>
      <c r="C455" s="5" t="str">
        <f ca="1">IFERROR(__xludf.DUMMYFUNCTION("""COMPUTED_VALUE"""),"Male")</f>
        <v>Male</v>
      </c>
      <c r="D455" s="5" t="str">
        <f ca="1">IFERROR(__xludf.DUMMYFUNCTION("""COMPUTED_VALUE"""),"No Relation")</f>
        <v>No Relation</v>
      </c>
      <c r="E455" s="5">
        <f ca="1">IFERROR(__xludf.DUMMYFUNCTION("""COMPUTED_VALUE"""),21)</f>
        <v>21</v>
      </c>
      <c r="F455" s="5"/>
    </row>
    <row r="456" spans="1:6">
      <c r="A456" s="5" t="str">
        <f ca="1">IFERROR(__xludf.DUMMYFUNCTION("""COMPUTED_VALUE"""),"20201125KSABG")</f>
        <v>20201125KSABG</v>
      </c>
      <c r="B456" s="5" t="str">
        <f ca="1">IFERROR(__xludf.DUMMYFUNCTION("""COMPUTED_VALUE"""),"Wounded")</f>
        <v>Wounded</v>
      </c>
      <c r="C456" s="5" t="str">
        <f ca="1">IFERROR(__xludf.DUMMYFUNCTION("""COMPUTED_VALUE"""),"Male")</f>
        <v>Male</v>
      </c>
      <c r="D456" s="5" t="str">
        <f ca="1">IFERROR(__xludf.DUMMYFUNCTION("""COMPUTED_VALUE"""),"No Relation")</f>
        <v>No Relation</v>
      </c>
      <c r="E456" s="5">
        <f ca="1">IFERROR(__xludf.DUMMYFUNCTION("""COMPUTED_VALUE"""),16)</f>
        <v>16</v>
      </c>
      <c r="F456" s="5"/>
    </row>
    <row r="457" spans="1:6">
      <c r="A457" s="5" t="str">
        <f ca="1">IFERROR(__xludf.DUMMYFUNCTION("""COMPUTED_VALUE"""),"20201124NCHEH")</f>
        <v>20201124NCHEH</v>
      </c>
      <c r="B457" s="5" t="str">
        <f ca="1">IFERROR(__xludf.DUMMYFUNCTION("""COMPUTED_VALUE"""),"Wounded")</f>
        <v>Wounded</v>
      </c>
      <c r="C457" s="5" t="str">
        <f ca="1">IFERROR(__xludf.DUMMYFUNCTION("""COMPUTED_VALUE"""),"Female")</f>
        <v>Female</v>
      </c>
      <c r="D457" s="5" t="str">
        <f ca="1">IFERROR(__xludf.DUMMYFUNCTION("""COMPUTED_VALUE"""),"Student")</f>
        <v>Student</v>
      </c>
      <c r="E457" s="5">
        <f ca="1">IFERROR(__xludf.DUMMYFUNCTION("""COMPUTED_VALUE"""),12)</f>
        <v>12</v>
      </c>
      <c r="F457" s="5"/>
    </row>
    <row r="458" spans="1:6">
      <c r="A458" s="5" t="str">
        <f ca="1">IFERROR(__xludf.DUMMYFUNCTION("""COMPUTED_VALUE"""),"20201116TNWIM")</f>
        <v>20201116TNWIM</v>
      </c>
      <c r="B458" s="5" t="str">
        <f ca="1">IFERROR(__xludf.DUMMYFUNCTION("""COMPUTED_VALUE"""),"None")</f>
        <v>None</v>
      </c>
      <c r="C458" s="5" t="str">
        <f ca="1">IFERROR(__xludf.DUMMYFUNCTION("""COMPUTED_VALUE"""),"Female")</f>
        <v>Female</v>
      </c>
      <c r="D458" s="5" t="str">
        <f ca="1">IFERROR(__xludf.DUMMYFUNCTION("""COMPUTED_VALUE"""),"No Relation")</f>
        <v>No Relation</v>
      </c>
      <c r="E458" s="5" t="str">
        <f ca="1">IFERROR(__xludf.DUMMYFUNCTION("""COMPUTED_VALUE"""),"Adult")</f>
        <v>Adult</v>
      </c>
      <c r="F458" s="5"/>
    </row>
    <row r="459" spans="1:6">
      <c r="A459" s="5" t="str">
        <f ca="1">IFERROR(__xludf.DUMMYFUNCTION("""COMPUTED_VALUE"""),"20201113NCLIL")</f>
        <v>20201113NCLIL</v>
      </c>
      <c r="B459" s="5" t="str">
        <f ca="1">IFERROR(__xludf.DUMMYFUNCTION("""COMPUTED_VALUE"""),"Wounded")</f>
        <v>Wounded</v>
      </c>
      <c r="C459" s="5" t="str">
        <f ca="1">IFERROR(__xludf.DUMMYFUNCTION("""COMPUTED_VALUE"""),"Male")</f>
        <v>Male</v>
      </c>
      <c r="D459" s="5" t="str">
        <f ca="1">IFERROR(__xludf.DUMMYFUNCTION("""COMPUTED_VALUE"""),"Student")</f>
        <v>Student</v>
      </c>
      <c r="E459" s="5">
        <f ca="1">IFERROR(__xludf.DUMMYFUNCTION("""COMPUTED_VALUE"""),6)</f>
        <v>6</v>
      </c>
      <c r="F459" s="5" t="str">
        <f ca="1">IFERROR(__xludf.DUMMYFUNCTION("""COMPUTED_VALUE"""),"White")</f>
        <v>White</v>
      </c>
    </row>
    <row r="460" spans="1:6">
      <c r="A460" s="5" t="str">
        <f ca="1">IFERROR(__xludf.DUMMYFUNCTION("""COMPUTED_VALUE"""),"20201112PANAH")</f>
        <v>20201112PANAH</v>
      </c>
      <c r="B460" s="5" t="str">
        <f ca="1">IFERROR(__xludf.DUMMYFUNCTION("""COMPUTED_VALUE"""),"Fatal")</f>
        <v>Fatal</v>
      </c>
      <c r="C460" s="5" t="str">
        <f ca="1">IFERROR(__xludf.DUMMYFUNCTION("""COMPUTED_VALUE"""),"Male")</f>
        <v>Male</v>
      </c>
      <c r="D460" s="5" t="str">
        <f ca="1">IFERROR(__xludf.DUMMYFUNCTION("""COMPUTED_VALUE"""),"No Relation")</f>
        <v>No Relation</v>
      </c>
      <c r="E460" s="5">
        <f ca="1">IFERROR(__xludf.DUMMYFUNCTION("""COMPUTED_VALUE"""),17)</f>
        <v>17</v>
      </c>
      <c r="F460" s="5"/>
    </row>
    <row r="461" spans="1:6">
      <c r="A461" s="5" t="str">
        <f ca="1">IFERROR(__xludf.DUMMYFUNCTION("""COMPUTED_VALUE"""),"20201112CACEU")</f>
        <v>20201112CACEU</v>
      </c>
      <c r="B461" s="5" t="str">
        <f ca="1">IFERROR(__xludf.DUMMYFUNCTION("""COMPUTED_VALUE"""),"Wounded")</f>
        <v>Wounded</v>
      </c>
      <c r="C461" s="5" t="str">
        <f ca="1">IFERROR(__xludf.DUMMYFUNCTION("""COMPUTED_VALUE"""),"Male")</f>
        <v>Male</v>
      </c>
      <c r="D461" s="5" t="str">
        <f ca="1">IFERROR(__xludf.DUMMYFUNCTION("""COMPUTED_VALUE"""),"No Relation")</f>
        <v>No Relation</v>
      </c>
      <c r="E461" s="5" t="str">
        <f ca="1">IFERROR(__xludf.DUMMYFUNCTION("""COMPUTED_VALUE"""),"Adult")</f>
        <v>Adult</v>
      </c>
      <c r="F461" s="5"/>
    </row>
    <row r="462" spans="1:6">
      <c r="A462" s="5" t="str">
        <f ca="1">IFERROR(__xludf.DUMMYFUNCTION("""COMPUTED_VALUE"""),"20201109TXCOH")</f>
        <v>20201109TXCOH</v>
      </c>
      <c r="B462" s="5" t="str">
        <f ca="1">IFERROR(__xludf.DUMMYFUNCTION("""COMPUTED_VALUE"""),"Fatal")</f>
        <v>Fatal</v>
      </c>
      <c r="C462" s="5" t="str">
        <f ca="1">IFERROR(__xludf.DUMMYFUNCTION("""COMPUTED_VALUE"""),"Male")</f>
        <v>Male</v>
      </c>
      <c r="D462" s="5" t="str">
        <f ca="1">IFERROR(__xludf.DUMMYFUNCTION("""COMPUTED_VALUE"""),"No Relation")</f>
        <v>No Relation</v>
      </c>
      <c r="E462" s="5" t="str">
        <f ca="1">IFERROR(__xludf.DUMMYFUNCTION("""COMPUTED_VALUE"""),"Adult")</f>
        <v>Adult</v>
      </c>
      <c r="F462" s="5" t="str">
        <f ca="1">IFERROR(__xludf.DUMMYFUNCTION("""COMPUTED_VALUE"""),"Hispanic")</f>
        <v>Hispanic</v>
      </c>
    </row>
    <row r="463" spans="1:6">
      <c r="A463" s="5" t="str">
        <f ca="1">IFERROR(__xludf.DUMMYFUNCTION("""COMPUTED_VALUE"""),"20201029FLLAM")</f>
        <v>20201029FLLAM</v>
      </c>
      <c r="B463" s="5" t="str">
        <f ca="1">IFERROR(__xludf.DUMMYFUNCTION("""COMPUTED_VALUE"""),"Fatal")</f>
        <v>Fatal</v>
      </c>
      <c r="C463" s="5" t="str">
        <f ca="1">IFERROR(__xludf.DUMMYFUNCTION("""COMPUTED_VALUE"""),"Male")</f>
        <v>Male</v>
      </c>
      <c r="D463" s="5" t="str">
        <f ca="1">IFERROR(__xludf.DUMMYFUNCTION("""COMPUTED_VALUE"""),"No Relation")</f>
        <v>No Relation</v>
      </c>
      <c r="E463" s="5" t="str">
        <f ca="1">IFERROR(__xludf.DUMMYFUNCTION("""COMPUTED_VALUE"""),"Adult")</f>
        <v>Adult</v>
      </c>
      <c r="F463" s="5"/>
    </row>
    <row r="464" spans="1:6">
      <c r="A464" s="5" t="str">
        <f ca="1">IFERROR(__xludf.DUMMYFUNCTION("""COMPUTED_VALUE"""),"20201029FLLAM")</f>
        <v>20201029FLLAM</v>
      </c>
      <c r="B464" s="5" t="str">
        <f ca="1">IFERROR(__xludf.DUMMYFUNCTION("""COMPUTED_VALUE"""),"Fatal")</f>
        <v>Fatal</v>
      </c>
      <c r="C464" s="5" t="str">
        <f ca="1">IFERROR(__xludf.DUMMYFUNCTION("""COMPUTED_VALUE"""),"Male")</f>
        <v>Male</v>
      </c>
      <c r="D464" s="5" t="str">
        <f ca="1">IFERROR(__xludf.DUMMYFUNCTION("""COMPUTED_VALUE"""),"No Relation")</f>
        <v>No Relation</v>
      </c>
      <c r="E464" s="5" t="str">
        <f ca="1">IFERROR(__xludf.DUMMYFUNCTION("""COMPUTED_VALUE"""),"Adult")</f>
        <v>Adult</v>
      </c>
      <c r="F464" s="5"/>
    </row>
    <row r="465" spans="1:6">
      <c r="A465" s="5" t="str">
        <f ca="1">IFERROR(__xludf.DUMMYFUNCTION("""COMPUTED_VALUE"""),"20201026GARIR")</f>
        <v>20201026GARIR</v>
      </c>
      <c r="B465" s="5" t="str">
        <f ca="1">IFERROR(__xludf.DUMMYFUNCTION("""COMPUTED_VALUE"""),"Fatal")</f>
        <v>Fatal</v>
      </c>
      <c r="C465" s="5" t="str">
        <f ca="1">IFERROR(__xludf.DUMMYFUNCTION("""COMPUTED_VALUE"""),"Male")</f>
        <v>Male</v>
      </c>
      <c r="D465" s="5" t="str">
        <f ca="1">IFERROR(__xludf.DUMMYFUNCTION("""COMPUTED_VALUE"""),"No Relation")</f>
        <v>No Relation</v>
      </c>
      <c r="E465" s="5">
        <f ca="1">IFERROR(__xludf.DUMMYFUNCTION("""COMPUTED_VALUE"""),28)</f>
        <v>28</v>
      </c>
      <c r="F465" s="5"/>
    </row>
    <row r="466" spans="1:6">
      <c r="A466" s="5" t="str">
        <f ca="1">IFERROR(__xludf.DUMMYFUNCTION("""COMPUTED_VALUE"""),"20201020ARJAP")</f>
        <v>20201020ARJAP</v>
      </c>
      <c r="B466" s="5" t="str">
        <f ca="1">IFERROR(__xludf.DUMMYFUNCTION("""COMPUTED_VALUE"""),"Fatal")</f>
        <v>Fatal</v>
      </c>
      <c r="C466" s="5" t="str">
        <f ca="1">IFERROR(__xludf.DUMMYFUNCTION("""COMPUTED_VALUE"""),"Male")</f>
        <v>Male</v>
      </c>
      <c r="D466" s="5"/>
      <c r="E466" s="5">
        <f ca="1">IFERROR(__xludf.DUMMYFUNCTION("""COMPUTED_VALUE"""),16)</f>
        <v>16</v>
      </c>
      <c r="F466" s="5"/>
    </row>
    <row r="467" spans="1:6">
      <c r="A467" s="5" t="str">
        <f ca="1">IFERROR(__xludf.DUMMYFUNCTION("""COMPUTED_VALUE"""),"20201018KYSEL")</f>
        <v>20201018KYSEL</v>
      </c>
      <c r="B467" s="5" t="str">
        <f ca="1">IFERROR(__xludf.DUMMYFUNCTION("""COMPUTED_VALUE"""),"Wounded")</f>
        <v>Wounded</v>
      </c>
      <c r="C467" s="5"/>
      <c r="D467" s="5"/>
      <c r="E467" s="5" t="str">
        <f ca="1">IFERROR(__xludf.DUMMYFUNCTION("""COMPUTED_VALUE"""),"Teen")</f>
        <v>Teen</v>
      </c>
      <c r="F467" s="5"/>
    </row>
    <row r="468" spans="1:6">
      <c r="A468" s="5" t="str">
        <f ca="1">IFERROR(__xludf.DUMMYFUNCTION("""COMPUTED_VALUE"""),"20201018KYSEL")</f>
        <v>20201018KYSEL</v>
      </c>
      <c r="B468" s="5" t="str">
        <f ca="1">IFERROR(__xludf.DUMMYFUNCTION("""COMPUTED_VALUE"""),"Wounded")</f>
        <v>Wounded</v>
      </c>
      <c r="C468" s="5"/>
      <c r="D468" s="5"/>
      <c r="E468" s="5" t="str">
        <f ca="1">IFERROR(__xludf.DUMMYFUNCTION("""COMPUTED_VALUE"""),"Teen")</f>
        <v>Teen</v>
      </c>
      <c r="F468" s="5"/>
    </row>
    <row r="469" spans="1:6">
      <c r="A469" s="5" t="str">
        <f ca="1">IFERROR(__xludf.DUMMYFUNCTION("""COMPUTED_VALUE"""),"20201018KYSEL")</f>
        <v>20201018KYSEL</v>
      </c>
      <c r="B469" s="5" t="str">
        <f ca="1">IFERROR(__xludf.DUMMYFUNCTION("""COMPUTED_VALUE"""),"Wounded")</f>
        <v>Wounded</v>
      </c>
      <c r="C469" s="5"/>
      <c r="D469" s="5"/>
      <c r="E469" s="5" t="str">
        <f ca="1">IFERROR(__xludf.DUMMYFUNCTION("""COMPUTED_VALUE"""),"Teen")</f>
        <v>Teen</v>
      </c>
      <c r="F469" s="5"/>
    </row>
    <row r="470" spans="1:6">
      <c r="A470" s="5" t="str">
        <f ca="1">IFERROR(__xludf.DUMMYFUNCTION("""COMPUTED_VALUE"""),"20201014WAWAS")</f>
        <v>20201014WAWAS</v>
      </c>
      <c r="B470" s="5" t="str">
        <f ca="1">IFERROR(__xludf.DUMMYFUNCTION("""COMPUTED_VALUE"""),"None")</f>
        <v>None</v>
      </c>
      <c r="C470" s="5" t="str">
        <f ca="1">IFERROR(__xludf.DUMMYFUNCTION("""COMPUTED_VALUE"""),"Male")</f>
        <v>Male</v>
      </c>
      <c r="D470" s="5" t="str">
        <f ca="1">IFERROR(__xludf.DUMMYFUNCTION("""COMPUTED_VALUE"""),"No Relation")</f>
        <v>No Relation</v>
      </c>
      <c r="E470" s="5" t="str">
        <f ca="1">IFERROR(__xludf.DUMMYFUNCTION("""COMPUTED_VALUE"""),"Adult")</f>
        <v>Adult</v>
      </c>
      <c r="F470" s="5"/>
    </row>
    <row r="471" spans="1:6">
      <c r="A471" s="5" t="str">
        <f ca="1">IFERROR(__xludf.DUMMYFUNCTION("""COMPUTED_VALUE"""),"20201014PABRB")</f>
        <v>20201014PABRB</v>
      </c>
      <c r="B471" s="5" t="str">
        <f ca="1">IFERROR(__xludf.DUMMYFUNCTION("""COMPUTED_VALUE"""),"None")</f>
        <v>None</v>
      </c>
      <c r="C471" s="5" t="str">
        <f ca="1">IFERROR(__xludf.DUMMYFUNCTION("""COMPUTED_VALUE"""),"Male")</f>
        <v>Male</v>
      </c>
      <c r="D471" s="5" t="str">
        <f ca="1">IFERROR(__xludf.DUMMYFUNCTION("""COMPUTED_VALUE"""),"Bus Driver")</f>
        <v>Bus Driver</v>
      </c>
      <c r="E471" s="5" t="str">
        <f ca="1">IFERROR(__xludf.DUMMYFUNCTION("""COMPUTED_VALUE"""),"Adult")</f>
        <v>Adult</v>
      </c>
      <c r="F471" s="5"/>
    </row>
    <row r="472" spans="1:6">
      <c r="A472" s="5" t="str">
        <f ca="1">IFERROR(__xludf.DUMMYFUNCTION("""COMPUTED_VALUE"""),"20201013RIRHP")</f>
        <v>20201013RIRHP</v>
      </c>
      <c r="B472" s="5" t="str">
        <f ca="1">IFERROR(__xludf.DUMMYFUNCTION("""COMPUTED_VALUE"""),"Fatal")</f>
        <v>Fatal</v>
      </c>
      <c r="C472" s="5" t="str">
        <f ca="1">IFERROR(__xludf.DUMMYFUNCTION("""COMPUTED_VALUE"""),"Male")</f>
        <v>Male</v>
      </c>
      <c r="D472" s="5" t="str">
        <f ca="1">IFERROR(__xludf.DUMMYFUNCTION("""COMPUTED_VALUE"""),"No Relation")</f>
        <v>No Relation</v>
      </c>
      <c r="E472" s="5">
        <f ca="1">IFERROR(__xludf.DUMMYFUNCTION("""COMPUTED_VALUE"""),19)</f>
        <v>19</v>
      </c>
      <c r="F472" s="5" t="str">
        <f ca="1">IFERROR(__xludf.DUMMYFUNCTION("""COMPUTED_VALUE"""),"Black")</f>
        <v>Black</v>
      </c>
    </row>
    <row r="473" spans="1:6">
      <c r="A473" s="5" t="str">
        <f ca="1">IFERROR(__xludf.DUMMYFUNCTION("""COMPUTED_VALUE"""),"20201013RIRHP")</f>
        <v>20201013RIRHP</v>
      </c>
      <c r="B473" s="5" t="str">
        <f ca="1">IFERROR(__xludf.DUMMYFUNCTION("""COMPUTED_VALUE"""),"Wounded")</f>
        <v>Wounded</v>
      </c>
      <c r="C473" s="5" t="str">
        <f ca="1">IFERROR(__xludf.DUMMYFUNCTION("""COMPUTED_VALUE"""),"Male")</f>
        <v>Male</v>
      </c>
      <c r="D473" s="5" t="str">
        <f ca="1">IFERROR(__xludf.DUMMYFUNCTION("""COMPUTED_VALUE"""),"No Relation")</f>
        <v>No Relation</v>
      </c>
      <c r="E473" s="5" t="str">
        <f ca="1">IFERROR(__xludf.DUMMYFUNCTION("""COMPUTED_VALUE"""),"Adult")</f>
        <v>Adult</v>
      </c>
      <c r="F473" s="5"/>
    </row>
    <row r="474" spans="1:6">
      <c r="A474" s="5" t="str">
        <f ca="1">IFERROR(__xludf.DUMMYFUNCTION("""COMPUTED_VALUE"""),"20201013RIRHP")</f>
        <v>20201013RIRHP</v>
      </c>
      <c r="B474" s="5" t="str">
        <f ca="1">IFERROR(__xludf.DUMMYFUNCTION("""COMPUTED_VALUE"""),"Wounded")</f>
        <v>Wounded</v>
      </c>
      <c r="C474" s="5" t="str">
        <f ca="1">IFERROR(__xludf.DUMMYFUNCTION("""COMPUTED_VALUE"""),"Male")</f>
        <v>Male</v>
      </c>
      <c r="D474" s="5" t="str">
        <f ca="1">IFERROR(__xludf.DUMMYFUNCTION("""COMPUTED_VALUE"""),"No Relation")</f>
        <v>No Relation</v>
      </c>
      <c r="E474" s="5" t="str">
        <f ca="1">IFERROR(__xludf.DUMMYFUNCTION("""COMPUTED_VALUE"""),"Adult")</f>
        <v>Adult</v>
      </c>
      <c r="F474" s="5"/>
    </row>
    <row r="475" spans="1:6">
      <c r="A475" s="5" t="str">
        <f ca="1">IFERROR(__xludf.DUMMYFUNCTION("""COMPUTED_VALUE"""),"20201012TXNOD")</f>
        <v>20201012TXNOD</v>
      </c>
      <c r="B475" s="5" t="str">
        <f ca="1">IFERROR(__xludf.DUMMYFUNCTION("""COMPUTED_VALUE"""),"None")</f>
        <v>None</v>
      </c>
      <c r="C475" s="5" t="str">
        <f ca="1">IFERROR(__xludf.DUMMYFUNCTION("""COMPUTED_VALUE"""),"Male")</f>
        <v>Male</v>
      </c>
      <c r="D475" s="5" t="str">
        <f ca="1">IFERROR(__xludf.DUMMYFUNCTION("""COMPUTED_VALUE"""),"No Relation")</f>
        <v>No Relation</v>
      </c>
      <c r="E475" s="5" t="str">
        <f ca="1">IFERROR(__xludf.DUMMYFUNCTION("""COMPUTED_VALUE"""),"Adult")</f>
        <v>Adult</v>
      </c>
      <c r="F475" s="5"/>
    </row>
    <row r="476" spans="1:6">
      <c r="A476" s="5" t="str">
        <f ca="1">IFERROR(__xludf.DUMMYFUNCTION("""COMPUTED_VALUE"""),"20201009FLJEJ")</f>
        <v>20201009FLJEJ</v>
      </c>
      <c r="B476" s="5" t="str">
        <f ca="1">IFERROR(__xludf.DUMMYFUNCTION("""COMPUTED_VALUE"""),"Wounded")</f>
        <v>Wounded</v>
      </c>
      <c r="C476" s="5" t="str">
        <f ca="1">IFERROR(__xludf.DUMMYFUNCTION("""COMPUTED_VALUE"""),"Male")</f>
        <v>Male</v>
      </c>
      <c r="D476" s="5" t="str">
        <f ca="1">IFERROR(__xludf.DUMMYFUNCTION("""COMPUTED_VALUE"""),"Student")</f>
        <v>Student</v>
      </c>
      <c r="E476" s="5">
        <f ca="1">IFERROR(__xludf.DUMMYFUNCTION("""COMPUTED_VALUE"""),18)</f>
        <v>18</v>
      </c>
      <c r="F476" s="5"/>
    </row>
    <row r="477" spans="1:6">
      <c r="A477" s="5" t="str">
        <f ca="1">IFERROR(__xludf.DUMMYFUNCTION("""COMPUTED_VALUE"""),"20201005OKSOM")</f>
        <v>20201005OKSOM</v>
      </c>
      <c r="B477" s="5" t="str">
        <f ca="1">IFERROR(__xludf.DUMMYFUNCTION("""COMPUTED_VALUE"""),"Minor Injuries")</f>
        <v>Minor Injuries</v>
      </c>
      <c r="C477" s="5"/>
      <c r="D477" s="5" t="str">
        <f ca="1">IFERROR(__xludf.DUMMYFUNCTION("""COMPUTED_VALUE"""),"Student")</f>
        <v>Student</v>
      </c>
      <c r="E477" s="5" t="str">
        <f ca="1">IFERROR(__xludf.DUMMYFUNCTION("""COMPUTED_VALUE"""),"Teen")</f>
        <v>Teen</v>
      </c>
      <c r="F477" s="5"/>
    </row>
    <row r="478" spans="1:6">
      <c r="A478" s="5" t="str">
        <f ca="1">IFERROR(__xludf.DUMMYFUNCTION("""COMPUTED_VALUE"""),"20201005ARKIH")</f>
        <v>20201005ARKIH</v>
      </c>
      <c r="B478" s="5" t="str">
        <f ca="1">IFERROR(__xludf.DUMMYFUNCTION("""COMPUTED_VALUE"""),"Wounded")</f>
        <v>Wounded</v>
      </c>
      <c r="C478" s="5" t="str">
        <f ca="1">IFERROR(__xludf.DUMMYFUNCTION("""COMPUTED_VALUE"""),"Male")</f>
        <v>Male</v>
      </c>
      <c r="D478" s="5"/>
      <c r="E478" s="5" t="str">
        <f ca="1">IFERROR(__xludf.DUMMYFUNCTION("""COMPUTED_VALUE"""),"Adult")</f>
        <v>Adult</v>
      </c>
      <c r="F478" s="5"/>
    </row>
    <row r="479" spans="1:6">
      <c r="A479" s="5" t="str">
        <f ca="1">IFERROR(__xludf.DUMMYFUNCTION("""COMPUTED_VALUE"""),"20201005ARKIH")</f>
        <v>20201005ARKIH</v>
      </c>
      <c r="B479" s="5" t="str">
        <f ca="1">IFERROR(__xludf.DUMMYFUNCTION("""COMPUTED_VALUE"""),"Fatal")</f>
        <v>Fatal</v>
      </c>
      <c r="C479" s="5" t="str">
        <f ca="1">IFERROR(__xludf.DUMMYFUNCTION("""COMPUTED_VALUE"""),"Male")</f>
        <v>Male</v>
      </c>
      <c r="D479" s="5"/>
      <c r="E479" s="5">
        <f ca="1">IFERROR(__xludf.DUMMYFUNCTION("""COMPUTED_VALUE"""),36)</f>
        <v>36</v>
      </c>
      <c r="F479" s="5" t="str">
        <f ca="1">IFERROR(__xludf.DUMMYFUNCTION("""COMPUTED_VALUE"""),"Black")</f>
        <v>Black</v>
      </c>
    </row>
    <row r="480" spans="1:6">
      <c r="A480" s="5" t="str">
        <f ca="1">IFERROR(__xludf.DUMMYFUNCTION("""COMPUTED_VALUE"""),"20200930CADYL")</f>
        <v>20200930CADYL</v>
      </c>
      <c r="B480" s="5" t="str">
        <f ca="1">IFERROR(__xludf.DUMMYFUNCTION("""COMPUTED_VALUE"""),"Wounded")</f>
        <v>Wounded</v>
      </c>
      <c r="C480" s="5" t="str">
        <f ca="1">IFERROR(__xludf.DUMMYFUNCTION("""COMPUTED_VALUE"""),"Male")</f>
        <v>Male</v>
      </c>
      <c r="D480" s="5" t="str">
        <f ca="1">IFERROR(__xludf.DUMMYFUNCTION("""COMPUTED_VALUE"""),"Student")</f>
        <v>Student</v>
      </c>
      <c r="E480" s="5">
        <f ca="1">IFERROR(__xludf.DUMMYFUNCTION("""COMPUTED_VALUE"""),18)</f>
        <v>18</v>
      </c>
      <c r="F480" s="5" t="str">
        <f ca="1">IFERROR(__xludf.DUMMYFUNCTION("""COMPUTED_VALUE"""),"Black")</f>
        <v>Black</v>
      </c>
    </row>
    <row r="481" spans="1:6">
      <c r="A481" s="5" t="str">
        <f ca="1">IFERROR(__xludf.DUMMYFUNCTION("""COMPUTED_VALUE"""),"20200930CADYL")</f>
        <v>20200930CADYL</v>
      </c>
      <c r="B481" s="5" t="str">
        <f ca="1">IFERROR(__xludf.DUMMYFUNCTION("""COMPUTED_VALUE"""),"Wounded")</f>
        <v>Wounded</v>
      </c>
      <c r="C481" s="5"/>
      <c r="D481" s="5" t="str">
        <f ca="1">IFERROR(__xludf.DUMMYFUNCTION("""COMPUTED_VALUE"""),"No Relation")</f>
        <v>No Relation</v>
      </c>
      <c r="E481" s="5" t="str">
        <f ca="1">IFERROR(__xludf.DUMMYFUNCTION("""COMPUTED_VALUE"""),"Adult")</f>
        <v>Adult</v>
      </c>
      <c r="F481" s="5"/>
    </row>
    <row r="482" spans="1:6">
      <c r="A482" s="5" t="str">
        <f ca="1">IFERROR(__xludf.DUMMYFUNCTION("""COMPUTED_VALUE"""),"20200928CTEAN")</f>
        <v>20200928CTEAN</v>
      </c>
      <c r="B482" s="5" t="str">
        <f ca="1">IFERROR(__xludf.DUMMYFUNCTION("""COMPUTED_VALUE"""),"Wounded")</f>
        <v>Wounded</v>
      </c>
      <c r="C482" s="5" t="str">
        <f ca="1">IFERROR(__xludf.DUMMYFUNCTION("""COMPUTED_VALUE"""),"Male")</f>
        <v>Male</v>
      </c>
      <c r="D482" s="5" t="str">
        <f ca="1">IFERROR(__xludf.DUMMYFUNCTION("""COMPUTED_VALUE"""),"No Relation")</f>
        <v>No Relation</v>
      </c>
      <c r="E482" s="5">
        <f ca="1">IFERROR(__xludf.DUMMYFUNCTION("""COMPUTED_VALUE"""),18)</f>
        <v>18</v>
      </c>
      <c r="F482" s="5"/>
    </row>
    <row r="483" spans="1:6">
      <c r="A483" s="5" t="str">
        <f ca="1">IFERROR(__xludf.DUMMYFUNCTION("""COMPUTED_VALUE"""),"20200925NJHAH")</f>
        <v>20200925NJHAH</v>
      </c>
      <c r="B483" s="5" t="str">
        <f ca="1">IFERROR(__xludf.DUMMYFUNCTION("""COMPUTED_VALUE"""),"Wounded")</f>
        <v>Wounded</v>
      </c>
      <c r="C483" s="5" t="str">
        <f ca="1">IFERROR(__xludf.DUMMYFUNCTION("""COMPUTED_VALUE"""),"Male")</f>
        <v>Male</v>
      </c>
      <c r="D483" s="5" t="str">
        <f ca="1">IFERROR(__xludf.DUMMYFUNCTION("""COMPUTED_VALUE"""),"No Relation")</f>
        <v>No Relation</v>
      </c>
      <c r="E483" s="5">
        <f ca="1">IFERROR(__xludf.DUMMYFUNCTION("""COMPUTED_VALUE"""),41)</f>
        <v>41</v>
      </c>
      <c r="F483" s="5"/>
    </row>
    <row r="484" spans="1:6">
      <c r="A484" s="5" t="str">
        <f ca="1">IFERROR(__xludf.DUMMYFUNCTION("""COMPUTED_VALUE"""),"20200923PAWIW")</f>
        <v>20200923PAWIW</v>
      </c>
      <c r="B484" s="5" t="str">
        <f ca="1">IFERROR(__xludf.DUMMYFUNCTION("""COMPUTED_VALUE"""),"None")</f>
        <v>None</v>
      </c>
      <c r="C484" s="5" t="str">
        <f ca="1">IFERROR(__xludf.DUMMYFUNCTION("""COMPUTED_VALUE"""),"Male")</f>
        <v>Male</v>
      </c>
      <c r="D484" s="5"/>
      <c r="E484" s="5"/>
      <c r="F484" s="5"/>
    </row>
    <row r="485" spans="1:6">
      <c r="A485" s="5" t="str">
        <f ca="1">IFERROR(__xludf.DUMMYFUNCTION("""COMPUTED_VALUE"""),"20200923FLHIJ")</f>
        <v>20200923FLHIJ</v>
      </c>
      <c r="B485" s="5" t="str">
        <f ca="1">IFERROR(__xludf.DUMMYFUNCTION("""COMPUTED_VALUE"""),"None")</f>
        <v>None</v>
      </c>
      <c r="C485" s="5"/>
      <c r="D485" s="5"/>
      <c r="E485" s="5"/>
      <c r="F485" s="5"/>
    </row>
    <row r="486" spans="1:6">
      <c r="A486" s="5" t="str">
        <f ca="1">IFERROR(__xludf.DUMMYFUNCTION("""COMPUTED_VALUE"""),"20200918KYWIL")</f>
        <v>20200918KYWIL</v>
      </c>
      <c r="B486" s="5" t="str">
        <f ca="1">IFERROR(__xludf.DUMMYFUNCTION("""COMPUTED_VALUE"""),"Wounded")</f>
        <v>Wounded</v>
      </c>
      <c r="C486" s="5" t="str">
        <f ca="1">IFERROR(__xludf.DUMMYFUNCTION("""COMPUTED_VALUE"""),"Male")</f>
        <v>Male</v>
      </c>
      <c r="D486" s="5" t="str">
        <f ca="1">IFERROR(__xludf.DUMMYFUNCTION("""COMPUTED_VALUE"""),"Nonstudent Using Athletic Facilities/Attending Game")</f>
        <v>Nonstudent Using Athletic Facilities/Attending Game</v>
      </c>
      <c r="E486" s="5" t="str">
        <f ca="1">IFERROR(__xludf.DUMMYFUNCTION("""COMPUTED_VALUE"""),"Adult")</f>
        <v>Adult</v>
      </c>
      <c r="F486" s="5"/>
    </row>
    <row r="487" spans="1:6">
      <c r="A487" s="5" t="str">
        <f ca="1">IFERROR(__xludf.DUMMYFUNCTION("""COMPUTED_VALUE"""),"20200917ORDRP")</f>
        <v>20200917ORDRP</v>
      </c>
      <c r="B487" s="5" t="str">
        <f ca="1">IFERROR(__xludf.DUMMYFUNCTION("""COMPUTED_VALUE"""),"Wounded")</f>
        <v>Wounded</v>
      </c>
      <c r="C487" s="5"/>
      <c r="D487" s="5" t="str">
        <f ca="1">IFERROR(__xludf.DUMMYFUNCTION("""COMPUTED_VALUE"""),"No Relation")</f>
        <v>No Relation</v>
      </c>
      <c r="E487" s="5" t="str">
        <f ca="1">IFERROR(__xludf.DUMMYFUNCTION("""COMPUTED_VALUE"""),"Adult")</f>
        <v>Adult</v>
      </c>
      <c r="F487" s="5"/>
    </row>
    <row r="488" spans="1:6">
      <c r="A488" s="5" t="str">
        <f ca="1">IFERROR(__xludf.DUMMYFUNCTION("""COMPUTED_VALUE"""),"20200917OHELA")</f>
        <v>20200917OHELA</v>
      </c>
      <c r="B488" s="5" t="str">
        <f ca="1">IFERROR(__xludf.DUMMYFUNCTION("""COMPUTED_VALUE"""),"Wounded")</f>
        <v>Wounded</v>
      </c>
      <c r="C488" s="5" t="str">
        <f ca="1">IFERROR(__xludf.DUMMYFUNCTION("""COMPUTED_VALUE"""),"Male")</f>
        <v>Male</v>
      </c>
      <c r="D488" s="5" t="str">
        <f ca="1">IFERROR(__xludf.DUMMYFUNCTION("""COMPUTED_VALUE"""),"Nonstudent Using Athletic Facilities/Attending Game")</f>
        <v>Nonstudent Using Athletic Facilities/Attending Game</v>
      </c>
      <c r="E488" s="5">
        <f ca="1">IFERROR(__xludf.DUMMYFUNCTION("""COMPUTED_VALUE"""),19)</f>
        <v>19</v>
      </c>
      <c r="F488" s="5"/>
    </row>
    <row r="489" spans="1:6">
      <c r="A489" s="5" t="str">
        <f ca="1">IFERROR(__xludf.DUMMYFUNCTION("""COMPUTED_VALUE"""),"20200917OHELA")</f>
        <v>20200917OHELA</v>
      </c>
      <c r="B489" s="5" t="str">
        <f ca="1">IFERROR(__xludf.DUMMYFUNCTION("""COMPUTED_VALUE"""),"Wounded")</f>
        <v>Wounded</v>
      </c>
      <c r="C489" s="5" t="str">
        <f ca="1">IFERROR(__xludf.DUMMYFUNCTION("""COMPUTED_VALUE"""),"Female")</f>
        <v>Female</v>
      </c>
      <c r="D489" s="5" t="str">
        <f ca="1">IFERROR(__xludf.DUMMYFUNCTION("""COMPUTED_VALUE"""),"Nonstudent Using Athletic Facilities/Attending Game")</f>
        <v>Nonstudent Using Athletic Facilities/Attending Game</v>
      </c>
      <c r="E489" s="5">
        <f ca="1">IFERROR(__xludf.DUMMYFUNCTION("""COMPUTED_VALUE"""),40)</f>
        <v>40</v>
      </c>
      <c r="F489" s="5"/>
    </row>
    <row r="490" spans="1:6">
      <c r="A490" s="5" t="str">
        <f ca="1">IFERROR(__xludf.DUMMYFUNCTION("""COMPUTED_VALUE"""),"20200916WAARG")</f>
        <v>20200916WAARG</v>
      </c>
      <c r="B490" s="5" t="str">
        <f ca="1">IFERROR(__xludf.DUMMYFUNCTION("""COMPUTED_VALUE"""),"Wounded")</f>
        <v>Wounded</v>
      </c>
      <c r="C490" s="5" t="str">
        <f ca="1">IFERROR(__xludf.DUMMYFUNCTION("""COMPUTED_VALUE"""),"Male")</f>
        <v>Male</v>
      </c>
      <c r="D490" s="5" t="str">
        <f ca="1">IFERROR(__xludf.DUMMYFUNCTION("""COMPUTED_VALUE"""),"No Relation")</f>
        <v>No Relation</v>
      </c>
      <c r="E490" s="5" t="str">
        <f ca="1">IFERROR(__xludf.DUMMYFUNCTION("""COMPUTED_VALUE"""),"Adult")</f>
        <v>Adult</v>
      </c>
      <c r="F490" s="5"/>
    </row>
    <row r="491" spans="1:6">
      <c r="A491" s="5" t="str">
        <f ca="1">IFERROR(__xludf.DUMMYFUNCTION("""COMPUTED_VALUE"""),"20200916CASOS")</f>
        <v>20200916CASOS</v>
      </c>
      <c r="B491" s="5" t="str">
        <f ca="1">IFERROR(__xludf.DUMMYFUNCTION("""COMPUTED_VALUE"""),"Fatal")</f>
        <v>Fatal</v>
      </c>
      <c r="C491" s="5" t="str">
        <f ca="1">IFERROR(__xludf.DUMMYFUNCTION("""COMPUTED_VALUE"""),"Male")</f>
        <v>Male</v>
      </c>
      <c r="D491" s="5"/>
      <c r="E491" s="5">
        <f ca="1">IFERROR(__xludf.DUMMYFUNCTION("""COMPUTED_VALUE"""),17)</f>
        <v>17</v>
      </c>
      <c r="F491" s="5"/>
    </row>
    <row r="492" spans="1:6">
      <c r="A492" s="5" t="str">
        <f ca="1">IFERROR(__xludf.DUMMYFUNCTION("""COMPUTED_VALUE"""),"20200910ILPEP")</f>
        <v>20200910ILPEP</v>
      </c>
      <c r="B492" s="5" t="str">
        <f ca="1">IFERROR(__xludf.DUMMYFUNCTION("""COMPUTED_VALUE"""),"None")</f>
        <v>None</v>
      </c>
      <c r="C492" s="5"/>
      <c r="D492" s="5" t="str">
        <f ca="1">IFERROR(__xludf.DUMMYFUNCTION("""COMPUTED_VALUE"""),"Student")</f>
        <v>Student</v>
      </c>
      <c r="E492" s="5"/>
      <c r="F492" s="5"/>
    </row>
    <row r="493" spans="1:6">
      <c r="A493" s="5" t="str">
        <f ca="1">IFERROR(__xludf.DUMMYFUNCTION("""COMPUTED_VALUE"""),"20200909TXSOH")</f>
        <v>20200909TXSOH</v>
      </c>
      <c r="B493" s="5" t="str">
        <f ca="1">IFERROR(__xludf.DUMMYFUNCTION("""COMPUTED_VALUE"""),"Wounded")</f>
        <v>Wounded</v>
      </c>
      <c r="C493" s="5" t="str">
        <f ca="1">IFERROR(__xludf.DUMMYFUNCTION("""COMPUTED_VALUE"""),"Male")</f>
        <v>Male</v>
      </c>
      <c r="D493" s="5" t="str">
        <f ca="1">IFERROR(__xludf.DUMMYFUNCTION("""COMPUTED_VALUE"""),"No Relation")</f>
        <v>No Relation</v>
      </c>
      <c r="E493" s="5">
        <f ca="1">IFERROR(__xludf.DUMMYFUNCTION("""COMPUTED_VALUE"""),18)</f>
        <v>18</v>
      </c>
      <c r="F493" s="5"/>
    </row>
    <row r="494" spans="1:6">
      <c r="A494" s="5" t="str">
        <f ca="1">IFERROR(__xludf.DUMMYFUNCTION("""COMPUTED_VALUE"""),"20200909PAWEW")</f>
        <v>20200909PAWEW</v>
      </c>
      <c r="B494" s="5" t="str">
        <f ca="1">IFERROR(__xludf.DUMMYFUNCTION("""COMPUTED_VALUE"""),"None")</f>
        <v>None</v>
      </c>
      <c r="C494" s="5" t="str">
        <f ca="1">IFERROR(__xludf.DUMMYFUNCTION("""COMPUTED_VALUE"""),"Male")</f>
        <v>Male</v>
      </c>
      <c r="D494" s="5" t="str">
        <f ca="1">IFERROR(__xludf.DUMMYFUNCTION("""COMPUTED_VALUE"""),"No Relation")</f>
        <v>No Relation</v>
      </c>
      <c r="E494" s="5" t="str">
        <f ca="1">IFERROR(__xludf.DUMMYFUNCTION("""COMPUTED_VALUE"""),"Adult")</f>
        <v>Adult</v>
      </c>
      <c r="F494" s="5"/>
    </row>
    <row r="495" spans="1:6">
      <c r="A495" s="5" t="str">
        <f ca="1">IFERROR(__xludf.DUMMYFUNCTION("""COMPUTED_VALUE"""),"20200904FLLOJ")</f>
        <v>20200904FLLOJ</v>
      </c>
      <c r="B495" s="5" t="str">
        <f ca="1">IFERROR(__xludf.DUMMYFUNCTION("""COMPUTED_VALUE"""),"Wounded")</f>
        <v>Wounded</v>
      </c>
      <c r="C495" s="5" t="str">
        <f ca="1">IFERROR(__xludf.DUMMYFUNCTION("""COMPUTED_VALUE"""),"Male")</f>
        <v>Male</v>
      </c>
      <c r="D495" s="5" t="str">
        <f ca="1">IFERROR(__xludf.DUMMYFUNCTION("""COMPUTED_VALUE"""),"No Relation")</f>
        <v>No Relation</v>
      </c>
      <c r="E495" s="5">
        <f ca="1">IFERROR(__xludf.DUMMYFUNCTION("""COMPUTED_VALUE"""),27)</f>
        <v>27</v>
      </c>
      <c r="F495" s="5"/>
    </row>
    <row r="496" spans="1:6">
      <c r="A496" s="5" t="str">
        <f ca="1">IFERROR(__xludf.DUMMYFUNCTION("""COMPUTED_VALUE"""),"20200903GADOA")</f>
        <v>20200903GADOA</v>
      </c>
      <c r="B496" s="5" t="str">
        <f ca="1">IFERROR(__xludf.DUMMYFUNCTION("""COMPUTED_VALUE"""),"Fatal")</f>
        <v>Fatal</v>
      </c>
      <c r="C496" s="5" t="str">
        <f ca="1">IFERROR(__xludf.DUMMYFUNCTION("""COMPUTED_VALUE"""),"Male")</f>
        <v>Male</v>
      </c>
      <c r="D496" s="5" t="str">
        <f ca="1">IFERROR(__xludf.DUMMYFUNCTION("""COMPUTED_VALUE"""),"No Relation")</f>
        <v>No Relation</v>
      </c>
      <c r="E496" s="5">
        <f ca="1">IFERROR(__xludf.DUMMYFUNCTION("""COMPUTED_VALUE"""),18)</f>
        <v>18</v>
      </c>
      <c r="F496" s="5"/>
    </row>
    <row r="497" spans="1:6">
      <c r="A497" s="5" t="str">
        <f ca="1">IFERROR(__xludf.DUMMYFUNCTION("""COMPUTED_VALUE"""),"20200830TXLOD")</f>
        <v>20200830TXLOD</v>
      </c>
      <c r="B497" s="5" t="str">
        <f ca="1">IFERROR(__xludf.DUMMYFUNCTION("""COMPUTED_VALUE"""),"Fatal")</f>
        <v>Fatal</v>
      </c>
      <c r="C497" s="5" t="str">
        <f ca="1">IFERROR(__xludf.DUMMYFUNCTION("""COMPUTED_VALUE"""),"Male")</f>
        <v>Male</v>
      </c>
      <c r="D497" s="5" t="str">
        <f ca="1">IFERROR(__xludf.DUMMYFUNCTION("""COMPUTED_VALUE"""),"No Relation")</f>
        <v>No Relation</v>
      </c>
      <c r="E497" s="5">
        <f ca="1">IFERROR(__xludf.DUMMYFUNCTION("""COMPUTED_VALUE"""),27)</f>
        <v>27</v>
      </c>
      <c r="F497" s="5" t="str">
        <f ca="1">IFERROR(__xludf.DUMMYFUNCTION("""COMPUTED_VALUE"""),"Hispanic")</f>
        <v>Hispanic</v>
      </c>
    </row>
    <row r="498" spans="1:6">
      <c r="A498" s="5" t="str">
        <f ca="1">IFERROR(__xludf.DUMMYFUNCTION("""COMPUTED_VALUE"""),"20200825MOWEC")</f>
        <v>20200825MOWEC</v>
      </c>
      <c r="B498" s="5" t="str">
        <f ca="1">IFERROR(__xludf.DUMMYFUNCTION("""COMPUTED_VALUE"""),"Wounded")</f>
        <v>Wounded</v>
      </c>
      <c r="C498" s="5" t="str">
        <f ca="1">IFERROR(__xludf.DUMMYFUNCTION("""COMPUTED_VALUE"""),"Male")</f>
        <v>Male</v>
      </c>
      <c r="D498" s="5" t="str">
        <f ca="1">IFERROR(__xludf.DUMMYFUNCTION("""COMPUTED_VALUE"""),"No Relation")</f>
        <v>No Relation</v>
      </c>
      <c r="E498" s="5" t="str">
        <f ca="1">IFERROR(__xludf.DUMMYFUNCTION("""COMPUTED_VALUE"""),"Adult")</f>
        <v>Adult</v>
      </c>
      <c r="F498" s="5"/>
    </row>
    <row r="499" spans="1:6">
      <c r="A499" s="5" t="str">
        <f ca="1">IFERROR(__xludf.DUMMYFUNCTION("""COMPUTED_VALUE"""),"20200817MIABG")</f>
        <v>20200817MIABG</v>
      </c>
      <c r="B499" s="5" t="str">
        <f ca="1">IFERROR(__xludf.DUMMYFUNCTION("""COMPUTED_VALUE"""),"Wounded")</f>
        <v>Wounded</v>
      </c>
      <c r="C499" s="5" t="str">
        <f ca="1">IFERROR(__xludf.DUMMYFUNCTION("""COMPUTED_VALUE"""),"Male")</f>
        <v>Male</v>
      </c>
      <c r="D499" s="5" t="str">
        <f ca="1">IFERROR(__xludf.DUMMYFUNCTION("""COMPUTED_VALUE"""),"No Relation")</f>
        <v>No Relation</v>
      </c>
      <c r="E499" s="5" t="str">
        <f ca="1">IFERROR(__xludf.DUMMYFUNCTION("""COMPUTED_VALUE"""),"Adult")</f>
        <v>Adult</v>
      </c>
      <c r="F499" s="5"/>
    </row>
    <row r="500" spans="1:6">
      <c r="A500" s="5" t="str">
        <f ca="1">IFERROR(__xludf.DUMMYFUNCTION("""COMPUTED_VALUE"""),"20200804PAKEP")</f>
        <v>20200804PAKEP</v>
      </c>
      <c r="B500" s="5" t="str">
        <f ca="1">IFERROR(__xludf.DUMMYFUNCTION("""COMPUTED_VALUE"""),"Fatal")</f>
        <v>Fatal</v>
      </c>
      <c r="C500" s="5" t="str">
        <f ca="1">IFERROR(__xludf.DUMMYFUNCTION("""COMPUTED_VALUE"""),"Male")</f>
        <v>Male</v>
      </c>
      <c r="D500" s="5" t="str">
        <f ca="1">IFERROR(__xludf.DUMMYFUNCTION("""COMPUTED_VALUE"""),"No Relation")</f>
        <v>No Relation</v>
      </c>
      <c r="E500" s="5">
        <f ca="1">IFERROR(__xludf.DUMMYFUNCTION("""COMPUTED_VALUE"""),26)</f>
        <v>26</v>
      </c>
      <c r="F500" s="5"/>
    </row>
    <row r="501" spans="1:6">
      <c r="A501" s="5" t="str">
        <f ca="1">IFERROR(__xludf.DUMMYFUNCTION("""COMPUTED_VALUE"""),"20200721SCBRO")</f>
        <v>20200721SCBRO</v>
      </c>
      <c r="B501" s="5" t="str">
        <f ca="1">IFERROR(__xludf.DUMMYFUNCTION("""COMPUTED_VALUE"""),"Fatal")</f>
        <v>Fatal</v>
      </c>
      <c r="C501" s="5" t="str">
        <f ca="1">IFERROR(__xludf.DUMMYFUNCTION("""COMPUTED_VALUE"""),"Male")</f>
        <v>Male</v>
      </c>
      <c r="D501" s="5" t="str">
        <f ca="1">IFERROR(__xludf.DUMMYFUNCTION("""COMPUTED_VALUE"""),"Nonstudent Using Athletic Facilities/Attending Game")</f>
        <v>Nonstudent Using Athletic Facilities/Attending Game</v>
      </c>
      <c r="E501" s="5">
        <f ca="1">IFERROR(__xludf.DUMMYFUNCTION("""COMPUTED_VALUE"""),28)</f>
        <v>28</v>
      </c>
      <c r="F501" s="5"/>
    </row>
    <row r="502" spans="1:6">
      <c r="A502" s="5" t="str">
        <f ca="1">IFERROR(__xludf.DUMMYFUNCTION("""COMPUTED_VALUE"""),"20200714MIWID")</f>
        <v>20200714MIWID</v>
      </c>
      <c r="B502" s="5" t="str">
        <f ca="1">IFERROR(__xludf.DUMMYFUNCTION("""COMPUTED_VALUE"""),"None")</f>
        <v>None</v>
      </c>
      <c r="C502" s="5"/>
      <c r="D502" s="5"/>
      <c r="E502" s="5"/>
      <c r="F502" s="5"/>
    </row>
    <row r="503" spans="1:6">
      <c r="A503" s="5" t="str">
        <f ca="1">IFERROR(__xludf.DUMMYFUNCTION("""COMPUTED_VALUE"""),"20200704INLAM")</f>
        <v>20200704INLAM</v>
      </c>
      <c r="B503" s="5" t="str">
        <f ca="1">IFERROR(__xludf.DUMMYFUNCTION("""COMPUTED_VALUE"""),"Fatal")</f>
        <v>Fatal</v>
      </c>
      <c r="C503" s="5" t="str">
        <f ca="1">IFERROR(__xludf.DUMMYFUNCTION("""COMPUTED_VALUE"""),"Male")</f>
        <v>Male</v>
      </c>
      <c r="D503" s="5" t="str">
        <f ca="1">IFERROR(__xludf.DUMMYFUNCTION("""COMPUTED_VALUE"""),"No Relation")</f>
        <v>No Relation</v>
      </c>
      <c r="E503" s="5"/>
      <c r="F503" s="5" t="str">
        <f ca="1">IFERROR(__xludf.DUMMYFUNCTION("""COMPUTED_VALUE"""),"Hispanic")</f>
        <v>Hispanic</v>
      </c>
    </row>
    <row r="504" spans="1:6">
      <c r="A504" s="5" t="str">
        <f ca="1">IFERROR(__xludf.DUMMYFUNCTION("""COMPUTED_VALUE"""),"20200701ILFRP")</f>
        <v>20200701ILFRP</v>
      </c>
      <c r="B504" s="5" t="str">
        <f ca="1">IFERROR(__xludf.DUMMYFUNCTION("""COMPUTED_VALUE"""),"None")</f>
        <v>None</v>
      </c>
      <c r="C504" s="5"/>
      <c r="D504" s="5"/>
      <c r="E504" s="5"/>
      <c r="F504" s="5"/>
    </row>
    <row r="505" spans="1:6">
      <c r="A505" s="5" t="str">
        <f ca="1">IFERROR(__xludf.DUMMYFUNCTION("""COMPUTED_VALUE"""),"20200618INJOI")</f>
        <v>20200618INJOI</v>
      </c>
      <c r="B505" s="5" t="str">
        <f ca="1">IFERROR(__xludf.DUMMYFUNCTION("""COMPUTED_VALUE"""),"Fatal")</f>
        <v>Fatal</v>
      </c>
      <c r="C505" s="5" t="str">
        <f ca="1">IFERROR(__xludf.DUMMYFUNCTION("""COMPUTED_VALUE"""),"Male")</f>
        <v>Male</v>
      </c>
      <c r="D505" s="5" t="str">
        <f ca="1">IFERROR(__xludf.DUMMYFUNCTION("""COMPUTED_VALUE"""),"No Relation")</f>
        <v>No Relation</v>
      </c>
      <c r="E505" s="5">
        <f ca="1">IFERROR(__xludf.DUMMYFUNCTION("""COMPUTED_VALUE"""),37)</f>
        <v>37</v>
      </c>
      <c r="F505" s="5"/>
    </row>
    <row r="506" spans="1:6">
      <c r="A506" s="5" t="str">
        <f ca="1">IFERROR(__xludf.DUMMYFUNCTION("""COMPUTED_VALUE"""),"20200616FLTOM")</f>
        <v>20200616FLTOM</v>
      </c>
      <c r="B506" s="5" t="str">
        <f ca="1">IFERROR(__xludf.DUMMYFUNCTION("""COMPUTED_VALUE"""),"Fatal")</f>
        <v>Fatal</v>
      </c>
      <c r="C506" s="5" t="str">
        <f ca="1">IFERROR(__xludf.DUMMYFUNCTION("""COMPUTED_VALUE"""),"Male")</f>
        <v>Male</v>
      </c>
      <c r="D506" s="5" t="str">
        <f ca="1">IFERROR(__xludf.DUMMYFUNCTION("""COMPUTED_VALUE"""),"No Relation")</f>
        <v>No Relation</v>
      </c>
      <c r="E506" s="5" t="str">
        <f ca="1">IFERROR(__xludf.DUMMYFUNCTION("""COMPUTED_VALUE"""),"Adult")</f>
        <v>Adult</v>
      </c>
      <c r="F506" s="5"/>
    </row>
    <row r="507" spans="1:6">
      <c r="A507" s="5" t="str">
        <f ca="1">IFERROR(__xludf.DUMMYFUNCTION("""COMPUTED_VALUE"""),"20200616FLTOM")</f>
        <v>20200616FLTOM</v>
      </c>
      <c r="B507" s="5" t="str">
        <f ca="1">IFERROR(__xludf.DUMMYFUNCTION("""COMPUTED_VALUE"""),"Wounded")</f>
        <v>Wounded</v>
      </c>
      <c r="C507" s="5" t="str">
        <f ca="1">IFERROR(__xludf.DUMMYFUNCTION("""COMPUTED_VALUE"""),"Male")</f>
        <v>Male</v>
      </c>
      <c r="D507" s="5" t="str">
        <f ca="1">IFERROR(__xludf.DUMMYFUNCTION("""COMPUTED_VALUE"""),"No Relation")</f>
        <v>No Relation</v>
      </c>
      <c r="E507" s="5" t="str">
        <f ca="1">IFERROR(__xludf.DUMMYFUNCTION("""COMPUTED_VALUE"""),"Adult")</f>
        <v>Adult</v>
      </c>
      <c r="F507" s="5"/>
    </row>
    <row r="508" spans="1:6">
      <c r="A508" s="5" t="str">
        <f ca="1">IFERROR(__xludf.DUMMYFUNCTION("""COMPUTED_VALUE"""),"20200603IAGAD")</f>
        <v>20200603IAGAD</v>
      </c>
      <c r="B508" s="5" t="str">
        <f ca="1">IFERROR(__xludf.DUMMYFUNCTION("""COMPUTED_VALUE"""),"Wounded")</f>
        <v>Wounded</v>
      </c>
      <c r="C508" s="5" t="str">
        <f ca="1">IFERROR(__xludf.DUMMYFUNCTION("""COMPUTED_VALUE"""),"Male")</f>
        <v>Male</v>
      </c>
      <c r="D508" s="5" t="str">
        <f ca="1">IFERROR(__xludf.DUMMYFUNCTION("""COMPUTED_VALUE"""),"No Relation")</f>
        <v>No Relation</v>
      </c>
      <c r="E508" s="5">
        <f ca="1">IFERROR(__xludf.DUMMYFUNCTION("""COMPUTED_VALUE"""),18)</f>
        <v>18</v>
      </c>
      <c r="F508" s="5"/>
    </row>
    <row r="509" spans="1:6">
      <c r="A509" s="5" t="str">
        <f ca="1">IFERROR(__xludf.DUMMYFUNCTION("""COMPUTED_VALUE"""),"20200527OHLUC")</f>
        <v>20200527OHLUC</v>
      </c>
      <c r="B509" s="5" t="str">
        <f ca="1">IFERROR(__xludf.DUMMYFUNCTION("""COMPUTED_VALUE"""),"None")</f>
        <v>None</v>
      </c>
      <c r="C509" s="5"/>
      <c r="D509" s="5"/>
      <c r="E509" s="5"/>
      <c r="F509" s="5"/>
    </row>
    <row r="510" spans="1:6">
      <c r="A510" s="5" t="str">
        <f ca="1">IFERROR(__xludf.DUMMYFUNCTION("""COMPUTED_VALUE"""),"20200525ALORM")</f>
        <v>20200525ALORM</v>
      </c>
      <c r="B510" s="5" t="str">
        <f ca="1">IFERROR(__xludf.DUMMYFUNCTION("""COMPUTED_VALUE"""),"Wounded")</f>
        <v>Wounded</v>
      </c>
      <c r="C510" s="5" t="str">
        <f ca="1">IFERROR(__xludf.DUMMYFUNCTION("""COMPUTED_VALUE"""),"Male")</f>
        <v>Male</v>
      </c>
      <c r="D510" s="5" t="str">
        <f ca="1">IFERROR(__xludf.DUMMYFUNCTION("""COMPUTED_VALUE"""),"No Relation")</f>
        <v>No Relation</v>
      </c>
      <c r="E510" s="5" t="str">
        <f ca="1">IFERROR(__xludf.DUMMYFUNCTION("""COMPUTED_VALUE"""),"Adult")</f>
        <v>Adult</v>
      </c>
      <c r="F510" s="5"/>
    </row>
    <row r="511" spans="1:6">
      <c r="A511" s="5" t="str">
        <f ca="1">IFERROR(__xludf.DUMMYFUNCTION("""COMPUTED_VALUE"""),"20200525ALORM")</f>
        <v>20200525ALORM</v>
      </c>
      <c r="B511" s="5" t="str">
        <f ca="1">IFERROR(__xludf.DUMMYFUNCTION("""COMPUTED_VALUE"""),"Wounded")</f>
        <v>Wounded</v>
      </c>
      <c r="C511" s="5" t="str">
        <f ca="1">IFERROR(__xludf.DUMMYFUNCTION("""COMPUTED_VALUE"""),"Male")</f>
        <v>Male</v>
      </c>
      <c r="D511" s="5" t="str">
        <f ca="1">IFERROR(__xludf.DUMMYFUNCTION("""COMPUTED_VALUE"""),"No Relation")</f>
        <v>No Relation</v>
      </c>
      <c r="E511" s="5" t="str">
        <f ca="1">IFERROR(__xludf.DUMMYFUNCTION("""COMPUTED_VALUE"""),"Adult")</f>
        <v>Adult</v>
      </c>
      <c r="F511" s="5"/>
    </row>
    <row r="512" spans="1:6">
      <c r="A512" s="5" t="str">
        <f ca="1">IFERROR(__xludf.DUMMYFUNCTION("""COMPUTED_VALUE"""),"20200525ALORM")</f>
        <v>20200525ALORM</v>
      </c>
      <c r="B512" s="5" t="str">
        <f ca="1">IFERROR(__xludf.DUMMYFUNCTION("""COMPUTED_VALUE"""),"Wounded")</f>
        <v>Wounded</v>
      </c>
      <c r="C512" s="5" t="str">
        <f ca="1">IFERROR(__xludf.DUMMYFUNCTION("""COMPUTED_VALUE"""),"Male")</f>
        <v>Male</v>
      </c>
      <c r="D512" s="5" t="str">
        <f ca="1">IFERROR(__xludf.DUMMYFUNCTION("""COMPUTED_VALUE"""),"No Relation")</f>
        <v>No Relation</v>
      </c>
      <c r="E512" s="5" t="str">
        <f ca="1">IFERROR(__xludf.DUMMYFUNCTION("""COMPUTED_VALUE"""),"Adult")</f>
        <v>Adult</v>
      </c>
      <c r="F512" s="5"/>
    </row>
    <row r="513" spans="1:6">
      <c r="A513" s="5" t="str">
        <f ca="1">IFERROR(__xludf.DUMMYFUNCTION("""COMPUTED_VALUE"""),"20200522OHMIC")</f>
        <v>20200522OHMIC</v>
      </c>
      <c r="B513" s="5" t="str">
        <f ca="1">IFERROR(__xludf.DUMMYFUNCTION("""COMPUTED_VALUE"""),"Fatal")</f>
        <v>Fatal</v>
      </c>
      <c r="C513" s="5" t="str">
        <f ca="1">IFERROR(__xludf.DUMMYFUNCTION("""COMPUTED_VALUE"""),"Male")</f>
        <v>Male</v>
      </c>
      <c r="D513" s="5" t="str">
        <f ca="1">IFERROR(__xludf.DUMMYFUNCTION("""COMPUTED_VALUE"""),"No Relation")</f>
        <v>No Relation</v>
      </c>
      <c r="E513" s="5">
        <f ca="1">IFERROR(__xludf.DUMMYFUNCTION("""COMPUTED_VALUE"""),34)</f>
        <v>34</v>
      </c>
      <c r="F513" s="5"/>
    </row>
    <row r="514" spans="1:6">
      <c r="A514" s="5" t="str">
        <f ca="1">IFERROR(__xludf.DUMMYFUNCTION("""COMPUTED_VALUE"""),"20200519VAWEM")</f>
        <v>20200519VAWEM</v>
      </c>
      <c r="B514" s="5" t="str">
        <f ca="1">IFERROR(__xludf.DUMMYFUNCTION("""COMPUTED_VALUE"""),"None")</f>
        <v>None</v>
      </c>
      <c r="C514" s="5"/>
      <c r="D514" s="5"/>
      <c r="E514" s="5"/>
      <c r="F514" s="5"/>
    </row>
    <row r="515" spans="1:6">
      <c r="A515" s="5" t="str">
        <f ca="1">IFERROR(__xludf.DUMMYFUNCTION("""COMPUTED_VALUE"""),"20200515NCSTC")</f>
        <v>20200515NCSTC</v>
      </c>
      <c r="B515" s="5" t="str">
        <f ca="1">IFERROR(__xludf.DUMMYFUNCTION("""COMPUTED_VALUE"""),"None")</f>
        <v>None</v>
      </c>
      <c r="C515" s="5"/>
      <c r="D515" s="5"/>
      <c r="E515" s="5"/>
      <c r="F515" s="5"/>
    </row>
    <row r="516" spans="1:6">
      <c r="A516" s="5" t="str">
        <f ca="1">IFERROR(__xludf.DUMMYFUNCTION("""COMPUTED_VALUE"""),"20200505CAGOV")</f>
        <v>20200505CAGOV</v>
      </c>
      <c r="B516" s="5" t="str">
        <f ca="1">IFERROR(__xludf.DUMMYFUNCTION("""COMPUTED_VALUE"""),"Fatal")</f>
        <v>Fatal</v>
      </c>
      <c r="C516" s="5" t="str">
        <f ca="1">IFERROR(__xludf.DUMMYFUNCTION("""COMPUTED_VALUE"""),"Male")</f>
        <v>Male</v>
      </c>
      <c r="D516" s="5" t="str">
        <f ca="1">IFERROR(__xludf.DUMMYFUNCTION("""COMPUTED_VALUE"""),"No Relation")</f>
        <v>No Relation</v>
      </c>
      <c r="E516" s="5">
        <f ca="1">IFERROR(__xludf.DUMMYFUNCTION("""COMPUTED_VALUE"""),19)</f>
        <v>19</v>
      </c>
      <c r="F516" s="5" t="str">
        <f ca="1">IFERROR(__xludf.DUMMYFUNCTION("""COMPUTED_VALUE"""),"Hispanic")</f>
        <v>Hispanic</v>
      </c>
    </row>
    <row r="517" spans="1:6">
      <c r="A517" s="5" t="str">
        <f ca="1">IFERROR(__xludf.DUMMYFUNCTION("""COMPUTED_VALUE"""),"20200505CAGOV")</f>
        <v>20200505CAGOV</v>
      </c>
      <c r="B517" s="5" t="str">
        <f ca="1">IFERROR(__xludf.DUMMYFUNCTION("""COMPUTED_VALUE"""),"Fatal")</f>
        <v>Fatal</v>
      </c>
      <c r="C517" s="5" t="str">
        <f ca="1">IFERROR(__xludf.DUMMYFUNCTION("""COMPUTED_VALUE"""),"Male")</f>
        <v>Male</v>
      </c>
      <c r="D517" s="5" t="str">
        <f ca="1">IFERROR(__xludf.DUMMYFUNCTION("""COMPUTED_VALUE"""),"No Relation")</f>
        <v>No Relation</v>
      </c>
      <c r="E517" s="5">
        <f ca="1">IFERROR(__xludf.DUMMYFUNCTION("""COMPUTED_VALUE"""),19)</f>
        <v>19</v>
      </c>
      <c r="F517" s="5" t="str">
        <f ca="1">IFERROR(__xludf.DUMMYFUNCTION("""COMPUTED_VALUE"""),"Hispanic")</f>
        <v>Hispanic</v>
      </c>
    </row>
    <row r="518" spans="1:6">
      <c r="A518" s="5" t="str">
        <f ca="1">IFERROR(__xludf.DUMMYFUNCTION("""COMPUTED_VALUE"""),"20200505CAGOV")</f>
        <v>20200505CAGOV</v>
      </c>
      <c r="B518" s="5" t="str">
        <f ca="1">IFERROR(__xludf.DUMMYFUNCTION("""COMPUTED_VALUE"""),"Fatal")</f>
        <v>Fatal</v>
      </c>
      <c r="C518" s="5" t="str">
        <f ca="1">IFERROR(__xludf.DUMMYFUNCTION("""COMPUTED_VALUE"""),"Male")</f>
        <v>Male</v>
      </c>
      <c r="D518" s="5" t="str">
        <f ca="1">IFERROR(__xludf.DUMMYFUNCTION("""COMPUTED_VALUE"""),"No Relation")</f>
        <v>No Relation</v>
      </c>
      <c r="E518" s="5">
        <f ca="1">IFERROR(__xludf.DUMMYFUNCTION("""COMPUTED_VALUE"""),18)</f>
        <v>18</v>
      </c>
      <c r="F518" s="5" t="str">
        <f ca="1">IFERROR(__xludf.DUMMYFUNCTION("""COMPUTED_VALUE"""),"Hispanic")</f>
        <v>Hispanic</v>
      </c>
    </row>
    <row r="519" spans="1:6">
      <c r="A519" s="5" t="str">
        <f ca="1">IFERROR(__xludf.DUMMYFUNCTION("""COMPUTED_VALUE"""),"20200413NEMOO")</f>
        <v>20200413NEMOO</v>
      </c>
      <c r="B519" s="5" t="str">
        <f ca="1">IFERROR(__xludf.DUMMYFUNCTION("""COMPUTED_VALUE"""),"Wounded")</f>
        <v>Wounded</v>
      </c>
      <c r="C519" s="5" t="str">
        <f ca="1">IFERROR(__xludf.DUMMYFUNCTION("""COMPUTED_VALUE"""),"Male")</f>
        <v>Male</v>
      </c>
      <c r="D519" s="5" t="str">
        <f ca="1">IFERROR(__xludf.DUMMYFUNCTION("""COMPUTED_VALUE"""),"No Relation")</f>
        <v>No Relation</v>
      </c>
      <c r="E519" s="5">
        <f ca="1">IFERROR(__xludf.DUMMYFUNCTION("""COMPUTED_VALUE"""),18)</f>
        <v>18</v>
      </c>
      <c r="F519" s="5"/>
    </row>
    <row r="520" spans="1:6">
      <c r="A520" s="5" t="str">
        <f ca="1">IFERROR(__xludf.DUMMYFUNCTION("""COMPUTED_VALUE"""),"20200330GANAS")</f>
        <v>20200330GANAS</v>
      </c>
      <c r="B520" s="5" t="str">
        <f ca="1">IFERROR(__xludf.DUMMYFUNCTION("""COMPUTED_VALUE"""),"Wounded")</f>
        <v>Wounded</v>
      </c>
      <c r="C520" s="5"/>
      <c r="D520" s="5" t="str">
        <f ca="1">IFERROR(__xludf.DUMMYFUNCTION("""COMPUTED_VALUE"""),"No Relation")</f>
        <v>No Relation</v>
      </c>
      <c r="E520" s="5"/>
      <c r="F520" s="5"/>
    </row>
    <row r="521" spans="1:6">
      <c r="A521" s="5" t="str">
        <f ca="1">IFERROR(__xludf.DUMMYFUNCTION("""COMPUTED_VALUE"""),"20200330GANAS")</f>
        <v>20200330GANAS</v>
      </c>
      <c r="B521" s="5" t="str">
        <f ca="1">IFERROR(__xludf.DUMMYFUNCTION("""COMPUTED_VALUE"""),"Wounded")</f>
        <v>Wounded</v>
      </c>
      <c r="C521" s="5"/>
      <c r="D521" s="5" t="str">
        <f ca="1">IFERROR(__xludf.DUMMYFUNCTION("""COMPUTED_VALUE"""),"No Relation")</f>
        <v>No Relation</v>
      </c>
      <c r="E521" s="5"/>
      <c r="F521" s="5"/>
    </row>
    <row r="522" spans="1:6">
      <c r="A522" s="5" t="str">
        <f ca="1">IFERROR(__xludf.DUMMYFUNCTION("""COMPUTED_VALUE"""),"20200330GANAS")</f>
        <v>20200330GANAS</v>
      </c>
      <c r="B522" s="5" t="str">
        <f ca="1">IFERROR(__xludf.DUMMYFUNCTION("""COMPUTED_VALUE"""),"Wounded")</f>
        <v>Wounded</v>
      </c>
      <c r="C522" s="5"/>
      <c r="D522" s="5" t="str">
        <f ca="1">IFERROR(__xludf.DUMMYFUNCTION("""COMPUTED_VALUE"""),"No Relation")</f>
        <v>No Relation</v>
      </c>
      <c r="E522" s="5"/>
      <c r="F522" s="5"/>
    </row>
    <row r="523" spans="1:6">
      <c r="A523" s="5" t="str">
        <f ca="1">IFERROR(__xludf.DUMMYFUNCTION("""COMPUTED_VALUE"""),"20200324LAROM")</f>
        <v>20200324LAROM</v>
      </c>
      <c r="B523" s="5" t="str">
        <f ca="1">IFERROR(__xludf.DUMMYFUNCTION("""COMPUTED_VALUE"""),"Wounded")</f>
        <v>Wounded</v>
      </c>
      <c r="C523" s="5" t="str">
        <f ca="1">IFERROR(__xludf.DUMMYFUNCTION("""COMPUTED_VALUE"""),"Male")</f>
        <v>Male</v>
      </c>
      <c r="D523" s="5"/>
      <c r="E523" s="5"/>
      <c r="F523" s="5"/>
    </row>
    <row r="524" spans="1:6">
      <c r="A524" s="5" t="str">
        <f ca="1">IFERROR(__xludf.DUMMYFUNCTION("""COMPUTED_VALUE"""),"20200318LABOS")</f>
        <v>20200318LABOS</v>
      </c>
      <c r="B524" s="5" t="str">
        <f ca="1">IFERROR(__xludf.DUMMYFUNCTION("""COMPUTED_VALUE"""),"Wounded")</f>
        <v>Wounded</v>
      </c>
      <c r="C524" s="5" t="str">
        <f ca="1">IFERROR(__xludf.DUMMYFUNCTION("""COMPUTED_VALUE"""),"Male")</f>
        <v>Male</v>
      </c>
      <c r="D524" s="5" t="str">
        <f ca="1">IFERROR(__xludf.DUMMYFUNCTION("""COMPUTED_VALUE"""),"Student")</f>
        <v>Student</v>
      </c>
      <c r="E524" s="5">
        <f ca="1">IFERROR(__xludf.DUMMYFUNCTION("""COMPUTED_VALUE"""),15)</f>
        <v>15</v>
      </c>
      <c r="F524" s="5"/>
    </row>
    <row r="525" spans="1:6">
      <c r="A525" s="5" t="str">
        <f ca="1">IFERROR(__xludf.DUMMYFUNCTION("""COMPUTED_VALUE"""),"20200315TXATH")</f>
        <v>20200315TXATH</v>
      </c>
      <c r="B525" s="5" t="str">
        <f ca="1">IFERROR(__xludf.DUMMYFUNCTION("""COMPUTED_VALUE"""),"Fatal")</f>
        <v>Fatal</v>
      </c>
      <c r="C525" s="5" t="str">
        <f ca="1">IFERROR(__xludf.DUMMYFUNCTION("""COMPUTED_VALUE"""),"Male")</f>
        <v>Male</v>
      </c>
      <c r="D525" s="5" t="str">
        <f ca="1">IFERROR(__xludf.DUMMYFUNCTION("""COMPUTED_VALUE"""),"Former Teacher")</f>
        <v>Former Teacher</v>
      </c>
      <c r="E525" s="5">
        <f ca="1">IFERROR(__xludf.DUMMYFUNCTION("""COMPUTED_VALUE"""),19)</f>
        <v>19</v>
      </c>
      <c r="F525" s="5" t="str">
        <f ca="1">IFERROR(__xludf.DUMMYFUNCTION("""COMPUTED_VALUE"""),"Black")</f>
        <v>Black</v>
      </c>
    </row>
    <row r="526" spans="1:6">
      <c r="A526" s="5" t="str">
        <f ca="1">IFERROR(__xludf.DUMMYFUNCTION("""COMPUTED_VALUE"""),"20200313TNPIR")</f>
        <v>20200313TNPIR</v>
      </c>
      <c r="B526" s="5" t="str">
        <f ca="1">IFERROR(__xludf.DUMMYFUNCTION("""COMPUTED_VALUE"""),"None")</f>
        <v>None</v>
      </c>
      <c r="C526" s="5"/>
      <c r="D526" s="5"/>
      <c r="E526" s="5"/>
      <c r="F526" s="5"/>
    </row>
    <row r="527" spans="1:6">
      <c r="A527" s="5" t="str">
        <f ca="1">IFERROR(__xludf.DUMMYFUNCTION("""COMPUTED_VALUE"""),"20200310PASHN")</f>
        <v>20200310PASHN</v>
      </c>
      <c r="B527" s="5" t="str">
        <f ca="1">IFERROR(__xludf.DUMMYFUNCTION("""COMPUTED_VALUE"""),"None")</f>
        <v>None</v>
      </c>
      <c r="C527" s="5"/>
      <c r="D527" s="5"/>
      <c r="E527" s="5"/>
      <c r="F527" s="5"/>
    </row>
    <row r="528" spans="1:6">
      <c r="A528" s="5" t="str">
        <f ca="1">IFERROR(__xludf.DUMMYFUNCTION("""COMPUTED_VALUE"""),"20200305FLSAW")</f>
        <v>20200305FLSAW</v>
      </c>
      <c r="B528" s="5" t="str">
        <f ca="1">IFERROR(__xludf.DUMMYFUNCTION("""COMPUTED_VALUE"""),"Wounded")</f>
        <v>Wounded</v>
      </c>
      <c r="C528" s="5" t="str">
        <f ca="1">IFERROR(__xludf.DUMMYFUNCTION("""COMPUTED_VALUE"""),"Male")</f>
        <v>Male</v>
      </c>
      <c r="D528" s="5" t="str">
        <f ca="1">IFERROR(__xludf.DUMMYFUNCTION("""COMPUTED_VALUE"""),"Police Officer/SRO")</f>
        <v>Police Officer/SRO</v>
      </c>
      <c r="E528" s="5"/>
      <c r="F528" s="5"/>
    </row>
    <row r="529" spans="1:6">
      <c r="A529" s="5" t="str">
        <f ca="1">IFERROR(__xludf.DUMMYFUNCTION("""COMPUTED_VALUE"""),"20200302TXNOF")</f>
        <v>20200302TXNOF</v>
      </c>
      <c r="B529" s="5" t="str">
        <f ca="1">IFERROR(__xludf.DUMMYFUNCTION("""COMPUTED_VALUE"""),"None")</f>
        <v>None</v>
      </c>
      <c r="C529" s="5"/>
      <c r="D529" s="5"/>
      <c r="E529" s="5"/>
      <c r="F529" s="5"/>
    </row>
    <row r="530" spans="1:6">
      <c r="A530" s="5" t="str">
        <f ca="1">IFERROR(__xludf.DUMMYFUNCTION("""COMPUTED_VALUE"""),"20200221NMCEA")</f>
        <v>20200221NMCEA</v>
      </c>
      <c r="B530" s="5" t="str">
        <f ca="1">IFERROR(__xludf.DUMMYFUNCTION("""COMPUTED_VALUE"""),"None")</f>
        <v>None</v>
      </c>
      <c r="C530" s="5"/>
      <c r="D530" s="5"/>
      <c r="E530" s="5"/>
      <c r="F530" s="5"/>
    </row>
    <row r="531" spans="1:6">
      <c r="A531" s="5" t="str">
        <f ca="1">IFERROR(__xludf.DUMMYFUNCTION("""COMPUTED_VALUE"""),"20200215DCDUW")</f>
        <v>20200215DCDUW</v>
      </c>
      <c r="B531" s="5" t="str">
        <f ca="1">IFERROR(__xludf.DUMMYFUNCTION("""COMPUTED_VALUE"""),"Fatal")</f>
        <v>Fatal</v>
      </c>
      <c r="C531" s="5" t="str">
        <f ca="1">IFERROR(__xludf.DUMMYFUNCTION("""COMPUTED_VALUE"""),"Male")</f>
        <v>Male</v>
      </c>
      <c r="D531" s="5" t="str">
        <f ca="1">IFERROR(__xludf.DUMMYFUNCTION("""COMPUTED_VALUE"""),"Nonstudent Using Athletic Facilities/Attending Game")</f>
        <v>Nonstudent Using Athletic Facilities/Attending Game</v>
      </c>
      <c r="E531" s="5">
        <f ca="1">IFERROR(__xludf.DUMMYFUNCTION("""COMPUTED_VALUE"""),34)</f>
        <v>34</v>
      </c>
      <c r="F531" s="5"/>
    </row>
    <row r="532" spans="1:6">
      <c r="A532" s="5" t="str">
        <f ca="1">IFERROR(__xludf.DUMMYFUNCTION("""COMPUTED_VALUE"""),"20200212MOJOF")</f>
        <v>20200212MOJOF</v>
      </c>
      <c r="B532" s="5" t="str">
        <f ca="1">IFERROR(__xludf.DUMMYFUNCTION("""COMPUTED_VALUE"""),"None")</f>
        <v>None</v>
      </c>
      <c r="C532" s="5"/>
      <c r="D532" s="5"/>
      <c r="E532" s="5"/>
      <c r="F532" s="5"/>
    </row>
    <row r="533" spans="1:6">
      <c r="A533" s="5" t="str">
        <f ca="1">IFERROR(__xludf.DUMMYFUNCTION("""COMPUTED_VALUE"""),"20200205NHSEC")</f>
        <v>20200205NHSEC</v>
      </c>
      <c r="B533" s="5" t="str">
        <f ca="1">IFERROR(__xludf.DUMMYFUNCTION("""COMPUTED_VALUE"""),"None")</f>
        <v>None</v>
      </c>
      <c r="C533" s="5" t="str">
        <f ca="1">IFERROR(__xludf.DUMMYFUNCTION("""COMPUTED_VALUE"""),"Male")</f>
        <v>Male</v>
      </c>
      <c r="D533" s="5" t="str">
        <f ca="1">IFERROR(__xludf.DUMMYFUNCTION("""COMPUTED_VALUE"""),"Student")</f>
        <v>Student</v>
      </c>
      <c r="E533" s="5">
        <f ca="1">IFERROR(__xludf.DUMMYFUNCTION("""COMPUTED_VALUE"""),17)</f>
        <v>17</v>
      </c>
      <c r="F533" s="5"/>
    </row>
    <row r="534" spans="1:6">
      <c r="A534" s="5" t="str">
        <f ca="1">IFERROR(__xludf.DUMMYFUNCTION("""COMPUTED_VALUE"""),"20200205NHSEC")</f>
        <v>20200205NHSEC</v>
      </c>
      <c r="B534" s="5" t="str">
        <f ca="1">IFERROR(__xludf.DUMMYFUNCTION("""COMPUTED_VALUE"""),"None")</f>
        <v>None</v>
      </c>
      <c r="C534" s="5" t="str">
        <f ca="1">IFERROR(__xludf.DUMMYFUNCTION("""COMPUTED_VALUE"""),"Female")</f>
        <v>Female</v>
      </c>
      <c r="D534" s="5" t="str">
        <f ca="1">IFERROR(__xludf.DUMMYFUNCTION("""COMPUTED_VALUE"""),"Teacher")</f>
        <v>Teacher</v>
      </c>
      <c r="E534" s="5" t="str">
        <f ca="1">IFERROR(__xludf.DUMMYFUNCTION("""COMPUTED_VALUE"""),"Adult")</f>
        <v>Adult</v>
      </c>
      <c r="F534" s="5"/>
    </row>
    <row r="535" spans="1:6">
      <c r="A535" s="5" t="str">
        <f ca="1">IFERROR(__xludf.DUMMYFUNCTION("""COMPUTED_VALUE"""),"20200204LABEA")</f>
        <v>20200204LABEA</v>
      </c>
      <c r="B535" s="5" t="str">
        <f ca="1">IFERROR(__xludf.DUMMYFUNCTION("""COMPUTED_VALUE"""),"None")</f>
        <v>None</v>
      </c>
      <c r="C535" s="5"/>
      <c r="D535" s="5"/>
      <c r="E535" s="5"/>
      <c r="F535" s="5"/>
    </row>
    <row r="536" spans="1:6">
      <c r="A536" s="5" t="str">
        <f ca="1">IFERROR(__xludf.DUMMYFUNCTION("""COMPUTED_VALUE"""),"20200203FLGEJ")</f>
        <v>20200203FLGEJ</v>
      </c>
      <c r="B536" s="5" t="str">
        <f ca="1">IFERROR(__xludf.DUMMYFUNCTION("""COMPUTED_VALUE"""),"Wounded")</f>
        <v>Wounded</v>
      </c>
      <c r="C536" s="5" t="str">
        <f ca="1">IFERROR(__xludf.DUMMYFUNCTION("""COMPUTED_VALUE"""),"Male")</f>
        <v>Male</v>
      </c>
      <c r="D536" s="5" t="str">
        <f ca="1">IFERROR(__xludf.DUMMYFUNCTION("""COMPUTED_VALUE"""),"No Relation")</f>
        <v>No Relation</v>
      </c>
      <c r="E536" s="5" t="str">
        <f ca="1">IFERROR(__xludf.DUMMYFUNCTION("""COMPUTED_VALUE"""),"Adult")</f>
        <v>Adult</v>
      </c>
      <c r="F536" s="5"/>
    </row>
    <row r="537" spans="1:6">
      <c r="A537" s="5" t="str">
        <f ca="1">IFERROR(__xludf.DUMMYFUNCTION("""COMPUTED_VALUE"""),"20200201TXHIH")</f>
        <v>20200201TXHIH</v>
      </c>
      <c r="B537" s="5" t="str">
        <f ca="1">IFERROR(__xludf.DUMMYFUNCTION("""COMPUTED_VALUE"""),"Wounded")</f>
        <v>Wounded</v>
      </c>
      <c r="C537" s="5" t="str">
        <f ca="1">IFERROR(__xludf.DUMMYFUNCTION("""COMPUTED_VALUE"""),"Male")</f>
        <v>Male</v>
      </c>
      <c r="D537" s="5" t="str">
        <f ca="1">IFERROR(__xludf.DUMMYFUNCTION("""COMPUTED_VALUE"""),"No Relation")</f>
        <v>No Relation</v>
      </c>
      <c r="E537" s="5" t="str">
        <f ca="1">IFERROR(__xludf.DUMMYFUNCTION("""COMPUTED_VALUE"""),"Adult")</f>
        <v>Adult</v>
      </c>
      <c r="F537" s="5"/>
    </row>
    <row r="538" spans="1:6">
      <c r="A538" s="5" t="str">
        <f ca="1">IFERROR(__xludf.DUMMYFUNCTION("""COMPUTED_VALUE"""),"20200131CADEA")</f>
        <v>20200131CADEA</v>
      </c>
      <c r="B538" s="5" t="str">
        <f ca="1">IFERROR(__xludf.DUMMYFUNCTION("""COMPUTED_VALUE"""),"Fatal")</f>
        <v>Fatal</v>
      </c>
      <c r="C538" s="5" t="str">
        <f ca="1">IFERROR(__xludf.DUMMYFUNCTION("""COMPUTED_VALUE"""),"Male")</f>
        <v>Male</v>
      </c>
      <c r="D538" s="5" t="str">
        <f ca="1">IFERROR(__xludf.DUMMYFUNCTION("""COMPUTED_VALUE"""),"Student")</f>
        <v>Student</v>
      </c>
      <c r="E538" s="5">
        <f ca="1">IFERROR(__xludf.DUMMYFUNCTION("""COMPUTED_VALUE"""),16)</f>
        <v>16</v>
      </c>
      <c r="F538" s="5"/>
    </row>
    <row r="539" spans="1:6">
      <c r="A539" s="5" t="str">
        <f ca="1">IFERROR(__xludf.DUMMYFUNCTION("""COMPUTED_VALUE"""),"20200128TXLUL")</f>
        <v>20200128TXLUL</v>
      </c>
      <c r="B539" s="5" t="str">
        <f ca="1">IFERROR(__xludf.DUMMYFUNCTION("""COMPUTED_VALUE"""),"Wounded")</f>
        <v>Wounded</v>
      </c>
      <c r="C539" s="5" t="str">
        <f ca="1">IFERROR(__xludf.DUMMYFUNCTION("""COMPUTED_VALUE"""),"Male")</f>
        <v>Male</v>
      </c>
      <c r="D539" s="5" t="str">
        <f ca="1">IFERROR(__xludf.DUMMYFUNCTION("""COMPUTED_VALUE"""),"Student")</f>
        <v>Student</v>
      </c>
      <c r="E539" s="5">
        <f ca="1">IFERROR(__xludf.DUMMYFUNCTION("""COMPUTED_VALUE"""),17)</f>
        <v>17</v>
      </c>
      <c r="F539" s="5" t="str">
        <f ca="1">IFERROR(__xludf.DUMMYFUNCTION("""COMPUTED_VALUE"""),"Black")</f>
        <v>Black</v>
      </c>
    </row>
    <row r="540" spans="1:6">
      <c r="A540" s="5" t="str">
        <f ca="1">IFERROR(__xludf.DUMMYFUNCTION("""COMPUTED_VALUE"""),"20200128TNWHM")</f>
        <v>20200128TNWHM</v>
      </c>
      <c r="B540" s="5" t="str">
        <f ca="1">IFERROR(__xludf.DUMMYFUNCTION("""COMPUTED_VALUE"""),"Wounded")</f>
        <v>Wounded</v>
      </c>
      <c r="C540" s="5" t="str">
        <f ca="1">IFERROR(__xludf.DUMMYFUNCTION("""COMPUTED_VALUE"""),"Male")</f>
        <v>Male</v>
      </c>
      <c r="D540" s="5"/>
      <c r="E540" s="5"/>
      <c r="F540" s="5"/>
    </row>
    <row r="541" spans="1:6">
      <c r="A541" s="5" t="str">
        <f ca="1">IFERROR(__xludf.DUMMYFUNCTION("""COMPUTED_VALUE"""),"20200128NYMAQ")</f>
        <v>20200128NYMAQ</v>
      </c>
      <c r="B541" s="5" t="str">
        <f ca="1">IFERROR(__xludf.DUMMYFUNCTION("""COMPUTED_VALUE"""),"None")</f>
        <v>None</v>
      </c>
      <c r="C541" s="5" t="str">
        <f ca="1">IFERROR(__xludf.DUMMYFUNCTION("""COMPUTED_VALUE"""),"Male")</f>
        <v>Male</v>
      </c>
      <c r="D541" s="5" t="str">
        <f ca="1">IFERROR(__xludf.DUMMYFUNCTION("""COMPUTED_VALUE"""),"Student")</f>
        <v>Student</v>
      </c>
      <c r="E541" s="5">
        <f ca="1">IFERROR(__xludf.DUMMYFUNCTION("""COMPUTED_VALUE"""),16)</f>
        <v>16</v>
      </c>
      <c r="F541" s="5"/>
    </row>
    <row r="542" spans="1:6">
      <c r="A542" s="5" t="str">
        <f ca="1">IFERROR(__xludf.DUMMYFUNCTION("""COMPUTED_VALUE"""),"20200127WAROY")</f>
        <v>20200127WAROY</v>
      </c>
      <c r="B542" s="5" t="str">
        <f ca="1">IFERROR(__xludf.DUMMYFUNCTION("""COMPUTED_VALUE"""),"None")</f>
        <v>None</v>
      </c>
      <c r="C542" s="5"/>
      <c r="D542" s="5"/>
      <c r="E542" s="5"/>
      <c r="F542" s="5"/>
    </row>
    <row r="543" spans="1:6">
      <c r="A543" s="5" t="str">
        <f ca="1">IFERROR(__xludf.DUMMYFUNCTION("""COMPUTED_VALUE"""),"20200123CAOXO")</f>
        <v>20200123CAOXO</v>
      </c>
      <c r="B543" s="5" t="str">
        <f ca="1">IFERROR(__xludf.DUMMYFUNCTION("""COMPUTED_VALUE"""),"Wounded")</f>
        <v>Wounded</v>
      </c>
      <c r="C543" s="5" t="str">
        <f ca="1">IFERROR(__xludf.DUMMYFUNCTION("""COMPUTED_VALUE"""),"Female")</f>
        <v>Female</v>
      </c>
      <c r="D543" s="5" t="str">
        <f ca="1">IFERROR(__xludf.DUMMYFUNCTION("""COMPUTED_VALUE"""),"Student")</f>
        <v>Student</v>
      </c>
      <c r="E543" s="5">
        <f ca="1">IFERROR(__xludf.DUMMYFUNCTION("""COMPUTED_VALUE"""),9)</f>
        <v>9</v>
      </c>
      <c r="F543" s="5"/>
    </row>
    <row r="544" spans="1:6">
      <c r="A544" s="5" t="str">
        <f ca="1">IFERROR(__xludf.DUMMYFUNCTION("""COMPUTED_VALUE"""),"20200121NEPAL")</f>
        <v>20200121NEPAL</v>
      </c>
      <c r="B544" s="5" t="str">
        <f ca="1">IFERROR(__xludf.DUMMYFUNCTION("""COMPUTED_VALUE"""),"None")</f>
        <v>None</v>
      </c>
      <c r="C544" s="5"/>
      <c r="D544" s="5"/>
      <c r="E544" s="5"/>
      <c r="F544" s="5"/>
    </row>
    <row r="545" spans="1:6">
      <c r="A545" s="5" t="str">
        <f ca="1">IFERROR(__xludf.DUMMYFUNCTION("""COMPUTED_VALUE"""),"20200121ILLIC")</f>
        <v>20200121ILLIC</v>
      </c>
      <c r="B545" s="5" t="str">
        <f ca="1">IFERROR(__xludf.DUMMYFUNCTION("""COMPUTED_VALUE"""),"Wounded")</f>
        <v>Wounded</v>
      </c>
      <c r="C545" s="5" t="str">
        <f ca="1">IFERROR(__xludf.DUMMYFUNCTION("""COMPUTED_VALUE"""),"Male")</f>
        <v>Male</v>
      </c>
      <c r="D545" s="5" t="str">
        <f ca="1">IFERROR(__xludf.DUMMYFUNCTION("""COMPUTED_VALUE"""),"Student")</f>
        <v>Student</v>
      </c>
      <c r="E545" s="5">
        <f ca="1">IFERROR(__xludf.DUMMYFUNCTION("""COMPUTED_VALUE"""),17)</f>
        <v>17</v>
      </c>
      <c r="F545" s="5"/>
    </row>
    <row r="546" spans="1:6">
      <c r="A546" s="5" t="str">
        <f ca="1">IFERROR(__xludf.DUMMYFUNCTION("""COMPUTED_VALUE"""),"20200119TXNOF")</f>
        <v>20200119TXNOF</v>
      </c>
      <c r="B546" s="5" t="str">
        <f ca="1">IFERROR(__xludf.DUMMYFUNCTION("""COMPUTED_VALUE"""),"Wounded")</f>
        <v>Wounded</v>
      </c>
      <c r="C546" s="5"/>
      <c r="D546" s="5" t="str">
        <f ca="1">IFERROR(__xludf.DUMMYFUNCTION("""COMPUTED_VALUE"""),"Nonstudent Using Athletic Facilities/Attending Game")</f>
        <v>Nonstudent Using Athletic Facilities/Attending Game</v>
      </c>
      <c r="E546" s="5" t="str">
        <f ca="1">IFERROR(__xludf.DUMMYFUNCTION("""COMPUTED_VALUE"""),"Adult")</f>
        <v>Adult</v>
      </c>
      <c r="F546" s="5"/>
    </row>
    <row r="547" spans="1:6">
      <c r="A547" s="5" t="str">
        <f ca="1">IFERROR(__xludf.DUMMYFUNCTION("""COMPUTED_VALUE"""),"20200119TXNOF")</f>
        <v>20200119TXNOF</v>
      </c>
      <c r="B547" s="5" t="str">
        <f ca="1">IFERROR(__xludf.DUMMYFUNCTION("""COMPUTED_VALUE"""),"Wounded")</f>
        <v>Wounded</v>
      </c>
      <c r="C547" s="5"/>
      <c r="D547" s="5" t="str">
        <f ca="1">IFERROR(__xludf.DUMMYFUNCTION("""COMPUTED_VALUE"""),"Nonstudent Using Athletic Facilities/Attending Game")</f>
        <v>Nonstudent Using Athletic Facilities/Attending Game</v>
      </c>
      <c r="E547" s="5">
        <f ca="1">IFERROR(__xludf.DUMMYFUNCTION("""COMPUTED_VALUE"""),10)</f>
        <v>10</v>
      </c>
      <c r="F547" s="5"/>
    </row>
    <row r="548" spans="1:6">
      <c r="A548" s="5" t="str">
        <f ca="1">IFERROR(__xludf.DUMMYFUNCTION("""COMPUTED_VALUE"""),"20200117SCCAS")</f>
        <v>20200117SCCAS</v>
      </c>
      <c r="B548" s="5" t="str">
        <f ca="1">IFERROR(__xludf.DUMMYFUNCTION("""COMPUTED_VALUE"""),"None")</f>
        <v>None</v>
      </c>
      <c r="C548" s="5" t="str">
        <f ca="1">IFERROR(__xludf.DUMMYFUNCTION("""COMPUTED_VALUE"""),"Male")</f>
        <v>Male</v>
      </c>
      <c r="D548" s="5" t="str">
        <f ca="1">IFERROR(__xludf.DUMMYFUNCTION("""COMPUTED_VALUE"""),"Student")</f>
        <v>Student</v>
      </c>
      <c r="E548" s="5">
        <f ca="1">IFERROR(__xludf.DUMMYFUNCTION("""COMPUTED_VALUE"""),16)</f>
        <v>16</v>
      </c>
      <c r="F548" s="5"/>
    </row>
    <row r="549" spans="1:6">
      <c r="A549" s="5" t="str">
        <f ca="1">IFERROR(__xludf.DUMMYFUNCTION("""COMPUTED_VALUE"""),"20200117MITHH")</f>
        <v>20200117MITHH</v>
      </c>
      <c r="B549" s="5" t="str">
        <f ca="1">IFERROR(__xludf.DUMMYFUNCTION("""COMPUTED_VALUE"""),"Wounded")</f>
        <v>Wounded</v>
      </c>
      <c r="C549" s="5" t="str">
        <f ca="1">IFERROR(__xludf.DUMMYFUNCTION("""COMPUTED_VALUE"""),"Male")</f>
        <v>Male</v>
      </c>
      <c r="D549" s="5" t="str">
        <f ca="1">IFERROR(__xludf.DUMMYFUNCTION("""COMPUTED_VALUE"""),"Parent")</f>
        <v>Parent</v>
      </c>
      <c r="E549" s="5" t="str">
        <f ca="1">IFERROR(__xludf.DUMMYFUNCTION("""COMPUTED_VALUE"""),"Adult")</f>
        <v>Adult</v>
      </c>
      <c r="F549" s="5"/>
    </row>
    <row r="550" spans="1:6">
      <c r="A550" s="5" t="str">
        <f ca="1">IFERROR(__xludf.DUMMYFUNCTION("""COMPUTED_VALUE"""),"20200114TXPOM")</f>
        <v>20200114TXPOM</v>
      </c>
      <c r="B550" s="5" t="str">
        <f ca="1">IFERROR(__xludf.DUMMYFUNCTION("""COMPUTED_VALUE"""),"None")</f>
        <v>None</v>
      </c>
      <c r="C550" s="5"/>
      <c r="D550" s="5"/>
      <c r="E550" s="5"/>
      <c r="F550" s="5"/>
    </row>
    <row r="551" spans="1:6">
      <c r="A551" s="5" t="str">
        <f ca="1">IFERROR(__xludf.DUMMYFUNCTION("""COMPUTED_VALUE"""),"20200114TXBEH")</f>
        <v>20200114TXBEH</v>
      </c>
      <c r="B551" s="5" t="str">
        <f ca="1">IFERROR(__xludf.DUMMYFUNCTION("""COMPUTED_VALUE"""),"Fatal")</f>
        <v>Fatal</v>
      </c>
      <c r="C551" s="5" t="str">
        <f ca="1">IFERROR(__xludf.DUMMYFUNCTION("""COMPUTED_VALUE"""),"Male")</f>
        <v>Male</v>
      </c>
      <c r="D551" s="5" t="str">
        <f ca="1">IFERROR(__xludf.DUMMYFUNCTION("""COMPUTED_VALUE"""),"Student")</f>
        <v>Student</v>
      </c>
      <c r="E551" s="5">
        <f ca="1">IFERROR(__xludf.DUMMYFUNCTION("""COMPUTED_VALUE"""),19)</f>
        <v>19</v>
      </c>
      <c r="F551" s="5"/>
    </row>
    <row r="552" spans="1:6">
      <c r="A552" s="5" t="str">
        <f ca="1">IFERROR(__xludf.DUMMYFUNCTION("""COMPUTED_VALUE"""),"20200111TXELD")</f>
        <v>20200111TXELD</v>
      </c>
      <c r="B552" s="5" t="str">
        <f ca="1">IFERROR(__xludf.DUMMYFUNCTION("""COMPUTED_VALUE"""),"Fatal")</f>
        <v>Fatal</v>
      </c>
      <c r="C552" s="5" t="str">
        <f ca="1">IFERROR(__xludf.DUMMYFUNCTION("""COMPUTED_VALUE"""),"Male")</f>
        <v>Male</v>
      </c>
      <c r="D552" s="5" t="str">
        <f ca="1">IFERROR(__xludf.DUMMYFUNCTION("""COMPUTED_VALUE"""),"Former Student")</f>
        <v>Former Student</v>
      </c>
      <c r="E552" s="5">
        <f ca="1">IFERROR(__xludf.DUMMYFUNCTION("""COMPUTED_VALUE"""),18)</f>
        <v>18</v>
      </c>
      <c r="F552" s="5"/>
    </row>
    <row r="553" spans="1:6">
      <c r="A553" s="5" t="str">
        <f ca="1">IFERROR(__xludf.DUMMYFUNCTION("""COMPUTED_VALUE"""),"20200111TXELD")</f>
        <v>20200111TXELD</v>
      </c>
      <c r="B553" s="5" t="str">
        <f ca="1">IFERROR(__xludf.DUMMYFUNCTION("""COMPUTED_VALUE"""),"Wounded")</f>
        <v>Wounded</v>
      </c>
      <c r="C553" s="5" t="str">
        <f ca="1">IFERROR(__xludf.DUMMYFUNCTION("""COMPUTED_VALUE"""),"Male")</f>
        <v>Male</v>
      </c>
      <c r="D553" s="5" t="str">
        <f ca="1">IFERROR(__xludf.DUMMYFUNCTION("""COMPUTED_VALUE"""),"Police Officer/SRO")</f>
        <v>Police Officer/SRO</v>
      </c>
      <c r="E553" s="5" t="str">
        <f ca="1">IFERROR(__xludf.DUMMYFUNCTION("""COMPUTED_VALUE"""),"Officer")</f>
        <v>Officer</v>
      </c>
      <c r="F553" s="5"/>
    </row>
    <row r="554" spans="1:6">
      <c r="A554" s="5" t="str">
        <f ca="1">IFERROR(__xludf.DUMMYFUNCTION("""COMPUTED_VALUE"""),"20200110MSMCJ")</f>
        <v>20200110MSMCJ</v>
      </c>
      <c r="B554" s="5" t="str">
        <f ca="1">IFERROR(__xludf.DUMMYFUNCTION("""COMPUTED_VALUE"""),"Wounded")</f>
        <v>Wounded</v>
      </c>
      <c r="C554" s="5" t="str">
        <f ca="1">IFERROR(__xludf.DUMMYFUNCTION("""COMPUTED_VALUE"""),"Male")</f>
        <v>Male</v>
      </c>
      <c r="D554" s="5" t="str">
        <f ca="1">IFERROR(__xludf.DUMMYFUNCTION("""COMPUTED_VALUE"""),"Student")</f>
        <v>Student</v>
      </c>
      <c r="E554" s="5" t="str">
        <f ca="1">IFERROR(__xludf.DUMMYFUNCTION("""COMPUTED_VALUE"""),"Teen")</f>
        <v>Teen</v>
      </c>
      <c r="F554" s="5"/>
    </row>
    <row r="555" spans="1:6">
      <c r="A555" s="5" t="str">
        <f ca="1">IFERROR(__xludf.DUMMYFUNCTION("""COMPUTED_VALUE"""),"20200108FLGLB")</f>
        <v>20200108FLGLB</v>
      </c>
      <c r="B555" s="5" t="str">
        <f ca="1">IFERROR(__xludf.DUMMYFUNCTION("""COMPUTED_VALUE"""),"None")</f>
        <v>None</v>
      </c>
      <c r="C555" s="5"/>
      <c r="D555" s="5"/>
      <c r="E555" s="5"/>
      <c r="F555" s="5"/>
    </row>
    <row r="556" spans="1:6">
      <c r="A556" s="5" t="str">
        <f ca="1">IFERROR(__xludf.DUMMYFUNCTION("""COMPUTED_VALUE"""),"20200107WASOK")</f>
        <v>20200107WASOK</v>
      </c>
      <c r="B556" s="5" t="str">
        <f ca="1">IFERROR(__xludf.DUMMYFUNCTION("""COMPUTED_VALUE"""),"None")</f>
        <v>None</v>
      </c>
      <c r="C556" s="5"/>
      <c r="D556" s="5"/>
      <c r="E556" s="5"/>
      <c r="F556" s="5"/>
    </row>
    <row r="557" spans="1:6">
      <c r="A557" s="5" t="str">
        <f ca="1">IFERROR(__xludf.DUMMYFUNCTION("""COMPUTED_VALUE"""),"20191228MOMAS")</f>
        <v>20191228MOMAS</v>
      </c>
      <c r="B557" s="5" t="str">
        <f ca="1">IFERROR(__xludf.DUMMYFUNCTION("""COMPUTED_VALUE"""),"Fatal")</f>
        <v>Fatal</v>
      </c>
      <c r="C557" s="5" t="str">
        <f ca="1">IFERROR(__xludf.DUMMYFUNCTION("""COMPUTED_VALUE"""),"Male")</f>
        <v>Male</v>
      </c>
      <c r="D557" s="5" t="str">
        <f ca="1">IFERROR(__xludf.DUMMYFUNCTION("""COMPUTED_VALUE"""),"Student")</f>
        <v>Student</v>
      </c>
      <c r="E557" s="5">
        <f ca="1">IFERROR(__xludf.DUMMYFUNCTION("""COMPUTED_VALUE"""),13)</f>
        <v>13</v>
      </c>
      <c r="F557" s="5" t="str">
        <f ca="1">IFERROR(__xludf.DUMMYFUNCTION("""COMPUTED_VALUE"""),"Black")</f>
        <v>Black</v>
      </c>
    </row>
    <row r="558" spans="1:6">
      <c r="A558" s="5" t="str">
        <f ca="1">IFERROR(__xludf.DUMMYFUNCTION("""COMPUTED_VALUE"""),"20191221LAWES")</f>
        <v>20191221LAWES</v>
      </c>
      <c r="B558" s="5" t="str">
        <f ca="1">IFERROR(__xludf.DUMMYFUNCTION("""COMPUTED_VALUE"""),"Wounded")</f>
        <v>Wounded</v>
      </c>
      <c r="C558" s="5"/>
      <c r="D558" s="5" t="str">
        <f ca="1">IFERROR(__xludf.DUMMYFUNCTION("""COMPUTED_VALUE"""),"Nonstudent Using Athletic Facilities/Attending Game")</f>
        <v>Nonstudent Using Athletic Facilities/Attending Game</v>
      </c>
      <c r="E558" s="5" t="str">
        <f ca="1">IFERROR(__xludf.DUMMYFUNCTION("""COMPUTED_VALUE"""),"Adult")</f>
        <v>Adult</v>
      </c>
      <c r="F558" s="5"/>
    </row>
    <row r="559" spans="1:6">
      <c r="A559" s="5" t="str">
        <f ca="1">IFERROR(__xludf.DUMMYFUNCTION("""COMPUTED_VALUE"""),"20191221LAWES")</f>
        <v>20191221LAWES</v>
      </c>
      <c r="B559" s="5" t="str">
        <f ca="1">IFERROR(__xludf.DUMMYFUNCTION("""COMPUTED_VALUE"""),"Wounded")</f>
        <v>Wounded</v>
      </c>
      <c r="C559" s="5"/>
      <c r="D559" s="5" t="str">
        <f ca="1">IFERROR(__xludf.DUMMYFUNCTION("""COMPUTED_VALUE"""),"Nonstudent Using Athletic Facilities/Attending Game")</f>
        <v>Nonstudent Using Athletic Facilities/Attending Game</v>
      </c>
      <c r="E559" s="5" t="str">
        <f ca="1">IFERROR(__xludf.DUMMYFUNCTION("""COMPUTED_VALUE"""),"Adult")</f>
        <v>Adult</v>
      </c>
      <c r="F559" s="5"/>
    </row>
    <row r="560" spans="1:6">
      <c r="A560" s="5" t="str">
        <f ca="1">IFERROR(__xludf.DUMMYFUNCTION("""COMPUTED_VALUE"""),"20191221LAWES")</f>
        <v>20191221LAWES</v>
      </c>
      <c r="B560" s="5" t="str">
        <f ca="1">IFERROR(__xludf.DUMMYFUNCTION("""COMPUTED_VALUE"""),"Wounded")</f>
        <v>Wounded</v>
      </c>
      <c r="C560" s="5"/>
      <c r="D560" s="5" t="str">
        <f ca="1">IFERROR(__xludf.DUMMYFUNCTION("""COMPUTED_VALUE"""),"Nonstudent Using Athletic Facilities/Attending Game")</f>
        <v>Nonstudent Using Athletic Facilities/Attending Game</v>
      </c>
      <c r="E560" s="5" t="str">
        <f ca="1">IFERROR(__xludf.DUMMYFUNCTION("""COMPUTED_VALUE"""),"Adult")</f>
        <v>Adult</v>
      </c>
      <c r="F560" s="5"/>
    </row>
    <row r="561" spans="1:6">
      <c r="A561" s="5" t="str">
        <f ca="1">IFERROR(__xludf.DUMMYFUNCTION("""COMPUTED_VALUE"""),"20191221LAWES")</f>
        <v>20191221LAWES</v>
      </c>
      <c r="B561" s="5" t="str">
        <f ca="1">IFERROR(__xludf.DUMMYFUNCTION("""COMPUTED_VALUE"""),"Wounded")</f>
        <v>Wounded</v>
      </c>
      <c r="C561" s="5"/>
      <c r="D561" s="5" t="str">
        <f ca="1">IFERROR(__xludf.DUMMYFUNCTION("""COMPUTED_VALUE"""),"Nonstudent Using Athletic Facilities/Attending Game")</f>
        <v>Nonstudent Using Athletic Facilities/Attending Game</v>
      </c>
      <c r="E561" s="5" t="str">
        <f ca="1">IFERROR(__xludf.DUMMYFUNCTION("""COMPUTED_VALUE"""),"Adult")</f>
        <v>Adult</v>
      </c>
      <c r="F561" s="5"/>
    </row>
    <row r="562" spans="1:6">
      <c r="A562" s="5" t="str">
        <f ca="1">IFERROR(__xludf.DUMMYFUNCTION("""COMPUTED_VALUE"""),"20191219FLLEN")</f>
        <v>20191219FLLEN</v>
      </c>
      <c r="B562" s="5" t="str">
        <f ca="1">IFERROR(__xludf.DUMMYFUNCTION("""COMPUTED_VALUE"""),"Fatal")</f>
        <v>Fatal</v>
      </c>
      <c r="C562" s="5" t="str">
        <f ca="1">IFERROR(__xludf.DUMMYFUNCTION("""COMPUTED_VALUE"""),"Female")</f>
        <v>Female</v>
      </c>
      <c r="D562" s="5" t="str">
        <f ca="1">IFERROR(__xludf.DUMMYFUNCTION("""COMPUTED_VALUE"""),"Student")</f>
        <v>Student</v>
      </c>
      <c r="E562" s="5" t="str">
        <f ca="1">IFERROR(__xludf.DUMMYFUNCTION("""COMPUTED_VALUE"""),"Adult")</f>
        <v>Adult</v>
      </c>
      <c r="F562" s="5"/>
    </row>
    <row r="563" spans="1:6">
      <c r="A563" s="5" t="str">
        <f ca="1">IFERROR(__xludf.DUMMYFUNCTION("""COMPUTED_VALUE"""),"20191216CTCAN")</f>
        <v>20191216CTCAN</v>
      </c>
      <c r="B563" s="5" t="str">
        <f ca="1">IFERROR(__xludf.DUMMYFUNCTION("""COMPUTED_VALUE"""),"Wounded")</f>
        <v>Wounded</v>
      </c>
      <c r="C563" s="5" t="str">
        <f ca="1">IFERROR(__xludf.DUMMYFUNCTION("""COMPUTED_VALUE"""),"Male")</f>
        <v>Male</v>
      </c>
      <c r="D563" s="5" t="str">
        <f ca="1">IFERROR(__xludf.DUMMYFUNCTION("""COMPUTED_VALUE"""),"Parent")</f>
        <v>Parent</v>
      </c>
      <c r="E563" s="5" t="str">
        <f ca="1">IFERROR(__xludf.DUMMYFUNCTION("""COMPUTED_VALUE"""),"Adult")</f>
        <v>Adult</v>
      </c>
      <c r="F563" s="5"/>
    </row>
    <row r="564" spans="1:6">
      <c r="A564" s="5" t="str">
        <f ca="1">IFERROR(__xludf.DUMMYFUNCTION("""COMPUTED_VALUE"""),"20191213VAMAN")</f>
        <v>20191213VAMAN</v>
      </c>
      <c r="B564" s="5" t="str">
        <f ca="1">IFERROR(__xludf.DUMMYFUNCTION("""COMPUTED_VALUE"""),"None")</f>
        <v>None</v>
      </c>
      <c r="C564" s="5" t="str">
        <f ca="1">IFERROR(__xludf.DUMMYFUNCTION("""COMPUTED_VALUE"""),"Male")</f>
        <v>Male</v>
      </c>
      <c r="D564" s="5" t="str">
        <f ca="1">IFERROR(__xludf.DUMMYFUNCTION("""COMPUTED_VALUE"""),"Student")</f>
        <v>Student</v>
      </c>
      <c r="E564" s="5">
        <f ca="1">IFERROR(__xludf.DUMMYFUNCTION("""COMPUTED_VALUE"""),17)</f>
        <v>17</v>
      </c>
      <c r="F564" s="5"/>
    </row>
    <row r="565" spans="1:6">
      <c r="A565" s="5" t="str">
        <f ca="1">IFERROR(__xludf.DUMMYFUNCTION("""COMPUTED_VALUE"""),"20191211KSCHT")</f>
        <v>20191211KSCHT</v>
      </c>
      <c r="B565" s="5" t="str">
        <f ca="1">IFERROR(__xludf.DUMMYFUNCTION("""COMPUTED_VALUE"""),"None")</f>
        <v>None</v>
      </c>
      <c r="C565" s="5"/>
      <c r="D565" s="5"/>
      <c r="E565" s="5"/>
      <c r="F565" s="5"/>
    </row>
    <row r="566" spans="1:6">
      <c r="A566" s="5" t="str">
        <f ca="1">IFERROR(__xludf.DUMMYFUNCTION("""COMPUTED_VALUE"""),"20191211INEVE")</f>
        <v>20191211INEVE</v>
      </c>
      <c r="B566" s="5" t="str">
        <f ca="1">IFERROR(__xludf.DUMMYFUNCTION("""COMPUTED_VALUE"""),"None")</f>
        <v>None</v>
      </c>
      <c r="C566" s="5"/>
      <c r="D566" s="5"/>
      <c r="E566" s="5"/>
      <c r="F566" s="5"/>
    </row>
    <row r="567" spans="1:6">
      <c r="A567" s="5" t="str">
        <f ca="1">IFERROR(__xludf.DUMMYFUNCTION("""COMPUTED_VALUE"""),"20191210NJSAJ")</f>
        <v>20191210NJSAJ</v>
      </c>
      <c r="B567" s="5" t="str">
        <f ca="1">IFERROR(__xludf.DUMMYFUNCTION("""COMPUTED_VALUE"""),"None")</f>
        <v>None</v>
      </c>
      <c r="C567" s="5"/>
      <c r="D567" s="5"/>
      <c r="E567" s="5"/>
      <c r="F567" s="5"/>
    </row>
    <row r="568" spans="1:6">
      <c r="A568" s="5" t="str">
        <f ca="1">IFERROR(__xludf.DUMMYFUNCTION("""COMPUTED_VALUE"""),"20191210KSJCK")</f>
        <v>20191210KSJCK</v>
      </c>
      <c r="B568" s="5" t="str">
        <f ca="1">IFERROR(__xludf.DUMMYFUNCTION("""COMPUTED_VALUE"""),"None")</f>
        <v>None</v>
      </c>
      <c r="C568" s="5"/>
      <c r="D568" s="5"/>
      <c r="E568" s="5"/>
      <c r="F568" s="5"/>
    </row>
    <row r="569" spans="1:6">
      <c r="A569" s="5" t="str">
        <f ca="1">IFERROR(__xludf.DUMMYFUNCTION("""COMPUTED_VALUE"""),"20191210ALDED")</f>
        <v>20191210ALDED</v>
      </c>
      <c r="B569" s="5" t="str">
        <f ca="1">IFERROR(__xludf.DUMMYFUNCTION("""COMPUTED_VALUE"""),"None")</f>
        <v>None</v>
      </c>
      <c r="C569" s="5"/>
      <c r="D569" s="5"/>
      <c r="E569" s="5"/>
      <c r="F569" s="5"/>
    </row>
    <row r="570" spans="1:6">
      <c r="A570" s="5" t="str">
        <f ca="1">IFERROR(__xludf.DUMMYFUNCTION("""COMPUTED_VALUE"""),"20191204NMPIL")</f>
        <v>20191204NMPIL</v>
      </c>
      <c r="B570" s="5" t="str">
        <f ca="1">IFERROR(__xludf.DUMMYFUNCTION("""COMPUTED_VALUE"""),"None")</f>
        <v>None</v>
      </c>
      <c r="C570" s="5"/>
      <c r="D570" s="5"/>
      <c r="E570" s="5"/>
      <c r="F570" s="5"/>
    </row>
    <row r="571" spans="1:6">
      <c r="A571" s="5" t="str">
        <f ca="1">IFERROR(__xludf.DUMMYFUNCTION("""COMPUTED_VALUE"""),"20191203WITHM")</f>
        <v>20191203WITHM</v>
      </c>
      <c r="B571" s="5" t="str">
        <f ca="1">IFERROR(__xludf.DUMMYFUNCTION("""COMPUTED_VALUE"""),"Wounded")</f>
        <v>Wounded</v>
      </c>
      <c r="C571" s="5" t="str">
        <f ca="1">IFERROR(__xludf.DUMMYFUNCTION("""COMPUTED_VALUE"""),"Female")</f>
        <v>Female</v>
      </c>
      <c r="D571" s="5" t="str">
        <f ca="1">IFERROR(__xludf.DUMMYFUNCTION("""COMPUTED_VALUE"""),"Student")</f>
        <v>Student</v>
      </c>
      <c r="E571" s="5" t="str">
        <f ca="1">IFERROR(__xludf.DUMMYFUNCTION("""COMPUTED_VALUE"""),"Teen")</f>
        <v>Teen</v>
      </c>
      <c r="F571" s="5"/>
    </row>
    <row r="572" spans="1:6">
      <c r="A572" s="5" t="str">
        <f ca="1">IFERROR(__xludf.DUMMYFUNCTION("""COMPUTED_VALUE"""),"20191203WITHM")</f>
        <v>20191203WITHM</v>
      </c>
      <c r="B572" s="5" t="str">
        <f ca="1">IFERROR(__xludf.DUMMYFUNCTION("""COMPUTED_VALUE"""),"Wounded")</f>
        <v>Wounded</v>
      </c>
      <c r="C572" s="5" t="str">
        <f ca="1">IFERROR(__xludf.DUMMYFUNCTION("""COMPUTED_VALUE"""),"Female")</f>
        <v>Female</v>
      </c>
      <c r="D572" s="5" t="str">
        <f ca="1">IFERROR(__xludf.DUMMYFUNCTION("""COMPUTED_VALUE"""),"Student")</f>
        <v>Student</v>
      </c>
      <c r="E572" s="5" t="str">
        <f ca="1">IFERROR(__xludf.DUMMYFUNCTION("""COMPUTED_VALUE"""),"Teen")</f>
        <v>Teen</v>
      </c>
      <c r="F572" s="5"/>
    </row>
    <row r="573" spans="1:6">
      <c r="A573" s="5" t="str">
        <f ca="1">IFERROR(__xludf.DUMMYFUNCTION("""COMPUTED_VALUE"""),"20191203WIOSO")</f>
        <v>20191203WIOSO</v>
      </c>
      <c r="B573" s="5" t="str">
        <f ca="1">IFERROR(__xludf.DUMMYFUNCTION("""COMPUTED_VALUE"""),"Wounded")</f>
        <v>Wounded</v>
      </c>
      <c r="C573" s="5" t="str">
        <f ca="1">IFERROR(__xludf.DUMMYFUNCTION("""COMPUTED_VALUE"""),"Male")</f>
        <v>Male</v>
      </c>
      <c r="D573" s="5" t="str">
        <f ca="1">IFERROR(__xludf.DUMMYFUNCTION("""COMPUTED_VALUE"""),"Student")</f>
        <v>Student</v>
      </c>
      <c r="E573" s="5">
        <f ca="1">IFERROR(__xludf.DUMMYFUNCTION("""COMPUTED_VALUE"""),16)</f>
        <v>16</v>
      </c>
      <c r="F573" s="5"/>
    </row>
    <row r="574" spans="1:6">
      <c r="A574" s="5" t="str">
        <f ca="1">IFERROR(__xludf.DUMMYFUNCTION("""COMPUTED_VALUE"""),"20191202WIWAW")</f>
        <v>20191202WIWAW</v>
      </c>
      <c r="B574" s="5" t="str">
        <f ca="1">IFERROR(__xludf.DUMMYFUNCTION("""COMPUTED_VALUE"""),"None")</f>
        <v>None</v>
      </c>
      <c r="C574" s="5" t="str">
        <f ca="1">IFERROR(__xludf.DUMMYFUNCTION("""COMPUTED_VALUE"""),"Male")</f>
        <v>Male</v>
      </c>
      <c r="D574" s="5" t="str">
        <f ca="1">IFERROR(__xludf.DUMMYFUNCTION("""COMPUTED_VALUE"""),"Student")</f>
        <v>Student</v>
      </c>
      <c r="E574" s="5">
        <f ca="1">IFERROR(__xludf.DUMMYFUNCTION("""COMPUTED_VALUE"""),18)</f>
        <v>18</v>
      </c>
      <c r="F574" s="5"/>
    </row>
    <row r="575" spans="1:6">
      <c r="A575" s="5" t="str">
        <f ca="1">IFERROR(__xludf.DUMMYFUNCTION("""COMPUTED_VALUE"""),"20191201ALMOM")</f>
        <v>20191201ALMOM</v>
      </c>
      <c r="B575" s="5" t="str">
        <f ca="1">IFERROR(__xludf.DUMMYFUNCTION("""COMPUTED_VALUE"""),"Fatal")</f>
        <v>Fatal</v>
      </c>
      <c r="C575" s="5" t="str">
        <f ca="1">IFERROR(__xludf.DUMMYFUNCTION("""COMPUTED_VALUE"""),"Female")</f>
        <v>Female</v>
      </c>
      <c r="D575" s="5" t="str">
        <f ca="1">IFERROR(__xludf.DUMMYFUNCTION("""COMPUTED_VALUE"""),"No Relation")</f>
        <v>No Relation</v>
      </c>
      <c r="E575" s="5">
        <f ca="1">IFERROR(__xludf.DUMMYFUNCTION("""COMPUTED_VALUE"""),31)</f>
        <v>31</v>
      </c>
      <c r="F575" s="5" t="str">
        <f ca="1">IFERROR(__xludf.DUMMYFUNCTION("""COMPUTED_VALUE"""),"White")</f>
        <v>White</v>
      </c>
    </row>
    <row r="576" spans="1:6">
      <c r="A576" s="5" t="str">
        <f ca="1">IFERROR(__xludf.DUMMYFUNCTION("""COMPUTED_VALUE"""),"20191126WASAV")</f>
        <v>20191126WASAV</v>
      </c>
      <c r="B576" s="5" t="str">
        <f ca="1">IFERROR(__xludf.DUMMYFUNCTION("""COMPUTED_VALUE"""),"Wounded")</f>
        <v>Wounded</v>
      </c>
      <c r="C576" s="5" t="str">
        <f ca="1">IFERROR(__xludf.DUMMYFUNCTION("""COMPUTED_VALUE"""),"Female")</f>
        <v>Female</v>
      </c>
      <c r="D576" s="5" t="str">
        <f ca="1">IFERROR(__xludf.DUMMYFUNCTION("""COMPUTED_VALUE"""),"Parent")</f>
        <v>Parent</v>
      </c>
      <c r="E576" s="5" t="str">
        <f ca="1">IFERROR(__xludf.DUMMYFUNCTION("""COMPUTED_VALUE"""),"Adult")</f>
        <v>Adult</v>
      </c>
      <c r="F576" s="5"/>
    </row>
    <row r="577" spans="1:6">
      <c r="A577" s="5" t="str">
        <f ca="1">IFERROR(__xludf.DUMMYFUNCTION("""COMPUTED_VALUE"""),"20191126WASAV")</f>
        <v>20191126WASAV</v>
      </c>
      <c r="B577" s="5" t="str">
        <f ca="1">IFERROR(__xludf.DUMMYFUNCTION("""COMPUTED_VALUE"""),"Wounded")</f>
        <v>Wounded</v>
      </c>
      <c r="C577" s="5" t="str">
        <f ca="1">IFERROR(__xludf.DUMMYFUNCTION("""COMPUTED_VALUE"""),"Female")</f>
        <v>Female</v>
      </c>
      <c r="D577" s="5" t="str">
        <f ca="1">IFERROR(__xludf.DUMMYFUNCTION("""COMPUTED_VALUE"""),"Parent")</f>
        <v>Parent</v>
      </c>
      <c r="E577" s="5" t="str">
        <f ca="1">IFERROR(__xludf.DUMMYFUNCTION("""COMPUTED_VALUE"""),"Adult")</f>
        <v>Adult</v>
      </c>
      <c r="F577" s="5"/>
    </row>
    <row r="578" spans="1:6">
      <c r="A578" s="5" t="str">
        <f ca="1">IFERROR(__xludf.DUMMYFUNCTION("""COMPUTED_VALUE"""),"20191125ILCAC")</f>
        <v>20191125ILCAC</v>
      </c>
      <c r="B578" s="5" t="str">
        <f ca="1">IFERROR(__xludf.DUMMYFUNCTION("""COMPUTED_VALUE"""),"Wounded")</f>
        <v>Wounded</v>
      </c>
      <c r="C578" s="5" t="str">
        <f ca="1">IFERROR(__xludf.DUMMYFUNCTION("""COMPUTED_VALUE"""),"Male")</f>
        <v>Male</v>
      </c>
      <c r="D578" s="5" t="str">
        <f ca="1">IFERROR(__xludf.DUMMYFUNCTION("""COMPUTED_VALUE"""),"No Relation")</f>
        <v>No Relation</v>
      </c>
      <c r="E578" s="5">
        <f ca="1">IFERROR(__xludf.DUMMYFUNCTION("""COMPUTED_VALUE"""),37)</f>
        <v>37</v>
      </c>
      <c r="F578" s="5"/>
    </row>
    <row r="579" spans="1:6">
      <c r="A579" s="5" t="str">
        <f ca="1">IFERROR(__xludf.DUMMYFUNCTION("""COMPUTED_VALUE"""),"20191124CASEU")</f>
        <v>20191124CASEU</v>
      </c>
      <c r="B579" s="5" t="str">
        <f ca="1">IFERROR(__xludf.DUMMYFUNCTION("""COMPUTED_VALUE"""),"Fatal")</f>
        <v>Fatal</v>
      </c>
      <c r="C579" s="5" t="str">
        <f ca="1">IFERROR(__xludf.DUMMYFUNCTION("""COMPUTED_VALUE"""),"Male")</f>
        <v>Male</v>
      </c>
      <c r="D579" s="5" t="str">
        <f ca="1">IFERROR(__xludf.DUMMYFUNCTION("""COMPUTED_VALUE"""),"No Relation")</f>
        <v>No Relation</v>
      </c>
      <c r="E579" s="5">
        <f ca="1">IFERROR(__xludf.DUMMYFUNCTION("""COMPUTED_VALUE"""),14)</f>
        <v>14</v>
      </c>
      <c r="F579" s="5"/>
    </row>
    <row r="580" spans="1:6">
      <c r="A580" s="5" t="str">
        <f ca="1">IFERROR(__xludf.DUMMYFUNCTION("""COMPUTED_VALUE"""),"20191124CASEU")</f>
        <v>20191124CASEU</v>
      </c>
      <c r="B580" s="5" t="str">
        <f ca="1">IFERROR(__xludf.DUMMYFUNCTION("""COMPUTED_VALUE"""),"Fatal")</f>
        <v>Fatal</v>
      </c>
      <c r="C580" s="5" t="str">
        <f ca="1">IFERROR(__xludf.DUMMYFUNCTION("""COMPUTED_VALUE"""),"Male")</f>
        <v>Male</v>
      </c>
      <c r="D580" s="5" t="str">
        <f ca="1">IFERROR(__xludf.DUMMYFUNCTION("""COMPUTED_VALUE"""),"No Relation")</f>
        <v>No Relation</v>
      </c>
      <c r="E580" s="5">
        <f ca="1">IFERROR(__xludf.DUMMYFUNCTION("""COMPUTED_VALUE"""),11)</f>
        <v>11</v>
      </c>
      <c r="F580" s="5"/>
    </row>
    <row r="581" spans="1:6">
      <c r="A581" s="5" t="str">
        <f ca="1">IFERROR(__xludf.DUMMYFUNCTION("""COMPUTED_VALUE"""),"20191121ILRIO")</f>
        <v>20191121ILRIO</v>
      </c>
      <c r="B581" s="5" t="str">
        <f ca="1">IFERROR(__xludf.DUMMYFUNCTION("""COMPUTED_VALUE"""),"Wounded")</f>
        <v>Wounded</v>
      </c>
      <c r="C581" s="5"/>
      <c r="D581" s="5" t="str">
        <f ca="1">IFERROR(__xludf.DUMMYFUNCTION("""COMPUTED_VALUE"""),"Student")</f>
        <v>Student</v>
      </c>
      <c r="E581" s="5">
        <f ca="1">IFERROR(__xludf.DUMMYFUNCTION("""COMPUTED_VALUE"""),14)</f>
        <v>14</v>
      </c>
      <c r="F581" s="5"/>
    </row>
    <row r="582" spans="1:6">
      <c r="A582" s="5" t="str">
        <f ca="1">IFERROR(__xludf.DUMMYFUNCTION("""COMPUTED_VALUE"""),"20191115NJPLP")</f>
        <v>20191115NJPLP</v>
      </c>
      <c r="B582" s="5" t="str">
        <f ca="1">IFERROR(__xludf.DUMMYFUNCTION("""COMPUTED_VALUE"""),"Fatal")</f>
        <v>Fatal</v>
      </c>
      <c r="C582" s="5" t="str">
        <f ca="1">IFERROR(__xludf.DUMMYFUNCTION("""COMPUTED_VALUE"""),"Male")</f>
        <v>Male</v>
      </c>
      <c r="D582" s="5" t="str">
        <f ca="1">IFERROR(__xludf.DUMMYFUNCTION("""COMPUTED_VALUE"""),"Relative")</f>
        <v>Relative</v>
      </c>
      <c r="E582" s="5">
        <f ca="1">IFERROR(__xludf.DUMMYFUNCTION("""COMPUTED_VALUE"""),10)</f>
        <v>10</v>
      </c>
      <c r="F582" s="5"/>
    </row>
    <row r="583" spans="1:6">
      <c r="A583" s="5" t="str">
        <f ca="1">IFERROR(__xludf.DUMMYFUNCTION("""COMPUTED_VALUE"""),"20191115NJPLP")</f>
        <v>20191115NJPLP</v>
      </c>
      <c r="B583" s="5" t="str">
        <f ca="1">IFERROR(__xludf.DUMMYFUNCTION("""COMPUTED_VALUE"""),"Wounded")</f>
        <v>Wounded</v>
      </c>
      <c r="C583" s="5" t="str">
        <f ca="1">IFERROR(__xludf.DUMMYFUNCTION("""COMPUTED_VALUE"""),"Male")</f>
        <v>Male</v>
      </c>
      <c r="D583" s="5" t="str">
        <f ca="1">IFERROR(__xludf.DUMMYFUNCTION("""COMPUTED_VALUE"""),"Student")</f>
        <v>Student</v>
      </c>
      <c r="E583" s="5">
        <f ca="1">IFERROR(__xludf.DUMMYFUNCTION("""COMPUTED_VALUE"""),15)</f>
        <v>15</v>
      </c>
      <c r="F583" s="5"/>
    </row>
    <row r="584" spans="1:6">
      <c r="A584" s="5" t="str">
        <f ca="1">IFERROR(__xludf.DUMMYFUNCTION("""COMPUTED_VALUE"""),"20191115NJPLP")</f>
        <v>20191115NJPLP</v>
      </c>
      <c r="B584" s="5" t="str">
        <f ca="1">IFERROR(__xludf.DUMMYFUNCTION("""COMPUTED_VALUE"""),"Wounded")</f>
        <v>Wounded</v>
      </c>
      <c r="C584" s="5" t="str">
        <f ca="1">IFERROR(__xludf.DUMMYFUNCTION("""COMPUTED_VALUE"""),"Male")</f>
        <v>Male</v>
      </c>
      <c r="D584" s="5" t="str">
        <f ca="1">IFERROR(__xludf.DUMMYFUNCTION("""COMPUTED_VALUE"""),"Nonstudent Using Athletic Facilities/Attending Game")</f>
        <v>Nonstudent Using Athletic Facilities/Attending Game</v>
      </c>
      <c r="E584" s="5">
        <f ca="1">IFERROR(__xludf.DUMMYFUNCTION("""COMPUTED_VALUE"""),27)</f>
        <v>27</v>
      </c>
      <c r="F584" s="5"/>
    </row>
    <row r="585" spans="1:6">
      <c r="A585" s="5" t="str">
        <f ca="1">IFERROR(__xludf.DUMMYFUNCTION("""COMPUTED_VALUE"""),"20191114CASAS")</f>
        <v>20191114CASAS</v>
      </c>
      <c r="B585" s="5" t="str">
        <f ca="1">IFERROR(__xludf.DUMMYFUNCTION("""COMPUTED_VALUE"""),"Fatal")</f>
        <v>Fatal</v>
      </c>
      <c r="C585" s="5" t="str">
        <f ca="1">IFERROR(__xludf.DUMMYFUNCTION("""COMPUTED_VALUE"""),"Female")</f>
        <v>Female</v>
      </c>
      <c r="D585" s="5" t="str">
        <f ca="1">IFERROR(__xludf.DUMMYFUNCTION("""COMPUTED_VALUE"""),"Student")</f>
        <v>Student</v>
      </c>
      <c r="E585" s="5">
        <f ca="1">IFERROR(__xludf.DUMMYFUNCTION("""COMPUTED_VALUE"""),15)</f>
        <v>15</v>
      </c>
      <c r="F585" s="5"/>
    </row>
    <row r="586" spans="1:6">
      <c r="A586" s="5" t="str">
        <f ca="1">IFERROR(__xludf.DUMMYFUNCTION("""COMPUTED_VALUE"""),"20191114CASAS")</f>
        <v>20191114CASAS</v>
      </c>
      <c r="B586" s="5" t="str">
        <f ca="1">IFERROR(__xludf.DUMMYFUNCTION("""COMPUTED_VALUE"""),"Wounded")</f>
        <v>Wounded</v>
      </c>
      <c r="C586" s="5" t="str">
        <f ca="1">IFERROR(__xludf.DUMMYFUNCTION("""COMPUTED_VALUE"""),"Female")</f>
        <v>Female</v>
      </c>
      <c r="D586" s="5" t="str">
        <f ca="1">IFERROR(__xludf.DUMMYFUNCTION("""COMPUTED_VALUE"""),"Student")</f>
        <v>Student</v>
      </c>
      <c r="E586" s="5">
        <f ca="1">IFERROR(__xludf.DUMMYFUNCTION("""COMPUTED_VALUE"""),15)</f>
        <v>15</v>
      </c>
      <c r="F586" s="5"/>
    </row>
    <row r="587" spans="1:6">
      <c r="A587" s="5" t="str">
        <f ca="1">IFERROR(__xludf.DUMMYFUNCTION("""COMPUTED_VALUE"""),"20191114CASAS")</f>
        <v>20191114CASAS</v>
      </c>
      <c r="B587" s="5" t="str">
        <f ca="1">IFERROR(__xludf.DUMMYFUNCTION("""COMPUTED_VALUE"""),"Wounded")</f>
        <v>Wounded</v>
      </c>
      <c r="C587" s="5" t="str">
        <f ca="1">IFERROR(__xludf.DUMMYFUNCTION("""COMPUTED_VALUE"""),"Female")</f>
        <v>Female</v>
      </c>
      <c r="D587" s="5" t="str">
        <f ca="1">IFERROR(__xludf.DUMMYFUNCTION("""COMPUTED_VALUE"""),"Student")</f>
        <v>Student</v>
      </c>
      <c r="E587" s="5">
        <f ca="1">IFERROR(__xludf.DUMMYFUNCTION("""COMPUTED_VALUE"""),14)</f>
        <v>14</v>
      </c>
      <c r="F587" s="5"/>
    </row>
    <row r="588" spans="1:6">
      <c r="A588" s="5" t="str">
        <f ca="1">IFERROR(__xludf.DUMMYFUNCTION("""COMPUTED_VALUE"""),"20191114CASAS")</f>
        <v>20191114CASAS</v>
      </c>
      <c r="B588" s="5" t="str">
        <f ca="1">IFERROR(__xludf.DUMMYFUNCTION("""COMPUTED_VALUE"""),"Wounded")</f>
        <v>Wounded</v>
      </c>
      <c r="C588" s="5" t="str">
        <f ca="1">IFERROR(__xludf.DUMMYFUNCTION("""COMPUTED_VALUE"""),"Male")</f>
        <v>Male</v>
      </c>
      <c r="D588" s="5" t="str">
        <f ca="1">IFERROR(__xludf.DUMMYFUNCTION("""COMPUTED_VALUE"""),"Student")</f>
        <v>Student</v>
      </c>
      <c r="E588" s="5">
        <f ca="1">IFERROR(__xludf.DUMMYFUNCTION("""COMPUTED_VALUE"""),14)</f>
        <v>14</v>
      </c>
      <c r="F588" s="5"/>
    </row>
    <row r="589" spans="1:6">
      <c r="A589" s="5" t="str">
        <f ca="1">IFERROR(__xludf.DUMMYFUNCTION("""COMPUTED_VALUE"""),"20191114CASAS")</f>
        <v>20191114CASAS</v>
      </c>
      <c r="B589" s="5" t="str">
        <f ca="1">IFERROR(__xludf.DUMMYFUNCTION("""COMPUTED_VALUE"""),"Fatal")</f>
        <v>Fatal</v>
      </c>
      <c r="C589" s="5" t="str">
        <f ca="1">IFERROR(__xludf.DUMMYFUNCTION("""COMPUTED_VALUE"""),"Male")</f>
        <v>Male</v>
      </c>
      <c r="D589" s="5" t="str">
        <f ca="1">IFERROR(__xludf.DUMMYFUNCTION("""COMPUTED_VALUE"""),"Student")</f>
        <v>Student</v>
      </c>
      <c r="E589" s="5">
        <f ca="1">IFERROR(__xludf.DUMMYFUNCTION("""COMPUTED_VALUE"""),14)</f>
        <v>14</v>
      </c>
      <c r="F589" s="5"/>
    </row>
    <row r="590" spans="1:6">
      <c r="A590" s="5" t="str">
        <f ca="1">IFERROR(__xludf.DUMMYFUNCTION("""COMPUTED_VALUE"""),"20191113CAESL")</f>
        <v>20191113CAESL</v>
      </c>
      <c r="B590" s="5" t="str">
        <f ca="1">IFERROR(__xludf.DUMMYFUNCTION("""COMPUTED_VALUE"""),"Fatal")</f>
        <v>Fatal</v>
      </c>
      <c r="C590" s="5" t="str">
        <f ca="1">IFERROR(__xludf.DUMMYFUNCTION("""COMPUTED_VALUE"""),"Male")</f>
        <v>Male</v>
      </c>
      <c r="D590" s="5" t="str">
        <f ca="1">IFERROR(__xludf.DUMMYFUNCTION("""COMPUTED_VALUE"""),"No Relation")</f>
        <v>No Relation</v>
      </c>
      <c r="E590" s="5" t="str">
        <f ca="1">IFERROR(__xludf.DUMMYFUNCTION("""COMPUTED_VALUE"""),"Adult")</f>
        <v>Adult</v>
      </c>
      <c r="F590" s="5"/>
    </row>
    <row r="591" spans="1:6">
      <c r="A591" s="5" t="str">
        <f ca="1">IFERROR(__xludf.DUMMYFUNCTION("""COMPUTED_VALUE"""),"20191111MDACB")</f>
        <v>20191111MDACB</v>
      </c>
      <c r="B591" s="5" t="str">
        <f ca="1">IFERROR(__xludf.DUMMYFUNCTION("""COMPUTED_VALUE"""),"Wounded")</f>
        <v>Wounded</v>
      </c>
      <c r="C591" s="5" t="str">
        <f ca="1">IFERROR(__xludf.DUMMYFUNCTION("""COMPUTED_VALUE"""),"Male")</f>
        <v>Male</v>
      </c>
      <c r="D591" s="5" t="str">
        <f ca="1">IFERROR(__xludf.DUMMYFUNCTION("""COMPUTED_VALUE"""),"Student")</f>
        <v>Student</v>
      </c>
      <c r="E591" s="5">
        <f ca="1">IFERROR(__xludf.DUMMYFUNCTION("""COMPUTED_VALUE"""),19)</f>
        <v>19</v>
      </c>
      <c r="F591" s="5"/>
    </row>
    <row r="592" spans="1:6">
      <c r="A592" s="5" t="str">
        <f ca="1">IFERROR(__xludf.DUMMYFUNCTION("""COMPUTED_VALUE"""),"20191108TXROD")</f>
        <v>20191108TXROD</v>
      </c>
      <c r="B592" s="5" t="str">
        <f ca="1">IFERROR(__xludf.DUMMYFUNCTION("""COMPUTED_VALUE"""),"Fatal")</f>
        <v>Fatal</v>
      </c>
      <c r="C592" s="5" t="str">
        <f ca="1">IFERROR(__xludf.DUMMYFUNCTION("""COMPUTED_VALUE"""),"Male")</f>
        <v>Male</v>
      </c>
      <c r="D592" s="5" t="str">
        <f ca="1">IFERROR(__xludf.DUMMYFUNCTION("""COMPUTED_VALUE"""),"Former Student")</f>
        <v>Former Student</v>
      </c>
      <c r="E592" s="5">
        <f ca="1">IFERROR(__xludf.DUMMYFUNCTION("""COMPUTED_VALUE"""),15)</f>
        <v>15</v>
      </c>
      <c r="F592" s="5" t="str">
        <f ca="1">IFERROR(__xludf.DUMMYFUNCTION("""COMPUTED_VALUE"""),"Black")</f>
        <v>Black</v>
      </c>
    </row>
    <row r="593" spans="1:6">
      <c r="A593" s="5" t="str">
        <f ca="1">IFERROR(__xludf.DUMMYFUNCTION("""COMPUTED_VALUE"""),"20191108CAEDS")</f>
        <v>20191108CAEDS</v>
      </c>
      <c r="B593" s="5" t="str">
        <f ca="1">IFERROR(__xludf.DUMMYFUNCTION("""COMPUTED_VALUE"""),"None")</f>
        <v>None</v>
      </c>
      <c r="C593" s="5"/>
      <c r="D593" s="5"/>
      <c r="E593" s="5"/>
      <c r="F593" s="5"/>
    </row>
    <row r="594" spans="1:6">
      <c r="A594" s="5" t="str">
        <f ca="1">IFERROR(__xludf.DUMMYFUNCTION("""COMPUTED_VALUE"""),"20191029NYNEN")</f>
        <v>20191029NYNEN</v>
      </c>
      <c r="B594" s="5" t="str">
        <f ca="1">IFERROR(__xludf.DUMMYFUNCTION("""COMPUTED_VALUE"""),"Wounded")</f>
        <v>Wounded</v>
      </c>
      <c r="C594" s="5" t="str">
        <f ca="1">IFERROR(__xludf.DUMMYFUNCTION("""COMPUTED_VALUE"""),"Female")</f>
        <v>Female</v>
      </c>
      <c r="D594" s="5" t="str">
        <f ca="1">IFERROR(__xludf.DUMMYFUNCTION("""COMPUTED_VALUE"""),"Student")</f>
        <v>Student</v>
      </c>
      <c r="E594" s="5">
        <f ca="1">IFERROR(__xludf.DUMMYFUNCTION("""COMPUTED_VALUE"""),16)</f>
        <v>16</v>
      </c>
      <c r="F594" s="5"/>
    </row>
    <row r="595" spans="1:6">
      <c r="A595" s="5" t="str">
        <f ca="1">IFERROR(__xludf.DUMMYFUNCTION("""COMPUTED_VALUE"""),"20191027MDLAL")</f>
        <v>20191027MDLAL</v>
      </c>
      <c r="B595" s="5" t="str">
        <f ca="1">IFERROR(__xludf.DUMMYFUNCTION("""COMPUTED_VALUE"""),"Wounded")</f>
        <v>Wounded</v>
      </c>
      <c r="C595" s="5" t="str">
        <f ca="1">IFERROR(__xludf.DUMMYFUNCTION("""COMPUTED_VALUE"""),"Female")</f>
        <v>Female</v>
      </c>
      <c r="D595" s="5" t="str">
        <f ca="1">IFERROR(__xludf.DUMMYFUNCTION("""COMPUTED_VALUE"""),"No Relation")</f>
        <v>No Relation</v>
      </c>
      <c r="E595" s="5">
        <f ca="1">IFERROR(__xludf.DUMMYFUNCTION("""COMPUTED_VALUE"""),38)</f>
        <v>38</v>
      </c>
      <c r="F595" s="5"/>
    </row>
    <row r="596" spans="1:6">
      <c r="A596" s="5" t="str">
        <f ca="1">IFERROR(__xludf.DUMMYFUNCTION("""COMPUTED_VALUE"""),"20191022NJBRB")</f>
        <v>20191022NJBRB</v>
      </c>
      <c r="B596" s="5" t="str">
        <f ca="1">IFERROR(__xludf.DUMMYFUNCTION("""COMPUTED_VALUE"""),"Wounded")</f>
        <v>Wounded</v>
      </c>
      <c r="C596" s="5" t="str">
        <f ca="1">IFERROR(__xludf.DUMMYFUNCTION("""COMPUTED_VALUE"""),"Male")</f>
        <v>Male</v>
      </c>
      <c r="D596" s="5" t="str">
        <f ca="1">IFERROR(__xludf.DUMMYFUNCTION("""COMPUTED_VALUE"""),"Student")</f>
        <v>Student</v>
      </c>
      <c r="E596" s="5" t="str">
        <f ca="1">IFERROR(__xludf.DUMMYFUNCTION("""COMPUTED_VALUE"""),"Teen")</f>
        <v>Teen</v>
      </c>
      <c r="F596" s="5"/>
    </row>
    <row r="597" spans="1:6">
      <c r="A597" s="5" t="str">
        <f ca="1">IFERROR(__xludf.DUMMYFUNCTION("""COMPUTED_VALUE"""),"20191022CARIS")</f>
        <v>20191022CARIS</v>
      </c>
      <c r="B597" s="5" t="str">
        <f ca="1">IFERROR(__xludf.DUMMYFUNCTION("""COMPUTED_VALUE"""),"Wounded")</f>
        <v>Wounded</v>
      </c>
      <c r="C597" s="5" t="str">
        <f ca="1">IFERROR(__xludf.DUMMYFUNCTION("""COMPUTED_VALUE"""),"Male")</f>
        <v>Male</v>
      </c>
      <c r="D597" s="5" t="str">
        <f ca="1">IFERROR(__xludf.DUMMYFUNCTION("""COMPUTED_VALUE"""),"Student")</f>
        <v>Student</v>
      </c>
      <c r="E597" s="5">
        <f ca="1">IFERROR(__xludf.DUMMYFUNCTION("""COMPUTED_VALUE"""),16)</f>
        <v>16</v>
      </c>
      <c r="F597" s="5"/>
    </row>
    <row r="598" spans="1:6">
      <c r="A598" s="5" t="str">
        <f ca="1">IFERROR(__xludf.DUMMYFUNCTION("""COMPUTED_VALUE"""),"20191018OHWOT")</f>
        <v>20191018OHWOT</v>
      </c>
      <c r="B598" s="5" t="str">
        <f ca="1">IFERROR(__xludf.DUMMYFUNCTION("""COMPUTED_VALUE"""),"None")</f>
        <v>None</v>
      </c>
      <c r="C598" s="5"/>
      <c r="D598" s="5"/>
      <c r="E598" s="5"/>
      <c r="F598" s="5"/>
    </row>
    <row r="599" spans="1:6">
      <c r="A599" s="5" t="str">
        <f ca="1">IFERROR(__xludf.DUMMYFUNCTION("""COMPUTED_VALUE"""),"20191018GACRS")</f>
        <v>20191018GACRS</v>
      </c>
      <c r="B599" s="5" t="str">
        <f ca="1">IFERROR(__xludf.DUMMYFUNCTION("""COMPUTED_VALUE"""),"Wounded")</f>
        <v>Wounded</v>
      </c>
      <c r="C599" s="5" t="str">
        <f ca="1">IFERROR(__xludf.DUMMYFUNCTION("""COMPUTED_VALUE"""),"Male")</f>
        <v>Male</v>
      </c>
      <c r="D599" s="5"/>
      <c r="E599" s="5"/>
      <c r="F599" s="5"/>
    </row>
    <row r="600" spans="1:6">
      <c r="A600" s="5" t="str">
        <f ca="1">IFERROR(__xludf.DUMMYFUNCTION("""COMPUTED_VALUE"""),"20191015LAGEN")</f>
        <v>20191015LAGEN</v>
      </c>
      <c r="B600" s="5" t="str">
        <f ca="1">IFERROR(__xludf.DUMMYFUNCTION("""COMPUTED_VALUE"""),"Wounded")</f>
        <v>Wounded</v>
      </c>
      <c r="C600" s="5" t="str">
        <f ca="1">IFERROR(__xludf.DUMMYFUNCTION("""COMPUTED_VALUE"""),"Male")</f>
        <v>Male</v>
      </c>
      <c r="D600" s="5" t="str">
        <f ca="1">IFERROR(__xludf.DUMMYFUNCTION("""COMPUTED_VALUE"""),"Student")</f>
        <v>Student</v>
      </c>
      <c r="E600" s="5">
        <f ca="1">IFERROR(__xludf.DUMMYFUNCTION("""COMPUTED_VALUE"""),17)</f>
        <v>17</v>
      </c>
      <c r="F600" s="5"/>
    </row>
    <row r="601" spans="1:6">
      <c r="A601" s="5" t="str">
        <f ca="1">IFERROR(__xludf.DUMMYFUNCTION("""COMPUTED_VALUE"""),"20191011LARAR")</f>
        <v>20191011LARAR</v>
      </c>
      <c r="B601" s="5" t="str">
        <f ca="1">IFERROR(__xludf.DUMMYFUNCTION("""COMPUTED_VALUE"""),"None")</f>
        <v>None</v>
      </c>
      <c r="C601" s="5"/>
      <c r="D601" s="5"/>
      <c r="E601" s="5"/>
      <c r="F601" s="5"/>
    </row>
    <row r="602" spans="1:6">
      <c r="A602" s="5" t="str">
        <f ca="1">IFERROR(__xludf.DUMMYFUNCTION("""COMPUTED_VALUE"""),"20191009MAGRL")</f>
        <v>20191009MAGRL</v>
      </c>
      <c r="B602" s="5" t="str">
        <f ca="1">IFERROR(__xludf.DUMMYFUNCTION("""COMPUTED_VALUE"""),"Wounded")</f>
        <v>Wounded</v>
      </c>
      <c r="C602" s="5"/>
      <c r="D602" s="5" t="str">
        <f ca="1">IFERROR(__xludf.DUMMYFUNCTION("""COMPUTED_VALUE"""),"Student")</f>
        <v>Student</v>
      </c>
      <c r="E602" s="5" t="str">
        <f ca="1">IFERROR(__xludf.DUMMYFUNCTION("""COMPUTED_VALUE"""),"Child")</f>
        <v>Child</v>
      </c>
      <c r="F602" s="5"/>
    </row>
    <row r="603" spans="1:6">
      <c r="A603" s="5" t="str">
        <f ca="1">IFERROR(__xludf.DUMMYFUNCTION("""COMPUTED_VALUE"""),"20191009MAGRL")</f>
        <v>20191009MAGRL</v>
      </c>
      <c r="B603" s="5" t="str">
        <f ca="1">IFERROR(__xludf.DUMMYFUNCTION("""COMPUTED_VALUE"""),"Wounded")</f>
        <v>Wounded</v>
      </c>
      <c r="C603" s="5"/>
      <c r="D603" s="5" t="str">
        <f ca="1">IFERROR(__xludf.DUMMYFUNCTION("""COMPUTED_VALUE"""),"Student")</f>
        <v>Student</v>
      </c>
      <c r="E603" s="5" t="str">
        <f ca="1">IFERROR(__xludf.DUMMYFUNCTION("""COMPUTED_VALUE"""),"Child")</f>
        <v>Child</v>
      </c>
      <c r="F603" s="5"/>
    </row>
    <row r="604" spans="1:6">
      <c r="A604" s="5" t="str">
        <f ca="1">IFERROR(__xludf.DUMMYFUNCTION("""COMPUTED_VALUE"""),"20191009MAGRL")</f>
        <v>20191009MAGRL</v>
      </c>
      <c r="B604" s="5" t="str">
        <f ca="1">IFERROR(__xludf.DUMMYFUNCTION("""COMPUTED_VALUE"""),"Wounded")</f>
        <v>Wounded</v>
      </c>
      <c r="C604" s="5"/>
      <c r="D604" s="5" t="str">
        <f ca="1">IFERROR(__xludf.DUMMYFUNCTION("""COMPUTED_VALUE"""),"Student")</f>
        <v>Student</v>
      </c>
      <c r="E604" s="5" t="str">
        <f ca="1">IFERROR(__xludf.DUMMYFUNCTION("""COMPUTED_VALUE"""),"Child")</f>
        <v>Child</v>
      </c>
      <c r="F604" s="5"/>
    </row>
    <row r="605" spans="1:6">
      <c r="A605" s="5" t="str">
        <f ca="1">IFERROR(__xludf.DUMMYFUNCTION("""COMPUTED_VALUE"""),"20191009MAGRL")</f>
        <v>20191009MAGRL</v>
      </c>
      <c r="B605" s="5" t="str">
        <f ca="1">IFERROR(__xludf.DUMMYFUNCTION("""COMPUTED_VALUE"""),"Wounded")</f>
        <v>Wounded</v>
      </c>
      <c r="C605" s="5"/>
      <c r="D605" s="5" t="str">
        <f ca="1">IFERROR(__xludf.DUMMYFUNCTION("""COMPUTED_VALUE"""),"Student")</f>
        <v>Student</v>
      </c>
      <c r="E605" s="5" t="str">
        <f ca="1">IFERROR(__xludf.DUMMYFUNCTION("""COMPUTED_VALUE"""),"Child")</f>
        <v>Child</v>
      </c>
      <c r="F605" s="5"/>
    </row>
    <row r="606" spans="1:6">
      <c r="A606" s="5" t="str">
        <f ca="1">IFERROR(__xludf.DUMMYFUNCTION("""COMPUTED_VALUE"""),"20191009MAGRL")</f>
        <v>20191009MAGRL</v>
      </c>
      <c r="B606" s="5" t="str">
        <f ca="1">IFERROR(__xludf.DUMMYFUNCTION("""COMPUTED_VALUE"""),"Wounded")</f>
        <v>Wounded</v>
      </c>
      <c r="C606" s="5"/>
      <c r="D606" s="5" t="str">
        <f ca="1">IFERROR(__xludf.DUMMYFUNCTION("""COMPUTED_VALUE"""),"Student")</f>
        <v>Student</v>
      </c>
      <c r="E606" s="5" t="str">
        <f ca="1">IFERROR(__xludf.DUMMYFUNCTION("""COMPUTED_VALUE"""),"Child")</f>
        <v>Child</v>
      </c>
      <c r="F606" s="5"/>
    </row>
    <row r="607" spans="1:6">
      <c r="A607" s="5" t="str">
        <f ca="1">IFERROR(__xludf.DUMMYFUNCTION("""COMPUTED_VALUE"""),"20191008TXWEH")</f>
        <v>20191008TXWEH</v>
      </c>
      <c r="B607" s="5" t="str">
        <f ca="1">IFERROR(__xludf.DUMMYFUNCTION("""COMPUTED_VALUE"""),"Wounded")</f>
        <v>Wounded</v>
      </c>
      <c r="C607" s="5"/>
      <c r="D607" s="5" t="str">
        <f ca="1">IFERROR(__xludf.DUMMYFUNCTION("""COMPUTED_VALUE"""),"Student")</f>
        <v>Student</v>
      </c>
      <c r="E607" s="5" t="str">
        <f ca="1">IFERROR(__xludf.DUMMYFUNCTION("""COMPUTED_VALUE"""),"Teen")</f>
        <v>Teen</v>
      </c>
      <c r="F607" s="5"/>
    </row>
    <row r="608" spans="1:6">
      <c r="A608" s="5" t="str">
        <f ca="1">IFERROR(__xludf.DUMMYFUNCTION("""COMPUTED_VALUE"""),"20191008COSHS")</f>
        <v>20191008COSHS</v>
      </c>
      <c r="B608" s="5" t="str">
        <f ca="1">IFERROR(__xludf.DUMMYFUNCTION("""COMPUTED_VALUE"""),"Wounded")</f>
        <v>Wounded</v>
      </c>
      <c r="C608" s="5" t="str">
        <f ca="1">IFERROR(__xludf.DUMMYFUNCTION("""COMPUTED_VALUE"""),"Male")</f>
        <v>Male</v>
      </c>
      <c r="D608" s="5" t="str">
        <f ca="1">IFERROR(__xludf.DUMMYFUNCTION("""COMPUTED_VALUE"""),"Rival School Student")</f>
        <v>Rival School Student</v>
      </c>
      <c r="E608" s="5" t="str">
        <f ca="1">IFERROR(__xludf.DUMMYFUNCTION("""COMPUTED_VALUE"""),"Teen")</f>
        <v>Teen</v>
      </c>
      <c r="F608" s="5"/>
    </row>
    <row r="609" spans="1:6">
      <c r="A609" s="5" t="str">
        <f ca="1">IFERROR(__xludf.DUMMYFUNCTION("""COMPUTED_VALUE"""),"20191002GASOA")</f>
        <v>20191002GASOA</v>
      </c>
      <c r="B609" s="5" t="str">
        <f ca="1">IFERROR(__xludf.DUMMYFUNCTION("""COMPUTED_VALUE"""),"None")</f>
        <v>None</v>
      </c>
      <c r="C609" s="5"/>
      <c r="D609" s="5"/>
      <c r="E609" s="5"/>
      <c r="F609" s="5"/>
    </row>
    <row r="610" spans="1:6">
      <c r="A610" s="5" t="str">
        <f ca="1">IFERROR(__xludf.DUMMYFUNCTION("""COMPUTED_VALUE"""),"20190927NCZEC")</f>
        <v>20190927NCZEC</v>
      </c>
      <c r="B610" s="5" t="str">
        <f ca="1">IFERROR(__xludf.DUMMYFUNCTION("""COMPUTED_VALUE"""),"None")</f>
        <v>None</v>
      </c>
      <c r="C610" s="5"/>
      <c r="D610" s="5"/>
      <c r="E610" s="5"/>
      <c r="F610" s="5"/>
    </row>
    <row r="611" spans="1:6">
      <c r="A611" s="5" t="str">
        <f ca="1">IFERROR(__xludf.DUMMYFUNCTION("""COMPUTED_VALUE"""),"20190927CADER")</f>
        <v>20190927CADER</v>
      </c>
      <c r="B611" s="5" t="str">
        <f ca="1">IFERROR(__xludf.DUMMYFUNCTION("""COMPUTED_VALUE"""),"Wounded")</f>
        <v>Wounded</v>
      </c>
      <c r="C611" s="5" t="str">
        <f ca="1">IFERROR(__xludf.DUMMYFUNCTION("""COMPUTED_VALUE"""),"Female")</f>
        <v>Female</v>
      </c>
      <c r="D611" s="5" t="str">
        <f ca="1">IFERROR(__xludf.DUMMYFUNCTION("""COMPUTED_VALUE"""),"Student")</f>
        <v>Student</v>
      </c>
      <c r="E611" s="5">
        <f ca="1">IFERROR(__xludf.DUMMYFUNCTION("""COMPUTED_VALUE"""),16)</f>
        <v>16</v>
      </c>
      <c r="F611" s="5"/>
    </row>
    <row r="612" spans="1:6">
      <c r="A612" s="5" t="str">
        <f ca="1">IFERROR(__xludf.DUMMYFUNCTION("""COMPUTED_VALUE"""),"20190927CADER")</f>
        <v>20190927CADER</v>
      </c>
      <c r="B612" s="5" t="str">
        <f ca="1">IFERROR(__xludf.DUMMYFUNCTION("""COMPUTED_VALUE"""),"Wounded")</f>
        <v>Wounded</v>
      </c>
      <c r="C612" s="5" t="str">
        <f ca="1">IFERROR(__xludf.DUMMYFUNCTION("""COMPUTED_VALUE"""),"Male")</f>
        <v>Male</v>
      </c>
      <c r="D612" s="5" t="str">
        <f ca="1">IFERROR(__xludf.DUMMYFUNCTION("""COMPUTED_VALUE"""),"Student")</f>
        <v>Student</v>
      </c>
      <c r="E612" s="5">
        <f ca="1">IFERROR(__xludf.DUMMYFUNCTION("""COMPUTED_VALUE"""),17)</f>
        <v>17</v>
      </c>
      <c r="F612" s="5"/>
    </row>
    <row r="613" spans="1:6">
      <c r="A613" s="5" t="str">
        <f ca="1">IFERROR(__xludf.DUMMYFUNCTION("""COMPUTED_VALUE"""),"20190927CADER")</f>
        <v>20190927CADER</v>
      </c>
      <c r="B613" s="5" t="str">
        <f ca="1">IFERROR(__xludf.DUMMYFUNCTION("""COMPUTED_VALUE"""),"Wounded")</f>
        <v>Wounded</v>
      </c>
      <c r="C613" s="5" t="str">
        <f ca="1">IFERROR(__xludf.DUMMYFUNCTION("""COMPUTED_VALUE"""),"Male")</f>
        <v>Male</v>
      </c>
      <c r="D613" s="5" t="str">
        <f ca="1">IFERROR(__xludf.DUMMYFUNCTION("""COMPUTED_VALUE"""),"Student")</f>
        <v>Student</v>
      </c>
      <c r="E613" s="5">
        <f ca="1">IFERROR(__xludf.DUMMYFUNCTION("""COMPUTED_VALUE"""),17)</f>
        <v>17</v>
      </c>
      <c r="F613" s="5"/>
    </row>
    <row r="614" spans="1:6">
      <c r="A614" s="5" t="str">
        <f ca="1">IFERROR(__xludf.DUMMYFUNCTION("""COMPUTED_VALUE"""),"20190920PASIP")</f>
        <v>20190920PASIP</v>
      </c>
      <c r="B614" s="5" t="str">
        <f ca="1">IFERROR(__xludf.DUMMYFUNCTION("""COMPUTED_VALUE"""),"Wounded")</f>
        <v>Wounded</v>
      </c>
      <c r="C614" s="5" t="str">
        <f ca="1">IFERROR(__xludf.DUMMYFUNCTION("""COMPUTED_VALUE"""),"Male")</f>
        <v>Male</v>
      </c>
      <c r="D614" s="5" t="str">
        <f ca="1">IFERROR(__xludf.DUMMYFUNCTION("""COMPUTED_VALUE"""),"Unknown")</f>
        <v>Unknown</v>
      </c>
      <c r="E614" s="5">
        <f ca="1">IFERROR(__xludf.DUMMYFUNCTION("""COMPUTED_VALUE"""),14)</f>
        <v>14</v>
      </c>
      <c r="F614" s="5"/>
    </row>
    <row r="615" spans="1:6">
      <c r="A615" s="5" t="str">
        <f ca="1">IFERROR(__xludf.DUMMYFUNCTION("""COMPUTED_VALUE"""),"20190920PASIP")</f>
        <v>20190920PASIP</v>
      </c>
      <c r="B615" s="5" t="str">
        <f ca="1">IFERROR(__xludf.DUMMYFUNCTION("""COMPUTED_VALUE"""),"Wounded")</f>
        <v>Wounded</v>
      </c>
      <c r="C615" s="5" t="str">
        <f ca="1">IFERROR(__xludf.DUMMYFUNCTION("""COMPUTED_VALUE"""),"Male")</f>
        <v>Male</v>
      </c>
      <c r="D615" s="5" t="str">
        <f ca="1">IFERROR(__xludf.DUMMYFUNCTION("""COMPUTED_VALUE"""),"Unknown")</f>
        <v>Unknown</v>
      </c>
      <c r="E615" s="5">
        <f ca="1">IFERROR(__xludf.DUMMYFUNCTION("""COMPUTED_VALUE"""),15)</f>
        <v>15</v>
      </c>
      <c r="F615" s="5"/>
    </row>
    <row r="616" spans="1:6">
      <c r="A616" s="5" t="str">
        <f ca="1">IFERROR(__xludf.DUMMYFUNCTION("""COMPUTED_VALUE"""),"20190918MNFOC")</f>
        <v>20190918MNFOC</v>
      </c>
      <c r="B616" s="5" t="str">
        <f ca="1">IFERROR(__xludf.DUMMYFUNCTION("""COMPUTED_VALUE"""),"Wounded")</f>
        <v>Wounded</v>
      </c>
      <c r="C616" s="5" t="str">
        <f ca="1">IFERROR(__xludf.DUMMYFUNCTION("""COMPUTED_VALUE"""),"Male")</f>
        <v>Male</v>
      </c>
      <c r="D616" s="5" t="str">
        <f ca="1">IFERROR(__xludf.DUMMYFUNCTION("""COMPUTED_VALUE"""),"Nonstudent Using Athletic Facilities/Attending Game")</f>
        <v>Nonstudent Using Athletic Facilities/Attending Game</v>
      </c>
      <c r="E616" s="5">
        <f ca="1">IFERROR(__xludf.DUMMYFUNCTION("""COMPUTED_VALUE"""),45)</f>
        <v>45</v>
      </c>
      <c r="F616" s="5"/>
    </row>
    <row r="617" spans="1:6">
      <c r="A617" s="5" t="str">
        <f ca="1">IFERROR(__xludf.DUMMYFUNCTION("""COMPUTED_VALUE"""),"20190916VAPHH")</f>
        <v>20190916VAPHH</v>
      </c>
      <c r="B617" s="5" t="str">
        <f ca="1">IFERROR(__xludf.DUMMYFUNCTION("""COMPUTED_VALUE"""),"Fatal")</f>
        <v>Fatal</v>
      </c>
      <c r="C617" s="5" t="str">
        <f ca="1">IFERROR(__xludf.DUMMYFUNCTION("""COMPUTED_VALUE"""),"Male")</f>
        <v>Male</v>
      </c>
      <c r="D617" s="5" t="str">
        <f ca="1">IFERROR(__xludf.DUMMYFUNCTION("""COMPUTED_VALUE"""),"No Relation")</f>
        <v>No Relation</v>
      </c>
      <c r="E617" s="5">
        <f ca="1">IFERROR(__xludf.DUMMYFUNCTION("""COMPUTED_VALUE"""),38)</f>
        <v>38</v>
      </c>
      <c r="F617" s="5"/>
    </row>
    <row r="618" spans="1:6">
      <c r="A618" s="5" t="str">
        <f ca="1">IFERROR(__xludf.DUMMYFUNCTION("""COMPUTED_VALUE"""),"20190916ILILK")</f>
        <v>20190916ILILK</v>
      </c>
      <c r="B618" s="5" t="str">
        <f ca="1">IFERROR(__xludf.DUMMYFUNCTION("""COMPUTED_VALUE"""),"None")</f>
        <v>None</v>
      </c>
      <c r="C618" s="5"/>
      <c r="D618" s="5"/>
      <c r="E618" s="5"/>
      <c r="F618" s="5"/>
    </row>
    <row r="619" spans="1:6">
      <c r="A619" s="5" t="str">
        <f ca="1">IFERROR(__xludf.DUMMYFUNCTION("""COMPUTED_VALUE"""),"20190914TXEAF")</f>
        <v>20190914TXEAF</v>
      </c>
      <c r="B619" s="5" t="str">
        <f ca="1">IFERROR(__xludf.DUMMYFUNCTION("""COMPUTED_VALUE"""),"Wounded")</f>
        <v>Wounded</v>
      </c>
      <c r="C619" s="5" t="str">
        <f ca="1">IFERROR(__xludf.DUMMYFUNCTION("""COMPUTED_VALUE"""),"Male")</f>
        <v>Male</v>
      </c>
      <c r="D619" s="5" t="str">
        <f ca="1">IFERROR(__xludf.DUMMYFUNCTION("""COMPUTED_VALUE"""),"Nonstudent Using Athletic Facilities/Attending Game")</f>
        <v>Nonstudent Using Athletic Facilities/Attending Game</v>
      </c>
      <c r="E619" s="5">
        <f ca="1">IFERROR(__xludf.DUMMYFUNCTION("""COMPUTED_VALUE"""),12)</f>
        <v>12</v>
      </c>
      <c r="F619" s="5"/>
    </row>
    <row r="620" spans="1:6">
      <c r="A620" s="5" t="str">
        <f ca="1">IFERROR(__xludf.DUMMYFUNCTION("""COMPUTED_VALUE"""),"20190914TXEAF")</f>
        <v>20190914TXEAF</v>
      </c>
      <c r="B620" s="5" t="str">
        <f ca="1">IFERROR(__xludf.DUMMYFUNCTION("""COMPUTED_VALUE"""),"Wounded")</f>
        <v>Wounded</v>
      </c>
      <c r="C620" s="5" t="str">
        <f ca="1">IFERROR(__xludf.DUMMYFUNCTION("""COMPUTED_VALUE"""),"Female")</f>
        <v>Female</v>
      </c>
      <c r="D620" s="5" t="str">
        <f ca="1">IFERROR(__xludf.DUMMYFUNCTION("""COMPUTED_VALUE"""),"Nonstudent Using Athletic Facilities/Attending Game")</f>
        <v>Nonstudent Using Athletic Facilities/Attending Game</v>
      </c>
      <c r="E620" s="5" t="str">
        <f ca="1">IFERROR(__xludf.DUMMYFUNCTION("""COMPUTED_VALUE"""),"Adult")</f>
        <v>Adult</v>
      </c>
      <c r="F620" s="5"/>
    </row>
    <row r="621" spans="1:6">
      <c r="A621" s="5" t="str">
        <f ca="1">IFERROR(__xludf.DUMMYFUNCTION("""COMPUTED_VALUE"""),"20190913VAETN")</f>
        <v>20190913VAETN</v>
      </c>
      <c r="B621" s="5" t="str">
        <f ca="1">IFERROR(__xludf.DUMMYFUNCTION("""COMPUTED_VALUE"""),"Wounded")</f>
        <v>Wounded</v>
      </c>
      <c r="C621" s="5"/>
      <c r="D621" s="5" t="str">
        <f ca="1">IFERROR(__xludf.DUMMYFUNCTION("""COMPUTED_VALUE"""),"Nonstudent Using Athletic Facilities/Attending Game")</f>
        <v>Nonstudent Using Athletic Facilities/Attending Game</v>
      </c>
      <c r="E621" s="5">
        <f ca="1">IFERROR(__xludf.DUMMYFUNCTION("""COMPUTED_VALUE"""),19)</f>
        <v>19</v>
      </c>
      <c r="F621" s="5"/>
    </row>
    <row r="622" spans="1:6">
      <c r="A622" s="5" t="str">
        <f ca="1">IFERROR(__xludf.DUMMYFUNCTION("""COMPUTED_VALUE"""),"20190913VAETN")</f>
        <v>20190913VAETN</v>
      </c>
      <c r="B622" s="5" t="str">
        <f ca="1">IFERROR(__xludf.DUMMYFUNCTION("""COMPUTED_VALUE"""),"Wounded")</f>
        <v>Wounded</v>
      </c>
      <c r="C622" s="5"/>
      <c r="D622" s="5" t="str">
        <f ca="1">IFERROR(__xludf.DUMMYFUNCTION("""COMPUTED_VALUE"""),"Student")</f>
        <v>Student</v>
      </c>
      <c r="E622" s="5">
        <f ca="1">IFERROR(__xludf.DUMMYFUNCTION("""COMPUTED_VALUE"""),14)</f>
        <v>14</v>
      </c>
      <c r="F622" s="5"/>
    </row>
    <row r="623" spans="1:6">
      <c r="A623" s="5" t="str">
        <f ca="1">IFERROR(__xludf.DUMMYFUNCTION("""COMPUTED_VALUE"""),"20190913VAETN")</f>
        <v>20190913VAETN</v>
      </c>
      <c r="B623" s="5" t="str">
        <f ca="1">IFERROR(__xludf.DUMMYFUNCTION("""COMPUTED_VALUE"""),"Wounded")</f>
        <v>Wounded</v>
      </c>
      <c r="C623" s="5"/>
      <c r="D623" s="5" t="str">
        <f ca="1">IFERROR(__xludf.DUMMYFUNCTION("""COMPUTED_VALUE"""),"Nonstudent Using Athletic Facilities/Attending Game")</f>
        <v>Nonstudent Using Athletic Facilities/Attending Game</v>
      </c>
      <c r="E623" s="5">
        <f ca="1">IFERROR(__xludf.DUMMYFUNCTION("""COMPUTED_VALUE"""),19)</f>
        <v>19</v>
      </c>
      <c r="F623" s="5"/>
    </row>
    <row r="624" spans="1:6">
      <c r="A624" s="5" t="str">
        <f ca="1">IFERROR(__xludf.DUMMYFUNCTION("""COMPUTED_VALUE"""),"20190913UTGRW")</f>
        <v>20190913UTGRW</v>
      </c>
      <c r="B624" s="5" t="str">
        <f ca="1">IFERROR(__xludf.DUMMYFUNCTION("""COMPUTED_VALUE"""),"None")</f>
        <v>None</v>
      </c>
      <c r="C624" s="5"/>
      <c r="D624" s="5"/>
      <c r="E624" s="5"/>
      <c r="F624" s="5"/>
    </row>
    <row r="625" spans="1:6">
      <c r="A625" s="5" t="str">
        <f ca="1">IFERROR(__xludf.DUMMYFUNCTION("""COMPUTED_VALUE"""),"20190912KSMAM")</f>
        <v>20190912KSMAM</v>
      </c>
      <c r="B625" s="5" t="str">
        <f ca="1">IFERROR(__xludf.DUMMYFUNCTION("""COMPUTED_VALUE"""),"None")</f>
        <v>None</v>
      </c>
      <c r="C625" s="5"/>
      <c r="D625" s="5"/>
      <c r="E625" s="5"/>
      <c r="F625" s="5"/>
    </row>
    <row r="626" spans="1:6">
      <c r="A626" s="5" t="str">
        <f ca="1">IFERROR(__xludf.DUMMYFUNCTION("""COMPUTED_VALUE"""),"20190910SCSOA")</f>
        <v>20190910SCSOA</v>
      </c>
      <c r="B626" s="5" t="str">
        <f ca="1">IFERROR(__xludf.DUMMYFUNCTION("""COMPUTED_VALUE"""),"None")</f>
        <v>None</v>
      </c>
      <c r="C626" s="5"/>
      <c r="D626" s="5"/>
      <c r="E626" s="5"/>
      <c r="F626" s="5"/>
    </row>
    <row r="627" spans="1:6">
      <c r="A627" s="5" t="str">
        <f ca="1">IFERROR(__xludf.DUMMYFUNCTION("""COMPUTED_VALUE"""),"20190906PAWEM")</f>
        <v>20190906PAWEM</v>
      </c>
      <c r="B627" s="5" t="str">
        <f ca="1">IFERROR(__xludf.DUMMYFUNCTION("""COMPUTED_VALUE"""),"Wounded")</f>
        <v>Wounded</v>
      </c>
      <c r="C627" s="5" t="str">
        <f ca="1">IFERROR(__xludf.DUMMYFUNCTION("""COMPUTED_VALUE"""),"Female")</f>
        <v>Female</v>
      </c>
      <c r="D627" s="5" t="str">
        <f ca="1">IFERROR(__xludf.DUMMYFUNCTION("""COMPUTED_VALUE"""),"Student")</f>
        <v>Student</v>
      </c>
      <c r="E627" s="5"/>
      <c r="F627" s="5"/>
    </row>
    <row r="628" spans="1:6">
      <c r="A628" s="5" t="str">
        <f ca="1">IFERROR(__xludf.DUMMYFUNCTION("""COMPUTED_VALUE"""),"20190906PAMCJ")</f>
        <v>20190906PAMCJ</v>
      </c>
      <c r="B628" s="5" t="str">
        <f ca="1">IFERROR(__xludf.DUMMYFUNCTION("""COMPUTED_VALUE"""),"Fatal")</f>
        <v>Fatal</v>
      </c>
      <c r="C628" s="5" t="str">
        <f ca="1">IFERROR(__xludf.DUMMYFUNCTION("""COMPUTED_VALUE"""),"Male")</f>
        <v>Male</v>
      </c>
      <c r="D628" s="5"/>
      <c r="E628" s="5">
        <f ca="1">IFERROR(__xludf.DUMMYFUNCTION("""COMPUTED_VALUE"""),48)</f>
        <v>48</v>
      </c>
      <c r="F628" s="5" t="str">
        <f ca="1">IFERROR(__xludf.DUMMYFUNCTION("""COMPUTED_VALUE"""),"Black")</f>
        <v>Black</v>
      </c>
    </row>
    <row r="629" spans="1:6">
      <c r="A629" s="5" t="str">
        <f ca="1">IFERROR(__xludf.DUMMYFUNCTION("""COMPUTED_VALUE"""),"20190906ALCEC")</f>
        <v>20190906ALCEC</v>
      </c>
      <c r="B629" s="5" t="str">
        <f ca="1">IFERROR(__xludf.DUMMYFUNCTION("""COMPUTED_VALUE"""),"None")</f>
        <v>None</v>
      </c>
      <c r="C629" s="5"/>
      <c r="D629" s="5"/>
      <c r="E629" s="5"/>
      <c r="F629" s="5"/>
    </row>
    <row r="630" spans="1:6">
      <c r="A630" s="5" t="str">
        <f ca="1">IFERROR(__xludf.DUMMYFUNCTION("""COMPUTED_VALUE"""),"20190902MDNOB")</f>
        <v>20190902MDNOB</v>
      </c>
      <c r="B630" s="5" t="str">
        <f ca="1">IFERROR(__xludf.DUMMYFUNCTION("""COMPUTED_VALUE"""),"Fatal")</f>
        <v>Fatal</v>
      </c>
      <c r="C630" s="5" t="str">
        <f ca="1">IFERROR(__xludf.DUMMYFUNCTION("""COMPUTED_VALUE"""),"Male")</f>
        <v>Male</v>
      </c>
      <c r="D630" s="5" t="str">
        <f ca="1">IFERROR(__xludf.DUMMYFUNCTION("""COMPUTED_VALUE"""),"No Relation")</f>
        <v>No Relation</v>
      </c>
      <c r="E630" s="5" t="str">
        <f ca="1">IFERROR(__xludf.DUMMYFUNCTION("""COMPUTED_VALUE"""),"Adult")</f>
        <v>Adult</v>
      </c>
      <c r="F630" s="5"/>
    </row>
    <row r="631" spans="1:6">
      <c r="A631" s="5" t="str">
        <f ca="1">IFERROR(__xludf.DUMMYFUNCTION("""COMPUTED_VALUE"""),"20190902MDNOB")</f>
        <v>20190902MDNOB</v>
      </c>
      <c r="B631" s="5" t="str">
        <f ca="1">IFERROR(__xludf.DUMMYFUNCTION("""COMPUTED_VALUE"""),"Wounded")</f>
        <v>Wounded</v>
      </c>
      <c r="C631" s="5" t="str">
        <f ca="1">IFERROR(__xludf.DUMMYFUNCTION("""COMPUTED_VALUE"""),"Male")</f>
        <v>Male</v>
      </c>
      <c r="D631" s="5" t="str">
        <f ca="1">IFERROR(__xludf.DUMMYFUNCTION("""COMPUTED_VALUE"""),"No Relation")</f>
        <v>No Relation</v>
      </c>
      <c r="E631" s="5" t="str">
        <f ca="1">IFERROR(__xludf.DUMMYFUNCTION("""COMPUTED_VALUE"""),"Adult")</f>
        <v>Adult</v>
      </c>
      <c r="F631" s="5"/>
    </row>
    <row r="632" spans="1:6">
      <c r="A632" s="5" t="str">
        <f ca="1">IFERROR(__xludf.DUMMYFUNCTION("""COMPUTED_VALUE"""),"20190902MDNOB")</f>
        <v>20190902MDNOB</v>
      </c>
      <c r="B632" s="5" t="str">
        <f ca="1">IFERROR(__xludf.DUMMYFUNCTION("""COMPUTED_VALUE"""),"Wounded")</f>
        <v>Wounded</v>
      </c>
      <c r="C632" s="5" t="str">
        <f ca="1">IFERROR(__xludf.DUMMYFUNCTION("""COMPUTED_VALUE"""),"Male")</f>
        <v>Male</v>
      </c>
      <c r="D632" s="5" t="str">
        <f ca="1">IFERROR(__xludf.DUMMYFUNCTION("""COMPUTED_VALUE"""),"No Relation")</f>
        <v>No Relation</v>
      </c>
      <c r="E632" s="5" t="str">
        <f ca="1">IFERROR(__xludf.DUMMYFUNCTION("""COMPUTED_VALUE"""),"Adult")</f>
        <v>Adult</v>
      </c>
      <c r="F632" s="5"/>
    </row>
    <row r="633" spans="1:6">
      <c r="A633" s="5" t="str">
        <f ca="1">IFERROR(__xludf.DUMMYFUNCTION("""COMPUTED_VALUE"""),"20190830OHCET")</f>
        <v>20190830OHCET</v>
      </c>
      <c r="B633" s="5" t="str">
        <f ca="1">IFERROR(__xludf.DUMMYFUNCTION("""COMPUTED_VALUE"""),"Wounded")</f>
        <v>Wounded</v>
      </c>
      <c r="C633" s="5" t="str">
        <f ca="1">IFERROR(__xludf.DUMMYFUNCTION("""COMPUTED_VALUE"""),"Male")</f>
        <v>Male</v>
      </c>
      <c r="D633" s="5" t="str">
        <f ca="1">IFERROR(__xludf.DUMMYFUNCTION("""COMPUTED_VALUE"""),"Nonstudent Using Athletic Facilities/Attending Game")</f>
        <v>Nonstudent Using Athletic Facilities/Attending Game</v>
      </c>
      <c r="E633" s="5">
        <f ca="1">IFERROR(__xludf.DUMMYFUNCTION("""COMPUTED_VALUE"""),16)</f>
        <v>16</v>
      </c>
      <c r="F633" s="5"/>
    </row>
    <row r="634" spans="1:6">
      <c r="A634" s="5" t="str">
        <f ca="1">IFERROR(__xludf.DUMMYFUNCTION("""COMPUTED_VALUE"""),"20190830NCKIK")</f>
        <v>20190830NCKIK</v>
      </c>
      <c r="B634" s="5" t="str">
        <f ca="1">IFERROR(__xludf.DUMMYFUNCTION("""COMPUTED_VALUE"""),"None")</f>
        <v>None</v>
      </c>
      <c r="C634" s="5"/>
      <c r="D634" s="5"/>
      <c r="E634" s="5"/>
      <c r="F634" s="5"/>
    </row>
    <row r="635" spans="1:6">
      <c r="A635" s="5" t="str">
        <f ca="1">IFERROR(__xludf.DUMMYFUNCTION("""COMPUTED_VALUE"""),"20190830ALLAM")</f>
        <v>20190830ALLAM</v>
      </c>
      <c r="B635" s="5" t="str">
        <f ca="1">IFERROR(__xludf.DUMMYFUNCTION("""COMPUTED_VALUE"""),"Wounded")</f>
        <v>Wounded</v>
      </c>
      <c r="C635" s="5"/>
      <c r="D635" s="5" t="str">
        <f ca="1">IFERROR(__xludf.DUMMYFUNCTION("""COMPUTED_VALUE"""),"Student")</f>
        <v>Student</v>
      </c>
      <c r="E635" s="5" t="str">
        <f ca="1">IFERROR(__xludf.DUMMYFUNCTION("""COMPUTED_VALUE"""),"Teen")</f>
        <v>Teen</v>
      </c>
      <c r="F635" s="5"/>
    </row>
    <row r="636" spans="1:6">
      <c r="A636" s="5" t="str">
        <f ca="1">IFERROR(__xludf.DUMMYFUNCTION("""COMPUTED_VALUE"""),"20190830ALLAM")</f>
        <v>20190830ALLAM</v>
      </c>
      <c r="B636" s="5" t="str">
        <f ca="1">IFERROR(__xludf.DUMMYFUNCTION("""COMPUTED_VALUE"""),"Wounded")</f>
        <v>Wounded</v>
      </c>
      <c r="C636" s="5"/>
      <c r="D636" s="5" t="str">
        <f ca="1">IFERROR(__xludf.DUMMYFUNCTION("""COMPUTED_VALUE"""),"Student")</f>
        <v>Student</v>
      </c>
      <c r="E636" s="5" t="str">
        <f ca="1">IFERROR(__xludf.DUMMYFUNCTION("""COMPUTED_VALUE"""),"Teen")</f>
        <v>Teen</v>
      </c>
      <c r="F636" s="5"/>
    </row>
    <row r="637" spans="1:6">
      <c r="A637" s="5" t="str">
        <f ca="1">IFERROR(__xludf.DUMMYFUNCTION("""COMPUTED_VALUE"""),"20190830ALLAM")</f>
        <v>20190830ALLAM</v>
      </c>
      <c r="B637" s="5" t="str">
        <f ca="1">IFERROR(__xludf.DUMMYFUNCTION("""COMPUTED_VALUE"""),"Wounded")</f>
        <v>Wounded</v>
      </c>
      <c r="C637" s="5"/>
      <c r="D637" s="5" t="str">
        <f ca="1">IFERROR(__xludf.DUMMYFUNCTION("""COMPUTED_VALUE"""),"Student")</f>
        <v>Student</v>
      </c>
      <c r="E637" s="5" t="str">
        <f ca="1">IFERROR(__xludf.DUMMYFUNCTION("""COMPUTED_VALUE"""),"Teen")</f>
        <v>Teen</v>
      </c>
      <c r="F637" s="5"/>
    </row>
    <row r="638" spans="1:6">
      <c r="A638" s="5" t="str">
        <f ca="1">IFERROR(__xludf.DUMMYFUNCTION("""COMPUTED_VALUE"""),"20190830ALLAM")</f>
        <v>20190830ALLAM</v>
      </c>
      <c r="B638" s="5" t="str">
        <f ca="1">IFERROR(__xludf.DUMMYFUNCTION("""COMPUTED_VALUE"""),"Wounded")</f>
        <v>Wounded</v>
      </c>
      <c r="C638" s="5"/>
      <c r="D638" s="5" t="str">
        <f ca="1">IFERROR(__xludf.DUMMYFUNCTION("""COMPUTED_VALUE"""),"Student")</f>
        <v>Student</v>
      </c>
      <c r="E638" s="5" t="str">
        <f ca="1">IFERROR(__xludf.DUMMYFUNCTION("""COMPUTED_VALUE"""),"Teen")</f>
        <v>Teen</v>
      </c>
      <c r="F638" s="5"/>
    </row>
    <row r="639" spans="1:6">
      <c r="A639" s="5" t="str">
        <f ca="1">IFERROR(__xludf.DUMMYFUNCTION("""COMPUTED_VALUE"""),"20190830ALLAM")</f>
        <v>20190830ALLAM</v>
      </c>
      <c r="B639" s="5" t="str">
        <f ca="1">IFERROR(__xludf.DUMMYFUNCTION("""COMPUTED_VALUE"""),"Wounded")</f>
        <v>Wounded</v>
      </c>
      <c r="C639" s="5"/>
      <c r="D639" s="5" t="str">
        <f ca="1">IFERROR(__xludf.DUMMYFUNCTION("""COMPUTED_VALUE"""),"Student")</f>
        <v>Student</v>
      </c>
      <c r="E639" s="5" t="str">
        <f ca="1">IFERROR(__xludf.DUMMYFUNCTION("""COMPUTED_VALUE"""),"Teen")</f>
        <v>Teen</v>
      </c>
      <c r="F639" s="5"/>
    </row>
    <row r="640" spans="1:6">
      <c r="A640" s="5" t="str">
        <f ca="1">IFERROR(__xludf.DUMMYFUNCTION("""COMPUTED_VALUE"""),"20190830ALLAM")</f>
        <v>20190830ALLAM</v>
      </c>
      <c r="B640" s="5" t="str">
        <f ca="1">IFERROR(__xludf.DUMMYFUNCTION("""COMPUTED_VALUE"""),"Wounded")</f>
        <v>Wounded</v>
      </c>
      <c r="C640" s="5"/>
      <c r="D640" s="5" t="str">
        <f ca="1">IFERROR(__xludf.DUMMYFUNCTION("""COMPUTED_VALUE"""),"Student")</f>
        <v>Student</v>
      </c>
      <c r="E640" s="5" t="str">
        <f ca="1">IFERROR(__xludf.DUMMYFUNCTION("""COMPUTED_VALUE"""),"Teen")</f>
        <v>Teen</v>
      </c>
      <c r="F640" s="5"/>
    </row>
    <row r="641" spans="1:6">
      <c r="A641" s="5" t="str">
        <f ca="1">IFERROR(__xludf.DUMMYFUNCTION("""COMPUTED_VALUE"""),"20190830ALLAM")</f>
        <v>20190830ALLAM</v>
      </c>
      <c r="B641" s="5" t="str">
        <f ca="1">IFERROR(__xludf.DUMMYFUNCTION("""COMPUTED_VALUE"""),"Wounded")</f>
        <v>Wounded</v>
      </c>
      <c r="C641" s="5"/>
      <c r="D641" s="5" t="str">
        <f ca="1">IFERROR(__xludf.DUMMYFUNCTION("""COMPUTED_VALUE"""),"Student")</f>
        <v>Student</v>
      </c>
      <c r="E641" s="5" t="str">
        <f ca="1">IFERROR(__xludf.DUMMYFUNCTION("""COMPUTED_VALUE"""),"Teen")</f>
        <v>Teen</v>
      </c>
      <c r="F641" s="5"/>
    </row>
    <row r="642" spans="1:6">
      <c r="A642" s="5" t="str">
        <f ca="1">IFERROR(__xludf.DUMMYFUNCTION("""COMPUTED_VALUE"""),"20190830ALLAM")</f>
        <v>20190830ALLAM</v>
      </c>
      <c r="B642" s="5" t="str">
        <f ca="1">IFERROR(__xludf.DUMMYFUNCTION("""COMPUTED_VALUE"""),"Wounded")</f>
        <v>Wounded</v>
      </c>
      <c r="C642" s="5"/>
      <c r="D642" s="5" t="str">
        <f ca="1">IFERROR(__xludf.DUMMYFUNCTION("""COMPUTED_VALUE"""),"Student")</f>
        <v>Student</v>
      </c>
      <c r="E642" s="5" t="str">
        <f ca="1">IFERROR(__xludf.DUMMYFUNCTION("""COMPUTED_VALUE"""),"Teen")</f>
        <v>Teen</v>
      </c>
      <c r="F642" s="5"/>
    </row>
    <row r="643" spans="1:6">
      <c r="A643" s="5" t="str">
        <f ca="1">IFERROR(__xludf.DUMMYFUNCTION("""COMPUTED_VALUE"""),"20190830ALLAM")</f>
        <v>20190830ALLAM</v>
      </c>
      <c r="B643" s="5" t="str">
        <f ca="1">IFERROR(__xludf.DUMMYFUNCTION("""COMPUTED_VALUE"""),"Wounded")</f>
        <v>Wounded</v>
      </c>
      <c r="C643" s="5"/>
      <c r="D643" s="5" t="str">
        <f ca="1">IFERROR(__xludf.DUMMYFUNCTION("""COMPUTED_VALUE"""),"Student")</f>
        <v>Student</v>
      </c>
      <c r="E643" s="5" t="str">
        <f ca="1">IFERROR(__xludf.DUMMYFUNCTION("""COMPUTED_VALUE"""),"Teen")</f>
        <v>Teen</v>
      </c>
      <c r="F643" s="5"/>
    </row>
    <row r="644" spans="1:6">
      <c r="A644" s="5" t="str">
        <f ca="1">IFERROR(__xludf.DUMMYFUNCTION("""COMPUTED_VALUE"""),"20190830ALLAM")</f>
        <v>20190830ALLAM</v>
      </c>
      <c r="B644" s="5" t="str">
        <f ca="1">IFERROR(__xludf.DUMMYFUNCTION("""COMPUTED_VALUE"""),"Wounded")</f>
        <v>Wounded</v>
      </c>
      <c r="C644" s="5"/>
      <c r="D644" s="5" t="str">
        <f ca="1">IFERROR(__xludf.DUMMYFUNCTION("""COMPUTED_VALUE"""),"Student")</f>
        <v>Student</v>
      </c>
      <c r="E644" s="5" t="str">
        <f ca="1">IFERROR(__xludf.DUMMYFUNCTION("""COMPUTED_VALUE"""),"Teen")</f>
        <v>Teen</v>
      </c>
      <c r="F644" s="5"/>
    </row>
    <row r="645" spans="1:6">
      <c r="A645" s="5" t="str">
        <f ca="1">IFERROR(__xludf.DUMMYFUNCTION("""COMPUTED_VALUE"""),"20190827NYROR")</f>
        <v>20190827NYROR</v>
      </c>
      <c r="B645" s="5" t="str">
        <f ca="1">IFERROR(__xludf.DUMMYFUNCTION("""COMPUTED_VALUE"""),"None")</f>
        <v>None</v>
      </c>
      <c r="C645" s="5"/>
      <c r="D645" s="5"/>
      <c r="E645" s="5"/>
      <c r="F645" s="5"/>
    </row>
    <row r="646" spans="1:6">
      <c r="A646" s="5" t="str">
        <f ca="1">IFERROR(__xludf.DUMMYFUNCTION("""COMPUTED_VALUE"""),"20190827CAHOL")</f>
        <v>20190827CAHOL</v>
      </c>
      <c r="B646" s="5" t="str">
        <f ca="1">IFERROR(__xludf.DUMMYFUNCTION("""COMPUTED_VALUE"""),"Wounded")</f>
        <v>Wounded</v>
      </c>
      <c r="C646" s="5" t="str">
        <f ca="1">IFERROR(__xludf.DUMMYFUNCTION("""COMPUTED_VALUE"""),"Male")</f>
        <v>Male</v>
      </c>
      <c r="D646" s="5" t="str">
        <f ca="1">IFERROR(__xludf.DUMMYFUNCTION("""COMPUTED_VALUE"""),"Student")</f>
        <v>Student</v>
      </c>
      <c r="E646" s="5" t="str">
        <f ca="1">IFERROR(__xludf.DUMMYFUNCTION("""COMPUTED_VALUE"""),"Teen")</f>
        <v>Teen</v>
      </c>
      <c r="F646" s="5"/>
    </row>
    <row r="647" spans="1:6">
      <c r="A647" s="5" t="str">
        <f ca="1">IFERROR(__xludf.DUMMYFUNCTION("""COMPUTED_VALUE"""),"20190824PAWIP")</f>
        <v>20190824PAWIP</v>
      </c>
      <c r="B647" s="5" t="str">
        <f ca="1">IFERROR(__xludf.DUMMYFUNCTION("""COMPUTED_VALUE"""),"Fatal")</f>
        <v>Fatal</v>
      </c>
      <c r="C647" s="5" t="str">
        <f ca="1">IFERROR(__xludf.DUMMYFUNCTION("""COMPUTED_VALUE"""),"Male")</f>
        <v>Male</v>
      </c>
      <c r="D647" s="5" t="str">
        <f ca="1">IFERROR(__xludf.DUMMYFUNCTION("""COMPUTED_VALUE"""),"No Relation")</f>
        <v>No Relation</v>
      </c>
      <c r="E647" s="5">
        <f ca="1">IFERROR(__xludf.DUMMYFUNCTION("""COMPUTED_VALUE"""),14)</f>
        <v>14</v>
      </c>
      <c r="F647" s="5" t="str">
        <f ca="1">IFERROR(__xludf.DUMMYFUNCTION("""COMPUTED_VALUE"""),"Black")</f>
        <v>Black</v>
      </c>
    </row>
    <row r="648" spans="1:6">
      <c r="A648" s="5" t="str">
        <f ca="1">IFERROR(__xludf.DUMMYFUNCTION("""COMPUTED_VALUE"""),"20190823MOROS")</f>
        <v>20190823MOROS</v>
      </c>
      <c r="B648" s="5" t="str">
        <f ca="1">IFERROR(__xludf.DUMMYFUNCTION("""COMPUTED_VALUE"""),"Fatal")</f>
        <v>Fatal</v>
      </c>
      <c r="C648" s="5" t="str">
        <f ca="1">IFERROR(__xludf.DUMMYFUNCTION("""COMPUTED_VALUE"""),"Female")</f>
        <v>Female</v>
      </c>
      <c r="D648" s="5" t="str">
        <f ca="1">IFERROR(__xludf.DUMMYFUNCTION("""COMPUTED_VALUE"""),"Student")</f>
        <v>Student</v>
      </c>
      <c r="E648" s="5">
        <f ca="1">IFERROR(__xludf.DUMMYFUNCTION("""COMPUTED_VALUE"""),16)</f>
        <v>16</v>
      </c>
      <c r="F648" s="5" t="str">
        <f ca="1">IFERROR(__xludf.DUMMYFUNCTION("""COMPUTED_VALUE"""),"Black")</f>
        <v>Black</v>
      </c>
    </row>
    <row r="649" spans="1:6">
      <c r="A649" s="5" t="str">
        <f ca="1">IFERROR(__xludf.DUMMYFUNCTION("""COMPUTED_VALUE"""),"20190823MOPAS")</f>
        <v>20190823MOPAS</v>
      </c>
      <c r="B649" s="5" t="str">
        <f ca="1">IFERROR(__xludf.DUMMYFUNCTION("""COMPUTED_VALUE"""),"None")</f>
        <v>None</v>
      </c>
      <c r="C649" s="5"/>
      <c r="D649" s="5"/>
      <c r="E649" s="5"/>
      <c r="F649" s="5"/>
    </row>
    <row r="650" spans="1:6">
      <c r="A650" s="5" t="str">
        <f ca="1">IFERROR(__xludf.DUMMYFUNCTION("""COMPUTED_VALUE"""),"20190823GAPEC")</f>
        <v>20190823GAPEC</v>
      </c>
      <c r="B650" s="5" t="str">
        <f ca="1">IFERROR(__xludf.DUMMYFUNCTION("""COMPUTED_VALUE"""),"Wounded")</f>
        <v>Wounded</v>
      </c>
      <c r="C650" s="5" t="str">
        <f ca="1">IFERROR(__xludf.DUMMYFUNCTION("""COMPUTED_VALUE"""),"Male")</f>
        <v>Male</v>
      </c>
      <c r="D650" s="5" t="str">
        <f ca="1">IFERROR(__xludf.DUMMYFUNCTION("""COMPUTED_VALUE"""),"Nonstudent")</f>
        <v>Nonstudent</v>
      </c>
      <c r="E650" s="5">
        <f ca="1">IFERROR(__xludf.DUMMYFUNCTION("""COMPUTED_VALUE"""),12)</f>
        <v>12</v>
      </c>
      <c r="F650" s="5"/>
    </row>
    <row r="651" spans="1:6">
      <c r="A651" s="5" t="str">
        <f ca="1">IFERROR(__xludf.DUMMYFUNCTION("""COMPUTED_VALUE"""),"20190820PASAC")</f>
        <v>20190820PASAC</v>
      </c>
      <c r="B651" s="5" t="str">
        <f ca="1">IFERROR(__xludf.DUMMYFUNCTION("""COMPUTED_VALUE"""),"None")</f>
        <v>None</v>
      </c>
      <c r="C651" s="5" t="str">
        <f ca="1">IFERROR(__xludf.DUMMYFUNCTION("""COMPUTED_VALUE"""),"Male")</f>
        <v>Male</v>
      </c>
      <c r="D651" s="5" t="str">
        <f ca="1">IFERROR(__xludf.DUMMYFUNCTION("""COMPUTED_VALUE"""),"Parent")</f>
        <v>Parent</v>
      </c>
      <c r="E651" s="5" t="str">
        <f ca="1">IFERROR(__xludf.DUMMYFUNCTION("""COMPUTED_VALUE"""),"Adult")</f>
        <v>Adult</v>
      </c>
      <c r="F651" s="5"/>
    </row>
    <row r="652" spans="1:6">
      <c r="A652" s="5" t="str">
        <f ca="1">IFERROR(__xludf.DUMMYFUNCTION("""COMPUTED_VALUE"""),"20190817GALAA")</f>
        <v>20190817GALAA</v>
      </c>
      <c r="B652" s="5" t="str">
        <f ca="1">IFERROR(__xludf.DUMMYFUNCTION("""COMPUTED_VALUE"""),"Wounded")</f>
        <v>Wounded</v>
      </c>
      <c r="C652" s="5" t="str">
        <f ca="1">IFERROR(__xludf.DUMMYFUNCTION("""COMPUTED_VALUE"""),"Male")</f>
        <v>Male</v>
      </c>
      <c r="D652" s="5" t="str">
        <f ca="1">IFERROR(__xludf.DUMMYFUNCTION("""COMPUTED_VALUE"""),"Student")</f>
        <v>Student</v>
      </c>
      <c r="E652" s="5">
        <f ca="1">IFERROR(__xludf.DUMMYFUNCTION("""COMPUTED_VALUE"""),16)</f>
        <v>16</v>
      </c>
      <c r="F652" s="5" t="str">
        <f ca="1">IFERROR(__xludf.DUMMYFUNCTION("""COMPUTED_VALUE"""),"Black")</f>
        <v>Black</v>
      </c>
    </row>
    <row r="653" spans="1:6">
      <c r="A653" s="5" t="str">
        <f ca="1">IFERROR(__xludf.DUMMYFUNCTION("""COMPUTED_VALUE"""),"20190817GALAA")</f>
        <v>20190817GALAA</v>
      </c>
      <c r="B653" s="5" t="str">
        <f ca="1">IFERROR(__xludf.DUMMYFUNCTION("""COMPUTED_VALUE"""),"Wounded")</f>
        <v>Wounded</v>
      </c>
      <c r="C653" s="5" t="str">
        <f ca="1">IFERROR(__xludf.DUMMYFUNCTION("""COMPUTED_VALUE"""),"Male")</f>
        <v>Male</v>
      </c>
      <c r="D653" s="5" t="str">
        <f ca="1">IFERROR(__xludf.DUMMYFUNCTION("""COMPUTED_VALUE"""),"Nonstudent Using Athletic Facilities/Attending Game")</f>
        <v>Nonstudent Using Athletic Facilities/Attending Game</v>
      </c>
      <c r="E653" s="5">
        <f ca="1">IFERROR(__xludf.DUMMYFUNCTION("""COMPUTED_VALUE"""),12)</f>
        <v>12</v>
      </c>
      <c r="F653" s="5" t="str">
        <f ca="1">IFERROR(__xludf.DUMMYFUNCTION("""COMPUTED_VALUE"""),"Black")</f>
        <v>Black</v>
      </c>
    </row>
    <row r="654" spans="1:6">
      <c r="A654" s="5" t="str">
        <f ca="1">IFERROR(__xludf.DUMMYFUNCTION("""COMPUTED_VALUE"""),"20190815TNEAN")</f>
        <v>20190815TNEAN</v>
      </c>
      <c r="B654" s="5" t="str">
        <f ca="1">IFERROR(__xludf.DUMMYFUNCTION("""COMPUTED_VALUE"""),"None")</f>
        <v>None</v>
      </c>
      <c r="C654" s="5"/>
      <c r="D654" s="5"/>
      <c r="E654" s="5"/>
      <c r="F654" s="5"/>
    </row>
    <row r="655" spans="1:6">
      <c r="A655" s="5" t="str">
        <f ca="1">IFERROR(__xludf.DUMMYFUNCTION("""COMPUTED_VALUE"""),"20190809NJWEN")</f>
        <v>20190809NJWEN</v>
      </c>
      <c r="B655" s="5" t="str">
        <f ca="1">IFERROR(__xludf.DUMMYFUNCTION("""COMPUTED_VALUE"""),"Wounded")</f>
        <v>Wounded</v>
      </c>
      <c r="C655" s="5"/>
      <c r="D655" s="5" t="str">
        <f ca="1">IFERROR(__xludf.DUMMYFUNCTION("""COMPUTED_VALUE"""),"Student")</f>
        <v>Student</v>
      </c>
      <c r="E655" s="5">
        <f ca="1">IFERROR(__xludf.DUMMYFUNCTION("""COMPUTED_VALUE"""),13)</f>
        <v>13</v>
      </c>
      <c r="F655" s="5"/>
    </row>
    <row r="656" spans="1:6">
      <c r="A656" s="5" t="str">
        <f ca="1">IFERROR(__xludf.DUMMYFUNCTION("""COMPUTED_VALUE"""),"20190809NJWEN")</f>
        <v>20190809NJWEN</v>
      </c>
      <c r="B656" s="5" t="str">
        <f ca="1">IFERROR(__xludf.DUMMYFUNCTION("""COMPUTED_VALUE"""),"Wounded")</f>
        <v>Wounded</v>
      </c>
      <c r="C656" s="5"/>
      <c r="D656" s="5" t="str">
        <f ca="1">IFERROR(__xludf.DUMMYFUNCTION("""COMPUTED_VALUE"""),"Student")</f>
        <v>Student</v>
      </c>
      <c r="E656" s="5">
        <f ca="1">IFERROR(__xludf.DUMMYFUNCTION("""COMPUTED_VALUE"""),18)</f>
        <v>18</v>
      </c>
      <c r="F656" s="5"/>
    </row>
    <row r="657" spans="1:6">
      <c r="A657" s="5" t="str">
        <f ca="1">IFERROR(__xludf.DUMMYFUNCTION("""COMPUTED_VALUE"""),"20190808ALBLM")</f>
        <v>20190808ALBLM</v>
      </c>
      <c r="B657" s="5" t="str">
        <f ca="1">IFERROR(__xludf.DUMMYFUNCTION("""COMPUTED_VALUE"""),"None")</f>
        <v>None</v>
      </c>
      <c r="C657" s="5"/>
      <c r="D657" s="5"/>
      <c r="E657" s="5"/>
      <c r="F657" s="5"/>
    </row>
    <row r="658" spans="1:6">
      <c r="A658" s="5" t="str">
        <f ca="1">IFERROR(__xludf.DUMMYFUNCTION("""COMPUTED_VALUE"""),"20190719CAMOS")</f>
        <v>20190719CAMOS</v>
      </c>
      <c r="B658" s="5" t="str">
        <f ca="1">IFERROR(__xludf.DUMMYFUNCTION("""COMPUTED_VALUE"""),"None")</f>
        <v>None</v>
      </c>
      <c r="C658" s="5"/>
      <c r="D658" s="5"/>
      <c r="E658" s="5"/>
      <c r="F658" s="5"/>
    </row>
    <row r="659" spans="1:6">
      <c r="A659" s="5" t="str">
        <f ca="1">IFERROR(__xludf.DUMMYFUNCTION("""COMPUTED_VALUE"""),"20190711CTBUH")</f>
        <v>20190711CTBUH</v>
      </c>
      <c r="B659" s="5" t="str">
        <f ca="1">IFERROR(__xludf.DUMMYFUNCTION("""COMPUTED_VALUE"""),"Fatal")</f>
        <v>Fatal</v>
      </c>
      <c r="C659" s="5" t="str">
        <f ca="1">IFERROR(__xludf.DUMMYFUNCTION("""COMPUTED_VALUE"""),"Male")</f>
        <v>Male</v>
      </c>
      <c r="D659" s="5" t="str">
        <f ca="1">IFERROR(__xludf.DUMMYFUNCTION("""COMPUTED_VALUE"""),"No Relation")</f>
        <v>No Relation</v>
      </c>
      <c r="E659" s="5">
        <f ca="1">IFERROR(__xludf.DUMMYFUNCTION("""COMPUTED_VALUE"""),34)</f>
        <v>34</v>
      </c>
      <c r="F659" s="5" t="str">
        <f ca="1">IFERROR(__xludf.DUMMYFUNCTION("""COMPUTED_VALUE"""),"Hispanic")</f>
        <v>Hispanic</v>
      </c>
    </row>
    <row r="660" spans="1:6">
      <c r="A660" s="5" t="str">
        <f ca="1">IFERROR(__xludf.DUMMYFUNCTION("""COMPUTED_VALUE"""),"20190702AKWIA")</f>
        <v>20190702AKWIA</v>
      </c>
      <c r="B660" s="5" t="str">
        <f ca="1">IFERROR(__xludf.DUMMYFUNCTION("""COMPUTED_VALUE"""),"Wounded")</f>
        <v>Wounded</v>
      </c>
      <c r="C660" s="5" t="str">
        <f ca="1">IFERROR(__xludf.DUMMYFUNCTION("""COMPUTED_VALUE"""),"Male")</f>
        <v>Male</v>
      </c>
      <c r="D660" s="5" t="str">
        <f ca="1">IFERROR(__xludf.DUMMYFUNCTION("""COMPUTED_VALUE"""),"No Relation")</f>
        <v>No Relation</v>
      </c>
      <c r="E660" s="5" t="str">
        <f ca="1">IFERROR(__xludf.DUMMYFUNCTION("""COMPUTED_VALUE"""),"Teen")</f>
        <v>Teen</v>
      </c>
      <c r="F660" s="5"/>
    </row>
    <row r="661" spans="1:6">
      <c r="A661" s="5" t="str">
        <f ca="1">IFERROR(__xludf.DUMMYFUNCTION("""COMPUTED_VALUE"""),"20190701NYSCN")</f>
        <v>20190701NYSCN</v>
      </c>
      <c r="B661" s="5" t="str">
        <f ca="1">IFERROR(__xludf.DUMMYFUNCTION("""COMPUTED_VALUE"""),"Wounded")</f>
        <v>Wounded</v>
      </c>
      <c r="C661" s="5" t="str">
        <f ca="1">IFERROR(__xludf.DUMMYFUNCTION("""COMPUTED_VALUE"""),"Male")</f>
        <v>Male</v>
      </c>
      <c r="D661" s="5" t="str">
        <f ca="1">IFERROR(__xludf.DUMMYFUNCTION("""COMPUTED_VALUE"""),"No Relation")</f>
        <v>No Relation</v>
      </c>
      <c r="E661" s="5">
        <f ca="1">IFERROR(__xludf.DUMMYFUNCTION("""COMPUTED_VALUE"""),13)</f>
        <v>13</v>
      </c>
      <c r="F661" s="5" t="str">
        <f ca="1">IFERROR(__xludf.DUMMYFUNCTION("""COMPUTED_VALUE"""),"Black")</f>
        <v>Black</v>
      </c>
    </row>
    <row r="662" spans="1:6">
      <c r="A662" s="5" t="str">
        <f ca="1">IFERROR(__xludf.DUMMYFUNCTION("""COMPUTED_VALUE"""),"20190629COJAC")</f>
        <v>20190629COJAC</v>
      </c>
      <c r="B662" s="5" t="str">
        <f ca="1">IFERROR(__xludf.DUMMYFUNCTION("""COMPUTED_VALUE"""),"Fatal")</f>
        <v>Fatal</v>
      </c>
      <c r="C662" s="5" t="str">
        <f ca="1">IFERROR(__xludf.DUMMYFUNCTION("""COMPUTED_VALUE"""),"Male")</f>
        <v>Male</v>
      </c>
      <c r="D662" s="5" t="str">
        <f ca="1">IFERROR(__xludf.DUMMYFUNCTION("""COMPUTED_VALUE"""),"No Relation")</f>
        <v>No Relation</v>
      </c>
      <c r="E662" s="5">
        <f ca="1">IFERROR(__xludf.DUMMYFUNCTION("""COMPUTED_VALUE"""),18)</f>
        <v>18</v>
      </c>
      <c r="F662" s="5"/>
    </row>
    <row r="663" spans="1:6">
      <c r="A663" s="5" t="str">
        <f ca="1">IFERROR(__xludf.DUMMYFUNCTION("""COMPUTED_VALUE"""),"20190629COJAC")</f>
        <v>20190629COJAC</v>
      </c>
      <c r="B663" s="5" t="str">
        <f ca="1">IFERROR(__xludf.DUMMYFUNCTION("""COMPUTED_VALUE"""),"Fatal")</f>
        <v>Fatal</v>
      </c>
      <c r="C663" s="5" t="str">
        <f ca="1">IFERROR(__xludf.DUMMYFUNCTION("""COMPUTED_VALUE"""),"Male")</f>
        <v>Male</v>
      </c>
      <c r="D663" s="5" t="str">
        <f ca="1">IFERROR(__xludf.DUMMYFUNCTION("""COMPUTED_VALUE"""),"No Relation")</f>
        <v>No Relation</v>
      </c>
      <c r="E663" s="5">
        <f ca="1">IFERROR(__xludf.DUMMYFUNCTION("""COMPUTED_VALUE"""),22)</f>
        <v>22</v>
      </c>
      <c r="F663" s="5"/>
    </row>
    <row r="664" spans="1:6">
      <c r="A664" s="5" t="str">
        <f ca="1">IFERROR(__xludf.DUMMYFUNCTION("""COMPUTED_VALUE"""),"20190621MICAF")</f>
        <v>20190621MICAF</v>
      </c>
      <c r="B664" s="5" t="str">
        <f ca="1">IFERROR(__xludf.DUMMYFUNCTION("""COMPUTED_VALUE"""),"Wounded")</f>
        <v>Wounded</v>
      </c>
      <c r="C664" s="5" t="str">
        <f ca="1">IFERROR(__xludf.DUMMYFUNCTION("""COMPUTED_VALUE"""),"Male")</f>
        <v>Male</v>
      </c>
      <c r="D664" s="5" t="str">
        <f ca="1">IFERROR(__xludf.DUMMYFUNCTION("""COMPUTED_VALUE"""),"Unknown")</f>
        <v>Unknown</v>
      </c>
      <c r="E664" s="5">
        <f ca="1">IFERROR(__xludf.DUMMYFUNCTION("""COMPUTED_VALUE"""),15)</f>
        <v>15</v>
      </c>
      <c r="F664" s="5"/>
    </row>
    <row r="665" spans="1:6">
      <c r="A665" s="5" t="str">
        <f ca="1">IFERROR(__xludf.DUMMYFUNCTION("""COMPUTED_VALUE"""),"20190613NJTAW")</f>
        <v>20190613NJTAW</v>
      </c>
      <c r="B665" s="5" t="str">
        <f ca="1">IFERROR(__xludf.DUMMYFUNCTION("""COMPUTED_VALUE"""),"None")</f>
        <v>None</v>
      </c>
      <c r="C665" s="5"/>
      <c r="D665" s="5"/>
      <c r="E665" s="5"/>
      <c r="F665" s="5"/>
    </row>
    <row r="666" spans="1:6">
      <c r="A666" s="5" t="str">
        <f ca="1">IFERROR(__xludf.DUMMYFUNCTION("""COMPUTED_VALUE"""),"20190612PAJEE")</f>
        <v>20190612PAJEE</v>
      </c>
      <c r="B666" s="5" t="str">
        <f ca="1">IFERROR(__xludf.DUMMYFUNCTION("""COMPUTED_VALUE"""),"None")</f>
        <v>None</v>
      </c>
      <c r="C666" s="5" t="str">
        <f ca="1">IFERROR(__xludf.DUMMYFUNCTION("""COMPUTED_VALUE"""),"Male")</f>
        <v>Male</v>
      </c>
      <c r="D666" s="5" t="str">
        <f ca="1">IFERROR(__xludf.DUMMYFUNCTION("""COMPUTED_VALUE"""),"No Relation")</f>
        <v>No Relation</v>
      </c>
      <c r="E666" s="5">
        <f ca="1">IFERROR(__xludf.DUMMYFUNCTION("""COMPUTED_VALUE"""),18)</f>
        <v>18</v>
      </c>
      <c r="F666" s="5"/>
    </row>
    <row r="667" spans="1:6">
      <c r="A667" s="5" t="str">
        <f ca="1">IFERROR(__xludf.DUMMYFUNCTION("""COMPUTED_VALUE"""),"20190612DCHEW")</f>
        <v>20190612DCHEW</v>
      </c>
      <c r="B667" s="5" t="str">
        <f ca="1">IFERROR(__xludf.DUMMYFUNCTION("""COMPUTED_VALUE"""),"None")</f>
        <v>None</v>
      </c>
      <c r="C667" s="5"/>
      <c r="D667" s="5"/>
      <c r="E667" s="5"/>
      <c r="F667" s="5"/>
    </row>
    <row r="668" spans="1:6">
      <c r="A668" s="5" t="str">
        <f ca="1">IFERROR(__xludf.DUMMYFUNCTION("""COMPUTED_VALUE"""),"20190610ILMEW")</f>
        <v>20190610ILMEW</v>
      </c>
      <c r="B668" s="5" t="str">
        <f ca="1">IFERROR(__xludf.DUMMYFUNCTION("""COMPUTED_VALUE"""),"Wounded")</f>
        <v>Wounded</v>
      </c>
      <c r="C668" s="5" t="str">
        <f ca="1">IFERROR(__xludf.DUMMYFUNCTION("""COMPUTED_VALUE"""),"Male")</f>
        <v>Male</v>
      </c>
      <c r="D668" s="5" t="str">
        <f ca="1">IFERROR(__xludf.DUMMYFUNCTION("""COMPUTED_VALUE"""),"No Relation")</f>
        <v>No Relation</v>
      </c>
      <c r="E668" s="5">
        <f ca="1">IFERROR(__xludf.DUMMYFUNCTION("""COMPUTED_VALUE"""),27)</f>
        <v>27</v>
      </c>
      <c r="F668" s="5" t="str">
        <f ca="1">IFERROR(__xludf.DUMMYFUNCTION("""COMPUTED_VALUE"""),"Hispanic")</f>
        <v>Hispanic</v>
      </c>
    </row>
    <row r="669" spans="1:6">
      <c r="A669" s="5" t="str">
        <f ca="1">IFERROR(__xludf.DUMMYFUNCTION("""COMPUTED_VALUE"""),"20190606ILGEC")</f>
        <v>20190606ILGEC</v>
      </c>
      <c r="B669" s="5" t="str">
        <f ca="1">IFERROR(__xludf.DUMMYFUNCTION("""COMPUTED_VALUE"""),"Wounded")</f>
        <v>Wounded</v>
      </c>
      <c r="C669" s="5" t="str">
        <f ca="1">IFERROR(__xludf.DUMMYFUNCTION("""COMPUTED_VALUE"""),"Male")</f>
        <v>Male</v>
      </c>
      <c r="D669" s="5" t="str">
        <f ca="1">IFERROR(__xludf.DUMMYFUNCTION("""COMPUTED_VALUE"""),"Nonstudent Using Athletic Facilities/Attending Game")</f>
        <v>Nonstudent Using Athletic Facilities/Attending Game</v>
      </c>
      <c r="E669" s="5">
        <f ca="1">IFERROR(__xludf.DUMMYFUNCTION("""COMPUTED_VALUE"""),25)</f>
        <v>25</v>
      </c>
      <c r="F669" s="5"/>
    </row>
    <row r="670" spans="1:6">
      <c r="A670" s="5" t="str">
        <f ca="1">IFERROR(__xludf.DUMMYFUNCTION("""COMPUTED_VALUE"""),"20190530DCHEW")</f>
        <v>20190530DCHEW</v>
      </c>
      <c r="B670" s="5" t="str">
        <f ca="1">IFERROR(__xludf.DUMMYFUNCTION("""COMPUTED_VALUE"""),"None")</f>
        <v>None</v>
      </c>
      <c r="C670" s="5"/>
      <c r="D670" s="5"/>
      <c r="E670" s="5"/>
      <c r="F670" s="5"/>
    </row>
    <row r="671" spans="1:6">
      <c r="A671" s="5" t="str">
        <f ca="1">IFERROR(__xludf.DUMMYFUNCTION("""COMPUTED_VALUE"""),"20190522OHSAC")</f>
        <v>20190522OHSAC</v>
      </c>
      <c r="B671" s="5" t="str">
        <f ca="1">IFERROR(__xludf.DUMMYFUNCTION("""COMPUTED_VALUE"""),"Fatal")</f>
        <v>Fatal</v>
      </c>
      <c r="C671" s="5" t="str">
        <f ca="1">IFERROR(__xludf.DUMMYFUNCTION("""COMPUTED_VALUE"""),"Male")</f>
        <v>Male</v>
      </c>
      <c r="D671" s="5" t="str">
        <f ca="1">IFERROR(__xludf.DUMMYFUNCTION("""COMPUTED_VALUE"""),"No Relation")</f>
        <v>No Relation</v>
      </c>
      <c r="E671" s="5">
        <f ca="1">IFERROR(__xludf.DUMMYFUNCTION("""COMPUTED_VALUE"""),14)</f>
        <v>14</v>
      </c>
      <c r="F671" s="5" t="str">
        <f ca="1">IFERROR(__xludf.DUMMYFUNCTION("""COMPUTED_VALUE"""),"Black")</f>
        <v>Black</v>
      </c>
    </row>
    <row r="672" spans="1:6">
      <c r="A672" s="5" t="str">
        <f ca="1">IFERROR(__xludf.DUMMYFUNCTION("""COMPUTED_VALUE"""),"20190522OHSAC")</f>
        <v>20190522OHSAC</v>
      </c>
      <c r="B672" s="5" t="str">
        <f ca="1">IFERROR(__xludf.DUMMYFUNCTION("""COMPUTED_VALUE"""),"Wounded")</f>
        <v>Wounded</v>
      </c>
      <c r="C672" s="5" t="str">
        <f ca="1">IFERROR(__xludf.DUMMYFUNCTION("""COMPUTED_VALUE"""),"Female")</f>
        <v>Female</v>
      </c>
      <c r="D672" s="5" t="str">
        <f ca="1">IFERROR(__xludf.DUMMYFUNCTION("""COMPUTED_VALUE"""),"No Relation")</f>
        <v>No Relation</v>
      </c>
      <c r="E672" s="5">
        <f ca="1">IFERROR(__xludf.DUMMYFUNCTION("""COMPUTED_VALUE"""),14)</f>
        <v>14</v>
      </c>
      <c r="F672" s="5"/>
    </row>
    <row r="673" spans="1:6">
      <c r="A673" s="5" t="str">
        <f ca="1">IFERROR(__xludf.DUMMYFUNCTION("""COMPUTED_VALUE"""),"20190517ORPAP")</f>
        <v>20190517ORPAP</v>
      </c>
      <c r="B673" s="5" t="str">
        <f ca="1">IFERROR(__xludf.DUMMYFUNCTION("""COMPUTED_VALUE"""),"None")</f>
        <v>None</v>
      </c>
      <c r="C673" s="5"/>
      <c r="D673" s="5"/>
      <c r="E673" s="5"/>
      <c r="F673" s="5"/>
    </row>
    <row r="674" spans="1:6">
      <c r="A674" s="5" t="str">
        <f ca="1">IFERROR(__xludf.DUMMYFUNCTION("""COMPUTED_VALUE"""),"20190517FLTEJ")</f>
        <v>20190517FLTEJ</v>
      </c>
      <c r="B674" s="5" t="str">
        <f ca="1">IFERROR(__xludf.DUMMYFUNCTION("""COMPUTED_VALUE"""),"Wounded")</f>
        <v>Wounded</v>
      </c>
      <c r="C674" s="5" t="str">
        <f ca="1">IFERROR(__xludf.DUMMYFUNCTION("""COMPUTED_VALUE"""),"Male")</f>
        <v>Male</v>
      </c>
      <c r="D674" s="5" t="str">
        <f ca="1">IFERROR(__xludf.DUMMYFUNCTION("""COMPUTED_VALUE"""),"Student")</f>
        <v>Student</v>
      </c>
      <c r="E674" s="5">
        <f ca="1">IFERROR(__xludf.DUMMYFUNCTION("""COMPUTED_VALUE"""),16)</f>
        <v>16</v>
      </c>
      <c r="F674" s="5" t="str">
        <f ca="1">IFERROR(__xludf.DUMMYFUNCTION("""COMPUTED_VALUE"""),"Black")</f>
        <v>Black</v>
      </c>
    </row>
    <row r="675" spans="1:6">
      <c r="A675" s="5" t="str">
        <f ca="1">IFERROR(__xludf.DUMMYFUNCTION("""COMPUTED_VALUE"""),"20190508ILSEC")</f>
        <v>20190508ILSEC</v>
      </c>
      <c r="B675" s="5" t="str">
        <f ca="1">IFERROR(__xludf.DUMMYFUNCTION("""COMPUTED_VALUE"""),"Wounded")</f>
        <v>Wounded</v>
      </c>
      <c r="C675" s="5" t="str">
        <f ca="1">IFERROR(__xludf.DUMMYFUNCTION("""COMPUTED_VALUE"""),"Male")</f>
        <v>Male</v>
      </c>
      <c r="D675" s="5" t="str">
        <f ca="1">IFERROR(__xludf.DUMMYFUNCTION("""COMPUTED_VALUE"""),"Student")</f>
        <v>Student</v>
      </c>
      <c r="E675" s="5">
        <f ca="1">IFERROR(__xludf.DUMMYFUNCTION("""COMPUTED_VALUE"""),19)</f>
        <v>19</v>
      </c>
      <c r="F675" s="5"/>
    </row>
    <row r="676" spans="1:6">
      <c r="A676" s="5" t="str">
        <f ca="1">IFERROR(__xludf.DUMMYFUNCTION("""COMPUTED_VALUE"""),"20190507COSTH")</f>
        <v>20190507COSTH</v>
      </c>
      <c r="B676" s="5" t="str">
        <f ca="1">IFERROR(__xludf.DUMMYFUNCTION("""COMPUTED_VALUE"""),"Wounded")</f>
        <v>Wounded</v>
      </c>
      <c r="C676" s="5"/>
      <c r="D676" s="5" t="str">
        <f ca="1">IFERROR(__xludf.DUMMYFUNCTION("""COMPUTED_VALUE"""),"Student")</f>
        <v>Student</v>
      </c>
      <c r="E676" s="5" t="str">
        <f ca="1">IFERROR(__xludf.DUMMYFUNCTION("""COMPUTED_VALUE"""),"Teen")</f>
        <v>Teen</v>
      </c>
      <c r="F676" s="5"/>
    </row>
    <row r="677" spans="1:6">
      <c r="A677" s="5" t="str">
        <f ca="1">IFERROR(__xludf.DUMMYFUNCTION("""COMPUTED_VALUE"""),"20190507COSTH")</f>
        <v>20190507COSTH</v>
      </c>
      <c r="B677" s="5" t="str">
        <f ca="1">IFERROR(__xludf.DUMMYFUNCTION("""COMPUTED_VALUE"""),"Wounded")</f>
        <v>Wounded</v>
      </c>
      <c r="C677" s="5"/>
      <c r="D677" s="5" t="str">
        <f ca="1">IFERROR(__xludf.DUMMYFUNCTION("""COMPUTED_VALUE"""),"Student")</f>
        <v>Student</v>
      </c>
      <c r="E677" s="5" t="str">
        <f ca="1">IFERROR(__xludf.DUMMYFUNCTION("""COMPUTED_VALUE"""),"Teen")</f>
        <v>Teen</v>
      </c>
      <c r="F677" s="5"/>
    </row>
    <row r="678" spans="1:6">
      <c r="A678" s="5" t="str">
        <f ca="1">IFERROR(__xludf.DUMMYFUNCTION("""COMPUTED_VALUE"""),"20190507COSTH")</f>
        <v>20190507COSTH</v>
      </c>
      <c r="B678" s="5" t="str">
        <f ca="1">IFERROR(__xludf.DUMMYFUNCTION("""COMPUTED_VALUE"""),"Fatal")</f>
        <v>Fatal</v>
      </c>
      <c r="C678" s="5" t="str">
        <f ca="1">IFERROR(__xludf.DUMMYFUNCTION("""COMPUTED_VALUE"""),"Male")</f>
        <v>Male</v>
      </c>
      <c r="D678" s="5" t="str">
        <f ca="1">IFERROR(__xludf.DUMMYFUNCTION("""COMPUTED_VALUE"""),"Student")</f>
        <v>Student</v>
      </c>
      <c r="E678" s="5">
        <f ca="1">IFERROR(__xludf.DUMMYFUNCTION("""COMPUTED_VALUE"""),18)</f>
        <v>18</v>
      </c>
      <c r="F678" s="5"/>
    </row>
    <row r="679" spans="1:6">
      <c r="A679" s="5" t="str">
        <f ca="1">IFERROR(__xludf.DUMMYFUNCTION("""COMPUTED_VALUE"""),"20190507COSTH")</f>
        <v>20190507COSTH</v>
      </c>
      <c r="B679" s="5" t="str">
        <f ca="1">IFERROR(__xludf.DUMMYFUNCTION("""COMPUTED_VALUE"""),"Wounded")</f>
        <v>Wounded</v>
      </c>
      <c r="C679" s="5"/>
      <c r="D679" s="5" t="str">
        <f ca="1">IFERROR(__xludf.DUMMYFUNCTION("""COMPUTED_VALUE"""),"Student")</f>
        <v>Student</v>
      </c>
      <c r="E679" s="5" t="str">
        <f ca="1">IFERROR(__xludf.DUMMYFUNCTION("""COMPUTED_VALUE"""),"Teen")</f>
        <v>Teen</v>
      </c>
      <c r="F679" s="5"/>
    </row>
    <row r="680" spans="1:6">
      <c r="A680" s="5" t="str">
        <f ca="1">IFERROR(__xludf.DUMMYFUNCTION("""COMPUTED_VALUE"""),"20190507COSTH")</f>
        <v>20190507COSTH</v>
      </c>
      <c r="B680" s="5" t="str">
        <f ca="1">IFERROR(__xludf.DUMMYFUNCTION("""COMPUTED_VALUE"""),"Wounded")</f>
        <v>Wounded</v>
      </c>
      <c r="C680" s="5"/>
      <c r="D680" s="5" t="str">
        <f ca="1">IFERROR(__xludf.DUMMYFUNCTION("""COMPUTED_VALUE"""),"Student")</f>
        <v>Student</v>
      </c>
      <c r="E680" s="5" t="str">
        <f ca="1">IFERROR(__xludf.DUMMYFUNCTION("""COMPUTED_VALUE"""),"Teen")</f>
        <v>Teen</v>
      </c>
      <c r="F680" s="5"/>
    </row>
    <row r="681" spans="1:6">
      <c r="A681" s="5" t="str">
        <f ca="1">IFERROR(__xludf.DUMMYFUNCTION("""COMPUTED_VALUE"""),"20190507COSTH")</f>
        <v>20190507COSTH</v>
      </c>
      <c r="B681" s="5" t="str">
        <f ca="1">IFERROR(__xludf.DUMMYFUNCTION("""COMPUTED_VALUE"""),"Wounded")</f>
        <v>Wounded</v>
      </c>
      <c r="C681" s="5"/>
      <c r="D681" s="5" t="str">
        <f ca="1">IFERROR(__xludf.DUMMYFUNCTION("""COMPUTED_VALUE"""),"Student")</f>
        <v>Student</v>
      </c>
      <c r="E681" s="5" t="str">
        <f ca="1">IFERROR(__xludf.DUMMYFUNCTION("""COMPUTED_VALUE"""),"Teen")</f>
        <v>Teen</v>
      </c>
      <c r="F681" s="5"/>
    </row>
    <row r="682" spans="1:6">
      <c r="A682" s="5" t="str">
        <f ca="1">IFERROR(__xludf.DUMMYFUNCTION("""COMPUTED_VALUE"""),"20190507COSTH")</f>
        <v>20190507COSTH</v>
      </c>
      <c r="B682" s="5" t="str">
        <f ca="1">IFERROR(__xludf.DUMMYFUNCTION("""COMPUTED_VALUE"""),"Wounded")</f>
        <v>Wounded</v>
      </c>
      <c r="C682" s="5"/>
      <c r="D682" s="5" t="str">
        <f ca="1">IFERROR(__xludf.DUMMYFUNCTION("""COMPUTED_VALUE"""),"Student")</f>
        <v>Student</v>
      </c>
      <c r="E682" s="5" t="str">
        <f ca="1">IFERROR(__xludf.DUMMYFUNCTION("""COMPUTED_VALUE"""),"Teen")</f>
        <v>Teen</v>
      </c>
      <c r="F682" s="5"/>
    </row>
    <row r="683" spans="1:6">
      <c r="A683" s="5" t="str">
        <f ca="1">IFERROR(__xludf.DUMMYFUNCTION("""COMPUTED_VALUE"""),"20190507COSTH")</f>
        <v>20190507COSTH</v>
      </c>
      <c r="B683" s="5" t="str">
        <f ca="1">IFERROR(__xludf.DUMMYFUNCTION("""COMPUTED_VALUE"""),"Wounded")</f>
        <v>Wounded</v>
      </c>
      <c r="C683" s="5"/>
      <c r="D683" s="5" t="str">
        <f ca="1">IFERROR(__xludf.DUMMYFUNCTION("""COMPUTED_VALUE"""),"Student")</f>
        <v>Student</v>
      </c>
      <c r="E683" s="5">
        <f ca="1">IFERROR(__xludf.DUMMYFUNCTION("""COMPUTED_VALUE"""),15)</f>
        <v>15</v>
      </c>
      <c r="F683" s="5"/>
    </row>
    <row r="684" spans="1:6">
      <c r="A684" s="5" t="str">
        <f ca="1">IFERROR(__xludf.DUMMYFUNCTION("""COMPUTED_VALUE"""),"20190507COSTH")</f>
        <v>20190507COSTH</v>
      </c>
      <c r="B684" s="5" t="str">
        <f ca="1">IFERROR(__xludf.DUMMYFUNCTION("""COMPUTED_VALUE"""),"Wounded")</f>
        <v>Wounded</v>
      </c>
      <c r="C684" s="5"/>
      <c r="D684" s="5" t="str">
        <f ca="1">IFERROR(__xludf.DUMMYFUNCTION("""COMPUTED_VALUE"""),"Student")</f>
        <v>Student</v>
      </c>
      <c r="E684" s="5" t="str">
        <f ca="1">IFERROR(__xludf.DUMMYFUNCTION("""COMPUTED_VALUE"""),"Teen")</f>
        <v>Teen</v>
      </c>
      <c r="F684" s="5"/>
    </row>
    <row r="685" spans="1:6">
      <c r="A685" s="5" t="str">
        <f ca="1">IFERROR(__xludf.DUMMYFUNCTION("""COMPUTED_VALUE"""),"20190430VACDW")</f>
        <v>20190430VACDW</v>
      </c>
      <c r="B685" s="5" t="str">
        <f ca="1">IFERROR(__xludf.DUMMYFUNCTION("""COMPUTED_VALUE"""),"None")</f>
        <v>None</v>
      </c>
      <c r="C685" s="5"/>
      <c r="D685" s="5"/>
      <c r="E685" s="5"/>
      <c r="F685" s="5"/>
    </row>
    <row r="686" spans="1:6">
      <c r="A686" s="5" t="str">
        <f ca="1">IFERROR(__xludf.DUMMYFUNCTION("""COMPUTED_VALUE"""),"20190430FLWEW")</f>
        <v>20190430FLWEW</v>
      </c>
      <c r="B686" s="5" t="str">
        <f ca="1">IFERROR(__xludf.DUMMYFUNCTION("""COMPUTED_VALUE"""),"None")</f>
        <v>None</v>
      </c>
      <c r="C686" s="5"/>
      <c r="D686" s="5"/>
      <c r="E686" s="5"/>
      <c r="F686" s="5"/>
    </row>
    <row r="687" spans="1:6">
      <c r="A687" s="5" t="str">
        <f ca="1">IFERROR(__xludf.DUMMYFUNCTION("""COMPUTED_VALUE"""),"20190426GACRF")</f>
        <v>20190426GACRF</v>
      </c>
      <c r="B687" s="5" t="str">
        <f ca="1">IFERROR(__xludf.DUMMYFUNCTION("""COMPUTED_VALUE"""),"None")</f>
        <v>None</v>
      </c>
      <c r="C687" s="5"/>
      <c r="D687" s="5"/>
      <c r="E687" s="5"/>
      <c r="F687" s="5"/>
    </row>
    <row r="688" spans="1:6">
      <c r="A688" s="5" t="str">
        <f ca="1">IFERROR(__xludf.DUMMYFUNCTION("""COMPUTED_VALUE"""),"20190425GAWYS")</f>
        <v>20190425GAWYS</v>
      </c>
      <c r="B688" s="5" t="str">
        <f ca="1">IFERROR(__xludf.DUMMYFUNCTION("""COMPUTED_VALUE"""),"Minor Injuries")</f>
        <v>Minor Injuries</v>
      </c>
      <c r="C688" s="5"/>
      <c r="D688" s="5" t="str">
        <f ca="1">IFERROR(__xludf.DUMMYFUNCTION("""COMPUTED_VALUE"""),"Student")</f>
        <v>Student</v>
      </c>
      <c r="E688" s="5" t="str">
        <f ca="1">IFERROR(__xludf.DUMMYFUNCTION("""COMPUTED_VALUE"""),"Child")</f>
        <v>Child</v>
      </c>
      <c r="F688" s="5"/>
    </row>
    <row r="689" spans="1:6">
      <c r="A689" s="5" t="str">
        <f ca="1">IFERROR(__xludf.DUMMYFUNCTION("""COMPUTED_VALUE"""),"20190425GAWYS")</f>
        <v>20190425GAWYS</v>
      </c>
      <c r="B689" s="5" t="str">
        <f ca="1">IFERROR(__xludf.DUMMYFUNCTION("""COMPUTED_VALUE"""),"Minor Injuries")</f>
        <v>Minor Injuries</v>
      </c>
      <c r="C689" s="5"/>
      <c r="D689" s="5" t="str">
        <f ca="1">IFERROR(__xludf.DUMMYFUNCTION("""COMPUTED_VALUE"""),"Student")</f>
        <v>Student</v>
      </c>
      <c r="E689" s="5" t="str">
        <f ca="1">IFERROR(__xludf.DUMMYFUNCTION("""COMPUTED_VALUE"""),"Child")</f>
        <v>Child</v>
      </c>
      <c r="F689" s="5"/>
    </row>
    <row r="690" spans="1:6">
      <c r="A690" s="5" t="str">
        <f ca="1">IFERROR(__xludf.DUMMYFUNCTION("""COMPUTED_VALUE"""),"20190425GAWYS")</f>
        <v>20190425GAWYS</v>
      </c>
      <c r="B690" s="5" t="str">
        <f ca="1">IFERROR(__xludf.DUMMYFUNCTION("""COMPUTED_VALUE"""),"Minor Injuries")</f>
        <v>Minor Injuries</v>
      </c>
      <c r="C690" s="5"/>
      <c r="D690" s="5" t="str">
        <f ca="1">IFERROR(__xludf.DUMMYFUNCTION("""COMPUTED_VALUE"""),"Student")</f>
        <v>Student</v>
      </c>
      <c r="E690" s="5" t="str">
        <f ca="1">IFERROR(__xludf.DUMMYFUNCTION("""COMPUTED_VALUE"""),"Child")</f>
        <v>Child</v>
      </c>
      <c r="F690" s="5"/>
    </row>
    <row r="691" spans="1:6">
      <c r="A691" s="5" t="str">
        <f ca="1">IFERROR(__xludf.DUMMYFUNCTION("""COMPUTED_VALUE"""),"20190425GAWYS")</f>
        <v>20190425GAWYS</v>
      </c>
      <c r="B691" s="5" t="str">
        <f ca="1">IFERROR(__xludf.DUMMYFUNCTION("""COMPUTED_VALUE"""),"Minor Injuries")</f>
        <v>Minor Injuries</v>
      </c>
      <c r="C691" s="5"/>
      <c r="D691" s="5" t="str">
        <f ca="1">IFERROR(__xludf.DUMMYFUNCTION("""COMPUTED_VALUE"""),"Student")</f>
        <v>Student</v>
      </c>
      <c r="E691" s="5" t="str">
        <f ca="1">IFERROR(__xludf.DUMMYFUNCTION("""COMPUTED_VALUE"""),"Child")</f>
        <v>Child</v>
      </c>
      <c r="F691" s="5"/>
    </row>
    <row r="692" spans="1:6">
      <c r="A692" s="5" t="str">
        <f ca="1">IFERROR(__xludf.DUMMYFUNCTION("""COMPUTED_VALUE"""),"20190425GAWYS")</f>
        <v>20190425GAWYS</v>
      </c>
      <c r="B692" s="5" t="str">
        <f ca="1">IFERROR(__xludf.DUMMYFUNCTION("""COMPUTED_VALUE"""),"Minor Injuries")</f>
        <v>Minor Injuries</v>
      </c>
      <c r="C692" s="5"/>
      <c r="D692" s="5" t="str">
        <f ca="1">IFERROR(__xludf.DUMMYFUNCTION("""COMPUTED_VALUE"""),"Student")</f>
        <v>Student</v>
      </c>
      <c r="E692" s="5" t="str">
        <f ca="1">IFERROR(__xludf.DUMMYFUNCTION("""COMPUTED_VALUE"""),"Child")</f>
        <v>Child</v>
      </c>
      <c r="F692" s="5"/>
    </row>
    <row r="693" spans="1:6">
      <c r="A693" s="5" t="str">
        <f ca="1">IFERROR(__xludf.DUMMYFUNCTION("""COMPUTED_VALUE"""),"20190425GAWYS")</f>
        <v>20190425GAWYS</v>
      </c>
      <c r="B693" s="5" t="str">
        <f ca="1">IFERROR(__xludf.DUMMYFUNCTION("""COMPUTED_VALUE"""),"Minor Injuries")</f>
        <v>Minor Injuries</v>
      </c>
      <c r="C693" s="5"/>
      <c r="D693" s="5" t="str">
        <f ca="1">IFERROR(__xludf.DUMMYFUNCTION("""COMPUTED_VALUE"""),"Student")</f>
        <v>Student</v>
      </c>
      <c r="E693" s="5" t="str">
        <f ca="1">IFERROR(__xludf.DUMMYFUNCTION("""COMPUTED_VALUE"""),"Child")</f>
        <v>Child</v>
      </c>
      <c r="F693" s="5"/>
    </row>
    <row r="694" spans="1:6">
      <c r="A694" s="5" t="str">
        <f ca="1">IFERROR(__xludf.DUMMYFUNCTION("""COMPUTED_VALUE"""),"20190425GAWYS")</f>
        <v>20190425GAWYS</v>
      </c>
      <c r="B694" s="5" t="str">
        <f ca="1">IFERROR(__xludf.DUMMYFUNCTION("""COMPUTED_VALUE"""),"Minor Injuries")</f>
        <v>Minor Injuries</v>
      </c>
      <c r="C694" s="5"/>
      <c r="D694" s="5" t="str">
        <f ca="1">IFERROR(__xludf.DUMMYFUNCTION("""COMPUTED_VALUE"""),"Student")</f>
        <v>Student</v>
      </c>
      <c r="E694" s="5" t="str">
        <f ca="1">IFERROR(__xludf.DUMMYFUNCTION("""COMPUTED_VALUE"""),"Child")</f>
        <v>Child</v>
      </c>
      <c r="F694" s="5"/>
    </row>
    <row r="695" spans="1:6">
      <c r="A695" s="5" t="str">
        <f ca="1">IFERROR(__xludf.DUMMYFUNCTION("""COMPUTED_VALUE"""),"20190425GAWYS")</f>
        <v>20190425GAWYS</v>
      </c>
      <c r="B695" s="5" t="str">
        <f ca="1">IFERROR(__xludf.DUMMYFUNCTION("""COMPUTED_VALUE"""),"Minor Injuries")</f>
        <v>Minor Injuries</v>
      </c>
      <c r="C695" s="5"/>
      <c r="D695" s="5" t="str">
        <f ca="1">IFERROR(__xludf.DUMMYFUNCTION("""COMPUTED_VALUE"""),"Student")</f>
        <v>Student</v>
      </c>
      <c r="E695" s="5" t="str">
        <f ca="1">IFERROR(__xludf.DUMMYFUNCTION("""COMPUTED_VALUE"""),"Child")</f>
        <v>Child</v>
      </c>
      <c r="F695" s="5"/>
    </row>
    <row r="696" spans="1:6">
      <c r="A696" s="5" t="str">
        <f ca="1">IFERROR(__xludf.DUMMYFUNCTION("""COMPUTED_VALUE"""),"20190425GAWYS")</f>
        <v>20190425GAWYS</v>
      </c>
      <c r="B696" s="5" t="str">
        <f ca="1">IFERROR(__xludf.DUMMYFUNCTION("""COMPUTED_VALUE"""),"Minor Injuries")</f>
        <v>Minor Injuries</v>
      </c>
      <c r="C696" s="5"/>
      <c r="D696" s="5" t="str">
        <f ca="1">IFERROR(__xludf.DUMMYFUNCTION("""COMPUTED_VALUE"""),"Student")</f>
        <v>Student</v>
      </c>
      <c r="E696" s="5" t="str">
        <f ca="1">IFERROR(__xludf.DUMMYFUNCTION("""COMPUTED_VALUE"""),"Child")</f>
        <v>Child</v>
      </c>
      <c r="F696" s="5"/>
    </row>
    <row r="697" spans="1:6">
      <c r="A697" s="5" t="str">
        <f ca="1">IFERROR(__xludf.DUMMYFUNCTION("""COMPUTED_VALUE"""),"20190425GAWYS")</f>
        <v>20190425GAWYS</v>
      </c>
      <c r="B697" s="5" t="str">
        <f ca="1">IFERROR(__xludf.DUMMYFUNCTION("""COMPUTED_VALUE"""),"Minor Injuries")</f>
        <v>Minor Injuries</v>
      </c>
      <c r="C697" s="5"/>
      <c r="D697" s="5" t="str">
        <f ca="1">IFERROR(__xludf.DUMMYFUNCTION("""COMPUTED_VALUE"""),"Student")</f>
        <v>Student</v>
      </c>
      <c r="E697" s="5" t="str">
        <f ca="1">IFERROR(__xludf.DUMMYFUNCTION("""COMPUTED_VALUE"""),"Child")</f>
        <v>Child</v>
      </c>
      <c r="F697" s="5"/>
    </row>
    <row r="698" spans="1:6">
      <c r="A698" s="5" t="str">
        <f ca="1">IFERROR(__xludf.DUMMYFUNCTION("""COMPUTED_VALUE"""),"20190424ARCOC")</f>
        <v>20190424ARCOC</v>
      </c>
      <c r="B698" s="5" t="str">
        <f ca="1">IFERROR(__xludf.DUMMYFUNCTION("""COMPUTED_VALUE"""),"None")</f>
        <v>None</v>
      </c>
      <c r="C698" s="5" t="str">
        <f ca="1">IFERROR(__xludf.DUMMYFUNCTION("""COMPUTED_VALUE"""),"Male")</f>
        <v>Male</v>
      </c>
      <c r="D698" s="5" t="str">
        <f ca="1">IFERROR(__xludf.DUMMYFUNCTION("""COMPUTED_VALUE"""),"Student")</f>
        <v>Student</v>
      </c>
      <c r="E698" s="5">
        <f ca="1">IFERROR(__xludf.DUMMYFUNCTION("""COMPUTED_VALUE"""),14)</f>
        <v>14</v>
      </c>
      <c r="F698" s="5"/>
    </row>
    <row r="699" spans="1:6">
      <c r="A699" s="5" t="str">
        <f ca="1">IFERROR(__xludf.DUMMYFUNCTION("""COMPUTED_VALUE"""),"20190417ILWAL")</f>
        <v>20190417ILWAL</v>
      </c>
      <c r="B699" s="5" t="str">
        <f ca="1">IFERROR(__xludf.DUMMYFUNCTION("""COMPUTED_VALUE"""),"None")</f>
        <v>None</v>
      </c>
      <c r="C699" s="5" t="str">
        <f ca="1">IFERROR(__xludf.DUMMYFUNCTION("""COMPUTED_VALUE"""),"Male")</f>
        <v>Male</v>
      </c>
      <c r="D699" s="5" t="str">
        <f ca="1">IFERROR(__xludf.DUMMYFUNCTION("""COMPUTED_VALUE"""),"Student")</f>
        <v>Student</v>
      </c>
      <c r="E699" s="5">
        <f ca="1">IFERROR(__xludf.DUMMYFUNCTION("""COMPUTED_VALUE"""),12)</f>
        <v>12</v>
      </c>
      <c r="F699" s="5"/>
    </row>
    <row r="700" spans="1:6">
      <c r="A700" s="5" t="str">
        <f ca="1">IFERROR(__xludf.DUMMYFUNCTION("""COMPUTED_VALUE"""),"20190410TXROH")</f>
        <v>20190410TXROH</v>
      </c>
      <c r="B700" s="5" t="str">
        <f ca="1">IFERROR(__xludf.DUMMYFUNCTION("""COMPUTED_VALUE"""),"Wounded")</f>
        <v>Wounded</v>
      </c>
      <c r="C700" s="5" t="str">
        <f ca="1">IFERROR(__xludf.DUMMYFUNCTION("""COMPUTED_VALUE"""),"Male")</f>
        <v>Male</v>
      </c>
      <c r="D700" s="5" t="str">
        <f ca="1">IFERROR(__xludf.DUMMYFUNCTION("""COMPUTED_VALUE"""),"Student")</f>
        <v>Student</v>
      </c>
      <c r="E700" s="5">
        <f ca="1">IFERROR(__xludf.DUMMYFUNCTION("""COMPUTED_VALUE"""),15)</f>
        <v>15</v>
      </c>
      <c r="F700" s="5"/>
    </row>
    <row r="701" spans="1:6">
      <c r="A701" s="5" t="str">
        <f ca="1">IFERROR(__xludf.DUMMYFUNCTION("""COMPUTED_VALUE"""),"20190407MAHOL")</f>
        <v>20190407MAHOL</v>
      </c>
      <c r="B701" s="5" t="str">
        <f ca="1">IFERROR(__xludf.DUMMYFUNCTION("""COMPUTED_VALUE"""),"None")</f>
        <v>None</v>
      </c>
      <c r="C701" s="5"/>
      <c r="D701" s="5"/>
      <c r="E701" s="5"/>
      <c r="F701" s="5"/>
    </row>
    <row r="702" spans="1:6">
      <c r="A702" s="5" t="str">
        <f ca="1">IFERROR(__xludf.DUMMYFUNCTION("""COMPUTED_VALUE"""),"20190405WISTM")</f>
        <v>20190405WISTM</v>
      </c>
      <c r="B702" s="5" t="str">
        <f ca="1">IFERROR(__xludf.DUMMYFUNCTION("""COMPUTED_VALUE"""),"Wounded")</f>
        <v>Wounded</v>
      </c>
      <c r="C702" s="5"/>
      <c r="D702" s="5" t="str">
        <f ca="1">IFERROR(__xludf.DUMMYFUNCTION("""COMPUTED_VALUE"""),"Student")</f>
        <v>Student</v>
      </c>
      <c r="E702" s="5">
        <f ca="1">IFERROR(__xludf.DUMMYFUNCTION("""COMPUTED_VALUE"""),10)</f>
        <v>10</v>
      </c>
      <c r="F702" s="5"/>
    </row>
    <row r="703" spans="1:6">
      <c r="A703" s="5" t="str">
        <f ca="1">IFERROR(__xludf.DUMMYFUNCTION("""COMPUTED_VALUE"""),"20190403FLSAJ")</f>
        <v>20190403FLSAJ</v>
      </c>
      <c r="B703" s="5" t="str">
        <f ca="1">IFERROR(__xludf.DUMMYFUNCTION("""COMPUTED_VALUE"""),"None")</f>
        <v>None</v>
      </c>
      <c r="C703" s="5"/>
      <c r="D703" s="5"/>
      <c r="E703" s="5"/>
      <c r="F703" s="5"/>
    </row>
    <row r="704" spans="1:6">
      <c r="A704" s="5" t="str">
        <f ca="1">IFERROR(__xludf.DUMMYFUNCTION("""COMPUTED_VALUE"""),"20190403COAUA")</f>
        <v>20190403COAUA</v>
      </c>
      <c r="B704" s="5" t="str">
        <f ca="1">IFERROR(__xludf.DUMMYFUNCTION("""COMPUTED_VALUE"""),"None")</f>
        <v>None</v>
      </c>
      <c r="C704" s="5"/>
      <c r="D704" s="5"/>
      <c r="E704" s="5"/>
      <c r="F704" s="5"/>
    </row>
    <row r="705" spans="1:6">
      <c r="A705" s="5" t="str">
        <f ca="1">IFERROR(__xludf.DUMMYFUNCTION("""COMPUTED_VALUE"""),"20190401ARPRP")</f>
        <v>20190401ARPRP</v>
      </c>
      <c r="B705" s="5" t="str">
        <f ca="1">IFERROR(__xludf.DUMMYFUNCTION("""COMPUTED_VALUE"""),"Wounded")</f>
        <v>Wounded</v>
      </c>
      <c r="C705" s="5" t="str">
        <f ca="1">IFERROR(__xludf.DUMMYFUNCTION("""COMPUTED_VALUE"""),"Male")</f>
        <v>Male</v>
      </c>
      <c r="D705" s="5" t="str">
        <f ca="1">IFERROR(__xludf.DUMMYFUNCTION("""COMPUTED_VALUE"""),"Student")</f>
        <v>Student</v>
      </c>
      <c r="E705" s="5">
        <f ca="1">IFERROR(__xludf.DUMMYFUNCTION("""COMPUTED_VALUE"""),14)</f>
        <v>14</v>
      </c>
      <c r="F705" s="5"/>
    </row>
    <row r="706" spans="1:6">
      <c r="A706" s="5" t="str">
        <f ca="1">IFERROR(__xludf.DUMMYFUNCTION("""COMPUTED_VALUE"""),"20190327MSSVH")</f>
        <v>20190327MSSVH</v>
      </c>
      <c r="B706" s="5" t="str">
        <f ca="1">IFERROR(__xludf.DUMMYFUNCTION("""COMPUTED_VALUE"""),"Wounded")</f>
        <v>Wounded</v>
      </c>
      <c r="C706" s="5" t="str">
        <f ca="1">IFERROR(__xludf.DUMMYFUNCTION("""COMPUTED_VALUE"""),"Male")</f>
        <v>Male</v>
      </c>
      <c r="D706" s="5" t="str">
        <f ca="1">IFERROR(__xludf.DUMMYFUNCTION("""COMPUTED_VALUE"""),"Student")</f>
        <v>Student</v>
      </c>
      <c r="E706" s="5">
        <f ca="1">IFERROR(__xludf.DUMMYFUNCTION("""COMPUTED_VALUE"""),10)</f>
        <v>10</v>
      </c>
      <c r="F706" s="5" t="str">
        <f ca="1">IFERROR(__xludf.DUMMYFUNCTION("""COMPUTED_VALUE"""),"Black")</f>
        <v>Black</v>
      </c>
    </row>
    <row r="707" spans="1:6">
      <c r="A707" s="5" t="str">
        <f ca="1">IFERROR(__xludf.DUMMYFUNCTION("""COMPUTED_VALUE"""),"20190327FLMAJ")</f>
        <v>20190327FLMAJ</v>
      </c>
      <c r="B707" s="5" t="str">
        <f ca="1">IFERROR(__xludf.DUMMYFUNCTION("""COMPUTED_VALUE"""),"Wounded")</f>
        <v>Wounded</v>
      </c>
      <c r="C707" s="5" t="str">
        <f ca="1">IFERROR(__xludf.DUMMYFUNCTION("""COMPUTED_VALUE"""),"Male")</f>
        <v>Male</v>
      </c>
      <c r="D707" s="5" t="str">
        <f ca="1">IFERROR(__xludf.DUMMYFUNCTION("""COMPUTED_VALUE"""),"Student")</f>
        <v>Student</v>
      </c>
      <c r="E707" s="5">
        <f ca="1">IFERROR(__xludf.DUMMYFUNCTION("""COMPUTED_VALUE"""),12)</f>
        <v>12</v>
      </c>
      <c r="F707" s="5"/>
    </row>
    <row r="708" spans="1:6">
      <c r="A708" s="5" t="str">
        <f ca="1">IFERROR(__xludf.DUMMYFUNCTION("""COMPUTED_VALUE"""),"20190322ALBLB")</f>
        <v>20190322ALBLB</v>
      </c>
      <c r="B708" s="5" t="str">
        <f ca="1">IFERROR(__xludf.DUMMYFUNCTION("""COMPUTED_VALUE"""),"Minor Injuries")</f>
        <v>Minor Injuries</v>
      </c>
      <c r="C708" s="5" t="str">
        <f ca="1">IFERROR(__xludf.DUMMYFUNCTION("""COMPUTED_VALUE"""),"Unknown")</f>
        <v>Unknown</v>
      </c>
      <c r="D708" s="5" t="str">
        <f ca="1">IFERROR(__xludf.DUMMYFUNCTION("""COMPUTED_VALUE"""),"Student")</f>
        <v>Student</v>
      </c>
      <c r="E708" s="5" t="str">
        <f ca="1">IFERROR(__xludf.DUMMYFUNCTION("""COMPUTED_VALUE"""),"Child")</f>
        <v>Child</v>
      </c>
      <c r="F708" s="5"/>
    </row>
    <row r="709" spans="1:6">
      <c r="A709" s="5" t="str">
        <f ca="1">IFERROR(__xludf.DUMMYFUNCTION("""COMPUTED_VALUE"""),"20190313FLLAO")</f>
        <v>20190313FLLAO</v>
      </c>
      <c r="B709" s="5" t="str">
        <f ca="1">IFERROR(__xludf.DUMMYFUNCTION("""COMPUTED_VALUE"""),"None")</f>
        <v>None</v>
      </c>
      <c r="C709" s="5" t="str">
        <f ca="1">IFERROR(__xludf.DUMMYFUNCTION("""COMPUTED_VALUE"""),"Female")</f>
        <v>Female</v>
      </c>
      <c r="D709" s="5" t="str">
        <f ca="1">IFERROR(__xludf.DUMMYFUNCTION("""COMPUTED_VALUE"""),"Student")</f>
        <v>Student</v>
      </c>
      <c r="E709" s="5">
        <f ca="1">IFERROR(__xludf.DUMMYFUNCTION("""COMPUTED_VALUE"""),17)</f>
        <v>17</v>
      </c>
      <c r="F709" s="5"/>
    </row>
    <row r="710" spans="1:6">
      <c r="A710" s="5" t="str">
        <f ca="1">IFERROR(__xludf.DUMMYFUNCTION("""COMPUTED_VALUE"""),"20190301KSHIM")</f>
        <v>20190301KSHIM</v>
      </c>
      <c r="B710" s="5" t="str">
        <f ca="1">IFERROR(__xludf.DUMMYFUNCTION("""COMPUTED_VALUE"""),"None")</f>
        <v>None</v>
      </c>
      <c r="C710" s="5"/>
      <c r="D710" s="5"/>
      <c r="E710" s="5"/>
      <c r="F710" s="5"/>
    </row>
    <row r="711" spans="1:6">
      <c r="A711" s="5" t="str">
        <f ca="1">IFERROR(__xludf.DUMMYFUNCTION("""COMPUTED_VALUE"""),"20190226ALROM")</f>
        <v>20190226ALROM</v>
      </c>
      <c r="B711" s="5" t="str">
        <f ca="1">IFERROR(__xludf.DUMMYFUNCTION("""COMPUTED_VALUE"""),"Wounded")</f>
        <v>Wounded</v>
      </c>
      <c r="C711" s="5" t="str">
        <f ca="1">IFERROR(__xludf.DUMMYFUNCTION("""COMPUTED_VALUE"""),"Male")</f>
        <v>Male</v>
      </c>
      <c r="D711" s="5" t="str">
        <f ca="1">IFERROR(__xludf.DUMMYFUNCTION("""COMPUTED_VALUE"""),"Student")</f>
        <v>Student</v>
      </c>
      <c r="E711" s="5">
        <f ca="1">IFERROR(__xludf.DUMMYFUNCTION("""COMPUTED_VALUE"""),17)</f>
        <v>17</v>
      </c>
      <c r="F711" s="5"/>
    </row>
    <row r="712" spans="1:6">
      <c r="A712" s="5" t="str">
        <f ca="1">IFERROR(__xludf.DUMMYFUNCTION("""COMPUTED_VALUE"""),"20190217COEAA")</f>
        <v>20190217COEAA</v>
      </c>
      <c r="B712" s="5" t="str">
        <f ca="1">IFERROR(__xludf.DUMMYFUNCTION("""COMPUTED_VALUE"""),"Fatal")</f>
        <v>Fatal</v>
      </c>
      <c r="C712" s="5" t="str">
        <f ca="1">IFERROR(__xludf.DUMMYFUNCTION("""COMPUTED_VALUE"""),"Male")</f>
        <v>Male</v>
      </c>
      <c r="D712" s="5" t="str">
        <f ca="1">IFERROR(__xludf.DUMMYFUNCTION("""COMPUTED_VALUE"""),"Principal/Vice-Principal")</f>
        <v>Principal/Vice-Principal</v>
      </c>
      <c r="E712" s="5">
        <f ca="1">IFERROR(__xludf.DUMMYFUNCTION("""COMPUTED_VALUE"""),46)</f>
        <v>46</v>
      </c>
      <c r="F712" s="5" t="str">
        <f ca="1">IFERROR(__xludf.DUMMYFUNCTION("""COMPUTED_VALUE"""),"Black")</f>
        <v>Black</v>
      </c>
    </row>
    <row r="713" spans="1:6">
      <c r="A713" s="5" t="str">
        <f ca="1">IFERROR(__xludf.DUMMYFUNCTION("""COMPUTED_VALUE"""),"20190214NMV.R")</f>
        <v>20190214NMV.R</v>
      </c>
      <c r="B713" s="5" t="str">
        <f ca="1">IFERROR(__xludf.DUMMYFUNCTION("""COMPUTED_VALUE"""),"None")</f>
        <v>None</v>
      </c>
      <c r="C713" s="5"/>
      <c r="D713" s="5"/>
      <c r="E713" s="5"/>
      <c r="F713" s="5"/>
    </row>
    <row r="714" spans="1:6">
      <c r="A714" s="5" t="str">
        <f ca="1">IFERROR(__xludf.DUMMYFUNCTION("""COMPUTED_VALUE"""),"20190212MOCEK")</f>
        <v>20190212MOCEK</v>
      </c>
      <c r="B714" s="5" t="str">
        <f ca="1">IFERROR(__xludf.DUMMYFUNCTION("""COMPUTED_VALUE"""),"Fatal")</f>
        <v>Fatal</v>
      </c>
      <c r="C714" s="5" t="str">
        <f ca="1">IFERROR(__xludf.DUMMYFUNCTION("""COMPUTED_VALUE"""),"Female")</f>
        <v>Female</v>
      </c>
      <c r="D714" s="5" t="str">
        <f ca="1">IFERROR(__xludf.DUMMYFUNCTION("""COMPUTED_VALUE"""),"Student")</f>
        <v>Student</v>
      </c>
      <c r="E714" s="5">
        <f ca="1">IFERROR(__xludf.DUMMYFUNCTION("""COMPUTED_VALUE"""),15)</f>
        <v>15</v>
      </c>
      <c r="F714" s="5" t="str">
        <f ca="1">IFERROR(__xludf.DUMMYFUNCTION("""COMPUTED_VALUE"""),"Black")</f>
        <v>Black</v>
      </c>
    </row>
    <row r="715" spans="1:6">
      <c r="A715" s="5" t="str">
        <f ca="1">IFERROR(__xludf.DUMMYFUNCTION("""COMPUTED_VALUE"""),"20190208MDFRB")</f>
        <v>20190208MDFRB</v>
      </c>
      <c r="B715" s="5" t="str">
        <f ca="1">IFERROR(__xludf.DUMMYFUNCTION("""COMPUTED_VALUE"""),"Wounded")</f>
        <v>Wounded</v>
      </c>
      <c r="C715" s="5" t="str">
        <f ca="1">IFERROR(__xludf.DUMMYFUNCTION("""COMPUTED_VALUE"""),"Male")</f>
        <v>Male</v>
      </c>
      <c r="D715" s="5" t="str">
        <f ca="1">IFERROR(__xludf.DUMMYFUNCTION("""COMPUTED_VALUE"""),"Other Staff")</f>
        <v>Other Staff</v>
      </c>
      <c r="E715" s="5">
        <f ca="1">IFERROR(__xludf.DUMMYFUNCTION("""COMPUTED_VALUE"""),56)</f>
        <v>56</v>
      </c>
      <c r="F715" s="5"/>
    </row>
    <row r="716" spans="1:6">
      <c r="A716" s="5" t="str">
        <f ca="1">IFERROR(__xludf.DUMMYFUNCTION("""COMPUTED_VALUE"""),"20190205MNMIM")</f>
        <v>20190205MNMIM</v>
      </c>
      <c r="B716" s="5" t="str">
        <f ca="1">IFERROR(__xludf.DUMMYFUNCTION("""COMPUTED_VALUE"""),"Wounded")</f>
        <v>Wounded</v>
      </c>
      <c r="C716" s="5" t="str">
        <f ca="1">IFERROR(__xludf.DUMMYFUNCTION("""COMPUTED_VALUE"""),"Male")</f>
        <v>Male</v>
      </c>
      <c r="D716" s="5" t="str">
        <f ca="1">IFERROR(__xludf.DUMMYFUNCTION("""COMPUTED_VALUE"""),"Bus Driver")</f>
        <v>Bus Driver</v>
      </c>
      <c r="E716" s="5"/>
      <c r="F716" s="5"/>
    </row>
    <row r="717" spans="1:6">
      <c r="A717" s="5" t="str">
        <f ca="1">IFERROR(__xludf.DUMMYFUNCTION("""COMPUTED_VALUE"""),"20190131TXATA")</f>
        <v>20190131TXATA</v>
      </c>
      <c r="B717" s="5" t="str">
        <f ca="1">IFERROR(__xludf.DUMMYFUNCTION("""COMPUTED_VALUE"""),"Wounded")</f>
        <v>Wounded</v>
      </c>
      <c r="C717" s="5" t="str">
        <f ca="1">IFERROR(__xludf.DUMMYFUNCTION("""COMPUTED_VALUE"""),"Male")</f>
        <v>Male</v>
      </c>
      <c r="D717" s="5" t="str">
        <f ca="1">IFERROR(__xludf.DUMMYFUNCTION("""COMPUTED_VALUE"""),"Student")</f>
        <v>Student</v>
      </c>
      <c r="E717" s="5">
        <f ca="1">IFERROR(__xludf.DUMMYFUNCTION("""COMPUTED_VALUE"""),16)</f>
        <v>16</v>
      </c>
      <c r="F717" s="5"/>
    </row>
    <row r="718" spans="1:6">
      <c r="A718" s="5" t="str">
        <f ca="1">IFERROR(__xludf.DUMMYFUNCTION("""COMPUTED_VALUE"""),"20190131TNMAM")</f>
        <v>20190131TNMAM</v>
      </c>
      <c r="B718" s="5" t="str">
        <f ca="1">IFERROR(__xludf.DUMMYFUNCTION("""COMPUTED_VALUE"""),"Wounded")</f>
        <v>Wounded</v>
      </c>
      <c r="C718" s="5" t="str">
        <f ca="1">IFERROR(__xludf.DUMMYFUNCTION("""COMPUTED_VALUE"""),"Male")</f>
        <v>Male</v>
      </c>
      <c r="D718" s="5" t="str">
        <f ca="1">IFERROR(__xludf.DUMMYFUNCTION("""COMPUTED_VALUE"""),"Student")</f>
        <v>Student</v>
      </c>
      <c r="E718" s="5">
        <f ca="1">IFERROR(__xludf.DUMMYFUNCTION("""COMPUTED_VALUE"""),14)</f>
        <v>14</v>
      </c>
      <c r="F718" s="5"/>
    </row>
    <row r="719" spans="1:6">
      <c r="A719" s="5" t="str">
        <f ca="1">IFERROR(__xludf.DUMMYFUNCTION("""COMPUTED_VALUE"""),"20190130GAMIL")</f>
        <v>20190130GAMIL</v>
      </c>
      <c r="B719" s="5" t="str">
        <f ca="1">IFERROR(__xludf.DUMMYFUNCTION("""COMPUTED_VALUE"""),"Wounded")</f>
        <v>Wounded</v>
      </c>
      <c r="C719" s="5" t="str">
        <f ca="1">IFERROR(__xludf.DUMMYFUNCTION("""COMPUTED_VALUE"""),"Male")</f>
        <v>Male</v>
      </c>
      <c r="D719" s="5" t="str">
        <f ca="1">IFERROR(__xludf.DUMMYFUNCTION("""COMPUTED_VALUE"""),"No Relation")</f>
        <v>No Relation</v>
      </c>
      <c r="E719" s="5" t="str">
        <f ca="1">IFERROR(__xludf.DUMMYFUNCTION("""COMPUTED_VALUE"""),"Adult")</f>
        <v>Adult</v>
      </c>
      <c r="F719" s="5"/>
    </row>
    <row r="720" spans="1:6">
      <c r="A720" s="5" t="str">
        <f ca="1">IFERROR(__xludf.DUMMYFUNCTION("""COMPUTED_VALUE"""),"20190125TNMAM")</f>
        <v>20190125TNMAM</v>
      </c>
      <c r="B720" s="5" t="str">
        <f ca="1">IFERROR(__xludf.DUMMYFUNCTION("""COMPUTED_VALUE"""),"None")</f>
        <v>None</v>
      </c>
      <c r="C720" s="5"/>
      <c r="D720" s="5"/>
      <c r="E720" s="5"/>
      <c r="F720" s="5"/>
    </row>
    <row r="721" spans="1:6">
      <c r="A721" s="5" t="str">
        <f ca="1">IFERROR(__xludf.DUMMYFUNCTION("""COMPUTED_VALUE"""),"20190125ALDAM")</f>
        <v>20190125ALDAM</v>
      </c>
      <c r="B721" s="5" t="str">
        <f ca="1">IFERROR(__xludf.DUMMYFUNCTION("""COMPUTED_VALUE"""),"Wounded")</f>
        <v>Wounded</v>
      </c>
      <c r="C721" s="5" t="str">
        <f ca="1">IFERROR(__xludf.DUMMYFUNCTION("""COMPUTED_VALUE"""),"Male")</f>
        <v>Male</v>
      </c>
      <c r="D721" s="5" t="str">
        <f ca="1">IFERROR(__xludf.DUMMYFUNCTION("""COMPUTED_VALUE"""),"Student")</f>
        <v>Student</v>
      </c>
      <c r="E721" s="5">
        <f ca="1">IFERROR(__xludf.DUMMYFUNCTION("""COMPUTED_VALUE"""),17)</f>
        <v>17</v>
      </c>
      <c r="F721" s="5"/>
    </row>
    <row r="722" spans="1:6">
      <c r="A722" s="5" t="str">
        <f ca="1">IFERROR(__xludf.DUMMYFUNCTION("""COMPUTED_VALUE"""),"20190125ALDAM")</f>
        <v>20190125ALDAM</v>
      </c>
      <c r="B722" s="5" t="str">
        <f ca="1">IFERROR(__xludf.DUMMYFUNCTION("""COMPUTED_VALUE"""),"Wounded")</f>
        <v>Wounded</v>
      </c>
      <c r="C722" s="5" t="str">
        <f ca="1">IFERROR(__xludf.DUMMYFUNCTION("""COMPUTED_VALUE"""),"Male")</f>
        <v>Male</v>
      </c>
      <c r="D722" s="5" t="str">
        <f ca="1">IFERROR(__xludf.DUMMYFUNCTION("""COMPUTED_VALUE"""),"Nonstudent Using Athletic Facilities/Attending Game")</f>
        <v>Nonstudent Using Athletic Facilities/Attending Game</v>
      </c>
      <c r="E722" s="5">
        <f ca="1">IFERROR(__xludf.DUMMYFUNCTION("""COMPUTED_VALUE"""),20)</f>
        <v>20</v>
      </c>
      <c r="F722" s="5"/>
    </row>
    <row r="723" spans="1:6">
      <c r="A723" s="5" t="str">
        <f ca="1">IFERROR(__xludf.DUMMYFUNCTION("""COMPUTED_VALUE"""),"20190123LASOS")</f>
        <v>20190123LASOS</v>
      </c>
      <c r="B723" s="5" t="str">
        <f ca="1">IFERROR(__xludf.DUMMYFUNCTION("""COMPUTED_VALUE"""),"Wounded")</f>
        <v>Wounded</v>
      </c>
      <c r="C723" s="5" t="str">
        <f ca="1">IFERROR(__xludf.DUMMYFUNCTION("""COMPUTED_VALUE"""),"Male")</f>
        <v>Male</v>
      </c>
      <c r="D723" s="5" t="str">
        <f ca="1">IFERROR(__xludf.DUMMYFUNCTION("""COMPUTED_VALUE"""),"No Relation")</f>
        <v>No Relation</v>
      </c>
      <c r="E723" s="5" t="str">
        <f ca="1">IFERROR(__xludf.DUMMYFUNCTION("""COMPUTED_VALUE"""),"Adult")</f>
        <v>Adult</v>
      </c>
      <c r="F723" s="5"/>
    </row>
    <row r="724" spans="1:6">
      <c r="A724" s="5" t="str">
        <f ca="1">IFERROR(__xludf.DUMMYFUNCTION("""COMPUTED_VALUE"""),"20190119KSLAO")</f>
        <v>20190119KSLAO</v>
      </c>
      <c r="B724" s="5" t="str">
        <f ca="1">IFERROR(__xludf.DUMMYFUNCTION("""COMPUTED_VALUE"""),"Wounded")</f>
        <v>Wounded</v>
      </c>
      <c r="C724" s="5" t="str">
        <f ca="1">IFERROR(__xludf.DUMMYFUNCTION("""COMPUTED_VALUE"""),"Male")</f>
        <v>Male</v>
      </c>
      <c r="D724" s="5" t="str">
        <f ca="1">IFERROR(__xludf.DUMMYFUNCTION("""COMPUTED_VALUE"""),"No Relation")</f>
        <v>No Relation</v>
      </c>
      <c r="E724" s="5">
        <f ca="1">IFERROR(__xludf.DUMMYFUNCTION("""COMPUTED_VALUE"""),16)</f>
        <v>16</v>
      </c>
      <c r="F724" s="5"/>
    </row>
    <row r="725" spans="1:6">
      <c r="A725" s="5" t="str">
        <f ca="1">IFERROR(__xludf.DUMMYFUNCTION("""COMPUTED_VALUE"""),"20190119KSLAO")</f>
        <v>20190119KSLAO</v>
      </c>
      <c r="B725" s="5" t="str">
        <f ca="1">IFERROR(__xludf.DUMMYFUNCTION("""COMPUTED_VALUE"""),"Wounded")</f>
        <v>Wounded</v>
      </c>
      <c r="C725" s="5" t="str">
        <f ca="1">IFERROR(__xludf.DUMMYFUNCTION("""COMPUTED_VALUE"""),"Male")</f>
        <v>Male</v>
      </c>
      <c r="D725" s="5" t="str">
        <f ca="1">IFERROR(__xludf.DUMMYFUNCTION("""COMPUTED_VALUE"""),"No Relation")</f>
        <v>No Relation</v>
      </c>
      <c r="E725" s="5">
        <f ca="1">IFERROR(__xludf.DUMMYFUNCTION("""COMPUTED_VALUE"""),15)</f>
        <v>15</v>
      </c>
      <c r="F725" s="5"/>
    </row>
    <row r="726" spans="1:6">
      <c r="A726" s="5" t="str">
        <f ca="1">IFERROR(__xludf.DUMMYFUNCTION("""COMPUTED_VALUE"""),"20190118NCSHD")</f>
        <v>20190118NCSHD</v>
      </c>
      <c r="B726" s="5" t="str">
        <f ca="1">IFERROR(__xludf.DUMMYFUNCTION("""COMPUTED_VALUE"""),"Wounded")</f>
        <v>Wounded</v>
      </c>
      <c r="C726" s="5"/>
      <c r="D726" s="5" t="str">
        <f ca="1">IFERROR(__xludf.DUMMYFUNCTION("""COMPUTED_VALUE"""),"Bus Driver")</f>
        <v>Bus Driver</v>
      </c>
      <c r="E726" s="5" t="str">
        <f ca="1">IFERROR(__xludf.DUMMYFUNCTION("""COMPUTED_VALUE"""),"Adult")</f>
        <v>Adult</v>
      </c>
      <c r="F726" s="5"/>
    </row>
    <row r="727" spans="1:6">
      <c r="A727" s="5" t="str">
        <f ca="1">IFERROR(__xludf.DUMMYFUNCTION("""COMPUTED_VALUE"""),"20190118MOHAS")</f>
        <v>20190118MOHAS</v>
      </c>
      <c r="B727" s="5" t="str">
        <f ca="1">IFERROR(__xludf.DUMMYFUNCTION("""COMPUTED_VALUE"""),"None")</f>
        <v>None</v>
      </c>
      <c r="C727" s="5"/>
      <c r="D727" s="5"/>
      <c r="E727" s="5"/>
      <c r="F727" s="5"/>
    </row>
    <row r="728" spans="1:6">
      <c r="A728" s="5" t="str">
        <f ca="1">IFERROR(__xludf.DUMMYFUNCTION("""COMPUTED_VALUE"""),"20190118ALCET")</f>
        <v>20190118ALCET</v>
      </c>
      <c r="B728" s="5" t="str">
        <f ca="1">IFERROR(__xludf.DUMMYFUNCTION("""COMPUTED_VALUE"""),"None")</f>
        <v>None</v>
      </c>
      <c r="C728" s="5" t="str">
        <f ca="1">IFERROR(__xludf.DUMMYFUNCTION("""COMPUTED_VALUE"""),"Female")</f>
        <v>Female</v>
      </c>
      <c r="D728" s="5" t="str">
        <f ca="1">IFERROR(__xludf.DUMMYFUNCTION("""COMPUTED_VALUE"""),"Intimate Relationship")</f>
        <v>Intimate Relationship</v>
      </c>
      <c r="E728" s="5" t="str">
        <f ca="1">IFERROR(__xludf.DUMMYFUNCTION("""COMPUTED_VALUE"""),"Adult")</f>
        <v>Adult</v>
      </c>
      <c r="F728" s="5"/>
    </row>
    <row r="729" spans="1:6">
      <c r="A729" s="5" t="str">
        <f ca="1">IFERROR(__xludf.DUMMYFUNCTION("""COMPUTED_VALUE"""),"20190111ORCAE")</f>
        <v>20190111ORCAE</v>
      </c>
      <c r="B729" s="5" t="str">
        <f ca="1">IFERROR(__xludf.DUMMYFUNCTION("""COMPUTED_VALUE"""),"Fatal")</f>
        <v>Fatal</v>
      </c>
      <c r="C729" s="5" t="str">
        <f ca="1">IFERROR(__xludf.DUMMYFUNCTION("""COMPUTED_VALUE"""),"Male")</f>
        <v>Male</v>
      </c>
      <c r="D729" s="5" t="str">
        <f ca="1">IFERROR(__xludf.DUMMYFUNCTION("""COMPUTED_VALUE"""),"Parent")</f>
        <v>Parent</v>
      </c>
      <c r="E729" s="5">
        <f ca="1">IFERROR(__xludf.DUMMYFUNCTION("""COMPUTED_VALUE"""),30)</f>
        <v>30</v>
      </c>
      <c r="F729" s="5"/>
    </row>
    <row r="730" spans="1:6">
      <c r="A730" s="5" t="str">
        <f ca="1">IFERROR(__xludf.DUMMYFUNCTION("""COMPUTED_VALUE"""),"20190107CACEB")</f>
        <v>20190107CACEB</v>
      </c>
      <c r="B730" s="5" t="str">
        <f ca="1">IFERROR(__xludf.DUMMYFUNCTION("""COMPUTED_VALUE"""),"Fatal")</f>
        <v>Fatal</v>
      </c>
      <c r="C730" s="5" t="str">
        <f ca="1">IFERROR(__xludf.DUMMYFUNCTION("""COMPUTED_VALUE"""),"Male")</f>
        <v>Male</v>
      </c>
      <c r="D730" s="5" t="str">
        <f ca="1">IFERROR(__xludf.DUMMYFUNCTION("""COMPUTED_VALUE"""),"No Relation")</f>
        <v>No Relation</v>
      </c>
      <c r="E730" s="5">
        <f ca="1">IFERROR(__xludf.DUMMYFUNCTION("""COMPUTED_VALUE"""),17)</f>
        <v>17</v>
      </c>
      <c r="F730" s="5" t="str">
        <f ca="1">IFERROR(__xludf.DUMMYFUNCTION("""COMPUTED_VALUE"""),"Unknown")</f>
        <v>Unknown</v>
      </c>
    </row>
    <row r="731" spans="1:6">
      <c r="A731" s="5" t="str">
        <f ca="1">IFERROR(__xludf.DUMMYFUNCTION("""COMPUTED_VALUE"""),"20181218DEAIG")</f>
        <v>20181218DEAIG</v>
      </c>
      <c r="B731" s="5" t="str">
        <f ca="1">IFERROR(__xludf.DUMMYFUNCTION("""COMPUTED_VALUE"""),"None")</f>
        <v>None</v>
      </c>
      <c r="C731" s="5"/>
      <c r="D731" s="5"/>
      <c r="E731" s="5"/>
      <c r="F731" s="5"/>
    </row>
    <row r="732" spans="1:6">
      <c r="A732" s="5" t="str">
        <f ca="1">IFERROR(__xludf.DUMMYFUNCTION("""COMPUTED_VALUE"""),"20181214MOWIK")</f>
        <v>20181214MOWIK</v>
      </c>
      <c r="B732" s="5" t="str">
        <f ca="1">IFERROR(__xludf.DUMMYFUNCTION("""COMPUTED_VALUE"""),"None")</f>
        <v>None</v>
      </c>
      <c r="C732" s="5"/>
      <c r="D732" s="5"/>
      <c r="E732" s="5"/>
      <c r="F732" s="5"/>
    </row>
    <row r="733" spans="1:6">
      <c r="A733" s="5" t="str">
        <f ca="1">IFERROR(__xludf.DUMMYFUNCTION("""COMPUTED_VALUE"""),"20181213INDER")</f>
        <v>20181213INDER</v>
      </c>
      <c r="B733" s="5" t="str">
        <f ca="1">IFERROR(__xludf.DUMMYFUNCTION("""COMPUTED_VALUE"""),"None")</f>
        <v>None</v>
      </c>
      <c r="C733" s="5" t="str">
        <f ca="1">IFERROR(__xludf.DUMMYFUNCTION("""COMPUTED_VALUE"""),"Male")</f>
        <v>Male</v>
      </c>
      <c r="D733" s="5" t="str">
        <f ca="1">IFERROR(__xludf.DUMMYFUNCTION("""COMPUTED_VALUE"""),"Student")</f>
        <v>Student</v>
      </c>
      <c r="E733" s="5">
        <f ca="1">IFERROR(__xludf.DUMMYFUNCTION("""COMPUTED_VALUE"""),14)</f>
        <v>14</v>
      </c>
      <c r="F733" s="5"/>
    </row>
    <row r="734" spans="1:6">
      <c r="A734" s="5" t="str">
        <f ca="1">IFERROR(__xludf.DUMMYFUNCTION("""COMPUTED_VALUE"""),"20181211KYCAC")</f>
        <v>20181211KYCAC</v>
      </c>
      <c r="B734" s="5" t="str">
        <f ca="1">IFERROR(__xludf.DUMMYFUNCTION("""COMPUTED_VALUE"""),"Wounded")</f>
        <v>Wounded</v>
      </c>
      <c r="C734" s="5" t="str">
        <f ca="1">IFERROR(__xludf.DUMMYFUNCTION("""COMPUTED_VALUE"""),"Female")</f>
        <v>Female</v>
      </c>
      <c r="D734" s="5" t="str">
        <f ca="1">IFERROR(__xludf.DUMMYFUNCTION("""COMPUTED_VALUE"""),"No Relation")</f>
        <v>No Relation</v>
      </c>
      <c r="E734" s="5">
        <f ca="1">IFERROR(__xludf.DUMMYFUNCTION("""COMPUTED_VALUE"""),15)</f>
        <v>15</v>
      </c>
      <c r="F734" s="5"/>
    </row>
    <row r="735" spans="1:6">
      <c r="A735" s="5" t="str">
        <f ca="1">IFERROR(__xludf.DUMMYFUNCTION("""COMPUTED_VALUE"""),"20181211KYCAC")</f>
        <v>20181211KYCAC</v>
      </c>
      <c r="B735" s="5" t="str">
        <f ca="1">IFERROR(__xludf.DUMMYFUNCTION("""COMPUTED_VALUE"""),"Wounded")</f>
        <v>Wounded</v>
      </c>
      <c r="C735" s="5" t="str">
        <f ca="1">IFERROR(__xludf.DUMMYFUNCTION("""COMPUTED_VALUE"""),"Male")</f>
        <v>Male</v>
      </c>
      <c r="D735" s="5" t="str">
        <f ca="1">IFERROR(__xludf.DUMMYFUNCTION("""COMPUTED_VALUE"""),"No Relation")</f>
        <v>No Relation</v>
      </c>
      <c r="E735" s="5">
        <f ca="1">IFERROR(__xludf.DUMMYFUNCTION("""COMPUTED_VALUE"""),20)</f>
        <v>20</v>
      </c>
      <c r="F735" s="5"/>
    </row>
    <row r="736" spans="1:6">
      <c r="A736" s="5" t="str">
        <f ca="1">IFERROR(__xludf.DUMMYFUNCTION("""COMPUTED_VALUE"""),"20181210NYJEJ")</f>
        <v>20181210NYJEJ</v>
      </c>
      <c r="B736" s="5" t="str">
        <f ca="1">IFERROR(__xludf.DUMMYFUNCTION("""COMPUTED_VALUE"""),"None")</f>
        <v>None</v>
      </c>
      <c r="C736" s="5" t="str">
        <f ca="1">IFERROR(__xludf.DUMMYFUNCTION("""COMPUTED_VALUE"""),"Male")</f>
        <v>Male</v>
      </c>
      <c r="D736" s="5" t="str">
        <f ca="1">IFERROR(__xludf.DUMMYFUNCTION("""COMPUTED_VALUE"""),"Student")</f>
        <v>Student</v>
      </c>
      <c r="E736" s="5">
        <f ca="1">IFERROR(__xludf.DUMMYFUNCTION("""COMPUTED_VALUE"""),17)</f>
        <v>17</v>
      </c>
      <c r="F736" s="5"/>
    </row>
    <row r="737" spans="1:6">
      <c r="A737" s="5" t="str">
        <f ca="1">IFERROR(__xludf.DUMMYFUNCTION("""COMPUTED_VALUE"""),"20181128PASTP")</f>
        <v>20181128PASTP</v>
      </c>
      <c r="B737" s="5" t="str">
        <f ca="1">IFERROR(__xludf.DUMMYFUNCTION("""COMPUTED_VALUE"""),"None")</f>
        <v>None</v>
      </c>
      <c r="C737" s="5"/>
      <c r="D737" s="5"/>
      <c r="E737" s="5"/>
      <c r="F737" s="5"/>
    </row>
    <row r="738" spans="1:6">
      <c r="A738" s="5" t="str">
        <f ca="1">IFERROR(__xludf.DUMMYFUNCTION("""COMPUTED_VALUE"""),"20181124OHAFC")</f>
        <v>20181124OHAFC</v>
      </c>
      <c r="B738" s="5" t="str">
        <f ca="1">IFERROR(__xludf.DUMMYFUNCTION("""COMPUTED_VALUE"""),"Wounded")</f>
        <v>Wounded</v>
      </c>
      <c r="C738" s="5" t="str">
        <f ca="1">IFERROR(__xludf.DUMMYFUNCTION("""COMPUTED_VALUE"""),"Male")</f>
        <v>Male</v>
      </c>
      <c r="D738" s="5" t="str">
        <f ca="1">IFERROR(__xludf.DUMMYFUNCTION("""COMPUTED_VALUE"""),"No Relation")</f>
        <v>No Relation</v>
      </c>
      <c r="E738" s="5">
        <f ca="1">IFERROR(__xludf.DUMMYFUNCTION("""COMPUTED_VALUE"""),20)</f>
        <v>20</v>
      </c>
      <c r="F738" s="5"/>
    </row>
    <row r="739" spans="1:6">
      <c r="A739" s="5" t="str">
        <f ca="1">IFERROR(__xludf.DUMMYFUNCTION("""COMPUTED_VALUE"""),"20181124OHAFC")</f>
        <v>20181124OHAFC</v>
      </c>
      <c r="B739" s="5" t="str">
        <f ca="1">IFERROR(__xludf.DUMMYFUNCTION("""COMPUTED_VALUE"""),"Wounded")</f>
        <v>Wounded</v>
      </c>
      <c r="C739" s="5" t="str">
        <f ca="1">IFERROR(__xludf.DUMMYFUNCTION("""COMPUTED_VALUE"""),"Male")</f>
        <v>Male</v>
      </c>
      <c r="D739" s="5" t="str">
        <f ca="1">IFERROR(__xludf.DUMMYFUNCTION("""COMPUTED_VALUE"""),"No Relation")</f>
        <v>No Relation</v>
      </c>
      <c r="E739" s="5" t="str">
        <f ca="1">IFERROR(__xludf.DUMMYFUNCTION("""COMPUTED_VALUE"""),"Adult")</f>
        <v>Adult</v>
      </c>
      <c r="F739" s="5"/>
    </row>
    <row r="740" spans="1:6">
      <c r="A740" s="5" t="str">
        <f ca="1">IFERROR(__xludf.DUMMYFUNCTION("""COMPUTED_VALUE"""),"20181122WAMOD")</f>
        <v>20181122WAMOD</v>
      </c>
      <c r="B740" s="5" t="str">
        <f ca="1">IFERROR(__xludf.DUMMYFUNCTION("""COMPUTED_VALUE"""),"Wounded")</f>
        <v>Wounded</v>
      </c>
      <c r="C740" s="5" t="str">
        <f ca="1">IFERROR(__xludf.DUMMYFUNCTION("""COMPUTED_VALUE"""),"Male")</f>
        <v>Male</v>
      </c>
      <c r="D740" s="5" t="str">
        <f ca="1">IFERROR(__xludf.DUMMYFUNCTION("""COMPUTED_VALUE"""),"No Relation")</f>
        <v>No Relation</v>
      </c>
      <c r="E740" s="5">
        <f ca="1">IFERROR(__xludf.DUMMYFUNCTION("""COMPUTED_VALUE"""),21)</f>
        <v>21</v>
      </c>
      <c r="F740" s="5"/>
    </row>
    <row r="741" spans="1:6">
      <c r="A741" s="5" t="str">
        <f ca="1">IFERROR(__xludf.DUMMYFUNCTION("""COMPUTED_VALUE"""),"20181122TXSKD")</f>
        <v>20181122TXSKD</v>
      </c>
      <c r="B741" s="5" t="str">
        <f ca="1">IFERROR(__xludf.DUMMYFUNCTION("""COMPUTED_VALUE"""),"Fatal")</f>
        <v>Fatal</v>
      </c>
      <c r="C741" s="5" t="str">
        <f ca="1">IFERROR(__xludf.DUMMYFUNCTION("""COMPUTED_VALUE"""),"Male")</f>
        <v>Male</v>
      </c>
      <c r="D741" s="5"/>
      <c r="E741" s="5">
        <f ca="1">IFERROR(__xludf.DUMMYFUNCTION("""COMPUTED_VALUE"""),17)</f>
        <v>17</v>
      </c>
      <c r="F741" s="5" t="str">
        <f ca="1">IFERROR(__xludf.DUMMYFUNCTION("""COMPUTED_VALUE"""),"Hispanic")</f>
        <v>Hispanic</v>
      </c>
    </row>
    <row r="742" spans="1:6">
      <c r="A742" s="5" t="str">
        <f ca="1">IFERROR(__xludf.DUMMYFUNCTION("""COMPUTED_VALUE"""),"20181121MIPEP")</f>
        <v>20181121MIPEP</v>
      </c>
      <c r="B742" s="5" t="str">
        <f ca="1">IFERROR(__xludf.DUMMYFUNCTION("""COMPUTED_VALUE"""),"None")</f>
        <v>None</v>
      </c>
      <c r="C742" s="5"/>
      <c r="D742" s="5"/>
      <c r="E742" s="5"/>
      <c r="F742" s="5"/>
    </row>
    <row r="743" spans="1:6">
      <c r="A743" s="5" t="str">
        <f ca="1">IFERROR(__xludf.DUMMYFUNCTION("""COMPUTED_VALUE"""),"20181120VASIP")</f>
        <v>20181120VASIP</v>
      </c>
      <c r="B743" s="5" t="str">
        <f ca="1">IFERROR(__xludf.DUMMYFUNCTION("""COMPUTED_VALUE"""),"Wounded")</f>
        <v>Wounded</v>
      </c>
      <c r="C743" s="5" t="str">
        <f ca="1">IFERROR(__xludf.DUMMYFUNCTION("""COMPUTED_VALUE"""),"Female")</f>
        <v>Female</v>
      </c>
      <c r="D743" s="5" t="str">
        <f ca="1">IFERROR(__xludf.DUMMYFUNCTION("""COMPUTED_VALUE"""),"Parent")</f>
        <v>Parent</v>
      </c>
      <c r="E743" s="5" t="str">
        <f ca="1">IFERROR(__xludf.DUMMYFUNCTION("""COMPUTED_VALUE"""),"Adult")</f>
        <v>Adult</v>
      </c>
      <c r="F743" s="5"/>
    </row>
    <row r="744" spans="1:6">
      <c r="A744" s="5" t="str">
        <f ca="1">IFERROR(__xludf.DUMMYFUNCTION("""COMPUTED_VALUE"""),"20181112MDEAE")</f>
        <v>20181112MDEAE</v>
      </c>
      <c r="B744" s="5" t="str">
        <f ca="1">IFERROR(__xludf.DUMMYFUNCTION("""COMPUTED_VALUE"""),"None")</f>
        <v>None</v>
      </c>
      <c r="C744" s="5" t="str">
        <f ca="1">IFERROR(__xludf.DUMMYFUNCTION("""COMPUTED_VALUE"""),"Male")</f>
        <v>Male</v>
      </c>
      <c r="D744" s="5" t="str">
        <f ca="1">IFERROR(__xludf.DUMMYFUNCTION("""COMPUTED_VALUE"""),"Police Officer/SRO")</f>
        <v>Police Officer/SRO</v>
      </c>
      <c r="E744" s="5" t="str">
        <f ca="1">IFERROR(__xludf.DUMMYFUNCTION("""COMPUTED_VALUE"""),"Adult")</f>
        <v>Adult</v>
      </c>
      <c r="F744" s="5"/>
    </row>
    <row r="745" spans="1:6">
      <c r="A745" s="5" t="str">
        <f ca="1">IFERROR(__xludf.DUMMYFUNCTION("""COMPUTED_VALUE"""),"20181109GAGAM")</f>
        <v>20181109GAGAM</v>
      </c>
      <c r="B745" s="5" t="str">
        <f ca="1">IFERROR(__xludf.DUMMYFUNCTION("""COMPUTED_VALUE"""),"None")</f>
        <v>None</v>
      </c>
      <c r="C745" s="5"/>
      <c r="D745" s="5"/>
      <c r="E745" s="5"/>
      <c r="F745" s="5"/>
    </row>
    <row r="746" spans="1:6">
      <c r="A746" s="5" t="str">
        <f ca="1">IFERROR(__xludf.DUMMYFUNCTION("""COMPUTED_VALUE"""),"20181108CACLS")</f>
        <v>20181108CACLS</v>
      </c>
      <c r="B746" s="5" t="str">
        <f ca="1">IFERROR(__xludf.DUMMYFUNCTION("""COMPUTED_VALUE"""),"Wounded")</f>
        <v>Wounded</v>
      </c>
      <c r="C746" s="5" t="str">
        <f ca="1">IFERROR(__xludf.DUMMYFUNCTION("""COMPUTED_VALUE"""),"Male")</f>
        <v>Male</v>
      </c>
      <c r="D746" s="5" t="str">
        <f ca="1">IFERROR(__xludf.DUMMYFUNCTION("""COMPUTED_VALUE"""),"No Relation")</f>
        <v>No Relation</v>
      </c>
      <c r="E746" s="5" t="str">
        <f ca="1">IFERROR(__xludf.DUMMYFUNCTION("""COMPUTED_VALUE"""),"Adult")</f>
        <v>Adult</v>
      </c>
      <c r="F746" s="5"/>
    </row>
    <row r="747" spans="1:6">
      <c r="A747" s="5" t="str">
        <f ca="1">IFERROR(__xludf.DUMMYFUNCTION("""COMPUTED_VALUE"""),"20181105SCACC")</f>
        <v>20181105SCACC</v>
      </c>
      <c r="B747" s="5" t="str">
        <f ca="1">IFERROR(__xludf.DUMMYFUNCTION("""COMPUTED_VALUE"""),"None")</f>
        <v>None</v>
      </c>
      <c r="C747" s="5" t="str">
        <f ca="1">IFERROR(__xludf.DUMMYFUNCTION("""COMPUTED_VALUE"""),"Male")</f>
        <v>Male</v>
      </c>
      <c r="D747" s="5" t="str">
        <f ca="1">IFERROR(__xludf.DUMMYFUNCTION("""COMPUTED_VALUE"""),"Student")</f>
        <v>Student</v>
      </c>
      <c r="E747" s="5">
        <f ca="1">IFERROR(__xludf.DUMMYFUNCTION("""COMPUTED_VALUE"""),13)</f>
        <v>13</v>
      </c>
      <c r="F747" s="5"/>
    </row>
    <row r="748" spans="1:6">
      <c r="A748" s="5" t="str">
        <f ca="1">IFERROR(__xludf.DUMMYFUNCTION("""COMPUTED_VALUE"""),"20181104KYCRL")</f>
        <v>20181104KYCRL</v>
      </c>
      <c r="B748" s="5" t="str">
        <f ca="1">IFERROR(__xludf.DUMMYFUNCTION("""COMPUTED_VALUE"""),"Fatal")</f>
        <v>Fatal</v>
      </c>
      <c r="C748" s="5" t="str">
        <f ca="1">IFERROR(__xludf.DUMMYFUNCTION("""COMPUTED_VALUE"""),"Male")</f>
        <v>Male</v>
      </c>
      <c r="D748" s="5" t="str">
        <f ca="1">IFERROR(__xludf.DUMMYFUNCTION("""COMPUTED_VALUE"""),"No Relation")</f>
        <v>No Relation</v>
      </c>
      <c r="E748" s="5" t="str">
        <f ca="1">IFERROR(__xludf.DUMMYFUNCTION("""COMPUTED_VALUE"""),"Adult")</f>
        <v>Adult</v>
      </c>
      <c r="F748" s="5"/>
    </row>
    <row r="749" spans="1:6">
      <c r="A749" s="5" t="str">
        <f ca="1">IFERROR(__xludf.DUMMYFUNCTION("""COMPUTED_VALUE"""),"20181104KYCRL")</f>
        <v>20181104KYCRL</v>
      </c>
      <c r="B749" s="5" t="str">
        <f ca="1">IFERROR(__xludf.DUMMYFUNCTION("""COMPUTED_VALUE"""),"Wounded")</f>
        <v>Wounded</v>
      </c>
      <c r="C749" s="5" t="str">
        <f ca="1">IFERROR(__xludf.DUMMYFUNCTION("""COMPUTED_VALUE"""),"Male")</f>
        <v>Male</v>
      </c>
      <c r="D749" s="5" t="str">
        <f ca="1">IFERROR(__xludf.DUMMYFUNCTION("""COMPUTED_VALUE"""),"No Relation")</f>
        <v>No Relation</v>
      </c>
      <c r="E749" s="5" t="str">
        <f ca="1">IFERROR(__xludf.DUMMYFUNCTION("""COMPUTED_VALUE"""),"Adult")</f>
        <v>Adult</v>
      </c>
      <c r="F749" s="5"/>
    </row>
    <row r="750" spans="1:6">
      <c r="A750" s="5" t="str">
        <f ca="1">IFERROR(__xludf.DUMMYFUNCTION("""COMPUTED_VALUE"""),"20181029NCBUM")</f>
        <v>20181029NCBUM</v>
      </c>
      <c r="B750" s="5" t="str">
        <f ca="1">IFERROR(__xludf.DUMMYFUNCTION("""COMPUTED_VALUE"""),"Fatal")</f>
        <v>Fatal</v>
      </c>
      <c r="C750" s="5" t="str">
        <f ca="1">IFERROR(__xludf.DUMMYFUNCTION("""COMPUTED_VALUE"""),"Male")</f>
        <v>Male</v>
      </c>
      <c r="D750" s="5" t="str">
        <f ca="1">IFERROR(__xludf.DUMMYFUNCTION("""COMPUTED_VALUE"""),"Student")</f>
        <v>Student</v>
      </c>
      <c r="E750" s="5">
        <f ca="1">IFERROR(__xludf.DUMMYFUNCTION("""COMPUTED_VALUE"""),16)</f>
        <v>16</v>
      </c>
      <c r="F750" s="5" t="str">
        <f ca="1">IFERROR(__xludf.DUMMYFUNCTION("""COMPUTED_VALUE"""),"Black")</f>
        <v>Black</v>
      </c>
    </row>
    <row r="751" spans="1:6">
      <c r="A751" s="5" t="str">
        <f ca="1">IFERROR(__xludf.DUMMYFUNCTION("""COMPUTED_VALUE"""),"20181026FLSAO")</f>
        <v>20181026FLSAO</v>
      </c>
      <c r="B751" s="5" t="str">
        <f ca="1">IFERROR(__xludf.DUMMYFUNCTION("""COMPUTED_VALUE"""),"Fatal")</f>
        <v>Fatal</v>
      </c>
      <c r="C751" s="5" t="str">
        <f ca="1">IFERROR(__xludf.DUMMYFUNCTION("""COMPUTED_VALUE"""),"Male")</f>
        <v>Male</v>
      </c>
      <c r="D751" s="5" t="str">
        <f ca="1">IFERROR(__xludf.DUMMYFUNCTION("""COMPUTED_VALUE"""),"No Relation")</f>
        <v>No Relation</v>
      </c>
      <c r="E751" s="5">
        <f ca="1">IFERROR(__xludf.DUMMYFUNCTION("""COMPUTED_VALUE"""),18)</f>
        <v>18</v>
      </c>
      <c r="F751" s="5"/>
    </row>
    <row r="752" spans="1:6">
      <c r="A752" s="5" t="str">
        <f ca="1">IFERROR(__xludf.DUMMYFUNCTION("""COMPUTED_VALUE"""),"20181025MICOD")</f>
        <v>20181025MICOD</v>
      </c>
      <c r="B752" s="5" t="str">
        <f ca="1">IFERROR(__xludf.DUMMYFUNCTION("""COMPUTED_VALUE"""),"None")</f>
        <v>None</v>
      </c>
      <c r="C752" s="5" t="str">
        <f ca="1">IFERROR(__xludf.DUMMYFUNCTION("""COMPUTED_VALUE"""),"Male")</f>
        <v>Male</v>
      </c>
      <c r="D752" s="5" t="str">
        <f ca="1">IFERROR(__xludf.DUMMYFUNCTION("""COMPUTED_VALUE"""),"Student")</f>
        <v>Student</v>
      </c>
      <c r="E752" s="5">
        <f ca="1">IFERROR(__xludf.DUMMYFUNCTION("""COMPUTED_VALUE"""),15)</f>
        <v>15</v>
      </c>
      <c r="F752" s="5"/>
    </row>
    <row r="753" spans="1:6">
      <c r="A753" s="5" t="str">
        <f ca="1">IFERROR(__xludf.DUMMYFUNCTION("""COMPUTED_VALUE"""),"20181023NHGOM")</f>
        <v>20181023NHGOM</v>
      </c>
      <c r="B753" s="5" t="str">
        <f ca="1">IFERROR(__xludf.DUMMYFUNCTION("""COMPUTED_VALUE"""),"Wounded")</f>
        <v>Wounded</v>
      </c>
      <c r="C753" s="5" t="str">
        <f ca="1">IFERROR(__xludf.DUMMYFUNCTION("""COMPUTED_VALUE"""),"Female")</f>
        <v>Female</v>
      </c>
      <c r="D753" s="5" t="str">
        <f ca="1">IFERROR(__xludf.DUMMYFUNCTION("""COMPUTED_VALUE"""),"Teacher")</f>
        <v>Teacher</v>
      </c>
      <c r="E753" s="5" t="str">
        <f ca="1">IFERROR(__xludf.DUMMYFUNCTION("""COMPUTED_VALUE"""),"Adult")</f>
        <v>Adult</v>
      </c>
      <c r="F753" s="5"/>
    </row>
    <row r="754" spans="1:6">
      <c r="A754" s="5" t="str">
        <f ca="1">IFERROR(__xludf.DUMMYFUNCTION("""COMPUTED_VALUE"""),"20181022CTDUB")</f>
        <v>20181022CTDUB</v>
      </c>
      <c r="B754" s="5" t="str">
        <f ca="1">IFERROR(__xludf.DUMMYFUNCTION("""COMPUTED_VALUE"""),"None")</f>
        <v>None</v>
      </c>
      <c r="C754" s="5"/>
      <c r="D754" s="5"/>
      <c r="E754" s="5"/>
      <c r="F754" s="5"/>
    </row>
    <row r="755" spans="1:6">
      <c r="A755" s="5" t="str">
        <f ca="1">IFERROR(__xludf.DUMMYFUNCTION("""COMPUTED_VALUE"""),"20181020GASHS")</f>
        <v>20181020GASHS</v>
      </c>
      <c r="B755" s="5" t="str">
        <f ca="1">IFERROR(__xludf.DUMMYFUNCTION("""COMPUTED_VALUE"""),"Fatal")</f>
        <v>Fatal</v>
      </c>
      <c r="C755" s="5" t="str">
        <f ca="1">IFERROR(__xludf.DUMMYFUNCTION("""COMPUTED_VALUE"""),"Male")</f>
        <v>Male</v>
      </c>
      <c r="D755" s="5" t="str">
        <f ca="1">IFERROR(__xludf.DUMMYFUNCTION("""COMPUTED_VALUE"""),"Police Officer/SRO")</f>
        <v>Police Officer/SRO</v>
      </c>
      <c r="E755" s="5" t="str">
        <f ca="1">IFERROR(__xludf.DUMMYFUNCTION("""COMPUTED_VALUE"""),"Adult")</f>
        <v>Adult</v>
      </c>
      <c r="F755" s="5" t="str">
        <f ca="1">IFERROR(__xludf.DUMMYFUNCTION("""COMPUTED_VALUE"""),"Black")</f>
        <v>Black</v>
      </c>
    </row>
    <row r="756" spans="1:6">
      <c r="A756" s="5" t="str">
        <f ca="1">IFERROR(__xludf.DUMMYFUNCTION("""COMPUTED_VALUE"""),"20181013TNMCN")</f>
        <v>20181013TNMCN</v>
      </c>
      <c r="B756" s="5" t="str">
        <f ca="1">IFERROR(__xludf.DUMMYFUNCTION("""COMPUTED_VALUE"""),"Wounded")</f>
        <v>Wounded</v>
      </c>
      <c r="C756" s="5" t="str">
        <f ca="1">IFERROR(__xludf.DUMMYFUNCTION("""COMPUTED_VALUE"""),"Male")</f>
        <v>Male</v>
      </c>
      <c r="D756" s="5"/>
      <c r="E756" s="5" t="str">
        <f ca="1">IFERROR(__xludf.DUMMYFUNCTION("""COMPUTED_VALUE"""),"Adult")</f>
        <v>Adult</v>
      </c>
      <c r="F756" s="5"/>
    </row>
    <row r="757" spans="1:6">
      <c r="A757" s="5" t="str">
        <f ca="1">IFERROR(__xludf.DUMMYFUNCTION("""COMPUTED_VALUE"""),"20181013TNMCN")</f>
        <v>20181013TNMCN</v>
      </c>
      <c r="B757" s="5" t="str">
        <f ca="1">IFERROR(__xludf.DUMMYFUNCTION("""COMPUTED_VALUE"""),"Fatal")</f>
        <v>Fatal</v>
      </c>
      <c r="C757" s="5" t="str">
        <f ca="1">IFERROR(__xludf.DUMMYFUNCTION("""COMPUTED_VALUE"""),"Male")</f>
        <v>Male</v>
      </c>
      <c r="D757" s="5"/>
      <c r="E757" s="5">
        <f ca="1">IFERROR(__xludf.DUMMYFUNCTION("""COMPUTED_VALUE"""),18)</f>
        <v>18</v>
      </c>
      <c r="F757" s="5"/>
    </row>
    <row r="758" spans="1:6">
      <c r="A758" s="5" t="str">
        <f ca="1">IFERROR(__xludf.DUMMYFUNCTION("""COMPUTED_VALUE"""),"20181012MIBAB")</f>
        <v>20181012MIBAB</v>
      </c>
      <c r="B758" s="5" t="str">
        <f ca="1">IFERROR(__xludf.DUMMYFUNCTION("""COMPUTED_VALUE"""),"None")</f>
        <v>None</v>
      </c>
      <c r="C758" s="5"/>
      <c r="D758" s="5"/>
      <c r="E758" s="5"/>
      <c r="F758" s="5"/>
    </row>
    <row r="759" spans="1:6">
      <c r="A759" s="5" t="str">
        <f ca="1">IFERROR(__xludf.DUMMYFUNCTION("""COMPUTED_VALUE"""),"20181007VAVAH")</f>
        <v>20181007VAVAH</v>
      </c>
      <c r="B759" s="5" t="str">
        <f ca="1">IFERROR(__xludf.DUMMYFUNCTION("""COMPUTED_VALUE"""),"Wounded")</f>
        <v>Wounded</v>
      </c>
      <c r="C759" s="5" t="str">
        <f ca="1">IFERROR(__xludf.DUMMYFUNCTION("""COMPUTED_VALUE"""),"Male")</f>
        <v>Male</v>
      </c>
      <c r="D759" s="5" t="str">
        <f ca="1">IFERROR(__xludf.DUMMYFUNCTION("""COMPUTED_VALUE"""),"Other Staff")</f>
        <v>Other Staff</v>
      </c>
      <c r="E759" s="5" t="str">
        <f ca="1">IFERROR(__xludf.DUMMYFUNCTION("""COMPUTED_VALUE"""),"Adult")</f>
        <v>Adult</v>
      </c>
      <c r="F759" s="5"/>
    </row>
    <row r="760" spans="1:6">
      <c r="A760" s="5" t="str">
        <f ca="1">IFERROR(__xludf.DUMMYFUNCTION("""COMPUTED_VALUE"""),"20181005VALAN")</f>
        <v>20181005VALAN</v>
      </c>
      <c r="B760" s="5" t="str">
        <f ca="1">IFERROR(__xludf.DUMMYFUNCTION("""COMPUTED_VALUE"""),"Wounded")</f>
        <v>Wounded</v>
      </c>
      <c r="C760" s="5"/>
      <c r="D760" s="5"/>
      <c r="E760" s="5"/>
      <c r="F760" s="5"/>
    </row>
    <row r="761" spans="1:6">
      <c r="A761" s="5" t="str">
        <f ca="1">IFERROR(__xludf.DUMMYFUNCTION("""COMPUTED_VALUE"""),"20181005TNHAB")</f>
        <v>20181005TNHAB</v>
      </c>
      <c r="B761" s="5" t="str">
        <f ca="1">IFERROR(__xludf.DUMMYFUNCTION("""COMPUTED_VALUE"""),"Wounded")</f>
        <v>Wounded</v>
      </c>
      <c r="C761" s="5" t="str">
        <f ca="1">IFERROR(__xludf.DUMMYFUNCTION("""COMPUTED_VALUE"""),"Unknown")</f>
        <v>Unknown</v>
      </c>
      <c r="D761" s="5" t="str">
        <f ca="1">IFERROR(__xludf.DUMMYFUNCTION("""COMPUTED_VALUE"""),"Student")</f>
        <v>Student</v>
      </c>
      <c r="E761" s="5" t="str">
        <f ca="1">IFERROR(__xludf.DUMMYFUNCTION("""COMPUTED_VALUE"""),"Teen")</f>
        <v>Teen</v>
      </c>
      <c r="F761" s="5"/>
    </row>
    <row r="762" spans="1:6">
      <c r="A762" s="5" t="str">
        <f ca="1">IFERROR(__xludf.DUMMYFUNCTION("""COMPUTED_VALUE"""),"20181005TNHAB")</f>
        <v>20181005TNHAB</v>
      </c>
      <c r="B762" s="5" t="str">
        <f ca="1">IFERROR(__xludf.DUMMYFUNCTION("""COMPUTED_VALUE"""),"Wounded")</f>
        <v>Wounded</v>
      </c>
      <c r="C762" s="5" t="str">
        <f ca="1">IFERROR(__xludf.DUMMYFUNCTION("""COMPUTED_VALUE"""),"Unknown")</f>
        <v>Unknown</v>
      </c>
      <c r="D762" s="5" t="str">
        <f ca="1">IFERROR(__xludf.DUMMYFUNCTION("""COMPUTED_VALUE"""),"Student")</f>
        <v>Student</v>
      </c>
      <c r="E762" s="5" t="str">
        <f ca="1">IFERROR(__xludf.DUMMYFUNCTION("""COMPUTED_VALUE"""),"Teen")</f>
        <v>Teen</v>
      </c>
      <c r="F762" s="5"/>
    </row>
    <row r="763" spans="1:6">
      <c r="A763" s="5" t="str">
        <f ca="1">IFERROR(__xludf.DUMMYFUNCTION("""COMPUTED_VALUE"""),"20181004ORJAP")</f>
        <v>20181004ORJAP</v>
      </c>
      <c r="B763" s="5" t="str">
        <f ca="1">IFERROR(__xludf.DUMMYFUNCTION("""COMPUTED_VALUE"""),"None")</f>
        <v>None</v>
      </c>
      <c r="C763" s="5"/>
      <c r="D763" s="5"/>
      <c r="E763" s="5"/>
      <c r="F763" s="5"/>
    </row>
    <row r="764" spans="1:6">
      <c r="A764" s="5" t="str">
        <f ca="1">IFERROR(__xludf.DUMMYFUNCTION("""COMPUTED_VALUE"""),"20181003AKDEA")</f>
        <v>20181003AKDEA</v>
      </c>
      <c r="B764" s="5" t="str">
        <f ca="1">IFERROR(__xludf.DUMMYFUNCTION("""COMPUTED_VALUE"""),"Wounded")</f>
        <v>Wounded</v>
      </c>
      <c r="C764" s="5" t="str">
        <f ca="1">IFERROR(__xludf.DUMMYFUNCTION("""COMPUTED_VALUE"""),"Male")</f>
        <v>Male</v>
      </c>
      <c r="D764" s="5" t="str">
        <f ca="1">IFERROR(__xludf.DUMMYFUNCTION("""COMPUTED_VALUE"""),"Relative")</f>
        <v>Relative</v>
      </c>
      <c r="E764" s="5" t="str">
        <f ca="1">IFERROR(__xludf.DUMMYFUNCTION("""COMPUTED_VALUE"""),"Adult")</f>
        <v>Adult</v>
      </c>
      <c r="F764" s="5"/>
    </row>
    <row r="765" spans="1:6">
      <c r="A765" s="5" t="str">
        <f ca="1">IFERROR(__xludf.DUMMYFUNCTION("""COMPUTED_VALUE"""),"20181002ARCHL")</f>
        <v>20181002ARCHL</v>
      </c>
      <c r="B765" s="5" t="str">
        <f ca="1">IFERROR(__xludf.DUMMYFUNCTION("""COMPUTED_VALUE"""),"None")</f>
        <v>None</v>
      </c>
      <c r="C765" s="5"/>
      <c r="D765" s="5"/>
      <c r="E765" s="5"/>
      <c r="F765" s="5"/>
    </row>
    <row r="766" spans="1:6">
      <c r="A766" s="5" t="str">
        <f ca="1">IFERROR(__xludf.DUMMYFUNCTION("""COMPUTED_VALUE"""),"20180928SDCHC")</f>
        <v>20180928SDCHC</v>
      </c>
      <c r="B766" s="5" t="str">
        <f ca="1">IFERROR(__xludf.DUMMYFUNCTION("""COMPUTED_VALUE"""),"None")</f>
        <v>None</v>
      </c>
      <c r="C766" s="5" t="str">
        <f ca="1">IFERROR(__xludf.DUMMYFUNCTION("""COMPUTED_VALUE"""),"Male")</f>
        <v>Male</v>
      </c>
      <c r="D766" s="5" t="str">
        <f ca="1">IFERROR(__xludf.DUMMYFUNCTION("""COMPUTED_VALUE"""),"No Relation")</f>
        <v>No Relation</v>
      </c>
      <c r="E766" s="5">
        <f ca="1">IFERROR(__xludf.DUMMYFUNCTION("""COMPUTED_VALUE"""),20)</f>
        <v>20</v>
      </c>
      <c r="F766" s="5"/>
    </row>
    <row r="767" spans="1:6">
      <c r="A767" s="5" t="str">
        <f ca="1">IFERROR(__xludf.DUMMYFUNCTION("""COMPUTED_VALUE"""),"20180927TXHEC")</f>
        <v>20180927TXHEC</v>
      </c>
      <c r="B767" s="5" t="str">
        <f ca="1">IFERROR(__xludf.DUMMYFUNCTION("""COMPUTED_VALUE"""),"Wounded")</f>
        <v>Wounded</v>
      </c>
      <c r="C767" s="5" t="str">
        <f ca="1">IFERROR(__xludf.DUMMYFUNCTION("""COMPUTED_VALUE"""),"Male")</f>
        <v>Male</v>
      </c>
      <c r="D767" s="5" t="str">
        <f ca="1">IFERROR(__xludf.DUMMYFUNCTION("""COMPUTED_VALUE"""),"Nonstudent")</f>
        <v>Nonstudent</v>
      </c>
      <c r="E767" s="5">
        <f ca="1">IFERROR(__xludf.DUMMYFUNCTION("""COMPUTED_VALUE"""),31)</f>
        <v>31</v>
      </c>
      <c r="F767" s="5"/>
    </row>
    <row r="768" spans="1:6">
      <c r="A768" s="5" t="str">
        <f ca="1">IFERROR(__xludf.DUMMYFUNCTION("""COMPUTED_VALUE"""),"20180926MDMAB")</f>
        <v>20180926MDMAB</v>
      </c>
      <c r="B768" s="5" t="str">
        <f ca="1">IFERROR(__xludf.DUMMYFUNCTION("""COMPUTED_VALUE"""),"None")</f>
        <v>None</v>
      </c>
      <c r="C768" s="5"/>
      <c r="D768" s="5"/>
      <c r="E768" s="5"/>
      <c r="F768" s="5"/>
    </row>
    <row r="769" spans="1:6">
      <c r="A769" s="5" t="str">
        <f ca="1">IFERROR(__xludf.DUMMYFUNCTION("""COMPUTED_VALUE"""),"20180924PACEP")</f>
        <v>20180924PACEP</v>
      </c>
      <c r="B769" s="5" t="str">
        <f ca="1">IFERROR(__xludf.DUMMYFUNCTION("""COMPUTED_VALUE"""),"Fatal")</f>
        <v>Fatal</v>
      </c>
      <c r="C769" s="5" t="str">
        <f ca="1">IFERROR(__xludf.DUMMYFUNCTION("""COMPUTED_VALUE"""),"Female")</f>
        <v>Female</v>
      </c>
      <c r="D769" s="5" t="str">
        <f ca="1">IFERROR(__xludf.DUMMYFUNCTION("""COMPUTED_VALUE"""),"Student")</f>
        <v>Student</v>
      </c>
      <c r="E769" s="5">
        <f ca="1">IFERROR(__xludf.DUMMYFUNCTION("""COMPUTED_VALUE"""),17)</f>
        <v>17</v>
      </c>
      <c r="F769" s="5"/>
    </row>
    <row r="770" spans="1:6">
      <c r="A770" s="5" t="str">
        <f ca="1">IFERROR(__xludf.DUMMYFUNCTION("""COMPUTED_VALUE"""),"20180924NCLAC")</f>
        <v>20180924NCLAC</v>
      </c>
      <c r="B770" s="5" t="str">
        <f ca="1">IFERROR(__xludf.DUMMYFUNCTION("""COMPUTED_VALUE"""),"None")</f>
        <v>None</v>
      </c>
      <c r="C770" s="5"/>
      <c r="D770" s="5"/>
      <c r="E770" s="5"/>
      <c r="F770" s="5"/>
    </row>
    <row r="771" spans="1:6">
      <c r="A771" s="5" t="str">
        <f ca="1">IFERROR(__xludf.DUMMYFUNCTION("""COMPUTED_VALUE"""),"20180924GAAPB")</f>
        <v>20180924GAAPB</v>
      </c>
      <c r="B771" s="5" t="str">
        <f ca="1">IFERROR(__xludf.DUMMYFUNCTION("""COMPUTED_VALUE"""),"None")</f>
        <v>None</v>
      </c>
      <c r="C771" s="5" t="str">
        <f ca="1">IFERROR(__xludf.DUMMYFUNCTION("""COMPUTED_VALUE"""),"Male")</f>
        <v>Male</v>
      </c>
      <c r="D771" s="5" t="str">
        <f ca="1">IFERROR(__xludf.DUMMYFUNCTION("""COMPUTED_VALUE"""),"Student")</f>
        <v>Student</v>
      </c>
      <c r="E771" s="5" t="str">
        <f ca="1">IFERROR(__xludf.DUMMYFUNCTION("""COMPUTED_VALUE"""),"Teen")</f>
        <v>Teen</v>
      </c>
      <c r="F771" s="5"/>
    </row>
    <row r="772" spans="1:6">
      <c r="A772" s="5" t="str">
        <f ca="1">IFERROR(__xludf.DUMMYFUNCTION("""COMPUTED_VALUE"""),"20180920CAPOP")</f>
        <v>20180920CAPOP</v>
      </c>
      <c r="B772" s="5" t="str">
        <f ca="1">IFERROR(__xludf.DUMMYFUNCTION("""COMPUTED_VALUE"""),"None")</f>
        <v>None</v>
      </c>
      <c r="C772" s="5"/>
      <c r="D772" s="5"/>
      <c r="E772" s="5"/>
      <c r="F772" s="5"/>
    </row>
    <row r="773" spans="1:6">
      <c r="A773" s="5" t="str">
        <f ca="1">IFERROR(__xludf.DUMMYFUNCTION("""COMPUTED_VALUE"""),"20180920CACHL")</f>
        <v>20180920CACHL</v>
      </c>
      <c r="B773" s="5" t="str">
        <f ca="1">IFERROR(__xludf.DUMMYFUNCTION("""COMPUTED_VALUE"""),"Wounded")</f>
        <v>Wounded</v>
      </c>
      <c r="C773" s="5"/>
      <c r="D773" s="5" t="str">
        <f ca="1">IFERROR(__xludf.DUMMYFUNCTION("""COMPUTED_VALUE"""),"Student")</f>
        <v>Student</v>
      </c>
      <c r="E773" s="5" t="str">
        <f ca="1">IFERROR(__xludf.DUMMYFUNCTION("""COMPUTED_VALUE"""),"Teen")</f>
        <v>Teen</v>
      </c>
      <c r="F773" s="5"/>
    </row>
    <row r="774" spans="1:6">
      <c r="A774" s="5" t="str">
        <f ca="1">IFERROR(__xludf.DUMMYFUNCTION("""COMPUTED_VALUE"""),"20180920CACHL")</f>
        <v>20180920CACHL</v>
      </c>
      <c r="B774" s="5" t="str">
        <f ca="1">IFERROR(__xludf.DUMMYFUNCTION("""COMPUTED_VALUE"""),"Wounded")</f>
        <v>Wounded</v>
      </c>
      <c r="C774" s="5"/>
      <c r="D774" s="5" t="str">
        <f ca="1">IFERROR(__xludf.DUMMYFUNCTION("""COMPUTED_VALUE"""),"Other Staff")</f>
        <v>Other Staff</v>
      </c>
      <c r="E774" s="5" t="str">
        <f ca="1">IFERROR(__xludf.DUMMYFUNCTION("""COMPUTED_VALUE"""),"Adult")</f>
        <v>Adult</v>
      </c>
      <c r="F774" s="5"/>
    </row>
    <row r="775" spans="1:6">
      <c r="A775" s="5" t="str">
        <f ca="1">IFERROR(__xludf.DUMMYFUNCTION("""COMPUTED_VALUE"""),"20180917ALBLH")</f>
        <v>20180917ALBLH</v>
      </c>
      <c r="B775" s="5" t="str">
        <f ca="1">IFERROR(__xludf.DUMMYFUNCTION("""COMPUTED_VALUE"""),"Wounded")</f>
        <v>Wounded</v>
      </c>
      <c r="C775" s="5" t="str">
        <f ca="1">IFERROR(__xludf.DUMMYFUNCTION("""COMPUTED_VALUE"""),"Male")</f>
        <v>Male</v>
      </c>
      <c r="D775" s="5" t="str">
        <f ca="1">IFERROR(__xludf.DUMMYFUNCTION("""COMPUTED_VALUE"""),"Student")</f>
        <v>Student</v>
      </c>
      <c r="E775" s="5">
        <f ca="1">IFERROR(__xludf.DUMMYFUNCTION("""COMPUTED_VALUE"""),7)</f>
        <v>7</v>
      </c>
      <c r="F775" s="5"/>
    </row>
    <row r="776" spans="1:6">
      <c r="A776" s="5" t="str">
        <f ca="1">IFERROR(__xludf.DUMMYFUNCTION("""COMPUTED_VALUE"""),"20180914WAMAE")</f>
        <v>20180914WAMAE</v>
      </c>
      <c r="B776" s="5" t="str">
        <f ca="1">IFERROR(__xludf.DUMMYFUNCTION("""COMPUTED_VALUE"""),"None")</f>
        <v>None</v>
      </c>
      <c r="C776" s="5"/>
      <c r="D776" s="5"/>
      <c r="E776" s="5"/>
      <c r="F776" s="5"/>
    </row>
    <row r="777" spans="1:6">
      <c r="A777" s="5" t="str">
        <f ca="1">IFERROR(__xludf.DUMMYFUNCTION("""COMPUTED_VALUE"""),"20180914FLBOB")</f>
        <v>20180914FLBOB</v>
      </c>
      <c r="B777" s="5" t="str">
        <f ca="1">IFERROR(__xludf.DUMMYFUNCTION("""COMPUTED_VALUE"""),"None")</f>
        <v>None</v>
      </c>
      <c r="C777" s="5"/>
      <c r="D777" s="5"/>
      <c r="E777" s="5"/>
      <c r="F777" s="5"/>
    </row>
    <row r="778" spans="1:6">
      <c r="A778" s="5" t="str">
        <f ca="1">IFERROR(__xludf.DUMMYFUNCTION("""COMPUTED_VALUE"""),"20180911NVCAL")</f>
        <v>20180911NVCAL</v>
      </c>
      <c r="B778" s="5" t="str">
        <f ca="1">IFERROR(__xludf.DUMMYFUNCTION("""COMPUTED_VALUE"""),"Fatal")</f>
        <v>Fatal</v>
      </c>
      <c r="C778" s="5" t="str">
        <f ca="1">IFERROR(__xludf.DUMMYFUNCTION("""COMPUTED_VALUE"""),"Male")</f>
        <v>Male</v>
      </c>
      <c r="D778" s="5" t="str">
        <f ca="1">IFERROR(__xludf.DUMMYFUNCTION("""COMPUTED_VALUE"""),"Student")</f>
        <v>Student</v>
      </c>
      <c r="E778" s="5">
        <f ca="1">IFERROR(__xludf.DUMMYFUNCTION("""COMPUTED_VALUE"""),18)</f>
        <v>18</v>
      </c>
      <c r="F778" s="5"/>
    </row>
    <row r="779" spans="1:6">
      <c r="A779" s="5" t="str">
        <f ca="1">IFERROR(__xludf.DUMMYFUNCTION("""COMPUTED_VALUE"""),"20180910TNFAM")</f>
        <v>20180910TNFAM</v>
      </c>
      <c r="B779" s="5" t="str">
        <f ca="1">IFERROR(__xludf.DUMMYFUNCTION("""COMPUTED_VALUE"""),"Wounded")</f>
        <v>Wounded</v>
      </c>
      <c r="C779" s="5" t="str">
        <f ca="1">IFERROR(__xludf.DUMMYFUNCTION("""COMPUTED_VALUE"""),"Female")</f>
        <v>Female</v>
      </c>
      <c r="D779" s="5" t="str">
        <f ca="1">IFERROR(__xludf.DUMMYFUNCTION("""COMPUTED_VALUE"""),"Student")</f>
        <v>Student</v>
      </c>
      <c r="E779" s="5">
        <f ca="1">IFERROR(__xludf.DUMMYFUNCTION("""COMPUTED_VALUE"""),15)</f>
        <v>15</v>
      </c>
      <c r="F779" s="5"/>
    </row>
    <row r="780" spans="1:6">
      <c r="A780" s="5" t="str">
        <f ca="1">IFERROR(__xludf.DUMMYFUNCTION("""COMPUTED_VALUE"""),"20180910ILCHC")</f>
        <v>20180910ILCHC</v>
      </c>
      <c r="B780" s="5" t="str">
        <f ca="1">IFERROR(__xludf.DUMMYFUNCTION("""COMPUTED_VALUE"""),"Wounded")</f>
        <v>Wounded</v>
      </c>
      <c r="C780" s="5" t="str">
        <f ca="1">IFERROR(__xludf.DUMMYFUNCTION("""COMPUTED_VALUE"""),"Male")</f>
        <v>Male</v>
      </c>
      <c r="D780" s="5" t="str">
        <f ca="1">IFERROR(__xludf.DUMMYFUNCTION("""COMPUTED_VALUE"""),"Student")</f>
        <v>Student</v>
      </c>
      <c r="E780" s="5">
        <f ca="1">IFERROR(__xludf.DUMMYFUNCTION("""COMPUTED_VALUE"""),16)</f>
        <v>16</v>
      </c>
      <c r="F780" s="5"/>
    </row>
    <row r="781" spans="1:6">
      <c r="A781" s="5" t="str">
        <f ca="1">IFERROR(__xludf.DUMMYFUNCTION("""COMPUTED_VALUE"""),"20180910ILCHC")</f>
        <v>20180910ILCHC</v>
      </c>
      <c r="B781" s="5" t="str">
        <f ca="1">IFERROR(__xludf.DUMMYFUNCTION("""COMPUTED_VALUE"""),"Wounded")</f>
        <v>Wounded</v>
      </c>
      <c r="C781" s="5" t="str">
        <f ca="1">IFERROR(__xludf.DUMMYFUNCTION("""COMPUTED_VALUE"""),"Male")</f>
        <v>Male</v>
      </c>
      <c r="D781" s="5" t="str">
        <f ca="1">IFERROR(__xludf.DUMMYFUNCTION("""COMPUTED_VALUE"""),"Student")</f>
        <v>Student</v>
      </c>
      <c r="E781" s="5">
        <f ca="1">IFERROR(__xludf.DUMMYFUNCTION("""COMPUTED_VALUE"""),17)</f>
        <v>17</v>
      </c>
      <c r="F781" s="5"/>
    </row>
    <row r="782" spans="1:6">
      <c r="A782" s="5" t="str">
        <f ca="1">IFERROR(__xludf.DUMMYFUNCTION("""COMPUTED_VALUE"""),"20180910ILCHC")</f>
        <v>20180910ILCHC</v>
      </c>
      <c r="B782" s="5" t="str">
        <f ca="1">IFERROR(__xludf.DUMMYFUNCTION("""COMPUTED_VALUE"""),"Wounded")</f>
        <v>Wounded</v>
      </c>
      <c r="C782" s="5" t="str">
        <f ca="1">IFERROR(__xludf.DUMMYFUNCTION("""COMPUTED_VALUE"""),"Male")</f>
        <v>Male</v>
      </c>
      <c r="D782" s="5" t="str">
        <f ca="1">IFERROR(__xludf.DUMMYFUNCTION("""COMPUTED_VALUE"""),"Student")</f>
        <v>Student</v>
      </c>
      <c r="E782" s="5">
        <f ca="1">IFERROR(__xludf.DUMMYFUNCTION("""COMPUTED_VALUE"""),18)</f>
        <v>18</v>
      </c>
      <c r="F782" s="5"/>
    </row>
    <row r="783" spans="1:6">
      <c r="A783" s="5" t="str">
        <f ca="1">IFERROR(__xludf.DUMMYFUNCTION("""COMPUTED_VALUE"""),"20180909CAGIG")</f>
        <v>20180909CAGIG</v>
      </c>
      <c r="B783" s="5" t="str">
        <f ca="1">IFERROR(__xludf.DUMMYFUNCTION("""COMPUTED_VALUE"""),"None")</f>
        <v>None</v>
      </c>
      <c r="C783" s="5"/>
      <c r="D783" s="5"/>
      <c r="E783" s="5"/>
      <c r="F783" s="5"/>
    </row>
    <row r="784" spans="1:6">
      <c r="A784" s="5" t="str">
        <f ca="1">IFERROR(__xludf.DUMMYFUNCTION("""COMPUTED_VALUE"""),"20180907IAHED")</f>
        <v>20180907IAHED</v>
      </c>
      <c r="B784" s="5" t="str">
        <f ca="1">IFERROR(__xludf.DUMMYFUNCTION("""COMPUTED_VALUE"""),"None")</f>
        <v>None</v>
      </c>
      <c r="C784" s="5"/>
      <c r="D784" s="5"/>
      <c r="E784" s="5"/>
      <c r="F784" s="5"/>
    </row>
    <row r="785" spans="1:6">
      <c r="A785" s="5" t="str">
        <f ca="1">IFERROR(__xludf.DUMMYFUNCTION("""COMPUTED_VALUE"""),"20180905RIPRP")</f>
        <v>20180905RIPRP</v>
      </c>
      <c r="B785" s="5" t="str">
        <f ca="1">IFERROR(__xludf.DUMMYFUNCTION("""COMPUTED_VALUE"""),"Fatal")</f>
        <v>Fatal</v>
      </c>
      <c r="C785" s="5" t="str">
        <f ca="1">IFERROR(__xludf.DUMMYFUNCTION("""COMPUTED_VALUE"""),"Male")</f>
        <v>Male</v>
      </c>
      <c r="D785" s="5" t="str">
        <f ca="1">IFERROR(__xludf.DUMMYFUNCTION("""COMPUTED_VALUE"""),"Visiting Student")</f>
        <v>Visiting Student</v>
      </c>
      <c r="E785" s="5">
        <f ca="1">IFERROR(__xludf.DUMMYFUNCTION("""COMPUTED_VALUE"""),15)</f>
        <v>15</v>
      </c>
      <c r="F785" s="5" t="str">
        <f ca="1">IFERROR(__xludf.DUMMYFUNCTION("""COMPUTED_VALUE"""),"Black")</f>
        <v>Black</v>
      </c>
    </row>
    <row r="786" spans="1:6">
      <c r="A786" s="5" t="str">
        <f ca="1">IFERROR(__xludf.DUMMYFUNCTION("""COMPUTED_VALUE"""),"20180903NYLUN")</f>
        <v>20180903NYLUN</v>
      </c>
      <c r="B786" s="5" t="str">
        <f ca="1">IFERROR(__xludf.DUMMYFUNCTION("""COMPUTED_VALUE"""),"Fatal")</f>
        <v>Fatal</v>
      </c>
      <c r="C786" s="5" t="str">
        <f ca="1">IFERROR(__xludf.DUMMYFUNCTION("""COMPUTED_VALUE"""),"Male")</f>
        <v>Male</v>
      </c>
      <c r="D786" s="5" t="str">
        <f ca="1">IFERROR(__xludf.DUMMYFUNCTION("""COMPUTED_VALUE"""),"No Relation")</f>
        <v>No Relation</v>
      </c>
      <c r="E786" s="5">
        <f ca="1">IFERROR(__xludf.DUMMYFUNCTION("""COMPUTED_VALUE"""),34)</f>
        <v>34</v>
      </c>
      <c r="F786" s="5" t="str">
        <f ca="1">IFERROR(__xludf.DUMMYFUNCTION("""COMPUTED_VALUE"""),"Black")</f>
        <v>Black</v>
      </c>
    </row>
    <row r="787" spans="1:6">
      <c r="A787" s="5" t="str">
        <f ca="1">IFERROR(__xludf.DUMMYFUNCTION("""COMPUTED_VALUE"""),"20180831IANOE")</f>
        <v>20180831IANOE</v>
      </c>
      <c r="B787" s="5" t="str">
        <f ca="1">IFERROR(__xludf.DUMMYFUNCTION("""COMPUTED_VALUE"""),"None")</f>
        <v>None</v>
      </c>
      <c r="C787" s="5" t="str">
        <f ca="1">IFERROR(__xludf.DUMMYFUNCTION("""COMPUTED_VALUE"""),"Female")</f>
        <v>Female</v>
      </c>
      <c r="D787" s="5" t="str">
        <f ca="1">IFERROR(__xludf.DUMMYFUNCTION("""COMPUTED_VALUE"""),"Teacher")</f>
        <v>Teacher</v>
      </c>
      <c r="E787" s="5" t="str">
        <f ca="1">IFERROR(__xludf.DUMMYFUNCTION("""COMPUTED_VALUE"""),"Adult")</f>
        <v>Adult</v>
      </c>
      <c r="F787" s="5"/>
    </row>
    <row r="788" spans="1:6">
      <c r="A788" s="5" t="str">
        <f ca="1">IFERROR(__xludf.DUMMYFUNCTION("""COMPUTED_VALUE"""),"20180831CABAS")</f>
        <v>20180831CABAS</v>
      </c>
      <c r="B788" s="5" t="str">
        <f ca="1">IFERROR(__xludf.DUMMYFUNCTION("""COMPUTED_VALUE"""),"None")</f>
        <v>None</v>
      </c>
      <c r="C788" s="5"/>
      <c r="D788" s="5"/>
      <c r="E788" s="5"/>
      <c r="F788" s="5"/>
    </row>
    <row r="789" spans="1:6">
      <c r="A789" s="5" t="str">
        <f ca="1">IFERROR(__xludf.DUMMYFUNCTION("""COMPUTED_VALUE"""),"20180830NCVIC")</f>
        <v>20180830NCVIC</v>
      </c>
      <c r="B789" s="5" t="str">
        <f ca="1">IFERROR(__xludf.DUMMYFUNCTION("""COMPUTED_VALUE"""),"None")</f>
        <v>None</v>
      </c>
      <c r="C789" s="5" t="str">
        <f ca="1">IFERROR(__xludf.DUMMYFUNCTION("""COMPUTED_VALUE"""),"Female")</f>
        <v>Female</v>
      </c>
      <c r="D789" s="5" t="str">
        <f ca="1">IFERROR(__xludf.DUMMYFUNCTION("""COMPUTED_VALUE"""),"Intimate Relationship")</f>
        <v>Intimate Relationship</v>
      </c>
      <c r="E789" s="5" t="str">
        <f ca="1">IFERROR(__xludf.DUMMYFUNCTION("""COMPUTED_VALUE"""),"Adult")</f>
        <v>Adult</v>
      </c>
      <c r="F789" s="5"/>
    </row>
    <row r="790" spans="1:6">
      <c r="A790" s="5" t="str">
        <f ca="1">IFERROR(__xludf.DUMMYFUNCTION("""COMPUTED_VALUE"""),"20180830MIOTG")</f>
        <v>20180830MIOTG</v>
      </c>
      <c r="B790" s="5" t="str">
        <f ca="1">IFERROR(__xludf.DUMMYFUNCTION("""COMPUTED_VALUE"""),"Wounded")</f>
        <v>Wounded</v>
      </c>
      <c r="C790" s="5" t="str">
        <f ca="1">IFERROR(__xludf.DUMMYFUNCTION("""COMPUTED_VALUE"""),"Male")</f>
        <v>Male</v>
      </c>
      <c r="D790" s="5" t="str">
        <f ca="1">IFERROR(__xludf.DUMMYFUNCTION("""COMPUTED_VALUE"""),"No Relation")</f>
        <v>No Relation</v>
      </c>
      <c r="E790" s="5">
        <f ca="1">IFERROR(__xludf.DUMMYFUNCTION("""COMPUTED_VALUE"""),17)</f>
        <v>17</v>
      </c>
      <c r="F790" s="5"/>
    </row>
    <row r="791" spans="1:6">
      <c r="A791" s="5" t="str">
        <f ca="1">IFERROR(__xludf.DUMMYFUNCTION("""COMPUTED_VALUE"""),"20180829DETOD")</f>
        <v>20180829DETOD</v>
      </c>
      <c r="B791" s="5" t="str">
        <f ca="1">IFERROR(__xludf.DUMMYFUNCTION("""COMPUTED_VALUE"""),"Fatal")</f>
        <v>Fatal</v>
      </c>
      <c r="C791" s="5" t="str">
        <f ca="1">IFERROR(__xludf.DUMMYFUNCTION("""COMPUTED_VALUE"""),"Male")</f>
        <v>Male</v>
      </c>
      <c r="D791" s="5" t="str">
        <f ca="1">IFERROR(__xludf.DUMMYFUNCTION("""COMPUTED_VALUE"""),"No Relation")</f>
        <v>No Relation</v>
      </c>
      <c r="E791" s="5">
        <f ca="1">IFERROR(__xludf.DUMMYFUNCTION("""COMPUTED_VALUE"""),39)</f>
        <v>39</v>
      </c>
      <c r="F791" s="5"/>
    </row>
    <row r="792" spans="1:6">
      <c r="A792" s="5" t="str">
        <f ca="1">IFERROR(__xludf.DUMMYFUNCTION("""COMPUTED_VALUE"""),"20180828COCOD")</f>
        <v>20180828COCOD</v>
      </c>
      <c r="B792" s="5" t="str">
        <f ca="1">IFERROR(__xludf.DUMMYFUNCTION("""COMPUTED_VALUE"""),"Wounded")</f>
        <v>Wounded</v>
      </c>
      <c r="C792" s="5" t="str">
        <f ca="1">IFERROR(__xludf.DUMMYFUNCTION("""COMPUTED_VALUE"""),"Male")</f>
        <v>Male</v>
      </c>
      <c r="D792" s="5" t="str">
        <f ca="1">IFERROR(__xludf.DUMMYFUNCTION("""COMPUTED_VALUE"""),"Student")</f>
        <v>Student</v>
      </c>
      <c r="E792" s="5" t="str">
        <f ca="1">IFERROR(__xludf.DUMMYFUNCTION("""COMPUTED_VALUE"""),"Teen")</f>
        <v>Teen</v>
      </c>
      <c r="F792" s="5"/>
    </row>
    <row r="793" spans="1:6">
      <c r="A793" s="5" t="str">
        <f ca="1">IFERROR(__xludf.DUMMYFUNCTION("""COMPUTED_VALUE"""),"20180824ILMEC")</f>
        <v>20180824ILMEC</v>
      </c>
      <c r="B793" s="5" t="str">
        <f ca="1">IFERROR(__xludf.DUMMYFUNCTION("""COMPUTED_VALUE"""),"Wounded")</f>
        <v>Wounded</v>
      </c>
      <c r="C793" s="5" t="str">
        <f ca="1">IFERROR(__xludf.DUMMYFUNCTION("""COMPUTED_VALUE"""),"Male")</f>
        <v>Male</v>
      </c>
      <c r="D793" s="5" t="str">
        <f ca="1">IFERROR(__xludf.DUMMYFUNCTION("""COMPUTED_VALUE"""),"Gang Member")</f>
        <v>Gang Member</v>
      </c>
      <c r="E793" s="5" t="str">
        <f ca="1">IFERROR(__xludf.DUMMYFUNCTION("""COMPUTED_VALUE"""),"Adult")</f>
        <v>Adult</v>
      </c>
      <c r="F793" s="5"/>
    </row>
    <row r="794" spans="1:6">
      <c r="A794" s="5" t="str">
        <f ca="1">IFERROR(__xludf.DUMMYFUNCTION("""COMPUTED_VALUE"""),"20180824ILMEC")</f>
        <v>20180824ILMEC</v>
      </c>
      <c r="B794" s="5" t="str">
        <f ca="1">IFERROR(__xludf.DUMMYFUNCTION("""COMPUTED_VALUE"""),"Wounded")</f>
        <v>Wounded</v>
      </c>
      <c r="C794" s="5" t="str">
        <f ca="1">IFERROR(__xludf.DUMMYFUNCTION("""COMPUTED_VALUE"""),"Male")</f>
        <v>Male</v>
      </c>
      <c r="D794" s="5" t="str">
        <f ca="1">IFERROR(__xludf.DUMMYFUNCTION("""COMPUTED_VALUE"""),"Gang Member")</f>
        <v>Gang Member</v>
      </c>
      <c r="E794" s="5" t="str">
        <f ca="1">IFERROR(__xludf.DUMMYFUNCTION("""COMPUTED_VALUE"""),"Adult")</f>
        <v>Adult</v>
      </c>
      <c r="F794" s="5"/>
    </row>
    <row r="795" spans="1:6">
      <c r="A795" s="5" t="str">
        <f ca="1">IFERROR(__xludf.DUMMYFUNCTION("""COMPUTED_VALUE"""),"20180824ILMEC")</f>
        <v>20180824ILMEC</v>
      </c>
      <c r="B795" s="5" t="str">
        <f ca="1">IFERROR(__xludf.DUMMYFUNCTION("""COMPUTED_VALUE"""),"Wounded")</f>
        <v>Wounded</v>
      </c>
      <c r="C795" s="5" t="str">
        <f ca="1">IFERROR(__xludf.DUMMYFUNCTION("""COMPUTED_VALUE"""),"Male")</f>
        <v>Male</v>
      </c>
      <c r="D795" s="5" t="str">
        <f ca="1">IFERROR(__xludf.DUMMYFUNCTION("""COMPUTED_VALUE"""),"Gang Member")</f>
        <v>Gang Member</v>
      </c>
      <c r="E795" s="5" t="str">
        <f ca="1">IFERROR(__xludf.DUMMYFUNCTION("""COMPUTED_VALUE"""),"Adult")</f>
        <v>Adult</v>
      </c>
      <c r="F795" s="5"/>
    </row>
    <row r="796" spans="1:6">
      <c r="A796" s="5" t="str">
        <f ca="1">IFERROR(__xludf.DUMMYFUNCTION("""COMPUTED_VALUE"""),"20180824FLRAJ")</f>
        <v>20180824FLRAJ</v>
      </c>
      <c r="B796" s="5" t="str">
        <f ca="1">IFERROR(__xludf.DUMMYFUNCTION("""COMPUTED_VALUE"""),"Fatal")</f>
        <v>Fatal</v>
      </c>
      <c r="C796" s="5" t="str">
        <f ca="1">IFERROR(__xludf.DUMMYFUNCTION("""COMPUTED_VALUE"""),"Male")</f>
        <v>Male</v>
      </c>
      <c r="D796" s="5" t="str">
        <f ca="1">IFERROR(__xludf.DUMMYFUNCTION("""COMPUTED_VALUE"""),"Nonstudent Using Athletic Facilities/Attending Game")</f>
        <v>Nonstudent Using Athletic Facilities/Attending Game</v>
      </c>
      <c r="E796" s="5">
        <f ca="1">IFERROR(__xludf.DUMMYFUNCTION("""COMPUTED_VALUE"""),19)</f>
        <v>19</v>
      </c>
      <c r="F796" s="5"/>
    </row>
    <row r="797" spans="1:6">
      <c r="A797" s="5" t="str">
        <f ca="1">IFERROR(__xludf.DUMMYFUNCTION("""COMPUTED_VALUE"""),"20180824FLRAJ")</f>
        <v>20180824FLRAJ</v>
      </c>
      <c r="B797" s="5" t="str">
        <f ca="1">IFERROR(__xludf.DUMMYFUNCTION("""COMPUTED_VALUE"""),"Wounded")</f>
        <v>Wounded</v>
      </c>
      <c r="C797" s="5" t="str">
        <f ca="1">IFERROR(__xludf.DUMMYFUNCTION("""COMPUTED_VALUE"""),"Male")</f>
        <v>Male</v>
      </c>
      <c r="D797" s="5" t="str">
        <f ca="1">IFERROR(__xludf.DUMMYFUNCTION("""COMPUTED_VALUE"""),"Student")</f>
        <v>Student</v>
      </c>
      <c r="E797" s="5">
        <f ca="1">IFERROR(__xludf.DUMMYFUNCTION("""COMPUTED_VALUE"""),17)</f>
        <v>17</v>
      </c>
      <c r="F797" s="5"/>
    </row>
    <row r="798" spans="1:6">
      <c r="A798" s="5" t="str">
        <f ca="1">IFERROR(__xludf.DUMMYFUNCTION("""COMPUTED_VALUE"""),"20180824FLRAJ")</f>
        <v>20180824FLRAJ</v>
      </c>
      <c r="B798" s="5" t="str">
        <f ca="1">IFERROR(__xludf.DUMMYFUNCTION("""COMPUTED_VALUE"""),"Wounded")</f>
        <v>Wounded</v>
      </c>
      <c r="C798" s="5" t="str">
        <f ca="1">IFERROR(__xludf.DUMMYFUNCTION("""COMPUTED_VALUE"""),"Male")</f>
        <v>Male</v>
      </c>
      <c r="D798" s="5" t="str">
        <f ca="1">IFERROR(__xludf.DUMMYFUNCTION("""COMPUTED_VALUE"""),"Student")</f>
        <v>Student</v>
      </c>
      <c r="E798" s="5">
        <f ca="1">IFERROR(__xludf.DUMMYFUNCTION("""COMPUTED_VALUE"""),16)</f>
        <v>16</v>
      </c>
      <c r="F798" s="5"/>
    </row>
    <row r="799" spans="1:6">
      <c r="A799" s="5" t="str">
        <f ca="1">IFERROR(__xludf.DUMMYFUNCTION("""COMPUTED_VALUE"""),"20180823ALALM")</f>
        <v>20180823ALALM</v>
      </c>
      <c r="B799" s="5" t="str">
        <f ca="1">IFERROR(__xludf.DUMMYFUNCTION("""COMPUTED_VALUE"""),"None")</f>
        <v>None</v>
      </c>
      <c r="C799" s="5"/>
      <c r="D799" s="5"/>
      <c r="E799" s="5"/>
      <c r="F799" s="5"/>
    </row>
    <row r="800" spans="1:6">
      <c r="A800" s="5" t="str">
        <f ca="1">IFERROR(__xludf.DUMMYFUNCTION("""COMPUTED_VALUE"""),"20180817FLPAW")</f>
        <v>20180817FLPAW</v>
      </c>
      <c r="B800" s="5" t="str">
        <f ca="1">IFERROR(__xludf.DUMMYFUNCTION("""COMPUTED_VALUE"""),"Wounded")</f>
        <v>Wounded</v>
      </c>
      <c r="C800" s="5" t="str">
        <f ca="1">IFERROR(__xludf.DUMMYFUNCTION("""COMPUTED_VALUE"""),"Male")</f>
        <v>Male</v>
      </c>
      <c r="D800" s="5" t="str">
        <f ca="1">IFERROR(__xludf.DUMMYFUNCTION("""COMPUTED_VALUE"""),"No Relation")</f>
        <v>No Relation</v>
      </c>
      <c r="E800" s="5">
        <f ca="1">IFERROR(__xludf.DUMMYFUNCTION("""COMPUTED_VALUE"""),39)</f>
        <v>39</v>
      </c>
      <c r="F800" s="5"/>
    </row>
    <row r="801" spans="1:6">
      <c r="A801" s="5" t="str">
        <f ca="1">IFERROR(__xludf.DUMMYFUNCTION("""COMPUTED_VALUE"""),"20180817FLPAW")</f>
        <v>20180817FLPAW</v>
      </c>
      <c r="B801" s="5" t="str">
        <f ca="1">IFERROR(__xludf.DUMMYFUNCTION("""COMPUTED_VALUE"""),"Wounded")</f>
        <v>Wounded</v>
      </c>
      <c r="C801" s="5" t="str">
        <f ca="1">IFERROR(__xludf.DUMMYFUNCTION("""COMPUTED_VALUE"""),"Male")</f>
        <v>Male</v>
      </c>
      <c r="D801" s="5" t="str">
        <f ca="1">IFERROR(__xludf.DUMMYFUNCTION("""COMPUTED_VALUE"""),"No Relation")</f>
        <v>No Relation</v>
      </c>
      <c r="E801" s="5">
        <f ca="1">IFERROR(__xludf.DUMMYFUNCTION("""COMPUTED_VALUE"""),29)</f>
        <v>29</v>
      </c>
      <c r="F801" s="5"/>
    </row>
    <row r="802" spans="1:6">
      <c r="A802" s="5" t="str">
        <f ca="1">IFERROR(__xludf.DUMMYFUNCTION("""COMPUTED_VALUE"""),"20180811TNANN")</f>
        <v>20180811TNANN</v>
      </c>
      <c r="B802" s="5" t="str">
        <f ca="1">IFERROR(__xludf.DUMMYFUNCTION("""COMPUTED_VALUE"""),"Wounded")</f>
        <v>Wounded</v>
      </c>
      <c r="C802" s="5" t="str">
        <f ca="1">IFERROR(__xludf.DUMMYFUNCTION("""COMPUTED_VALUE"""),"Male")</f>
        <v>Male</v>
      </c>
      <c r="D802" s="5" t="str">
        <f ca="1">IFERROR(__xludf.DUMMYFUNCTION("""COMPUTED_VALUE"""),"Other Staff")</f>
        <v>Other Staff</v>
      </c>
      <c r="E802" s="5">
        <f ca="1">IFERROR(__xludf.DUMMYFUNCTION("""COMPUTED_VALUE"""),42)</f>
        <v>42</v>
      </c>
      <c r="F802" s="5"/>
    </row>
    <row r="803" spans="1:6">
      <c r="A803" s="5" t="str">
        <f ca="1">IFERROR(__xludf.DUMMYFUNCTION("""COMPUTED_VALUE"""),"20180809NJLAM")</f>
        <v>20180809NJLAM</v>
      </c>
      <c r="B803" s="5" t="str">
        <f ca="1">IFERROR(__xludf.DUMMYFUNCTION("""COMPUTED_VALUE"""),"Fatal")</f>
        <v>Fatal</v>
      </c>
      <c r="C803" s="5" t="str">
        <f ca="1">IFERROR(__xludf.DUMMYFUNCTION("""COMPUTED_VALUE"""),"Male")</f>
        <v>Male</v>
      </c>
      <c r="D803" s="5" t="str">
        <f ca="1">IFERROR(__xludf.DUMMYFUNCTION("""COMPUTED_VALUE"""),"Parent")</f>
        <v>Parent</v>
      </c>
      <c r="E803" s="5">
        <f ca="1">IFERROR(__xludf.DUMMYFUNCTION("""COMPUTED_VALUE"""),37)</f>
        <v>37</v>
      </c>
      <c r="F803" s="5" t="str">
        <f ca="1">IFERROR(__xludf.DUMMYFUNCTION("""COMPUTED_VALUE"""),"Black")</f>
        <v>Black</v>
      </c>
    </row>
    <row r="804" spans="1:6">
      <c r="A804" s="5" t="str">
        <f ca="1">IFERROR(__xludf.DUMMYFUNCTION("""COMPUTED_VALUE"""),"20180804MDEDE")</f>
        <v>20180804MDEDE</v>
      </c>
      <c r="B804" s="5" t="str">
        <f ca="1">IFERROR(__xludf.DUMMYFUNCTION("""COMPUTED_VALUE"""),"Fatal")</f>
        <v>Fatal</v>
      </c>
      <c r="C804" s="5" t="str">
        <f ca="1">IFERROR(__xludf.DUMMYFUNCTION("""COMPUTED_VALUE"""),"Male")</f>
        <v>Male</v>
      </c>
      <c r="D804" s="5"/>
      <c r="E804" s="5">
        <f ca="1">IFERROR(__xludf.DUMMYFUNCTION("""COMPUTED_VALUE"""),19)</f>
        <v>19</v>
      </c>
      <c r="F804" s="5"/>
    </row>
    <row r="805" spans="1:6">
      <c r="A805" s="5" t="str">
        <f ca="1">IFERROR(__xludf.DUMMYFUNCTION("""COMPUTED_VALUE"""),"20180719WAWEY")</f>
        <v>20180719WAWEY</v>
      </c>
      <c r="B805" s="5" t="str">
        <f ca="1">IFERROR(__xludf.DUMMYFUNCTION("""COMPUTED_VALUE"""),"Fatal")</f>
        <v>Fatal</v>
      </c>
      <c r="C805" s="5" t="str">
        <f ca="1">IFERROR(__xludf.DUMMYFUNCTION("""COMPUTED_VALUE"""),"Male")</f>
        <v>Male</v>
      </c>
      <c r="D805" s="5" t="str">
        <f ca="1">IFERROR(__xludf.DUMMYFUNCTION("""COMPUTED_VALUE"""),"No Relation")</f>
        <v>No Relation</v>
      </c>
      <c r="E805" s="5">
        <f ca="1">IFERROR(__xludf.DUMMYFUNCTION("""COMPUTED_VALUE"""),18)</f>
        <v>18</v>
      </c>
      <c r="F805" s="5" t="str">
        <f ca="1">IFERROR(__xludf.DUMMYFUNCTION("""COMPUTED_VALUE"""),"Hispanic")</f>
        <v>Hispanic</v>
      </c>
    </row>
    <row r="806" spans="1:6">
      <c r="A806" s="5" t="str">
        <f ca="1">IFERROR(__xludf.DUMMYFUNCTION("""COMPUTED_VALUE"""),"20180717WVHUH")</f>
        <v>20180717WVHUH</v>
      </c>
      <c r="B806" s="5" t="str">
        <f ca="1">IFERROR(__xludf.DUMMYFUNCTION("""COMPUTED_VALUE"""),"None")</f>
        <v>None</v>
      </c>
      <c r="C806" s="5"/>
      <c r="D806" s="5"/>
      <c r="E806" s="5"/>
      <c r="F806" s="5"/>
    </row>
    <row r="807" spans="1:6">
      <c r="A807" s="5" t="str">
        <f ca="1">IFERROR(__xludf.DUMMYFUNCTION("""COMPUTED_VALUE"""),"20180711OHMIM")</f>
        <v>20180711OHMIM</v>
      </c>
      <c r="B807" s="5" t="str">
        <f ca="1">IFERROR(__xludf.DUMMYFUNCTION("""COMPUTED_VALUE"""),"Fatal")</f>
        <v>Fatal</v>
      </c>
      <c r="C807" s="5" t="str">
        <f ca="1">IFERROR(__xludf.DUMMYFUNCTION("""COMPUTED_VALUE"""),"Male")</f>
        <v>Male</v>
      </c>
      <c r="D807" s="5"/>
      <c r="E807" s="5">
        <f ca="1">IFERROR(__xludf.DUMMYFUNCTION("""COMPUTED_VALUE"""),20)</f>
        <v>20</v>
      </c>
      <c r="F807" s="5" t="str">
        <f ca="1">IFERROR(__xludf.DUMMYFUNCTION("""COMPUTED_VALUE"""),"Black")</f>
        <v>Black</v>
      </c>
    </row>
    <row r="808" spans="1:6">
      <c r="A808" s="5" t="str">
        <f ca="1">IFERROR(__xludf.DUMMYFUNCTION("""COMPUTED_VALUE"""),"20180703KSSUO")</f>
        <v>20180703KSSUO</v>
      </c>
      <c r="B808" s="5" t="str">
        <f ca="1">IFERROR(__xludf.DUMMYFUNCTION("""COMPUTED_VALUE"""),"Fatal")</f>
        <v>Fatal</v>
      </c>
      <c r="C808" s="5" t="str">
        <f ca="1">IFERROR(__xludf.DUMMYFUNCTION("""COMPUTED_VALUE"""),"Male")</f>
        <v>Male</v>
      </c>
      <c r="D808" s="5" t="str">
        <f ca="1">IFERROR(__xludf.DUMMYFUNCTION("""COMPUTED_VALUE"""),"No Relation")</f>
        <v>No Relation</v>
      </c>
      <c r="E808" s="5">
        <f ca="1">IFERROR(__xludf.DUMMYFUNCTION("""COMPUTED_VALUE"""),47)</f>
        <v>47</v>
      </c>
      <c r="F808" s="5"/>
    </row>
    <row r="809" spans="1:6">
      <c r="A809" s="5" t="str">
        <f ca="1">IFERROR(__xludf.DUMMYFUNCTION("""COMPUTED_VALUE"""),"20180703KSSUO")</f>
        <v>20180703KSSUO</v>
      </c>
      <c r="B809" s="5" t="str">
        <f ca="1">IFERROR(__xludf.DUMMYFUNCTION("""COMPUTED_VALUE"""),"Wounded")</f>
        <v>Wounded</v>
      </c>
      <c r="C809" s="5" t="str">
        <f ca="1">IFERROR(__xludf.DUMMYFUNCTION("""COMPUTED_VALUE"""),"Male")</f>
        <v>Male</v>
      </c>
      <c r="D809" s="5" t="str">
        <f ca="1">IFERROR(__xludf.DUMMYFUNCTION("""COMPUTED_VALUE"""),"No Relation")</f>
        <v>No Relation</v>
      </c>
      <c r="E809" s="5" t="str">
        <f ca="1">IFERROR(__xludf.DUMMYFUNCTION("""COMPUTED_VALUE"""),"Adult")</f>
        <v>Adult</v>
      </c>
      <c r="F809" s="5"/>
    </row>
    <row r="810" spans="1:6">
      <c r="A810" s="5" t="str">
        <f ca="1">IFERROR(__xludf.DUMMYFUNCTION("""COMPUTED_VALUE"""),"20180701TNRAM")</f>
        <v>20180701TNRAM</v>
      </c>
      <c r="B810" s="5" t="str">
        <f ca="1">IFERROR(__xludf.DUMMYFUNCTION("""COMPUTED_VALUE"""),"Fatal")</f>
        <v>Fatal</v>
      </c>
      <c r="C810" s="5" t="str">
        <f ca="1">IFERROR(__xludf.DUMMYFUNCTION("""COMPUTED_VALUE"""),"Male")</f>
        <v>Male</v>
      </c>
      <c r="D810" s="5" t="str">
        <f ca="1">IFERROR(__xludf.DUMMYFUNCTION("""COMPUTED_VALUE"""),"No Relation")</f>
        <v>No Relation</v>
      </c>
      <c r="E810" s="5" t="str">
        <f ca="1">IFERROR(__xludf.DUMMYFUNCTION("""COMPUTED_VALUE"""),"Adult")</f>
        <v>Adult</v>
      </c>
      <c r="F810" s="5"/>
    </row>
    <row r="811" spans="1:6">
      <c r="A811" s="5" t="str">
        <f ca="1">IFERROR(__xludf.DUMMYFUNCTION("""COMPUTED_VALUE"""),"20180625OHFUS")</f>
        <v>20180625OHFUS</v>
      </c>
      <c r="B811" s="5" t="str">
        <f ca="1">IFERROR(__xludf.DUMMYFUNCTION("""COMPUTED_VALUE"""),"Wounded")</f>
        <v>Wounded</v>
      </c>
      <c r="C811" s="5" t="str">
        <f ca="1">IFERROR(__xludf.DUMMYFUNCTION("""COMPUTED_VALUE"""),"Male")</f>
        <v>Male</v>
      </c>
      <c r="D811" s="5" t="str">
        <f ca="1">IFERROR(__xludf.DUMMYFUNCTION("""COMPUTED_VALUE"""),"No Relation")</f>
        <v>No Relation</v>
      </c>
      <c r="E811" s="5" t="str">
        <f ca="1">IFERROR(__xludf.DUMMYFUNCTION("""COMPUTED_VALUE"""),"Adult")</f>
        <v>Adult</v>
      </c>
      <c r="F811" s="5"/>
    </row>
    <row r="812" spans="1:6">
      <c r="A812" s="5" t="str">
        <f ca="1">IFERROR(__xludf.DUMMYFUNCTION("""COMPUTED_VALUE"""),"20180624MTSEM")</f>
        <v>20180624MTSEM</v>
      </c>
      <c r="B812" s="5" t="str">
        <f ca="1">IFERROR(__xludf.DUMMYFUNCTION("""COMPUTED_VALUE"""),"Wounded")</f>
        <v>Wounded</v>
      </c>
      <c r="C812" s="5" t="str">
        <f ca="1">IFERROR(__xludf.DUMMYFUNCTION("""COMPUTED_VALUE"""),"Male")</f>
        <v>Male</v>
      </c>
      <c r="D812" s="5" t="str">
        <f ca="1">IFERROR(__xludf.DUMMYFUNCTION("""COMPUTED_VALUE"""),"No Relation")</f>
        <v>No Relation</v>
      </c>
      <c r="E812" s="5" t="str">
        <f ca="1">IFERROR(__xludf.DUMMYFUNCTION("""COMPUTED_VALUE"""),"Teen")</f>
        <v>Teen</v>
      </c>
      <c r="F812" s="5"/>
    </row>
    <row r="813" spans="1:6">
      <c r="A813" s="5" t="str">
        <f ca="1">IFERROR(__xludf.DUMMYFUNCTION("""COMPUTED_VALUE"""),"20180624MTSEM")</f>
        <v>20180624MTSEM</v>
      </c>
      <c r="B813" s="5" t="str">
        <f ca="1">IFERROR(__xludf.DUMMYFUNCTION("""COMPUTED_VALUE"""),"Wounded")</f>
        <v>Wounded</v>
      </c>
      <c r="C813" s="5" t="str">
        <f ca="1">IFERROR(__xludf.DUMMYFUNCTION("""COMPUTED_VALUE"""),"Male")</f>
        <v>Male</v>
      </c>
      <c r="D813" s="5" t="str">
        <f ca="1">IFERROR(__xludf.DUMMYFUNCTION("""COMPUTED_VALUE"""),"No Relation")</f>
        <v>No Relation</v>
      </c>
      <c r="E813" s="5" t="str">
        <f ca="1">IFERROR(__xludf.DUMMYFUNCTION("""COMPUTED_VALUE"""),"Teen")</f>
        <v>Teen</v>
      </c>
      <c r="F813" s="5"/>
    </row>
    <row r="814" spans="1:6">
      <c r="A814" s="5" t="str">
        <f ca="1">IFERROR(__xludf.DUMMYFUNCTION("""COMPUTED_VALUE"""),"20180621TXSKD")</f>
        <v>20180621TXSKD</v>
      </c>
      <c r="B814" s="5" t="str">
        <f ca="1">IFERROR(__xludf.DUMMYFUNCTION("""COMPUTED_VALUE"""),"Wounded")</f>
        <v>Wounded</v>
      </c>
      <c r="C814" s="5" t="str">
        <f ca="1">IFERROR(__xludf.DUMMYFUNCTION("""COMPUTED_VALUE"""),"Female")</f>
        <v>Female</v>
      </c>
      <c r="D814" s="5" t="str">
        <f ca="1">IFERROR(__xludf.DUMMYFUNCTION("""COMPUTED_VALUE"""),"Student")</f>
        <v>Student</v>
      </c>
      <c r="E814" s="5">
        <f ca="1">IFERROR(__xludf.DUMMYFUNCTION("""COMPUTED_VALUE"""),16)</f>
        <v>16</v>
      </c>
      <c r="F814" s="5"/>
    </row>
    <row r="815" spans="1:6">
      <c r="A815" s="5" t="str">
        <f ca="1">IFERROR(__xludf.DUMMYFUNCTION("""COMPUTED_VALUE"""),"20180617ORGRP")</f>
        <v>20180617ORGRP</v>
      </c>
      <c r="B815" s="5" t="str">
        <f ca="1">IFERROR(__xludf.DUMMYFUNCTION("""COMPUTED_VALUE"""),"Fatal")</f>
        <v>Fatal</v>
      </c>
      <c r="C815" s="5" t="str">
        <f ca="1">IFERROR(__xludf.DUMMYFUNCTION("""COMPUTED_VALUE"""),"Male")</f>
        <v>Male</v>
      </c>
      <c r="D815" s="5" t="str">
        <f ca="1">IFERROR(__xludf.DUMMYFUNCTION("""COMPUTED_VALUE"""),"No Relation")</f>
        <v>No Relation</v>
      </c>
      <c r="E815" s="5" t="str">
        <f ca="1">IFERROR(__xludf.DUMMYFUNCTION("""COMPUTED_VALUE"""),"Adult")</f>
        <v>Adult</v>
      </c>
      <c r="F815" s="5"/>
    </row>
    <row r="816" spans="1:6">
      <c r="A816" s="5" t="str">
        <f ca="1">IFERROR(__xludf.DUMMYFUNCTION("""COMPUTED_VALUE"""),"20180615OHVAB")</f>
        <v>20180615OHVAB</v>
      </c>
      <c r="B816" s="5" t="str">
        <f ca="1">IFERROR(__xludf.DUMMYFUNCTION("""COMPUTED_VALUE"""),"None")</f>
        <v>None</v>
      </c>
      <c r="C816" s="5" t="str">
        <f ca="1">IFERROR(__xludf.DUMMYFUNCTION("""COMPUTED_VALUE"""),"Female")</f>
        <v>Female</v>
      </c>
      <c r="D816" s="5" t="str">
        <f ca="1">IFERROR(__xludf.DUMMYFUNCTION("""COMPUTED_VALUE"""),"Nonstudent Using Athletic Facilities/Attending Game")</f>
        <v>Nonstudent Using Athletic Facilities/Attending Game</v>
      </c>
      <c r="E816" s="5" t="str">
        <f ca="1">IFERROR(__xludf.DUMMYFUNCTION("""COMPUTED_VALUE"""),"Teen")</f>
        <v>Teen</v>
      </c>
      <c r="F816" s="5"/>
    </row>
    <row r="817" spans="1:6">
      <c r="A817" s="5" t="str">
        <f ca="1">IFERROR(__xludf.DUMMYFUNCTION("""COMPUTED_VALUE"""),"20180601TXMCM")</f>
        <v>20180601TXMCM</v>
      </c>
      <c r="B817" s="5" t="str">
        <f ca="1">IFERROR(__xludf.DUMMYFUNCTION("""COMPUTED_VALUE"""),"None")</f>
        <v>None</v>
      </c>
      <c r="C817" s="5" t="str">
        <f ca="1">IFERROR(__xludf.DUMMYFUNCTION("""COMPUTED_VALUE"""),"Unknown")</f>
        <v>Unknown</v>
      </c>
      <c r="D817" s="5" t="str">
        <f ca="1">IFERROR(__xludf.DUMMYFUNCTION("""COMPUTED_VALUE"""),"Student")</f>
        <v>Student</v>
      </c>
      <c r="E817" s="5" t="str">
        <f ca="1">IFERROR(__xludf.DUMMYFUNCTION("""COMPUTED_VALUE"""),"Teen")</f>
        <v>Teen</v>
      </c>
      <c r="F817" s="5"/>
    </row>
    <row r="818" spans="1:6">
      <c r="A818" s="5" t="str">
        <f ca="1">IFERROR(__xludf.DUMMYFUNCTION("""COMPUTED_VALUE"""),"20180525INNON")</f>
        <v>20180525INNON</v>
      </c>
      <c r="B818" s="5" t="str">
        <f ca="1">IFERROR(__xludf.DUMMYFUNCTION("""COMPUTED_VALUE"""),"Wounded")</f>
        <v>Wounded</v>
      </c>
      <c r="C818" s="5" t="str">
        <f ca="1">IFERROR(__xludf.DUMMYFUNCTION("""COMPUTED_VALUE"""),"Female")</f>
        <v>Female</v>
      </c>
      <c r="D818" s="5" t="str">
        <f ca="1">IFERROR(__xludf.DUMMYFUNCTION("""COMPUTED_VALUE"""),"Student")</f>
        <v>Student</v>
      </c>
      <c r="E818" s="5" t="str">
        <f ca="1">IFERROR(__xludf.DUMMYFUNCTION("""COMPUTED_VALUE"""),"Adult")</f>
        <v>Adult</v>
      </c>
      <c r="F818" s="5" t="str">
        <f ca="1">IFERROR(__xludf.DUMMYFUNCTION("""COMPUTED_VALUE"""),"White")</f>
        <v>White</v>
      </c>
    </row>
    <row r="819" spans="1:6">
      <c r="A819" s="5" t="str">
        <f ca="1">IFERROR(__xludf.DUMMYFUNCTION("""COMPUTED_VALUE"""),"20180525INNON")</f>
        <v>20180525INNON</v>
      </c>
      <c r="B819" s="5" t="str">
        <f ca="1">IFERROR(__xludf.DUMMYFUNCTION("""COMPUTED_VALUE"""),"Wounded")</f>
        <v>Wounded</v>
      </c>
      <c r="C819" s="5" t="str">
        <f ca="1">IFERROR(__xludf.DUMMYFUNCTION("""COMPUTED_VALUE"""),"Male")</f>
        <v>Male</v>
      </c>
      <c r="D819" s="5" t="str">
        <f ca="1">IFERROR(__xludf.DUMMYFUNCTION("""COMPUTED_VALUE"""),"Teacher")</f>
        <v>Teacher</v>
      </c>
      <c r="E819" s="5" t="str">
        <f ca="1">IFERROR(__xludf.DUMMYFUNCTION("""COMPUTED_VALUE"""),"Teen")</f>
        <v>Teen</v>
      </c>
      <c r="F819" s="5" t="str">
        <f ca="1">IFERROR(__xludf.DUMMYFUNCTION("""COMPUTED_VALUE"""),"White")</f>
        <v>White</v>
      </c>
    </row>
    <row r="820" spans="1:6">
      <c r="A820" s="5" t="str">
        <f ca="1">IFERROR(__xludf.DUMMYFUNCTION("""COMPUTED_VALUE"""),"20180521GABEG")</f>
        <v>20180521GABEG</v>
      </c>
      <c r="B820" s="5" t="str">
        <f ca="1">IFERROR(__xludf.DUMMYFUNCTION("""COMPUTED_VALUE"""),"Wounded")</f>
        <v>Wounded</v>
      </c>
      <c r="C820" s="5" t="str">
        <f ca="1">IFERROR(__xludf.DUMMYFUNCTION("""COMPUTED_VALUE"""),"Female")</f>
        <v>Female</v>
      </c>
      <c r="D820" s="5" t="str">
        <f ca="1">IFERROR(__xludf.DUMMYFUNCTION("""COMPUTED_VALUE"""),"Parent")</f>
        <v>Parent</v>
      </c>
      <c r="E820" s="5" t="str">
        <f ca="1">IFERROR(__xludf.DUMMYFUNCTION("""COMPUTED_VALUE"""),"Adult")</f>
        <v>Adult</v>
      </c>
      <c r="F820" s="5"/>
    </row>
    <row r="821" spans="1:6">
      <c r="A821" s="5" t="str">
        <f ca="1">IFERROR(__xludf.DUMMYFUNCTION("""COMPUTED_VALUE"""),"20180518TXSAS")</f>
        <v>20180518TXSAS</v>
      </c>
      <c r="B821" s="5" t="str">
        <f ca="1">IFERROR(__xludf.DUMMYFUNCTION("""COMPUTED_VALUE"""),"Wounded")</f>
        <v>Wounded</v>
      </c>
      <c r="C821" s="5"/>
      <c r="D821" s="5" t="str">
        <f ca="1">IFERROR(__xludf.DUMMYFUNCTION("""COMPUTED_VALUE"""),"Student")</f>
        <v>Student</v>
      </c>
      <c r="E821" s="5" t="str">
        <f ca="1">IFERROR(__xludf.DUMMYFUNCTION("""COMPUTED_VALUE"""),"Teen")</f>
        <v>Teen</v>
      </c>
      <c r="F821" s="5"/>
    </row>
    <row r="822" spans="1:6">
      <c r="A822" s="5" t="str">
        <f ca="1">IFERROR(__xludf.DUMMYFUNCTION("""COMPUTED_VALUE"""),"20180518TXSAS")</f>
        <v>20180518TXSAS</v>
      </c>
      <c r="B822" s="5" t="str">
        <f ca="1">IFERROR(__xludf.DUMMYFUNCTION("""COMPUTED_VALUE"""),"Fatal")</f>
        <v>Fatal</v>
      </c>
      <c r="C822" s="5" t="str">
        <f ca="1">IFERROR(__xludf.DUMMYFUNCTION("""COMPUTED_VALUE"""),"Male")</f>
        <v>Male</v>
      </c>
      <c r="D822" s="5" t="str">
        <f ca="1">IFERROR(__xludf.DUMMYFUNCTION("""COMPUTED_VALUE"""),"Student")</f>
        <v>Student</v>
      </c>
      <c r="E822" s="5">
        <f ca="1">IFERROR(__xludf.DUMMYFUNCTION("""COMPUTED_VALUE"""),17)</f>
        <v>17</v>
      </c>
      <c r="F822" s="5"/>
    </row>
    <row r="823" spans="1:6">
      <c r="A823" s="5" t="str">
        <f ca="1">IFERROR(__xludf.DUMMYFUNCTION("""COMPUTED_VALUE"""),"20180518TXSAS")</f>
        <v>20180518TXSAS</v>
      </c>
      <c r="B823" s="5" t="str">
        <f ca="1">IFERROR(__xludf.DUMMYFUNCTION("""COMPUTED_VALUE"""),"Fatal")</f>
        <v>Fatal</v>
      </c>
      <c r="C823" s="5" t="str">
        <f ca="1">IFERROR(__xludf.DUMMYFUNCTION("""COMPUTED_VALUE"""),"Female")</f>
        <v>Female</v>
      </c>
      <c r="D823" s="5" t="str">
        <f ca="1">IFERROR(__xludf.DUMMYFUNCTION("""COMPUTED_VALUE"""),"Teacher")</f>
        <v>Teacher</v>
      </c>
      <c r="E823" s="5">
        <f ca="1">IFERROR(__xludf.DUMMYFUNCTION("""COMPUTED_VALUE"""),63)</f>
        <v>63</v>
      </c>
      <c r="F823" s="5"/>
    </row>
    <row r="824" spans="1:6">
      <c r="A824" s="5" t="str">
        <f ca="1">IFERROR(__xludf.DUMMYFUNCTION("""COMPUTED_VALUE"""),"20180518TXSAS")</f>
        <v>20180518TXSAS</v>
      </c>
      <c r="B824" s="5" t="str">
        <f ca="1">IFERROR(__xludf.DUMMYFUNCTION("""COMPUTED_VALUE"""),"Fatal")</f>
        <v>Fatal</v>
      </c>
      <c r="C824" s="5" t="str">
        <f ca="1">IFERROR(__xludf.DUMMYFUNCTION("""COMPUTED_VALUE"""),"Male")</f>
        <v>Male</v>
      </c>
      <c r="D824" s="5" t="str">
        <f ca="1">IFERROR(__xludf.DUMMYFUNCTION("""COMPUTED_VALUE"""),"Student")</f>
        <v>Student</v>
      </c>
      <c r="E824" s="5">
        <f ca="1">IFERROR(__xludf.DUMMYFUNCTION("""COMPUTED_VALUE"""),17)</f>
        <v>17</v>
      </c>
      <c r="F824" s="5"/>
    </row>
    <row r="825" spans="1:6">
      <c r="A825" s="5" t="str">
        <f ca="1">IFERROR(__xludf.DUMMYFUNCTION("""COMPUTED_VALUE"""),"20180518TXSAS")</f>
        <v>20180518TXSAS</v>
      </c>
      <c r="B825" s="5" t="str">
        <f ca="1">IFERROR(__xludf.DUMMYFUNCTION("""COMPUTED_VALUE"""),"Fatal")</f>
        <v>Fatal</v>
      </c>
      <c r="C825" s="5" t="str">
        <f ca="1">IFERROR(__xludf.DUMMYFUNCTION("""COMPUTED_VALUE"""),"Female")</f>
        <v>Female</v>
      </c>
      <c r="D825" s="5" t="str">
        <f ca="1">IFERROR(__xludf.DUMMYFUNCTION("""COMPUTED_VALUE"""),"Teacher")</f>
        <v>Teacher</v>
      </c>
      <c r="E825" s="5">
        <f ca="1">IFERROR(__xludf.DUMMYFUNCTION("""COMPUTED_VALUE"""),64)</f>
        <v>64</v>
      </c>
      <c r="F825" s="5"/>
    </row>
    <row r="826" spans="1:6">
      <c r="A826" s="5" t="str">
        <f ca="1">IFERROR(__xludf.DUMMYFUNCTION("""COMPUTED_VALUE"""),"20180518TXSAS")</f>
        <v>20180518TXSAS</v>
      </c>
      <c r="B826" s="5" t="str">
        <f ca="1">IFERROR(__xludf.DUMMYFUNCTION("""COMPUTED_VALUE"""),"Fatal")</f>
        <v>Fatal</v>
      </c>
      <c r="C826" s="5" t="str">
        <f ca="1">IFERROR(__xludf.DUMMYFUNCTION("""COMPUTED_VALUE"""),"Male")</f>
        <v>Male</v>
      </c>
      <c r="D826" s="5" t="str">
        <f ca="1">IFERROR(__xludf.DUMMYFUNCTION("""COMPUTED_VALUE"""),"Student")</f>
        <v>Student</v>
      </c>
      <c r="E826" s="5">
        <f ca="1">IFERROR(__xludf.DUMMYFUNCTION("""COMPUTED_VALUE"""),17)</f>
        <v>17</v>
      </c>
      <c r="F826" s="5"/>
    </row>
    <row r="827" spans="1:6">
      <c r="A827" s="5" t="str">
        <f ca="1">IFERROR(__xludf.DUMMYFUNCTION("""COMPUTED_VALUE"""),"20180518TXSAS")</f>
        <v>20180518TXSAS</v>
      </c>
      <c r="B827" s="5" t="str">
        <f ca="1">IFERROR(__xludf.DUMMYFUNCTION("""COMPUTED_VALUE"""),"Wounded")</f>
        <v>Wounded</v>
      </c>
      <c r="C827" s="5"/>
      <c r="D827" s="5" t="str">
        <f ca="1">IFERROR(__xludf.DUMMYFUNCTION("""COMPUTED_VALUE"""),"Student")</f>
        <v>Student</v>
      </c>
      <c r="E827" s="5" t="str">
        <f ca="1">IFERROR(__xludf.DUMMYFUNCTION("""COMPUTED_VALUE"""),"Teen")</f>
        <v>Teen</v>
      </c>
      <c r="F827" s="5"/>
    </row>
    <row r="828" spans="1:6">
      <c r="A828" s="5" t="str">
        <f ca="1">IFERROR(__xludf.DUMMYFUNCTION("""COMPUTED_VALUE"""),"20180518TXSAS")</f>
        <v>20180518TXSAS</v>
      </c>
      <c r="B828" s="5" t="str">
        <f ca="1">IFERROR(__xludf.DUMMYFUNCTION("""COMPUTED_VALUE"""),"Fatal")</f>
        <v>Fatal</v>
      </c>
      <c r="C828" s="5" t="str">
        <f ca="1">IFERROR(__xludf.DUMMYFUNCTION("""COMPUTED_VALUE"""),"Female")</f>
        <v>Female</v>
      </c>
      <c r="D828" s="5" t="str">
        <f ca="1">IFERROR(__xludf.DUMMYFUNCTION("""COMPUTED_VALUE"""),"Student")</f>
        <v>Student</v>
      </c>
      <c r="E828" s="5">
        <f ca="1">IFERROR(__xludf.DUMMYFUNCTION("""COMPUTED_VALUE"""),14)</f>
        <v>14</v>
      </c>
      <c r="F828" s="5"/>
    </row>
    <row r="829" spans="1:6">
      <c r="A829" s="5" t="str">
        <f ca="1">IFERROR(__xludf.DUMMYFUNCTION("""COMPUTED_VALUE"""),"20180518TXSAS")</f>
        <v>20180518TXSAS</v>
      </c>
      <c r="B829" s="5" t="str">
        <f ca="1">IFERROR(__xludf.DUMMYFUNCTION("""COMPUTED_VALUE"""),"Fatal")</f>
        <v>Fatal</v>
      </c>
      <c r="C829" s="5" t="str">
        <f ca="1">IFERROR(__xludf.DUMMYFUNCTION("""COMPUTED_VALUE"""),"Female")</f>
        <v>Female</v>
      </c>
      <c r="D829" s="5" t="str">
        <f ca="1">IFERROR(__xludf.DUMMYFUNCTION("""COMPUTED_VALUE"""),"Student")</f>
        <v>Student</v>
      </c>
      <c r="E829" s="5">
        <f ca="1">IFERROR(__xludf.DUMMYFUNCTION("""COMPUTED_VALUE"""),16)</f>
        <v>16</v>
      </c>
      <c r="F829" s="5"/>
    </row>
    <row r="830" spans="1:6">
      <c r="A830" s="5" t="str">
        <f ca="1">IFERROR(__xludf.DUMMYFUNCTION("""COMPUTED_VALUE"""),"20180518TXSAS")</f>
        <v>20180518TXSAS</v>
      </c>
      <c r="B830" s="5" t="str">
        <f ca="1">IFERROR(__xludf.DUMMYFUNCTION("""COMPUTED_VALUE"""),"Wounded")</f>
        <v>Wounded</v>
      </c>
      <c r="C830" s="5"/>
      <c r="D830" s="5" t="str">
        <f ca="1">IFERROR(__xludf.DUMMYFUNCTION("""COMPUTED_VALUE"""),"Student")</f>
        <v>Student</v>
      </c>
      <c r="E830" s="5" t="str">
        <f ca="1">IFERROR(__xludf.DUMMYFUNCTION("""COMPUTED_VALUE"""),"Teen")</f>
        <v>Teen</v>
      </c>
      <c r="F830" s="5"/>
    </row>
    <row r="831" spans="1:6">
      <c r="A831" s="5" t="str">
        <f ca="1">IFERROR(__xludf.DUMMYFUNCTION("""COMPUTED_VALUE"""),"20180518TXSAS")</f>
        <v>20180518TXSAS</v>
      </c>
      <c r="B831" s="5" t="str">
        <f ca="1">IFERROR(__xludf.DUMMYFUNCTION("""COMPUTED_VALUE"""),"Wounded")</f>
        <v>Wounded</v>
      </c>
      <c r="C831" s="5"/>
      <c r="D831" s="5" t="str">
        <f ca="1">IFERROR(__xludf.DUMMYFUNCTION("""COMPUTED_VALUE"""),"Student")</f>
        <v>Student</v>
      </c>
      <c r="E831" s="5" t="str">
        <f ca="1">IFERROR(__xludf.DUMMYFUNCTION("""COMPUTED_VALUE"""),"Teen")</f>
        <v>Teen</v>
      </c>
      <c r="F831" s="5"/>
    </row>
    <row r="832" spans="1:6">
      <c r="A832" s="5" t="str">
        <f ca="1">IFERROR(__xludf.DUMMYFUNCTION("""COMPUTED_VALUE"""),"20180518TXSAS")</f>
        <v>20180518TXSAS</v>
      </c>
      <c r="B832" s="5" t="str">
        <f ca="1">IFERROR(__xludf.DUMMYFUNCTION("""COMPUTED_VALUE"""),"Wounded")</f>
        <v>Wounded</v>
      </c>
      <c r="C832" s="5"/>
      <c r="D832" s="5" t="str">
        <f ca="1">IFERROR(__xludf.DUMMYFUNCTION("""COMPUTED_VALUE"""),"Student")</f>
        <v>Student</v>
      </c>
      <c r="E832" s="5" t="str">
        <f ca="1">IFERROR(__xludf.DUMMYFUNCTION("""COMPUTED_VALUE"""),"Teen")</f>
        <v>Teen</v>
      </c>
      <c r="F832" s="5"/>
    </row>
    <row r="833" spans="1:6">
      <c r="A833" s="5" t="str">
        <f ca="1">IFERROR(__xludf.DUMMYFUNCTION("""COMPUTED_VALUE"""),"20180518TXSAS")</f>
        <v>20180518TXSAS</v>
      </c>
      <c r="B833" s="5" t="str">
        <f ca="1">IFERROR(__xludf.DUMMYFUNCTION("""COMPUTED_VALUE"""),"Fatal")</f>
        <v>Fatal</v>
      </c>
      <c r="C833" s="5" t="str">
        <f ca="1">IFERROR(__xludf.DUMMYFUNCTION("""COMPUTED_VALUE"""),"Male")</f>
        <v>Male</v>
      </c>
      <c r="D833" s="5" t="str">
        <f ca="1">IFERROR(__xludf.DUMMYFUNCTION("""COMPUTED_VALUE"""),"Student")</f>
        <v>Student</v>
      </c>
      <c r="E833" s="5">
        <f ca="1">IFERROR(__xludf.DUMMYFUNCTION("""COMPUTED_VALUE"""),15)</f>
        <v>15</v>
      </c>
      <c r="F833" s="5"/>
    </row>
    <row r="834" spans="1:6">
      <c r="A834" s="5" t="str">
        <f ca="1">IFERROR(__xludf.DUMMYFUNCTION("""COMPUTED_VALUE"""),"20180518TXSAS")</f>
        <v>20180518TXSAS</v>
      </c>
      <c r="B834" s="5" t="str">
        <f ca="1">IFERROR(__xludf.DUMMYFUNCTION("""COMPUTED_VALUE"""),"Wounded")</f>
        <v>Wounded</v>
      </c>
      <c r="C834" s="5"/>
      <c r="D834" s="5" t="str">
        <f ca="1">IFERROR(__xludf.DUMMYFUNCTION("""COMPUTED_VALUE"""),"Student")</f>
        <v>Student</v>
      </c>
      <c r="E834" s="5" t="str">
        <f ca="1">IFERROR(__xludf.DUMMYFUNCTION("""COMPUTED_VALUE"""),"Teen")</f>
        <v>Teen</v>
      </c>
      <c r="F834" s="5"/>
    </row>
    <row r="835" spans="1:6">
      <c r="A835" s="5" t="str">
        <f ca="1">IFERROR(__xludf.DUMMYFUNCTION("""COMPUTED_VALUE"""),"20180518TXSAS")</f>
        <v>20180518TXSAS</v>
      </c>
      <c r="B835" s="5" t="str">
        <f ca="1">IFERROR(__xludf.DUMMYFUNCTION("""COMPUTED_VALUE"""),"Wounded")</f>
        <v>Wounded</v>
      </c>
      <c r="C835" s="5"/>
      <c r="D835" s="5" t="str">
        <f ca="1">IFERROR(__xludf.DUMMYFUNCTION("""COMPUTED_VALUE"""),"Student")</f>
        <v>Student</v>
      </c>
      <c r="E835" s="5" t="str">
        <f ca="1">IFERROR(__xludf.DUMMYFUNCTION("""COMPUTED_VALUE"""),"Teen")</f>
        <v>Teen</v>
      </c>
      <c r="F835" s="5"/>
    </row>
    <row r="836" spans="1:6">
      <c r="A836" s="5" t="str">
        <f ca="1">IFERROR(__xludf.DUMMYFUNCTION("""COMPUTED_VALUE"""),"20180518TXSAS")</f>
        <v>20180518TXSAS</v>
      </c>
      <c r="B836" s="5" t="str">
        <f ca="1">IFERROR(__xludf.DUMMYFUNCTION("""COMPUTED_VALUE"""),"Wounded")</f>
        <v>Wounded</v>
      </c>
      <c r="C836" s="5"/>
      <c r="D836" s="5" t="str">
        <f ca="1">IFERROR(__xludf.DUMMYFUNCTION("""COMPUTED_VALUE"""),"Student")</f>
        <v>Student</v>
      </c>
      <c r="E836" s="5" t="str">
        <f ca="1">IFERROR(__xludf.DUMMYFUNCTION("""COMPUTED_VALUE"""),"Teen")</f>
        <v>Teen</v>
      </c>
      <c r="F836" s="5"/>
    </row>
    <row r="837" spans="1:6">
      <c r="A837" s="5" t="str">
        <f ca="1">IFERROR(__xludf.DUMMYFUNCTION("""COMPUTED_VALUE"""),"20180518TXSAS")</f>
        <v>20180518TXSAS</v>
      </c>
      <c r="B837" s="5" t="str">
        <f ca="1">IFERROR(__xludf.DUMMYFUNCTION("""COMPUTED_VALUE"""),"Fatal")</f>
        <v>Fatal</v>
      </c>
      <c r="C837" s="5" t="str">
        <f ca="1">IFERROR(__xludf.DUMMYFUNCTION("""COMPUTED_VALUE"""),"Male")</f>
        <v>Male</v>
      </c>
      <c r="D837" s="5" t="str">
        <f ca="1">IFERROR(__xludf.DUMMYFUNCTION("""COMPUTED_VALUE"""),"Student")</f>
        <v>Student</v>
      </c>
      <c r="E837" s="5">
        <f ca="1">IFERROR(__xludf.DUMMYFUNCTION("""COMPUTED_VALUE"""),15)</f>
        <v>15</v>
      </c>
      <c r="F837" s="5"/>
    </row>
    <row r="838" spans="1:6">
      <c r="A838" s="5" t="str">
        <f ca="1">IFERROR(__xludf.DUMMYFUNCTION("""COMPUTED_VALUE"""),"20180518TXSAS")</f>
        <v>20180518TXSAS</v>
      </c>
      <c r="B838" s="5" t="str">
        <f ca="1">IFERROR(__xludf.DUMMYFUNCTION("""COMPUTED_VALUE"""),"Wounded")</f>
        <v>Wounded</v>
      </c>
      <c r="C838" s="5"/>
      <c r="D838" s="5" t="str">
        <f ca="1">IFERROR(__xludf.DUMMYFUNCTION("""COMPUTED_VALUE"""),"Student")</f>
        <v>Student</v>
      </c>
      <c r="E838" s="5" t="str">
        <f ca="1">IFERROR(__xludf.DUMMYFUNCTION("""COMPUTED_VALUE"""),"Teen")</f>
        <v>Teen</v>
      </c>
      <c r="F838" s="5"/>
    </row>
    <row r="839" spans="1:6">
      <c r="A839" s="5" t="str">
        <f ca="1">IFERROR(__xludf.DUMMYFUNCTION("""COMPUTED_VALUE"""),"20180518TXSAS")</f>
        <v>20180518TXSAS</v>
      </c>
      <c r="B839" s="5" t="str">
        <f ca="1">IFERROR(__xludf.DUMMYFUNCTION("""COMPUTED_VALUE"""),"Wounded")</f>
        <v>Wounded</v>
      </c>
      <c r="C839" s="5"/>
      <c r="D839" s="5" t="str">
        <f ca="1">IFERROR(__xludf.DUMMYFUNCTION("""COMPUTED_VALUE"""),"Student")</f>
        <v>Student</v>
      </c>
      <c r="E839" s="5" t="str">
        <f ca="1">IFERROR(__xludf.DUMMYFUNCTION("""COMPUTED_VALUE"""),"Teen")</f>
        <v>Teen</v>
      </c>
      <c r="F839" s="5"/>
    </row>
    <row r="840" spans="1:6">
      <c r="A840" s="5" t="str">
        <f ca="1">IFERROR(__xludf.DUMMYFUNCTION("""COMPUTED_VALUE"""),"20180518TXSAS")</f>
        <v>20180518TXSAS</v>
      </c>
      <c r="B840" s="5" t="str">
        <f ca="1">IFERROR(__xludf.DUMMYFUNCTION("""COMPUTED_VALUE"""),"Wounded")</f>
        <v>Wounded</v>
      </c>
      <c r="C840" s="5"/>
      <c r="D840" s="5" t="str">
        <f ca="1">IFERROR(__xludf.DUMMYFUNCTION("""COMPUTED_VALUE"""),"Student")</f>
        <v>Student</v>
      </c>
      <c r="E840" s="5" t="str">
        <f ca="1">IFERROR(__xludf.DUMMYFUNCTION("""COMPUTED_VALUE"""),"Teen")</f>
        <v>Teen</v>
      </c>
      <c r="F840" s="5"/>
    </row>
    <row r="841" spans="1:6">
      <c r="A841" s="5" t="str">
        <f ca="1">IFERROR(__xludf.DUMMYFUNCTION("""COMPUTED_VALUE"""),"20180518TXSAS")</f>
        <v>20180518TXSAS</v>
      </c>
      <c r="B841" s="5" t="str">
        <f ca="1">IFERROR(__xludf.DUMMYFUNCTION("""COMPUTED_VALUE"""),"Fatal")</f>
        <v>Fatal</v>
      </c>
      <c r="C841" s="5" t="str">
        <f ca="1">IFERROR(__xludf.DUMMYFUNCTION("""COMPUTED_VALUE"""),"Female")</f>
        <v>Female</v>
      </c>
      <c r="D841" s="5" t="str">
        <f ca="1">IFERROR(__xludf.DUMMYFUNCTION("""COMPUTED_VALUE"""),"Student")</f>
        <v>Student</v>
      </c>
      <c r="E841" s="5">
        <f ca="1">IFERROR(__xludf.DUMMYFUNCTION("""COMPUTED_VALUE"""),15)</f>
        <v>15</v>
      </c>
      <c r="F841" s="5"/>
    </row>
    <row r="842" spans="1:6">
      <c r="A842" s="5" t="str">
        <f ca="1">IFERROR(__xludf.DUMMYFUNCTION("""COMPUTED_VALUE"""),"20180518TXSAS")</f>
        <v>20180518TXSAS</v>
      </c>
      <c r="B842" s="5" t="str">
        <f ca="1">IFERROR(__xludf.DUMMYFUNCTION("""COMPUTED_VALUE"""),"Wounded")</f>
        <v>Wounded</v>
      </c>
      <c r="C842" s="5"/>
      <c r="D842" s="5" t="str">
        <f ca="1">IFERROR(__xludf.DUMMYFUNCTION("""COMPUTED_VALUE"""),"Student")</f>
        <v>Student</v>
      </c>
      <c r="E842" s="5" t="str">
        <f ca="1">IFERROR(__xludf.DUMMYFUNCTION("""COMPUTED_VALUE"""),"Teen")</f>
        <v>Teen</v>
      </c>
      <c r="F842" s="5"/>
    </row>
    <row r="843" spans="1:6">
      <c r="A843" s="5" t="str">
        <f ca="1">IFERROR(__xludf.DUMMYFUNCTION("""COMPUTED_VALUE"""),"20180518TXSAS")</f>
        <v>20180518TXSAS</v>
      </c>
      <c r="B843" s="5" t="str">
        <f ca="1">IFERROR(__xludf.DUMMYFUNCTION("""COMPUTED_VALUE"""),"Wounded")</f>
        <v>Wounded</v>
      </c>
      <c r="C843" s="5"/>
      <c r="D843" s="5" t="str">
        <f ca="1">IFERROR(__xludf.DUMMYFUNCTION("""COMPUTED_VALUE"""),"Student")</f>
        <v>Student</v>
      </c>
      <c r="E843" s="5" t="str">
        <f ca="1">IFERROR(__xludf.DUMMYFUNCTION("""COMPUTED_VALUE"""),"Teen")</f>
        <v>Teen</v>
      </c>
      <c r="F843" s="5"/>
    </row>
    <row r="844" spans="1:6">
      <c r="A844" s="5" t="str">
        <f ca="1">IFERROR(__xludf.DUMMYFUNCTION("""COMPUTED_VALUE"""),"20180518GAMOA")</f>
        <v>20180518GAMOA</v>
      </c>
      <c r="B844" s="5" t="str">
        <f ca="1">IFERROR(__xludf.DUMMYFUNCTION("""COMPUTED_VALUE"""),"Fatal")</f>
        <v>Fatal</v>
      </c>
      <c r="C844" s="5" t="str">
        <f ca="1">IFERROR(__xludf.DUMMYFUNCTION("""COMPUTED_VALUE"""),"Female")</f>
        <v>Female</v>
      </c>
      <c r="D844" s="5" t="str">
        <f ca="1">IFERROR(__xludf.DUMMYFUNCTION("""COMPUTED_VALUE"""),"Relative")</f>
        <v>Relative</v>
      </c>
      <c r="E844" s="5">
        <f ca="1">IFERROR(__xludf.DUMMYFUNCTION("""COMPUTED_VALUE"""),40)</f>
        <v>40</v>
      </c>
      <c r="F844" s="5"/>
    </row>
    <row r="845" spans="1:6">
      <c r="A845" s="5" t="str">
        <f ca="1">IFERROR(__xludf.DUMMYFUNCTION("""COMPUTED_VALUE"""),"20180518GAMOA")</f>
        <v>20180518GAMOA</v>
      </c>
      <c r="B845" s="5" t="str">
        <f ca="1">IFERROR(__xludf.DUMMYFUNCTION("""COMPUTED_VALUE"""),"Wounded")</f>
        <v>Wounded</v>
      </c>
      <c r="C845" s="5" t="str">
        <f ca="1">IFERROR(__xludf.DUMMYFUNCTION("""COMPUTED_VALUE"""),"Female")</f>
        <v>Female</v>
      </c>
      <c r="D845" s="5" t="str">
        <f ca="1">IFERROR(__xludf.DUMMYFUNCTION("""COMPUTED_VALUE"""),"Relative")</f>
        <v>Relative</v>
      </c>
      <c r="E845" s="5">
        <f ca="1">IFERROR(__xludf.DUMMYFUNCTION("""COMPUTED_VALUE"""),21)</f>
        <v>21</v>
      </c>
      <c r="F845" s="5"/>
    </row>
    <row r="846" spans="1:6">
      <c r="A846" s="5" t="str">
        <f ca="1">IFERROR(__xludf.DUMMYFUNCTION("""COMPUTED_VALUE"""),"20180518GAMOA")</f>
        <v>20180518GAMOA</v>
      </c>
      <c r="B846" s="5" t="str">
        <f ca="1">IFERROR(__xludf.DUMMYFUNCTION("""COMPUTED_VALUE"""),"Wounded")</f>
        <v>Wounded</v>
      </c>
      <c r="C846" s="5" t="str">
        <f ca="1">IFERROR(__xludf.DUMMYFUNCTION("""COMPUTED_VALUE"""),"Female")</f>
        <v>Female</v>
      </c>
      <c r="D846" s="5" t="str">
        <f ca="1">IFERROR(__xludf.DUMMYFUNCTION("""COMPUTED_VALUE"""),"Relative")</f>
        <v>Relative</v>
      </c>
      <c r="E846" s="5" t="str">
        <f ca="1">IFERROR(__xludf.DUMMYFUNCTION("""COMPUTED_VALUE"""),"Adult")</f>
        <v>Adult</v>
      </c>
      <c r="F846" s="5"/>
    </row>
    <row r="847" spans="1:6">
      <c r="A847" s="5" t="str">
        <f ca="1">IFERROR(__xludf.DUMMYFUNCTION("""COMPUTED_VALUE"""),"20180517MOCEK")</f>
        <v>20180517MOCEK</v>
      </c>
      <c r="B847" s="5" t="str">
        <f ca="1">IFERROR(__xludf.DUMMYFUNCTION("""COMPUTED_VALUE"""),"Wounded")</f>
        <v>Wounded</v>
      </c>
      <c r="C847" s="5"/>
      <c r="D847" s="5" t="str">
        <f ca="1">IFERROR(__xludf.DUMMYFUNCTION("""COMPUTED_VALUE"""),"Relative")</f>
        <v>Relative</v>
      </c>
      <c r="E847" s="5" t="str">
        <f ca="1">IFERROR(__xludf.DUMMYFUNCTION("""COMPUTED_VALUE"""),"Adult")</f>
        <v>Adult</v>
      </c>
      <c r="F847" s="5"/>
    </row>
    <row r="848" spans="1:6">
      <c r="A848" s="5" t="str">
        <f ca="1">IFERROR(__xludf.DUMMYFUNCTION("""COMPUTED_VALUE"""),"20180517MOCEK")</f>
        <v>20180517MOCEK</v>
      </c>
      <c r="B848" s="5" t="str">
        <f ca="1">IFERROR(__xludf.DUMMYFUNCTION("""COMPUTED_VALUE"""),"Wounded")</f>
        <v>Wounded</v>
      </c>
      <c r="C848" s="5"/>
      <c r="D848" s="5" t="str">
        <f ca="1">IFERROR(__xludf.DUMMYFUNCTION("""COMPUTED_VALUE"""),"Student")</f>
        <v>Student</v>
      </c>
      <c r="E848" s="5" t="str">
        <f ca="1">IFERROR(__xludf.DUMMYFUNCTION("""COMPUTED_VALUE"""),"Teen")</f>
        <v>Teen</v>
      </c>
      <c r="F848" s="5"/>
    </row>
    <row r="849" spans="1:6">
      <c r="A849" s="5" t="str">
        <f ca="1">IFERROR(__xludf.DUMMYFUNCTION("""COMPUTED_VALUE"""),"20180516ILDID")</f>
        <v>20180516ILDID</v>
      </c>
      <c r="B849" s="5" t="str">
        <f ca="1">IFERROR(__xludf.DUMMYFUNCTION("""COMPUTED_VALUE"""),"Wounded")</f>
        <v>Wounded</v>
      </c>
      <c r="C849" s="5" t="str">
        <f ca="1">IFERROR(__xludf.DUMMYFUNCTION("""COMPUTED_VALUE"""),"Male")</f>
        <v>Male</v>
      </c>
      <c r="D849" s="5" t="str">
        <f ca="1">IFERROR(__xludf.DUMMYFUNCTION("""COMPUTED_VALUE"""),"Student")</f>
        <v>Student</v>
      </c>
      <c r="E849" s="5"/>
      <c r="F849" s="5"/>
    </row>
    <row r="850" spans="1:6">
      <c r="A850" s="5" t="str">
        <f ca="1">IFERROR(__xludf.DUMMYFUNCTION("""COMPUTED_VALUE"""),"20180511CAHIP")</f>
        <v>20180511CAHIP</v>
      </c>
      <c r="B850" s="5" t="str">
        <f ca="1">IFERROR(__xludf.DUMMYFUNCTION("""COMPUTED_VALUE"""),"Wounded")</f>
        <v>Wounded</v>
      </c>
      <c r="C850" s="5" t="str">
        <f ca="1">IFERROR(__xludf.DUMMYFUNCTION("""COMPUTED_VALUE"""),"Male")</f>
        <v>Male</v>
      </c>
      <c r="D850" s="5" t="str">
        <f ca="1">IFERROR(__xludf.DUMMYFUNCTION("""COMPUTED_VALUE"""),"Student")</f>
        <v>Student</v>
      </c>
      <c r="E850" s="5">
        <f ca="1">IFERROR(__xludf.DUMMYFUNCTION("""COMPUTED_VALUE"""),15)</f>
        <v>15</v>
      </c>
      <c r="F850" s="5"/>
    </row>
    <row r="851" spans="1:6">
      <c r="A851" s="5" t="str">
        <f ca="1">IFERROR(__xludf.DUMMYFUNCTION("""COMPUTED_VALUE"""),"20180505MIFOF")</f>
        <v>20180505MIFOF</v>
      </c>
      <c r="B851" s="5" t="str">
        <f ca="1">IFERROR(__xludf.DUMMYFUNCTION("""COMPUTED_VALUE"""),"None")</f>
        <v>None</v>
      </c>
      <c r="C851" s="5"/>
      <c r="D851" s="5"/>
      <c r="E851" s="5"/>
      <c r="F851" s="5"/>
    </row>
    <row r="852" spans="1:6">
      <c r="A852" s="5" t="str">
        <f ca="1">IFERROR(__xludf.DUMMYFUNCTION("""COMPUTED_VALUE"""),"20180503TNWAW")</f>
        <v>20180503TNWAW</v>
      </c>
      <c r="B852" s="5" t="str">
        <f ca="1">IFERROR(__xludf.DUMMYFUNCTION("""COMPUTED_VALUE"""),"None")</f>
        <v>None</v>
      </c>
      <c r="C852" s="5"/>
      <c r="D852" s="5"/>
      <c r="E852" s="5"/>
      <c r="F852" s="5"/>
    </row>
    <row r="853" spans="1:6">
      <c r="A853" s="5" t="str">
        <f ca="1">IFERROR(__xludf.DUMMYFUNCTION("""COMPUTED_VALUE"""),"20180503SDENW")</f>
        <v>20180503SDENW</v>
      </c>
      <c r="B853" s="5" t="str">
        <f ca="1">IFERROR(__xludf.DUMMYFUNCTION("""COMPUTED_VALUE"""),"Wounded")</f>
        <v>Wounded</v>
      </c>
      <c r="C853" s="5" t="str">
        <f ca="1">IFERROR(__xludf.DUMMYFUNCTION("""COMPUTED_VALUE"""),"Male")</f>
        <v>Male</v>
      </c>
      <c r="D853" s="5" t="str">
        <f ca="1">IFERROR(__xludf.DUMMYFUNCTION("""COMPUTED_VALUE"""),"Other Staff")</f>
        <v>Other Staff</v>
      </c>
      <c r="E853" s="5">
        <f ca="1">IFERROR(__xludf.DUMMYFUNCTION("""COMPUTED_VALUE"""),19)</f>
        <v>19</v>
      </c>
      <c r="F853" s="5"/>
    </row>
    <row r="854" spans="1:6">
      <c r="A854" s="5" t="str">
        <f ca="1">IFERROR(__xludf.DUMMYFUNCTION("""COMPUTED_VALUE"""),"20180425NMHIA")</f>
        <v>20180425NMHIA</v>
      </c>
      <c r="B854" s="5" t="str">
        <f ca="1">IFERROR(__xludf.DUMMYFUNCTION("""COMPUTED_VALUE"""),"Wounded")</f>
        <v>Wounded</v>
      </c>
      <c r="C854" s="5" t="str">
        <f ca="1">IFERROR(__xludf.DUMMYFUNCTION("""COMPUTED_VALUE"""),"Male")</f>
        <v>Male</v>
      </c>
      <c r="D854" s="5" t="str">
        <f ca="1">IFERROR(__xludf.DUMMYFUNCTION("""COMPUTED_VALUE"""),"Parent")</f>
        <v>Parent</v>
      </c>
      <c r="E854" s="5" t="str">
        <f ca="1">IFERROR(__xludf.DUMMYFUNCTION("""COMPUTED_VALUE"""),"Adult")</f>
        <v>Adult</v>
      </c>
      <c r="F854" s="5"/>
    </row>
    <row r="855" spans="1:6">
      <c r="A855" s="5" t="str">
        <f ca="1">IFERROR(__xludf.DUMMYFUNCTION("""COMPUTED_VALUE"""),"20180423GABEA")</f>
        <v>20180423GABEA</v>
      </c>
      <c r="B855" s="5" t="str">
        <f ca="1">IFERROR(__xludf.DUMMYFUNCTION("""COMPUTED_VALUE"""),"None")</f>
        <v>None</v>
      </c>
      <c r="C855" s="5"/>
      <c r="D855" s="5"/>
      <c r="E855" s="5"/>
      <c r="F855" s="5"/>
    </row>
    <row r="856" spans="1:6">
      <c r="A856" s="5" t="str">
        <f ca="1">IFERROR(__xludf.DUMMYFUNCTION("""COMPUTED_VALUE"""),"20180420FLFOO")</f>
        <v>20180420FLFOO</v>
      </c>
      <c r="B856" s="5" t="str">
        <f ca="1">IFERROR(__xludf.DUMMYFUNCTION("""COMPUTED_VALUE"""),"Wounded")</f>
        <v>Wounded</v>
      </c>
      <c r="C856" s="5" t="str">
        <f ca="1">IFERROR(__xludf.DUMMYFUNCTION("""COMPUTED_VALUE"""),"Male")</f>
        <v>Male</v>
      </c>
      <c r="D856" s="5" t="str">
        <f ca="1">IFERROR(__xludf.DUMMYFUNCTION("""COMPUTED_VALUE"""),"Student")</f>
        <v>Student</v>
      </c>
      <c r="E856" s="5" t="str">
        <f ca="1">IFERROR(__xludf.DUMMYFUNCTION("""COMPUTED_VALUE"""),"Teen")</f>
        <v>Teen</v>
      </c>
      <c r="F856" s="5"/>
    </row>
    <row r="857" spans="1:6">
      <c r="A857" s="5" t="str">
        <f ca="1">IFERROR(__xludf.DUMMYFUNCTION("""COMPUTED_VALUE"""),"20180419MIJAJ")</f>
        <v>20180419MIJAJ</v>
      </c>
      <c r="B857" s="5" t="str">
        <f ca="1">IFERROR(__xludf.DUMMYFUNCTION("""COMPUTED_VALUE"""),"None")</f>
        <v>None</v>
      </c>
      <c r="C857" s="5"/>
      <c r="D857" s="5"/>
      <c r="E857" s="5"/>
      <c r="F857" s="5"/>
    </row>
    <row r="858" spans="1:6">
      <c r="A858" s="5" t="str">
        <f ca="1">IFERROR(__xludf.DUMMYFUNCTION("""COMPUTED_VALUE"""),"20180412MORAR")</f>
        <v>20180412MORAR</v>
      </c>
      <c r="B858" s="5" t="str">
        <f ca="1">IFERROR(__xludf.DUMMYFUNCTION("""COMPUTED_VALUE"""),"Wounded")</f>
        <v>Wounded</v>
      </c>
      <c r="C858" s="5" t="str">
        <f ca="1">IFERROR(__xludf.DUMMYFUNCTION("""COMPUTED_VALUE"""),"Male")</f>
        <v>Male</v>
      </c>
      <c r="D858" s="5" t="str">
        <f ca="1">IFERROR(__xludf.DUMMYFUNCTION("""COMPUTED_VALUE"""),"Parent")</f>
        <v>Parent</v>
      </c>
      <c r="E858" s="5" t="str">
        <f ca="1">IFERROR(__xludf.DUMMYFUNCTION("""COMPUTED_VALUE"""),"Adult")</f>
        <v>Adult</v>
      </c>
      <c r="F858" s="5"/>
    </row>
    <row r="859" spans="1:6">
      <c r="A859" s="5" t="str">
        <f ca="1">IFERROR(__xludf.DUMMYFUNCTION("""COMPUTED_VALUE"""),"20180409NYGLG")</f>
        <v>20180409NYGLG</v>
      </c>
      <c r="B859" s="5" t="str">
        <f ca="1">IFERROR(__xludf.DUMMYFUNCTION("""COMPUTED_VALUE"""),"Wounded")</f>
        <v>Wounded</v>
      </c>
      <c r="C859" s="5" t="str">
        <f ca="1">IFERROR(__xludf.DUMMYFUNCTION("""COMPUTED_VALUE"""),"Male")</f>
        <v>Male</v>
      </c>
      <c r="D859" s="5" t="str">
        <f ca="1">IFERROR(__xludf.DUMMYFUNCTION("""COMPUTED_VALUE"""),"Student")</f>
        <v>Student</v>
      </c>
      <c r="E859" s="5" t="str">
        <f ca="1">IFERROR(__xludf.DUMMYFUNCTION("""COMPUTED_VALUE"""),"Teen")</f>
        <v>Teen</v>
      </c>
      <c r="F859" s="5"/>
    </row>
    <row r="860" spans="1:6">
      <c r="A860" s="5" t="str">
        <f ca="1">IFERROR(__xludf.DUMMYFUNCTION("""COMPUTED_VALUE"""),"20180329KYJOE")</f>
        <v>20180329KYJOE</v>
      </c>
      <c r="B860" s="5" t="str">
        <f ca="1">IFERROR(__xludf.DUMMYFUNCTION("""COMPUTED_VALUE"""),"None")</f>
        <v>None</v>
      </c>
      <c r="C860" s="5" t="str">
        <f ca="1">IFERROR(__xludf.DUMMYFUNCTION("""COMPUTED_VALUE"""),"Male")</f>
        <v>Male</v>
      </c>
      <c r="D860" s="5" t="str">
        <f ca="1">IFERROR(__xludf.DUMMYFUNCTION("""COMPUTED_VALUE"""),"Parent")</f>
        <v>Parent</v>
      </c>
      <c r="E860" s="5">
        <f ca="1">IFERROR(__xludf.DUMMYFUNCTION("""COMPUTED_VALUE"""),51)</f>
        <v>51</v>
      </c>
      <c r="F860" s="5" t="str">
        <f ca="1">IFERROR(__xludf.DUMMYFUNCTION("""COMPUTED_VALUE"""),"White")</f>
        <v>White</v>
      </c>
    </row>
    <row r="861" spans="1:6">
      <c r="A861" s="5" t="str">
        <f ca="1">IFERROR(__xludf.DUMMYFUNCTION("""COMPUTED_VALUE"""),"20180328MSEUE")</f>
        <v>20180328MSEUE</v>
      </c>
      <c r="B861" s="5" t="str">
        <f ca="1">IFERROR(__xludf.DUMMYFUNCTION("""COMPUTED_VALUE"""),"None")</f>
        <v>None</v>
      </c>
      <c r="C861" s="5"/>
      <c r="D861" s="5"/>
      <c r="E861" s="5"/>
      <c r="F861" s="5"/>
    </row>
    <row r="862" spans="1:6">
      <c r="A862" s="5" t="str">
        <f ca="1">IFERROR(__xludf.DUMMYFUNCTION("""COMPUTED_VALUE"""),"20180320MDGRG")</f>
        <v>20180320MDGRG</v>
      </c>
      <c r="B862" s="5" t="str">
        <f ca="1">IFERROR(__xludf.DUMMYFUNCTION("""COMPUTED_VALUE"""),"Fatal")</f>
        <v>Fatal</v>
      </c>
      <c r="C862" s="5" t="str">
        <f ca="1">IFERROR(__xludf.DUMMYFUNCTION("""COMPUTED_VALUE"""),"Male")</f>
        <v>Male</v>
      </c>
      <c r="D862" s="5" t="str">
        <f ca="1">IFERROR(__xludf.DUMMYFUNCTION("""COMPUTED_VALUE"""),"Student")</f>
        <v>Student</v>
      </c>
      <c r="E862" s="5" t="str">
        <f ca="1">IFERROR(__xludf.DUMMYFUNCTION("""COMPUTED_VALUE"""),"Teen")</f>
        <v>Teen</v>
      </c>
      <c r="F862" s="5" t="str">
        <f ca="1">IFERROR(__xludf.DUMMYFUNCTION("""COMPUTED_VALUE"""),"White")</f>
        <v>White</v>
      </c>
    </row>
    <row r="863" spans="1:6">
      <c r="A863" s="5" t="str">
        <f ca="1">IFERROR(__xludf.DUMMYFUNCTION("""COMPUTED_VALUE"""),"20180320MDGRG")</f>
        <v>20180320MDGRG</v>
      </c>
      <c r="B863" s="5" t="str">
        <f ca="1">IFERROR(__xludf.DUMMYFUNCTION("""COMPUTED_VALUE"""),"Wounded")</f>
        <v>Wounded</v>
      </c>
      <c r="C863" s="5" t="str">
        <f ca="1">IFERROR(__xludf.DUMMYFUNCTION("""COMPUTED_VALUE"""),"Female")</f>
        <v>Female</v>
      </c>
      <c r="D863" s="5" t="str">
        <f ca="1">IFERROR(__xludf.DUMMYFUNCTION("""COMPUTED_VALUE"""),"Student")</f>
        <v>Student</v>
      </c>
      <c r="E863" s="5" t="str">
        <f ca="1">IFERROR(__xludf.DUMMYFUNCTION("""COMPUTED_VALUE"""),"Teen")</f>
        <v>Teen</v>
      </c>
      <c r="F863" s="5" t="str">
        <f ca="1">IFERROR(__xludf.DUMMYFUNCTION("""COMPUTED_VALUE"""),"White")</f>
        <v>White</v>
      </c>
    </row>
    <row r="864" spans="1:6">
      <c r="A864" s="5" t="str">
        <f ca="1">IFERROR(__xludf.DUMMYFUNCTION("""COMPUTED_VALUE"""),"20180319VADOP")</f>
        <v>20180319VADOP</v>
      </c>
      <c r="B864" s="5" t="str">
        <f ca="1">IFERROR(__xludf.DUMMYFUNCTION("""COMPUTED_VALUE"""),"Wounded")</f>
        <v>Wounded</v>
      </c>
      <c r="C864" s="5" t="str">
        <f ca="1">IFERROR(__xludf.DUMMYFUNCTION("""COMPUTED_VALUE"""),"Female")</f>
        <v>Female</v>
      </c>
      <c r="D864" s="5" t="str">
        <f ca="1">IFERROR(__xludf.DUMMYFUNCTION("""COMPUTED_VALUE"""),"Parent")</f>
        <v>Parent</v>
      </c>
      <c r="E864" s="5" t="str">
        <f ca="1">IFERROR(__xludf.DUMMYFUNCTION("""COMPUTED_VALUE"""),"Adult")</f>
        <v>Adult</v>
      </c>
      <c r="F864" s="5"/>
    </row>
    <row r="865" spans="1:6">
      <c r="A865" s="5" t="str">
        <f ca="1">IFERROR(__xludf.DUMMYFUNCTION("""COMPUTED_VALUE"""),"20180316MTBIM")</f>
        <v>20180316MTBIM</v>
      </c>
      <c r="B865" s="5" t="str">
        <f ca="1">IFERROR(__xludf.DUMMYFUNCTION("""COMPUTED_VALUE"""),"None")</f>
        <v>None</v>
      </c>
      <c r="C865" s="5"/>
      <c r="D865" s="5"/>
      <c r="E865" s="5"/>
      <c r="F865" s="5"/>
    </row>
    <row r="866" spans="1:6">
      <c r="A866" s="5" t="str">
        <f ca="1">IFERROR(__xludf.DUMMYFUNCTION("""COMPUTED_VALUE"""),"20180313VAGEA")</f>
        <v>20180313VAGEA</v>
      </c>
      <c r="B866" s="5" t="str">
        <f ca="1">IFERROR(__xludf.DUMMYFUNCTION("""COMPUTED_VALUE"""),"None")</f>
        <v>None</v>
      </c>
      <c r="C866" s="5"/>
      <c r="D866" s="5"/>
      <c r="E866" s="5"/>
      <c r="F866" s="5"/>
    </row>
    <row r="867" spans="1:6">
      <c r="A867" s="5" t="str">
        <f ca="1">IFERROR(__xludf.DUMMYFUNCTION("""COMPUTED_VALUE"""),"20180313CASES")</f>
        <v>20180313CASES</v>
      </c>
      <c r="B867" s="5" t="str">
        <f ca="1">IFERROR(__xludf.DUMMYFUNCTION("""COMPUTED_VALUE"""),"Minor Injuries")</f>
        <v>Minor Injuries</v>
      </c>
      <c r="C867" s="5"/>
      <c r="D867" s="5" t="str">
        <f ca="1">IFERROR(__xludf.DUMMYFUNCTION("""COMPUTED_VALUE"""),"Student")</f>
        <v>Student</v>
      </c>
      <c r="E867" s="5" t="str">
        <f ca="1">IFERROR(__xludf.DUMMYFUNCTION("""COMPUTED_VALUE"""),"Teen")</f>
        <v>Teen</v>
      </c>
      <c r="F867" s="5"/>
    </row>
    <row r="868" spans="1:6">
      <c r="A868" s="5" t="str">
        <f ca="1">IFERROR(__xludf.DUMMYFUNCTION("""COMPUTED_VALUE"""),"20180313CASES")</f>
        <v>20180313CASES</v>
      </c>
      <c r="B868" s="5" t="str">
        <f ca="1">IFERROR(__xludf.DUMMYFUNCTION("""COMPUTED_VALUE"""),"Minor Injuries")</f>
        <v>Minor Injuries</v>
      </c>
      <c r="C868" s="5"/>
      <c r="D868" s="5" t="str">
        <f ca="1">IFERROR(__xludf.DUMMYFUNCTION("""COMPUTED_VALUE"""),"Student")</f>
        <v>Student</v>
      </c>
      <c r="E868" s="5" t="str">
        <f ca="1">IFERROR(__xludf.DUMMYFUNCTION("""COMPUTED_VALUE"""),"Teen")</f>
        <v>Teen</v>
      </c>
      <c r="F868" s="5"/>
    </row>
    <row r="869" spans="1:6">
      <c r="A869" s="5" t="str">
        <f ca="1">IFERROR(__xludf.DUMMYFUNCTION("""COMPUTED_VALUE"""),"20180313CASES")</f>
        <v>20180313CASES</v>
      </c>
      <c r="B869" s="5" t="str">
        <f ca="1">IFERROR(__xludf.DUMMYFUNCTION("""COMPUTED_VALUE"""),"Minor Injuries")</f>
        <v>Minor Injuries</v>
      </c>
      <c r="C869" s="5"/>
      <c r="D869" s="5" t="str">
        <f ca="1">IFERROR(__xludf.DUMMYFUNCTION("""COMPUTED_VALUE"""),"Student")</f>
        <v>Student</v>
      </c>
      <c r="E869" s="5" t="str">
        <f ca="1">IFERROR(__xludf.DUMMYFUNCTION("""COMPUTED_VALUE"""),"Teen")</f>
        <v>Teen</v>
      </c>
      <c r="F869" s="5"/>
    </row>
    <row r="870" spans="1:6">
      <c r="A870" s="5" t="str">
        <f ca="1">IFERROR(__xludf.DUMMYFUNCTION("""COMPUTED_VALUE"""),"20180309KYFRL")</f>
        <v>20180309KYFRL</v>
      </c>
      <c r="B870" s="5" t="str">
        <f ca="1">IFERROR(__xludf.DUMMYFUNCTION("""COMPUTED_VALUE"""),"None")</f>
        <v>None</v>
      </c>
      <c r="C870" s="5" t="str">
        <f ca="1">IFERROR(__xludf.DUMMYFUNCTION("""COMPUTED_VALUE"""),"Male")</f>
        <v>Male</v>
      </c>
      <c r="D870" s="5" t="str">
        <f ca="1">IFERROR(__xludf.DUMMYFUNCTION("""COMPUTED_VALUE"""),"Student")</f>
        <v>Student</v>
      </c>
      <c r="E870" s="5" t="str">
        <f ca="1">IFERROR(__xludf.DUMMYFUNCTION("""COMPUTED_VALUE"""),"Teen")</f>
        <v>Teen</v>
      </c>
      <c r="F870" s="5"/>
    </row>
    <row r="871" spans="1:6">
      <c r="A871" s="5" t="str">
        <f ca="1">IFERROR(__xludf.DUMMYFUNCTION("""COMPUTED_VALUE"""),"20180307ALHUB")</f>
        <v>20180307ALHUB</v>
      </c>
      <c r="B871" s="5" t="str">
        <f ca="1">IFERROR(__xludf.DUMMYFUNCTION("""COMPUTED_VALUE"""),"Fatal")</f>
        <v>Fatal</v>
      </c>
      <c r="C871" s="5" t="str">
        <f ca="1">IFERROR(__xludf.DUMMYFUNCTION("""COMPUTED_VALUE"""),"Female")</f>
        <v>Female</v>
      </c>
      <c r="D871" s="5" t="str">
        <f ca="1">IFERROR(__xludf.DUMMYFUNCTION("""COMPUTED_VALUE"""),"Student")</f>
        <v>Student</v>
      </c>
      <c r="E871" s="5" t="str">
        <f ca="1">IFERROR(__xludf.DUMMYFUNCTION("""COMPUTED_VALUE"""),"Teen")</f>
        <v>Teen</v>
      </c>
      <c r="F871" s="5" t="str">
        <f ca="1">IFERROR(__xludf.DUMMYFUNCTION("""COMPUTED_VALUE"""),"Black")</f>
        <v>Black</v>
      </c>
    </row>
    <row r="872" spans="1:6">
      <c r="A872" s="5" t="str">
        <f ca="1">IFERROR(__xludf.DUMMYFUNCTION("""COMPUTED_VALUE"""),"20180305MOKIC")</f>
        <v>20180305MOKIC</v>
      </c>
      <c r="B872" s="5" t="str">
        <f ca="1">IFERROR(__xludf.DUMMYFUNCTION("""COMPUTED_VALUE"""),"None")</f>
        <v>None</v>
      </c>
      <c r="C872" s="5"/>
      <c r="D872" s="5"/>
      <c r="E872" s="5"/>
      <c r="F872" s="5"/>
    </row>
    <row r="873" spans="1:6">
      <c r="A873" s="5" t="str">
        <f ca="1">IFERROR(__xludf.DUMMYFUNCTION("""COMPUTED_VALUE"""),"20180228GADAD")</f>
        <v>20180228GADAD</v>
      </c>
      <c r="B873" s="5" t="str">
        <f ca="1">IFERROR(__xludf.DUMMYFUNCTION("""COMPUTED_VALUE"""),"None")</f>
        <v>None</v>
      </c>
      <c r="C873" s="5"/>
      <c r="D873" s="5"/>
      <c r="E873" s="5"/>
      <c r="F873" s="5"/>
    </row>
    <row r="874" spans="1:6">
      <c r="A874" s="5" t="str">
        <f ca="1">IFERROR(__xludf.DUMMYFUNCTION("""COMPUTED_VALUE"""),"20180226WAOAT")</f>
        <v>20180226WAOAT</v>
      </c>
      <c r="B874" s="5" t="str">
        <f ca="1">IFERROR(__xludf.DUMMYFUNCTION("""COMPUTED_VALUE"""),"None")</f>
        <v>None</v>
      </c>
      <c r="C874" s="5"/>
      <c r="D874" s="5"/>
      <c r="E874" s="5"/>
      <c r="F874" s="5"/>
    </row>
    <row r="875" spans="1:6">
      <c r="A875" s="5" t="str">
        <f ca="1">IFERROR(__xludf.DUMMYFUNCTION("""COMPUTED_VALUE"""),"20180220OHJAM")</f>
        <v>20180220OHJAM</v>
      </c>
      <c r="B875" s="5" t="str">
        <f ca="1">IFERROR(__xludf.DUMMYFUNCTION("""COMPUTED_VALUE"""),"None")</f>
        <v>None</v>
      </c>
      <c r="C875" s="5" t="str">
        <f ca="1">IFERROR(__xludf.DUMMYFUNCTION("""COMPUTED_VALUE"""),"Male")</f>
        <v>Male</v>
      </c>
      <c r="D875" s="5" t="str">
        <f ca="1">IFERROR(__xludf.DUMMYFUNCTION("""COMPUTED_VALUE"""),"Student")</f>
        <v>Student</v>
      </c>
      <c r="E875" s="5">
        <f ca="1">IFERROR(__xludf.DUMMYFUNCTION("""COMPUTED_VALUE"""),13)</f>
        <v>13</v>
      </c>
      <c r="F875" s="5"/>
    </row>
    <row r="876" spans="1:6">
      <c r="A876" s="5" t="str">
        <f ca="1">IFERROR(__xludf.DUMMYFUNCTION("""COMPUTED_VALUE"""),"20180215FLNOC")</f>
        <v>20180215FLNOC</v>
      </c>
      <c r="B876" s="5" t="str">
        <f ca="1">IFERROR(__xludf.DUMMYFUNCTION("""COMPUTED_VALUE"""),"None")</f>
        <v>None</v>
      </c>
      <c r="C876" s="5"/>
      <c r="D876" s="5"/>
      <c r="E876" s="5"/>
      <c r="F876" s="5"/>
    </row>
    <row r="877" spans="1:6">
      <c r="A877" s="5" t="str">
        <f ca="1">IFERROR(__xludf.DUMMYFUNCTION("""COMPUTED_VALUE"""),"20180214FLMAP")</f>
        <v>20180214FLMAP</v>
      </c>
      <c r="B877" s="5" t="str">
        <f ca="1">IFERROR(__xludf.DUMMYFUNCTION("""COMPUTED_VALUE"""),"Wounded")</f>
        <v>Wounded</v>
      </c>
      <c r="C877" s="5" t="str">
        <f ca="1">IFERROR(__xludf.DUMMYFUNCTION("""COMPUTED_VALUE"""),"Female")</f>
        <v>Female</v>
      </c>
      <c r="D877" s="5" t="str">
        <f ca="1">IFERROR(__xludf.DUMMYFUNCTION("""COMPUTED_VALUE"""),"Teacher")</f>
        <v>Teacher</v>
      </c>
      <c r="E877" s="5">
        <f ca="1">IFERROR(__xludf.DUMMYFUNCTION("""COMPUTED_VALUE"""),50)</f>
        <v>50</v>
      </c>
      <c r="F877" s="5"/>
    </row>
    <row r="878" spans="1:6">
      <c r="A878" s="5" t="str">
        <f ca="1">IFERROR(__xludf.DUMMYFUNCTION("""COMPUTED_VALUE"""),"20180214FLMAP")</f>
        <v>20180214FLMAP</v>
      </c>
      <c r="B878" s="5" t="str">
        <f ca="1">IFERROR(__xludf.DUMMYFUNCTION("""COMPUTED_VALUE"""),"Fatal")</f>
        <v>Fatal</v>
      </c>
      <c r="C878" s="5" t="str">
        <f ca="1">IFERROR(__xludf.DUMMYFUNCTION("""COMPUTED_VALUE"""),"Female")</f>
        <v>Female</v>
      </c>
      <c r="D878" s="5" t="str">
        <f ca="1">IFERROR(__xludf.DUMMYFUNCTION("""COMPUTED_VALUE"""),"Student")</f>
        <v>Student</v>
      </c>
      <c r="E878" s="5">
        <f ca="1">IFERROR(__xludf.DUMMYFUNCTION("""COMPUTED_VALUE"""),14)</f>
        <v>14</v>
      </c>
      <c r="F878" s="5"/>
    </row>
    <row r="879" spans="1:6">
      <c r="A879" s="5" t="str">
        <f ca="1">IFERROR(__xludf.DUMMYFUNCTION("""COMPUTED_VALUE"""),"20180214FLMAP")</f>
        <v>20180214FLMAP</v>
      </c>
      <c r="B879" s="5" t="str">
        <f ca="1">IFERROR(__xludf.DUMMYFUNCTION("""COMPUTED_VALUE"""),"Wounded")</f>
        <v>Wounded</v>
      </c>
      <c r="C879" s="5" t="str">
        <f ca="1">IFERROR(__xludf.DUMMYFUNCTION("""COMPUTED_VALUE"""),"Female")</f>
        <v>Female</v>
      </c>
      <c r="D879" s="5" t="str">
        <f ca="1">IFERROR(__xludf.DUMMYFUNCTION("""COMPUTED_VALUE"""),"Student")</f>
        <v>Student</v>
      </c>
      <c r="E879" s="5">
        <f ca="1">IFERROR(__xludf.DUMMYFUNCTION("""COMPUTED_VALUE"""),18)</f>
        <v>18</v>
      </c>
      <c r="F879" s="5"/>
    </row>
    <row r="880" spans="1:6">
      <c r="A880" s="5" t="str">
        <f ca="1">IFERROR(__xludf.DUMMYFUNCTION("""COMPUTED_VALUE"""),"20180214FLMAP")</f>
        <v>20180214FLMAP</v>
      </c>
      <c r="B880" s="5" t="str">
        <f ca="1">IFERROR(__xludf.DUMMYFUNCTION("""COMPUTED_VALUE"""),"Wounded")</f>
        <v>Wounded</v>
      </c>
      <c r="C880" s="5" t="str">
        <f ca="1">IFERROR(__xludf.DUMMYFUNCTION("""COMPUTED_VALUE"""),"Female")</f>
        <v>Female</v>
      </c>
      <c r="D880" s="5" t="str">
        <f ca="1">IFERROR(__xludf.DUMMYFUNCTION("""COMPUTED_VALUE"""),"Student")</f>
        <v>Student</v>
      </c>
      <c r="E880" s="5" t="str">
        <f ca="1">IFERROR(__xludf.DUMMYFUNCTION("""COMPUTED_VALUE"""),"Teen")</f>
        <v>Teen</v>
      </c>
      <c r="F880" s="5"/>
    </row>
    <row r="881" spans="1:6">
      <c r="A881" s="5" t="str">
        <f ca="1">IFERROR(__xludf.DUMMYFUNCTION("""COMPUTED_VALUE"""),"20180214FLMAP")</f>
        <v>20180214FLMAP</v>
      </c>
      <c r="B881" s="5" t="str">
        <f ca="1">IFERROR(__xludf.DUMMYFUNCTION("""COMPUTED_VALUE"""),"Fatal")</f>
        <v>Fatal</v>
      </c>
      <c r="C881" s="5" t="str">
        <f ca="1">IFERROR(__xludf.DUMMYFUNCTION("""COMPUTED_VALUE"""),"Female")</f>
        <v>Female</v>
      </c>
      <c r="D881" s="5" t="str">
        <f ca="1">IFERROR(__xludf.DUMMYFUNCTION("""COMPUTED_VALUE"""),"Student")</f>
        <v>Student</v>
      </c>
      <c r="E881" s="5">
        <f ca="1">IFERROR(__xludf.DUMMYFUNCTION("""COMPUTED_VALUE"""),18)</f>
        <v>18</v>
      </c>
      <c r="F881" s="5"/>
    </row>
    <row r="882" spans="1:6">
      <c r="A882" s="5" t="str">
        <f ca="1">IFERROR(__xludf.DUMMYFUNCTION("""COMPUTED_VALUE"""),"20180214FLMAP")</f>
        <v>20180214FLMAP</v>
      </c>
      <c r="B882" s="5" t="str">
        <f ca="1">IFERROR(__xludf.DUMMYFUNCTION("""COMPUTED_VALUE"""),"Wounded")</f>
        <v>Wounded</v>
      </c>
      <c r="C882" s="5" t="str">
        <f ca="1">IFERROR(__xludf.DUMMYFUNCTION("""COMPUTED_VALUE"""),"Female")</f>
        <v>Female</v>
      </c>
      <c r="D882" s="5" t="str">
        <f ca="1">IFERROR(__xludf.DUMMYFUNCTION("""COMPUTED_VALUE"""),"Student")</f>
        <v>Student</v>
      </c>
      <c r="E882" s="5" t="str">
        <f ca="1">IFERROR(__xludf.DUMMYFUNCTION("""COMPUTED_VALUE"""),"Teen")</f>
        <v>Teen</v>
      </c>
      <c r="F882" s="5"/>
    </row>
    <row r="883" spans="1:6">
      <c r="A883" s="5" t="str">
        <f ca="1">IFERROR(__xludf.DUMMYFUNCTION("""COMPUTED_VALUE"""),"20180214FLMAP")</f>
        <v>20180214FLMAP</v>
      </c>
      <c r="B883" s="5" t="str">
        <f ca="1">IFERROR(__xludf.DUMMYFUNCTION("""COMPUTED_VALUE"""),"Wounded")</f>
        <v>Wounded</v>
      </c>
      <c r="C883" s="5" t="str">
        <f ca="1">IFERROR(__xludf.DUMMYFUNCTION("""COMPUTED_VALUE"""),"Female")</f>
        <v>Female</v>
      </c>
      <c r="D883" s="5" t="str">
        <f ca="1">IFERROR(__xludf.DUMMYFUNCTION("""COMPUTED_VALUE"""),"Student")</f>
        <v>Student</v>
      </c>
      <c r="E883" s="5">
        <f ca="1">IFERROR(__xludf.DUMMYFUNCTION("""COMPUTED_VALUE"""),17)</f>
        <v>17</v>
      </c>
      <c r="F883" s="5"/>
    </row>
    <row r="884" spans="1:6">
      <c r="A884" s="5" t="str">
        <f ca="1">IFERROR(__xludf.DUMMYFUNCTION("""COMPUTED_VALUE"""),"20180214FLMAP")</f>
        <v>20180214FLMAP</v>
      </c>
      <c r="B884" s="5" t="str">
        <f ca="1">IFERROR(__xludf.DUMMYFUNCTION("""COMPUTED_VALUE"""),"Fatal")</f>
        <v>Fatal</v>
      </c>
      <c r="C884" s="5" t="str">
        <f ca="1">IFERROR(__xludf.DUMMYFUNCTION("""COMPUTED_VALUE"""),"Male")</f>
        <v>Male</v>
      </c>
      <c r="D884" s="5" t="str">
        <f ca="1">IFERROR(__xludf.DUMMYFUNCTION("""COMPUTED_VALUE"""),"Teacher")</f>
        <v>Teacher</v>
      </c>
      <c r="E884" s="5">
        <f ca="1">IFERROR(__xludf.DUMMYFUNCTION("""COMPUTED_VALUE"""),49)</f>
        <v>49</v>
      </c>
      <c r="F884" s="5"/>
    </row>
    <row r="885" spans="1:6">
      <c r="A885" s="5" t="str">
        <f ca="1">IFERROR(__xludf.DUMMYFUNCTION("""COMPUTED_VALUE"""),"20180214FLMAP")</f>
        <v>20180214FLMAP</v>
      </c>
      <c r="B885" s="5" t="str">
        <f ca="1">IFERROR(__xludf.DUMMYFUNCTION("""COMPUTED_VALUE"""),"Wounded")</f>
        <v>Wounded</v>
      </c>
      <c r="C885" s="5" t="str">
        <f ca="1">IFERROR(__xludf.DUMMYFUNCTION("""COMPUTED_VALUE"""),"Female")</f>
        <v>Female</v>
      </c>
      <c r="D885" s="5" t="str">
        <f ca="1">IFERROR(__xludf.DUMMYFUNCTION("""COMPUTED_VALUE"""),"Student")</f>
        <v>Student</v>
      </c>
      <c r="E885" s="5">
        <f ca="1">IFERROR(__xludf.DUMMYFUNCTION("""COMPUTED_VALUE"""),17)</f>
        <v>17</v>
      </c>
      <c r="F885" s="5"/>
    </row>
    <row r="886" spans="1:6">
      <c r="A886" s="5" t="str">
        <f ca="1">IFERROR(__xludf.DUMMYFUNCTION("""COMPUTED_VALUE"""),"20180214FLMAP")</f>
        <v>20180214FLMAP</v>
      </c>
      <c r="B886" s="5" t="str">
        <f ca="1">IFERROR(__xludf.DUMMYFUNCTION("""COMPUTED_VALUE"""),"Wounded")</f>
        <v>Wounded</v>
      </c>
      <c r="C886" s="5" t="str">
        <f ca="1">IFERROR(__xludf.DUMMYFUNCTION("""COMPUTED_VALUE"""),"Male")</f>
        <v>Male</v>
      </c>
      <c r="D886" s="5" t="str">
        <f ca="1">IFERROR(__xludf.DUMMYFUNCTION("""COMPUTED_VALUE"""),"Student")</f>
        <v>Student</v>
      </c>
      <c r="E886" s="5" t="str">
        <f ca="1">IFERROR(__xludf.DUMMYFUNCTION("""COMPUTED_VALUE"""),"Teen")</f>
        <v>Teen</v>
      </c>
      <c r="F886" s="5"/>
    </row>
    <row r="887" spans="1:6">
      <c r="A887" s="5" t="str">
        <f ca="1">IFERROR(__xludf.DUMMYFUNCTION("""COMPUTED_VALUE"""),"20180214FLMAP")</f>
        <v>20180214FLMAP</v>
      </c>
      <c r="B887" s="5" t="str">
        <f ca="1">IFERROR(__xludf.DUMMYFUNCTION("""COMPUTED_VALUE"""),"Fatal")</f>
        <v>Fatal</v>
      </c>
      <c r="C887" s="5" t="str">
        <f ca="1">IFERROR(__xludf.DUMMYFUNCTION("""COMPUTED_VALUE"""),"Female")</f>
        <v>Female</v>
      </c>
      <c r="D887" s="5" t="str">
        <f ca="1">IFERROR(__xludf.DUMMYFUNCTION("""COMPUTED_VALUE"""),"Student")</f>
        <v>Student</v>
      </c>
      <c r="E887" s="5">
        <f ca="1">IFERROR(__xludf.DUMMYFUNCTION("""COMPUTED_VALUE"""),17)</f>
        <v>17</v>
      </c>
      <c r="F887" s="5"/>
    </row>
    <row r="888" spans="1:6">
      <c r="A888" s="5" t="str">
        <f ca="1">IFERROR(__xludf.DUMMYFUNCTION("""COMPUTED_VALUE"""),"20180214FLMAP")</f>
        <v>20180214FLMAP</v>
      </c>
      <c r="B888" s="5" t="str">
        <f ca="1">IFERROR(__xludf.DUMMYFUNCTION("""COMPUTED_VALUE"""),"Wounded")</f>
        <v>Wounded</v>
      </c>
      <c r="C888" s="5" t="str">
        <f ca="1">IFERROR(__xludf.DUMMYFUNCTION("""COMPUTED_VALUE"""),"Female")</f>
        <v>Female</v>
      </c>
      <c r="D888" s="5" t="str">
        <f ca="1">IFERROR(__xludf.DUMMYFUNCTION("""COMPUTED_VALUE"""),"Student")</f>
        <v>Student</v>
      </c>
      <c r="E888" s="5" t="str">
        <f ca="1">IFERROR(__xludf.DUMMYFUNCTION("""COMPUTED_VALUE"""),"Teen")</f>
        <v>Teen</v>
      </c>
      <c r="F888" s="5"/>
    </row>
    <row r="889" spans="1:6">
      <c r="A889" s="5" t="str">
        <f ca="1">IFERROR(__xludf.DUMMYFUNCTION("""COMPUTED_VALUE"""),"20180214FLMAP")</f>
        <v>20180214FLMAP</v>
      </c>
      <c r="B889" s="5" t="str">
        <f ca="1">IFERROR(__xludf.DUMMYFUNCTION("""COMPUTED_VALUE"""),"Fatal")</f>
        <v>Fatal</v>
      </c>
      <c r="C889" s="5" t="str">
        <f ca="1">IFERROR(__xludf.DUMMYFUNCTION("""COMPUTED_VALUE"""),"Female")</f>
        <v>Female</v>
      </c>
      <c r="D889" s="5" t="str">
        <f ca="1">IFERROR(__xludf.DUMMYFUNCTION("""COMPUTED_VALUE"""),"Student")</f>
        <v>Student</v>
      </c>
      <c r="E889" s="5">
        <f ca="1">IFERROR(__xludf.DUMMYFUNCTION("""COMPUTED_VALUE"""),14)</f>
        <v>14</v>
      </c>
      <c r="F889" s="5"/>
    </row>
    <row r="890" spans="1:6">
      <c r="A890" s="5" t="str">
        <f ca="1">IFERROR(__xludf.DUMMYFUNCTION("""COMPUTED_VALUE"""),"20180214FLMAP")</f>
        <v>20180214FLMAP</v>
      </c>
      <c r="B890" s="5" t="str">
        <f ca="1">IFERROR(__xludf.DUMMYFUNCTION("""COMPUTED_VALUE"""),"Wounded")</f>
        <v>Wounded</v>
      </c>
      <c r="C890" s="5" t="str">
        <f ca="1">IFERROR(__xludf.DUMMYFUNCTION("""COMPUTED_VALUE"""),"Male")</f>
        <v>Male</v>
      </c>
      <c r="D890" s="5" t="str">
        <f ca="1">IFERROR(__xludf.DUMMYFUNCTION("""COMPUTED_VALUE"""),"Student")</f>
        <v>Student</v>
      </c>
      <c r="E890" s="5">
        <f ca="1">IFERROR(__xludf.DUMMYFUNCTION("""COMPUTED_VALUE"""),15)</f>
        <v>15</v>
      </c>
      <c r="F890" s="5"/>
    </row>
    <row r="891" spans="1:6">
      <c r="A891" s="5" t="str">
        <f ca="1">IFERROR(__xludf.DUMMYFUNCTION("""COMPUTED_VALUE"""),"20180214FLMAP")</f>
        <v>20180214FLMAP</v>
      </c>
      <c r="B891" s="5" t="str">
        <f ca="1">IFERROR(__xludf.DUMMYFUNCTION("""COMPUTED_VALUE"""),"Fatal")</f>
        <v>Fatal</v>
      </c>
      <c r="C891" s="5" t="str">
        <f ca="1">IFERROR(__xludf.DUMMYFUNCTION("""COMPUTED_VALUE"""),"Male")</f>
        <v>Male</v>
      </c>
      <c r="D891" s="5" t="str">
        <f ca="1">IFERROR(__xludf.DUMMYFUNCTION("""COMPUTED_VALUE"""),"Student")</f>
        <v>Student</v>
      </c>
      <c r="E891" s="5">
        <f ca="1">IFERROR(__xludf.DUMMYFUNCTION("""COMPUTED_VALUE"""),15)</f>
        <v>15</v>
      </c>
      <c r="F891" s="5"/>
    </row>
    <row r="892" spans="1:6">
      <c r="A892" s="5" t="str">
        <f ca="1">IFERROR(__xludf.DUMMYFUNCTION("""COMPUTED_VALUE"""),"20180214FLMAP")</f>
        <v>20180214FLMAP</v>
      </c>
      <c r="B892" s="5" t="str">
        <f ca="1">IFERROR(__xludf.DUMMYFUNCTION("""COMPUTED_VALUE"""),"Fatal")</f>
        <v>Fatal</v>
      </c>
      <c r="C892" s="5" t="str">
        <f ca="1">IFERROR(__xludf.DUMMYFUNCTION("""COMPUTED_VALUE"""),"Male")</f>
        <v>Male</v>
      </c>
      <c r="D892" s="5" t="str">
        <f ca="1">IFERROR(__xludf.DUMMYFUNCTION("""COMPUTED_VALUE"""),"Teacher")</f>
        <v>Teacher</v>
      </c>
      <c r="E892" s="5">
        <f ca="1">IFERROR(__xludf.DUMMYFUNCTION("""COMPUTED_VALUE"""),35)</f>
        <v>35</v>
      </c>
      <c r="F892" s="5"/>
    </row>
    <row r="893" spans="1:6">
      <c r="A893" s="5" t="str">
        <f ca="1">IFERROR(__xludf.DUMMYFUNCTION("""COMPUTED_VALUE"""),"20180214FLMAP")</f>
        <v>20180214FLMAP</v>
      </c>
      <c r="B893" s="5" t="str">
        <f ca="1">IFERROR(__xludf.DUMMYFUNCTION("""COMPUTED_VALUE"""),"Wounded")</f>
        <v>Wounded</v>
      </c>
      <c r="C893" s="5"/>
      <c r="D893" s="5" t="str">
        <f ca="1">IFERROR(__xludf.DUMMYFUNCTION("""COMPUTED_VALUE"""),"Student")</f>
        <v>Student</v>
      </c>
      <c r="E893" s="5" t="str">
        <f ca="1">IFERROR(__xludf.DUMMYFUNCTION("""COMPUTED_VALUE"""),"Teen")</f>
        <v>Teen</v>
      </c>
      <c r="F893" s="5"/>
    </row>
    <row r="894" spans="1:6">
      <c r="A894" s="5" t="str">
        <f ca="1">IFERROR(__xludf.DUMMYFUNCTION("""COMPUTED_VALUE"""),"20180214FLMAP")</f>
        <v>20180214FLMAP</v>
      </c>
      <c r="B894" s="5" t="str">
        <f ca="1">IFERROR(__xludf.DUMMYFUNCTION("""COMPUTED_VALUE"""),"Fatal")</f>
        <v>Fatal</v>
      </c>
      <c r="C894" s="5" t="str">
        <f ca="1">IFERROR(__xludf.DUMMYFUNCTION("""COMPUTED_VALUE"""),"Male")</f>
        <v>Male</v>
      </c>
      <c r="D894" s="5" t="str">
        <f ca="1">IFERROR(__xludf.DUMMYFUNCTION("""COMPUTED_VALUE"""),"Student")</f>
        <v>Student</v>
      </c>
      <c r="E894" s="5">
        <f ca="1">IFERROR(__xludf.DUMMYFUNCTION("""COMPUTED_VALUE"""),14)</f>
        <v>14</v>
      </c>
      <c r="F894" s="5"/>
    </row>
    <row r="895" spans="1:6">
      <c r="A895" s="5" t="str">
        <f ca="1">IFERROR(__xludf.DUMMYFUNCTION("""COMPUTED_VALUE"""),"20180214FLMAP")</f>
        <v>20180214FLMAP</v>
      </c>
      <c r="B895" s="5" t="str">
        <f ca="1">IFERROR(__xludf.DUMMYFUNCTION("""COMPUTED_VALUE"""),"Fatal")</f>
        <v>Fatal</v>
      </c>
      <c r="C895" s="5" t="str">
        <f ca="1">IFERROR(__xludf.DUMMYFUNCTION("""COMPUTED_VALUE"""),"Male")</f>
        <v>Male</v>
      </c>
      <c r="D895" s="5" t="str">
        <f ca="1">IFERROR(__xludf.DUMMYFUNCTION("""COMPUTED_VALUE"""),"Student")</f>
        <v>Student</v>
      </c>
      <c r="E895" s="5">
        <f ca="1">IFERROR(__xludf.DUMMYFUNCTION("""COMPUTED_VALUE"""),14)</f>
        <v>14</v>
      </c>
      <c r="F895" s="5"/>
    </row>
    <row r="896" spans="1:6">
      <c r="A896" s="5" t="str">
        <f ca="1">IFERROR(__xludf.DUMMYFUNCTION("""COMPUTED_VALUE"""),"20180214FLMAP")</f>
        <v>20180214FLMAP</v>
      </c>
      <c r="B896" s="5" t="str">
        <f ca="1">IFERROR(__xludf.DUMMYFUNCTION("""COMPUTED_VALUE"""),"Fatal")</f>
        <v>Fatal</v>
      </c>
      <c r="C896" s="5" t="str">
        <f ca="1">IFERROR(__xludf.DUMMYFUNCTION("""COMPUTED_VALUE"""),"Female")</f>
        <v>Female</v>
      </c>
      <c r="D896" s="5" t="str">
        <f ca="1">IFERROR(__xludf.DUMMYFUNCTION("""COMPUTED_VALUE"""),"Student")</f>
        <v>Student</v>
      </c>
      <c r="E896" s="5">
        <f ca="1">IFERROR(__xludf.DUMMYFUNCTION("""COMPUTED_VALUE"""),14)</f>
        <v>14</v>
      </c>
      <c r="F896" s="5"/>
    </row>
    <row r="897" spans="1:6">
      <c r="A897" s="5" t="str">
        <f ca="1">IFERROR(__xludf.DUMMYFUNCTION("""COMPUTED_VALUE"""),"20180214FLMAP")</f>
        <v>20180214FLMAP</v>
      </c>
      <c r="B897" s="5" t="str">
        <f ca="1">IFERROR(__xludf.DUMMYFUNCTION("""COMPUTED_VALUE"""),"Wounded")</f>
        <v>Wounded</v>
      </c>
      <c r="C897" s="5" t="str">
        <f ca="1">IFERROR(__xludf.DUMMYFUNCTION("""COMPUTED_VALUE"""),"Male")</f>
        <v>Male</v>
      </c>
      <c r="D897" s="5" t="str">
        <f ca="1">IFERROR(__xludf.DUMMYFUNCTION("""COMPUTED_VALUE"""),"Student")</f>
        <v>Student</v>
      </c>
      <c r="E897" s="5">
        <f ca="1">IFERROR(__xludf.DUMMYFUNCTION("""COMPUTED_VALUE"""),15)</f>
        <v>15</v>
      </c>
      <c r="F897" s="5"/>
    </row>
    <row r="898" spans="1:6">
      <c r="A898" s="5" t="str">
        <f ca="1">IFERROR(__xludf.DUMMYFUNCTION("""COMPUTED_VALUE"""),"20180214FLMAP")</f>
        <v>20180214FLMAP</v>
      </c>
      <c r="B898" s="5" t="str">
        <f ca="1">IFERROR(__xludf.DUMMYFUNCTION("""COMPUTED_VALUE"""),"Fatal")</f>
        <v>Fatal</v>
      </c>
      <c r="C898" s="5" t="str">
        <f ca="1">IFERROR(__xludf.DUMMYFUNCTION("""COMPUTED_VALUE"""),"Female")</f>
        <v>Female</v>
      </c>
      <c r="D898" s="5" t="str">
        <f ca="1">IFERROR(__xludf.DUMMYFUNCTION("""COMPUTED_VALUE"""),"Student")</f>
        <v>Student</v>
      </c>
      <c r="E898" s="5">
        <f ca="1">IFERROR(__xludf.DUMMYFUNCTION("""COMPUTED_VALUE"""),14)</f>
        <v>14</v>
      </c>
      <c r="F898" s="5"/>
    </row>
    <row r="899" spans="1:6">
      <c r="A899" s="5" t="str">
        <f ca="1">IFERROR(__xludf.DUMMYFUNCTION("""COMPUTED_VALUE"""),"20180214FLMAP")</f>
        <v>20180214FLMAP</v>
      </c>
      <c r="B899" s="5" t="str">
        <f ca="1">IFERROR(__xludf.DUMMYFUNCTION("""COMPUTED_VALUE"""),"Wounded")</f>
        <v>Wounded</v>
      </c>
      <c r="C899" s="5" t="str">
        <f ca="1">IFERROR(__xludf.DUMMYFUNCTION("""COMPUTED_VALUE"""),"Male")</f>
        <v>Male</v>
      </c>
      <c r="D899" s="5" t="str">
        <f ca="1">IFERROR(__xludf.DUMMYFUNCTION("""COMPUTED_VALUE"""),"Student")</f>
        <v>Student</v>
      </c>
      <c r="E899" s="5">
        <f ca="1">IFERROR(__xludf.DUMMYFUNCTION("""COMPUTED_VALUE"""),15)</f>
        <v>15</v>
      </c>
      <c r="F899" s="5"/>
    </row>
    <row r="900" spans="1:6">
      <c r="A900" s="5" t="str">
        <f ca="1">IFERROR(__xludf.DUMMYFUNCTION("""COMPUTED_VALUE"""),"20180214FLMAP")</f>
        <v>20180214FLMAP</v>
      </c>
      <c r="B900" s="5" t="str">
        <f ca="1">IFERROR(__xludf.DUMMYFUNCTION("""COMPUTED_VALUE"""),"Fatal")</f>
        <v>Fatal</v>
      </c>
      <c r="C900" s="5" t="str">
        <f ca="1">IFERROR(__xludf.DUMMYFUNCTION("""COMPUTED_VALUE"""),"Male")</f>
        <v>Male</v>
      </c>
      <c r="D900" s="5" t="str">
        <f ca="1">IFERROR(__xludf.DUMMYFUNCTION("""COMPUTED_VALUE"""),"Student")</f>
        <v>Student</v>
      </c>
      <c r="E900" s="5">
        <f ca="1">IFERROR(__xludf.DUMMYFUNCTION("""COMPUTED_VALUE"""),17)</f>
        <v>17</v>
      </c>
      <c r="F900" s="5"/>
    </row>
    <row r="901" spans="1:6">
      <c r="A901" s="5" t="str">
        <f ca="1">IFERROR(__xludf.DUMMYFUNCTION("""COMPUTED_VALUE"""),"20180214FLMAP")</f>
        <v>20180214FLMAP</v>
      </c>
      <c r="B901" s="5" t="str">
        <f ca="1">IFERROR(__xludf.DUMMYFUNCTION("""COMPUTED_VALUE"""),"Fatal")</f>
        <v>Fatal</v>
      </c>
      <c r="C901" s="5" t="str">
        <f ca="1">IFERROR(__xludf.DUMMYFUNCTION("""COMPUTED_VALUE"""),"Female")</f>
        <v>Female</v>
      </c>
      <c r="D901" s="5" t="str">
        <f ca="1">IFERROR(__xludf.DUMMYFUNCTION("""COMPUTED_VALUE"""),"Student")</f>
        <v>Student</v>
      </c>
      <c r="E901" s="5">
        <f ca="1">IFERROR(__xludf.DUMMYFUNCTION("""COMPUTED_VALUE"""),16)</f>
        <v>16</v>
      </c>
      <c r="F901" s="5"/>
    </row>
    <row r="902" spans="1:6">
      <c r="A902" s="5" t="str">
        <f ca="1">IFERROR(__xludf.DUMMYFUNCTION("""COMPUTED_VALUE"""),"20180214FLMAP")</f>
        <v>20180214FLMAP</v>
      </c>
      <c r="B902" s="5" t="str">
        <f ca="1">IFERROR(__xludf.DUMMYFUNCTION("""COMPUTED_VALUE"""),"Wounded")</f>
        <v>Wounded</v>
      </c>
      <c r="C902" s="5" t="str">
        <f ca="1">IFERROR(__xludf.DUMMYFUNCTION("""COMPUTED_VALUE"""),"Female")</f>
        <v>Female</v>
      </c>
      <c r="D902" s="5" t="str">
        <f ca="1">IFERROR(__xludf.DUMMYFUNCTION("""COMPUTED_VALUE"""),"Student")</f>
        <v>Student</v>
      </c>
      <c r="E902" s="5" t="str">
        <f ca="1">IFERROR(__xludf.DUMMYFUNCTION("""COMPUTED_VALUE"""),"Teen")</f>
        <v>Teen</v>
      </c>
      <c r="F902" s="5"/>
    </row>
    <row r="903" spans="1:6">
      <c r="A903" s="5" t="str">
        <f ca="1">IFERROR(__xludf.DUMMYFUNCTION("""COMPUTED_VALUE"""),"20180214FLMAP")</f>
        <v>20180214FLMAP</v>
      </c>
      <c r="B903" s="5" t="str">
        <f ca="1">IFERROR(__xludf.DUMMYFUNCTION("""COMPUTED_VALUE"""),"Fatal")</f>
        <v>Fatal</v>
      </c>
      <c r="C903" s="5" t="str">
        <f ca="1">IFERROR(__xludf.DUMMYFUNCTION("""COMPUTED_VALUE"""),"Male")</f>
        <v>Male</v>
      </c>
      <c r="D903" s="5" t="str">
        <f ca="1">IFERROR(__xludf.DUMMYFUNCTION("""COMPUTED_VALUE"""),"Student")</f>
        <v>Student</v>
      </c>
      <c r="E903" s="5">
        <f ca="1">IFERROR(__xludf.DUMMYFUNCTION("""COMPUTED_VALUE"""),17)</f>
        <v>17</v>
      </c>
      <c r="F903" s="5"/>
    </row>
    <row r="904" spans="1:6">
      <c r="A904" s="5" t="str">
        <f ca="1">IFERROR(__xludf.DUMMYFUNCTION("""COMPUTED_VALUE"""),"20180214FLMAP")</f>
        <v>20180214FLMAP</v>
      </c>
      <c r="B904" s="5" t="str">
        <f ca="1">IFERROR(__xludf.DUMMYFUNCTION("""COMPUTED_VALUE"""),"Wounded")</f>
        <v>Wounded</v>
      </c>
      <c r="C904" s="5" t="str">
        <f ca="1">IFERROR(__xludf.DUMMYFUNCTION("""COMPUTED_VALUE"""),"Female")</f>
        <v>Female</v>
      </c>
      <c r="D904" s="5" t="str">
        <f ca="1">IFERROR(__xludf.DUMMYFUNCTION("""COMPUTED_VALUE"""),"Student")</f>
        <v>Student</v>
      </c>
      <c r="E904" s="5" t="str">
        <f ca="1">IFERROR(__xludf.DUMMYFUNCTION("""COMPUTED_VALUE"""),"Teen")</f>
        <v>Teen</v>
      </c>
      <c r="F904" s="5"/>
    </row>
    <row r="905" spans="1:6">
      <c r="A905" s="5" t="str">
        <f ca="1">IFERROR(__xludf.DUMMYFUNCTION("""COMPUTED_VALUE"""),"20180214FLMAP")</f>
        <v>20180214FLMAP</v>
      </c>
      <c r="B905" s="5" t="str">
        <f ca="1">IFERROR(__xludf.DUMMYFUNCTION("""COMPUTED_VALUE"""),"Wounded")</f>
        <v>Wounded</v>
      </c>
      <c r="C905" s="5" t="str">
        <f ca="1">IFERROR(__xludf.DUMMYFUNCTION("""COMPUTED_VALUE"""),"Female")</f>
        <v>Female</v>
      </c>
      <c r="D905" s="5" t="str">
        <f ca="1">IFERROR(__xludf.DUMMYFUNCTION("""COMPUTED_VALUE"""),"Student")</f>
        <v>Student</v>
      </c>
      <c r="E905" s="5">
        <f ca="1">IFERROR(__xludf.DUMMYFUNCTION("""COMPUTED_VALUE"""),17)</f>
        <v>17</v>
      </c>
      <c r="F905" s="5"/>
    </row>
    <row r="906" spans="1:6">
      <c r="A906" s="5" t="str">
        <f ca="1">IFERROR(__xludf.DUMMYFUNCTION("""COMPUTED_VALUE"""),"20180214FLMAP")</f>
        <v>20180214FLMAP</v>
      </c>
      <c r="B906" s="5" t="str">
        <f ca="1">IFERROR(__xludf.DUMMYFUNCTION("""COMPUTED_VALUE"""),"Fatal")</f>
        <v>Fatal</v>
      </c>
      <c r="C906" s="5" t="str">
        <f ca="1">IFERROR(__xludf.DUMMYFUNCTION("""COMPUTED_VALUE"""),"Female")</f>
        <v>Female</v>
      </c>
      <c r="D906" s="5" t="str">
        <f ca="1">IFERROR(__xludf.DUMMYFUNCTION("""COMPUTED_VALUE"""),"Teacher")</f>
        <v>Teacher</v>
      </c>
      <c r="E906" s="5">
        <f ca="1">IFERROR(__xludf.DUMMYFUNCTION("""COMPUTED_VALUE"""),37)</f>
        <v>37</v>
      </c>
      <c r="F906" s="5"/>
    </row>
    <row r="907" spans="1:6">
      <c r="A907" s="5" t="str">
        <f ca="1">IFERROR(__xludf.DUMMYFUNCTION("""COMPUTED_VALUE"""),"20180214FLMAP")</f>
        <v>20180214FLMAP</v>
      </c>
      <c r="B907" s="5" t="str">
        <f ca="1">IFERROR(__xludf.DUMMYFUNCTION("""COMPUTED_VALUE"""),"Fatal")</f>
        <v>Fatal</v>
      </c>
      <c r="C907" s="5" t="str">
        <f ca="1">IFERROR(__xludf.DUMMYFUNCTION("""COMPUTED_VALUE"""),"Male")</f>
        <v>Male</v>
      </c>
      <c r="D907" s="5" t="str">
        <f ca="1">IFERROR(__xludf.DUMMYFUNCTION("""COMPUTED_VALUE"""),"Student")</f>
        <v>Student</v>
      </c>
      <c r="E907" s="5">
        <f ca="1">IFERROR(__xludf.DUMMYFUNCTION("""COMPUTED_VALUE"""),15)</f>
        <v>15</v>
      </c>
      <c r="F907" s="5"/>
    </row>
    <row r="908" spans="1:6">
      <c r="A908" s="5" t="str">
        <f ca="1">IFERROR(__xludf.DUMMYFUNCTION("""COMPUTED_VALUE"""),"20180214FLMAP")</f>
        <v>20180214FLMAP</v>
      </c>
      <c r="B908" s="5" t="str">
        <f ca="1">IFERROR(__xludf.DUMMYFUNCTION("""COMPUTED_VALUE"""),"Wounded")</f>
        <v>Wounded</v>
      </c>
      <c r="C908" s="5" t="str">
        <f ca="1">IFERROR(__xludf.DUMMYFUNCTION("""COMPUTED_VALUE"""),"Male")</f>
        <v>Male</v>
      </c>
      <c r="D908" s="5" t="str">
        <f ca="1">IFERROR(__xludf.DUMMYFUNCTION("""COMPUTED_VALUE"""),"Student")</f>
        <v>Student</v>
      </c>
      <c r="E908" s="5" t="str">
        <f ca="1">IFERROR(__xludf.DUMMYFUNCTION("""COMPUTED_VALUE"""),"Teen")</f>
        <v>Teen</v>
      </c>
      <c r="F908" s="5"/>
    </row>
    <row r="909" spans="1:6">
      <c r="A909" s="5" t="str">
        <f ca="1">IFERROR(__xludf.DUMMYFUNCTION("""COMPUTED_VALUE"""),"20180214FLMAP")</f>
        <v>20180214FLMAP</v>
      </c>
      <c r="B909" s="5" t="str">
        <f ca="1">IFERROR(__xludf.DUMMYFUNCTION("""COMPUTED_VALUE"""),"Fatal")</f>
        <v>Fatal</v>
      </c>
      <c r="C909" s="5" t="str">
        <f ca="1">IFERROR(__xludf.DUMMYFUNCTION("""COMPUTED_VALUE"""),"Female")</f>
        <v>Female</v>
      </c>
      <c r="D909" s="5" t="str">
        <f ca="1">IFERROR(__xludf.DUMMYFUNCTION("""COMPUTED_VALUE"""),"Student")</f>
        <v>Student</v>
      </c>
      <c r="E909" s="5">
        <f ca="1">IFERROR(__xludf.DUMMYFUNCTION("""COMPUTED_VALUE"""),14)</f>
        <v>14</v>
      </c>
      <c r="F909" s="5"/>
    </row>
    <row r="910" spans="1:6">
      <c r="A910" s="5" t="str">
        <f ca="1">IFERROR(__xludf.DUMMYFUNCTION("""COMPUTED_VALUE"""),"20180214FLMAP")</f>
        <v>20180214FLMAP</v>
      </c>
      <c r="B910" s="5" t="str">
        <f ca="1">IFERROR(__xludf.DUMMYFUNCTION("""COMPUTED_VALUE"""),"Wounded")</f>
        <v>Wounded</v>
      </c>
      <c r="C910" s="5" t="str">
        <f ca="1">IFERROR(__xludf.DUMMYFUNCTION("""COMPUTED_VALUE"""),"Male")</f>
        <v>Male</v>
      </c>
      <c r="D910" s="5" t="str">
        <f ca="1">IFERROR(__xludf.DUMMYFUNCTION("""COMPUTED_VALUE"""),"Student")</f>
        <v>Student</v>
      </c>
      <c r="E910" s="5" t="str">
        <f ca="1">IFERROR(__xludf.DUMMYFUNCTION("""COMPUTED_VALUE"""),"Teen")</f>
        <v>Teen</v>
      </c>
      <c r="F910" s="5"/>
    </row>
    <row r="911" spans="1:6">
      <c r="A911" s="5" t="str">
        <f ca="1">IFERROR(__xludf.DUMMYFUNCTION("""COMPUTED_VALUE"""),"20180209TNPEN")</f>
        <v>20180209TNPEN</v>
      </c>
      <c r="B911" s="5" t="str">
        <f ca="1">IFERROR(__xludf.DUMMYFUNCTION("""COMPUTED_VALUE"""),"Wounded")</f>
        <v>Wounded</v>
      </c>
      <c r="C911" s="5" t="str">
        <f ca="1">IFERROR(__xludf.DUMMYFUNCTION("""COMPUTED_VALUE"""),"Male")</f>
        <v>Male</v>
      </c>
      <c r="D911" s="5" t="str">
        <f ca="1">IFERROR(__xludf.DUMMYFUNCTION("""COMPUTED_VALUE"""),"No Relation")</f>
        <v>No Relation</v>
      </c>
      <c r="E911" s="5">
        <f ca="1">IFERROR(__xludf.DUMMYFUNCTION("""COMPUTED_VALUE"""),17)</f>
        <v>17</v>
      </c>
      <c r="F911" s="5" t="str">
        <f ca="1">IFERROR(__xludf.DUMMYFUNCTION("""COMPUTED_VALUE"""),"Black")</f>
        <v>Black</v>
      </c>
    </row>
    <row r="912" spans="1:6">
      <c r="A912" s="5" t="str">
        <f ca="1">IFERROR(__xludf.DUMMYFUNCTION("""COMPUTED_VALUE"""),"20180208NYTHN")</f>
        <v>20180208NYTHN</v>
      </c>
      <c r="B912" s="5" t="str">
        <f ca="1">IFERROR(__xludf.DUMMYFUNCTION("""COMPUTED_VALUE"""),"None")</f>
        <v>None</v>
      </c>
      <c r="C912" s="5"/>
      <c r="D912" s="5"/>
      <c r="E912" s="5"/>
      <c r="F912" s="5"/>
    </row>
    <row r="913" spans="1:6">
      <c r="A913" s="5" t="str">
        <f ca="1">IFERROR(__xludf.DUMMYFUNCTION("""COMPUTED_VALUE"""),"20180205MNHAM")</f>
        <v>20180205MNHAM</v>
      </c>
      <c r="B913" s="5" t="str">
        <f ca="1">IFERROR(__xludf.DUMMYFUNCTION("""COMPUTED_VALUE"""),"None")</f>
        <v>None</v>
      </c>
      <c r="C913" s="5"/>
      <c r="D913" s="5"/>
      <c r="E913" s="5"/>
      <c r="F913" s="5"/>
    </row>
    <row r="914" spans="1:6">
      <c r="A914" s="5" t="str">
        <f ca="1">IFERROR(__xludf.DUMMYFUNCTION("""COMPUTED_VALUE"""),"20180205MDOXO")</f>
        <v>20180205MDOXO</v>
      </c>
      <c r="B914" s="5" t="str">
        <f ca="1">IFERROR(__xludf.DUMMYFUNCTION("""COMPUTED_VALUE"""),"Wounded")</f>
        <v>Wounded</v>
      </c>
      <c r="C914" s="5" t="str">
        <f ca="1">IFERROR(__xludf.DUMMYFUNCTION("""COMPUTED_VALUE"""),"Male")</f>
        <v>Male</v>
      </c>
      <c r="D914" s="5" t="str">
        <f ca="1">IFERROR(__xludf.DUMMYFUNCTION("""COMPUTED_VALUE"""),"Student")</f>
        <v>Student</v>
      </c>
      <c r="E914" s="5">
        <f ca="1">IFERROR(__xludf.DUMMYFUNCTION("""COMPUTED_VALUE"""),17)</f>
        <v>17</v>
      </c>
      <c r="F914" s="5"/>
    </row>
    <row r="915" spans="1:6">
      <c r="A915" s="5" t="str">
        <f ca="1">IFERROR(__xludf.DUMMYFUNCTION("""COMPUTED_VALUE"""),"20180201CASAL")</f>
        <v>20180201CASAL</v>
      </c>
      <c r="B915" s="5" t="str">
        <f ca="1">IFERROR(__xludf.DUMMYFUNCTION("""COMPUTED_VALUE"""),"Minor Injuries")</f>
        <v>Minor Injuries</v>
      </c>
      <c r="C915" s="5"/>
      <c r="D915" s="5" t="str">
        <f ca="1">IFERROR(__xludf.DUMMYFUNCTION("""COMPUTED_VALUE"""),"Student")</f>
        <v>Student</v>
      </c>
      <c r="E915" s="5" t="str">
        <f ca="1">IFERROR(__xludf.DUMMYFUNCTION("""COMPUTED_VALUE"""),"Child")</f>
        <v>Child</v>
      </c>
      <c r="F915" s="5"/>
    </row>
    <row r="916" spans="1:6">
      <c r="A916" s="5" t="str">
        <f ca="1">IFERROR(__xludf.DUMMYFUNCTION("""COMPUTED_VALUE"""),"20180201CASAL")</f>
        <v>20180201CASAL</v>
      </c>
      <c r="B916" s="5" t="str">
        <f ca="1">IFERROR(__xludf.DUMMYFUNCTION("""COMPUTED_VALUE"""),"Minor Injuries")</f>
        <v>Minor Injuries</v>
      </c>
      <c r="C916" s="5"/>
      <c r="D916" s="5" t="str">
        <f ca="1">IFERROR(__xludf.DUMMYFUNCTION("""COMPUTED_VALUE"""),"Student")</f>
        <v>Student</v>
      </c>
      <c r="E916" s="5" t="str">
        <f ca="1">IFERROR(__xludf.DUMMYFUNCTION("""COMPUTED_VALUE"""),"Child")</f>
        <v>Child</v>
      </c>
      <c r="F916" s="5"/>
    </row>
    <row r="917" spans="1:6">
      <c r="A917" s="5" t="str">
        <f ca="1">IFERROR(__xludf.DUMMYFUNCTION("""COMPUTED_VALUE"""),"20180201CASAL")</f>
        <v>20180201CASAL</v>
      </c>
      <c r="B917" s="5" t="str">
        <f ca="1">IFERROR(__xludf.DUMMYFUNCTION("""COMPUTED_VALUE"""),"Wounded")</f>
        <v>Wounded</v>
      </c>
      <c r="C917" s="5"/>
      <c r="D917" s="5" t="str">
        <f ca="1">IFERROR(__xludf.DUMMYFUNCTION("""COMPUTED_VALUE"""),"Student")</f>
        <v>Student</v>
      </c>
      <c r="E917" s="5">
        <f ca="1">IFERROR(__xludf.DUMMYFUNCTION("""COMPUTED_VALUE"""),11)</f>
        <v>11</v>
      </c>
      <c r="F917" s="5"/>
    </row>
    <row r="918" spans="1:6">
      <c r="A918" s="5" t="str">
        <f ca="1">IFERROR(__xludf.DUMMYFUNCTION("""COMPUTED_VALUE"""),"20180201CASAL")</f>
        <v>20180201CASAL</v>
      </c>
      <c r="B918" s="5" t="str">
        <f ca="1">IFERROR(__xludf.DUMMYFUNCTION("""COMPUTED_VALUE"""),"Wounded")</f>
        <v>Wounded</v>
      </c>
      <c r="C918" s="5"/>
      <c r="D918" s="5" t="str">
        <f ca="1">IFERROR(__xludf.DUMMYFUNCTION("""COMPUTED_VALUE"""),"Student")</f>
        <v>Student</v>
      </c>
      <c r="E918" s="5">
        <f ca="1">IFERROR(__xludf.DUMMYFUNCTION("""COMPUTED_VALUE"""),12)</f>
        <v>12</v>
      </c>
      <c r="F918" s="5"/>
    </row>
    <row r="919" spans="1:6">
      <c r="A919" s="5" t="str">
        <f ca="1">IFERROR(__xludf.DUMMYFUNCTION("""COMPUTED_VALUE"""),"20180201CASAL")</f>
        <v>20180201CASAL</v>
      </c>
      <c r="B919" s="5" t="str">
        <f ca="1">IFERROR(__xludf.DUMMYFUNCTION("""COMPUTED_VALUE"""),"Minor Injuries")</f>
        <v>Minor Injuries</v>
      </c>
      <c r="C919" s="5"/>
      <c r="D919" s="5" t="str">
        <f ca="1">IFERROR(__xludf.DUMMYFUNCTION("""COMPUTED_VALUE"""),"Teacher")</f>
        <v>Teacher</v>
      </c>
      <c r="E919" s="5">
        <f ca="1">IFERROR(__xludf.DUMMYFUNCTION("""COMPUTED_VALUE"""),30)</f>
        <v>30</v>
      </c>
      <c r="F919" s="5"/>
    </row>
    <row r="920" spans="1:6">
      <c r="A920" s="5" t="str">
        <f ca="1">IFERROR(__xludf.DUMMYFUNCTION("""COMPUTED_VALUE"""),"20180131PALIP")</f>
        <v>20180131PALIP</v>
      </c>
      <c r="B920" s="5" t="str">
        <f ca="1">IFERROR(__xludf.DUMMYFUNCTION("""COMPUTED_VALUE"""),"Fatal")</f>
        <v>Fatal</v>
      </c>
      <c r="C920" s="5" t="str">
        <f ca="1">IFERROR(__xludf.DUMMYFUNCTION("""COMPUTED_VALUE"""),"Male")</f>
        <v>Male</v>
      </c>
      <c r="D920" s="5" t="str">
        <f ca="1">IFERROR(__xludf.DUMMYFUNCTION("""COMPUTED_VALUE"""),"No Relation")</f>
        <v>No Relation</v>
      </c>
      <c r="E920" s="5">
        <f ca="1">IFERROR(__xludf.DUMMYFUNCTION("""COMPUTED_VALUE"""),32)</f>
        <v>32</v>
      </c>
      <c r="F920" s="5"/>
    </row>
    <row r="921" spans="1:6">
      <c r="A921" s="5" t="str">
        <f ca="1">IFERROR(__xludf.DUMMYFUNCTION("""COMPUTED_VALUE"""),"20180126MIDED")</f>
        <v>20180126MIDED</v>
      </c>
      <c r="B921" s="5" t="str">
        <f ca="1">IFERROR(__xludf.DUMMYFUNCTION("""COMPUTED_VALUE"""),"None")</f>
        <v>None</v>
      </c>
      <c r="C921" s="5"/>
      <c r="D921" s="5"/>
      <c r="E921" s="5"/>
      <c r="F921" s="5"/>
    </row>
    <row r="922" spans="1:6">
      <c r="A922" s="5" t="str">
        <f ca="1">IFERROR(__xludf.DUMMYFUNCTION("""COMPUTED_VALUE"""),"20180125ALMUM")</f>
        <v>20180125ALMUM</v>
      </c>
      <c r="B922" s="5" t="str">
        <f ca="1">IFERROR(__xludf.DUMMYFUNCTION("""COMPUTED_VALUE"""),"None")</f>
        <v>None</v>
      </c>
      <c r="C922" s="5"/>
      <c r="D922" s="5"/>
      <c r="E922" s="5"/>
      <c r="F922" s="5"/>
    </row>
    <row r="923" spans="1:6">
      <c r="A923" s="5" t="str">
        <f ca="1">IFERROR(__xludf.DUMMYFUNCTION("""COMPUTED_VALUE"""),"20180123KYMAB")</f>
        <v>20180123KYMAB</v>
      </c>
      <c r="B923" s="5" t="str">
        <f ca="1">IFERROR(__xludf.DUMMYFUNCTION("""COMPUTED_VALUE"""),"Fatal")</f>
        <v>Fatal</v>
      </c>
      <c r="C923" s="5" t="str">
        <f ca="1">IFERROR(__xludf.DUMMYFUNCTION("""COMPUTED_VALUE"""),"Male")</f>
        <v>Male</v>
      </c>
      <c r="D923" s="5" t="str">
        <f ca="1">IFERROR(__xludf.DUMMYFUNCTION("""COMPUTED_VALUE"""),"Student")</f>
        <v>Student</v>
      </c>
      <c r="E923" s="5">
        <f ca="1">IFERROR(__xludf.DUMMYFUNCTION("""COMPUTED_VALUE"""),15)</f>
        <v>15</v>
      </c>
      <c r="F923" s="5"/>
    </row>
    <row r="924" spans="1:6">
      <c r="A924" s="5" t="str">
        <f ca="1">IFERROR(__xludf.DUMMYFUNCTION("""COMPUTED_VALUE"""),"20180123KYMAB")</f>
        <v>20180123KYMAB</v>
      </c>
      <c r="B924" s="5" t="str">
        <f ca="1">IFERROR(__xludf.DUMMYFUNCTION("""COMPUTED_VALUE"""),"Wounded")</f>
        <v>Wounded</v>
      </c>
      <c r="C924" s="5" t="str">
        <f ca="1">IFERROR(__xludf.DUMMYFUNCTION("""COMPUTED_VALUE"""),"Male")</f>
        <v>Male</v>
      </c>
      <c r="D924" s="5" t="str">
        <f ca="1">IFERROR(__xludf.DUMMYFUNCTION("""COMPUTED_VALUE"""),"Student")</f>
        <v>Student</v>
      </c>
      <c r="E924" s="5" t="str">
        <f ca="1">IFERROR(__xludf.DUMMYFUNCTION("""COMPUTED_VALUE"""),"Teen")</f>
        <v>Teen</v>
      </c>
      <c r="F924" s="5"/>
    </row>
    <row r="925" spans="1:6">
      <c r="A925" s="5" t="str">
        <f ca="1">IFERROR(__xludf.DUMMYFUNCTION("""COMPUTED_VALUE"""),"20180123KYMAB")</f>
        <v>20180123KYMAB</v>
      </c>
      <c r="B925" s="5" t="str">
        <f ca="1">IFERROR(__xludf.DUMMYFUNCTION("""COMPUTED_VALUE"""),"Fatal")</f>
        <v>Fatal</v>
      </c>
      <c r="C925" s="5" t="str">
        <f ca="1">IFERROR(__xludf.DUMMYFUNCTION("""COMPUTED_VALUE"""),"Male")</f>
        <v>Male</v>
      </c>
      <c r="D925" s="5" t="str">
        <f ca="1">IFERROR(__xludf.DUMMYFUNCTION("""COMPUTED_VALUE"""),"Student")</f>
        <v>Student</v>
      </c>
      <c r="E925" s="5">
        <f ca="1">IFERROR(__xludf.DUMMYFUNCTION("""COMPUTED_VALUE"""),15)</f>
        <v>15</v>
      </c>
      <c r="F925" s="5"/>
    </row>
    <row r="926" spans="1:6">
      <c r="A926" s="5" t="str">
        <f ca="1">IFERROR(__xludf.DUMMYFUNCTION("""COMPUTED_VALUE"""),"20180123KYMAB")</f>
        <v>20180123KYMAB</v>
      </c>
      <c r="B926" s="5" t="str">
        <f ca="1">IFERROR(__xludf.DUMMYFUNCTION("""COMPUTED_VALUE"""),"Wounded")</f>
        <v>Wounded</v>
      </c>
      <c r="C926" s="5" t="str">
        <f ca="1">IFERROR(__xludf.DUMMYFUNCTION("""COMPUTED_VALUE"""),"Male")</f>
        <v>Male</v>
      </c>
      <c r="D926" s="5" t="str">
        <f ca="1">IFERROR(__xludf.DUMMYFUNCTION("""COMPUTED_VALUE"""),"Student")</f>
        <v>Student</v>
      </c>
      <c r="E926" s="5" t="str">
        <f ca="1">IFERROR(__xludf.DUMMYFUNCTION("""COMPUTED_VALUE"""),"Teen")</f>
        <v>Teen</v>
      </c>
      <c r="F926" s="5"/>
    </row>
    <row r="927" spans="1:6">
      <c r="A927" s="5" t="str">
        <f ca="1">IFERROR(__xludf.DUMMYFUNCTION("""COMPUTED_VALUE"""),"20180123KYMAB")</f>
        <v>20180123KYMAB</v>
      </c>
      <c r="B927" s="5" t="str">
        <f ca="1">IFERROR(__xludf.DUMMYFUNCTION("""COMPUTED_VALUE"""),"Wounded")</f>
        <v>Wounded</v>
      </c>
      <c r="C927" s="5" t="str">
        <f ca="1">IFERROR(__xludf.DUMMYFUNCTION("""COMPUTED_VALUE"""),"Male")</f>
        <v>Male</v>
      </c>
      <c r="D927" s="5" t="str">
        <f ca="1">IFERROR(__xludf.DUMMYFUNCTION("""COMPUTED_VALUE"""),"Student")</f>
        <v>Student</v>
      </c>
      <c r="E927" s="5" t="str">
        <f ca="1">IFERROR(__xludf.DUMMYFUNCTION("""COMPUTED_VALUE"""),"Teen")</f>
        <v>Teen</v>
      </c>
      <c r="F927" s="5"/>
    </row>
    <row r="928" spans="1:6">
      <c r="A928" s="5" t="str">
        <f ca="1">IFERROR(__xludf.DUMMYFUNCTION("""COMPUTED_VALUE"""),"20180123KYMAB")</f>
        <v>20180123KYMAB</v>
      </c>
      <c r="B928" s="5" t="str">
        <f ca="1">IFERROR(__xludf.DUMMYFUNCTION("""COMPUTED_VALUE"""),"Wounded")</f>
        <v>Wounded</v>
      </c>
      <c r="C928" s="5" t="str">
        <f ca="1">IFERROR(__xludf.DUMMYFUNCTION("""COMPUTED_VALUE"""),"Male")</f>
        <v>Male</v>
      </c>
      <c r="D928" s="5" t="str">
        <f ca="1">IFERROR(__xludf.DUMMYFUNCTION("""COMPUTED_VALUE"""),"Student")</f>
        <v>Student</v>
      </c>
      <c r="E928" s="5" t="str">
        <f ca="1">IFERROR(__xludf.DUMMYFUNCTION("""COMPUTED_VALUE"""),"Teen")</f>
        <v>Teen</v>
      </c>
      <c r="F928" s="5"/>
    </row>
    <row r="929" spans="1:6">
      <c r="A929" s="5" t="str">
        <f ca="1">IFERROR(__xludf.DUMMYFUNCTION("""COMPUTED_VALUE"""),"20180123KYMAB")</f>
        <v>20180123KYMAB</v>
      </c>
      <c r="B929" s="5" t="str">
        <f ca="1">IFERROR(__xludf.DUMMYFUNCTION("""COMPUTED_VALUE"""),"Wounded")</f>
        <v>Wounded</v>
      </c>
      <c r="C929" s="5" t="str">
        <f ca="1">IFERROR(__xludf.DUMMYFUNCTION("""COMPUTED_VALUE"""),"Female")</f>
        <v>Female</v>
      </c>
      <c r="D929" s="5" t="str">
        <f ca="1">IFERROR(__xludf.DUMMYFUNCTION("""COMPUTED_VALUE"""),"Student")</f>
        <v>Student</v>
      </c>
      <c r="E929" s="5" t="str">
        <f ca="1">IFERROR(__xludf.DUMMYFUNCTION("""COMPUTED_VALUE"""),"Teen")</f>
        <v>Teen</v>
      </c>
      <c r="F929" s="5"/>
    </row>
    <row r="930" spans="1:6">
      <c r="A930" s="5" t="str">
        <f ca="1">IFERROR(__xludf.DUMMYFUNCTION("""COMPUTED_VALUE"""),"20180123KYMAB")</f>
        <v>20180123KYMAB</v>
      </c>
      <c r="B930" s="5" t="str">
        <f ca="1">IFERROR(__xludf.DUMMYFUNCTION("""COMPUTED_VALUE"""),"Wounded")</f>
        <v>Wounded</v>
      </c>
      <c r="C930" s="5" t="str">
        <f ca="1">IFERROR(__xludf.DUMMYFUNCTION("""COMPUTED_VALUE"""),"Female")</f>
        <v>Female</v>
      </c>
      <c r="D930" s="5" t="str">
        <f ca="1">IFERROR(__xludf.DUMMYFUNCTION("""COMPUTED_VALUE"""),"Student")</f>
        <v>Student</v>
      </c>
      <c r="E930" s="5" t="str">
        <f ca="1">IFERROR(__xludf.DUMMYFUNCTION("""COMPUTED_VALUE"""),"Teen")</f>
        <v>Teen</v>
      </c>
      <c r="F930" s="5"/>
    </row>
    <row r="931" spans="1:6">
      <c r="A931" s="5" t="str">
        <f ca="1">IFERROR(__xludf.DUMMYFUNCTION("""COMPUTED_VALUE"""),"20180123KYMAB")</f>
        <v>20180123KYMAB</v>
      </c>
      <c r="B931" s="5" t="str">
        <f ca="1">IFERROR(__xludf.DUMMYFUNCTION("""COMPUTED_VALUE"""),"Wounded")</f>
        <v>Wounded</v>
      </c>
      <c r="C931" s="5" t="str">
        <f ca="1">IFERROR(__xludf.DUMMYFUNCTION("""COMPUTED_VALUE"""),"Male")</f>
        <v>Male</v>
      </c>
      <c r="D931" s="5" t="str">
        <f ca="1">IFERROR(__xludf.DUMMYFUNCTION("""COMPUTED_VALUE"""),"Student")</f>
        <v>Student</v>
      </c>
      <c r="E931" s="5" t="str">
        <f ca="1">IFERROR(__xludf.DUMMYFUNCTION("""COMPUTED_VALUE"""),"Teen")</f>
        <v>Teen</v>
      </c>
      <c r="F931" s="5"/>
    </row>
    <row r="932" spans="1:6">
      <c r="A932" s="5" t="str">
        <f ca="1">IFERROR(__xludf.DUMMYFUNCTION("""COMPUTED_VALUE"""),"20180123KYMAB")</f>
        <v>20180123KYMAB</v>
      </c>
      <c r="B932" s="5" t="str">
        <f ca="1">IFERROR(__xludf.DUMMYFUNCTION("""COMPUTED_VALUE"""),"Wounded")</f>
        <v>Wounded</v>
      </c>
      <c r="C932" s="5" t="str">
        <f ca="1">IFERROR(__xludf.DUMMYFUNCTION("""COMPUTED_VALUE"""),"Male")</f>
        <v>Male</v>
      </c>
      <c r="D932" s="5" t="str">
        <f ca="1">IFERROR(__xludf.DUMMYFUNCTION("""COMPUTED_VALUE"""),"Student")</f>
        <v>Student</v>
      </c>
      <c r="E932" s="5" t="str">
        <f ca="1">IFERROR(__xludf.DUMMYFUNCTION("""COMPUTED_VALUE"""),"Teen")</f>
        <v>Teen</v>
      </c>
      <c r="F932" s="5"/>
    </row>
    <row r="933" spans="1:6">
      <c r="A933" s="5" t="str">
        <f ca="1">IFERROR(__xludf.DUMMYFUNCTION("""COMPUTED_VALUE"""),"20180123KYMAB")</f>
        <v>20180123KYMAB</v>
      </c>
      <c r="B933" s="5" t="str">
        <f ca="1">IFERROR(__xludf.DUMMYFUNCTION("""COMPUTED_VALUE"""),"Wounded")</f>
        <v>Wounded</v>
      </c>
      <c r="C933" s="5" t="str">
        <f ca="1">IFERROR(__xludf.DUMMYFUNCTION("""COMPUTED_VALUE"""),"Male")</f>
        <v>Male</v>
      </c>
      <c r="D933" s="5" t="str">
        <f ca="1">IFERROR(__xludf.DUMMYFUNCTION("""COMPUTED_VALUE"""),"Student")</f>
        <v>Student</v>
      </c>
      <c r="E933" s="5" t="str">
        <f ca="1">IFERROR(__xludf.DUMMYFUNCTION("""COMPUTED_VALUE"""),"Teen")</f>
        <v>Teen</v>
      </c>
      <c r="F933" s="5"/>
    </row>
    <row r="934" spans="1:6">
      <c r="A934" s="5" t="str">
        <f ca="1">IFERROR(__xludf.DUMMYFUNCTION("""COMPUTED_VALUE"""),"20180123KYMAB")</f>
        <v>20180123KYMAB</v>
      </c>
      <c r="B934" s="5" t="str">
        <f ca="1">IFERROR(__xludf.DUMMYFUNCTION("""COMPUTED_VALUE"""),"Wounded")</f>
        <v>Wounded</v>
      </c>
      <c r="C934" s="5" t="str">
        <f ca="1">IFERROR(__xludf.DUMMYFUNCTION("""COMPUTED_VALUE"""),"Female")</f>
        <v>Female</v>
      </c>
      <c r="D934" s="5" t="str">
        <f ca="1">IFERROR(__xludf.DUMMYFUNCTION("""COMPUTED_VALUE"""),"Student")</f>
        <v>Student</v>
      </c>
      <c r="E934" s="5" t="str">
        <f ca="1">IFERROR(__xludf.DUMMYFUNCTION("""COMPUTED_VALUE"""),"Teen")</f>
        <v>Teen</v>
      </c>
      <c r="F934" s="5"/>
    </row>
    <row r="935" spans="1:6">
      <c r="A935" s="5" t="str">
        <f ca="1">IFERROR(__xludf.DUMMYFUNCTION("""COMPUTED_VALUE"""),"20180123KYMAB")</f>
        <v>20180123KYMAB</v>
      </c>
      <c r="B935" s="5" t="str">
        <f ca="1">IFERROR(__xludf.DUMMYFUNCTION("""COMPUTED_VALUE"""),"Wounded")</f>
        <v>Wounded</v>
      </c>
      <c r="C935" s="5" t="str">
        <f ca="1">IFERROR(__xludf.DUMMYFUNCTION("""COMPUTED_VALUE"""),"Male")</f>
        <v>Male</v>
      </c>
      <c r="D935" s="5" t="str">
        <f ca="1">IFERROR(__xludf.DUMMYFUNCTION("""COMPUTED_VALUE"""),"Student")</f>
        <v>Student</v>
      </c>
      <c r="E935" s="5" t="str">
        <f ca="1">IFERROR(__xludf.DUMMYFUNCTION("""COMPUTED_VALUE"""),"Teen")</f>
        <v>Teen</v>
      </c>
      <c r="F935" s="5"/>
    </row>
    <row r="936" spans="1:6">
      <c r="A936" s="5" t="str">
        <f ca="1">IFERROR(__xludf.DUMMYFUNCTION("""COMPUTED_VALUE"""),"20180123KYMAB")</f>
        <v>20180123KYMAB</v>
      </c>
      <c r="B936" s="5" t="str">
        <f ca="1">IFERROR(__xludf.DUMMYFUNCTION("""COMPUTED_VALUE"""),"Wounded")</f>
        <v>Wounded</v>
      </c>
      <c r="C936" s="5" t="str">
        <f ca="1">IFERROR(__xludf.DUMMYFUNCTION("""COMPUTED_VALUE"""),"Male")</f>
        <v>Male</v>
      </c>
      <c r="D936" s="5" t="str">
        <f ca="1">IFERROR(__xludf.DUMMYFUNCTION("""COMPUTED_VALUE"""),"Student")</f>
        <v>Student</v>
      </c>
      <c r="E936" s="5" t="str">
        <f ca="1">IFERROR(__xludf.DUMMYFUNCTION("""COMPUTED_VALUE"""),"Teen")</f>
        <v>Teen</v>
      </c>
      <c r="F936" s="5"/>
    </row>
    <row r="937" spans="1:6">
      <c r="A937" s="5" t="str">
        <f ca="1">IFERROR(__xludf.DUMMYFUNCTION("""COMPUTED_VALUE"""),"20180123KYMAB")</f>
        <v>20180123KYMAB</v>
      </c>
      <c r="B937" s="5" t="str">
        <f ca="1">IFERROR(__xludf.DUMMYFUNCTION("""COMPUTED_VALUE"""),"Wounded")</f>
        <v>Wounded</v>
      </c>
      <c r="C937" s="5" t="str">
        <f ca="1">IFERROR(__xludf.DUMMYFUNCTION("""COMPUTED_VALUE"""),"Male")</f>
        <v>Male</v>
      </c>
      <c r="D937" s="5" t="str">
        <f ca="1">IFERROR(__xludf.DUMMYFUNCTION("""COMPUTED_VALUE"""),"Student")</f>
        <v>Student</v>
      </c>
      <c r="E937" s="5" t="str">
        <f ca="1">IFERROR(__xludf.DUMMYFUNCTION("""COMPUTED_VALUE"""),"Teen")</f>
        <v>Teen</v>
      </c>
      <c r="F937" s="5"/>
    </row>
    <row r="938" spans="1:6">
      <c r="A938" s="5" t="str">
        <f ca="1">IFERROR(__xludf.DUMMYFUNCTION("""COMPUTED_VALUE"""),"20180123KYMAB")</f>
        <v>20180123KYMAB</v>
      </c>
      <c r="B938" s="5" t="str">
        <f ca="1">IFERROR(__xludf.DUMMYFUNCTION("""COMPUTED_VALUE"""),"Wounded")</f>
        <v>Wounded</v>
      </c>
      <c r="C938" s="5" t="str">
        <f ca="1">IFERROR(__xludf.DUMMYFUNCTION("""COMPUTED_VALUE"""),"Female")</f>
        <v>Female</v>
      </c>
      <c r="D938" s="5" t="str">
        <f ca="1">IFERROR(__xludf.DUMMYFUNCTION("""COMPUTED_VALUE"""),"Student")</f>
        <v>Student</v>
      </c>
      <c r="E938" s="5" t="str">
        <f ca="1">IFERROR(__xludf.DUMMYFUNCTION("""COMPUTED_VALUE"""),"Teen")</f>
        <v>Teen</v>
      </c>
      <c r="F938" s="5"/>
    </row>
    <row r="939" spans="1:6">
      <c r="A939" s="5" t="str">
        <f ca="1">IFERROR(__xludf.DUMMYFUNCTION("""COMPUTED_VALUE"""),"20180123KYMAB")</f>
        <v>20180123KYMAB</v>
      </c>
      <c r="B939" s="5" t="str">
        <f ca="1">IFERROR(__xludf.DUMMYFUNCTION("""COMPUTED_VALUE"""),"Wounded")</f>
        <v>Wounded</v>
      </c>
      <c r="C939" s="5" t="str">
        <f ca="1">IFERROR(__xludf.DUMMYFUNCTION("""COMPUTED_VALUE"""),"Male")</f>
        <v>Male</v>
      </c>
      <c r="D939" s="5" t="str">
        <f ca="1">IFERROR(__xludf.DUMMYFUNCTION("""COMPUTED_VALUE"""),"Student")</f>
        <v>Student</v>
      </c>
      <c r="E939" s="5" t="str">
        <f ca="1">IFERROR(__xludf.DUMMYFUNCTION("""COMPUTED_VALUE"""),"Teen")</f>
        <v>Teen</v>
      </c>
      <c r="F939" s="5"/>
    </row>
    <row r="940" spans="1:6">
      <c r="A940" s="5" t="str">
        <f ca="1">IFERROR(__xludf.DUMMYFUNCTION("""COMPUTED_VALUE"""),"20180123KYMAB")</f>
        <v>20180123KYMAB</v>
      </c>
      <c r="B940" s="5" t="str">
        <f ca="1">IFERROR(__xludf.DUMMYFUNCTION("""COMPUTED_VALUE"""),"Wounded")</f>
        <v>Wounded</v>
      </c>
      <c r="C940" s="5" t="str">
        <f ca="1">IFERROR(__xludf.DUMMYFUNCTION("""COMPUTED_VALUE"""),"Male")</f>
        <v>Male</v>
      </c>
      <c r="D940" s="5" t="str">
        <f ca="1">IFERROR(__xludf.DUMMYFUNCTION("""COMPUTED_VALUE"""),"Student")</f>
        <v>Student</v>
      </c>
      <c r="E940" s="5" t="str">
        <f ca="1">IFERROR(__xludf.DUMMYFUNCTION("""COMPUTED_VALUE"""),"Teen")</f>
        <v>Teen</v>
      </c>
      <c r="F940" s="5"/>
    </row>
    <row r="941" spans="1:6">
      <c r="A941" s="5" t="str">
        <f ca="1">IFERROR(__xludf.DUMMYFUNCTION("""COMPUTED_VALUE"""),"20180123KYMAB")</f>
        <v>20180123KYMAB</v>
      </c>
      <c r="B941" s="5" t="str">
        <f ca="1">IFERROR(__xludf.DUMMYFUNCTION("""COMPUTED_VALUE"""),"Wounded")</f>
        <v>Wounded</v>
      </c>
      <c r="C941" s="5" t="str">
        <f ca="1">IFERROR(__xludf.DUMMYFUNCTION("""COMPUTED_VALUE"""),"Female")</f>
        <v>Female</v>
      </c>
      <c r="D941" s="5" t="str">
        <f ca="1">IFERROR(__xludf.DUMMYFUNCTION("""COMPUTED_VALUE"""),"Student")</f>
        <v>Student</v>
      </c>
      <c r="E941" s="5" t="str">
        <f ca="1">IFERROR(__xludf.DUMMYFUNCTION("""COMPUTED_VALUE"""),"Teen")</f>
        <v>Teen</v>
      </c>
      <c r="F941" s="5"/>
    </row>
    <row r="942" spans="1:6">
      <c r="A942" s="5" t="str">
        <f ca="1">IFERROR(__xludf.DUMMYFUNCTION("""COMPUTED_VALUE"""),"20180123KYMAB")</f>
        <v>20180123KYMAB</v>
      </c>
      <c r="B942" s="5" t="str">
        <f ca="1">IFERROR(__xludf.DUMMYFUNCTION("""COMPUTED_VALUE"""),"Wounded")</f>
        <v>Wounded</v>
      </c>
      <c r="C942" s="5" t="str">
        <f ca="1">IFERROR(__xludf.DUMMYFUNCTION("""COMPUTED_VALUE"""),"Male")</f>
        <v>Male</v>
      </c>
      <c r="D942" s="5" t="str">
        <f ca="1">IFERROR(__xludf.DUMMYFUNCTION("""COMPUTED_VALUE"""),"Student")</f>
        <v>Student</v>
      </c>
      <c r="E942" s="5" t="str">
        <f ca="1">IFERROR(__xludf.DUMMYFUNCTION("""COMPUTED_VALUE"""),"Teen")</f>
        <v>Teen</v>
      </c>
      <c r="F942" s="5"/>
    </row>
    <row r="943" spans="1:6">
      <c r="A943" s="5" t="str">
        <f ca="1">IFERROR(__xludf.DUMMYFUNCTION("""COMPUTED_VALUE"""),"20180122TXITI")</f>
        <v>20180122TXITI</v>
      </c>
      <c r="B943" s="5" t="str">
        <f ca="1">IFERROR(__xludf.DUMMYFUNCTION("""COMPUTED_VALUE"""),"Wounded")</f>
        <v>Wounded</v>
      </c>
      <c r="C943" s="5" t="str">
        <f ca="1">IFERROR(__xludf.DUMMYFUNCTION("""COMPUTED_VALUE"""),"Female")</f>
        <v>Female</v>
      </c>
      <c r="D943" s="5" t="str">
        <f ca="1">IFERROR(__xludf.DUMMYFUNCTION("""COMPUTED_VALUE"""),"Student")</f>
        <v>Student</v>
      </c>
      <c r="E943" s="5" t="str">
        <f ca="1">IFERROR(__xludf.DUMMYFUNCTION("""COMPUTED_VALUE"""),"Teen")</f>
        <v>Teen</v>
      </c>
      <c r="F943" s="5"/>
    </row>
    <row r="944" spans="1:6">
      <c r="A944" s="5" t="str">
        <f ca="1">IFERROR(__xludf.DUMMYFUNCTION("""COMPUTED_VALUE"""),"20180122LANEN")</f>
        <v>20180122LANEN</v>
      </c>
      <c r="B944" s="5" t="str">
        <f ca="1">IFERROR(__xludf.DUMMYFUNCTION("""COMPUTED_VALUE"""),"None")</f>
        <v>None</v>
      </c>
      <c r="C944" s="5"/>
      <c r="D944" s="5"/>
      <c r="E944" s="5"/>
      <c r="F944" s="5"/>
    </row>
    <row r="945" spans="1:6">
      <c r="A945" s="5" t="str">
        <f ca="1">IFERROR(__xludf.DUMMYFUNCTION("""COMPUTED_VALUE"""),"20180116VTMOM")</f>
        <v>20180116VTMOM</v>
      </c>
      <c r="B945" s="5" t="str">
        <f ca="1">IFERROR(__xludf.DUMMYFUNCTION("""COMPUTED_VALUE"""),"None")</f>
        <v>None</v>
      </c>
      <c r="C945" s="5" t="str">
        <f ca="1">IFERROR(__xludf.DUMMYFUNCTION("""COMPUTED_VALUE"""),"Male")</f>
        <v>Male</v>
      </c>
      <c r="D945" s="5" t="str">
        <f ca="1">IFERROR(__xludf.DUMMYFUNCTION("""COMPUTED_VALUE"""),"No Relation")</f>
        <v>No Relation</v>
      </c>
      <c r="E945" s="5">
        <f ca="1">IFERROR(__xludf.DUMMYFUNCTION("""COMPUTED_VALUE"""),32)</f>
        <v>32</v>
      </c>
      <c r="F945" s="5" t="str">
        <f ca="1">IFERROR(__xludf.DUMMYFUNCTION("""COMPUTED_VALUE"""),"White")</f>
        <v>White</v>
      </c>
    </row>
    <row r="946" spans="1:6">
      <c r="A946" s="5" t="str">
        <f ca="1">IFERROR(__xludf.DUMMYFUNCTION("""COMPUTED_VALUE"""),"20180109AZCOS")</f>
        <v>20180109AZCOS</v>
      </c>
      <c r="B946" s="5" t="str">
        <f ca="1">IFERROR(__xludf.DUMMYFUNCTION("""COMPUTED_VALUE"""),"None")</f>
        <v>None</v>
      </c>
      <c r="C946" s="5" t="str">
        <f ca="1">IFERROR(__xludf.DUMMYFUNCTION("""COMPUTED_VALUE"""),"Male")</f>
        <v>Male</v>
      </c>
      <c r="D946" s="5" t="str">
        <f ca="1">IFERROR(__xludf.DUMMYFUNCTION("""COMPUTED_VALUE"""),"Student")</f>
        <v>Student</v>
      </c>
      <c r="E946" s="5" t="str">
        <f ca="1">IFERROR(__xludf.DUMMYFUNCTION("""COMPUTED_VALUE"""),"Teen")</f>
        <v>Teen</v>
      </c>
      <c r="F946" s="5"/>
    </row>
    <row r="947" spans="1:6">
      <c r="A947" s="5" t="str">
        <f ca="1">IFERROR(__xludf.DUMMYFUNCTION("""COMPUTED_VALUE"""),"20180105IAFOF")</f>
        <v>20180105IAFOF</v>
      </c>
      <c r="B947" s="5" t="str">
        <f ca="1">IFERROR(__xludf.DUMMYFUNCTION("""COMPUTED_VALUE"""),"None")</f>
        <v>None</v>
      </c>
      <c r="C947" s="5"/>
      <c r="D947" s="5"/>
      <c r="E947" s="5"/>
      <c r="F947" s="5"/>
    </row>
    <row r="948" spans="1:6">
      <c r="A948" s="5" t="str">
        <f ca="1">IFERROR(__xludf.DUMMYFUNCTION("""COMPUTED_VALUE"""),"20180104WANES")</f>
        <v>20180104WANES</v>
      </c>
      <c r="B948" s="5" t="str">
        <f ca="1">IFERROR(__xludf.DUMMYFUNCTION("""COMPUTED_VALUE"""),"None")</f>
        <v>None</v>
      </c>
      <c r="C948" s="5"/>
      <c r="D948" s="5"/>
      <c r="E948" s="5"/>
      <c r="F948" s="5"/>
    </row>
    <row r="949" spans="1:6">
      <c r="A949" s="5" t="str">
        <f ca="1">IFERROR(__xludf.DUMMYFUNCTION("""COMPUTED_VALUE"""),"20171231WAPIM")</f>
        <v>20171231WAPIM</v>
      </c>
      <c r="B949" s="5" t="str">
        <f ca="1">IFERROR(__xludf.DUMMYFUNCTION("""COMPUTED_VALUE"""),"None")</f>
        <v>None</v>
      </c>
      <c r="C949" s="5"/>
      <c r="D949" s="5"/>
      <c r="E949" s="5"/>
      <c r="F949" s="5"/>
    </row>
    <row r="950" spans="1:6">
      <c r="A950" s="5" t="str">
        <f ca="1">IFERROR(__xludf.DUMMYFUNCTION("""COMPUTED_VALUE"""),"20171231LAEDA")</f>
        <v>20171231LAEDA</v>
      </c>
      <c r="B950" s="5" t="str">
        <f ca="1">IFERROR(__xludf.DUMMYFUNCTION("""COMPUTED_VALUE"""),"Fatal")</f>
        <v>Fatal</v>
      </c>
      <c r="C950" s="5" t="str">
        <f ca="1">IFERROR(__xludf.DUMMYFUNCTION("""COMPUTED_VALUE"""),"Male")</f>
        <v>Male</v>
      </c>
      <c r="D950" s="5" t="str">
        <f ca="1">IFERROR(__xludf.DUMMYFUNCTION("""COMPUTED_VALUE"""),"Nonstudent Using Athletic Facilities/Attending Game")</f>
        <v>Nonstudent Using Athletic Facilities/Attending Game</v>
      </c>
      <c r="E950" s="5" t="str">
        <f ca="1">IFERROR(__xludf.DUMMYFUNCTION("""COMPUTED_VALUE"""),"Adult")</f>
        <v>Adult</v>
      </c>
      <c r="F950" s="5"/>
    </row>
    <row r="951" spans="1:6">
      <c r="A951" s="5" t="str">
        <f ca="1">IFERROR(__xludf.DUMMYFUNCTION("""COMPUTED_VALUE"""),"20171231LAEDA")</f>
        <v>20171231LAEDA</v>
      </c>
      <c r="B951" s="5" t="str">
        <f ca="1">IFERROR(__xludf.DUMMYFUNCTION("""COMPUTED_VALUE"""),"Fatal")</f>
        <v>Fatal</v>
      </c>
      <c r="C951" s="5" t="str">
        <f ca="1">IFERROR(__xludf.DUMMYFUNCTION("""COMPUTED_VALUE"""),"Male")</f>
        <v>Male</v>
      </c>
      <c r="D951" s="5" t="str">
        <f ca="1">IFERROR(__xludf.DUMMYFUNCTION("""COMPUTED_VALUE"""),"Nonstudent Using Athletic Facilities/Attending Game")</f>
        <v>Nonstudent Using Athletic Facilities/Attending Game</v>
      </c>
      <c r="E951" s="5" t="str">
        <f ca="1">IFERROR(__xludf.DUMMYFUNCTION("""COMPUTED_VALUE"""),"Adult")</f>
        <v>Adult</v>
      </c>
      <c r="F951" s="5"/>
    </row>
    <row r="952" spans="1:6">
      <c r="A952" s="5" t="str">
        <f ca="1">IFERROR(__xludf.DUMMYFUNCTION("""COMPUTED_VALUE"""),"20171227CALIL")</f>
        <v>20171227CALIL</v>
      </c>
      <c r="B952" s="5" t="str">
        <f ca="1">IFERROR(__xludf.DUMMYFUNCTION("""COMPUTED_VALUE"""),"Wounded")</f>
        <v>Wounded</v>
      </c>
      <c r="C952" s="5" t="str">
        <f ca="1">IFERROR(__xludf.DUMMYFUNCTION("""COMPUTED_VALUE"""),"Male")</f>
        <v>Male</v>
      </c>
      <c r="D952" s="5" t="str">
        <f ca="1">IFERROR(__xludf.DUMMYFUNCTION("""COMPUTED_VALUE"""),"No Relation")</f>
        <v>No Relation</v>
      </c>
      <c r="E952" s="5" t="str">
        <f ca="1">IFERROR(__xludf.DUMMYFUNCTION("""COMPUTED_VALUE"""),"Adult")</f>
        <v>Adult</v>
      </c>
      <c r="F952" s="5"/>
    </row>
    <row r="953" spans="1:6">
      <c r="A953" s="5" t="str">
        <f ca="1">IFERROR(__xludf.DUMMYFUNCTION("""COMPUTED_VALUE"""),"20171219MIBEB")</f>
        <v>20171219MIBEB</v>
      </c>
      <c r="B953" s="5" t="str">
        <f ca="1">IFERROR(__xludf.DUMMYFUNCTION("""COMPUTED_VALUE"""),"Wounded")</f>
        <v>Wounded</v>
      </c>
      <c r="C953" s="5" t="str">
        <f ca="1">IFERROR(__xludf.DUMMYFUNCTION("""COMPUTED_VALUE"""),"Male")</f>
        <v>Male</v>
      </c>
      <c r="D953" s="5" t="str">
        <f ca="1">IFERROR(__xludf.DUMMYFUNCTION("""COMPUTED_VALUE"""),"Student")</f>
        <v>Student</v>
      </c>
      <c r="E953" s="5" t="str">
        <f ca="1">IFERROR(__xludf.DUMMYFUNCTION("""COMPUTED_VALUE"""),"Teen")</f>
        <v>Teen</v>
      </c>
      <c r="F953" s="5"/>
    </row>
    <row r="954" spans="1:6">
      <c r="A954" s="5" t="str">
        <f ca="1">IFERROR(__xludf.DUMMYFUNCTION("""COMPUTED_VALUE"""),"20171214TXELD")</f>
        <v>20171214TXELD</v>
      </c>
      <c r="B954" s="5" t="str">
        <f ca="1">IFERROR(__xludf.DUMMYFUNCTION("""COMPUTED_VALUE"""),"None")</f>
        <v>None</v>
      </c>
      <c r="C954" s="5"/>
      <c r="D954" s="5"/>
      <c r="E954" s="5"/>
      <c r="F954" s="5"/>
    </row>
    <row r="955" spans="1:6">
      <c r="A955" s="5" t="str">
        <f ca="1">IFERROR(__xludf.DUMMYFUNCTION("""COMPUTED_VALUE"""),"20171212TXSAP")</f>
        <v>20171212TXSAP</v>
      </c>
      <c r="B955" s="5" t="str">
        <f ca="1">IFERROR(__xludf.DUMMYFUNCTION("""COMPUTED_VALUE"""),"Wounded")</f>
        <v>Wounded</v>
      </c>
      <c r="C955" s="5" t="str">
        <f ca="1">IFERROR(__xludf.DUMMYFUNCTION("""COMPUTED_VALUE"""),"Male")</f>
        <v>Male</v>
      </c>
      <c r="D955" s="5" t="str">
        <f ca="1">IFERROR(__xludf.DUMMYFUNCTION("""COMPUTED_VALUE"""),"Relative")</f>
        <v>Relative</v>
      </c>
      <c r="E955" s="5">
        <f ca="1">IFERROR(__xludf.DUMMYFUNCTION("""COMPUTED_VALUE"""),21)</f>
        <v>21</v>
      </c>
      <c r="F955" s="5"/>
    </row>
    <row r="956" spans="1:6">
      <c r="A956" s="5" t="str">
        <f ca="1">IFERROR(__xludf.DUMMYFUNCTION("""COMPUTED_VALUE"""),"20171212TXSAP")</f>
        <v>20171212TXSAP</v>
      </c>
      <c r="B956" s="5" t="str">
        <f ca="1">IFERROR(__xludf.DUMMYFUNCTION("""COMPUTED_VALUE"""),"Wounded")</f>
        <v>Wounded</v>
      </c>
      <c r="C956" s="5" t="str">
        <f ca="1">IFERROR(__xludf.DUMMYFUNCTION("""COMPUTED_VALUE"""),"Male")</f>
        <v>Male</v>
      </c>
      <c r="D956" s="5" t="str">
        <f ca="1">IFERROR(__xludf.DUMMYFUNCTION("""COMPUTED_VALUE"""),"Relative")</f>
        <v>Relative</v>
      </c>
      <c r="E956" s="5">
        <f ca="1">IFERROR(__xludf.DUMMYFUNCTION("""COMPUTED_VALUE"""),20)</f>
        <v>20</v>
      </c>
      <c r="F956" s="5"/>
    </row>
    <row r="957" spans="1:6">
      <c r="A957" s="5" t="str">
        <f ca="1">IFERROR(__xludf.DUMMYFUNCTION("""COMPUTED_VALUE"""),"20171211NCHIH")</f>
        <v>20171211NCHIH</v>
      </c>
      <c r="B957" s="5" t="str">
        <f ca="1">IFERROR(__xludf.DUMMYFUNCTION("""COMPUTED_VALUE"""),"None")</f>
        <v>None</v>
      </c>
      <c r="C957" s="5"/>
      <c r="D957" s="5"/>
      <c r="E957" s="5"/>
      <c r="F957" s="5"/>
    </row>
    <row r="958" spans="1:6">
      <c r="A958" s="5" t="str">
        <f ca="1">IFERROR(__xludf.DUMMYFUNCTION("""COMPUTED_VALUE"""),"20171209ILCHC")</f>
        <v>20171209ILCHC</v>
      </c>
      <c r="B958" s="5" t="str">
        <f ca="1">IFERROR(__xludf.DUMMYFUNCTION("""COMPUTED_VALUE"""),"Wounded")</f>
        <v>Wounded</v>
      </c>
      <c r="C958" s="5" t="str">
        <f ca="1">IFERROR(__xludf.DUMMYFUNCTION("""COMPUTED_VALUE"""),"Female")</f>
        <v>Female</v>
      </c>
      <c r="D958" s="5" t="str">
        <f ca="1">IFERROR(__xludf.DUMMYFUNCTION("""COMPUTED_VALUE"""),"Student")</f>
        <v>Student</v>
      </c>
      <c r="E958" s="5">
        <f ca="1">IFERROR(__xludf.DUMMYFUNCTION("""COMPUTED_VALUE"""),15)</f>
        <v>15</v>
      </c>
      <c r="F958" s="5"/>
    </row>
    <row r="959" spans="1:6">
      <c r="A959" s="5" t="str">
        <f ca="1">IFERROR(__xludf.DUMMYFUNCTION("""COMPUTED_VALUE"""),"20171209ILCHC")</f>
        <v>20171209ILCHC</v>
      </c>
      <c r="B959" s="5" t="str">
        <f ca="1">IFERROR(__xludf.DUMMYFUNCTION("""COMPUTED_VALUE"""),"Wounded")</f>
        <v>Wounded</v>
      </c>
      <c r="C959" s="5" t="str">
        <f ca="1">IFERROR(__xludf.DUMMYFUNCTION("""COMPUTED_VALUE"""),"Female")</f>
        <v>Female</v>
      </c>
      <c r="D959" s="5" t="str">
        <f ca="1">IFERROR(__xludf.DUMMYFUNCTION("""COMPUTED_VALUE"""),"Student")</f>
        <v>Student</v>
      </c>
      <c r="E959" s="5">
        <f ca="1">IFERROR(__xludf.DUMMYFUNCTION("""COMPUTED_VALUE"""),17)</f>
        <v>17</v>
      </c>
      <c r="F959" s="5"/>
    </row>
    <row r="960" spans="1:6">
      <c r="A960" s="5" t="str">
        <f ca="1">IFERROR(__xludf.DUMMYFUNCTION("""COMPUTED_VALUE"""),"20171209ILCHC")</f>
        <v>20171209ILCHC</v>
      </c>
      <c r="B960" s="5" t="str">
        <f ca="1">IFERROR(__xludf.DUMMYFUNCTION("""COMPUTED_VALUE"""),"Wounded")</f>
        <v>Wounded</v>
      </c>
      <c r="C960" s="5" t="str">
        <f ca="1">IFERROR(__xludf.DUMMYFUNCTION("""COMPUTED_VALUE"""),"Female")</f>
        <v>Female</v>
      </c>
      <c r="D960" s="5" t="str">
        <f ca="1">IFERROR(__xludf.DUMMYFUNCTION("""COMPUTED_VALUE"""),"Student")</f>
        <v>Student</v>
      </c>
      <c r="E960" s="5">
        <f ca="1">IFERROR(__xludf.DUMMYFUNCTION("""COMPUTED_VALUE"""),18)</f>
        <v>18</v>
      </c>
      <c r="F960" s="5"/>
    </row>
    <row r="961" spans="1:6">
      <c r="A961" s="5" t="str">
        <f ca="1">IFERROR(__xludf.DUMMYFUNCTION("""COMPUTED_VALUE"""),"20171207NMAZA")</f>
        <v>20171207NMAZA</v>
      </c>
      <c r="B961" s="5" t="str">
        <f ca="1">IFERROR(__xludf.DUMMYFUNCTION("""COMPUTED_VALUE"""),"Fatal")</f>
        <v>Fatal</v>
      </c>
      <c r="C961" s="5" t="str">
        <f ca="1">IFERROR(__xludf.DUMMYFUNCTION("""COMPUTED_VALUE"""),"Male")</f>
        <v>Male</v>
      </c>
      <c r="D961" s="5" t="str">
        <f ca="1">IFERROR(__xludf.DUMMYFUNCTION("""COMPUTED_VALUE"""),"Student")</f>
        <v>Student</v>
      </c>
      <c r="E961" s="5" t="str">
        <f ca="1">IFERROR(__xludf.DUMMYFUNCTION("""COMPUTED_VALUE"""),"Teen")</f>
        <v>Teen</v>
      </c>
      <c r="F961" s="5" t="str">
        <f ca="1">IFERROR(__xludf.DUMMYFUNCTION("""COMPUTED_VALUE"""),"Hispanic")</f>
        <v>Hispanic</v>
      </c>
    </row>
    <row r="962" spans="1:6">
      <c r="A962" s="5" t="str">
        <f ca="1">IFERROR(__xludf.DUMMYFUNCTION("""COMPUTED_VALUE"""),"20171207NMAZA")</f>
        <v>20171207NMAZA</v>
      </c>
      <c r="B962" s="5" t="str">
        <f ca="1">IFERROR(__xludf.DUMMYFUNCTION("""COMPUTED_VALUE"""),"Fatal")</f>
        <v>Fatal</v>
      </c>
      <c r="C962" s="5" t="str">
        <f ca="1">IFERROR(__xludf.DUMMYFUNCTION("""COMPUTED_VALUE"""),"Female")</f>
        <v>Female</v>
      </c>
      <c r="D962" s="5" t="str">
        <f ca="1">IFERROR(__xludf.DUMMYFUNCTION("""COMPUTED_VALUE"""),"Student")</f>
        <v>Student</v>
      </c>
      <c r="E962" s="5" t="str">
        <f ca="1">IFERROR(__xludf.DUMMYFUNCTION("""COMPUTED_VALUE"""),"Teen")</f>
        <v>Teen</v>
      </c>
      <c r="F962" s="5" t="str">
        <f ca="1">IFERROR(__xludf.DUMMYFUNCTION("""COMPUTED_VALUE"""),"Hispanic")</f>
        <v>Hispanic</v>
      </c>
    </row>
    <row r="963" spans="1:6">
      <c r="A963" s="5" t="str">
        <f ca="1">IFERROR(__xludf.DUMMYFUNCTION("""COMPUTED_VALUE"""),"20171130VASAV")</f>
        <v>20171130VASAV</v>
      </c>
      <c r="B963" s="5" t="str">
        <f ca="1">IFERROR(__xludf.DUMMYFUNCTION("""COMPUTED_VALUE"""),"None")</f>
        <v>None</v>
      </c>
      <c r="C963" s="5" t="str">
        <f ca="1">IFERROR(__xludf.DUMMYFUNCTION("""COMPUTED_VALUE"""),"Male")</f>
        <v>Male</v>
      </c>
      <c r="D963" s="5" t="str">
        <f ca="1">IFERROR(__xludf.DUMMYFUNCTION("""COMPUTED_VALUE"""),"Student")</f>
        <v>Student</v>
      </c>
      <c r="E963" s="5" t="str">
        <f ca="1">IFERROR(__xludf.DUMMYFUNCTION("""COMPUTED_VALUE"""),"Teen")</f>
        <v>Teen</v>
      </c>
      <c r="F963" s="5"/>
    </row>
    <row r="964" spans="1:6">
      <c r="A964" s="5" t="str">
        <f ca="1">IFERROR(__xludf.DUMMYFUNCTION("""COMPUTED_VALUE"""),"20171129OHBAL")</f>
        <v>20171129OHBAL</v>
      </c>
      <c r="B964" s="5" t="str">
        <f ca="1">IFERROR(__xludf.DUMMYFUNCTION("""COMPUTED_VALUE"""),"None")</f>
        <v>None</v>
      </c>
      <c r="C964" s="5"/>
      <c r="D964" s="5"/>
      <c r="E964" s="5"/>
      <c r="F964" s="5"/>
    </row>
    <row r="965" spans="1:6">
      <c r="A965" s="5" t="str">
        <f ca="1">IFERROR(__xludf.DUMMYFUNCTION("""COMPUTED_VALUE"""),"20171128CABOS")</f>
        <v>20171128CABOS</v>
      </c>
      <c r="B965" s="5" t="str">
        <f ca="1">IFERROR(__xludf.DUMMYFUNCTION("""COMPUTED_VALUE"""),"None")</f>
        <v>None</v>
      </c>
      <c r="C965" s="5"/>
      <c r="D965" s="5"/>
      <c r="E965" s="5"/>
      <c r="F965" s="5"/>
    </row>
    <row r="966" spans="1:6">
      <c r="A966" s="5" t="str">
        <f ca="1">IFERROR(__xludf.DUMMYFUNCTION("""COMPUTED_VALUE"""),"20171123COMAD")</f>
        <v>20171123COMAD</v>
      </c>
      <c r="B966" s="5" t="str">
        <f ca="1">IFERROR(__xludf.DUMMYFUNCTION("""COMPUTED_VALUE"""),"Wounded")</f>
        <v>Wounded</v>
      </c>
      <c r="C966" s="5" t="str">
        <f ca="1">IFERROR(__xludf.DUMMYFUNCTION("""COMPUTED_VALUE"""),"Female")</f>
        <v>Female</v>
      </c>
      <c r="D966" s="5" t="str">
        <f ca="1">IFERROR(__xludf.DUMMYFUNCTION("""COMPUTED_VALUE"""),"No Relation")</f>
        <v>No Relation</v>
      </c>
      <c r="E966" s="5" t="str">
        <f ca="1">IFERROR(__xludf.DUMMYFUNCTION("""COMPUTED_VALUE"""),"Adult")</f>
        <v>Adult</v>
      </c>
      <c r="F966" s="5"/>
    </row>
    <row r="967" spans="1:6">
      <c r="A967" s="5" t="str">
        <f ca="1">IFERROR(__xludf.DUMMYFUNCTION("""COMPUTED_VALUE"""),"20171123COMAD")</f>
        <v>20171123COMAD</v>
      </c>
      <c r="B967" s="5" t="str">
        <f ca="1">IFERROR(__xludf.DUMMYFUNCTION("""COMPUTED_VALUE"""),"Wounded")</f>
        <v>Wounded</v>
      </c>
      <c r="C967" s="5" t="str">
        <f ca="1">IFERROR(__xludf.DUMMYFUNCTION("""COMPUTED_VALUE"""),"Male")</f>
        <v>Male</v>
      </c>
      <c r="D967" s="5" t="str">
        <f ca="1">IFERROR(__xludf.DUMMYFUNCTION("""COMPUTED_VALUE"""),"No Relation")</f>
        <v>No Relation</v>
      </c>
      <c r="E967" s="5" t="str">
        <f ca="1">IFERROR(__xludf.DUMMYFUNCTION("""COMPUTED_VALUE"""),"Child")</f>
        <v>Child</v>
      </c>
      <c r="F967" s="5"/>
    </row>
    <row r="968" spans="1:6">
      <c r="A968" s="5" t="str">
        <f ca="1">IFERROR(__xludf.DUMMYFUNCTION("""COMPUTED_VALUE"""),"20171123COMAD")</f>
        <v>20171123COMAD</v>
      </c>
      <c r="B968" s="5" t="str">
        <f ca="1">IFERROR(__xludf.DUMMYFUNCTION("""COMPUTED_VALUE"""),"Wounded")</f>
        <v>Wounded</v>
      </c>
      <c r="C968" s="5" t="str">
        <f ca="1">IFERROR(__xludf.DUMMYFUNCTION("""COMPUTED_VALUE"""),"Male")</f>
        <v>Male</v>
      </c>
      <c r="D968" s="5" t="str">
        <f ca="1">IFERROR(__xludf.DUMMYFUNCTION("""COMPUTED_VALUE"""),"No Relation")</f>
        <v>No Relation</v>
      </c>
      <c r="E968" s="5" t="str">
        <f ca="1">IFERROR(__xludf.DUMMYFUNCTION("""COMPUTED_VALUE"""),"Child")</f>
        <v>Child</v>
      </c>
      <c r="F968" s="5"/>
    </row>
    <row r="969" spans="1:6">
      <c r="A969" s="5" t="str">
        <f ca="1">IFERROR(__xludf.DUMMYFUNCTION("""COMPUTED_VALUE"""),"20171117TNNOJ")</f>
        <v>20171117TNNOJ</v>
      </c>
      <c r="B969" s="5" t="str">
        <f ca="1">IFERROR(__xludf.DUMMYFUNCTION("""COMPUTED_VALUE"""),"None")</f>
        <v>None</v>
      </c>
      <c r="C969" s="5"/>
      <c r="D969" s="5"/>
      <c r="E969" s="5"/>
      <c r="F969" s="5"/>
    </row>
    <row r="970" spans="1:6">
      <c r="A970" s="5" t="str">
        <f ca="1">IFERROR(__xludf.DUMMYFUNCTION("""COMPUTED_VALUE"""),"20171114FLLAM")</f>
        <v>20171114FLLAM</v>
      </c>
      <c r="B970" s="5" t="str">
        <f ca="1">IFERROR(__xludf.DUMMYFUNCTION("""COMPUTED_VALUE"""),"None")</f>
        <v>None</v>
      </c>
      <c r="C970" s="5" t="str">
        <f ca="1">IFERROR(__xludf.DUMMYFUNCTION("""COMPUTED_VALUE"""),"Male")</f>
        <v>Male</v>
      </c>
      <c r="D970" s="5" t="str">
        <f ca="1">IFERROR(__xludf.DUMMYFUNCTION("""COMPUTED_VALUE"""),"Student")</f>
        <v>Student</v>
      </c>
      <c r="E970" s="5">
        <f ca="1">IFERROR(__xludf.DUMMYFUNCTION("""COMPUTED_VALUE"""),17)</f>
        <v>17</v>
      </c>
      <c r="F970" s="5"/>
    </row>
    <row r="971" spans="1:6">
      <c r="A971" s="5" t="str">
        <f ca="1">IFERROR(__xludf.DUMMYFUNCTION("""COMPUTED_VALUE"""),"20171114CARAR")</f>
        <v>20171114CARAR</v>
      </c>
      <c r="B971" s="5" t="str">
        <f ca="1">IFERROR(__xludf.DUMMYFUNCTION("""COMPUTED_VALUE"""),"Wounded")</f>
        <v>Wounded</v>
      </c>
      <c r="C971" s="5" t="str">
        <f ca="1">IFERROR(__xludf.DUMMYFUNCTION("""COMPUTED_VALUE"""),"Female")</f>
        <v>Female</v>
      </c>
      <c r="D971" s="5" t="str">
        <f ca="1">IFERROR(__xludf.DUMMYFUNCTION("""COMPUTED_VALUE"""),"Unknown")</f>
        <v>Unknown</v>
      </c>
      <c r="E971" s="5">
        <f ca="1">IFERROR(__xludf.DUMMYFUNCTION("""COMPUTED_VALUE"""),31)</f>
        <v>31</v>
      </c>
      <c r="F971" s="5"/>
    </row>
    <row r="972" spans="1:6">
      <c r="A972" s="5" t="str">
        <f ca="1">IFERROR(__xludf.DUMMYFUNCTION("""COMPUTED_VALUE"""),"20171114CARAR")</f>
        <v>20171114CARAR</v>
      </c>
      <c r="B972" s="5" t="str">
        <f ca="1">IFERROR(__xludf.DUMMYFUNCTION("""COMPUTED_VALUE"""),"Wounded")</f>
        <v>Wounded</v>
      </c>
      <c r="C972" s="5" t="str">
        <f ca="1">IFERROR(__xludf.DUMMYFUNCTION("""COMPUTED_VALUE"""),"Male")</f>
        <v>Male</v>
      </c>
      <c r="D972" s="5" t="str">
        <f ca="1">IFERROR(__xludf.DUMMYFUNCTION("""COMPUTED_VALUE"""),"Student")</f>
        <v>Student</v>
      </c>
      <c r="E972" s="5">
        <f ca="1">IFERROR(__xludf.DUMMYFUNCTION("""COMPUTED_VALUE"""),6)</f>
        <v>6</v>
      </c>
      <c r="F972" s="5"/>
    </row>
    <row r="973" spans="1:6">
      <c r="A973" s="5" t="str">
        <f ca="1">IFERROR(__xludf.DUMMYFUNCTION("""COMPUTED_VALUE"""),"20171114CARAR")</f>
        <v>20171114CARAR</v>
      </c>
      <c r="B973" s="5" t="str">
        <f ca="1">IFERROR(__xludf.DUMMYFUNCTION("""COMPUTED_VALUE"""),"Wounded")</f>
        <v>Wounded</v>
      </c>
      <c r="C973" s="5" t="str">
        <f ca="1">IFERROR(__xludf.DUMMYFUNCTION("""COMPUTED_VALUE"""),"Male")</f>
        <v>Male</v>
      </c>
      <c r="D973" s="5" t="str">
        <f ca="1">IFERROR(__xludf.DUMMYFUNCTION("""COMPUTED_VALUE"""),"Student")</f>
        <v>Student</v>
      </c>
      <c r="E973" s="5">
        <f ca="1">IFERROR(__xludf.DUMMYFUNCTION("""COMPUTED_VALUE"""),6)</f>
        <v>6</v>
      </c>
      <c r="F973" s="5"/>
    </row>
    <row r="974" spans="1:6">
      <c r="A974" s="5" t="str">
        <f ca="1">IFERROR(__xludf.DUMMYFUNCTION("""COMPUTED_VALUE"""),"20171114CARAR")</f>
        <v>20171114CARAR</v>
      </c>
      <c r="B974" s="5" t="str">
        <f ca="1">IFERROR(__xludf.DUMMYFUNCTION("""COMPUTED_VALUE"""),"Wounded")</f>
        <v>Wounded</v>
      </c>
      <c r="C974" s="5"/>
      <c r="D974" s="5" t="str">
        <f ca="1">IFERROR(__xludf.DUMMYFUNCTION("""COMPUTED_VALUE"""),"Student")</f>
        <v>Student</v>
      </c>
      <c r="E974" s="5" t="str">
        <f ca="1">IFERROR(__xludf.DUMMYFUNCTION("""COMPUTED_VALUE"""),"Child")</f>
        <v>Child</v>
      </c>
      <c r="F974" s="5"/>
    </row>
    <row r="975" spans="1:6">
      <c r="A975" s="5" t="str">
        <f ca="1">IFERROR(__xludf.DUMMYFUNCTION("""COMPUTED_VALUE"""),"20171114CARAR")</f>
        <v>20171114CARAR</v>
      </c>
      <c r="B975" s="5" t="str">
        <f ca="1">IFERROR(__xludf.DUMMYFUNCTION("""COMPUTED_VALUE"""),"Wounded")</f>
        <v>Wounded</v>
      </c>
      <c r="C975" s="5"/>
      <c r="D975" s="5"/>
      <c r="E975" s="5" t="str">
        <f ca="1">IFERROR(__xludf.DUMMYFUNCTION("""COMPUTED_VALUE"""),"Adult")</f>
        <v>Adult</v>
      </c>
      <c r="F975" s="5"/>
    </row>
    <row r="976" spans="1:6">
      <c r="A976" s="5" t="str">
        <f ca="1">IFERROR(__xludf.DUMMYFUNCTION("""COMPUTED_VALUE"""),"20171114CARAR")</f>
        <v>20171114CARAR</v>
      </c>
      <c r="B976" s="5" t="str">
        <f ca="1">IFERROR(__xludf.DUMMYFUNCTION("""COMPUTED_VALUE"""),"Wounded")</f>
        <v>Wounded</v>
      </c>
      <c r="C976" s="5"/>
      <c r="D976" s="5"/>
      <c r="E976" s="5" t="str">
        <f ca="1">IFERROR(__xludf.DUMMYFUNCTION("""COMPUTED_VALUE"""),"Adult")</f>
        <v>Adult</v>
      </c>
      <c r="F976" s="5"/>
    </row>
    <row r="977" spans="1:6">
      <c r="A977" s="5" t="str">
        <f ca="1">IFERROR(__xludf.DUMMYFUNCTION("""COMPUTED_VALUE"""),"20171114CARAR")</f>
        <v>20171114CARAR</v>
      </c>
      <c r="B977" s="5" t="str">
        <f ca="1">IFERROR(__xludf.DUMMYFUNCTION("""COMPUTED_VALUE"""),"Wounded")</f>
        <v>Wounded</v>
      </c>
      <c r="C977" s="5" t="str">
        <f ca="1">IFERROR(__xludf.DUMMYFUNCTION("""COMPUTED_VALUE"""),"Male")</f>
        <v>Male</v>
      </c>
      <c r="D977" s="5" t="str">
        <f ca="1">IFERROR(__xludf.DUMMYFUNCTION("""COMPUTED_VALUE"""),"Parent")</f>
        <v>Parent</v>
      </c>
      <c r="E977" s="5" t="str">
        <f ca="1">IFERROR(__xludf.DUMMYFUNCTION("""COMPUTED_VALUE"""),"Adult")</f>
        <v>Adult</v>
      </c>
      <c r="F977" s="5"/>
    </row>
    <row r="978" spans="1:6">
      <c r="A978" s="5" t="str">
        <f ca="1">IFERROR(__xludf.DUMMYFUNCTION("""COMPUTED_VALUE"""),"20171114CARAR")</f>
        <v>20171114CARAR</v>
      </c>
      <c r="B978" s="5" t="str">
        <f ca="1">IFERROR(__xludf.DUMMYFUNCTION("""COMPUTED_VALUE"""),"Wounded")</f>
        <v>Wounded</v>
      </c>
      <c r="C978" s="5"/>
      <c r="D978" s="5" t="str">
        <f ca="1">IFERROR(__xludf.DUMMYFUNCTION("""COMPUTED_VALUE"""),"Student")</f>
        <v>Student</v>
      </c>
      <c r="E978" s="5" t="str">
        <f ca="1">IFERROR(__xludf.DUMMYFUNCTION("""COMPUTED_VALUE"""),"Child")</f>
        <v>Child</v>
      </c>
      <c r="F978" s="5"/>
    </row>
    <row r="979" spans="1:6">
      <c r="A979" s="5" t="str">
        <f ca="1">IFERROR(__xludf.DUMMYFUNCTION("""COMPUTED_VALUE"""),"20171114CARAR")</f>
        <v>20171114CARAR</v>
      </c>
      <c r="B979" s="5" t="str">
        <f ca="1">IFERROR(__xludf.DUMMYFUNCTION("""COMPUTED_VALUE"""),"Wounded")</f>
        <v>Wounded</v>
      </c>
      <c r="C979" s="5" t="str">
        <f ca="1">IFERROR(__xludf.DUMMYFUNCTION("""COMPUTED_VALUE"""),"Male")</f>
        <v>Male</v>
      </c>
      <c r="D979" s="5" t="str">
        <f ca="1">IFERROR(__xludf.DUMMYFUNCTION("""COMPUTED_VALUE"""),"Relative")</f>
        <v>Relative</v>
      </c>
      <c r="E979" s="5">
        <f ca="1">IFERROR(__xludf.DUMMYFUNCTION("""COMPUTED_VALUE"""),2)</f>
        <v>2</v>
      </c>
      <c r="F979" s="5"/>
    </row>
    <row r="980" spans="1:6">
      <c r="A980" s="5" t="str">
        <f ca="1">IFERROR(__xludf.DUMMYFUNCTION("""COMPUTED_VALUE"""),"20171114CARAR")</f>
        <v>20171114CARAR</v>
      </c>
      <c r="B980" s="5" t="str">
        <f ca="1">IFERROR(__xludf.DUMMYFUNCTION("""COMPUTED_VALUE"""),"Wounded")</f>
        <v>Wounded</v>
      </c>
      <c r="C980" s="5" t="str">
        <f ca="1">IFERROR(__xludf.DUMMYFUNCTION("""COMPUTED_VALUE"""),"Male")</f>
        <v>Male</v>
      </c>
      <c r="D980" s="5" t="str">
        <f ca="1">IFERROR(__xludf.DUMMYFUNCTION("""COMPUTED_VALUE"""),"Parent")</f>
        <v>Parent</v>
      </c>
      <c r="E980" s="5">
        <f ca="1">IFERROR(__xludf.DUMMYFUNCTION("""COMPUTED_VALUE"""),20)</f>
        <v>20</v>
      </c>
      <c r="F980" s="5"/>
    </row>
    <row r="981" spans="1:6">
      <c r="A981" s="5" t="str">
        <f ca="1">IFERROR(__xludf.DUMMYFUNCTION("""COMPUTED_VALUE"""),"20171114CARAR")</f>
        <v>20171114CARAR</v>
      </c>
      <c r="B981" s="5" t="str">
        <f ca="1">IFERROR(__xludf.DUMMYFUNCTION("""COMPUTED_VALUE"""),"Wounded")</f>
        <v>Wounded</v>
      </c>
      <c r="C981" s="5"/>
      <c r="D981" s="5" t="str">
        <f ca="1">IFERROR(__xludf.DUMMYFUNCTION("""COMPUTED_VALUE"""),"Student")</f>
        <v>Student</v>
      </c>
      <c r="E981" s="5" t="str">
        <f ca="1">IFERROR(__xludf.DUMMYFUNCTION("""COMPUTED_VALUE"""),"Child")</f>
        <v>Child</v>
      </c>
      <c r="F981" s="5"/>
    </row>
    <row r="982" spans="1:6">
      <c r="A982" s="5" t="str">
        <f ca="1">IFERROR(__xludf.DUMMYFUNCTION("""COMPUTED_VALUE"""),"20171114CARAR")</f>
        <v>20171114CARAR</v>
      </c>
      <c r="B982" s="5" t="str">
        <f ca="1">IFERROR(__xludf.DUMMYFUNCTION("""COMPUTED_VALUE"""),"Wounded")</f>
        <v>Wounded</v>
      </c>
      <c r="C982" s="5"/>
      <c r="D982" s="5" t="str">
        <f ca="1">IFERROR(__xludf.DUMMYFUNCTION("""COMPUTED_VALUE"""),"Student")</f>
        <v>Student</v>
      </c>
      <c r="E982" s="5" t="str">
        <f ca="1">IFERROR(__xludf.DUMMYFUNCTION("""COMPUTED_VALUE"""),"Child")</f>
        <v>Child</v>
      </c>
      <c r="F982" s="5"/>
    </row>
    <row r="983" spans="1:6">
      <c r="A983" s="5" t="str">
        <f ca="1">IFERROR(__xludf.DUMMYFUNCTION("""COMPUTED_VALUE"""),"20171114CARAR")</f>
        <v>20171114CARAR</v>
      </c>
      <c r="B983" s="5" t="str">
        <f ca="1">IFERROR(__xludf.DUMMYFUNCTION("""COMPUTED_VALUE"""),"Wounded")</f>
        <v>Wounded</v>
      </c>
      <c r="C983" s="5" t="str">
        <f ca="1">IFERROR(__xludf.DUMMYFUNCTION("""COMPUTED_VALUE"""),"Male")</f>
        <v>Male</v>
      </c>
      <c r="D983" s="5"/>
      <c r="E983" s="5">
        <f ca="1">IFERROR(__xludf.DUMMYFUNCTION("""COMPUTED_VALUE"""),39)</f>
        <v>39</v>
      </c>
      <c r="F983" s="5"/>
    </row>
    <row r="984" spans="1:6">
      <c r="A984" s="5" t="str">
        <f ca="1">IFERROR(__xludf.DUMMYFUNCTION("""COMPUTED_VALUE"""),"20171114CARAR")</f>
        <v>20171114CARAR</v>
      </c>
      <c r="B984" s="5" t="str">
        <f ca="1">IFERROR(__xludf.DUMMYFUNCTION("""COMPUTED_VALUE"""),"Wounded")</f>
        <v>Wounded</v>
      </c>
      <c r="C984" s="5"/>
      <c r="D984" s="5" t="str">
        <f ca="1">IFERROR(__xludf.DUMMYFUNCTION("""COMPUTED_VALUE"""),"Student")</f>
        <v>Student</v>
      </c>
      <c r="E984" s="5" t="str">
        <f ca="1">IFERROR(__xludf.DUMMYFUNCTION("""COMPUTED_VALUE"""),"Child")</f>
        <v>Child</v>
      </c>
      <c r="F984" s="5"/>
    </row>
    <row r="985" spans="1:6">
      <c r="A985" s="5" t="str">
        <f ca="1">IFERROR(__xludf.DUMMYFUNCTION("""COMPUTED_VALUE"""),"20171114CARAR")</f>
        <v>20171114CARAR</v>
      </c>
      <c r="B985" s="5" t="str">
        <f ca="1">IFERROR(__xludf.DUMMYFUNCTION("""COMPUTED_VALUE"""),"Wounded")</f>
        <v>Wounded</v>
      </c>
      <c r="C985" s="5"/>
      <c r="D985" s="5" t="str">
        <f ca="1">IFERROR(__xludf.DUMMYFUNCTION("""COMPUTED_VALUE"""),"Student")</f>
        <v>Student</v>
      </c>
      <c r="E985" s="5" t="str">
        <f ca="1">IFERROR(__xludf.DUMMYFUNCTION("""COMPUTED_VALUE"""),"Child")</f>
        <v>Child</v>
      </c>
      <c r="F985" s="5"/>
    </row>
    <row r="986" spans="1:6">
      <c r="A986" s="5" t="str">
        <f ca="1">IFERROR(__xludf.DUMMYFUNCTION("""COMPUTED_VALUE"""),"20171114CARAR")</f>
        <v>20171114CARAR</v>
      </c>
      <c r="B986" s="5" t="str">
        <f ca="1">IFERROR(__xludf.DUMMYFUNCTION("""COMPUTED_VALUE"""),"Wounded")</f>
        <v>Wounded</v>
      </c>
      <c r="C986" s="5" t="str">
        <f ca="1">IFERROR(__xludf.DUMMYFUNCTION("""COMPUTED_VALUE"""),"Female")</f>
        <v>Female</v>
      </c>
      <c r="D986" s="5"/>
      <c r="E986" s="5"/>
      <c r="F986" s="5"/>
    </row>
    <row r="987" spans="1:6">
      <c r="A987" s="5" t="str">
        <f ca="1">IFERROR(__xludf.DUMMYFUNCTION("""COMPUTED_VALUE"""),"20171114CARAR")</f>
        <v>20171114CARAR</v>
      </c>
      <c r="B987" s="5" t="str">
        <f ca="1">IFERROR(__xludf.DUMMYFUNCTION("""COMPUTED_VALUE"""),"Wounded")</f>
        <v>Wounded</v>
      </c>
      <c r="C987" s="5" t="str">
        <f ca="1">IFERROR(__xludf.DUMMYFUNCTION("""COMPUTED_VALUE"""),"Male")</f>
        <v>Male</v>
      </c>
      <c r="D987" s="5" t="str">
        <f ca="1">IFERROR(__xludf.DUMMYFUNCTION("""COMPUTED_VALUE"""),"Student")</f>
        <v>Student</v>
      </c>
      <c r="E987" s="5">
        <f ca="1">IFERROR(__xludf.DUMMYFUNCTION("""COMPUTED_VALUE"""),10)</f>
        <v>10</v>
      </c>
      <c r="F987" s="5"/>
    </row>
    <row r="988" spans="1:6">
      <c r="A988" s="5" t="str">
        <f ca="1">IFERROR(__xludf.DUMMYFUNCTION("""COMPUTED_VALUE"""),"20171114CARAR")</f>
        <v>20171114CARAR</v>
      </c>
      <c r="B988" s="5" t="str">
        <f ca="1">IFERROR(__xludf.DUMMYFUNCTION("""COMPUTED_VALUE"""),"Wounded")</f>
        <v>Wounded</v>
      </c>
      <c r="C988" s="5"/>
      <c r="D988" s="5" t="str">
        <f ca="1">IFERROR(__xludf.DUMMYFUNCTION("""COMPUTED_VALUE"""),"Student")</f>
        <v>Student</v>
      </c>
      <c r="E988" s="5" t="str">
        <f ca="1">IFERROR(__xludf.DUMMYFUNCTION("""COMPUTED_VALUE"""),"Child")</f>
        <v>Child</v>
      </c>
      <c r="F988" s="5"/>
    </row>
    <row r="989" spans="1:6">
      <c r="A989" s="5" t="str">
        <f ca="1">IFERROR(__xludf.DUMMYFUNCTION("""COMPUTED_VALUE"""),"20171110GALAM")</f>
        <v>20171110GALAM</v>
      </c>
      <c r="B989" s="5" t="str">
        <f ca="1">IFERROR(__xludf.DUMMYFUNCTION("""COMPUTED_VALUE"""),"None")</f>
        <v>None</v>
      </c>
      <c r="C989" s="5"/>
      <c r="D989" s="5"/>
      <c r="E989" s="5"/>
      <c r="F989" s="5"/>
    </row>
    <row r="990" spans="1:6">
      <c r="A990" s="5" t="str">
        <f ca="1">IFERROR(__xludf.DUMMYFUNCTION("""COMPUTED_VALUE"""),"20171109GABEC")</f>
        <v>20171109GABEC</v>
      </c>
      <c r="B990" s="5" t="str">
        <f ca="1">IFERROR(__xludf.DUMMYFUNCTION("""COMPUTED_VALUE"""),"Wounded")</f>
        <v>Wounded</v>
      </c>
      <c r="C990" s="5" t="str">
        <f ca="1">IFERROR(__xludf.DUMMYFUNCTION("""COMPUTED_VALUE"""),"Male")</f>
        <v>Male</v>
      </c>
      <c r="D990" s="5" t="str">
        <f ca="1">IFERROR(__xludf.DUMMYFUNCTION("""COMPUTED_VALUE"""),"Student")</f>
        <v>Student</v>
      </c>
      <c r="E990" s="5">
        <f ca="1">IFERROR(__xludf.DUMMYFUNCTION("""COMPUTED_VALUE"""),15)</f>
        <v>15</v>
      </c>
      <c r="F990" s="5"/>
    </row>
    <row r="991" spans="1:6">
      <c r="A991" s="5" t="str">
        <f ca="1">IFERROR(__xludf.DUMMYFUNCTION("""COMPUTED_VALUE"""),"20171109GABEC")</f>
        <v>20171109GABEC</v>
      </c>
      <c r="B991" s="5" t="str">
        <f ca="1">IFERROR(__xludf.DUMMYFUNCTION("""COMPUTED_VALUE"""),"Wounded")</f>
        <v>Wounded</v>
      </c>
      <c r="C991" s="5" t="str">
        <f ca="1">IFERROR(__xludf.DUMMYFUNCTION("""COMPUTED_VALUE"""),"Female")</f>
        <v>Female</v>
      </c>
      <c r="D991" s="5" t="str">
        <f ca="1">IFERROR(__xludf.DUMMYFUNCTION("""COMPUTED_VALUE"""),"Student")</f>
        <v>Student</v>
      </c>
      <c r="E991" s="5">
        <f ca="1">IFERROR(__xludf.DUMMYFUNCTION("""COMPUTED_VALUE"""),15)</f>
        <v>15</v>
      </c>
      <c r="F991" s="5"/>
    </row>
    <row r="992" spans="1:6">
      <c r="A992" s="5" t="str">
        <f ca="1">IFERROR(__xludf.DUMMYFUNCTION("""COMPUTED_VALUE"""),"20171103MIPAL")</f>
        <v>20171103MIPAL</v>
      </c>
      <c r="B992" s="5" t="str">
        <f ca="1">IFERROR(__xludf.DUMMYFUNCTION("""COMPUTED_VALUE"""),"Wounded")</f>
        <v>Wounded</v>
      </c>
      <c r="C992" s="5" t="str">
        <f ca="1">IFERROR(__xludf.DUMMYFUNCTION("""COMPUTED_VALUE"""),"Female")</f>
        <v>Female</v>
      </c>
      <c r="D992" s="5" t="str">
        <f ca="1">IFERROR(__xludf.DUMMYFUNCTION("""COMPUTED_VALUE"""),"No Relation")</f>
        <v>No Relation</v>
      </c>
      <c r="E992" s="5">
        <f ca="1">IFERROR(__xludf.DUMMYFUNCTION("""COMPUTED_VALUE"""),15)</f>
        <v>15</v>
      </c>
      <c r="F992" s="5"/>
    </row>
    <row r="993" spans="1:6">
      <c r="A993" s="5" t="str">
        <f ca="1">IFERROR(__xludf.DUMMYFUNCTION("""COMPUTED_VALUE"""),"20171027NYPRU")</f>
        <v>20171027NYPRU</v>
      </c>
      <c r="B993" s="5" t="str">
        <f ca="1">IFERROR(__xludf.DUMMYFUNCTION("""COMPUTED_VALUE"""),"None")</f>
        <v>None</v>
      </c>
      <c r="C993" s="5"/>
      <c r="D993" s="5"/>
      <c r="E993" s="5"/>
      <c r="F993" s="5"/>
    </row>
    <row r="994" spans="1:6">
      <c r="A994" s="5" t="str">
        <f ca="1">IFERROR(__xludf.DUMMYFUNCTION("""COMPUTED_VALUE"""),"20171020OHSTT")</f>
        <v>20171020OHSTT</v>
      </c>
      <c r="B994" s="5" t="str">
        <f ca="1">IFERROR(__xludf.DUMMYFUNCTION("""COMPUTED_VALUE"""),"None")</f>
        <v>None</v>
      </c>
      <c r="C994" s="5"/>
      <c r="D994" s="5"/>
      <c r="E994" s="5"/>
      <c r="F994" s="5"/>
    </row>
    <row r="995" spans="1:6">
      <c r="A995" s="5" t="str">
        <f ca="1">IFERROR(__xludf.DUMMYFUNCTION("""COMPUTED_VALUE"""),"20171014NCKEK")</f>
        <v>20171014NCKEK</v>
      </c>
      <c r="B995" s="5" t="str">
        <f ca="1">IFERROR(__xludf.DUMMYFUNCTION("""COMPUTED_VALUE"""),"None")</f>
        <v>None</v>
      </c>
      <c r="C995" s="5"/>
      <c r="D995" s="5"/>
      <c r="E995" s="5"/>
      <c r="F995" s="5"/>
    </row>
    <row r="996" spans="1:6">
      <c r="A996" s="5" t="str">
        <f ca="1">IFERROR(__xludf.DUMMYFUNCTION("""COMPUTED_VALUE"""),"20171012NCCHC")</f>
        <v>20171012NCCHC</v>
      </c>
      <c r="B996" s="5" t="str">
        <f ca="1">IFERROR(__xludf.DUMMYFUNCTION("""COMPUTED_VALUE"""),"None")</f>
        <v>None</v>
      </c>
      <c r="C996" s="5"/>
      <c r="D996" s="5"/>
      <c r="E996" s="5"/>
      <c r="F996" s="5"/>
    </row>
    <row r="997" spans="1:6">
      <c r="A997" s="5" t="str">
        <f ca="1">IFERROR(__xludf.DUMMYFUNCTION("""COMPUTED_VALUE"""),"20170930PAPUC")</f>
        <v>20170930PAPUC</v>
      </c>
      <c r="B997" s="5" t="str">
        <f ca="1">IFERROR(__xludf.DUMMYFUNCTION("""COMPUTED_VALUE"""),"Wounded")</f>
        <v>Wounded</v>
      </c>
      <c r="C997" s="5" t="str">
        <f ca="1">IFERROR(__xludf.DUMMYFUNCTION("""COMPUTED_VALUE"""),"Male")</f>
        <v>Male</v>
      </c>
      <c r="D997" s="5" t="str">
        <f ca="1">IFERROR(__xludf.DUMMYFUNCTION("""COMPUTED_VALUE"""),"No Relation")</f>
        <v>No Relation</v>
      </c>
      <c r="E997" s="5">
        <f ca="1">IFERROR(__xludf.DUMMYFUNCTION("""COMPUTED_VALUE"""),42)</f>
        <v>42</v>
      </c>
      <c r="F997" s="5"/>
    </row>
    <row r="998" spans="1:6">
      <c r="A998" s="5" t="str">
        <f ca="1">IFERROR(__xludf.DUMMYFUNCTION("""COMPUTED_VALUE"""),"20170929MOLEL")</f>
        <v>20170929MOLEL</v>
      </c>
      <c r="B998" s="5" t="str">
        <f ca="1">IFERROR(__xludf.DUMMYFUNCTION("""COMPUTED_VALUE"""),"None")</f>
        <v>None</v>
      </c>
      <c r="C998" s="5" t="str">
        <f ca="1">IFERROR(__xludf.DUMMYFUNCTION("""COMPUTED_VALUE"""),"Female")</f>
        <v>Female</v>
      </c>
      <c r="D998" s="5" t="str">
        <f ca="1">IFERROR(__xludf.DUMMYFUNCTION("""COMPUTED_VALUE"""),"Student")</f>
        <v>Student</v>
      </c>
      <c r="E998" s="5" t="str">
        <f ca="1">IFERROR(__xludf.DUMMYFUNCTION("""COMPUTED_VALUE"""),"Teen")</f>
        <v>Teen</v>
      </c>
      <c r="F998" s="5"/>
    </row>
    <row r="999" spans="1:6">
      <c r="A999" s="5" t="str">
        <f ca="1">IFERROR(__xludf.DUMMYFUNCTION("""COMPUTED_VALUE"""),"20170929CASUL")</f>
        <v>20170929CASUL</v>
      </c>
      <c r="B999" s="5" t="str">
        <f ca="1">IFERROR(__xludf.DUMMYFUNCTION("""COMPUTED_VALUE"""),"Wounded")</f>
        <v>Wounded</v>
      </c>
      <c r="C999" s="5"/>
      <c r="D999" s="5" t="str">
        <f ca="1">IFERROR(__xludf.DUMMYFUNCTION("""COMPUTED_VALUE"""),"Teacher")</f>
        <v>Teacher</v>
      </c>
      <c r="E999" s="5" t="str">
        <f ca="1">IFERROR(__xludf.DUMMYFUNCTION("""COMPUTED_VALUE"""),"Adult")</f>
        <v>Adult</v>
      </c>
      <c r="F999" s="5"/>
    </row>
    <row r="1000" spans="1:6">
      <c r="A1000" s="5" t="str">
        <f ca="1">IFERROR(__xludf.DUMMYFUNCTION("""COMPUTED_VALUE"""),"20170929CASUL")</f>
        <v>20170929CASUL</v>
      </c>
      <c r="B1000" s="5" t="str">
        <f ca="1">IFERROR(__xludf.DUMMYFUNCTION("""COMPUTED_VALUE"""),"Wounded")</f>
        <v>Wounded</v>
      </c>
      <c r="C1000" s="5"/>
      <c r="D1000" s="5" t="str">
        <f ca="1">IFERROR(__xludf.DUMMYFUNCTION("""COMPUTED_VALUE"""),"Student")</f>
        <v>Student</v>
      </c>
      <c r="E1000" s="5" t="str">
        <f ca="1">IFERROR(__xludf.DUMMYFUNCTION("""COMPUTED_VALUE"""),"Child")</f>
        <v>Child</v>
      </c>
      <c r="F1000" s="5"/>
    </row>
    <row r="1001" spans="1:6">
      <c r="A1001" s="5" t="str">
        <f ca="1">IFERROR(__xludf.DUMMYFUNCTION("""COMPUTED_VALUE"""),"20170929CASUL")</f>
        <v>20170929CASUL</v>
      </c>
      <c r="B1001" s="5" t="str">
        <f ca="1">IFERROR(__xludf.DUMMYFUNCTION("""COMPUTED_VALUE"""),"Wounded")</f>
        <v>Wounded</v>
      </c>
      <c r="C1001" s="5"/>
      <c r="D1001" s="5" t="str">
        <f ca="1">IFERROR(__xludf.DUMMYFUNCTION("""COMPUTED_VALUE"""),"Student")</f>
        <v>Student</v>
      </c>
      <c r="E1001" s="5" t="str">
        <f ca="1">IFERROR(__xludf.DUMMYFUNCTION("""COMPUTED_VALUE"""),"Child")</f>
        <v>Child</v>
      </c>
      <c r="F1001" s="5"/>
    </row>
    <row r="1002" spans="1:6">
      <c r="A1002" s="5" t="str">
        <f ca="1">IFERROR(__xludf.DUMMYFUNCTION("""COMPUTED_VALUE"""),"20170929CASUL")</f>
        <v>20170929CASUL</v>
      </c>
      <c r="B1002" s="5" t="str">
        <f ca="1">IFERROR(__xludf.DUMMYFUNCTION("""COMPUTED_VALUE"""),"Wounded")</f>
        <v>Wounded</v>
      </c>
      <c r="C1002" s="5"/>
      <c r="D1002" s="5" t="str">
        <f ca="1">IFERROR(__xludf.DUMMYFUNCTION("""COMPUTED_VALUE"""),"Student")</f>
        <v>Student</v>
      </c>
      <c r="E1002" s="5" t="str">
        <f ca="1">IFERROR(__xludf.DUMMYFUNCTION("""COMPUTED_VALUE"""),"Child")</f>
        <v>Child</v>
      </c>
      <c r="F1002" s="5"/>
    </row>
    <row r="1003" spans="1:6">
      <c r="A1003" s="5" t="str">
        <f ca="1">IFERROR(__xludf.DUMMYFUNCTION("""COMPUTED_VALUE"""),"20170929CASUL")</f>
        <v>20170929CASUL</v>
      </c>
      <c r="B1003" s="5" t="str">
        <f ca="1">IFERROR(__xludf.DUMMYFUNCTION("""COMPUTED_VALUE"""),"Wounded")</f>
        <v>Wounded</v>
      </c>
      <c r="C1003" s="5"/>
      <c r="D1003" s="5" t="str">
        <f ca="1">IFERROR(__xludf.DUMMYFUNCTION("""COMPUTED_VALUE"""),"Teacher")</f>
        <v>Teacher</v>
      </c>
      <c r="E1003" s="5" t="str">
        <f ca="1">IFERROR(__xludf.DUMMYFUNCTION("""COMPUTED_VALUE"""),"Adult")</f>
        <v>Adult</v>
      </c>
      <c r="F1003" s="5"/>
    </row>
    <row r="1004" spans="1:6">
      <c r="A1004" s="5" t="str">
        <f ca="1">IFERROR(__xludf.DUMMYFUNCTION("""COMPUTED_VALUE"""),"20170928KYSOL")</f>
        <v>20170928KYSOL</v>
      </c>
      <c r="B1004" s="5" t="str">
        <f ca="1">IFERROR(__xludf.DUMMYFUNCTION("""COMPUTED_VALUE"""),"None")</f>
        <v>None</v>
      </c>
      <c r="C1004" s="5" t="str">
        <f ca="1">IFERROR(__xludf.DUMMYFUNCTION("""COMPUTED_VALUE"""),"Male")</f>
        <v>Male</v>
      </c>
      <c r="D1004" s="5" t="str">
        <f ca="1">IFERROR(__xludf.DUMMYFUNCTION("""COMPUTED_VALUE"""),"No Relation")</f>
        <v>No Relation</v>
      </c>
      <c r="E1004" s="5">
        <f ca="1">IFERROR(__xludf.DUMMYFUNCTION("""COMPUTED_VALUE"""),20)</f>
        <v>20</v>
      </c>
      <c r="F1004" s="5" t="str">
        <f ca="1">IFERROR(__xludf.DUMMYFUNCTION("""COMPUTED_VALUE"""),"Black")</f>
        <v>Black</v>
      </c>
    </row>
    <row r="1005" spans="1:6">
      <c r="A1005" s="5" t="str">
        <f ca="1">IFERROR(__xludf.DUMMYFUNCTION("""COMPUTED_VALUE"""),"20170920ILMAM")</f>
        <v>20170920ILMAM</v>
      </c>
      <c r="B1005" s="5" t="str">
        <f ca="1">IFERROR(__xludf.DUMMYFUNCTION("""COMPUTED_VALUE"""),"Wounded")</f>
        <v>Wounded</v>
      </c>
      <c r="C1005" s="5" t="str">
        <f ca="1">IFERROR(__xludf.DUMMYFUNCTION("""COMPUTED_VALUE"""),"Male")</f>
        <v>Male</v>
      </c>
      <c r="D1005" s="5" t="str">
        <f ca="1">IFERROR(__xludf.DUMMYFUNCTION("""COMPUTED_VALUE"""),"Student")</f>
        <v>Student</v>
      </c>
      <c r="E1005" s="5" t="str">
        <f ca="1">IFERROR(__xludf.DUMMYFUNCTION("""COMPUTED_VALUE"""),"Teen")</f>
        <v>Teen</v>
      </c>
      <c r="F1005" s="5"/>
    </row>
    <row r="1006" spans="1:6">
      <c r="A1006" s="5" t="str">
        <f ca="1">IFERROR(__xludf.DUMMYFUNCTION("""COMPUTED_VALUE"""),"20170913WAFRR")</f>
        <v>20170913WAFRR</v>
      </c>
      <c r="B1006" s="5" t="str">
        <f ca="1">IFERROR(__xludf.DUMMYFUNCTION("""COMPUTED_VALUE"""),"Wounded")</f>
        <v>Wounded</v>
      </c>
      <c r="C1006" s="5"/>
      <c r="D1006" s="5" t="str">
        <f ca="1">IFERROR(__xludf.DUMMYFUNCTION("""COMPUTED_VALUE"""),"Student")</f>
        <v>Student</v>
      </c>
      <c r="E1006" s="5" t="str">
        <f ca="1">IFERROR(__xludf.DUMMYFUNCTION("""COMPUTED_VALUE"""),"Teen")</f>
        <v>Teen</v>
      </c>
      <c r="F1006" s="5"/>
    </row>
    <row r="1007" spans="1:6">
      <c r="A1007" s="5" t="str">
        <f ca="1">IFERROR(__xludf.DUMMYFUNCTION("""COMPUTED_VALUE"""),"20170913WAFRR")</f>
        <v>20170913WAFRR</v>
      </c>
      <c r="B1007" s="5" t="str">
        <f ca="1">IFERROR(__xludf.DUMMYFUNCTION("""COMPUTED_VALUE"""),"Fatal")</f>
        <v>Fatal</v>
      </c>
      <c r="C1007" s="5" t="str">
        <f ca="1">IFERROR(__xludf.DUMMYFUNCTION("""COMPUTED_VALUE"""),"Male")</f>
        <v>Male</v>
      </c>
      <c r="D1007" s="5" t="str">
        <f ca="1">IFERROR(__xludf.DUMMYFUNCTION("""COMPUTED_VALUE"""),"Student")</f>
        <v>Student</v>
      </c>
      <c r="E1007" s="5" t="str">
        <f ca="1">IFERROR(__xludf.DUMMYFUNCTION("""COMPUTED_VALUE"""),"Teen")</f>
        <v>Teen</v>
      </c>
      <c r="F1007" s="5"/>
    </row>
    <row r="1008" spans="1:6">
      <c r="A1008" s="5" t="str">
        <f ca="1">IFERROR(__xludf.DUMMYFUNCTION("""COMPUTED_VALUE"""),"20170913WAFRR")</f>
        <v>20170913WAFRR</v>
      </c>
      <c r="B1008" s="5" t="str">
        <f ca="1">IFERROR(__xludf.DUMMYFUNCTION("""COMPUTED_VALUE"""),"Wounded")</f>
        <v>Wounded</v>
      </c>
      <c r="C1008" s="5"/>
      <c r="D1008" s="5" t="str">
        <f ca="1">IFERROR(__xludf.DUMMYFUNCTION("""COMPUTED_VALUE"""),"Student")</f>
        <v>Student</v>
      </c>
      <c r="E1008" s="5" t="str">
        <f ca="1">IFERROR(__xludf.DUMMYFUNCTION("""COMPUTED_VALUE"""),"Teen")</f>
        <v>Teen</v>
      </c>
      <c r="F1008" s="5"/>
    </row>
    <row r="1009" spans="1:6">
      <c r="A1009" s="5" t="str">
        <f ca="1">IFERROR(__xludf.DUMMYFUNCTION("""COMPUTED_VALUE"""),"20170913WAFRR")</f>
        <v>20170913WAFRR</v>
      </c>
      <c r="B1009" s="5" t="str">
        <f ca="1">IFERROR(__xludf.DUMMYFUNCTION("""COMPUTED_VALUE"""),"Wounded")</f>
        <v>Wounded</v>
      </c>
      <c r="C1009" s="5"/>
      <c r="D1009" s="5" t="str">
        <f ca="1">IFERROR(__xludf.DUMMYFUNCTION("""COMPUTED_VALUE"""),"Student")</f>
        <v>Student</v>
      </c>
      <c r="E1009" s="5" t="str">
        <f ca="1">IFERROR(__xludf.DUMMYFUNCTION("""COMPUTED_VALUE"""),"Teen")</f>
        <v>Teen</v>
      </c>
      <c r="F1009" s="5"/>
    </row>
    <row r="1010" spans="1:6">
      <c r="A1010" s="5" t="str">
        <f ca="1">IFERROR(__xludf.DUMMYFUNCTION("""COMPUTED_VALUE"""),"20170908OHCOC")</f>
        <v>20170908OHCOC</v>
      </c>
      <c r="B1010" s="5" t="str">
        <f ca="1">IFERROR(__xludf.DUMMYFUNCTION("""COMPUTED_VALUE"""),"None")</f>
        <v>None</v>
      </c>
      <c r="C1010" s="5"/>
      <c r="D1010" s="5"/>
      <c r="E1010" s="5"/>
      <c r="F1010" s="5"/>
    </row>
    <row r="1011" spans="1:6">
      <c r="A1011" s="5" t="str">
        <f ca="1">IFERROR(__xludf.DUMMYFUNCTION("""COMPUTED_VALUE"""),"20170908ARNON")</f>
        <v>20170908ARNON</v>
      </c>
      <c r="B1011" s="5" t="str">
        <f ca="1">IFERROR(__xludf.DUMMYFUNCTION("""COMPUTED_VALUE"""),"Wounded")</f>
        <v>Wounded</v>
      </c>
      <c r="C1011" s="5" t="str">
        <f ca="1">IFERROR(__xludf.DUMMYFUNCTION("""COMPUTED_VALUE"""),"Male")</f>
        <v>Male</v>
      </c>
      <c r="D1011" s="5" t="str">
        <f ca="1">IFERROR(__xludf.DUMMYFUNCTION("""COMPUTED_VALUE"""),"No Relation")</f>
        <v>No Relation</v>
      </c>
      <c r="E1011" s="5" t="str">
        <f ca="1">IFERROR(__xludf.DUMMYFUNCTION("""COMPUTED_VALUE"""),"Teen")</f>
        <v>Teen</v>
      </c>
      <c r="F1011" s="5"/>
    </row>
    <row r="1012" spans="1:6">
      <c r="A1012" s="5" t="str">
        <f ca="1">IFERROR(__xludf.DUMMYFUNCTION("""COMPUTED_VALUE"""),"20170831CAARS")</f>
        <v>20170831CAARS</v>
      </c>
      <c r="B1012" s="5" t="str">
        <f ca="1">IFERROR(__xludf.DUMMYFUNCTION("""COMPUTED_VALUE"""),"None")</f>
        <v>None</v>
      </c>
      <c r="C1012" s="5"/>
      <c r="D1012" s="5"/>
      <c r="E1012" s="5"/>
      <c r="F1012" s="5"/>
    </row>
    <row r="1013" spans="1:6">
      <c r="A1013" s="5" t="str">
        <f ca="1">IFERROR(__xludf.DUMMYFUNCTION("""COMPUTED_VALUE"""),"20170817GALIL")</f>
        <v>20170817GALIL</v>
      </c>
      <c r="B1013" s="5" t="str">
        <f ca="1">IFERROR(__xludf.DUMMYFUNCTION("""COMPUTED_VALUE"""),"None")</f>
        <v>None</v>
      </c>
      <c r="C1013" s="5" t="str">
        <f ca="1">IFERROR(__xludf.DUMMYFUNCTION("""COMPUTED_VALUE"""),"Male")</f>
        <v>Male</v>
      </c>
      <c r="D1013" s="5" t="str">
        <f ca="1">IFERROR(__xludf.DUMMYFUNCTION("""COMPUTED_VALUE"""),"Teacher")</f>
        <v>Teacher</v>
      </c>
      <c r="E1013" s="5" t="str">
        <f ca="1">IFERROR(__xludf.DUMMYFUNCTION("""COMPUTED_VALUE"""),"Adult")</f>
        <v>Adult</v>
      </c>
      <c r="F1013" s="5"/>
    </row>
    <row r="1014" spans="1:6">
      <c r="A1014" s="5" t="str">
        <f ca="1">IFERROR(__xludf.DUMMYFUNCTION("""COMPUTED_VALUE"""),"20170813NYHUH")</f>
        <v>20170813NYHUH</v>
      </c>
      <c r="B1014" s="5" t="str">
        <f ca="1">IFERROR(__xludf.DUMMYFUNCTION("""COMPUTED_VALUE"""),"Wounded")</f>
        <v>Wounded</v>
      </c>
      <c r="C1014" s="5"/>
      <c r="D1014" s="5" t="str">
        <f ca="1">IFERROR(__xludf.DUMMYFUNCTION("""COMPUTED_VALUE"""),"Student")</f>
        <v>Student</v>
      </c>
      <c r="E1014" s="5" t="str">
        <f ca="1">IFERROR(__xludf.DUMMYFUNCTION("""COMPUTED_VALUE"""),"Child")</f>
        <v>Child</v>
      </c>
      <c r="F1014" s="5"/>
    </row>
    <row r="1015" spans="1:6">
      <c r="A1015" s="5" t="str">
        <f ca="1">IFERROR(__xludf.DUMMYFUNCTION("""COMPUTED_VALUE"""),"20170813NYHUH")</f>
        <v>20170813NYHUH</v>
      </c>
      <c r="B1015" s="5" t="str">
        <f ca="1">IFERROR(__xludf.DUMMYFUNCTION("""COMPUTED_VALUE"""),"Wounded")</f>
        <v>Wounded</v>
      </c>
      <c r="C1015" s="5"/>
      <c r="D1015" s="5" t="str">
        <f ca="1">IFERROR(__xludf.DUMMYFUNCTION("""COMPUTED_VALUE"""),"Student")</f>
        <v>Student</v>
      </c>
      <c r="E1015" s="5" t="str">
        <f ca="1">IFERROR(__xludf.DUMMYFUNCTION("""COMPUTED_VALUE"""),"Child")</f>
        <v>Child</v>
      </c>
      <c r="F1015" s="5"/>
    </row>
    <row r="1016" spans="1:6">
      <c r="A1016" s="5" t="str">
        <f ca="1">IFERROR(__xludf.DUMMYFUNCTION("""COMPUTED_VALUE"""),"20170801GABAV")</f>
        <v>20170801GABAV</v>
      </c>
      <c r="B1016" s="5" t="str">
        <f ca="1">IFERROR(__xludf.DUMMYFUNCTION("""COMPUTED_VALUE"""),"Wounded")</f>
        <v>Wounded</v>
      </c>
      <c r="C1016" s="5" t="str">
        <f ca="1">IFERROR(__xludf.DUMMYFUNCTION("""COMPUTED_VALUE"""),"Female")</f>
        <v>Female</v>
      </c>
      <c r="D1016" s="5" t="str">
        <f ca="1">IFERROR(__xludf.DUMMYFUNCTION("""COMPUTED_VALUE"""),"Student")</f>
        <v>Student</v>
      </c>
      <c r="E1016" s="5" t="str">
        <f ca="1">IFERROR(__xludf.DUMMYFUNCTION("""COMPUTED_VALUE"""),"Teen")</f>
        <v>Teen</v>
      </c>
      <c r="F1016" s="5"/>
    </row>
    <row r="1017" spans="1:6">
      <c r="A1017" s="5" t="str">
        <f ca="1">IFERROR(__xludf.DUMMYFUNCTION("""COMPUTED_VALUE"""),"20170721UTSPS")</f>
        <v>20170721UTSPS</v>
      </c>
      <c r="B1017" s="5" t="str">
        <f ca="1">IFERROR(__xludf.DUMMYFUNCTION("""COMPUTED_VALUE"""),"Wounded")</f>
        <v>Wounded</v>
      </c>
      <c r="C1017" s="5" t="str">
        <f ca="1">IFERROR(__xludf.DUMMYFUNCTION("""COMPUTED_VALUE"""),"Male")</f>
        <v>Male</v>
      </c>
      <c r="D1017" s="5" t="str">
        <f ca="1">IFERROR(__xludf.DUMMYFUNCTION("""COMPUTED_VALUE"""),"Unknown")</f>
        <v>Unknown</v>
      </c>
      <c r="E1017" s="5">
        <f ca="1">IFERROR(__xludf.DUMMYFUNCTION("""COMPUTED_VALUE"""),18)</f>
        <v>18</v>
      </c>
      <c r="F1017" s="5"/>
    </row>
    <row r="1018" spans="1:6">
      <c r="A1018" s="5" t="str">
        <f ca="1">IFERROR(__xludf.DUMMYFUNCTION("""COMPUTED_VALUE"""),"20170719WIHIM")</f>
        <v>20170719WIHIM</v>
      </c>
      <c r="B1018" s="5" t="str">
        <f ca="1">IFERROR(__xludf.DUMMYFUNCTION("""COMPUTED_VALUE"""),"Wounded")</f>
        <v>Wounded</v>
      </c>
      <c r="C1018" s="5" t="str">
        <f ca="1">IFERROR(__xludf.DUMMYFUNCTION("""COMPUTED_VALUE"""),"Male")</f>
        <v>Male</v>
      </c>
      <c r="D1018" s="5" t="str">
        <f ca="1">IFERROR(__xludf.DUMMYFUNCTION("""COMPUTED_VALUE"""),"No Relation")</f>
        <v>No Relation</v>
      </c>
      <c r="E1018" s="5">
        <f ca="1">IFERROR(__xludf.DUMMYFUNCTION("""COMPUTED_VALUE"""),32)</f>
        <v>32</v>
      </c>
      <c r="F1018" s="5"/>
    </row>
    <row r="1019" spans="1:6">
      <c r="A1019" s="5" t="str">
        <f ca="1">IFERROR(__xludf.DUMMYFUNCTION("""COMPUTED_VALUE"""),"20170622SCWIF")</f>
        <v>20170622SCWIF</v>
      </c>
      <c r="B1019" s="5" t="str">
        <f ca="1">IFERROR(__xludf.DUMMYFUNCTION("""COMPUTED_VALUE"""),"None")</f>
        <v>None</v>
      </c>
      <c r="C1019" s="5" t="str">
        <f ca="1">IFERROR(__xludf.DUMMYFUNCTION("""COMPUTED_VALUE"""),"Male")</f>
        <v>Male</v>
      </c>
      <c r="D1019" s="5" t="str">
        <f ca="1">IFERROR(__xludf.DUMMYFUNCTION("""COMPUTED_VALUE"""),"Student")</f>
        <v>Student</v>
      </c>
      <c r="E1019" s="5" t="str">
        <f ca="1">IFERROR(__xludf.DUMMYFUNCTION("""COMPUTED_VALUE"""),"Teen")</f>
        <v>Teen</v>
      </c>
      <c r="F1019" s="5"/>
    </row>
    <row r="1020" spans="1:6">
      <c r="A1020" s="5" t="str">
        <f ca="1">IFERROR(__xludf.DUMMYFUNCTION("""COMPUTED_VALUE"""),"20170616ILWAC")</f>
        <v>20170616ILWAC</v>
      </c>
      <c r="B1020" s="5" t="str">
        <f ca="1">IFERROR(__xludf.DUMMYFUNCTION("""COMPUTED_VALUE"""),"Wounded")</f>
        <v>Wounded</v>
      </c>
      <c r="C1020" s="5" t="str">
        <f ca="1">IFERROR(__xludf.DUMMYFUNCTION("""COMPUTED_VALUE"""),"Female")</f>
        <v>Female</v>
      </c>
      <c r="D1020" s="5" t="str">
        <f ca="1">IFERROR(__xludf.DUMMYFUNCTION("""COMPUTED_VALUE"""),"Student")</f>
        <v>Student</v>
      </c>
      <c r="E1020" s="5">
        <f ca="1">IFERROR(__xludf.DUMMYFUNCTION("""COMPUTED_VALUE"""),12)</f>
        <v>12</v>
      </c>
      <c r="F1020" s="5"/>
    </row>
    <row r="1021" spans="1:6">
      <c r="A1021" s="5" t="str">
        <f ca="1">IFERROR(__xludf.DUMMYFUNCTION("""COMPUTED_VALUE"""),"20170616ILWAC")</f>
        <v>20170616ILWAC</v>
      </c>
      <c r="B1021" s="5" t="str">
        <f ca="1">IFERROR(__xludf.DUMMYFUNCTION("""COMPUTED_VALUE"""),"Wounded")</f>
        <v>Wounded</v>
      </c>
      <c r="C1021" s="5" t="str">
        <f ca="1">IFERROR(__xludf.DUMMYFUNCTION("""COMPUTED_VALUE"""),"Female")</f>
        <v>Female</v>
      </c>
      <c r="D1021" s="5" t="str">
        <f ca="1">IFERROR(__xludf.DUMMYFUNCTION("""COMPUTED_VALUE"""),"Student")</f>
        <v>Student</v>
      </c>
      <c r="E1021" s="5">
        <f ca="1">IFERROR(__xludf.DUMMYFUNCTION("""COMPUTED_VALUE"""),7)</f>
        <v>7</v>
      </c>
      <c r="F1021" s="5"/>
    </row>
    <row r="1022" spans="1:6">
      <c r="A1022" s="5" t="str">
        <f ca="1">IFERROR(__xludf.DUMMYFUNCTION("""COMPUTED_VALUE"""),"20170526OKMCT")</f>
        <v>20170526OKMCT</v>
      </c>
      <c r="B1022" s="5" t="str">
        <f ca="1">IFERROR(__xludf.DUMMYFUNCTION("""COMPUTED_VALUE"""),"Wounded")</f>
        <v>Wounded</v>
      </c>
      <c r="C1022" s="5" t="str">
        <f ca="1">IFERROR(__xludf.DUMMYFUNCTION("""COMPUTED_VALUE"""),"Male")</f>
        <v>Male</v>
      </c>
      <c r="D1022" s="5" t="str">
        <f ca="1">IFERROR(__xludf.DUMMYFUNCTION("""COMPUTED_VALUE"""),"Student")</f>
        <v>Student</v>
      </c>
      <c r="E1022" s="5">
        <f ca="1">IFERROR(__xludf.DUMMYFUNCTION("""COMPUTED_VALUE"""),13)</f>
        <v>13</v>
      </c>
      <c r="F1022" s="5"/>
    </row>
    <row r="1023" spans="1:6">
      <c r="A1023" s="5" t="str">
        <f ca="1">IFERROR(__xludf.DUMMYFUNCTION("""COMPUTED_VALUE"""),"20170524NEMCO")</f>
        <v>20170524NEMCO</v>
      </c>
      <c r="B1023" s="5" t="str">
        <f ca="1">IFERROR(__xludf.DUMMYFUNCTION("""COMPUTED_VALUE"""),"Fatal")</f>
        <v>Fatal</v>
      </c>
      <c r="C1023" s="5" t="str">
        <f ca="1">IFERROR(__xludf.DUMMYFUNCTION("""COMPUTED_VALUE"""),"Male")</f>
        <v>Male</v>
      </c>
      <c r="D1023" s="5"/>
      <c r="E1023" s="5">
        <f ca="1">IFERROR(__xludf.DUMMYFUNCTION("""COMPUTED_VALUE"""),21)</f>
        <v>21</v>
      </c>
      <c r="F1023" s="5" t="str">
        <f ca="1">IFERROR(__xludf.DUMMYFUNCTION("""COMPUTED_VALUE"""),"Black")</f>
        <v>Black</v>
      </c>
    </row>
    <row r="1024" spans="1:6">
      <c r="A1024" s="5" t="str">
        <f ca="1">IFERROR(__xludf.DUMMYFUNCTION("""COMPUTED_VALUE"""),"20170524ALGRG")</f>
        <v>20170524ALGRG</v>
      </c>
      <c r="B1024" s="5" t="str">
        <f ca="1">IFERROR(__xludf.DUMMYFUNCTION("""COMPUTED_VALUE"""),"None")</f>
        <v>None</v>
      </c>
      <c r="C1024" s="5"/>
      <c r="D1024" s="5" t="str">
        <f ca="1">IFERROR(__xludf.DUMMYFUNCTION("""COMPUTED_VALUE"""),"Student")</f>
        <v>Student</v>
      </c>
      <c r="E1024" s="5" t="str">
        <f ca="1">IFERROR(__xludf.DUMMYFUNCTION("""COMPUTED_VALUE"""),"Teen")</f>
        <v>Teen</v>
      </c>
      <c r="F1024" s="5"/>
    </row>
    <row r="1025" spans="1:6">
      <c r="A1025" s="5" t="str">
        <f ca="1">IFERROR(__xludf.DUMMYFUNCTION("""COMPUTED_VALUE"""),"20170523TXKEK")</f>
        <v>20170523TXKEK</v>
      </c>
      <c r="B1025" s="5" t="str">
        <f ca="1">IFERROR(__xludf.DUMMYFUNCTION("""COMPUTED_VALUE"""),"None")</f>
        <v>None</v>
      </c>
      <c r="C1025" s="5" t="str">
        <f ca="1">IFERROR(__xludf.DUMMYFUNCTION("""COMPUTED_VALUE"""),"Male")</f>
        <v>Male</v>
      </c>
      <c r="D1025" s="5" t="str">
        <f ca="1">IFERROR(__xludf.DUMMYFUNCTION("""COMPUTED_VALUE"""),"Principal/Vice-Principal")</f>
        <v>Principal/Vice-Principal</v>
      </c>
      <c r="E1025" s="5" t="str">
        <f ca="1">IFERROR(__xludf.DUMMYFUNCTION("""COMPUTED_VALUE"""),"Adult")</f>
        <v>Adult</v>
      </c>
      <c r="F1025" s="5"/>
    </row>
    <row r="1026" spans="1:6">
      <c r="A1026" s="5" t="str">
        <f ca="1">IFERROR(__xludf.DUMMYFUNCTION("""COMPUTED_VALUE"""),"20170515LAMOL")</f>
        <v>20170515LAMOL</v>
      </c>
      <c r="B1026" s="5" t="str">
        <f ca="1">IFERROR(__xludf.DUMMYFUNCTION("""COMPUTED_VALUE"""),"Wounded")</f>
        <v>Wounded</v>
      </c>
      <c r="C1026" s="5" t="str">
        <f ca="1">IFERROR(__xludf.DUMMYFUNCTION("""COMPUTED_VALUE"""),"Male")</f>
        <v>Male</v>
      </c>
      <c r="D1026" s="5" t="str">
        <f ca="1">IFERROR(__xludf.DUMMYFUNCTION("""COMPUTED_VALUE"""),"Student")</f>
        <v>Student</v>
      </c>
      <c r="E1026" s="5" t="str">
        <f ca="1">IFERROR(__xludf.DUMMYFUNCTION("""COMPUTED_VALUE"""),"Teen")</f>
        <v>Teen</v>
      </c>
      <c r="F1026" s="5"/>
    </row>
    <row r="1027" spans="1:6">
      <c r="A1027" s="5" t="str">
        <f ca="1">IFERROR(__xludf.DUMMYFUNCTION("""COMPUTED_VALUE"""),"20170415ORMEP")</f>
        <v>20170415ORMEP</v>
      </c>
      <c r="B1027" s="5" t="str">
        <f ca="1">IFERROR(__xludf.DUMMYFUNCTION("""COMPUTED_VALUE"""),"Fatal")</f>
        <v>Fatal</v>
      </c>
      <c r="C1027" s="5" t="str">
        <f ca="1">IFERROR(__xludf.DUMMYFUNCTION("""COMPUTED_VALUE"""),"Male")</f>
        <v>Male</v>
      </c>
      <c r="D1027" s="5" t="str">
        <f ca="1">IFERROR(__xludf.DUMMYFUNCTION("""COMPUTED_VALUE"""),"Nonstudent Using Athletic Facilities/Attending Game")</f>
        <v>Nonstudent Using Athletic Facilities/Attending Game</v>
      </c>
      <c r="E1027" s="5">
        <f ca="1">IFERROR(__xludf.DUMMYFUNCTION("""COMPUTED_VALUE"""),38)</f>
        <v>38</v>
      </c>
      <c r="F1027" s="5" t="str">
        <f ca="1">IFERROR(__xludf.DUMMYFUNCTION("""COMPUTED_VALUE"""),"White")</f>
        <v>White</v>
      </c>
    </row>
    <row r="1028" spans="1:6">
      <c r="A1028" s="5" t="str">
        <f ca="1">IFERROR(__xludf.DUMMYFUNCTION("""COMPUTED_VALUE"""),"20170415OKBOT")</f>
        <v>20170415OKBOT</v>
      </c>
      <c r="B1028" s="5" t="str">
        <f ca="1">IFERROR(__xludf.DUMMYFUNCTION("""COMPUTED_VALUE"""),"Wounded")</f>
        <v>Wounded</v>
      </c>
      <c r="C1028" s="5" t="str">
        <f ca="1">IFERROR(__xludf.DUMMYFUNCTION("""COMPUTED_VALUE"""),"Male")</f>
        <v>Male</v>
      </c>
      <c r="D1028" s="5" t="str">
        <f ca="1">IFERROR(__xludf.DUMMYFUNCTION("""COMPUTED_VALUE"""),"Former Student")</f>
        <v>Former Student</v>
      </c>
      <c r="E1028" s="5">
        <f ca="1">IFERROR(__xludf.DUMMYFUNCTION("""COMPUTED_VALUE"""),52)</f>
        <v>52</v>
      </c>
      <c r="F1028" s="5"/>
    </row>
    <row r="1029" spans="1:6">
      <c r="A1029" s="5" t="str">
        <f ca="1">IFERROR(__xludf.DUMMYFUNCTION("""COMPUTED_VALUE"""),"20170410CANOS")</f>
        <v>20170410CANOS</v>
      </c>
      <c r="B1029" s="5" t="str">
        <f ca="1">IFERROR(__xludf.DUMMYFUNCTION("""COMPUTED_VALUE"""),"Wounded")</f>
        <v>Wounded</v>
      </c>
      <c r="C1029" s="5"/>
      <c r="D1029" s="5" t="str">
        <f ca="1">IFERROR(__xludf.DUMMYFUNCTION("""COMPUTED_VALUE"""),"Student")</f>
        <v>Student</v>
      </c>
      <c r="E1029" s="5">
        <f ca="1">IFERROR(__xludf.DUMMYFUNCTION("""COMPUTED_VALUE"""),8)</f>
        <v>8</v>
      </c>
      <c r="F1029" s="5"/>
    </row>
    <row r="1030" spans="1:6">
      <c r="A1030" s="5" t="str">
        <f ca="1">IFERROR(__xludf.DUMMYFUNCTION("""COMPUTED_VALUE"""),"20170410CANOS")</f>
        <v>20170410CANOS</v>
      </c>
      <c r="B1030" s="5" t="str">
        <f ca="1">IFERROR(__xludf.DUMMYFUNCTION("""COMPUTED_VALUE"""),"Wounded")</f>
        <v>Wounded</v>
      </c>
      <c r="C1030" s="5"/>
      <c r="D1030" s="5" t="str">
        <f ca="1">IFERROR(__xludf.DUMMYFUNCTION("""COMPUTED_VALUE"""),"Student")</f>
        <v>Student</v>
      </c>
      <c r="E1030" s="5">
        <f ca="1">IFERROR(__xludf.DUMMYFUNCTION("""COMPUTED_VALUE"""),9)</f>
        <v>9</v>
      </c>
      <c r="F1030" s="5"/>
    </row>
    <row r="1031" spans="1:6">
      <c r="A1031" s="5" t="str">
        <f ca="1">IFERROR(__xludf.DUMMYFUNCTION("""COMPUTED_VALUE"""),"20170410CANOS")</f>
        <v>20170410CANOS</v>
      </c>
      <c r="B1031" s="5" t="str">
        <f ca="1">IFERROR(__xludf.DUMMYFUNCTION("""COMPUTED_VALUE"""),"Fatal")</f>
        <v>Fatal</v>
      </c>
      <c r="C1031" s="5" t="str">
        <f ca="1">IFERROR(__xludf.DUMMYFUNCTION("""COMPUTED_VALUE"""),"Female")</f>
        <v>Female</v>
      </c>
      <c r="D1031" s="5" t="str">
        <f ca="1">IFERROR(__xludf.DUMMYFUNCTION("""COMPUTED_VALUE"""),"Teacher")</f>
        <v>Teacher</v>
      </c>
      <c r="E1031" s="5">
        <f ca="1">IFERROR(__xludf.DUMMYFUNCTION("""COMPUTED_VALUE"""),53)</f>
        <v>53</v>
      </c>
      <c r="F1031" s="5"/>
    </row>
    <row r="1032" spans="1:6">
      <c r="A1032" s="5" t="str">
        <f ca="1">IFERROR(__xludf.DUMMYFUNCTION("""COMPUTED_VALUE"""),"20170328PALIP")</f>
        <v>20170328PALIP</v>
      </c>
      <c r="B1032" s="5" t="str">
        <f ca="1">IFERROR(__xludf.DUMMYFUNCTION("""COMPUTED_VALUE"""),"Wounded")</f>
        <v>Wounded</v>
      </c>
      <c r="C1032" s="5" t="str">
        <f ca="1">IFERROR(__xludf.DUMMYFUNCTION("""COMPUTED_VALUE"""),"Male")</f>
        <v>Male</v>
      </c>
      <c r="D1032" s="5" t="str">
        <f ca="1">IFERROR(__xludf.DUMMYFUNCTION("""COMPUTED_VALUE"""),"Nonstudent Using Athletic Facilities/Attending Game")</f>
        <v>Nonstudent Using Athletic Facilities/Attending Game</v>
      </c>
      <c r="E1032" s="5">
        <f ca="1">IFERROR(__xludf.DUMMYFUNCTION("""COMPUTED_VALUE"""),22)</f>
        <v>22</v>
      </c>
      <c r="F1032" s="5"/>
    </row>
    <row r="1033" spans="1:6">
      <c r="A1033" s="5" t="str">
        <f ca="1">IFERROR(__xludf.DUMMYFUNCTION("""COMPUTED_VALUE"""),"20170321CAKIK")</f>
        <v>20170321CAKIK</v>
      </c>
      <c r="B1033" s="5" t="str">
        <f ca="1">IFERROR(__xludf.DUMMYFUNCTION("""COMPUTED_VALUE"""),"Wounded")</f>
        <v>Wounded</v>
      </c>
      <c r="C1033" s="5" t="str">
        <f ca="1">IFERROR(__xludf.DUMMYFUNCTION("""COMPUTED_VALUE"""),"Male")</f>
        <v>Male</v>
      </c>
      <c r="D1033" s="5" t="str">
        <f ca="1">IFERROR(__xludf.DUMMYFUNCTION("""COMPUTED_VALUE"""),"Student")</f>
        <v>Student</v>
      </c>
      <c r="E1033" s="5">
        <f ca="1">IFERROR(__xludf.DUMMYFUNCTION("""COMPUTED_VALUE"""),18)</f>
        <v>18</v>
      </c>
      <c r="F1033" s="5"/>
    </row>
    <row r="1034" spans="1:6">
      <c r="A1034" s="5" t="str">
        <f ca="1">IFERROR(__xludf.DUMMYFUNCTION("""COMPUTED_VALUE"""),"20170316ALROM")</f>
        <v>20170316ALROM</v>
      </c>
      <c r="B1034" s="5" t="str">
        <f ca="1">IFERROR(__xludf.DUMMYFUNCTION("""COMPUTED_VALUE"""),"Wounded")</f>
        <v>Wounded</v>
      </c>
      <c r="C1034" s="5" t="str">
        <f ca="1">IFERROR(__xludf.DUMMYFUNCTION("""COMPUTED_VALUE"""),"Female")</f>
        <v>Female</v>
      </c>
      <c r="D1034" s="5" t="str">
        <f ca="1">IFERROR(__xludf.DUMMYFUNCTION("""COMPUTED_VALUE"""),"Student")</f>
        <v>Student</v>
      </c>
      <c r="E1034" s="5" t="str">
        <f ca="1">IFERROR(__xludf.DUMMYFUNCTION("""COMPUTED_VALUE"""),"Teen")</f>
        <v>Teen</v>
      </c>
      <c r="F1034" s="5"/>
    </row>
    <row r="1035" spans="1:6">
      <c r="A1035" s="5" t="str">
        <f ca="1">IFERROR(__xludf.DUMMYFUNCTION("""COMPUTED_VALUE"""),"20170218MNMAM")</f>
        <v>20170218MNMAM</v>
      </c>
      <c r="B1035" s="5" t="str">
        <f ca="1">IFERROR(__xludf.DUMMYFUNCTION("""COMPUTED_VALUE"""),"None")</f>
        <v>None</v>
      </c>
      <c r="C1035" s="5" t="str">
        <f ca="1">IFERROR(__xludf.DUMMYFUNCTION("""COMPUTED_VALUE"""),"Female")</f>
        <v>Female</v>
      </c>
      <c r="D1035" s="5" t="str">
        <f ca="1">IFERROR(__xludf.DUMMYFUNCTION("""COMPUTED_VALUE"""),"Intimate Relationship")</f>
        <v>Intimate Relationship</v>
      </c>
      <c r="E1035" s="5" t="str">
        <f ca="1">IFERROR(__xludf.DUMMYFUNCTION("""COMPUTED_VALUE"""),"Adult")</f>
        <v>Adult</v>
      </c>
      <c r="F1035" s="5"/>
    </row>
    <row r="1036" spans="1:6">
      <c r="A1036" s="5" t="str">
        <f ca="1">IFERROR(__xludf.DUMMYFUNCTION("""COMPUTED_VALUE"""),"20170206LASCB")</f>
        <v>20170206LASCB</v>
      </c>
      <c r="B1036" s="5" t="str">
        <f ca="1">IFERROR(__xludf.DUMMYFUNCTION("""COMPUTED_VALUE"""),"None")</f>
        <v>None</v>
      </c>
      <c r="C1036" s="5"/>
      <c r="D1036" s="5"/>
      <c r="E1036" s="5"/>
      <c r="F1036" s="5"/>
    </row>
    <row r="1037" spans="1:6">
      <c r="A1037" s="5" t="str">
        <f ca="1">IFERROR(__xludf.DUMMYFUNCTION("""COMPUTED_VALUE"""),"20170127SCSOA")</f>
        <v>20170127SCSOA</v>
      </c>
      <c r="B1037" s="5" t="str">
        <f ca="1">IFERROR(__xludf.DUMMYFUNCTION("""COMPUTED_VALUE"""),"Wounded")</f>
        <v>Wounded</v>
      </c>
      <c r="C1037" s="5" t="str">
        <f ca="1">IFERROR(__xludf.DUMMYFUNCTION("""COMPUTED_VALUE"""),"Female")</f>
        <v>Female</v>
      </c>
      <c r="D1037" s="5" t="str">
        <f ca="1">IFERROR(__xludf.DUMMYFUNCTION("""COMPUTED_VALUE"""),"Student")</f>
        <v>Student</v>
      </c>
      <c r="E1037" s="5">
        <f ca="1">IFERROR(__xludf.DUMMYFUNCTION("""COMPUTED_VALUE"""),15)</f>
        <v>15</v>
      </c>
      <c r="F1037" s="5"/>
    </row>
    <row r="1038" spans="1:6">
      <c r="A1038" s="5" t="str">
        <f ca="1">IFERROR(__xludf.DUMMYFUNCTION("""COMPUTED_VALUE"""),"20170127SCSOA")</f>
        <v>20170127SCSOA</v>
      </c>
      <c r="B1038" s="5" t="str">
        <f ca="1">IFERROR(__xludf.DUMMYFUNCTION("""COMPUTED_VALUE"""),"Wounded")</f>
        <v>Wounded</v>
      </c>
      <c r="C1038" s="5" t="str">
        <f ca="1">IFERROR(__xludf.DUMMYFUNCTION("""COMPUTED_VALUE"""),"Male")</f>
        <v>Male</v>
      </c>
      <c r="D1038" s="5" t="str">
        <f ca="1">IFERROR(__xludf.DUMMYFUNCTION("""COMPUTED_VALUE"""),"Nonstudent Using Athletic Facilities/Attending Game")</f>
        <v>Nonstudent Using Athletic Facilities/Attending Game</v>
      </c>
      <c r="E1038" s="5">
        <f ca="1">IFERROR(__xludf.DUMMYFUNCTION("""COMPUTED_VALUE"""),19)</f>
        <v>19</v>
      </c>
      <c r="F1038" s="5"/>
    </row>
    <row r="1039" spans="1:6">
      <c r="A1039" s="5" t="str">
        <f ca="1">IFERROR(__xludf.DUMMYFUNCTION("""COMPUTED_VALUE"""),"20170127SCSOA")</f>
        <v>20170127SCSOA</v>
      </c>
      <c r="B1039" s="5" t="str">
        <f ca="1">IFERROR(__xludf.DUMMYFUNCTION("""COMPUTED_VALUE"""),"Wounded")</f>
        <v>Wounded</v>
      </c>
      <c r="C1039" s="5" t="str">
        <f ca="1">IFERROR(__xludf.DUMMYFUNCTION("""COMPUTED_VALUE"""),"Female")</f>
        <v>Female</v>
      </c>
      <c r="D1039" s="5" t="str">
        <f ca="1">IFERROR(__xludf.DUMMYFUNCTION("""COMPUTED_VALUE"""),"Student")</f>
        <v>Student</v>
      </c>
      <c r="E1039" s="5">
        <f ca="1">IFERROR(__xludf.DUMMYFUNCTION("""COMPUTED_VALUE"""),13)</f>
        <v>13</v>
      </c>
      <c r="F1039" s="5"/>
    </row>
    <row r="1040" spans="1:6">
      <c r="A1040" s="5" t="str">
        <f ca="1">IFERROR(__xludf.DUMMYFUNCTION("""COMPUTED_VALUE"""),"20170127ILSCN")</f>
        <v>20170127ILSCN</v>
      </c>
      <c r="B1040" s="5" t="str">
        <f ca="1">IFERROR(__xludf.DUMMYFUNCTION("""COMPUTED_VALUE"""),"Fatal")</f>
        <v>Fatal</v>
      </c>
      <c r="C1040" s="5" t="str">
        <f ca="1">IFERROR(__xludf.DUMMYFUNCTION("""COMPUTED_VALUE"""),"Male")</f>
        <v>Male</v>
      </c>
      <c r="D1040" s="5" t="str">
        <f ca="1">IFERROR(__xludf.DUMMYFUNCTION("""COMPUTED_VALUE"""),"Parent")</f>
        <v>Parent</v>
      </c>
      <c r="E1040" s="5">
        <f ca="1">IFERROR(__xludf.DUMMYFUNCTION("""COMPUTED_VALUE"""),37)</f>
        <v>37</v>
      </c>
      <c r="F1040" s="5" t="str">
        <f ca="1">IFERROR(__xludf.DUMMYFUNCTION("""COMPUTED_VALUE"""),"White")</f>
        <v>White</v>
      </c>
    </row>
    <row r="1041" spans="1:6">
      <c r="A1041" s="5" t="str">
        <f ca="1">IFERROR(__xludf.DUMMYFUNCTION("""COMPUTED_VALUE"""),"20170120OHWEW")</f>
        <v>20170120OHWEW</v>
      </c>
      <c r="B1041" s="5" t="str">
        <f ca="1">IFERROR(__xludf.DUMMYFUNCTION("""COMPUTED_VALUE"""),"Wounded")</f>
        <v>Wounded</v>
      </c>
      <c r="C1041" s="5" t="str">
        <f ca="1">IFERROR(__xludf.DUMMYFUNCTION("""COMPUTED_VALUE"""),"Male")</f>
        <v>Male</v>
      </c>
      <c r="D1041" s="5" t="str">
        <f ca="1">IFERROR(__xludf.DUMMYFUNCTION("""COMPUTED_VALUE"""),"Student")</f>
        <v>Student</v>
      </c>
      <c r="E1041" s="5">
        <f ca="1">IFERROR(__xludf.DUMMYFUNCTION("""COMPUTED_VALUE"""),16)</f>
        <v>16</v>
      </c>
      <c r="F1041" s="5"/>
    </row>
    <row r="1042" spans="1:6">
      <c r="A1042" s="5" t="str">
        <f ca="1">IFERROR(__xludf.DUMMYFUNCTION("""COMPUTED_VALUE"""),"20170117FLFRE")</f>
        <v>20170117FLFRE</v>
      </c>
      <c r="B1042" s="5" t="str">
        <f ca="1">IFERROR(__xludf.DUMMYFUNCTION("""COMPUTED_VALUE"""),"None")</f>
        <v>None</v>
      </c>
      <c r="C1042" s="5"/>
      <c r="D1042" s="5"/>
      <c r="E1042" s="5"/>
      <c r="F1042" s="5"/>
    </row>
    <row r="1043" spans="1:6">
      <c r="A1043" s="5" t="str">
        <f ca="1">IFERROR(__xludf.DUMMYFUNCTION("""COMPUTED_VALUE"""),"20170110ALALA")</f>
        <v>20170110ALALA</v>
      </c>
      <c r="B1043" s="5" t="str">
        <f ca="1">IFERROR(__xludf.DUMMYFUNCTION("""COMPUTED_VALUE"""),"None")</f>
        <v>None</v>
      </c>
      <c r="C1043" s="5"/>
      <c r="D1043" s="5"/>
      <c r="E1043" s="5"/>
      <c r="F1043" s="5"/>
    </row>
    <row r="1044" spans="1:6">
      <c r="A1044" s="5" t="str">
        <f ca="1">IFERROR(__xludf.DUMMYFUNCTION("""COMPUTED_VALUE"""),"20170101DELAH")</f>
        <v>20170101DELAH</v>
      </c>
      <c r="B1044" s="5" t="str">
        <f ca="1">IFERROR(__xludf.DUMMYFUNCTION("""COMPUTED_VALUE"""),"Wounded")</f>
        <v>Wounded</v>
      </c>
      <c r="C1044" s="5" t="str">
        <f ca="1">IFERROR(__xludf.DUMMYFUNCTION("""COMPUTED_VALUE"""),"Male")</f>
        <v>Male</v>
      </c>
      <c r="D1044" s="5" t="str">
        <f ca="1">IFERROR(__xludf.DUMMYFUNCTION("""COMPUTED_VALUE"""),"Unknown")</f>
        <v>Unknown</v>
      </c>
      <c r="E1044" s="5">
        <f ca="1">IFERROR(__xludf.DUMMYFUNCTION("""COMPUTED_VALUE"""),17)</f>
        <v>17</v>
      </c>
      <c r="F1044" s="5"/>
    </row>
    <row r="1045" spans="1:6">
      <c r="A1045" s="5" t="str">
        <f ca="1">IFERROR(__xludf.DUMMYFUNCTION("""COMPUTED_VALUE"""),"20161216FLSAJ")</f>
        <v>20161216FLSAJ</v>
      </c>
      <c r="B1045" s="5" t="str">
        <f ca="1">IFERROR(__xludf.DUMMYFUNCTION("""COMPUTED_VALUE"""),"Minor Injuries")</f>
        <v>Minor Injuries</v>
      </c>
      <c r="C1045" s="5"/>
      <c r="D1045" s="5" t="str">
        <f ca="1">IFERROR(__xludf.DUMMYFUNCTION("""COMPUTED_VALUE"""),"Student")</f>
        <v>Student</v>
      </c>
      <c r="E1045" s="5" t="str">
        <f ca="1">IFERROR(__xludf.DUMMYFUNCTION("""COMPUTED_VALUE"""),"Teen")</f>
        <v>Teen</v>
      </c>
      <c r="F1045" s="5"/>
    </row>
    <row r="1046" spans="1:6">
      <c r="A1046" s="5" t="str">
        <f ca="1">IFERROR(__xludf.DUMMYFUNCTION("""COMPUTED_VALUE"""),"20161209NVHUR")</f>
        <v>20161209NVHUR</v>
      </c>
      <c r="B1046" s="5" t="str">
        <f ca="1">IFERROR(__xludf.DUMMYFUNCTION("""COMPUTED_VALUE"""),"Wounded")</f>
        <v>Wounded</v>
      </c>
      <c r="C1046" s="5" t="str">
        <f ca="1">IFERROR(__xludf.DUMMYFUNCTION("""COMPUTED_VALUE"""),"Male")</f>
        <v>Male</v>
      </c>
      <c r="D1046" s="5" t="str">
        <f ca="1">IFERROR(__xludf.DUMMYFUNCTION("""COMPUTED_VALUE"""),"Student")</f>
        <v>Student</v>
      </c>
      <c r="E1046" s="5">
        <f ca="1">IFERROR(__xludf.DUMMYFUNCTION("""COMPUTED_VALUE"""),14)</f>
        <v>14</v>
      </c>
      <c r="F1046" s="5" t="str">
        <f ca="1">IFERROR(__xludf.DUMMYFUNCTION("""COMPUTED_VALUE"""),"White")</f>
        <v>White</v>
      </c>
    </row>
    <row r="1047" spans="1:6">
      <c r="A1047" s="5" t="str">
        <f ca="1">IFERROR(__xludf.DUMMYFUNCTION("""COMPUTED_VALUE"""),"20161209MOBAS")</f>
        <v>20161209MOBAS</v>
      </c>
      <c r="B1047" s="5" t="str">
        <f ca="1">IFERROR(__xludf.DUMMYFUNCTION("""COMPUTED_VALUE"""),"Wounded")</f>
        <v>Wounded</v>
      </c>
      <c r="C1047" s="5" t="str">
        <f ca="1">IFERROR(__xludf.DUMMYFUNCTION("""COMPUTED_VALUE"""),"Male")</f>
        <v>Male</v>
      </c>
      <c r="D1047" s="5" t="str">
        <f ca="1">IFERROR(__xludf.DUMMYFUNCTION("""COMPUTED_VALUE"""),"Former Student")</f>
        <v>Former Student</v>
      </c>
      <c r="E1047" s="5">
        <f ca="1">IFERROR(__xludf.DUMMYFUNCTION("""COMPUTED_VALUE"""),19)</f>
        <v>19</v>
      </c>
      <c r="F1047" s="5" t="str">
        <f ca="1">IFERROR(__xludf.DUMMYFUNCTION("""COMPUTED_VALUE"""),"Black")</f>
        <v>Black</v>
      </c>
    </row>
    <row r="1048" spans="1:6">
      <c r="A1048" s="5" t="str">
        <f ca="1">IFERROR(__xludf.DUMMYFUNCTION("""COMPUTED_VALUE"""),"20161201UTMUB")</f>
        <v>20161201UTMUB</v>
      </c>
      <c r="B1048" s="5" t="str">
        <f ca="1">IFERROR(__xludf.DUMMYFUNCTION("""COMPUTED_VALUE"""),"None")</f>
        <v>None</v>
      </c>
      <c r="C1048" s="5"/>
      <c r="D1048" s="5"/>
      <c r="E1048" s="5"/>
      <c r="F1048" s="5"/>
    </row>
    <row r="1049" spans="1:6">
      <c r="A1049" s="5" t="str">
        <f ca="1">IFERROR(__xludf.DUMMYFUNCTION("""COMPUTED_VALUE"""),"20161117MNCRS")</f>
        <v>20161117MNCRS</v>
      </c>
      <c r="B1049" s="5" t="str">
        <f ca="1">IFERROR(__xludf.DUMMYFUNCTION("""COMPUTED_VALUE"""),"None")</f>
        <v>None</v>
      </c>
      <c r="C1049" s="5"/>
      <c r="D1049" s="5"/>
      <c r="E1049" s="5"/>
      <c r="F1049" s="5"/>
    </row>
    <row r="1050" spans="1:6">
      <c r="A1050" s="5" t="str">
        <f ca="1">IFERROR(__xludf.DUMMYFUNCTION("""COMPUTED_VALUE"""),"20161111MIBAA")</f>
        <v>20161111MIBAA</v>
      </c>
      <c r="B1050" s="5" t="str">
        <f ca="1">IFERROR(__xludf.DUMMYFUNCTION("""COMPUTED_VALUE"""),"Wounded")</f>
        <v>Wounded</v>
      </c>
      <c r="C1050" s="5" t="str">
        <f ca="1">IFERROR(__xludf.DUMMYFUNCTION("""COMPUTED_VALUE"""),"Female")</f>
        <v>Female</v>
      </c>
      <c r="D1050" s="5" t="str">
        <f ca="1">IFERROR(__xludf.DUMMYFUNCTION("""COMPUTED_VALUE"""),"Teacher")</f>
        <v>Teacher</v>
      </c>
      <c r="E1050" s="5" t="str">
        <f ca="1">IFERROR(__xludf.DUMMYFUNCTION("""COMPUTED_VALUE"""),"Adult")</f>
        <v>Adult</v>
      </c>
      <c r="F1050" s="5"/>
    </row>
    <row r="1051" spans="1:6">
      <c r="A1051" s="5" t="str">
        <f ca="1">IFERROR(__xludf.DUMMYFUNCTION("""COMPUTED_VALUE"""),"20161103COBEB")</f>
        <v>20161103COBEB</v>
      </c>
      <c r="B1051" s="5" t="str">
        <f ca="1">IFERROR(__xludf.DUMMYFUNCTION("""COMPUTED_VALUE"""),"None")</f>
        <v>None</v>
      </c>
      <c r="C1051" s="5" t="str">
        <f ca="1">IFERROR(__xludf.DUMMYFUNCTION("""COMPUTED_VALUE"""),"Male")</f>
        <v>Male</v>
      </c>
      <c r="D1051" s="5" t="str">
        <f ca="1">IFERROR(__xludf.DUMMYFUNCTION("""COMPUTED_VALUE"""),"Student")</f>
        <v>Student</v>
      </c>
      <c r="E1051" s="5">
        <f ca="1">IFERROR(__xludf.DUMMYFUNCTION("""COMPUTED_VALUE"""),15)</f>
        <v>15</v>
      </c>
      <c r="F1051" s="5"/>
    </row>
    <row r="1052" spans="1:6">
      <c r="A1052" s="5" t="str">
        <f ca="1">IFERROR(__xludf.DUMMYFUNCTION("""COMPUTED_VALUE"""),"20161102COGRG")</f>
        <v>20161102COGRG</v>
      </c>
      <c r="B1052" s="5" t="str">
        <f ca="1">IFERROR(__xludf.DUMMYFUNCTION("""COMPUTED_VALUE"""),"None")</f>
        <v>None</v>
      </c>
      <c r="C1052" s="5" t="str">
        <f ca="1">IFERROR(__xludf.DUMMYFUNCTION("""COMPUTED_VALUE"""),"Male")</f>
        <v>Male</v>
      </c>
      <c r="D1052" s="5" t="str">
        <f ca="1">IFERROR(__xludf.DUMMYFUNCTION("""COMPUTED_VALUE"""),"Student")</f>
        <v>Student</v>
      </c>
      <c r="E1052" s="5">
        <f ca="1">IFERROR(__xludf.DUMMYFUNCTION("""COMPUTED_VALUE"""),17)</f>
        <v>17</v>
      </c>
      <c r="F1052" s="5" t="str">
        <f ca="1">IFERROR(__xludf.DUMMYFUNCTION("""COMPUTED_VALUE"""),"Hispanic")</f>
        <v>Hispanic</v>
      </c>
    </row>
    <row r="1053" spans="1:6">
      <c r="A1053" s="5" t="str">
        <f ca="1">IFERROR(__xludf.DUMMYFUNCTION("""COMPUTED_VALUE"""),"20161025UTUNS")</f>
        <v>20161025UTUNS</v>
      </c>
      <c r="B1053" s="5" t="str">
        <f ca="1">IFERROR(__xludf.DUMMYFUNCTION("""COMPUTED_VALUE"""),"Wounded")</f>
        <v>Wounded</v>
      </c>
      <c r="C1053" s="5" t="str">
        <f ca="1">IFERROR(__xludf.DUMMYFUNCTION("""COMPUTED_VALUE"""),"Male")</f>
        <v>Male</v>
      </c>
      <c r="D1053" s="5" t="str">
        <f ca="1">IFERROR(__xludf.DUMMYFUNCTION("""COMPUTED_VALUE"""),"Student")</f>
        <v>Student</v>
      </c>
      <c r="E1053" s="5">
        <f ca="1">IFERROR(__xludf.DUMMYFUNCTION("""COMPUTED_VALUE"""),16)</f>
        <v>16</v>
      </c>
      <c r="F1053" s="5"/>
    </row>
    <row r="1054" spans="1:6">
      <c r="A1054" s="5" t="str">
        <f ca="1">IFERROR(__xludf.DUMMYFUNCTION("""COMPUTED_VALUE"""),"20161018CAJUS")</f>
        <v>20161018CAJUS</v>
      </c>
      <c r="B1054" s="5" t="str">
        <f ca="1">IFERROR(__xludf.DUMMYFUNCTION("""COMPUTED_VALUE"""),"Wounded")</f>
        <v>Wounded</v>
      </c>
      <c r="C1054" s="5" t="str">
        <f ca="1">IFERROR(__xludf.DUMMYFUNCTION("""COMPUTED_VALUE"""),"Male")</f>
        <v>Male</v>
      </c>
      <c r="D1054" s="5" t="str">
        <f ca="1">IFERROR(__xludf.DUMMYFUNCTION("""COMPUTED_VALUE"""),"Student")</f>
        <v>Student</v>
      </c>
      <c r="E1054" s="5" t="str">
        <f ca="1">IFERROR(__xludf.DUMMYFUNCTION("""COMPUTED_VALUE"""),"Teen")</f>
        <v>Teen</v>
      </c>
      <c r="F1054" s="5"/>
    </row>
    <row r="1055" spans="1:6">
      <c r="A1055" s="5" t="str">
        <f ca="1">IFERROR(__xludf.DUMMYFUNCTION("""COMPUTED_VALUE"""),"20161018CAJUS")</f>
        <v>20161018CAJUS</v>
      </c>
      <c r="B1055" s="5" t="str">
        <f ca="1">IFERROR(__xludf.DUMMYFUNCTION("""COMPUTED_VALUE"""),"Wounded")</f>
        <v>Wounded</v>
      </c>
      <c r="C1055" s="5" t="str">
        <f ca="1">IFERROR(__xludf.DUMMYFUNCTION("""COMPUTED_VALUE"""),"Male")</f>
        <v>Male</v>
      </c>
      <c r="D1055" s="5" t="str">
        <f ca="1">IFERROR(__xludf.DUMMYFUNCTION("""COMPUTED_VALUE"""),"Student")</f>
        <v>Student</v>
      </c>
      <c r="E1055" s="5" t="str">
        <f ca="1">IFERROR(__xludf.DUMMYFUNCTION("""COMPUTED_VALUE"""),"Teen")</f>
        <v>Teen</v>
      </c>
      <c r="F1055" s="5"/>
    </row>
    <row r="1056" spans="1:6">
      <c r="A1056" s="5" t="str">
        <f ca="1">IFERROR(__xludf.DUMMYFUNCTION("""COMPUTED_VALUE"""),"20161018CAJUS")</f>
        <v>20161018CAJUS</v>
      </c>
      <c r="B1056" s="5" t="str">
        <f ca="1">IFERROR(__xludf.DUMMYFUNCTION("""COMPUTED_VALUE"""),"Wounded")</f>
        <v>Wounded</v>
      </c>
      <c r="C1056" s="5" t="str">
        <f ca="1">IFERROR(__xludf.DUMMYFUNCTION("""COMPUTED_VALUE"""),"Female")</f>
        <v>Female</v>
      </c>
      <c r="D1056" s="5" t="str">
        <f ca="1">IFERROR(__xludf.DUMMYFUNCTION("""COMPUTED_VALUE"""),"Student")</f>
        <v>Student</v>
      </c>
      <c r="E1056" s="5">
        <f ca="1">IFERROR(__xludf.DUMMYFUNCTION("""COMPUTED_VALUE"""),15)</f>
        <v>15</v>
      </c>
      <c r="F1056" s="5"/>
    </row>
    <row r="1057" spans="1:6">
      <c r="A1057" s="5" t="str">
        <f ca="1">IFERROR(__xludf.DUMMYFUNCTION("""COMPUTED_VALUE"""),"20161018CAJUS")</f>
        <v>20161018CAJUS</v>
      </c>
      <c r="B1057" s="5" t="str">
        <f ca="1">IFERROR(__xludf.DUMMYFUNCTION("""COMPUTED_VALUE"""),"Wounded")</f>
        <v>Wounded</v>
      </c>
      <c r="C1057" s="5" t="str">
        <f ca="1">IFERROR(__xludf.DUMMYFUNCTION("""COMPUTED_VALUE"""),"Male")</f>
        <v>Male</v>
      </c>
      <c r="D1057" s="5" t="str">
        <f ca="1">IFERROR(__xludf.DUMMYFUNCTION("""COMPUTED_VALUE"""),"Student")</f>
        <v>Student</v>
      </c>
      <c r="E1057" s="5" t="str">
        <f ca="1">IFERROR(__xludf.DUMMYFUNCTION("""COMPUTED_VALUE"""),"Teen")</f>
        <v>Teen</v>
      </c>
      <c r="F1057" s="5"/>
    </row>
    <row r="1058" spans="1:6">
      <c r="A1058" s="5" t="str">
        <f ca="1">IFERROR(__xludf.DUMMYFUNCTION("""COMPUTED_VALUE"""),"20161015GABEA")</f>
        <v>20161015GABEA</v>
      </c>
      <c r="B1058" s="5" t="str">
        <f ca="1">IFERROR(__xludf.DUMMYFUNCTION("""COMPUTED_VALUE"""),"Wounded")</f>
        <v>Wounded</v>
      </c>
      <c r="C1058" s="5" t="str">
        <f ca="1">IFERROR(__xludf.DUMMYFUNCTION("""COMPUTED_VALUE"""),"Female")</f>
        <v>Female</v>
      </c>
      <c r="D1058" s="5" t="str">
        <f ca="1">IFERROR(__xludf.DUMMYFUNCTION("""COMPUTED_VALUE"""),"Student")</f>
        <v>Student</v>
      </c>
      <c r="E1058" s="5">
        <f ca="1">IFERROR(__xludf.DUMMYFUNCTION("""COMPUTED_VALUE"""),17)</f>
        <v>17</v>
      </c>
      <c r="F1058" s="5"/>
    </row>
    <row r="1059" spans="1:6">
      <c r="A1059" s="5" t="str">
        <f ca="1">IFERROR(__xludf.DUMMYFUNCTION("""COMPUTED_VALUE"""),"20161013OHLIC")</f>
        <v>20161013OHLIC</v>
      </c>
      <c r="B1059" s="5" t="str">
        <f ca="1">IFERROR(__xludf.DUMMYFUNCTION("""COMPUTED_VALUE"""),"Wounded")</f>
        <v>Wounded</v>
      </c>
      <c r="C1059" s="5" t="str">
        <f ca="1">IFERROR(__xludf.DUMMYFUNCTION("""COMPUTED_VALUE"""),"Male")</f>
        <v>Male</v>
      </c>
      <c r="D1059" s="5" t="str">
        <f ca="1">IFERROR(__xludf.DUMMYFUNCTION("""COMPUTED_VALUE"""),"Student")</f>
        <v>Student</v>
      </c>
      <c r="E1059" s="5" t="str">
        <f ca="1">IFERROR(__xludf.DUMMYFUNCTION("""COMPUTED_VALUE"""),"Teen")</f>
        <v>Teen</v>
      </c>
      <c r="F1059" s="5" t="str">
        <f ca="1">IFERROR(__xludf.DUMMYFUNCTION("""COMPUTED_VALUE"""),"Black")</f>
        <v>Black</v>
      </c>
    </row>
    <row r="1060" spans="1:6">
      <c r="A1060" s="5" t="str">
        <f ca="1">IFERROR(__xludf.DUMMYFUNCTION("""COMPUTED_VALUE"""),"20161013OHLIC")</f>
        <v>20161013OHLIC</v>
      </c>
      <c r="B1060" s="5" t="str">
        <f ca="1">IFERROR(__xludf.DUMMYFUNCTION("""COMPUTED_VALUE"""),"Wounded")</f>
        <v>Wounded</v>
      </c>
      <c r="C1060" s="5" t="str">
        <f ca="1">IFERROR(__xludf.DUMMYFUNCTION("""COMPUTED_VALUE"""),"Male")</f>
        <v>Male</v>
      </c>
      <c r="D1060" s="5" t="str">
        <f ca="1">IFERROR(__xludf.DUMMYFUNCTION("""COMPUTED_VALUE"""),"Student")</f>
        <v>Student</v>
      </c>
      <c r="E1060" s="5" t="str">
        <f ca="1">IFERROR(__xludf.DUMMYFUNCTION("""COMPUTED_VALUE"""),"Teen")</f>
        <v>Teen</v>
      </c>
      <c r="F1060" s="5" t="str">
        <f ca="1">IFERROR(__xludf.DUMMYFUNCTION("""COMPUTED_VALUE"""),"Black")</f>
        <v>Black</v>
      </c>
    </row>
    <row r="1061" spans="1:6">
      <c r="A1061" s="5" t="str">
        <f ca="1">IFERROR(__xludf.DUMMYFUNCTION("""COMPUTED_VALUE"""),"20161011ALVIM")</f>
        <v>20161011ALVIM</v>
      </c>
      <c r="B1061" s="5" t="str">
        <f ca="1">IFERROR(__xludf.DUMMYFUNCTION("""COMPUTED_VALUE"""),"Wounded")</f>
        <v>Wounded</v>
      </c>
      <c r="C1061" s="5" t="str">
        <f ca="1">IFERROR(__xludf.DUMMYFUNCTION("""COMPUTED_VALUE"""),"Male")</f>
        <v>Male</v>
      </c>
      <c r="D1061" s="5" t="str">
        <f ca="1">IFERROR(__xludf.DUMMYFUNCTION("""COMPUTED_VALUE"""),"Student")</f>
        <v>Student</v>
      </c>
      <c r="E1061" s="5" t="str">
        <f ca="1">IFERROR(__xludf.DUMMYFUNCTION("""COMPUTED_VALUE"""),"Teen")</f>
        <v>Teen</v>
      </c>
      <c r="F1061" s="5"/>
    </row>
    <row r="1062" spans="1:6">
      <c r="A1062" s="5" t="str">
        <f ca="1">IFERROR(__xludf.DUMMYFUNCTION("""COMPUTED_VALUE"""),"20161006TXDUF")</f>
        <v>20161006TXDUF</v>
      </c>
      <c r="B1062" s="5" t="str">
        <f ca="1">IFERROR(__xludf.DUMMYFUNCTION("""COMPUTED_VALUE"""),"Wounded")</f>
        <v>Wounded</v>
      </c>
      <c r="C1062" s="5" t="str">
        <f ca="1">IFERROR(__xludf.DUMMYFUNCTION("""COMPUTED_VALUE"""),"Male")</f>
        <v>Male</v>
      </c>
      <c r="D1062" s="5" t="str">
        <f ca="1">IFERROR(__xludf.DUMMYFUNCTION("""COMPUTED_VALUE"""),"Unknown")</f>
        <v>Unknown</v>
      </c>
      <c r="E1062" s="5">
        <f ca="1">IFERROR(__xludf.DUMMYFUNCTION("""COMPUTED_VALUE"""),18)</f>
        <v>18</v>
      </c>
      <c r="F1062" s="5"/>
    </row>
    <row r="1063" spans="1:6">
      <c r="A1063" s="5" t="str">
        <f ca="1">IFERROR(__xludf.DUMMYFUNCTION("""COMPUTED_VALUE"""),"20160930ILCHC")</f>
        <v>20160930ILCHC</v>
      </c>
      <c r="B1063" s="5" t="str">
        <f ca="1">IFERROR(__xludf.DUMMYFUNCTION("""COMPUTED_VALUE"""),"Wounded")</f>
        <v>Wounded</v>
      </c>
      <c r="C1063" s="5" t="str">
        <f ca="1">IFERROR(__xludf.DUMMYFUNCTION("""COMPUTED_VALUE"""),"Male")</f>
        <v>Male</v>
      </c>
      <c r="D1063" s="5" t="str">
        <f ca="1">IFERROR(__xludf.DUMMYFUNCTION("""COMPUTED_VALUE"""),"Bus Driver")</f>
        <v>Bus Driver</v>
      </c>
      <c r="E1063" s="5">
        <f ca="1">IFERROR(__xludf.DUMMYFUNCTION("""COMPUTED_VALUE"""),31)</f>
        <v>31</v>
      </c>
      <c r="F1063" s="5"/>
    </row>
    <row r="1064" spans="1:6">
      <c r="A1064" s="5" t="str">
        <f ca="1">IFERROR(__xludf.DUMMYFUNCTION("""COMPUTED_VALUE"""),"20160928SCTOT")</f>
        <v>20160928SCTOT</v>
      </c>
      <c r="B1064" s="5" t="str">
        <f ca="1">IFERROR(__xludf.DUMMYFUNCTION("""COMPUTED_VALUE"""),"Wounded")</f>
        <v>Wounded</v>
      </c>
      <c r="C1064" s="5"/>
      <c r="D1064" s="5" t="str">
        <f ca="1">IFERROR(__xludf.DUMMYFUNCTION("""COMPUTED_VALUE"""),"Student")</f>
        <v>Student</v>
      </c>
      <c r="E1064" s="5" t="str">
        <f ca="1">IFERROR(__xludf.DUMMYFUNCTION("""COMPUTED_VALUE"""),"Child")</f>
        <v>Child</v>
      </c>
      <c r="F1064" s="5" t="str">
        <f ca="1">IFERROR(__xludf.DUMMYFUNCTION("""COMPUTED_VALUE"""),"White")</f>
        <v>White</v>
      </c>
    </row>
    <row r="1065" spans="1:6">
      <c r="A1065" s="5" t="str">
        <f ca="1">IFERROR(__xludf.DUMMYFUNCTION("""COMPUTED_VALUE"""),"20160928SCTOT")</f>
        <v>20160928SCTOT</v>
      </c>
      <c r="B1065" s="5" t="str">
        <f ca="1">IFERROR(__xludf.DUMMYFUNCTION("""COMPUTED_VALUE"""),"Fatal")</f>
        <v>Fatal</v>
      </c>
      <c r="C1065" s="5"/>
      <c r="D1065" s="5" t="str">
        <f ca="1">IFERROR(__xludf.DUMMYFUNCTION("""COMPUTED_VALUE"""),"Student")</f>
        <v>Student</v>
      </c>
      <c r="E1065" s="5">
        <f ca="1">IFERROR(__xludf.DUMMYFUNCTION("""COMPUTED_VALUE"""),6)</f>
        <v>6</v>
      </c>
      <c r="F1065" s="5" t="str">
        <f ca="1">IFERROR(__xludf.DUMMYFUNCTION("""COMPUTED_VALUE"""),"White")</f>
        <v>White</v>
      </c>
    </row>
    <row r="1066" spans="1:6">
      <c r="A1066" s="5" t="str">
        <f ca="1">IFERROR(__xludf.DUMMYFUNCTION("""COMPUTED_VALUE"""),"20160928SCTOT")</f>
        <v>20160928SCTOT</v>
      </c>
      <c r="B1066" s="5" t="str">
        <f ca="1">IFERROR(__xludf.DUMMYFUNCTION("""COMPUTED_VALUE"""),"Wounded")</f>
        <v>Wounded</v>
      </c>
      <c r="C1066" s="5"/>
      <c r="D1066" s="5" t="str">
        <f ca="1">IFERROR(__xludf.DUMMYFUNCTION("""COMPUTED_VALUE"""),"Student")</f>
        <v>Student</v>
      </c>
      <c r="E1066" s="5">
        <f ca="1">IFERROR(__xludf.DUMMYFUNCTION("""COMPUTED_VALUE"""),6)</f>
        <v>6</v>
      </c>
      <c r="F1066" s="5" t="str">
        <f ca="1">IFERROR(__xludf.DUMMYFUNCTION("""COMPUTED_VALUE"""),"White")</f>
        <v>White</v>
      </c>
    </row>
    <row r="1067" spans="1:6">
      <c r="A1067" s="5" t="str">
        <f ca="1">IFERROR(__xludf.DUMMYFUNCTION("""COMPUTED_VALUE"""),"20160928SCTOT")</f>
        <v>20160928SCTOT</v>
      </c>
      <c r="B1067" s="5" t="str">
        <f ca="1">IFERROR(__xludf.DUMMYFUNCTION("""COMPUTED_VALUE"""),"Wounded")</f>
        <v>Wounded</v>
      </c>
      <c r="C1067" s="5"/>
      <c r="D1067" s="5" t="str">
        <f ca="1">IFERROR(__xludf.DUMMYFUNCTION("""COMPUTED_VALUE"""),"Teacher")</f>
        <v>Teacher</v>
      </c>
      <c r="E1067" s="5">
        <f ca="1">IFERROR(__xludf.DUMMYFUNCTION("""COMPUTED_VALUE"""),47)</f>
        <v>47</v>
      </c>
      <c r="F1067" s="5" t="str">
        <f ca="1">IFERROR(__xludf.DUMMYFUNCTION("""COMPUTED_VALUE"""),"White")</f>
        <v>White</v>
      </c>
    </row>
    <row r="1068" spans="1:6">
      <c r="A1068" s="5" t="str">
        <f ca="1">IFERROR(__xludf.DUMMYFUNCTION("""COMPUTED_VALUE"""),"20160927OHELC")</f>
        <v>20160927OHELC</v>
      </c>
      <c r="B1068" s="5" t="str">
        <f ca="1">IFERROR(__xludf.DUMMYFUNCTION("""COMPUTED_VALUE"""),"Wounded")</f>
        <v>Wounded</v>
      </c>
      <c r="C1068" s="5" t="str">
        <f ca="1">IFERROR(__xludf.DUMMYFUNCTION("""COMPUTED_VALUE"""),"Male")</f>
        <v>Male</v>
      </c>
      <c r="D1068" s="5" t="str">
        <f ca="1">IFERROR(__xludf.DUMMYFUNCTION("""COMPUTED_VALUE"""),"Other Staff")</f>
        <v>Other Staff</v>
      </c>
      <c r="E1068" s="5" t="str">
        <f ca="1">IFERROR(__xludf.DUMMYFUNCTION("""COMPUTED_VALUE"""),"Adult")</f>
        <v>Adult</v>
      </c>
      <c r="F1068" s="5"/>
    </row>
    <row r="1069" spans="1:6">
      <c r="A1069" s="5" t="str">
        <f ca="1">IFERROR(__xludf.DUMMYFUNCTION("""COMPUTED_VALUE"""),"20160927OHELC")</f>
        <v>20160927OHELC</v>
      </c>
      <c r="B1069" s="5" t="str">
        <f ca="1">IFERROR(__xludf.DUMMYFUNCTION("""COMPUTED_VALUE"""),"Wounded")</f>
        <v>Wounded</v>
      </c>
      <c r="C1069" s="5" t="str">
        <f ca="1">IFERROR(__xludf.DUMMYFUNCTION("""COMPUTED_VALUE"""),"Male")</f>
        <v>Male</v>
      </c>
      <c r="D1069" s="5" t="str">
        <f ca="1">IFERROR(__xludf.DUMMYFUNCTION("""COMPUTED_VALUE"""),"Nonstudent Using Athletic Facilities/Attending Game")</f>
        <v>Nonstudent Using Athletic Facilities/Attending Game</v>
      </c>
      <c r="E1069" s="5" t="str">
        <f ca="1">IFERROR(__xludf.DUMMYFUNCTION("""COMPUTED_VALUE"""),"Adult")</f>
        <v>Adult</v>
      </c>
      <c r="F1069" s="5"/>
    </row>
    <row r="1070" spans="1:6">
      <c r="A1070" s="5" t="str">
        <f ca="1">IFERROR(__xludf.DUMMYFUNCTION("""COMPUTED_VALUE"""),"20160927OHELC")</f>
        <v>20160927OHELC</v>
      </c>
      <c r="B1070" s="5" t="str">
        <f ca="1">IFERROR(__xludf.DUMMYFUNCTION("""COMPUTED_VALUE"""),"Wounded")</f>
        <v>Wounded</v>
      </c>
      <c r="C1070" s="5" t="str">
        <f ca="1">IFERROR(__xludf.DUMMYFUNCTION("""COMPUTED_VALUE"""),"Male")</f>
        <v>Male</v>
      </c>
      <c r="D1070" s="5" t="str">
        <f ca="1">IFERROR(__xludf.DUMMYFUNCTION("""COMPUTED_VALUE"""),"Nonstudent Using Athletic Facilities/Attending Game")</f>
        <v>Nonstudent Using Athletic Facilities/Attending Game</v>
      </c>
      <c r="E1070" s="5">
        <f ca="1">IFERROR(__xludf.DUMMYFUNCTION("""COMPUTED_VALUE"""),20)</f>
        <v>20</v>
      </c>
      <c r="F1070" s="5"/>
    </row>
    <row r="1071" spans="1:6">
      <c r="A1071" s="5" t="str">
        <f ca="1">IFERROR(__xludf.DUMMYFUNCTION("""COMPUTED_VALUE"""),"20160926MSTAJ")</f>
        <v>20160926MSTAJ</v>
      </c>
      <c r="B1071" s="5" t="str">
        <f ca="1">IFERROR(__xludf.DUMMYFUNCTION("""COMPUTED_VALUE"""),"Wounded")</f>
        <v>Wounded</v>
      </c>
      <c r="C1071" s="5" t="str">
        <f ca="1">IFERROR(__xludf.DUMMYFUNCTION("""COMPUTED_VALUE"""),"Male")</f>
        <v>Male</v>
      </c>
      <c r="D1071" s="5" t="str">
        <f ca="1">IFERROR(__xludf.DUMMYFUNCTION("""COMPUTED_VALUE"""),"Student")</f>
        <v>Student</v>
      </c>
      <c r="E1071" s="5">
        <f ca="1">IFERROR(__xludf.DUMMYFUNCTION("""COMPUTED_VALUE"""),17)</f>
        <v>17</v>
      </c>
      <c r="F1071" s="5" t="str">
        <f ca="1">IFERROR(__xludf.DUMMYFUNCTION("""COMPUTED_VALUE"""),"Black")</f>
        <v>Black</v>
      </c>
    </row>
    <row r="1072" spans="1:6">
      <c r="A1072" s="5" t="str">
        <f ca="1">IFERROR(__xludf.DUMMYFUNCTION("""COMPUTED_VALUE"""),"20160909PASMY")</f>
        <v>20160909PASMY</v>
      </c>
      <c r="B1072" s="5" t="str">
        <f ca="1">IFERROR(__xludf.DUMMYFUNCTION("""COMPUTED_VALUE"""),"Wounded")</f>
        <v>Wounded</v>
      </c>
      <c r="C1072" s="5" t="str">
        <f ca="1">IFERROR(__xludf.DUMMYFUNCTION("""COMPUTED_VALUE"""),"Male")</f>
        <v>Male</v>
      </c>
      <c r="D1072" s="5" t="str">
        <f ca="1">IFERROR(__xludf.DUMMYFUNCTION("""COMPUTED_VALUE"""),"Nonstudent Using Athletic Facilities/Attending Game")</f>
        <v>Nonstudent Using Athletic Facilities/Attending Game</v>
      </c>
      <c r="E1072" s="5">
        <f ca="1">IFERROR(__xludf.DUMMYFUNCTION("""COMPUTED_VALUE"""),23)</f>
        <v>23</v>
      </c>
      <c r="F1072" s="5"/>
    </row>
    <row r="1073" spans="1:6">
      <c r="A1073" s="5" t="str">
        <f ca="1">IFERROR(__xludf.DUMMYFUNCTION("""COMPUTED_VALUE"""),"20160909PASMY")</f>
        <v>20160909PASMY</v>
      </c>
      <c r="B1073" s="5" t="str">
        <f ca="1">IFERROR(__xludf.DUMMYFUNCTION("""COMPUTED_VALUE"""),"Wounded")</f>
        <v>Wounded</v>
      </c>
      <c r="C1073" s="5" t="str">
        <f ca="1">IFERROR(__xludf.DUMMYFUNCTION("""COMPUTED_VALUE"""),"Male")</f>
        <v>Male</v>
      </c>
      <c r="D1073" s="5" t="str">
        <f ca="1">IFERROR(__xludf.DUMMYFUNCTION("""COMPUTED_VALUE"""),"Nonstudent Using Athletic Facilities/Attending Game")</f>
        <v>Nonstudent Using Athletic Facilities/Attending Game</v>
      </c>
      <c r="E1073" s="5">
        <f ca="1">IFERROR(__xludf.DUMMYFUNCTION("""COMPUTED_VALUE"""),20)</f>
        <v>20</v>
      </c>
      <c r="F1073" s="5"/>
    </row>
    <row r="1074" spans="1:6">
      <c r="A1074" s="5" t="str">
        <f ca="1">IFERROR(__xludf.DUMMYFUNCTION("""COMPUTED_VALUE"""),"20160909IACEC")</f>
        <v>20160909IACEC</v>
      </c>
      <c r="B1074" s="5" t="str">
        <f ca="1">IFERROR(__xludf.DUMMYFUNCTION("""COMPUTED_VALUE"""),"None")</f>
        <v>None</v>
      </c>
      <c r="C1074" s="5" t="str">
        <f ca="1">IFERROR(__xludf.DUMMYFUNCTION("""COMPUTED_VALUE"""),"Male")</f>
        <v>Male</v>
      </c>
      <c r="D1074" s="5" t="str">
        <f ca="1">IFERROR(__xludf.DUMMYFUNCTION("""COMPUTED_VALUE"""),"Student")</f>
        <v>Student</v>
      </c>
      <c r="E1074" s="5">
        <f ca="1">IFERROR(__xludf.DUMMYFUNCTION("""COMPUTED_VALUE"""),15)</f>
        <v>15</v>
      </c>
      <c r="F1074" s="5"/>
    </row>
    <row r="1075" spans="1:6">
      <c r="A1075" s="5" t="str">
        <f ca="1">IFERROR(__xludf.DUMMYFUNCTION("""COMPUTED_VALUE"""),"20160908TXALA")</f>
        <v>20160908TXALA</v>
      </c>
      <c r="B1075" s="5" t="str">
        <f ca="1">IFERROR(__xludf.DUMMYFUNCTION("""COMPUTED_VALUE"""),"Wounded")</f>
        <v>Wounded</v>
      </c>
      <c r="C1075" s="5" t="str">
        <f ca="1">IFERROR(__xludf.DUMMYFUNCTION("""COMPUTED_VALUE"""),"Female")</f>
        <v>Female</v>
      </c>
      <c r="D1075" s="5" t="str">
        <f ca="1">IFERROR(__xludf.DUMMYFUNCTION("""COMPUTED_VALUE"""),"Student")</f>
        <v>Student</v>
      </c>
      <c r="E1075" s="5">
        <f ca="1">IFERROR(__xludf.DUMMYFUNCTION("""COMPUTED_VALUE"""),17)</f>
        <v>17</v>
      </c>
      <c r="F1075" s="5"/>
    </row>
    <row r="1076" spans="1:6">
      <c r="A1076" s="5" t="str">
        <f ca="1">IFERROR(__xludf.DUMMYFUNCTION("""COMPUTED_VALUE"""),"20160908TXALA")</f>
        <v>20160908TXALA</v>
      </c>
      <c r="B1076" s="5" t="str">
        <f ca="1">IFERROR(__xludf.DUMMYFUNCTION("""COMPUTED_VALUE"""),"Wounded")</f>
        <v>Wounded</v>
      </c>
      <c r="C1076" s="5" t="str">
        <f ca="1">IFERROR(__xludf.DUMMYFUNCTION("""COMPUTED_VALUE"""),"Female")</f>
        <v>Female</v>
      </c>
      <c r="D1076" s="5" t="str">
        <f ca="1">IFERROR(__xludf.DUMMYFUNCTION("""COMPUTED_VALUE"""),"Student")</f>
        <v>Student</v>
      </c>
      <c r="E1076" s="5">
        <f ca="1">IFERROR(__xludf.DUMMYFUNCTION("""COMPUTED_VALUE"""),17)</f>
        <v>17</v>
      </c>
      <c r="F1076" s="5"/>
    </row>
    <row r="1077" spans="1:6">
      <c r="A1077" s="5" t="str">
        <f ca="1">IFERROR(__xludf.DUMMYFUNCTION("""COMPUTED_VALUE"""),"20160907MIDED")</f>
        <v>20160907MIDED</v>
      </c>
      <c r="B1077" s="5" t="str">
        <f ca="1">IFERROR(__xludf.DUMMYFUNCTION("""COMPUTED_VALUE"""),"None")</f>
        <v>None</v>
      </c>
      <c r="C1077" s="5" t="str">
        <f ca="1">IFERROR(__xludf.DUMMYFUNCTION("""COMPUTED_VALUE"""),"Male")</f>
        <v>Male</v>
      </c>
      <c r="D1077" s="5" t="str">
        <f ca="1">IFERROR(__xludf.DUMMYFUNCTION("""COMPUTED_VALUE"""),"Principal/Vice-Principal")</f>
        <v>Principal/Vice-Principal</v>
      </c>
      <c r="E1077" s="5" t="str">
        <f ca="1">IFERROR(__xludf.DUMMYFUNCTION("""COMPUTED_VALUE"""),"Adult")</f>
        <v>Adult</v>
      </c>
      <c r="F1077" s="5"/>
    </row>
    <row r="1078" spans="1:6">
      <c r="A1078" s="5" t="str">
        <f ca="1">IFERROR(__xludf.DUMMYFUNCTION("""COMPUTED_VALUE"""),"20160902OKMCT")</f>
        <v>20160902OKMCT</v>
      </c>
      <c r="B1078" s="5" t="str">
        <f ca="1">IFERROR(__xludf.DUMMYFUNCTION("""COMPUTED_VALUE"""),"Wounded")</f>
        <v>Wounded</v>
      </c>
      <c r="C1078" s="5" t="str">
        <f ca="1">IFERROR(__xludf.DUMMYFUNCTION("""COMPUTED_VALUE"""),"Male")</f>
        <v>Male</v>
      </c>
      <c r="D1078" s="5" t="str">
        <f ca="1">IFERROR(__xludf.DUMMYFUNCTION("""COMPUTED_VALUE"""),"Student")</f>
        <v>Student</v>
      </c>
      <c r="E1078" s="5">
        <f ca="1">IFERROR(__xludf.DUMMYFUNCTION("""COMPUTED_VALUE"""),13)</f>
        <v>13</v>
      </c>
      <c r="F1078" s="5"/>
    </row>
    <row r="1079" spans="1:6">
      <c r="A1079" s="5" t="str">
        <f ca="1">IFERROR(__xludf.DUMMYFUNCTION("""COMPUTED_VALUE"""),"20160819FLSOM")</f>
        <v>20160819FLSOM</v>
      </c>
      <c r="B1079" s="5" t="str">
        <f ca="1">IFERROR(__xludf.DUMMYFUNCTION("""COMPUTED_VALUE"""),"None")</f>
        <v>None</v>
      </c>
      <c r="C1079" s="5"/>
      <c r="D1079" s="5"/>
      <c r="E1079" s="5"/>
      <c r="F1079" s="5"/>
    </row>
    <row r="1080" spans="1:6">
      <c r="A1080" s="5" t="str">
        <f ca="1">IFERROR(__xludf.DUMMYFUNCTION("""COMPUTED_VALUE"""),"20160817OHWEC")</f>
        <v>20160817OHWEC</v>
      </c>
      <c r="B1080" s="5" t="str">
        <f ca="1">IFERROR(__xludf.DUMMYFUNCTION("""COMPUTED_VALUE"""),"Wounded")</f>
        <v>Wounded</v>
      </c>
      <c r="C1080" s="5" t="str">
        <f ca="1">IFERROR(__xludf.DUMMYFUNCTION("""COMPUTED_VALUE"""),"Male")</f>
        <v>Male</v>
      </c>
      <c r="D1080" s="5" t="str">
        <f ca="1">IFERROR(__xludf.DUMMYFUNCTION("""COMPUTED_VALUE"""),"No Relation")</f>
        <v>No Relation</v>
      </c>
      <c r="E1080" s="5">
        <f ca="1">IFERROR(__xludf.DUMMYFUNCTION("""COMPUTED_VALUE"""),18)</f>
        <v>18</v>
      </c>
      <c r="F1080" s="5"/>
    </row>
    <row r="1081" spans="1:6">
      <c r="A1081" s="5" t="str">
        <f ca="1">IFERROR(__xludf.DUMMYFUNCTION("""COMPUTED_VALUE"""),"20160817OHWEC")</f>
        <v>20160817OHWEC</v>
      </c>
      <c r="B1081" s="5" t="str">
        <f ca="1">IFERROR(__xludf.DUMMYFUNCTION("""COMPUTED_VALUE"""),"Wounded")</f>
        <v>Wounded</v>
      </c>
      <c r="C1081" s="5" t="str">
        <f ca="1">IFERROR(__xludf.DUMMYFUNCTION("""COMPUTED_VALUE"""),"Male")</f>
        <v>Male</v>
      </c>
      <c r="D1081" s="5" t="str">
        <f ca="1">IFERROR(__xludf.DUMMYFUNCTION("""COMPUTED_VALUE"""),"No Relation")</f>
        <v>No Relation</v>
      </c>
      <c r="E1081" s="5">
        <f ca="1">IFERROR(__xludf.DUMMYFUNCTION("""COMPUTED_VALUE"""),19)</f>
        <v>19</v>
      </c>
      <c r="F1081" s="5"/>
    </row>
    <row r="1082" spans="1:6">
      <c r="A1082" s="5" t="str">
        <f ca="1">IFERROR(__xludf.DUMMYFUNCTION("""COMPUTED_VALUE"""),"20160725MOAVA")</f>
        <v>20160725MOAVA</v>
      </c>
      <c r="B1082" s="5" t="str">
        <f ca="1">IFERROR(__xludf.DUMMYFUNCTION("""COMPUTED_VALUE"""),"Wounded")</f>
        <v>Wounded</v>
      </c>
      <c r="C1082" s="5" t="str">
        <f ca="1">IFERROR(__xludf.DUMMYFUNCTION("""COMPUTED_VALUE"""),"Male")</f>
        <v>Male</v>
      </c>
      <c r="D1082" s="5" t="str">
        <f ca="1">IFERROR(__xludf.DUMMYFUNCTION("""COMPUTED_VALUE"""),"Former Student")</f>
        <v>Former Student</v>
      </c>
      <c r="E1082" s="5">
        <f ca="1">IFERROR(__xludf.DUMMYFUNCTION("""COMPUTED_VALUE"""),18)</f>
        <v>18</v>
      </c>
      <c r="F1082" s="5" t="str">
        <f ca="1">IFERROR(__xludf.DUMMYFUNCTION("""COMPUTED_VALUE"""),"White")</f>
        <v>White</v>
      </c>
    </row>
    <row r="1083" spans="1:6">
      <c r="A1083" s="5" t="str">
        <f ca="1">IFERROR(__xludf.DUMMYFUNCTION("""COMPUTED_VALUE"""),"20160630CAWOH")</f>
        <v>20160630CAWOH</v>
      </c>
      <c r="B1083" s="5" t="str">
        <f ca="1">IFERROR(__xludf.DUMMYFUNCTION("""COMPUTED_VALUE"""),"Wounded")</f>
        <v>Wounded</v>
      </c>
      <c r="C1083" s="5" t="str">
        <f ca="1">IFERROR(__xludf.DUMMYFUNCTION("""COMPUTED_VALUE"""),"Female")</f>
        <v>Female</v>
      </c>
      <c r="D1083" s="5" t="str">
        <f ca="1">IFERROR(__xludf.DUMMYFUNCTION("""COMPUTED_VALUE"""),"No Relation")</f>
        <v>No Relation</v>
      </c>
      <c r="E1083" s="5">
        <f ca="1">IFERROR(__xludf.DUMMYFUNCTION("""COMPUTED_VALUE"""),23)</f>
        <v>23</v>
      </c>
      <c r="F1083" s="5"/>
    </row>
    <row r="1084" spans="1:6">
      <c r="A1084" s="5" t="str">
        <f ca="1">IFERROR(__xludf.DUMMYFUNCTION("""COMPUTED_VALUE"""),"20160616ILMCC")</f>
        <v>20160616ILMCC</v>
      </c>
      <c r="B1084" s="5" t="str">
        <f ca="1">IFERROR(__xludf.DUMMYFUNCTION("""COMPUTED_VALUE"""),"Fatal")</f>
        <v>Fatal</v>
      </c>
      <c r="C1084" s="5" t="str">
        <f ca="1">IFERROR(__xludf.DUMMYFUNCTION("""COMPUTED_VALUE"""),"Male")</f>
        <v>Male</v>
      </c>
      <c r="D1084" s="5" t="str">
        <f ca="1">IFERROR(__xludf.DUMMYFUNCTION("""COMPUTED_VALUE"""),"Other Staff")</f>
        <v>Other Staff</v>
      </c>
      <c r="E1084" s="5">
        <f ca="1">IFERROR(__xludf.DUMMYFUNCTION("""COMPUTED_VALUE"""),25)</f>
        <v>25</v>
      </c>
      <c r="F1084" s="5" t="str">
        <f ca="1">IFERROR(__xludf.DUMMYFUNCTION("""COMPUTED_VALUE"""),"Black")</f>
        <v>Black</v>
      </c>
    </row>
    <row r="1085" spans="1:6">
      <c r="A1085" s="5" t="str">
        <f ca="1">IFERROR(__xludf.DUMMYFUNCTION("""COMPUTED_VALUE"""),"20160608MAJED")</f>
        <v>20160608MAJED</v>
      </c>
      <c r="B1085" s="5" t="str">
        <f ca="1">IFERROR(__xludf.DUMMYFUNCTION("""COMPUTED_VALUE"""),"Wounded")</f>
        <v>Wounded</v>
      </c>
      <c r="C1085" s="5" t="str">
        <f ca="1">IFERROR(__xludf.DUMMYFUNCTION("""COMPUTED_VALUE"""),"Female")</f>
        <v>Female</v>
      </c>
      <c r="D1085" s="5" t="str">
        <f ca="1">IFERROR(__xludf.DUMMYFUNCTION("""COMPUTED_VALUE"""),"Unknown")</f>
        <v>Unknown</v>
      </c>
      <c r="E1085" s="5">
        <f ca="1">IFERROR(__xludf.DUMMYFUNCTION("""COMPUTED_VALUE"""),67)</f>
        <v>67</v>
      </c>
      <c r="F1085" s="5"/>
    </row>
    <row r="1086" spans="1:6">
      <c r="A1086" s="5" t="str">
        <f ca="1">IFERROR(__xludf.DUMMYFUNCTION("""COMPUTED_VALUE"""),"20160608MAJED")</f>
        <v>20160608MAJED</v>
      </c>
      <c r="B1086" s="5" t="str">
        <f ca="1">IFERROR(__xludf.DUMMYFUNCTION("""COMPUTED_VALUE"""),"Fatal")</f>
        <v>Fatal</v>
      </c>
      <c r="C1086" s="5" t="str">
        <f ca="1">IFERROR(__xludf.DUMMYFUNCTION("""COMPUTED_VALUE"""),"Male")</f>
        <v>Male</v>
      </c>
      <c r="D1086" s="5" t="str">
        <f ca="1">IFERROR(__xludf.DUMMYFUNCTION("""COMPUTED_VALUE"""),"Student")</f>
        <v>Student</v>
      </c>
      <c r="E1086" s="5">
        <f ca="1">IFERROR(__xludf.DUMMYFUNCTION("""COMPUTED_VALUE"""),17)</f>
        <v>17</v>
      </c>
      <c r="F1086" s="5" t="str">
        <f ca="1">IFERROR(__xludf.DUMMYFUNCTION("""COMPUTED_VALUE"""),"Black")</f>
        <v>Black</v>
      </c>
    </row>
    <row r="1087" spans="1:6">
      <c r="A1087" s="5" t="str">
        <f ca="1">IFERROR(__xludf.DUMMYFUNCTION("""COMPUTED_VALUE"""),"20160608MAJED")</f>
        <v>20160608MAJED</v>
      </c>
      <c r="B1087" s="5" t="str">
        <f ca="1">IFERROR(__xludf.DUMMYFUNCTION("""COMPUTED_VALUE"""),"Wounded")</f>
        <v>Wounded</v>
      </c>
      <c r="C1087" s="5" t="str">
        <f ca="1">IFERROR(__xludf.DUMMYFUNCTION("""COMPUTED_VALUE"""),"Male")</f>
        <v>Male</v>
      </c>
      <c r="D1087" s="5" t="str">
        <f ca="1">IFERROR(__xludf.DUMMYFUNCTION("""COMPUTED_VALUE"""),"Student")</f>
        <v>Student</v>
      </c>
      <c r="E1087" s="5" t="str">
        <f ca="1">IFERROR(__xludf.DUMMYFUNCTION("""COMPUTED_VALUE"""),"Teen")</f>
        <v>Teen</v>
      </c>
      <c r="F1087" s="5"/>
    </row>
    <row r="1088" spans="1:6">
      <c r="A1088" s="5" t="str">
        <f ca="1">IFERROR(__xludf.DUMMYFUNCTION("""COMPUTED_VALUE"""),"20160608MAJED")</f>
        <v>20160608MAJED</v>
      </c>
      <c r="B1088" s="5" t="str">
        <f ca="1">IFERROR(__xludf.DUMMYFUNCTION("""COMPUTED_VALUE"""),"Wounded")</f>
        <v>Wounded</v>
      </c>
      <c r="C1088" s="5" t="str">
        <f ca="1">IFERROR(__xludf.DUMMYFUNCTION("""COMPUTED_VALUE"""),"Male")</f>
        <v>Male</v>
      </c>
      <c r="D1088" s="5" t="str">
        <f ca="1">IFERROR(__xludf.DUMMYFUNCTION("""COMPUTED_VALUE"""),"Student")</f>
        <v>Student</v>
      </c>
      <c r="E1088" s="5" t="str">
        <f ca="1">IFERROR(__xludf.DUMMYFUNCTION("""COMPUTED_VALUE"""),"Teen")</f>
        <v>Teen</v>
      </c>
      <c r="F1088" s="5"/>
    </row>
    <row r="1089" spans="1:6">
      <c r="A1089" s="5" t="str">
        <f ca="1">IFERROR(__xludf.DUMMYFUNCTION("""COMPUTED_VALUE"""),"20160515KSAUA")</f>
        <v>20160515KSAUA</v>
      </c>
      <c r="B1089" s="5" t="str">
        <f ca="1">IFERROR(__xludf.DUMMYFUNCTION("""COMPUTED_VALUE"""),"Wounded")</f>
        <v>Wounded</v>
      </c>
      <c r="C1089" s="5" t="str">
        <f ca="1">IFERROR(__xludf.DUMMYFUNCTION("""COMPUTED_VALUE"""),"Female")</f>
        <v>Female</v>
      </c>
      <c r="D1089" s="5" t="str">
        <f ca="1">IFERROR(__xludf.DUMMYFUNCTION("""COMPUTED_VALUE"""),"Relative")</f>
        <v>Relative</v>
      </c>
      <c r="E1089" s="5">
        <f ca="1">IFERROR(__xludf.DUMMYFUNCTION("""COMPUTED_VALUE"""),28)</f>
        <v>28</v>
      </c>
      <c r="F1089" s="5"/>
    </row>
    <row r="1090" spans="1:6">
      <c r="A1090" s="5" t="str">
        <f ca="1">IFERROR(__xludf.DUMMYFUNCTION("""COMPUTED_VALUE"""),"20160513SCSOG")</f>
        <v>20160513SCSOG</v>
      </c>
      <c r="B1090" s="5" t="str">
        <f ca="1">IFERROR(__xludf.DUMMYFUNCTION("""COMPUTED_VALUE"""),"None")</f>
        <v>None</v>
      </c>
      <c r="C1090" s="5" t="str">
        <f ca="1">IFERROR(__xludf.DUMMYFUNCTION("""COMPUTED_VALUE"""),"Male")</f>
        <v>Male</v>
      </c>
      <c r="D1090" s="5" t="str">
        <f ca="1">IFERROR(__xludf.DUMMYFUNCTION("""COMPUTED_VALUE"""),"Student")</f>
        <v>Student</v>
      </c>
      <c r="E1090" s="5">
        <f ca="1">IFERROR(__xludf.DUMMYFUNCTION("""COMPUTED_VALUE"""),16)</f>
        <v>16</v>
      </c>
      <c r="F1090" s="5"/>
    </row>
    <row r="1091" spans="1:6">
      <c r="A1091" s="5" t="str">
        <f ca="1">IFERROR(__xludf.DUMMYFUNCTION("""COMPUTED_VALUE"""),"20160506IDROT")</f>
        <v>20160506IDROT</v>
      </c>
      <c r="B1091" s="5" t="str">
        <f ca="1">IFERROR(__xludf.DUMMYFUNCTION("""COMPUTED_VALUE"""),"None")</f>
        <v>None</v>
      </c>
      <c r="C1091" s="5"/>
      <c r="D1091" s="5"/>
      <c r="E1091" s="5"/>
      <c r="F1091" s="5"/>
    </row>
    <row r="1092" spans="1:6">
      <c r="A1092" s="5" t="str">
        <f ca="1">IFERROR(__xludf.DUMMYFUNCTION("""COMPUTED_VALUE"""),"20160506FLOSP")</f>
        <v>20160506FLOSP</v>
      </c>
      <c r="B1092" s="5" t="str">
        <f ca="1">IFERROR(__xludf.DUMMYFUNCTION("""COMPUTED_VALUE"""),"None")</f>
        <v>None</v>
      </c>
      <c r="C1092" s="5" t="str">
        <f ca="1">IFERROR(__xludf.DUMMYFUNCTION("""COMPUTED_VALUE"""),"Male")</f>
        <v>Male</v>
      </c>
      <c r="D1092" s="5" t="str">
        <f ca="1">IFERROR(__xludf.DUMMYFUNCTION("""COMPUTED_VALUE"""),"No Relation")</f>
        <v>No Relation</v>
      </c>
      <c r="E1092" s="5">
        <f ca="1">IFERROR(__xludf.DUMMYFUNCTION("""COMPUTED_VALUE"""),28)</f>
        <v>28</v>
      </c>
      <c r="F1092" s="5"/>
    </row>
    <row r="1093" spans="1:6">
      <c r="A1093" s="5" t="str">
        <f ca="1">IFERROR(__xludf.DUMMYFUNCTION("""COMPUTED_VALUE"""),"20160505MDHIB")</f>
        <v>20160505MDHIB</v>
      </c>
      <c r="B1093" s="5" t="str">
        <f ca="1">IFERROR(__xludf.DUMMYFUNCTION("""COMPUTED_VALUE"""),"Wounded")</f>
        <v>Wounded</v>
      </c>
      <c r="C1093" s="5" t="str">
        <f ca="1">IFERROR(__xludf.DUMMYFUNCTION("""COMPUTED_VALUE"""),"Male")</f>
        <v>Male</v>
      </c>
      <c r="D1093" s="5" t="str">
        <f ca="1">IFERROR(__xludf.DUMMYFUNCTION("""COMPUTED_VALUE"""),"Parent")</f>
        <v>Parent</v>
      </c>
      <c r="E1093" s="5" t="str">
        <f ca="1">IFERROR(__xludf.DUMMYFUNCTION("""COMPUTED_VALUE"""),"Adult")</f>
        <v>Adult</v>
      </c>
      <c r="F1093" s="5" t="str">
        <f ca="1">IFERROR(__xludf.DUMMYFUNCTION("""COMPUTED_VALUE"""),"White")</f>
        <v>White</v>
      </c>
    </row>
    <row r="1094" spans="1:6">
      <c r="A1094" s="5" t="str">
        <f ca="1">IFERROR(__xludf.DUMMYFUNCTION("""COMPUTED_VALUE"""),"20160505MDHIB")</f>
        <v>20160505MDHIB</v>
      </c>
      <c r="B1094" s="5" t="str">
        <f ca="1">IFERROR(__xludf.DUMMYFUNCTION("""COMPUTED_VALUE"""),"Fatal")</f>
        <v>Fatal</v>
      </c>
      <c r="C1094" s="5" t="str">
        <f ca="1">IFERROR(__xludf.DUMMYFUNCTION("""COMPUTED_VALUE"""),"Female")</f>
        <v>Female</v>
      </c>
      <c r="D1094" s="5" t="str">
        <f ca="1">IFERROR(__xludf.DUMMYFUNCTION("""COMPUTED_VALUE"""),"Parent")</f>
        <v>Parent</v>
      </c>
      <c r="E1094" s="5">
        <f ca="1">IFERROR(__xludf.DUMMYFUNCTION("""COMPUTED_VALUE"""),44)</f>
        <v>44</v>
      </c>
      <c r="F1094" s="5" t="str">
        <f ca="1">IFERROR(__xludf.DUMMYFUNCTION("""COMPUTED_VALUE"""),"White")</f>
        <v>White</v>
      </c>
    </row>
    <row r="1095" spans="1:6">
      <c r="A1095" s="5" t="str">
        <f ca="1">IFERROR(__xludf.DUMMYFUNCTION("""COMPUTED_VALUE"""),"20160504COEAP")</f>
        <v>20160504COEAP</v>
      </c>
      <c r="B1095" s="5" t="str">
        <f ca="1">IFERROR(__xludf.DUMMYFUNCTION("""COMPUTED_VALUE"""),"Wounded")</f>
        <v>Wounded</v>
      </c>
      <c r="C1095" s="5" t="str">
        <f ca="1">IFERROR(__xludf.DUMMYFUNCTION("""COMPUTED_VALUE"""),"Female")</f>
        <v>Female</v>
      </c>
      <c r="D1095" s="5" t="str">
        <f ca="1">IFERROR(__xludf.DUMMYFUNCTION("""COMPUTED_VALUE"""),"Teacher")</f>
        <v>Teacher</v>
      </c>
      <c r="E1095" s="5" t="str">
        <f ca="1">IFERROR(__xludf.DUMMYFUNCTION("""COMPUTED_VALUE"""),"Adult")</f>
        <v>Adult</v>
      </c>
      <c r="F1095" s="5"/>
    </row>
    <row r="1096" spans="1:6">
      <c r="A1096" s="5" t="str">
        <f ca="1">IFERROR(__xludf.DUMMYFUNCTION("""COMPUTED_VALUE"""),"20160502TXKID")</f>
        <v>20160502TXKID</v>
      </c>
      <c r="B1096" s="5" t="str">
        <f ca="1">IFERROR(__xludf.DUMMYFUNCTION("""COMPUTED_VALUE"""),"None")</f>
        <v>None</v>
      </c>
      <c r="C1096" s="5" t="str">
        <f ca="1">IFERROR(__xludf.DUMMYFUNCTION("""COMPUTED_VALUE"""),"Male")</f>
        <v>Male</v>
      </c>
      <c r="D1096" s="5" t="str">
        <f ca="1">IFERROR(__xludf.DUMMYFUNCTION("""COMPUTED_VALUE"""),"Student")</f>
        <v>Student</v>
      </c>
      <c r="E1096" s="5">
        <f ca="1">IFERROR(__xludf.DUMMYFUNCTION("""COMPUTED_VALUE"""),15)</f>
        <v>15</v>
      </c>
      <c r="F1096" s="5" t="str">
        <f ca="1">IFERROR(__xludf.DUMMYFUNCTION("""COMPUTED_VALUE"""),"Black")</f>
        <v>Black</v>
      </c>
    </row>
    <row r="1097" spans="1:6">
      <c r="A1097" s="5" t="str">
        <f ca="1">IFERROR(__xludf.DUMMYFUNCTION("""COMPUTED_VALUE"""),"20160423WIANA")</f>
        <v>20160423WIANA</v>
      </c>
      <c r="B1097" s="5" t="str">
        <f ca="1">IFERROR(__xludf.DUMMYFUNCTION("""COMPUTED_VALUE"""),"Wounded")</f>
        <v>Wounded</v>
      </c>
      <c r="C1097" s="5" t="str">
        <f ca="1">IFERROR(__xludf.DUMMYFUNCTION("""COMPUTED_VALUE"""),"Male")</f>
        <v>Male</v>
      </c>
      <c r="D1097" s="5" t="str">
        <f ca="1">IFERROR(__xludf.DUMMYFUNCTION("""COMPUTED_VALUE"""),"Student")</f>
        <v>Student</v>
      </c>
      <c r="E1097" s="5" t="str">
        <f ca="1">IFERROR(__xludf.DUMMYFUNCTION("""COMPUTED_VALUE"""),"Teen")</f>
        <v>Teen</v>
      </c>
      <c r="F1097" s="5"/>
    </row>
    <row r="1098" spans="1:6">
      <c r="A1098" s="5" t="str">
        <f ca="1">IFERROR(__xludf.DUMMYFUNCTION("""COMPUTED_VALUE"""),"20160423WIANA")</f>
        <v>20160423WIANA</v>
      </c>
      <c r="B1098" s="5" t="str">
        <f ca="1">IFERROR(__xludf.DUMMYFUNCTION("""COMPUTED_VALUE"""),"Wounded")</f>
        <v>Wounded</v>
      </c>
      <c r="C1098" s="5" t="str">
        <f ca="1">IFERROR(__xludf.DUMMYFUNCTION("""COMPUTED_VALUE"""),"Female")</f>
        <v>Female</v>
      </c>
      <c r="D1098" s="5" t="str">
        <f ca="1">IFERROR(__xludf.DUMMYFUNCTION("""COMPUTED_VALUE"""),"Student")</f>
        <v>Student</v>
      </c>
      <c r="E1098" s="5" t="str">
        <f ca="1">IFERROR(__xludf.DUMMYFUNCTION("""COMPUTED_VALUE"""),"Teen")</f>
        <v>Teen</v>
      </c>
      <c r="F1098" s="5"/>
    </row>
    <row r="1099" spans="1:6">
      <c r="A1099" s="5" t="str">
        <f ca="1">IFERROR(__xludf.DUMMYFUNCTION("""COMPUTED_VALUE"""),"20160315ALHUB")</f>
        <v>20160315ALHUB</v>
      </c>
      <c r="B1099" s="5" t="str">
        <f ca="1">IFERROR(__xludf.DUMMYFUNCTION("""COMPUTED_VALUE"""),"Wounded")</f>
        <v>Wounded</v>
      </c>
      <c r="C1099" s="5" t="str">
        <f ca="1">IFERROR(__xludf.DUMMYFUNCTION("""COMPUTED_VALUE"""),"Male")</f>
        <v>Male</v>
      </c>
      <c r="D1099" s="5" t="str">
        <f ca="1">IFERROR(__xludf.DUMMYFUNCTION("""COMPUTED_VALUE"""),"Student")</f>
        <v>Student</v>
      </c>
      <c r="E1099" s="5" t="str">
        <f ca="1">IFERROR(__xludf.DUMMYFUNCTION("""COMPUTED_VALUE"""),"Teen")</f>
        <v>Teen</v>
      </c>
      <c r="F1099" s="5"/>
    </row>
    <row r="1100" spans="1:6">
      <c r="A1100" s="5" t="str">
        <f ca="1">IFERROR(__xludf.DUMMYFUNCTION("""COMPUTED_VALUE"""),"20160229OHMAM")</f>
        <v>20160229OHMAM</v>
      </c>
      <c r="B1100" s="5" t="str">
        <f ca="1">IFERROR(__xludf.DUMMYFUNCTION("""COMPUTED_VALUE"""),"Wounded")</f>
        <v>Wounded</v>
      </c>
      <c r="C1100" s="5" t="str">
        <f ca="1">IFERROR(__xludf.DUMMYFUNCTION("""COMPUTED_VALUE"""),"Female")</f>
        <v>Female</v>
      </c>
      <c r="D1100" s="5" t="str">
        <f ca="1">IFERROR(__xludf.DUMMYFUNCTION("""COMPUTED_VALUE"""),"Student")</f>
        <v>Student</v>
      </c>
      <c r="E1100" s="5">
        <f ca="1">IFERROR(__xludf.DUMMYFUNCTION("""COMPUTED_VALUE"""),14)</f>
        <v>14</v>
      </c>
      <c r="F1100" s="5"/>
    </row>
    <row r="1101" spans="1:6">
      <c r="A1101" s="5" t="str">
        <f ca="1">IFERROR(__xludf.DUMMYFUNCTION("""COMPUTED_VALUE"""),"20160229OHMAM")</f>
        <v>20160229OHMAM</v>
      </c>
      <c r="B1101" s="5" t="str">
        <f ca="1">IFERROR(__xludf.DUMMYFUNCTION("""COMPUTED_VALUE"""),"Wounded")</f>
        <v>Wounded</v>
      </c>
      <c r="C1101" s="5" t="str">
        <f ca="1">IFERROR(__xludf.DUMMYFUNCTION("""COMPUTED_VALUE"""),"Male")</f>
        <v>Male</v>
      </c>
      <c r="D1101" s="5" t="str">
        <f ca="1">IFERROR(__xludf.DUMMYFUNCTION("""COMPUTED_VALUE"""),"Student")</f>
        <v>Student</v>
      </c>
      <c r="E1101" s="5">
        <f ca="1">IFERROR(__xludf.DUMMYFUNCTION("""COMPUTED_VALUE"""),14)</f>
        <v>14</v>
      </c>
      <c r="F1101" s="5"/>
    </row>
    <row r="1102" spans="1:6">
      <c r="A1102" s="5" t="str">
        <f ca="1">IFERROR(__xludf.DUMMYFUNCTION("""COMPUTED_VALUE"""),"20160229OHMAM")</f>
        <v>20160229OHMAM</v>
      </c>
      <c r="B1102" s="5" t="str">
        <f ca="1">IFERROR(__xludf.DUMMYFUNCTION("""COMPUTED_VALUE"""),"Wounded")</f>
        <v>Wounded</v>
      </c>
      <c r="C1102" s="5" t="str">
        <f ca="1">IFERROR(__xludf.DUMMYFUNCTION("""COMPUTED_VALUE"""),"Male")</f>
        <v>Male</v>
      </c>
      <c r="D1102" s="5" t="str">
        <f ca="1">IFERROR(__xludf.DUMMYFUNCTION("""COMPUTED_VALUE"""),"Student")</f>
        <v>Student</v>
      </c>
      <c r="E1102" s="5">
        <f ca="1">IFERROR(__xludf.DUMMYFUNCTION("""COMPUTED_VALUE"""),14)</f>
        <v>14</v>
      </c>
      <c r="F1102" s="5"/>
    </row>
    <row r="1103" spans="1:6">
      <c r="A1103" s="5" t="str">
        <f ca="1">IFERROR(__xludf.DUMMYFUNCTION("""COMPUTED_VALUE"""),"20160229OHMAM")</f>
        <v>20160229OHMAM</v>
      </c>
      <c r="B1103" s="5" t="str">
        <f ca="1">IFERROR(__xludf.DUMMYFUNCTION("""COMPUTED_VALUE"""),"Wounded")</f>
        <v>Wounded</v>
      </c>
      <c r="C1103" s="5" t="str">
        <f ca="1">IFERROR(__xludf.DUMMYFUNCTION("""COMPUTED_VALUE"""),"Male")</f>
        <v>Male</v>
      </c>
      <c r="D1103" s="5" t="str">
        <f ca="1">IFERROR(__xludf.DUMMYFUNCTION("""COMPUTED_VALUE"""),"Student")</f>
        <v>Student</v>
      </c>
      <c r="E1103" s="5">
        <f ca="1">IFERROR(__xludf.DUMMYFUNCTION("""COMPUTED_VALUE"""),15)</f>
        <v>15</v>
      </c>
      <c r="F1103" s="5"/>
    </row>
    <row r="1104" spans="1:6">
      <c r="A1104" s="5" t="str">
        <f ca="1">IFERROR(__xludf.DUMMYFUNCTION("""COMPUTED_VALUE"""),"20160226TXPAP")</f>
        <v>20160226TXPAP</v>
      </c>
      <c r="B1104" s="5" t="str">
        <f ca="1">IFERROR(__xludf.DUMMYFUNCTION("""COMPUTED_VALUE"""),"Wounded")</f>
        <v>Wounded</v>
      </c>
      <c r="C1104" s="5" t="str">
        <f ca="1">IFERROR(__xludf.DUMMYFUNCTION("""COMPUTED_VALUE"""),"Male")</f>
        <v>Male</v>
      </c>
      <c r="D1104" s="5" t="str">
        <f ca="1">IFERROR(__xludf.DUMMYFUNCTION("""COMPUTED_VALUE"""),"Nonstudent Using Athletic Facilities/Attending Game")</f>
        <v>Nonstudent Using Athletic Facilities/Attending Game</v>
      </c>
      <c r="E1104" s="5">
        <f ca="1">IFERROR(__xludf.DUMMYFUNCTION("""COMPUTED_VALUE"""),63)</f>
        <v>63</v>
      </c>
      <c r="F1104" s="5"/>
    </row>
    <row r="1105" spans="1:6">
      <c r="A1105" s="5" t="str">
        <f ca="1">IFERROR(__xludf.DUMMYFUNCTION("""COMPUTED_VALUE"""),"20160226TXPAP")</f>
        <v>20160226TXPAP</v>
      </c>
      <c r="B1105" s="5" t="str">
        <f ca="1">IFERROR(__xludf.DUMMYFUNCTION("""COMPUTED_VALUE"""),"Wounded")</f>
        <v>Wounded</v>
      </c>
      <c r="C1105" s="5" t="str">
        <f ca="1">IFERROR(__xludf.DUMMYFUNCTION("""COMPUTED_VALUE"""),"Female")</f>
        <v>Female</v>
      </c>
      <c r="D1105" s="5" t="str">
        <f ca="1">IFERROR(__xludf.DUMMYFUNCTION("""COMPUTED_VALUE"""),"Nonstudent Using Athletic Facilities/Attending Game")</f>
        <v>Nonstudent Using Athletic Facilities/Attending Game</v>
      </c>
      <c r="E1105" s="5">
        <f ca="1">IFERROR(__xludf.DUMMYFUNCTION("""COMPUTED_VALUE"""),59)</f>
        <v>59</v>
      </c>
      <c r="F1105" s="5"/>
    </row>
    <row r="1106" spans="1:6">
      <c r="A1106" s="5" t="str">
        <f ca="1">IFERROR(__xludf.DUMMYFUNCTION("""COMPUTED_VALUE"""),"20160217PACHC")</f>
        <v>20160217PACHC</v>
      </c>
      <c r="B1106" s="5" t="str">
        <f ca="1">IFERROR(__xludf.DUMMYFUNCTION("""COMPUTED_VALUE"""),"Wounded")</f>
        <v>Wounded</v>
      </c>
      <c r="C1106" s="5" t="str">
        <f ca="1">IFERROR(__xludf.DUMMYFUNCTION("""COMPUTED_VALUE"""),"Male")</f>
        <v>Male</v>
      </c>
      <c r="D1106" s="5" t="str">
        <f ca="1">IFERROR(__xludf.DUMMYFUNCTION("""COMPUTED_VALUE"""),"Student")</f>
        <v>Student</v>
      </c>
      <c r="E1106" s="5">
        <f ca="1">IFERROR(__xludf.DUMMYFUNCTION("""COMPUTED_VALUE"""),16)</f>
        <v>16</v>
      </c>
      <c r="F1106" s="5"/>
    </row>
    <row r="1107" spans="1:6">
      <c r="A1107" s="5" t="str">
        <f ca="1">IFERROR(__xludf.DUMMYFUNCTION("""COMPUTED_VALUE"""),"20160217FLROH")</f>
        <v>20160217FLROH</v>
      </c>
      <c r="B1107" s="5" t="str">
        <f ca="1">IFERROR(__xludf.DUMMYFUNCTION("""COMPUTED_VALUE"""),"None")</f>
        <v>None</v>
      </c>
      <c r="C1107" s="5"/>
      <c r="D1107" s="5"/>
      <c r="E1107" s="5"/>
      <c r="F1107" s="5"/>
    </row>
    <row r="1108" spans="1:6">
      <c r="A1108" s="5" t="str">
        <f ca="1">IFERROR(__xludf.DUMMYFUNCTION("""COMPUTED_VALUE"""),"20160212AZING")</f>
        <v>20160212AZING</v>
      </c>
      <c r="B1108" s="5" t="str">
        <f ca="1">IFERROR(__xludf.DUMMYFUNCTION("""COMPUTED_VALUE"""),"Fatal")</f>
        <v>Fatal</v>
      </c>
      <c r="C1108" s="5" t="str">
        <f ca="1">IFERROR(__xludf.DUMMYFUNCTION("""COMPUTED_VALUE"""),"Female")</f>
        <v>Female</v>
      </c>
      <c r="D1108" s="5" t="str">
        <f ca="1">IFERROR(__xludf.DUMMYFUNCTION("""COMPUTED_VALUE"""),"Student")</f>
        <v>Student</v>
      </c>
      <c r="E1108" s="5">
        <f ca="1">IFERROR(__xludf.DUMMYFUNCTION("""COMPUTED_VALUE"""),15)</f>
        <v>15</v>
      </c>
      <c r="F1108" s="5" t="str">
        <f ca="1">IFERROR(__xludf.DUMMYFUNCTION("""COMPUTED_VALUE"""),"Hispanic")</f>
        <v>Hispanic</v>
      </c>
    </row>
    <row r="1109" spans="1:6">
      <c r="A1109" s="5" t="str">
        <f ca="1">IFERROR(__xludf.DUMMYFUNCTION("""COMPUTED_VALUE"""),"20160209MIMUM")</f>
        <v>20160209MIMUM</v>
      </c>
      <c r="B1109" s="5" t="str">
        <f ca="1">IFERROR(__xludf.DUMMYFUNCTION("""COMPUTED_VALUE"""),"Wounded")</f>
        <v>Wounded</v>
      </c>
      <c r="C1109" s="5" t="str">
        <f ca="1">IFERROR(__xludf.DUMMYFUNCTION("""COMPUTED_VALUE"""),"Male")</f>
        <v>Male</v>
      </c>
      <c r="D1109" s="5" t="str">
        <f ca="1">IFERROR(__xludf.DUMMYFUNCTION("""COMPUTED_VALUE"""),"Student")</f>
        <v>Student</v>
      </c>
      <c r="E1109" s="5" t="str">
        <f ca="1">IFERROR(__xludf.DUMMYFUNCTION("""COMPUTED_VALUE"""),"Teen")</f>
        <v>Teen</v>
      </c>
      <c r="F1109" s="5"/>
    </row>
    <row r="1110" spans="1:6">
      <c r="A1110" s="5" t="str">
        <f ca="1">IFERROR(__xludf.DUMMYFUNCTION("""COMPUTED_VALUE"""),"20160209MIMUM")</f>
        <v>20160209MIMUM</v>
      </c>
      <c r="B1110" s="5" t="str">
        <f ca="1">IFERROR(__xludf.DUMMYFUNCTION("""COMPUTED_VALUE"""),"Wounded")</f>
        <v>Wounded</v>
      </c>
      <c r="C1110" s="5" t="str">
        <f ca="1">IFERROR(__xludf.DUMMYFUNCTION("""COMPUTED_VALUE"""),"Female")</f>
        <v>Female</v>
      </c>
      <c r="D1110" s="5" t="str">
        <f ca="1">IFERROR(__xludf.DUMMYFUNCTION("""COMPUTED_VALUE"""),"Student")</f>
        <v>Student</v>
      </c>
      <c r="E1110" s="5" t="str">
        <f ca="1">IFERROR(__xludf.DUMMYFUNCTION("""COMPUTED_VALUE"""),"Teen")</f>
        <v>Teen</v>
      </c>
      <c r="F1110" s="5"/>
    </row>
    <row r="1111" spans="1:6">
      <c r="A1111" s="5" t="str">
        <f ca="1">IFERROR(__xludf.DUMMYFUNCTION("""COMPUTED_VALUE"""),"20160209MIMUM")</f>
        <v>20160209MIMUM</v>
      </c>
      <c r="B1111" s="5" t="str">
        <f ca="1">IFERROR(__xludf.DUMMYFUNCTION("""COMPUTED_VALUE"""),"Wounded")</f>
        <v>Wounded</v>
      </c>
      <c r="C1111" s="5" t="str">
        <f ca="1">IFERROR(__xludf.DUMMYFUNCTION("""COMPUTED_VALUE"""),"Male")</f>
        <v>Male</v>
      </c>
      <c r="D1111" s="5" t="str">
        <f ca="1">IFERROR(__xludf.DUMMYFUNCTION("""COMPUTED_VALUE"""),"Student")</f>
        <v>Student</v>
      </c>
      <c r="E1111" s="5" t="str">
        <f ca="1">IFERROR(__xludf.DUMMYFUNCTION("""COMPUTED_VALUE"""),"Teen")</f>
        <v>Teen</v>
      </c>
      <c r="F1111" s="5"/>
    </row>
    <row r="1112" spans="1:6">
      <c r="A1112" s="5" t="str">
        <f ca="1">IFERROR(__xludf.DUMMYFUNCTION("""COMPUTED_VALUE"""),"20160129PABEP")</f>
        <v>20160129PABEP</v>
      </c>
      <c r="B1112" s="5" t="str">
        <f ca="1">IFERROR(__xludf.DUMMYFUNCTION("""COMPUTED_VALUE"""),"None")</f>
        <v>None</v>
      </c>
      <c r="C1112" s="5"/>
      <c r="D1112" s="5"/>
      <c r="E1112" s="5"/>
      <c r="F1112" s="5"/>
    </row>
    <row r="1113" spans="1:6">
      <c r="A1113" s="5" t="str">
        <f ca="1">IFERROR(__xludf.DUMMYFUNCTION("""COMPUTED_VALUE"""),"20160122INLAI")</f>
        <v>20160122INLAI</v>
      </c>
      <c r="B1113" s="5" t="str">
        <f ca="1">IFERROR(__xludf.DUMMYFUNCTION("""COMPUTED_VALUE"""),"Wounded")</f>
        <v>Wounded</v>
      </c>
      <c r="C1113" s="5" t="str">
        <f ca="1">IFERROR(__xludf.DUMMYFUNCTION("""COMPUTED_VALUE"""),"Male")</f>
        <v>Male</v>
      </c>
      <c r="D1113" s="5" t="str">
        <f ca="1">IFERROR(__xludf.DUMMYFUNCTION("""COMPUTED_VALUE"""),"Student")</f>
        <v>Student</v>
      </c>
      <c r="E1113" s="5">
        <f ca="1">IFERROR(__xludf.DUMMYFUNCTION("""COMPUTED_VALUE"""),15)</f>
        <v>15</v>
      </c>
      <c r="F1113" s="5"/>
    </row>
    <row r="1114" spans="1:6">
      <c r="A1114" s="5" t="str">
        <f ca="1">IFERROR(__xludf.DUMMYFUNCTION("""COMPUTED_VALUE"""),"20160120INNOI")</f>
        <v>20160120INNOI</v>
      </c>
      <c r="B1114" s="5" t="str">
        <f ca="1">IFERROR(__xludf.DUMMYFUNCTION("""COMPUTED_VALUE"""),"None")</f>
        <v>None</v>
      </c>
      <c r="C1114" s="5"/>
      <c r="D1114" s="5"/>
      <c r="E1114" s="5"/>
      <c r="F1114" s="5"/>
    </row>
    <row r="1115" spans="1:6">
      <c r="A1115" s="5" t="str">
        <f ca="1">IFERROR(__xludf.DUMMYFUNCTION("""COMPUTED_VALUE"""),"20160113ARHAB")</f>
        <v>20160113ARHAB</v>
      </c>
      <c r="B1115" s="5" t="str">
        <f ca="1">IFERROR(__xludf.DUMMYFUNCTION("""COMPUTED_VALUE"""),"Wounded")</f>
        <v>Wounded</v>
      </c>
      <c r="C1115" s="5" t="str">
        <f ca="1">IFERROR(__xludf.DUMMYFUNCTION("""COMPUTED_VALUE"""),"Male")</f>
        <v>Male</v>
      </c>
      <c r="D1115" s="5" t="str">
        <f ca="1">IFERROR(__xludf.DUMMYFUNCTION("""COMPUTED_VALUE"""),"Student")</f>
        <v>Student</v>
      </c>
      <c r="E1115" s="5">
        <f ca="1">IFERROR(__xludf.DUMMYFUNCTION("""COMPUTED_VALUE"""),18)</f>
        <v>18</v>
      </c>
      <c r="F1115" s="5"/>
    </row>
    <row r="1116" spans="1:6">
      <c r="A1116" s="5" t="str">
        <f ca="1">IFERROR(__xludf.DUMMYFUNCTION("""COMPUTED_VALUE"""),"20160112DECED")</f>
        <v>20160112DECED</v>
      </c>
      <c r="B1116" s="5" t="str">
        <f ca="1">IFERROR(__xludf.DUMMYFUNCTION("""COMPUTED_VALUE"""),"None")</f>
        <v>None</v>
      </c>
      <c r="C1116" s="5"/>
      <c r="D1116" s="5"/>
      <c r="E1116" s="5"/>
      <c r="F1116" s="5"/>
    </row>
    <row r="1117" spans="1:6">
      <c r="A1117" s="5" t="str">
        <f ca="1">IFERROR(__xludf.DUMMYFUNCTION("""COMPUTED_VALUE"""),"20151204KSWEW")</f>
        <v>20151204KSWEW</v>
      </c>
      <c r="B1117" s="5" t="str">
        <f ca="1">IFERROR(__xludf.DUMMYFUNCTION("""COMPUTED_VALUE"""),"Wounded")</f>
        <v>Wounded</v>
      </c>
      <c r="C1117" s="5" t="str">
        <f ca="1">IFERROR(__xludf.DUMMYFUNCTION("""COMPUTED_VALUE"""),"Male")</f>
        <v>Male</v>
      </c>
      <c r="D1117" s="5" t="str">
        <f ca="1">IFERROR(__xludf.DUMMYFUNCTION("""COMPUTED_VALUE"""),"Student")</f>
        <v>Student</v>
      </c>
      <c r="E1117" s="5">
        <f ca="1">IFERROR(__xludf.DUMMYFUNCTION("""COMPUTED_VALUE"""),17)</f>
        <v>17</v>
      </c>
      <c r="F1117" s="5" t="str">
        <f ca="1">IFERROR(__xludf.DUMMYFUNCTION("""COMPUTED_VALUE"""),"Black")</f>
        <v>Black</v>
      </c>
    </row>
    <row r="1118" spans="1:6">
      <c r="A1118" s="5" t="str">
        <f ca="1">IFERROR(__xludf.DUMMYFUNCTION("""COMPUTED_VALUE"""),"20151120FLNAM")</f>
        <v>20151120FLNAM</v>
      </c>
      <c r="B1118" s="5" t="str">
        <f ca="1">IFERROR(__xludf.DUMMYFUNCTION("""COMPUTED_VALUE"""),"None")</f>
        <v>None</v>
      </c>
      <c r="C1118" s="5"/>
      <c r="D1118" s="5"/>
      <c r="E1118" s="5"/>
      <c r="F1118" s="5"/>
    </row>
    <row r="1119" spans="1:6">
      <c r="A1119" s="5" t="str">
        <f ca="1">IFERROR(__xludf.DUMMYFUNCTION("""COMPUTED_VALUE"""),"20151111ARSUS")</f>
        <v>20151111ARSUS</v>
      </c>
      <c r="B1119" s="5" t="str">
        <f ca="1">IFERROR(__xludf.DUMMYFUNCTION("""COMPUTED_VALUE"""),"Wounded")</f>
        <v>Wounded</v>
      </c>
      <c r="C1119" s="5" t="str">
        <f ca="1">IFERROR(__xludf.DUMMYFUNCTION("""COMPUTED_VALUE"""),"Male")</f>
        <v>Male</v>
      </c>
      <c r="D1119" s="5" t="str">
        <f ca="1">IFERROR(__xludf.DUMMYFUNCTION("""COMPUTED_VALUE"""),"Student")</f>
        <v>Student</v>
      </c>
      <c r="E1119" s="5" t="str">
        <f ca="1">IFERROR(__xludf.DUMMYFUNCTION("""COMPUTED_VALUE"""),"Teen")</f>
        <v>Teen</v>
      </c>
      <c r="F1119" s="5"/>
    </row>
    <row r="1120" spans="1:6">
      <c r="A1120" s="5" t="str">
        <f ca="1">IFERROR(__xludf.DUMMYFUNCTION("""COMPUTED_VALUE"""),"20151105GAVEM")</f>
        <v>20151105GAVEM</v>
      </c>
      <c r="B1120" s="5" t="str">
        <f ca="1">IFERROR(__xludf.DUMMYFUNCTION("""COMPUTED_VALUE"""),"None")</f>
        <v>None</v>
      </c>
      <c r="C1120" s="5"/>
      <c r="D1120" s="5"/>
      <c r="E1120" s="5"/>
      <c r="F1120" s="5"/>
    </row>
    <row r="1121" spans="1:6">
      <c r="A1121" s="5" t="str">
        <f ca="1">IFERROR(__xludf.DUMMYFUNCTION("""COMPUTED_VALUE"""),"20151024TXEDS")</f>
        <v>20151024TXEDS</v>
      </c>
      <c r="B1121" s="5" t="str">
        <f ca="1">IFERROR(__xludf.DUMMYFUNCTION("""COMPUTED_VALUE"""),"Fatal")</f>
        <v>Fatal</v>
      </c>
      <c r="C1121" s="5" t="str">
        <f ca="1">IFERROR(__xludf.DUMMYFUNCTION("""COMPUTED_VALUE"""),"Male")</f>
        <v>Male</v>
      </c>
      <c r="D1121" s="5" t="str">
        <f ca="1">IFERROR(__xludf.DUMMYFUNCTION("""COMPUTED_VALUE"""),"No Relation")</f>
        <v>No Relation</v>
      </c>
      <c r="E1121" s="5">
        <f ca="1">IFERROR(__xludf.DUMMYFUNCTION("""COMPUTED_VALUE"""),25)</f>
        <v>25</v>
      </c>
      <c r="F1121" s="5" t="str">
        <f ca="1">IFERROR(__xludf.DUMMYFUNCTION("""COMPUTED_VALUE"""),"Hispanic")</f>
        <v>Hispanic</v>
      </c>
    </row>
    <row r="1122" spans="1:6">
      <c r="A1122" s="5" t="str">
        <f ca="1">IFERROR(__xludf.DUMMYFUNCTION("""COMPUTED_VALUE"""),"20151015TXKAS")</f>
        <v>20151015TXKAS</v>
      </c>
      <c r="B1122" s="5" t="str">
        <f ca="1">IFERROR(__xludf.DUMMYFUNCTION("""COMPUTED_VALUE"""),"None")</f>
        <v>None</v>
      </c>
      <c r="C1122" s="5"/>
      <c r="D1122" s="5"/>
      <c r="E1122" s="5"/>
      <c r="F1122" s="5"/>
    </row>
    <row r="1123" spans="1:6">
      <c r="A1123" s="5" t="str">
        <f ca="1">IFERROR(__xludf.DUMMYFUNCTION("""COMPUTED_VALUE"""),"20150930SDHAH")</f>
        <v>20150930SDHAH</v>
      </c>
      <c r="B1123" s="5" t="str">
        <f ca="1">IFERROR(__xludf.DUMMYFUNCTION("""COMPUTED_VALUE"""),"Wounded")</f>
        <v>Wounded</v>
      </c>
      <c r="C1123" s="5" t="str">
        <f ca="1">IFERROR(__xludf.DUMMYFUNCTION("""COMPUTED_VALUE"""),"Male")</f>
        <v>Male</v>
      </c>
      <c r="D1123" s="5" t="str">
        <f ca="1">IFERROR(__xludf.DUMMYFUNCTION("""COMPUTED_VALUE"""),"Principal/Vice-Principal")</f>
        <v>Principal/Vice-Principal</v>
      </c>
      <c r="E1123" s="5" t="str">
        <f ca="1">IFERROR(__xludf.DUMMYFUNCTION("""COMPUTED_VALUE"""),"Adult")</f>
        <v>Adult</v>
      </c>
      <c r="F1123" s="5" t="str">
        <f ca="1">IFERROR(__xludf.DUMMYFUNCTION("""COMPUTED_VALUE"""),"White")</f>
        <v>White</v>
      </c>
    </row>
    <row r="1124" spans="1:6">
      <c r="A1124" s="5" t="str">
        <f ca="1">IFERROR(__xludf.DUMMYFUNCTION("""COMPUTED_VALUE"""),"20150922NCCES")</f>
        <v>20150922NCCES</v>
      </c>
      <c r="B1124" s="5" t="str">
        <f ca="1">IFERROR(__xludf.DUMMYFUNCTION("""COMPUTED_VALUE"""),"Wounded")</f>
        <v>Wounded</v>
      </c>
      <c r="C1124" s="5" t="str">
        <f ca="1">IFERROR(__xludf.DUMMYFUNCTION("""COMPUTED_VALUE"""),"Male")</f>
        <v>Male</v>
      </c>
      <c r="D1124" s="5" t="str">
        <f ca="1">IFERROR(__xludf.DUMMYFUNCTION("""COMPUTED_VALUE"""),"Parent")</f>
        <v>Parent</v>
      </c>
      <c r="E1124" s="5">
        <f ca="1">IFERROR(__xludf.DUMMYFUNCTION("""COMPUTED_VALUE"""),33)</f>
        <v>33</v>
      </c>
      <c r="F1124" s="5" t="str">
        <f ca="1">IFERROR(__xludf.DUMMYFUNCTION("""COMPUTED_VALUE"""),"White")</f>
        <v>White</v>
      </c>
    </row>
    <row r="1125" spans="1:6">
      <c r="A1125" s="5" t="str">
        <f ca="1">IFERROR(__xludf.DUMMYFUNCTION("""COMPUTED_VALUE"""),"20150911LANOL")</f>
        <v>20150911LANOL</v>
      </c>
      <c r="B1125" s="5" t="str">
        <f ca="1">IFERROR(__xludf.DUMMYFUNCTION("""COMPUTED_VALUE"""),"Wounded")</f>
        <v>Wounded</v>
      </c>
      <c r="C1125" s="5" t="str">
        <f ca="1">IFERROR(__xludf.DUMMYFUNCTION("""COMPUTED_VALUE"""),"Female")</f>
        <v>Female</v>
      </c>
      <c r="D1125" s="5" t="str">
        <f ca="1">IFERROR(__xludf.DUMMYFUNCTION("""COMPUTED_VALUE"""),"Unknown")</f>
        <v>Unknown</v>
      </c>
      <c r="E1125" s="5">
        <f ca="1">IFERROR(__xludf.DUMMYFUNCTION("""COMPUTED_VALUE"""),17)</f>
        <v>17</v>
      </c>
      <c r="F1125" s="5"/>
    </row>
    <row r="1126" spans="1:6">
      <c r="A1126" s="5" t="str">
        <f ca="1">IFERROR(__xludf.DUMMYFUNCTION("""COMPUTED_VALUE"""),"20150903ORNEN")</f>
        <v>20150903ORNEN</v>
      </c>
      <c r="B1126" s="5" t="str">
        <f ca="1">IFERROR(__xludf.DUMMYFUNCTION("""COMPUTED_VALUE"""),"None")</f>
        <v>None</v>
      </c>
      <c r="C1126" s="5"/>
      <c r="D1126" s="5"/>
      <c r="E1126" s="5"/>
      <c r="F1126" s="5"/>
    </row>
    <row r="1127" spans="1:6">
      <c r="A1127" s="5" t="str">
        <f ca="1">IFERROR(__xludf.DUMMYFUNCTION("""COMPUTED_VALUE"""),"20150825GAWSA")</f>
        <v>20150825GAWSA</v>
      </c>
      <c r="B1127" s="5" t="str">
        <f ca="1">IFERROR(__xludf.DUMMYFUNCTION("""COMPUTED_VALUE"""),"Wounded")</f>
        <v>Wounded</v>
      </c>
      <c r="C1127" s="5" t="str">
        <f ca="1">IFERROR(__xludf.DUMMYFUNCTION("""COMPUTED_VALUE"""),"Female")</f>
        <v>Female</v>
      </c>
      <c r="D1127" s="5" t="str">
        <f ca="1">IFERROR(__xludf.DUMMYFUNCTION("""COMPUTED_VALUE"""),"Student")</f>
        <v>Student</v>
      </c>
      <c r="E1127" s="5" t="str">
        <f ca="1">IFERROR(__xludf.DUMMYFUNCTION("""COMPUTED_VALUE"""),"Child")</f>
        <v>Child</v>
      </c>
      <c r="F1127" s="5"/>
    </row>
    <row r="1128" spans="1:6">
      <c r="A1128" s="5" t="str">
        <f ca="1">IFERROR(__xludf.DUMMYFUNCTION("""COMPUTED_VALUE"""),"20150823TXWIR")</f>
        <v>20150823TXWIR</v>
      </c>
      <c r="B1128" s="5" t="str">
        <f ca="1">IFERROR(__xludf.DUMMYFUNCTION("""COMPUTED_VALUE"""),"None")</f>
        <v>None</v>
      </c>
      <c r="C1128" s="5"/>
      <c r="D1128" s="5"/>
      <c r="E1128" s="5"/>
      <c r="F1128" s="5"/>
    </row>
    <row r="1129" spans="1:6">
      <c r="A1129" s="5" t="str">
        <f ca="1">IFERROR(__xludf.DUMMYFUNCTION("""COMPUTED_VALUE"""),"20150808TXPAP")</f>
        <v>20150808TXPAP</v>
      </c>
      <c r="B1129" s="5" t="str">
        <f ca="1">IFERROR(__xludf.DUMMYFUNCTION("""COMPUTED_VALUE"""),"None")</f>
        <v>None</v>
      </c>
      <c r="C1129" s="5"/>
      <c r="D1129" s="5"/>
      <c r="E1129" s="5"/>
      <c r="F1129" s="5"/>
    </row>
    <row r="1130" spans="1:6">
      <c r="A1130" s="5" t="str">
        <f ca="1">IFERROR(__xludf.DUMMYFUNCTION("""COMPUTED_VALUE"""),"20150724TXELC")</f>
        <v>20150724TXELC</v>
      </c>
      <c r="B1130" s="5" t="str">
        <f ca="1">IFERROR(__xludf.DUMMYFUNCTION("""COMPUTED_VALUE"""),"Fatal")</f>
        <v>Fatal</v>
      </c>
      <c r="C1130" s="5" t="str">
        <f ca="1">IFERROR(__xludf.DUMMYFUNCTION("""COMPUTED_VALUE"""),"Male")</f>
        <v>Male</v>
      </c>
      <c r="D1130" s="5" t="str">
        <f ca="1">IFERROR(__xludf.DUMMYFUNCTION("""COMPUTED_VALUE"""),"No Relation")</f>
        <v>No Relation</v>
      </c>
      <c r="E1130" s="5">
        <f ca="1">IFERROR(__xludf.DUMMYFUNCTION("""COMPUTED_VALUE"""),19)</f>
        <v>19</v>
      </c>
      <c r="F1130" s="5"/>
    </row>
    <row r="1131" spans="1:6">
      <c r="A1131" s="5" t="str">
        <f ca="1">IFERROR(__xludf.DUMMYFUNCTION("""COMPUTED_VALUE"""),"20150705TXCOD")</f>
        <v>20150705TXCOD</v>
      </c>
      <c r="B1131" s="5" t="str">
        <f ca="1">IFERROR(__xludf.DUMMYFUNCTION("""COMPUTED_VALUE"""),"Wounded")</f>
        <v>Wounded</v>
      </c>
      <c r="C1131" s="5" t="str">
        <f ca="1">IFERROR(__xludf.DUMMYFUNCTION("""COMPUTED_VALUE"""),"Male")</f>
        <v>Male</v>
      </c>
      <c r="D1131" s="5" t="str">
        <f ca="1">IFERROR(__xludf.DUMMYFUNCTION("""COMPUTED_VALUE"""),"Former Student")</f>
        <v>Former Student</v>
      </c>
      <c r="E1131" s="5">
        <f ca="1">IFERROR(__xludf.DUMMYFUNCTION("""COMPUTED_VALUE"""),18)</f>
        <v>18</v>
      </c>
      <c r="F1131" s="5" t="str">
        <f ca="1">IFERROR(__xludf.DUMMYFUNCTION("""COMPUTED_VALUE"""),"Black")</f>
        <v>Black</v>
      </c>
    </row>
    <row r="1132" spans="1:6">
      <c r="A1132" s="5" t="str">
        <f ca="1">IFERROR(__xludf.DUMMYFUNCTION("""COMPUTED_VALUE"""),"20150629TXJOS")</f>
        <v>20150629TXJOS</v>
      </c>
      <c r="B1132" s="5" t="str">
        <f ca="1">IFERROR(__xludf.DUMMYFUNCTION("""COMPUTED_VALUE"""),"None")</f>
        <v>None</v>
      </c>
      <c r="C1132" s="5" t="str">
        <f ca="1">IFERROR(__xludf.DUMMYFUNCTION("""COMPUTED_VALUE"""),"Male")</f>
        <v>Male</v>
      </c>
      <c r="D1132" s="5" t="str">
        <f ca="1">IFERROR(__xludf.DUMMYFUNCTION("""COMPUTED_VALUE"""),"No Relation")</f>
        <v>No Relation</v>
      </c>
      <c r="E1132" s="5">
        <f ca="1">IFERROR(__xludf.DUMMYFUNCTION("""COMPUTED_VALUE"""),28)</f>
        <v>28</v>
      </c>
      <c r="F1132" s="5"/>
    </row>
    <row r="1133" spans="1:6">
      <c r="A1133" s="5" t="str">
        <f ca="1">IFERROR(__xludf.DUMMYFUNCTION("""COMPUTED_VALUE"""),"20150627CTSAH")</f>
        <v>20150627CTSAH</v>
      </c>
      <c r="B1133" s="5" t="str">
        <f ca="1">IFERROR(__xludf.DUMMYFUNCTION("""COMPUTED_VALUE"""),"Wounded")</f>
        <v>Wounded</v>
      </c>
      <c r="C1133" s="5" t="str">
        <f ca="1">IFERROR(__xludf.DUMMYFUNCTION("""COMPUTED_VALUE"""),"Male")</f>
        <v>Male</v>
      </c>
      <c r="D1133" s="5" t="str">
        <f ca="1">IFERROR(__xludf.DUMMYFUNCTION("""COMPUTED_VALUE"""),"Nonstudent Using Athletic Facilities/Attending Game")</f>
        <v>Nonstudent Using Athletic Facilities/Attending Game</v>
      </c>
      <c r="E1133" s="5" t="str">
        <f ca="1">IFERROR(__xludf.DUMMYFUNCTION("""COMPUTED_VALUE"""),"Teen")</f>
        <v>Teen</v>
      </c>
      <c r="F1133" s="5"/>
    </row>
    <row r="1134" spans="1:6">
      <c r="A1134" s="5" t="str">
        <f ca="1">IFERROR(__xludf.DUMMYFUNCTION("""COMPUTED_VALUE"""),"20150627CTSAH")</f>
        <v>20150627CTSAH</v>
      </c>
      <c r="B1134" s="5" t="str">
        <f ca="1">IFERROR(__xludf.DUMMYFUNCTION("""COMPUTED_VALUE"""),"Fatal")</f>
        <v>Fatal</v>
      </c>
      <c r="C1134" s="5" t="str">
        <f ca="1">IFERROR(__xludf.DUMMYFUNCTION("""COMPUTED_VALUE"""),"Male")</f>
        <v>Male</v>
      </c>
      <c r="D1134" s="5" t="str">
        <f ca="1">IFERROR(__xludf.DUMMYFUNCTION("""COMPUTED_VALUE"""),"Nonstudent Using Athletic Facilities/Attending Game")</f>
        <v>Nonstudent Using Athletic Facilities/Attending Game</v>
      </c>
      <c r="E1134" s="5" t="str">
        <f ca="1">IFERROR(__xludf.DUMMYFUNCTION("""COMPUTED_VALUE"""),"Teen")</f>
        <v>Teen</v>
      </c>
      <c r="F1134" s="5"/>
    </row>
    <row r="1135" spans="1:6">
      <c r="A1135" s="5" t="str">
        <f ca="1">IFERROR(__xludf.DUMMYFUNCTION("""COMPUTED_VALUE"""),"20150627CTSAH")</f>
        <v>20150627CTSAH</v>
      </c>
      <c r="B1135" s="5" t="str">
        <f ca="1">IFERROR(__xludf.DUMMYFUNCTION("""COMPUTED_VALUE"""),"Wounded")</f>
        <v>Wounded</v>
      </c>
      <c r="C1135" s="5" t="str">
        <f ca="1">IFERROR(__xludf.DUMMYFUNCTION("""COMPUTED_VALUE"""),"Male")</f>
        <v>Male</v>
      </c>
      <c r="D1135" s="5" t="str">
        <f ca="1">IFERROR(__xludf.DUMMYFUNCTION("""COMPUTED_VALUE"""),"Nonstudent Using Athletic Facilities/Attending Game")</f>
        <v>Nonstudent Using Athletic Facilities/Attending Game</v>
      </c>
      <c r="E1135" s="5" t="str">
        <f ca="1">IFERROR(__xludf.DUMMYFUNCTION("""COMPUTED_VALUE"""),"Teen")</f>
        <v>Teen</v>
      </c>
      <c r="F1135" s="5"/>
    </row>
    <row r="1136" spans="1:6">
      <c r="A1136" s="5" t="str">
        <f ca="1">IFERROR(__xludf.DUMMYFUNCTION("""COMPUTED_VALUE"""),"20150627CTSAH")</f>
        <v>20150627CTSAH</v>
      </c>
      <c r="B1136" s="5" t="str">
        <f ca="1">IFERROR(__xludf.DUMMYFUNCTION("""COMPUTED_VALUE"""),"Wounded")</f>
        <v>Wounded</v>
      </c>
      <c r="C1136" s="5" t="str">
        <f ca="1">IFERROR(__xludf.DUMMYFUNCTION("""COMPUTED_VALUE"""),"Male")</f>
        <v>Male</v>
      </c>
      <c r="D1136" s="5" t="str">
        <f ca="1">IFERROR(__xludf.DUMMYFUNCTION("""COMPUTED_VALUE"""),"Nonstudent Using Athletic Facilities/Attending Game")</f>
        <v>Nonstudent Using Athletic Facilities/Attending Game</v>
      </c>
      <c r="E1136" s="5" t="str">
        <f ca="1">IFERROR(__xludf.DUMMYFUNCTION("""COMPUTED_VALUE"""),"Teen")</f>
        <v>Teen</v>
      </c>
      <c r="F1136" s="5"/>
    </row>
    <row r="1137" spans="1:6">
      <c r="A1137" s="5" t="str">
        <f ca="1">IFERROR(__xludf.DUMMYFUNCTION("""COMPUTED_VALUE"""),"20150623NEFOF")</f>
        <v>20150623NEFOF</v>
      </c>
      <c r="B1137" s="5" t="str">
        <f ca="1">IFERROR(__xludf.DUMMYFUNCTION("""COMPUTED_VALUE"""),"None")</f>
        <v>None</v>
      </c>
      <c r="C1137" s="5"/>
      <c r="D1137" s="5"/>
      <c r="E1137" s="5"/>
      <c r="F1137" s="5"/>
    </row>
    <row r="1138" spans="1:6">
      <c r="A1138" s="5" t="str">
        <f ca="1">IFERROR(__xludf.DUMMYFUNCTION("""COMPUTED_VALUE"""),"20150604NCSOF")</f>
        <v>20150604NCSOF</v>
      </c>
      <c r="B1138" s="5" t="str">
        <f ca="1">IFERROR(__xludf.DUMMYFUNCTION("""COMPUTED_VALUE"""),"None")</f>
        <v>None</v>
      </c>
      <c r="C1138" s="5"/>
      <c r="D1138" s="5"/>
      <c r="E1138" s="5"/>
      <c r="F1138" s="5"/>
    </row>
    <row r="1139" spans="1:6">
      <c r="A1139" s="5" t="str">
        <f ca="1">IFERROR(__xludf.DUMMYFUNCTION("""COMPUTED_VALUE"""),"20150527FLEVE")</f>
        <v>20150527FLEVE</v>
      </c>
      <c r="B1139" s="5" t="str">
        <f ca="1">IFERROR(__xludf.DUMMYFUNCTION("""COMPUTED_VALUE"""),"Wounded")</f>
        <v>Wounded</v>
      </c>
      <c r="C1139" s="5" t="str">
        <f ca="1">IFERROR(__xludf.DUMMYFUNCTION("""COMPUTED_VALUE"""),"Male")</f>
        <v>Male</v>
      </c>
      <c r="D1139" s="5" t="str">
        <f ca="1">IFERROR(__xludf.DUMMYFUNCTION("""COMPUTED_VALUE"""),"No Relation")</f>
        <v>No Relation</v>
      </c>
      <c r="E1139" s="5">
        <f ca="1">IFERROR(__xludf.DUMMYFUNCTION("""COMPUTED_VALUE"""),30)</f>
        <v>30</v>
      </c>
      <c r="F1139" s="5"/>
    </row>
    <row r="1140" spans="1:6">
      <c r="A1140" s="5" t="str">
        <f ca="1">IFERROR(__xludf.DUMMYFUNCTION("""COMPUTED_VALUE"""),"20150524MISOF")</f>
        <v>20150524MISOF</v>
      </c>
      <c r="B1140" s="5" t="str">
        <f ca="1">IFERROR(__xludf.DUMMYFUNCTION("""COMPUTED_VALUE"""),"Wounded")</f>
        <v>Wounded</v>
      </c>
      <c r="C1140" s="5"/>
      <c r="D1140" s="5"/>
      <c r="E1140" s="5"/>
      <c r="F1140" s="5"/>
    </row>
    <row r="1141" spans="1:6">
      <c r="A1141" s="5" t="str">
        <f ca="1">IFERROR(__xludf.DUMMYFUNCTION("""COMPUTED_VALUE"""),"20150524MISOF")</f>
        <v>20150524MISOF</v>
      </c>
      <c r="B1141" s="5" t="str">
        <f ca="1">IFERROR(__xludf.DUMMYFUNCTION("""COMPUTED_VALUE"""),"Wounded")</f>
        <v>Wounded</v>
      </c>
      <c r="C1141" s="5"/>
      <c r="D1141" s="5"/>
      <c r="E1141" s="5"/>
      <c r="F1141" s="5"/>
    </row>
    <row r="1142" spans="1:6">
      <c r="A1142" s="5" t="str">
        <f ca="1">IFERROR(__xludf.DUMMYFUNCTION("""COMPUTED_VALUE"""),"20150524MISOF")</f>
        <v>20150524MISOF</v>
      </c>
      <c r="B1142" s="5" t="str">
        <f ca="1">IFERROR(__xludf.DUMMYFUNCTION("""COMPUTED_VALUE"""),"Wounded")</f>
        <v>Wounded</v>
      </c>
      <c r="C1142" s="5"/>
      <c r="D1142" s="5"/>
      <c r="E1142" s="5"/>
      <c r="F1142" s="5"/>
    </row>
    <row r="1143" spans="1:6">
      <c r="A1143" s="5" t="str">
        <f ca="1">IFERROR(__xludf.DUMMYFUNCTION("""COMPUTED_VALUE"""),"20150524MISOF")</f>
        <v>20150524MISOF</v>
      </c>
      <c r="B1143" s="5" t="str">
        <f ca="1">IFERROR(__xludf.DUMMYFUNCTION("""COMPUTED_VALUE"""),"Wounded")</f>
        <v>Wounded</v>
      </c>
      <c r="C1143" s="5"/>
      <c r="D1143" s="5"/>
      <c r="E1143" s="5"/>
      <c r="F1143" s="5"/>
    </row>
    <row r="1144" spans="1:6">
      <c r="A1144" s="5" t="str">
        <f ca="1">IFERROR(__xludf.DUMMYFUNCTION("""COMPUTED_VALUE"""),"20150524MISOF")</f>
        <v>20150524MISOF</v>
      </c>
      <c r="B1144" s="5" t="str">
        <f ca="1">IFERROR(__xludf.DUMMYFUNCTION("""COMPUTED_VALUE"""),"Wounded")</f>
        <v>Wounded</v>
      </c>
      <c r="C1144" s="5"/>
      <c r="D1144" s="5"/>
      <c r="E1144" s="5"/>
      <c r="F1144" s="5"/>
    </row>
    <row r="1145" spans="1:6">
      <c r="A1145" s="5" t="str">
        <f ca="1">IFERROR(__xludf.DUMMYFUNCTION("""COMPUTED_VALUE"""),"20150524MISOF")</f>
        <v>20150524MISOF</v>
      </c>
      <c r="B1145" s="5" t="str">
        <f ca="1">IFERROR(__xludf.DUMMYFUNCTION("""COMPUTED_VALUE"""),"Wounded")</f>
        <v>Wounded</v>
      </c>
      <c r="C1145" s="5"/>
      <c r="D1145" s="5"/>
      <c r="E1145" s="5"/>
      <c r="F1145" s="5"/>
    </row>
    <row r="1146" spans="1:6">
      <c r="A1146" s="5" t="str">
        <f ca="1">IFERROR(__xludf.DUMMYFUNCTION("""COMPUTED_VALUE"""),"20150524MISOF")</f>
        <v>20150524MISOF</v>
      </c>
      <c r="B1146" s="5" t="str">
        <f ca="1">IFERROR(__xludf.DUMMYFUNCTION("""COMPUTED_VALUE"""),"Wounded")</f>
        <v>Wounded</v>
      </c>
      <c r="C1146" s="5"/>
      <c r="D1146" s="5"/>
      <c r="E1146" s="5"/>
      <c r="F1146" s="5"/>
    </row>
    <row r="1147" spans="1:6">
      <c r="A1147" s="5" t="str">
        <f ca="1">IFERROR(__xludf.DUMMYFUNCTION("""COMPUTED_VALUE"""),"20150521FLDUJ")</f>
        <v>20150521FLDUJ</v>
      </c>
      <c r="B1147" s="5" t="str">
        <f ca="1">IFERROR(__xludf.DUMMYFUNCTION("""COMPUTED_VALUE"""),"Wounded")</f>
        <v>Wounded</v>
      </c>
      <c r="C1147" s="5" t="str">
        <f ca="1">IFERROR(__xludf.DUMMYFUNCTION("""COMPUTED_VALUE"""),"Female")</f>
        <v>Female</v>
      </c>
      <c r="D1147" s="5" t="str">
        <f ca="1">IFERROR(__xludf.DUMMYFUNCTION("""COMPUTED_VALUE"""),"Student")</f>
        <v>Student</v>
      </c>
      <c r="E1147" s="5" t="str">
        <f ca="1">IFERROR(__xludf.DUMMYFUNCTION("""COMPUTED_VALUE"""),"Teen")</f>
        <v>Teen</v>
      </c>
      <c r="F1147" s="5"/>
    </row>
    <row r="1148" spans="1:6">
      <c r="A1148" s="5" t="str">
        <f ca="1">IFERROR(__xludf.DUMMYFUNCTION("""COMPUTED_VALUE"""),"20150521FLDUJ")</f>
        <v>20150521FLDUJ</v>
      </c>
      <c r="B1148" s="5" t="str">
        <f ca="1">IFERROR(__xludf.DUMMYFUNCTION("""COMPUTED_VALUE"""),"Wounded")</f>
        <v>Wounded</v>
      </c>
      <c r="C1148" s="5" t="str">
        <f ca="1">IFERROR(__xludf.DUMMYFUNCTION("""COMPUTED_VALUE"""),"Female")</f>
        <v>Female</v>
      </c>
      <c r="D1148" s="5" t="str">
        <f ca="1">IFERROR(__xludf.DUMMYFUNCTION("""COMPUTED_VALUE"""),"Student")</f>
        <v>Student</v>
      </c>
      <c r="E1148" s="5" t="str">
        <f ca="1">IFERROR(__xludf.DUMMYFUNCTION("""COMPUTED_VALUE"""),"Teen")</f>
        <v>Teen</v>
      </c>
      <c r="F1148" s="5"/>
    </row>
    <row r="1149" spans="1:6">
      <c r="A1149" s="5" t="str">
        <f ca="1">IFERROR(__xludf.DUMMYFUNCTION("""COMPUTED_VALUE"""),"20150520TXROR")</f>
        <v>20150520TXROR</v>
      </c>
      <c r="B1149" s="5" t="str">
        <f ca="1">IFERROR(__xludf.DUMMYFUNCTION("""COMPUTED_VALUE"""),"None")</f>
        <v>None</v>
      </c>
      <c r="C1149" s="5" t="str">
        <f ca="1">IFERROR(__xludf.DUMMYFUNCTION("""COMPUTED_VALUE"""),"Male")</f>
        <v>Male</v>
      </c>
      <c r="D1149" s="5" t="str">
        <f ca="1">IFERROR(__xludf.DUMMYFUNCTION("""COMPUTED_VALUE"""),"Student")</f>
        <v>Student</v>
      </c>
      <c r="E1149" s="5">
        <f ca="1">IFERROR(__xludf.DUMMYFUNCTION("""COMPUTED_VALUE"""),18)</f>
        <v>18</v>
      </c>
      <c r="F1149" s="5"/>
    </row>
    <row r="1150" spans="1:6">
      <c r="A1150" s="5" t="str">
        <f ca="1">IFERROR(__xludf.DUMMYFUNCTION("""COMPUTED_VALUE"""),"20150512FLUNJ")</f>
        <v>20150512FLUNJ</v>
      </c>
      <c r="B1150" s="5" t="str">
        <f ca="1">IFERROR(__xludf.DUMMYFUNCTION("""COMPUTED_VALUE"""),"Wounded")</f>
        <v>Wounded</v>
      </c>
      <c r="C1150" s="5" t="str">
        <f ca="1">IFERROR(__xludf.DUMMYFUNCTION("""COMPUTED_VALUE"""),"Female")</f>
        <v>Female</v>
      </c>
      <c r="D1150" s="5" t="str">
        <f ca="1">IFERROR(__xludf.DUMMYFUNCTION("""COMPUTED_VALUE"""),"Student")</f>
        <v>Student</v>
      </c>
      <c r="E1150" s="5">
        <f ca="1">IFERROR(__xludf.DUMMYFUNCTION("""COMPUTED_VALUE"""),14)</f>
        <v>14</v>
      </c>
      <c r="F1150" s="5"/>
    </row>
    <row r="1151" spans="1:6">
      <c r="A1151" s="5" t="str">
        <f ca="1">IFERROR(__xludf.DUMMYFUNCTION("""COMPUTED_VALUE"""),"20150512FLUNJ")</f>
        <v>20150512FLUNJ</v>
      </c>
      <c r="B1151" s="5" t="str">
        <f ca="1">IFERROR(__xludf.DUMMYFUNCTION("""COMPUTED_VALUE"""),"Wounded")</f>
        <v>Wounded</v>
      </c>
      <c r="C1151" s="5" t="str">
        <f ca="1">IFERROR(__xludf.DUMMYFUNCTION("""COMPUTED_VALUE"""),"Female")</f>
        <v>Female</v>
      </c>
      <c r="D1151" s="5" t="str">
        <f ca="1">IFERROR(__xludf.DUMMYFUNCTION("""COMPUTED_VALUE"""),"Student")</f>
        <v>Student</v>
      </c>
      <c r="E1151" s="5">
        <f ca="1">IFERROR(__xludf.DUMMYFUNCTION("""COMPUTED_VALUE"""),15)</f>
        <v>15</v>
      </c>
      <c r="F1151" s="5"/>
    </row>
    <row r="1152" spans="1:6">
      <c r="A1152" s="5" t="str">
        <f ca="1">IFERROR(__xludf.DUMMYFUNCTION("""COMPUTED_VALUE"""),"20150512AZCOT")</f>
        <v>20150512AZCOT</v>
      </c>
      <c r="B1152" s="5" t="str">
        <f ca="1">IFERROR(__xludf.DUMMYFUNCTION("""COMPUTED_VALUE"""),"None")</f>
        <v>None</v>
      </c>
      <c r="C1152" s="5" t="str">
        <f ca="1">IFERROR(__xludf.DUMMYFUNCTION("""COMPUTED_VALUE"""),"Male")</f>
        <v>Male</v>
      </c>
      <c r="D1152" s="5" t="str">
        <f ca="1">IFERROR(__xludf.DUMMYFUNCTION("""COMPUTED_VALUE"""),"Student")</f>
        <v>Student</v>
      </c>
      <c r="E1152" s="5">
        <f ca="1">IFERROR(__xludf.DUMMYFUNCTION("""COMPUTED_VALUE"""),18)</f>
        <v>18</v>
      </c>
      <c r="F1152" s="5" t="str">
        <f ca="1">IFERROR(__xludf.DUMMYFUNCTION("""COMPUTED_VALUE"""),"Black")</f>
        <v>Black</v>
      </c>
    </row>
    <row r="1153" spans="1:6">
      <c r="A1153" s="5" t="str">
        <f ca="1">IFERROR(__xludf.DUMMYFUNCTION("""COMPUTED_VALUE"""),"20150505GACOC")</f>
        <v>20150505GACOC</v>
      </c>
      <c r="B1153" s="5" t="str">
        <f ca="1">IFERROR(__xludf.DUMMYFUNCTION("""COMPUTED_VALUE"""),"None")</f>
        <v>None</v>
      </c>
      <c r="C1153" s="5"/>
      <c r="D1153" s="5"/>
      <c r="E1153" s="5"/>
      <c r="F1153" s="5"/>
    </row>
    <row r="1154" spans="1:6">
      <c r="A1154" s="5" t="str">
        <f ca="1">IFERROR(__xludf.DUMMYFUNCTION("""COMPUTED_VALUE"""),"20150504OHWIC")</f>
        <v>20150504OHWIC</v>
      </c>
      <c r="B1154" s="5" t="str">
        <f ca="1">IFERROR(__xludf.DUMMYFUNCTION("""COMPUTED_VALUE"""),"Fatal")</f>
        <v>Fatal</v>
      </c>
      <c r="C1154" s="5" t="str">
        <f ca="1">IFERROR(__xludf.DUMMYFUNCTION("""COMPUTED_VALUE"""),"Male")</f>
        <v>Male</v>
      </c>
      <c r="D1154" s="5" t="str">
        <f ca="1">IFERROR(__xludf.DUMMYFUNCTION("""COMPUTED_VALUE"""),"No Relation")</f>
        <v>No Relation</v>
      </c>
      <c r="E1154" s="5">
        <f ca="1">IFERROR(__xludf.DUMMYFUNCTION("""COMPUTED_VALUE"""),22)</f>
        <v>22</v>
      </c>
      <c r="F1154" s="5"/>
    </row>
    <row r="1155" spans="1:6">
      <c r="A1155" s="5" t="str">
        <f ca="1">IFERROR(__xludf.DUMMYFUNCTION("""COMPUTED_VALUE"""),"20150504OHWIC")</f>
        <v>20150504OHWIC</v>
      </c>
      <c r="B1155" s="5" t="str">
        <f ca="1">IFERROR(__xludf.DUMMYFUNCTION("""COMPUTED_VALUE"""),"Wounded")</f>
        <v>Wounded</v>
      </c>
      <c r="C1155" s="5" t="str">
        <f ca="1">IFERROR(__xludf.DUMMYFUNCTION("""COMPUTED_VALUE"""),"Male")</f>
        <v>Male</v>
      </c>
      <c r="D1155" s="5" t="str">
        <f ca="1">IFERROR(__xludf.DUMMYFUNCTION("""COMPUTED_VALUE"""),"No Relation")</f>
        <v>No Relation</v>
      </c>
      <c r="E1155" s="5">
        <f ca="1">IFERROR(__xludf.DUMMYFUNCTION("""COMPUTED_VALUE"""),26)</f>
        <v>26</v>
      </c>
      <c r="F1155" s="5"/>
    </row>
    <row r="1156" spans="1:6">
      <c r="A1156" s="5" t="str">
        <f ca="1">IFERROR(__xludf.DUMMYFUNCTION("""COMPUTED_VALUE"""),"20150428MDDRW")</f>
        <v>20150428MDDRW</v>
      </c>
      <c r="B1156" s="5" t="str">
        <f ca="1">IFERROR(__xludf.DUMMYFUNCTION("""COMPUTED_VALUE"""),"Wounded")</f>
        <v>Wounded</v>
      </c>
      <c r="C1156" s="5" t="str">
        <f ca="1">IFERROR(__xludf.DUMMYFUNCTION("""COMPUTED_VALUE"""),"Male")</f>
        <v>Male</v>
      </c>
      <c r="D1156" s="5" t="str">
        <f ca="1">IFERROR(__xludf.DUMMYFUNCTION("""COMPUTED_VALUE"""),"No Relation")</f>
        <v>No Relation</v>
      </c>
      <c r="E1156" s="5">
        <f ca="1">IFERROR(__xludf.DUMMYFUNCTION("""COMPUTED_VALUE"""),22)</f>
        <v>22</v>
      </c>
      <c r="F1156" s="5"/>
    </row>
    <row r="1157" spans="1:6">
      <c r="A1157" s="5" t="str">
        <f ca="1">IFERROR(__xludf.DUMMYFUNCTION("""COMPUTED_VALUE"""),"20150427WANOL")</f>
        <v>20150427WANOL</v>
      </c>
      <c r="B1157" s="5" t="str">
        <f ca="1">IFERROR(__xludf.DUMMYFUNCTION("""COMPUTED_VALUE"""),"None")</f>
        <v>None</v>
      </c>
      <c r="C1157" s="5"/>
      <c r="D1157" s="5"/>
      <c r="E1157" s="5"/>
      <c r="F1157" s="5"/>
    </row>
    <row r="1158" spans="1:6">
      <c r="A1158" s="5" t="str">
        <f ca="1">IFERROR(__xludf.DUMMYFUNCTION("""COMPUTED_VALUE"""),"20150422NVRUL")</f>
        <v>20150422NVRUL</v>
      </c>
      <c r="B1158" s="5" t="str">
        <f ca="1">IFERROR(__xludf.DUMMYFUNCTION("""COMPUTED_VALUE"""),"None")</f>
        <v>None</v>
      </c>
      <c r="C1158" s="5"/>
      <c r="D1158" s="5"/>
      <c r="E1158" s="5"/>
      <c r="F1158" s="5"/>
    </row>
    <row r="1159" spans="1:6">
      <c r="A1159" s="5" t="str">
        <f ca="1">IFERROR(__xludf.DUMMYFUNCTION("""COMPUTED_VALUE"""),"20150417TXSES")</f>
        <v>20150417TXSES</v>
      </c>
      <c r="B1159" s="5" t="str">
        <f ca="1">IFERROR(__xludf.DUMMYFUNCTION("""COMPUTED_VALUE"""),"None")</f>
        <v>None</v>
      </c>
      <c r="C1159" s="5" t="str">
        <f ca="1">IFERROR(__xludf.DUMMYFUNCTION("""COMPUTED_VALUE"""),"Male")</f>
        <v>Male</v>
      </c>
      <c r="D1159" s="5" t="str">
        <f ca="1">IFERROR(__xludf.DUMMYFUNCTION("""COMPUTED_VALUE"""),"Student")</f>
        <v>Student</v>
      </c>
      <c r="E1159" s="5">
        <f ca="1">IFERROR(__xludf.DUMMYFUNCTION("""COMPUTED_VALUE"""),18)</f>
        <v>18</v>
      </c>
      <c r="F1159" s="5" t="str">
        <f ca="1">IFERROR(__xludf.DUMMYFUNCTION("""COMPUTED_VALUE"""),"Hispanic")</f>
        <v>Hispanic</v>
      </c>
    </row>
    <row r="1160" spans="1:6">
      <c r="A1160" s="5" t="str">
        <f ca="1">IFERROR(__xludf.DUMMYFUNCTION("""COMPUTED_VALUE"""),"20150330MOPEU")</f>
        <v>20150330MOPEU</v>
      </c>
      <c r="B1160" s="5" t="str">
        <f ca="1">IFERROR(__xludf.DUMMYFUNCTION("""COMPUTED_VALUE"""),"Wounded")</f>
        <v>Wounded</v>
      </c>
      <c r="C1160" s="5" t="str">
        <f ca="1">IFERROR(__xludf.DUMMYFUNCTION("""COMPUTED_VALUE"""),"Male")</f>
        <v>Male</v>
      </c>
      <c r="D1160" s="5" t="str">
        <f ca="1">IFERROR(__xludf.DUMMYFUNCTION("""COMPUTED_VALUE"""),"No Relation")</f>
        <v>No Relation</v>
      </c>
      <c r="E1160" s="5">
        <f ca="1">IFERROR(__xludf.DUMMYFUNCTION("""COMPUTED_VALUE"""),34)</f>
        <v>34</v>
      </c>
      <c r="F1160" s="5"/>
    </row>
    <row r="1161" spans="1:6">
      <c r="A1161" s="5" t="str">
        <f ca="1">IFERROR(__xludf.DUMMYFUNCTION("""COMPUTED_VALUE"""),"20150215CATEM")</f>
        <v>20150215CATEM</v>
      </c>
      <c r="B1161" s="5" t="str">
        <f ca="1">IFERROR(__xludf.DUMMYFUNCTION("""COMPUTED_VALUE"""),"Fatal")</f>
        <v>Fatal</v>
      </c>
      <c r="C1161" s="5" t="str">
        <f ca="1">IFERROR(__xludf.DUMMYFUNCTION("""COMPUTED_VALUE"""),"Male")</f>
        <v>Male</v>
      </c>
      <c r="D1161" s="5" t="str">
        <f ca="1">IFERROR(__xludf.DUMMYFUNCTION("""COMPUTED_VALUE"""),"Student")</f>
        <v>Student</v>
      </c>
      <c r="E1161" s="5">
        <f ca="1">IFERROR(__xludf.DUMMYFUNCTION("""COMPUTED_VALUE"""),16)</f>
        <v>16</v>
      </c>
      <c r="F1161" s="5" t="str">
        <f ca="1">IFERROR(__xludf.DUMMYFUNCTION("""COMPUTED_VALUE"""),"Hispanic")</f>
        <v>Hispanic</v>
      </c>
    </row>
    <row r="1162" spans="1:6">
      <c r="A1162" s="5" t="str">
        <f ca="1">IFERROR(__xludf.DUMMYFUNCTION("""COMPUTED_VALUE"""),"20150215ARLAL")</f>
        <v>20150215ARLAL</v>
      </c>
      <c r="B1162" s="5" t="str">
        <f ca="1">IFERROR(__xludf.DUMMYFUNCTION("""COMPUTED_VALUE"""),"Wounded")</f>
        <v>Wounded</v>
      </c>
      <c r="C1162" s="5" t="str">
        <f ca="1">IFERROR(__xludf.DUMMYFUNCTION("""COMPUTED_VALUE"""),"Male")</f>
        <v>Male</v>
      </c>
      <c r="D1162" s="5" t="str">
        <f ca="1">IFERROR(__xludf.DUMMYFUNCTION("""COMPUTED_VALUE"""),"No Relation")</f>
        <v>No Relation</v>
      </c>
      <c r="E1162" s="5">
        <f ca="1">IFERROR(__xludf.DUMMYFUNCTION("""COMPUTED_VALUE"""),37)</f>
        <v>37</v>
      </c>
      <c r="F1162" s="5"/>
    </row>
    <row r="1163" spans="1:6">
      <c r="A1163" s="5" t="str">
        <f ca="1">IFERROR(__xludf.DUMMYFUNCTION("""COMPUTED_VALUE"""),"20150215ARLAL")</f>
        <v>20150215ARLAL</v>
      </c>
      <c r="B1163" s="5" t="str">
        <f ca="1">IFERROR(__xludf.DUMMYFUNCTION("""COMPUTED_VALUE"""),"Wounded")</f>
        <v>Wounded</v>
      </c>
      <c r="C1163" s="5" t="str">
        <f ca="1">IFERROR(__xludf.DUMMYFUNCTION("""COMPUTED_VALUE"""),"Male")</f>
        <v>Male</v>
      </c>
      <c r="D1163" s="5" t="str">
        <f ca="1">IFERROR(__xludf.DUMMYFUNCTION("""COMPUTED_VALUE"""),"No Relation")</f>
        <v>No Relation</v>
      </c>
      <c r="E1163" s="5">
        <f ca="1">IFERROR(__xludf.DUMMYFUNCTION("""COMPUTED_VALUE"""),13)</f>
        <v>13</v>
      </c>
      <c r="F1163" s="5"/>
    </row>
    <row r="1164" spans="1:6">
      <c r="A1164" s="5" t="str">
        <f ca="1">IFERROR(__xludf.DUMMYFUNCTION("""COMPUTED_VALUE"""),"20150204MDFRF")</f>
        <v>20150204MDFRF</v>
      </c>
      <c r="B1164" s="5" t="str">
        <f ca="1">IFERROR(__xludf.DUMMYFUNCTION("""COMPUTED_VALUE"""),"Wounded")</f>
        <v>Wounded</v>
      </c>
      <c r="C1164" s="5" t="str">
        <f ca="1">IFERROR(__xludf.DUMMYFUNCTION("""COMPUTED_VALUE"""),"Male")</f>
        <v>Male</v>
      </c>
      <c r="D1164" s="5" t="str">
        <f ca="1">IFERROR(__xludf.DUMMYFUNCTION("""COMPUTED_VALUE"""),"Student")</f>
        <v>Student</v>
      </c>
      <c r="E1164" s="5">
        <f ca="1">IFERROR(__xludf.DUMMYFUNCTION("""COMPUTED_VALUE"""),14)</f>
        <v>14</v>
      </c>
      <c r="F1164" s="5" t="str">
        <f ca="1">IFERROR(__xludf.DUMMYFUNCTION("""COMPUTED_VALUE"""),"Black")</f>
        <v>Black</v>
      </c>
    </row>
    <row r="1165" spans="1:6">
      <c r="A1165" s="5" t="str">
        <f ca="1">IFERROR(__xludf.DUMMYFUNCTION("""COMPUTED_VALUE"""),"20150204MDFRF")</f>
        <v>20150204MDFRF</v>
      </c>
      <c r="B1165" s="5" t="str">
        <f ca="1">IFERROR(__xludf.DUMMYFUNCTION("""COMPUTED_VALUE"""),"Wounded")</f>
        <v>Wounded</v>
      </c>
      <c r="C1165" s="5" t="str">
        <f ca="1">IFERROR(__xludf.DUMMYFUNCTION("""COMPUTED_VALUE"""),"Male")</f>
        <v>Male</v>
      </c>
      <c r="D1165" s="5" t="str">
        <f ca="1">IFERROR(__xludf.DUMMYFUNCTION("""COMPUTED_VALUE"""),"Student")</f>
        <v>Student</v>
      </c>
      <c r="E1165" s="5">
        <f ca="1">IFERROR(__xludf.DUMMYFUNCTION("""COMPUTED_VALUE"""),15)</f>
        <v>15</v>
      </c>
      <c r="F1165" s="5" t="str">
        <f ca="1">IFERROR(__xludf.DUMMYFUNCTION("""COMPUTED_VALUE"""),"Black")</f>
        <v>Black</v>
      </c>
    </row>
    <row r="1166" spans="1:6">
      <c r="A1166" s="5" t="str">
        <f ca="1">IFERROR(__xludf.DUMMYFUNCTION("""COMPUTED_VALUE"""),"20150126MNHAR")</f>
        <v>20150126MNHAR</v>
      </c>
      <c r="B1166" s="5" t="str">
        <f ca="1">IFERROR(__xludf.DUMMYFUNCTION("""COMPUTED_VALUE"""),"None")</f>
        <v>None</v>
      </c>
      <c r="C1166" s="5" t="str">
        <f ca="1">IFERROR(__xludf.DUMMYFUNCTION("""COMPUTED_VALUE"""),"Male")</f>
        <v>Male</v>
      </c>
      <c r="D1166" s="5" t="str">
        <f ca="1">IFERROR(__xludf.DUMMYFUNCTION("""COMPUTED_VALUE"""),"Unknown")</f>
        <v>Unknown</v>
      </c>
      <c r="E1166" s="5">
        <f ca="1">IFERROR(__xludf.DUMMYFUNCTION("""COMPUTED_VALUE"""),48)</f>
        <v>48</v>
      </c>
      <c r="F1166" s="5"/>
    </row>
    <row r="1167" spans="1:6">
      <c r="A1167" s="5" t="str">
        <f ca="1">IFERROR(__xludf.DUMMYFUNCTION("""COMPUTED_VALUE"""),"20150122SCROH")</f>
        <v>20150122SCROH</v>
      </c>
      <c r="B1167" s="5" t="str">
        <f ca="1">IFERROR(__xludf.DUMMYFUNCTION("""COMPUTED_VALUE"""),"None")</f>
        <v>None</v>
      </c>
      <c r="C1167" s="5"/>
      <c r="D1167" s="5"/>
      <c r="E1167" s="5"/>
      <c r="F1167" s="5"/>
    </row>
    <row r="1168" spans="1:6">
      <c r="A1168" s="5" t="str">
        <f ca="1">IFERROR(__xludf.DUMMYFUNCTION("""COMPUTED_VALUE"""),"20150120ALWIM")</f>
        <v>20150120ALWIM</v>
      </c>
      <c r="B1168" s="5" t="str">
        <f ca="1">IFERROR(__xludf.DUMMYFUNCTION("""COMPUTED_VALUE"""),"Wounded")</f>
        <v>Wounded</v>
      </c>
      <c r="C1168" s="5" t="str">
        <f ca="1">IFERROR(__xludf.DUMMYFUNCTION("""COMPUTED_VALUE"""),"Male")</f>
        <v>Male</v>
      </c>
      <c r="D1168" s="5" t="str">
        <f ca="1">IFERROR(__xludf.DUMMYFUNCTION("""COMPUTED_VALUE"""),"No Relation")</f>
        <v>No Relation</v>
      </c>
      <c r="E1168" s="5" t="str">
        <f ca="1">IFERROR(__xludf.DUMMYFUNCTION("""COMPUTED_VALUE"""),"Adult")</f>
        <v>Adult</v>
      </c>
      <c r="F1168" s="5"/>
    </row>
    <row r="1169" spans="1:6">
      <c r="A1169" s="5" t="str">
        <f ca="1">IFERROR(__xludf.DUMMYFUNCTION("""COMPUTED_VALUE"""),"20150116FLVAO")</f>
        <v>20150116FLVAO</v>
      </c>
      <c r="B1169" s="5" t="str">
        <f ca="1">IFERROR(__xludf.DUMMYFUNCTION("""COMPUTED_VALUE"""),"Wounded")</f>
        <v>Wounded</v>
      </c>
      <c r="C1169" s="5" t="str">
        <f ca="1">IFERROR(__xludf.DUMMYFUNCTION("""COMPUTED_VALUE"""),"Female")</f>
        <v>Female</v>
      </c>
      <c r="D1169" s="5" t="str">
        <f ca="1">IFERROR(__xludf.DUMMYFUNCTION("""COMPUTED_VALUE"""),"Student")</f>
        <v>Student</v>
      </c>
      <c r="E1169" s="5">
        <f ca="1">IFERROR(__xludf.DUMMYFUNCTION("""COMPUTED_VALUE"""),19)</f>
        <v>19</v>
      </c>
      <c r="F1169" s="5"/>
    </row>
    <row r="1170" spans="1:6">
      <c r="A1170" s="5" t="str">
        <f ca="1">IFERROR(__xludf.DUMMYFUNCTION("""COMPUTED_VALUE"""),"20150116FLVAO")</f>
        <v>20150116FLVAO</v>
      </c>
      <c r="B1170" s="5" t="str">
        <f ca="1">IFERROR(__xludf.DUMMYFUNCTION("""COMPUTED_VALUE"""),"Wounded")</f>
        <v>Wounded</v>
      </c>
      <c r="C1170" s="5" t="str">
        <f ca="1">IFERROR(__xludf.DUMMYFUNCTION("""COMPUTED_VALUE"""),"Female")</f>
        <v>Female</v>
      </c>
      <c r="D1170" s="5" t="str">
        <f ca="1">IFERROR(__xludf.DUMMYFUNCTION("""COMPUTED_VALUE"""),"Student")</f>
        <v>Student</v>
      </c>
      <c r="E1170" s="5">
        <f ca="1">IFERROR(__xludf.DUMMYFUNCTION("""COMPUTED_VALUE"""),14)</f>
        <v>14</v>
      </c>
      <c r="F1170" s="5"/>
    </row>
    <row r="1171" spans="1:6">
      <c r="A1171" s="5" t="str">
        <f ca="1">IFERROR(__xludf.DUMMYFUNCTION("""COMPUTED_VALUE"""),"20150115WIWIM")</f>
        <v>20150115WIWIM</v>
      </c>
      <c r="B1171" s="5" t="str">
        <f ca="1">IFERROR(__xludf.DUMMYFUNCTION("""COMPUTED_VALUE"""),"Wounded")</f>
        <v>Wounded</v>
      </c>
      <c r="C1171" s="5" t="str">
        <f ca="1">IFERROR(__xludf.DUMMYFUNCTION("""COMPUTED_VALUE"""),"Male")</f>
        <v>Male</v>
      </c>
      <c r="D1171" s="5" t="str">
        <f ca="1">IFERROR(__xludf.DUMMYFUNCTION("""COMPUTED_VALUE"""),"Student")</f>
        <v>Student</v>
      </c>
      <c r="E1171" s="5">
        <f ca="1">IFERROR(__xludf.DUMMYFUNCTION("""COMPUTED_VALUE"""),15)</f>
        <v>15</v>
      </c>
      <c r="F1171" s="5"/>
    </row>
    <row r="1172" spans="1:6">
      <c r="A1172" s="5" t="str">
        <f ca="1">IFERROR(__xludf.DUMMYFUNCTION("""COMPUTED_VALUE"""),"20150115WIWIM")</f>
        <v>20150115WIWIM</v>
      </c>
      <c r="B1172" s="5" t="str">
        <f ca="1">IFERROR(__xludf.DUMMYFUNCTION("""COMPUTED_VALUE"""),"Wounded")</f>
        <v>Wounded</v>
      </c>
      <c r="C1172" s="5" t="str">
        <f ca="1">IFERROR(__xludf.DUMMYFUNCTION("""COMPUTED_VALUE"""),"Male")</f>
        <v>Male</v>
      </c>
      <c r="D1172" s="5" t="str">
        <f ca="1">IFERROR(__xludf.DUMMYFUNCTION("""COMPUTED_VALUE"""),"Teacher")</f>
        <v>Teacher</v>
      </c>
      <c r="E1172" s="5" t="str">
        <f ca="1">IFERROR(__xludf.DUMMYFUNCTION("""COMPUTED_VALUE"""),"Adult")</f>
        <v>Adult</v>
      </c>
      <c r="F1172" s="5"/>
    </row>
    <row r="1173" spans="1:6">
      <c r="A1173" s="5" t="str">
        <f ca="1">IFERROR(__xludf.DUMMYFUNCTION("""COMPUTED_VALUE"""),"20150115WIWIM")</f>
        <v>20150115WIWIM</v>
      </c>
      <c r="B1173" s="5" t="str">
        <f ca="1">IFERROR(__xludf.DUMMYFUNCTION("""COMPUTED_VALUE"""),"Wounded")</f>
        <v>Wounded</v>
      </c>
      <c r="C1173" s="5" t="str">
        <f ca="1">IFERROR(__xludf.DUMMYFUNCTION("""COMPUTED_VALUE"""),"Male")</f>
        <v>Male</v>
      </c>
      <c r="D1173" s="5" t="str">
        <f ca="1">IFERROR(__xludf.DUMMYFUNCTION("""COMPUTED_VALUE"""),"Nonstudent Using Athletic Facilities/Attending Game")</f>
        <v>Nonstudent Using Athletic Facilities/Attending Game</v>
      </c>
      <c r="E1173" s="5" t="str">
        <f ca="1">IFERROR(__xludf.DUMMYFUNCTION("""COMPUTED_VALUE"""),"Adult")</f>
        <v>Adult</v>
      </c>
      <c r="F1173" s="5"/>
    </row>
    <row r="1174" spans="1:6">
      <c r="A1174" s="5" t="str">
        <f ca="1">IFERROR(__xludf.DUMMYFUNCTION("""COMPUTED_VALUE"""),"20141217MIGOW")</f>
        <v>20141217MIGOW</v>
      </c>
      <c r="B1174" s="5" t="str">
        <f ca="1">IFERROR(__xludf.DUMMYFUNCTION("""COMPUTED_VALUE"""),"Wounded")</f>
        <v>Wounded</v>
      </c>
      <c r="C1174" s="5" t="str">
        <f ca="1">IFERROR(__xludf.DUMMYFUNCTION("""COMPUTED_VALUE"""),"Male")</f>
        <v>Male</v>
      </c>
      <c r="D1174" s="5" t="str">
        <f ca="1">IFERROR(__xludf.DUMMYFUNCTION("""COMPUTED_VALUE"""),"Student")</f>
        <v>Student</v>
      </c>
      <c r="E1174" s="5">
        <f ca="1">IFERROR(__xludf.DUMMYFUNCTION("""COMPUTED_VALUE"""),15)</f>
        <v>15</v>
      </c>
      <c r="F1174" s="5" t="str">
        <f ca="1">IFERROR(__xludf.DUMMYFUNCTION("""COMPUTED_VALUE"""),"Black")</f>
        <v>Black</v>
      </c>
    </row>
    <row r="1175" spans="1:6">
      <c r="A1175" s="5" t="str">
        <f ca="1">IFERROR(__xludf.DUMMYFUNCTION("""COMPUTED_VALUE"""),"20141217MEBEW")</f>
        <v>20141217MEBEW</v>
      </c>
      <c r="B1175" s="5" t="str">
        <f ca="1">IFERROR(__xludf.DUMMYFUNCTION("""COMPUTED_VALUE"""),"None")</f>
        <v>None</v>
      </c>
      <c r="C1175" s="5" t="str">
        <f ca="1">IFERROR(__xludf.DUMMYFUNCTION("""COMPUTED_VALUE"""),"Male")</f>
        <v>Male</v>
      </c>
      <c r="D1175" s="5" t="str">
        <f ca="1">IFERROR(__xludf.DUMMYFUNCTION("""COMPUTED_VALUE"""),"No Relation")</f>
        <v>No Relation</v>
      </c>
      <c r="E1175" s="5">
        <f ca="1">IFERROR(__xludf.DUMMYFUNCTION("""COMPUTED_VALUE"""),41)</f>
        <v>41</v>
      </c>
      <c r="F1175" s="5" t="str">
        <f ca="1">IFERROR(__xludf.DUMMYFUNCTION("""COMPUTED_VALUE"""),"White")</f>
        <v>White</v>
      </c>
    </row>
    <row r="1176" spans="1:6">
      <c r="A1176" s="5" t="str">
        <f ca="1">IFERROR(__xludf.DUMMYFUNCTION("""COMPUTED_VALUE"""),"20141216PASUP")</f>
        <v>20141216PASUP</v>
      </c>
      <c r="B1176" s="5" t="str">
        <f ca="1">IFERROR(__xludf.DUMMYFUNCTION("""COMPUTED_VALUE"""),"Fatal")</f>
        <v>Fatal</v>
      </c>
      <c r="C1176" s="5" t="str">
        <f ca="1">IFERROR(__xludf.DUMMYFUNCTION("""COMPUTED_VALUE"""),"Male")</f>
        <v>Male</v>
      </c>
      <c r="D1176" s="5" t="str">
        <f ca="1">IFERROR(__xludf.DUMMYFUNCTION("""COMPUTED_VALUE"""),"No Relation")</f>
        <v>No Relation</v>
      </c>
      <c r="E1176" s="5">
        <f ca="1">IFERROR(__xludf.DUMMYFUNCTION("""COMPUTED_VALUE"""),20)</f>
        <v>20</v>
      </c>
      <c r="F1176" s="5" t="str">
        <f ca="1">IFERROR(__xludf.DUMMYFUNCTION("""COMPUTED_VALUE"""),"Black")</f>
        <v>Black</v>
      </c>
    </row>
    <row r="1177" spans="1:6">
      <c r="A1177" s="5" t="str">
        <f ca="1">IFERROR(__xludf.DUMMYFUNCTION("""COMPUTED_VALUE"""),"20141212ORROP")</f>
        <v>20141212ORROP</v>
      </c>
      <c r="B1177" s="5" t="str">
        <f ca="1">IFERROR(__xludf.DUMMYFUNCTION("""COMPUTED_VALUE"""),"Wounded")</f>
        <v>Wounded</v>
      </c>
      <c r="C1177" s="5" t="str">
        <f ca="1">IFERROR(__xludf.DUMMYFUNCTION("""COMPUTED_VALUE"""),"Male")</f>
        <v>Male</v>
      </c>
      <c r="D1177" s="5" t="str">
        <f ca="1">IFERROR(__xludf.DUMMYFUNCTION("""COMPUTED_VALUE"""),"Student")</f>
        <v>Student</v>
      </c>
      <c r="E1177" s="5">
        <f ca="1">IFERROR(__xludf.DUMMYFUNCTION("""COMPUTED_VALUE"""),16)</f>
        <v>16</v>
      </c>
      <c r="F1177" s="5" t="str">
        <f ca="1">IFERROR(__xludf.DUMMYFUNCTION("""COMPUTED_VALUE"""),"Black")</f>
        <v>Black</v>
      </c>
    </row>
    <row r="1178" spans="1:6">
      <c r="A1178" s="5" t="str">
        <f ca="1">IFERROR(__xludf.DUMMYFUNCTION("""COMPUTED_VALUE"""),"20141212ORROP")</f>
        <v>20141212ORROP</v>
      </c>
      <c r="B1178" s="5" t="str">
        <f ca="1">IFERROR(__xludf.DUMMYFUNCTION("""COMPUTED_VALUE"""),"Wounded")</f>
        <v>Wounded</v>
      </c>
      <c r="C1178" s="5" t="str">
        <f ca="1">IFERROR(__xludf.DUMMYFUNCTION("""COMPUTED_VALUE"""),"Female")</f>
        <v>Female</v>
      </c>
      <c r="D1178" s="5" t="str">
        <f ca="1">IFERROR(__xludf.DUMMYFUNCTION("""COMPUTED_VALUE"""),"Student")</f>
        <v>Student</v>
      </c>
      <c r="E1178" s="5">
        <f ca="1">IFERROR(__xludf.DUMMYFUNCTION("""COMPUTED_VALUE"""),17)</f>
        <v>17</v>
      </c>
      <c r="F1178" s="5" t="str">
        <f ca="1">IFERROR(__xludf.DUMMYFUNCTION("""COMPUTED_VALUE"""),"Black")</f>
        <v>Black</v>
      </c>
    </row>
    <row r="1179" spans="1:6">
      <c r="A1179" s="5" t="str">
        <f ca="1">IFERROR(__xludf.DUMMYFUNCTION("""COMPUTED_VALUE"""),"20141212ORROP")</f>
        <v>20141212ORROP</v>
      </c>
      <c r="B1179" s="5" t="str">
        <f ca="1">IFERROR(__xludf.DUMMYFUNCTION("""COMPUTED_VALUE"""),"Wounded")</f>
        <v>Wounded</v>
      </c>
      <c r="C1179" s="5" t="str">
        <f ca="1">IFERROR(__xludf.DUMMYFUNCTION("""COMPUTED_VALUE"""),"Male")</f>
        <v>Male</v>
      </c>
      <c r="D1179" s="5" t="str">
        <f ca="1">IFERROR(__xludf.DUMMYFUNCTION("""COMPUTED_VALUE"""),"Gang Member")</f>
        <v>Gang Member</v>
      </c>
      <c r="E1179" s="5">
        <f ca="1">IFERROR(__xludf.DUMMYFUNCTION("""COMPUTED_VALUE"""),20)</f>
        <v>20</v>
      </c>
      <c r="F1179" s="5" t="str">
        <f ca="1">IFERROR(__xludf.DUMMYFUNCTION("""COMPUTED_VALUE"""),"Black")</f>
        <v>Black</v>
      </c>
    </row>
    <row r="1180" spans="1:6">
      <c r="A1180" s="5" t="str">
        <f ca="1">IFERROR(__xludf.DUMMYFUNCTION("""COMPUTED_VALUE"""),"20141212ORROP")</f>
        <v>20141212ORROP</v>
      </c>
      <c r="B1180" s="5" t="str">
        <f ca="1">IFERROR(__xludf.DUMMYFUNCTION("""COMPUTED_VALUE"""),"Wounded")</f>
        <v>Wounded</v>
      </c>
      <c r="C1180" s="5" t="str">
        <f ca="1">IFERROR(__xludf.DUMMYFUNCTION("""COMPUTED_VALUE"""),"Female")</f>
        <v>Female</v>
      </c>
      <c r="D1180" s="5" t="str">
        <f ca="1">IFERROR(__xludf.DUMMYFUNCTION("""COMPUTED_VALUE"""),"Student")</f>
        <v>Student</v>
      </c>
      <c r="E1180" s="5">
        <f ca="1">IFERROR(__xludf.DUMMYFUNCTION("""COMPUTED_VALUE"""),17)</f>
        <v>17</v>
      </c>
      <c r="F1180" s="5" t="str">
        <f ca="1">IFERROR(__xludf.DUMMYFUNCTION("""COMPUTED_VALUE"""),"Black")</f>
        <v>Black</v>
      </c>
    </row>
    <row r="1181" spans="1:6">
      <c r="A1181" s="5" t="str">
        <f ca="1">IFERROR(__xludf.DUMMYFUNCTION("""COMPUTED_VALUE"""),"20141120FLMIM")</f>
        <v>20141120FLMIM</v>
      </c>
      <c r="B1181" s="5" t="str">
        <f ca="1">IFERROR(__xludf.DUMMYFUNCTION("""COMPUTED_VALUE"""),"Fatal")</f>
        <v>Fatal</v>
      </c>
      <c r="C1181" s="5" t="str">
        <f ca="1">IFERROR(__xludf.DUMMYFUNCTION("""COMPUTED_VALUE"""),"Male")</f>
        <v>Male</v>
      </c>
      <c r="D1181" s="5" t="str">
        <f ca="1">IFERROR(__xludf.DUMMYFUNCTION("""COMPUTED_VALUE"""),"No Relation")</f>
        <v>No Relation</v>
      </c>
      <c r="E1181" s="5">
        <f ca="1">IFERROR(__xludf.DUMMYFUNCTION("""COMPUTED_VALUE"""),16)</f>
        <v>16</v>
      </c>
      <c r="F1181" s="5" t="str">
        <f ca="1">IFERROR(__xludf.DUMMYFUNCTION("""COMPUTED_VALUE"""),"Black")</f>
        <v>Black</v>
      </c>
    </row>
    <row r="1182" spans="1:6">
      <c r="A1182" s="5" t="str">
        <f ca="1">IFERROR(__xludf.DUMMYFUNCTION("""COMPUTED_VALUE"""),"20141120FLMIM")</f>
        <v>20141120FLMIM</v>
      </c>
      <c r="B1182" s="5" t="str">
        <f ca="1">IFERROR(__xludf.DUMMYFUNCTION("""COMPUTED_VALUE"""),"Wounded")</f>
        <v>Wounded</v>
      </c>
      <c r="C1182" s="5" t="str">
        <f ca="1">IFERROR(__xludf.DUMMYFUNCTION("""COMPUTED_VALUE"""),"Male")</f>
        <v>Male</v>
      </c>
      <c r="D1182" s="5" t="str">
        <f ca="1">IFERROR(__xludf.DUMMYFUNCTION("""COMPUTED_VALUE"""),"No Relation")</f>
        <v>No Relation</v>
      </c>
      <c r="E1182" s="5">
        <f ca="1">IFERROR(__xludf.DUMMYFUNCTION("""COMPUTED_VALUE"""),17)</f>
        <v>17</v>
      </c>
      <c r="F1182" s="5" t="str">
        <f ca="1">IFERROR(__xludf.DUMMYFUNCTION("""COMPUTED_VALUE"""),"Black")</f>
        <v>Black</v>
      </c>
    </row>
    <row r="1183" spans="1:6">
      <c r="A1183" s="5" t="str">
        <f ca="1">IFERROR(__xludf.DUMMYFUNCTION("""COMPUTED_VALUE"""),"20141024WAMAM")</f>
        <v>20141024WAMAM</v>
      </c>
      <c r="B1183" s="5" t="str">
        <f ca="1">IFERROR(__xludf.DUMMYFUNCTION("""COMPUTED_VALUE"""),"Fatal")</f>
        <v>Fatal</v>
      </c>
      <c r="C1183" s="5" t="str">
        <f ca="1">IFERROR(__xludf.DUMMYFUNCTION("""COMPUTED_VALUE"""),"Male")</f>
        <v>Male</v>
      </c>
      <c r="D1183" s="5" t="str">
        <f ca="1">IFERROR(__xludf.DUMMYFUNCTION("""COMPUTED_VALUE"""),"Student")</f>
        <v>Student</v>
      </c>
      <c r="E1183" s="5">
        <f ca="1">IFERROR(__xludf.DUMMYFUNCTION("""COMPUTED_VALUE"""),15)</f>
        <v>15</v>
      </c>
      <c r="F1183" s="5"/>
    </row>
    <row r="1184" spans="1:6">
      <c r="A1184" s="5" t="str">
        <f ca="1">IFERROR(__xludf.DUMMYFUNCTION("""COMPUTED_VALUE"""),"20141024WAMAM")</f>
        <v>20141024WAMAM</v>
      </c>
      <c r="B1184" s="5" t="str">
        <f ca="1">IFERROR(__xludf.DUMMYFUNCTION("""COMPUTED_VALUE"""),"Wounded")</f>
        <v>Wounded</v>
      </c>
      <c r="C1184" s="5" t="str">
        <f ca="1">IFERROR(__xludf.DUMMYFUNCTION("""COMPUTED_VALUE"""),"Male")</f>
        <v>Male</v>
      </c>
      <c r="D1184" s="5" t="str">
        <f ca="1">IFERROR(__xludf.DUMMYFUNCTION("""COMPUTED_VALUE"""),"Student")</f>
        <v>Student</v>
      </c>
      <c r="E1184" s="5">
        <f ca="1">IFERROR(__xludf.DUMMYFUNCTION("""COMPUTED_VALUE"""),14)</f>
        <v>14</v>
      </c>
      <c r="F1184" s="5"/>
    </row>
    <row r="1185" spans="1:6">
      <c r="A1185" s="5" t="str">
        <f ca="1">IFERROR(__xludf.DUMMYFUNCTION("""COMPUTED_VALUE"""),"20141024WAMAM")</f>
        <v>20141024WAMAM</v>
      </c>
      <c r="B1185" s="5" t="str">
        <f ca="1">IFERROR(__xludf.DUMMYFUNCTION("""COMPUTED_VALUE"""),"Wounded")</f>
        <v>Wounded</v>
      </c>
      <c r="C1185" s="5" t="str">
        <f ca="1">IFERROR(__xludf.DUMMYFUNCTION("""COMPUTED_VALUE"""),"Unknown")</f>
        <v>Unknown</v>
      </c>
      <c r="D1185" s="5" t="str">
        <f ca="1">IFERROR(__xludf.DUMMYFUNCTION("""COMPUTED_VALUE"""),"Student")</f>
        <v>Student</v>
      </c>
      <c r="E1185" s="5" t="str">
        <f ca="1">IFERROR(__xludf.DUMMYFUNCTION("""COMPUTED_VALUE"""),"Teen")</f>
        <v>Teen</v>
      </c>
      <c r="F1185" s="5"/>
    </row>
    <row r="1186" spans="1:6">
      <c r="A1186" s="5" t="str">
        <f ca="1">IFERROR(__xludf.DUMMYFUNCTION("""COMPUTED_VALUE"""),"20141024WAMAM")</f>
        <v>20141024WAMAM</v>
      </c>
      <c r="B1186" s="5" t="str">
        <f ca="1">IFERROR(__xludf.DUMMYFUNCTION("""COMPUTED_VALUE"""),"Fatal")</f>
        <v>Fatal</v>
      </c>
      <c r="C1186" s="5" t="str">
        <f ca="1">IFERROR(__xludf.DUMMYFUNCTION("""COMPUTED_VALUE"""),"Female")</f>
        <v>Female</v>
      </c>
      <c r="D1186" s="5" t="str">
        <f ca="1">IFERROR(__xludf.DUMMYFUNCTION("""COMPUTED_VALUE"""),"Student")</f>
        <v>Student</v>
      </c>
      <c r="E1186" s="5">
        <f ca="1">IFERROR(__xludf.DUMMYFUNCTION("""COMPUTED_VALUE"""),14)</f>
        <v>14</v>
      </c>
      <c r="F1186" s="5"/>
    </row>
    <row r="1187" spans="1:6">
      <c r="A1187" s="5" t="str">
        <f ca="1">IFERROR(__xludf.DUMMYFUNCTION("""COMPUTED_VALUE"""),"20141024WAMAM")</f>
        <v>20141024WAMAM</v>
      </c>
      <c r="B1187" s="5" t="str">
        <f ca="1">IFERROR(__xludf.DUMMYFUNCTION("""COMPUTED_VALUE"""),"Wounded")</f>
        <v>Wounded</v>
      </c>
      <c r="C1187" s="5" t="str">
        <f ca="1">IFERROR(__xludf.DUMMYFUNCTION("""COMPUTED_VALUE"""),"Unknown")</f>
        <v>Unknown</v>
      </c>
      <c r="D1187" s="5" t="str">
        <f ca="1">IFERROR(__xludf.DUMMYFUNCTION("""COMPUTED_VALUE"""),"Student")</f>
        <v>Student</v>
      </c>
      <c r="E1187" s="5" t="str">
        <f ca="1">IFERROR(__xludf.DUMMYFUNCTION("""COMPUTED_VALUE"""),"Teen")</f>
        <v>Teen</v>
      </c>
      <c r="F1187" s="5"/>
    </row>
    <row r="1188" spans="1:6">
      <c r="A1188" s="5" t="str">
        <f ca="1">IFERROR(__xludf.DUMMYFUNCTION("""COMPUTED_VALUE"""),"20141024WAMAM")</f>
        <v>20141024WAMAM</v>
      </c>
      <c r="B1188" s="5" t="str">
        <f ca="1">IFERROR(__xludf.DUMMYFUNCTION("""COMPUTED_VALUE"""),"Fatal")</f>
        <v>Fatal</v>
      </c>
      <c r="C1188" s="5" t="str">
        <f ca="1">IFERROR(__xludf.DUMMYFUNCTION("""COMPUTED_VALUE"""),"Female")</f>
        <v>Female</v>
      </c>
      <c r="D1188" s="5" t="str">
        <f ca="1">IFERROR(__xludf.DUMMYFUNCTION("""COMPUTED_VALUE"""),"Student")</f>
        <v>Student</v>
      </c>
      <c r="E1188" s="5">
        <f ca="1">IFERROR(__xludf.DUMMYFUNCTION("""COMPUTED_VALUE"""),14)</f>
        <v>14</v>
      </c>
      <c r="F1188" s="5"/>
    </row>
    <row r="1189" spans="1:6">
      <c r="A1189" s="5" t="str">
        <f ca="1">IFERROR(__xludf.DUMMYFUNCTION("""COMPUTED_VALUE"""),"20141024WAMAM")</f>
        <v>20141024WAMAM</v>
      </c>
      <c r="B1189" s="5" t="str">
        <f ca="1">IFERROR(__xludf.DUMMYFUNCTION("""COMPUTED_VALUE"""),"Fatal")</f>
        <v>Fatal</v>
      </c>
      <c r="C1189" s="5" t="str">
        <f ca="1">IFERROR(__xludf.DUMMYFUNCTION("""COMPUTED_VALUE"""),"Female")</f>
        <v>Female</v>
      </c>
      <c r="D1189" s="5" t="str">
        <f ca="1">IFERROR(__xludf.DUMMYFUNCTION("""COMPUTED_VALUE"""),"Student")</f>
        <v>Student</v>
      </c>
      <c r="E1189" s="5">
        <f ca="1">IFERROR(__xludf.DUMMYFUNCTION("""COMPUTED_VALUE"""),14)</f>
        <v>14</v>
      </c>
      <c r="F1189" s="5"/>
    </row>
    <row r="1190" spans="1:6">
      <c r="A1190" s="5" t="str">
        <f ca="1">IFERROR(__xludf.DUMMYFUNCTION("""COMPUTED_VALUE"""),"20141024GALAA")</f>
        <v>20141024GALAA</v>
      </c>
      <c r="B1190" s="5" t="str">
        <f ca="1">IFERROR(__xludf.DUMMYFUNCTION("""COMPUTED_VALUE"""),"Wounded")</f>
        <v>Wounded</v>
      </c>
      <c r="C1190" s="5" t="str">
        <f ca="1">IFERROR(__xludf.DUMMYFUNCTION("""COMPUTED_VALUE"""),"Male")</f>
        <v>Male</v>
      </c>
      <c r="D1190" s="5" t="str">
        <f ca="1">IFERROR(__xludf.DUMMYFUNCTION("""COMPUTED_VALUE"""),"Student")</f>
        <v>Student</v>
      </c>
      <c r="E1190" s="5">
        <f ca="1">IFERROR(__xludf.DUMMYFUNCTION("""COMPUTED_VALUE"""),17)</f>
        <v>17</v>
      </c>
      <c r="F1190" s="5" t="str">
        <f ca="1">IFERROR(__xludf.DUMMYFUNCTION("""COMPUTED_VALUE"""),"Black")</f>
        <v>Black</v>
      </c>
    </row>
    <row r="1191" spans="1:6">
      <c r="A1191" s="5" t="str">
        <f ca="1">IFERROR(__xludf.DUMMYFUNCTION("""COMPUTED_VALUE"""),"20141021TNAMM")</f>
        <v>20141021TNAMM</v>
      </c>
      <c r="B1191" s="5" t="str">
        <f ca="1">IFERROR(__xludf.DUMMYFUNCTION("""COMPUTED_VALUE"""),"Wounded")</f>
        <v>Wounded</v>
      </c>
      <c r="C1191" s="5" t="str">
        <f ca="1">IFERROR(__xludf.DUMMYFUNCTION("""COMPUTED_VALUE"""),"Male")</f>
        <v>Male</v>
      </c>
      <c r="D1191" s="5" t="str">
        <f ca="1">IFERROR(__xludf.DUMMYFUNCTION("""COMPUTED_VALUE"""),"Student")</f>
        <v>Student</v>
      </c>
      <c r="E1191" s="5">
        <f ca="1">IFERROR(__xludf.DUMMYFUNCTION("""COMPUTED_VALUE"""),13)</f>
        <v>13</v>
      </c>
      <c r="F1191" s="5"/>
    </row>
    <row r="1192" spans="1:6">
      <c r="A1192" s="5" t="str">
        <f ca="1">IFERROR(__xludf.DUMMYFUNCTION("""COMPUTED_VALUE"""),"20141003GALAF")</f>
        <v>20141003GALAF</v>
      </c>
      <c r="B1192" s="5" t="str">
        <f ca="1">IFERROR(__xludf.DUMMYFUNCTION("""COMPUTED_VALUE"""),"Fatal")</f>
        <v>Fatal</v>
      </c>
      <c r="C1192" s="5" t="str">
        <f ca="1">IFERROR(__xludf.DUMMYFUNCTION("""COMPUTED_VALUE"""),"Male")</f>
        <v>Male</v>
      </c>
      <c r="D1192" s="5" t="str">
        <f ca="1">IFERROR(__xludf.DUMMYFUNCTION("""COMPUTED_VALUE"""),"No Relation")</f>
        <v>No Relation</v>
      </c>
      <c r="E1192" s="5">
        <f ca="1">IFERROR(__xludf.DUMMYFUNCTION("""COMPUTED_VALUE"""),17)</f>
        <v>17</v>
      </c>
      <c r="F1192" s="5" t="str">
        <f ca="1">IFERROR(__xludf.DUMMYFUNCTION("""COMPUTED_VALUE"""),"Black")</f>
        <v>Black</v>
      </c>
    </row>
    <row r="1193" spans="1:6">
      <c r="A1193" s="5" t="str">
        <f ca="1">IFERROR(__xludf.DUMMYFUNCTION("""COMPUTED_VALUE"""),"20140930NCALA")</f>
        <v>20140930NCALA</v>
      </c>
      <c r="B1193" s="5" t="str">
        <f ca="1">IFERROR(__xludf.DUMMYFUNCTION("""COMPUTED_VALUE"""),"Wounded")</f>
        <v>Wounded</v>
      </c>
      <c r="C1193" s="5" t="str">
        <f ca="1">IFERROR(__xludf.DUMMYFUNCTION("""COMPUTED_VALUE"""),"Male")</f>
        <v>Male</v>
      </c>
      <c r="D1193" s="5" t="str">
        <f ca="1">IFERROR(__xludf.DUMMYFUNCTION("""COMPUTED_VALUE"""),"Student")</f>
        <v>Student</v>
      </c>
      <c r="E1193" s="5" t="str">
        <f ca="1">IFERROR(__xludf.DUMMYFUNCTION("""COMPUTED_VALUE"""),"Teen")</f>
        <v>Teen</v>
      </c>
      <c r="F1193" s="5" t="str">
        <f ca="1">IFERROR(__xludf.DUMMYFUNCTION("""COMPUTED_VALUE"""),"Black")</f>
        <v>Black</v>
      </c>
    </row>
    <row r="1194" spans="1:6">
      <c r="A1194" s="5" t="str">
        <f ca="1">IFERROR(__xludf.DUMMYFUNCTION("""COMPUTED_VALUE"""),"20140930KYFEL")</f>
        <v>20140930KYFEL</v>
      </c>
      <c r="B1194" s="5" t="str">
        <f ca="1">IFERROR(__xludf.DUMMYFUNCTION("""COMPUTED_VALUE"""),"Wounded")</f>
        <v>Wounded</v>
      </c>
      <c r="C1194" s="5" t="str">
        <f ca="1">IFERROR(__xludf.DUMMYFUNCTION("""COMPUTED_VALUE"""),"Male")</f>
        <v>Male</v>
      </c>
      <c r="D1194" s="5" t="str">
        <f ca="1">IFERROR(__xludf.DUMMYFUNCTION("""COMPUTED_VALUE"""),"Student")</f>
        <v>Student</v>
      </c>
      <c r="E1194" s="5">
        <f ca="1">IFERROR(__xludf.DUMMYFUNCTION("""COMPUTED_VALUE"""),15)</f>
        <v>15</v>
      </c>
      <c r="F1194" s="5" t="str">
        <f ca="1">IFERROR(__xludf.DUMMYFUNCTION("""COMPUTED_VALUE"""),"Black")</f>
        <v>Black</v>
      </c>
    </row>
    <row r="1195" spans="1:6">
      <c r="A1195" s="5" t="str">
        <f ca="1">IFERROR(__xludf.DUMMYFUNCTION("""COMPUTED_VALUE"""),"20140925NHWEM")</f>
        <v>20140925NHWEM</v>
      </c>
      <c r="B1195" s="5" t="str">
        <f ca="1">IFERROR(__xludf.DUMMYFUNCTION("""COMPUTED_VALUE"""),"None")</f>
        <v>None</v>
      </c>
      <c r="C1195" s="5"/>
      <c r="D1195" s="5"/>
      <c r="E1195" s="5"/>
      <c r="F1195" s="5"/>
    </row>
    <row r="1196" spans="1:6">
      <c r="A1196" s="5" t="str">
        <f ca="1">IFERROR(__xludf.DUMMYFUNCTION("""COMPUTED_VALUE"""),"20140919IANOD")</f>
        <v>20140919IANOD</v>
      </c>
      <c r="B1196" s="5" t="str">
        <f ca="1">IFERROR(__xludf.DUMMYFUNCTION("""COMPUTED_VALUE"""),"Wounded")</f>
        <v>Wounded</v>
      </c>
      <c r="C1196" s="5" t="str">
        <f ca="1">IFERROR(__xludf.DUMMYFUNCTION("""COMPUTED_VALUE"""),"Male")</f>
        <v>Male</v>
      </c>
      <c r="D1196" s="5" t="str">
        <f ca="1">IFERROR(__xludf.DUMMYFUNCTION("""COMPUTED_VALUE"""),"Student")</f>
        <v>Student</v>
      </c>
      <c r="E1196" s="5" t="str">
        <f ca="1">IFERROR(__xludf.DUMMYFUNCTION("""COMPUTED_VALUE"""),"Teen")</f>
        <v>Teen</v>
      </c>
      <c r="F1196" s="5"/>
    </row>
    <row r="1197" spans="1:6">
      <c r="A1197" s="5" t="str">
        <f ca="1">IFERROR(__xludf.DUMMYFUNCTION("""COMPUTED_VALUE"""),"20140911UTWET")</f>
        <v>20140911UTWET</v>
      </c>
      <c r="B1197" s="5" t="str">
        <f ca="1">IFERROR(__xludf.DUMMYFUNCTION("""COMPUTED_VALUE"""),"None")</f>
        <v>None</v>
      </c>
      <c r="C1197" s="5" t="str">
        <f ca="1">IFERROR(__xludf.DUMMYFUNCTION("""COMPUTED_VALUE"""),"Female")</f>
        <v>Female</v>
      </c>
      <c r="D1197" s="5" t="str">
        <f ca="1">IFERROR(__xludf.DUMMYFUNCTION("""COMPUTED_VALUE"""),"Teacher")</f>
        <v>Teacher</v>
      </c>
      <c r="E1197" s="5">
        <f ca="1">IFERROR(__xludf.DUMMYFUNCTION("""COMPUTED_VALUE"""),39)</f>
        <v>39</v>
      </c>
      <c r="F1197" s="5" t="str">
        <f ca="1">IFERROR(__xludf.DUMMYFUNCTION("""COMPUTED_VALUE"""),"White")</f>
        <v>White</v>
      </c>
    </row>
    <row r="1198" spans="1:6">
      <c r="A1198" s="5" t="str">
        <f ca="1">IFERROR(__xludf.DUMMYFUNCTION("""COMPUTED_VALUE"""),"20140910FLGRL")</f>
        <v>20140910FLGRL</v>
      </c>
      <c r="B1198" s="5" t="str">
        <f ca="1">IFERROR(__xludf.DUMMYFUNCTION("""COMPUTED_VALUE"""),"None")</f>
        <v>None</v>
      </c>
      <c r="C1198" s="5" t="str">
        <f ca="1">IFERROR(__xludf.DUMMYFUNCTION("""COMPUTED_VALUE"""),"Male")</f>
        <v>Male</v>
      </c>
      <c r="D1198" s="5" t="str">
        <f ca="1">IFERROR(__xludf.DUMMYFUNCTION("""COMPUTED_VALUE"""),"Student")</f>
        <v>Student</v>
      </c>
      <c r="E1198" s="5">
        <f ca="1">IFERROR(__xludf.DUMMYFUNCTION("""COMPUTED_VALUE"""),14)</f>
        <v>14</v>
      </c>
      <c r="F1198" s="5" t="str">
        <f ca="1">IFERROR(__xludf.DUMMYFUNCTION("""COMPUTED_VALUE"""),"Black")</f>
        <v>Black</v>
      </c>
    </row>
    <row r="1199" spans="1:6">
      <c r="A1199" s="5" t="str">
        <f ca="1">IFERROR(__xludf.DUMMYFUNCTION("""COMPUTED_VALUE"""),"20140909FLSTM")</f>
        <v>20140909FLSTM</v>
      </c>
      <c r="B1199" s="5" t="str">
        <f ca="1">IFERROR(__xludf.DUMMYFUNCTION("""COMPUTED_VALUE"""),"Wounded")</f>
        <v>Wounded</v>
      </c>
      <c r="C1199" s="5" t="str">
        <f ca="1">IFERROR(__xludf.DUMMYFUNCTION("""COMPUTED_VALUE"""),"Male")</f>
        <v>Male</v>
      </c>
      <c r="D1199" s="5"/>
      <c r="E1199" s="5"/>
      <c r="F1199" s="5"/>
    </row>
    <row r="1200" spans="1:6">
      <c r="A1200" s="5" t="str">
        <f ca="1">IFERROR(__xludf.DUMMYFUNCTION("""COMPUTED_VALUE"""),"20140814VASAN")</f>
        <v>20140814VASAN</v>
      </c>
      <c r="B1200" s="5" t="str">
        <f ca="1">IFERROR(__xludf.DUMMYFUNCTION("""COMPUTED_VALUE"""),"Wounded")</f>
        <v>Wounded</v>
      </c>
      <c r="C1200" s="5" t="str">
        <f ca="1">IFERROR(__xludf.DUMMYFUNCTION("""COMPUTED_VALUE"""),"Male")</f>
        <v>Male</v>
      </c>
      <c r="D1200" s="5" t="str">
        <f ca="1">IFERROR(__xludf.DUMMYFUNCTION("""COMPUTED_VALUE"""),"No Relation")</f>
        <v>No Relation</v>
      </c>
      <c r="E1200" s="5">
        <f ca="1">IFERROR(__xludf.DUMMYFUNCTION("""COMPUTED_VALUE"""),17)</f>
        <v>17</v>
      </c>
      <c r="F1200" s="5" t="str">
        <f ca="1">IFERROR(__xludf.DUMMYFUNCTION("""COMPUTED_VALUE"""),"Black")</f>
        <v>Black</v>
      </c>
    </row>
    <row r="1201" spans="1:6">
      <c r="A1201" s="5" t="str">
        <f ca="1">IFERROR(__xludf.DUMMYFUNCTION("""COMPUTED_VALUE"""),"20140814VASAN")</f>
        <v>20140814VASAN</v>
      </c>
      <c r="B1201" s="5" t="str">
        <f ca="1">IFERROR(__xludf.DUMMYFUNCTION("""COMPUTED_VALUE"""),"Fatal")</f>
        <v>Fatal</v>
      </c>
      <c r="C1201" s="5" t="str">
        <f ca="1">IFERROR(__xludf.DUMMYFUNCTION("""COMPUTED_VALUE"""),"Male")</f>
        <v>Male</v>
      </c>
      <c r="D1201" s="5" t="str">
        <f ca="1">IFERROR(__xludf.DUMMYFUNCTION("""COMPUTED_VALUE"""),"No Relation")</f>
        <v>No Relation</v>
      </c>
      <c r="E1201" s="5">
        <f ca="1">IFERROR(__xludf.DUMMYFUNCTION("""COMPUTED_VALUE"""),16)</f>
        <v>16</v>
      </c>
      <c r="F1201" s="5" t="str">
        <f ca="1">IFERROR(__xludf.DUMMYFUNCTION("""COMPUTED_VALUE"""),"Black")</f>
        <v>Black</v>
      </c>
    </row>
    <row r="1202" spans="1:6">
      <c r="A1202" s="5" t="str">
        <f ca="1">IFERROR(__xludf.DUMMYFUNCTION("""COMPUTED_VALUE"""),"20140814VASAN")</f>
        <v>20140814VASAN</v>
      </c>
      <c r="B1202" s="5" t="str">
        <f ca="1">IFERROR(__xludf.DUMMYFUNCTION("""COMPUTED_VALUE"""),"Fatal")</f>
        <v>Fatal</v>
      </c>
      <c r="C1202" s="5" t="str">
        <f ca="1">IFERROR(__xludf.DUMMYFUNCTION("""COMPUTED_VALUE"""),"Male")</f>
        <v>Male</v>
      </c>
      <c r="D1202" s="5" t="str">
        <f ca="1">IFERROR(__xludf.DUMMYFUNCTION("""COMPUTED_VALUE"""),"No Relation")</f>
        <v>No Relation</v>
      </c>
      <c r="E1202" s="5">
        <f ca="1">IFERROR(__xludf.DUMMYFUNCTION("""COMPUTED_VALUE"""),17)</f>
        <v>17</v>
      </c>
      <c r="F1202" s="5" t="str">
        <f ca="1">IFERROR(__xludf.DUMMYFUNCTION("""COMPUTED_VALUE"""),"Black")</f>
        <v>Black</v>
      </c>
    </row>
    <row r="1203" spans="1:6">
      <c r="A1203" s="5" t="str">
        <f ca="1">IFERROR(__xludf.DUMMYFUNCTION("""COMPUTED_VALUE"""),"20140813MDHEF")</f>
        <v>20140813MDHEF</v>
      </c>
      <c r="B1203" s="5" t="str">
        <f ca="1">IFERROR(__xludf.DUMMYFUNCTION("""COMPUTED_VALUE"""),"None")</f>
        <v>None</v>
      </c>
      <c r="C1203" s="5"/>
      <c r="D1203" s="5"/>
      <c r="E1203" s="5"/>
      <c r="F1203" s="5"/>
    </row>
    <row r="1204" spans="1:6">
      <c r="A1204" s="5" t="str">
        <f ca="1">IFERROR(__xludf.DUMMYFUNCTION("""COMPUTED_VALUE"""),"20140623MOKEB")</f>
        <v>20140623MOKEB</v>
      </c>
      <c r="B1204" s="5" t="str">
        <f ca="1">IFERROR(__xludf.DUMMYFUNCTION("""COMPUTED_VALUE"""),"Fatal")</f>
        <v>Fatal</v>
      </c>
      <c r="C1204" s="5" t="str">
        <f ca="1">IFERROR(__xludf.DUMMYFUNCTION("""COMPUTED_VALUE"""),"Male")</f>
        <v>Male</v>
      </c>
      <c r="D1204" s="5" t="str">
        <f ca="1">IFERROR(__xludf.DUMMYFUNCTION("""COMPUTED_VALUE"""),"Student")</f>
        <v>Student</v>
      </c>
      <c r="E1204" s="5">
        <f ca="1">IFERROR(__xludf.DUMMYFUNCTION("""COMPUTED_VALUE"""),15)</f>
        <v>15</v>
      </c>
      <c r="F1204" s="5" t="str">
        <f ca="1">IFERROR(__xludf.DUMMYFUNCTION("""COMPUTED_VALUE"""),"White")</f>
        <v>White</v>
      </c>
    </row>
    <row r="1205" spans="1:6">
      <c r="A1205" s="5" t="str">
        <f ca="1">IFERROR(__xludf.DUMMYFUNCTION("""COMPUTED_VALUE"""),"20140610ORRET")</f>
        <v>20140610ORRET</v>
      </c>
      <c r="B1205" s="5" t="str">
        <f ca="1">IFERROR(__xludf.DUMMYFUNCTION("""COMPUTED_VALUE"""),"Fatal")</f>
        <v>Fatal</v>
      </c>
      <c r="C1205" s="5" t="str">
        <f ca="1">IFERROR(__xludf.DUMMYFUNCTION("""COMPUTED_VALUE"""),"Male")</f>
        <v>Male</v>
      </c>
      <c r="D1205" s="5" t="str">
        <f ca="1">IFERROR(__xludf.DUMMYFUNCTION("""COMPUTED_VALUE"""),"Student")</f>
        <v>Student</v>
      </c>
      <c r="E1205" s="5">
        <f ca="1">IFERROR(__xludf.DUMMYFUNCTION("""COMPUTED_VALUE"""),14)</f>
        <v>14</v>
      </c>
      <c r="F1205" s="5" t="str">
        <f ca="1">IFERROR(__xludf.DUMMYFUNCTION("""COMPUTED_VALUE"""),"White")</f>
        <v>White</v>
      </c>
    </row>
    <row r="1206" spans="1:6">
      <c r="A1206" s="5" t="str">
        <f ca="1">IFERROR(__xludf.DUMMYFUNCTION("""COMPUTED_VALUE"""),"20140610ORRET")</f>
        <v>20140610ORRET</v>
      </c>
      <c r="B1206" s="5" t="str">
        <f ca="1">IFERROR(__xludf.DUMMYFUNCTION("""COMPUTED_VALUE"""),"Wounded")</f>
        <v>Wounded</v>
      </c>
      <c r="C1206" s="5" t="str">
        <f ca="1">IFERROR(__xludf.DUMMYFUNCTION("""COMPUTED_VALUE"""),"Male")</f>
        <v>Male</v>
      </c>
      <c r="D1206" s="5" t="str">
        <f ca="1">IFERROR(__xludf.DUMMYFUNCTION("""COMPUTED_VALUE"""),"Student")</f>
        <v>Student</v>
      </c>
      <c r="E1206" s="5">
        <f ca="1">IFERROR(__xludf.DUMMYFUNCTION("""COMPUTED_VALUE"""),15)</f>
        <v>15</v>
      </c>
      <c r="F1206" s="5" t="str">
        <f ca="1">IFERROR(__xludf.DUMMYFUNCTION("""COMPUTED_VALUE"""),"White")</f>
        <v>White</v>
      </c>
    </row>
    <row r="1207" spans="1:6">
      <c r="A1207" s="5" t="str">
        <f ca="1">IFERROR(__xludf.DUMMYFUNCTION("""COMPUTED_VALUE"""),"20140521WICLM")</f>
        <v>20140521WICLM</v>
      </c>
      <c r="B1207" s="5" t="str">
        <f ca="1">IFERROR(__xludf.DUMMYFUNCTION("""COMPUTED_VALUE"""),"Fatal")</f>
        <v>Fatal</v>
      </c>
      <c r="C1207" s="5" t="str">
        <f ca="1">IFERROR(__xludf.DUMMYFUNCTION("""COMPUTED_VALUE"""),"Female")</f>
        <v>Female</v>
      </c>
      <c r="D1207" s="5" t="str">
        <f ca="1">IFERROR(__xludf.DUMMYFUNCTION("""COMPUTED_VALUE"""),"Student")</f>
        <v>Student</v>
      </c>
      <c r="E1207" s="5">
        <f ca="1">IFERROR(__xludf.DUMMYFUNCTION("""COMPUTED_VALUE"""),10)</f>
        <v>10</v>
      </c>
      <c r="F1207" s="5" t="str">
        <f ca="1">IFERROR(__xludf.DUMMYFUNCTION("""COMPUTED_VALUE"""),"Black")</f>
        <v>Black</v>
      </c>
    </row>
    <row r="1208" spans="1:6">
      <c r="A1208" s="5" t="str">
        <f ca="1">IFERROR(__xludf.DUMMYFUNCTION("""COMPUTED_VALUE"""),"20140514CAJOR")</f>
        <v>20140514CAJOR</v>
      </c>
      <c r="B1208" s="5" t="str">
        <f ca="1">IFERROR(__xludf.DUMMYFUNCTION("""COMPUTED_VALUE"""),"Wounded")</f>
        <v>Wounded</v>
      </c>
      <c r="C1208" s="5" t="str">
        <f ca="1">IFERROR(__xludf.DUMMYFUNCTION("""COMPUTED_VALUE"""),"Male")</f>
        <v>Male</v>
      </c>
      <c r="D1208" s="5" t="str">
        <f ca="1">IFERROR(__xludf.DUMMYFUNCTION("""COMPUTED_VALUE"""),"Student")</f>
        <v>Student</v>
      </c>
      <c r="E1208" s="5">
        <f ca="1">IFERROR(__xludf.DUMMYFUNCTION("""COMPUTED_VALUE"""),14)</f>
        <v>14</v>
      </c>
      <c r="F1208" s="5" t="str">
        <f ca="1">IFERROR(__xludf.DUMMYFUNCTION("""COMPUTED_VALUE"""),"Black")</f>
        <v>Black</v>
      </c>
    </row>
    <row r="1209" spans="1:6">
      <c r="A1209" s="5" t="str">
        <f ca="1">IFERROR(__xludf.DUMMYFUNCTION("""COMPUTED_VALUE"""),"20140503WAHOE")</f>
        <v>20140503WAHOE</v>
      </c>
      <c r="B1209" s="5" t="str">
        <f ca="1">IFERROR(__xludf.DUMMYFUNCTION("""COMPUTED_VALUE"""),"Wounded")</f>
        <v>Wounded</v>
      </c>
      <c r="C1209" s="5" t="str">
        <f ca="1">IFERROR(__xludf.DUMMYFUNCTION("""COMPUTED_VALUE"""),"Male")</f>
        <v>Male</v>
      </c>
      <c r="D1209" s="5" t="str">
        <f ca="1">IFERROR(__xludf.DUMMYFUNCTION("""COMPUTED_VALUE"""),"Gang Member")</f>
        <v>Gang Member</v>
      </c>
      <c r="E1209" s="5">
        <f ca="1">IFERROR(__xludf.DUMMYFUNCTION("""COMPUTED_VALUE"""),15)</f>
        <v>15</v>
      </c>
      <c r="F1209" s="5"/>
    </row>
    <row r="1210" spans="1:6">
      <c r="A1210" s="5" t="str">
        <f ca="1">IFERROR(__xludf.DUMMYFUNCTION("""COMPUTED_VALUE"""),"20140421UTPRP")</f>
        <v>20140421UTPRP</v>
      </c>
      <c r="B1210" s="5" t="str">
        <f ca="1">IFERROR(__xludf.DUMMYFUNCTION("""COMPUTED_VALUE"""),"None")</f>
        <v>None</v>
      </c>
      <c r="C1210" s="5" t="str">
        <f ca="1">IFERROR(__xludf.DUMMYFUNCTION("""COMPUTED_VALUE"""),"Male")</f>
        <v>Male</v>
      </c>
      <c r="D1210" s="5" t="str">
        <f ca="1">IFERROR(__xludf.DUMMYFUNCTION("""COMPUTED_VALUE"""),"Student")</f>
        <v>Student</v>
      </c>
      <c r="E1210" s="5">
        <f ca="1">IFERROR(__xludf.DUMMYFUNCTION("""COMPUTED_VALUE"""),14)</f>
        <v>14</v>
      </c>
      <c r="F1210" s="5"/>
    </row>
    <row r="1211" spans="1:6">
      <c r="A1211" s="5" t="str">
        <f ca="1">IFERROR(__xludf.DUMMYFUNCTION("""COMPUTED_VALUE"""),"20140421INSTG")</f>
        <v>20140421INSTG</v>
      </c>
      <c r="B1211" s="5" t="str">
        <f ca="1">IFERROR(__xludf.DUMMYFUNCTION("""COMPUTED_VALUE"""),"Fatal")</f>
        <v>Fatal</v>
      </c>
      <c r="C1211" s="5" t="str">
        <f ca="1">IFERROR(__xludf.DUMMYFUNCTION("""COMPUTED_VALUE"""),"Female")</f>
        <v>Female</v>
      </c>
      <c r="D1211" s="5" t="str">
        <f ca="1">IFERROR(__xludf.DUMMYFUNCTION("""COMPUTED_VALUE"""),"Parent")</f>
        <v>Parent</v>
      </c>
      <c r="E1211" s="5">
        <f ca="1">IFERROR(__xludf.DUMMYFUNCTION("""COMPUTED_VALUE"""),42)</f>
        <v>42</v>
      </c>
      <c r="F1211" s="5"/>
    </row>
    <row r="1212" spans="1:6">
      <c r="A1212" s="5" t="str">
        <f ca="1">IFERROR(__xludf.DUMMYFUNCTION("""COMPUTED_VALUE"""),"20140411MIEAD")</f>
        <v>20140411MIEAD</v>
      </c>
      <c r="B1212" s="5" t="str">
        <f ca="1">IFERROR(__xludf.DUMMYFUNCTION("""COMPUTED_VALUE"""),"Fatal")</f>
        <v>Fatal</v>
      </c>
      <c r="C1212" s="5" t="str">
        <f ca="1">IFERROR(__xludf.DUMMYFUNCTION("""COMPUTED_VALUE"""),"Male")</f>
        <v>Male</v>
      </c>
      <c r="D1212" s="5" t="str">
        <f ca="1">IFERROR(__xludf.DUMMYFUNCTION("""COMPUTED_VALUE"""),"Relative")</f>
        <v>Relative</v>
      </c>
      <c r="E1212" s="5">
        <f ca="1">IFERROR(__xludf.DUMMYFUNCTION("""COMPUTED_VALUE"""),19)</f>
        <v>19</v>
      </c>
      <c r="F1212" s="5" t="str">
        <f ca="1">IFERROR(__xludf.DUMMYFUNCTION("""COMPUTED_VALUE"""),"Black")</f>
        <v>Black</v>
      </c>
    </row>
    <row r="1213" spans="1:6">
      <c r="A1213" s="5" t="str">
        <f ca="1">IFERROR(__xludf.DUMMYFUNCTION("""COMPUTED_VALUE"""),"20140410OHLIC")</f>
        <v>20140410OHLIC</v>
      </c>
      <c r="B1213" s="5" t="str">
        <f ca="1">IFERROR(__xludf.DUMMYFUNCTION("""COMPUTED_VALUE"""),"Wounded")</f>
        <v>Wounded</v>
      </c>
      <c r="C1213" s="5" t="str">
        <f ca="1">IFERROR(__xludf.DUMMYFUNCTION("""COMPUTED_VALUE"""),"Male")</f>
        <v>Male</v>
      </c>
      <c r="D1213" s="5" t="str">
        <f ca="1">IFERROR(__xludf.DUMMYFUNCTION("""COMPUTED_VALUE"""),"No Relation")</f>
        <v>No Relation</v>
      </c>
      <c r="E1213" s="5">
        <f ca="1">IFERROR(__xludf.DUMMYFUNCTION("""COMPUTED_VALUE"""),14)</f>
        <v>14</v>
      </c>
      <c r="F1213" s="5"/>
    </row>
    <row r="1214" spans="1:6">
      <c r="A1214" s="5" t="str">
        <f ca="1">IFERROR(__xludf.DUMMYFUNCTION("""COMPUTED_VALUE"""),"20140410OHLIC")</f>
        <v>20140410OHLIC</v>
      </c>
      <c r="B1214" s="5" t="str">
        <f ca="1">IFERROR(__xludf.DUMMYFUNCTION("""COMPUTED_VALUE"""),"Wounded")</f>
        <v>Wounded</v>
      </c>
      <c r="C1214" s="5" t="str">
        <f ca="1">IFERROR(__xludf.DUMMYFUNCTION("""COMPUTED_VALUE"""),"Male")</f>
        <v>Male</v>
      </c>
      <c r="D1214" s="5" t="str">
        <f ca="1">IFERROR(__xludf.DUMMYFUNCTION("""COMPUTED_VALUE"""),"No Relation")</f>
        <v>No Relation</v>
      </c>
      <c r="E1214" s="5">
        <f ca="1">IFERROR(__xludf.DUMMYFUNCTION("""COMPUTED_VALUE"""),20)</f>
        <v>20</v>
      </c>
      <c r="F1214" s="5"/>
    </row>
    <row r="1215" spans="1:6">
      <c r="A1215" s="5" t="str">
        <f ca="1">IFERROR(__xludf.DUMMYFUNCTION("""COMPUTED_VALUE"""),"20140409NCDHG")</f>
        <v>20140409NCDHG</v>
      </c>
      <c r="B1215" s="5" t="str">
        <f ca="1">IFERROR(__xludf.DUMMYFUNCTION("""COMPUTED_VALUE"""),"None")</f>
        <v>None</v>
      </c>
      <c r="C1215" s="5"/>
      <c r="D1215" s="5"/>
      <c r="E1215" s="5"/>
      <c r="F1215" s="5"/>
    </row>
    <row r="1216" spans="1:6">
      <c r="A1216" s="5" t="str">
        <f ca="1">IFERROR(__xludf.DUMMYFUNCTION("""COMPUTED_VALUE"""),"20140403NJUNN")</f>
        <v>20140403NJUNN</v>
      </c>
      <c r="B1216" s="5" t="str">
        <f ca="1">IFERROR(__xludf.DUMMYFUNCTION("""COMPUTED_VALUE"""),"None")</f>
        <v>None</v>
      </c>
      <c r="C1216" s="5"/>
      <c r="D1216" s="5"/>
      <c r="E1216" s="5"/>
      <c r="F1216" s="5"/>
    </row>
    <row r="1217" spans="1:6">
      <c r="A1217" s="5" t="str">
        <f ca="1">IFERROR(__xludf.DUMMYFUNCTION("""COMPUTED_VALUE"""),"20140325GABEC")</f>
        <v>20140325GABEC</v>
      </c>
      <c r="B1217" s="5" t="str">
        <f ca="1">IFERROR(__xludf.DUMMYFUNCTION("""COMPUTED_VALUE"""),"None")</f>
        <v>None</v>
      </c>
      <c r="C1217" s="5"/>
      <c r="D1217" s="5"/>
      <c r="E1217" s="5"/>
      <c r="F1217" s="5"/>
    </row>
    <row r="1218" spans="1:6">
      <c r="A1218" s="5" t="str">
        <f ca="1">IFERROR(__xludf.DUMMYFUNCTION("""COMPUTED_VALUE"""),"20140312FLACM")</f>
        <v>20140312FLACM</v>
      </c>
      <c r="B1218" s="5" t="str">
        <f ca="1">IFERROR(__xludf.DUMMYFUNCTION("""COMPUTED_VALUE"""),"Fatal")</f>
        <v>Fatal</v>
      </c>
      <c r="C1218" s="5" t="str">
        <f ca="1">IFERROR(__xludf.DUMMYFUNCTION("""COMPUTED_VALUE"""),"Female")</f>
        <v>Female</v>
      </c>
      <c r="D1218" s="5" t="str">
        <f ca="1">IFERROR(__xludf.DUMMYFUNCTION("""COMPUTED_VALUE"""),"No Relation")</f>
        <v>No Relation</v>
      </c>
      <c r="E1218" s="5">
        <f ca="1">IFERROR(__xludf.DUMMYFUNCTION("""COMPUTED_VALUE"""),33)</f>
        <v>33</v>
      </c>
      <c r="F1218" s="5" t="str">
        <f ca="1">IFERROR(__xludf.DUMMYFUNCTION("""COMPUTED_VALUE"""),"Black")</f>
        <v>Black</v>
      </c>
    </row>
    <row r="1219" spans="1:6">
      <c r="A1219" s="5" t="str">
        <f ca="1">IFERROR(__xludf.DUMMYFUNCTION("""COMPUTED_VALUE"""),"20140307LAMAT")</f>
        <v>20140307LAMAT</v>
      </c>
      <c r="B1219" s="5" t="str">
        <f ca="1">IFERROR(__xludf.DUMMYFUNCTION("""COMPUTED_VALUE"""),"Wounded")</f>
        <v>Wounded</v>
      </c>
      <c r="C1219" s="5" t="str">
        <f ca="1">IFERROR(__xludf.DUMMYFUNCTION("""COMPUTED_VALUE"""),"Male")</f>
        <v>Male</v>
      </c>
      <c r="D1219" s="5" t="str">
        <f ca="1">IFERROR(__xludf.DUMMYFUNCTION("""COMPUTED_VALUE"""),"Unknown")</f>
        <v>Unknown</v>
      </c>
      <c r="E1219" s="5">
        <f ca="1">IFERROR(__xludf.DUMMYFUNCTION("""COMPUTED_VALUE"""),16)</f>
        <v>16</v>
      </c>
      <c r="F1219" s="5"/>
    </row>
    <row r="1220" spans="1:6">
      <c r="A1220" s="5" t="str">
        <f ca="1">IFERROR(__xludf.DUMMYFUNCTION("""COMPUTED_VALUE"""),"20140220MIRAR")</f>
        <v>20140220MIRAR</v>
      </c>
      <c r="B1220" s="5" t="str">
        <f ca="1">IFERROR(__xludf.DUMMYFUNCTION("""COMPUTED_VALUE"""),"Fatal")</f>
        <v>Fatal</v>
      </c>
      <c r="C1220" s="5" t="str">
        <f ca="1">IFERROR(__xludf.DUMMYFUNCTION("""COMPUTED_VALUE"""),"Male")</f>
        <v>Male</v>
      </c>
      <c r="D1220" s="5" t="str">
        <f ca="1">IFERROR(__xludf.DUMMYFUNCTION("""COMPUTED_VALUE"""),"Relative")</f>
        <v>Relative</v>
      </c>
      <c r="E1220" s="5">
        <f ca="1">IFERROR(__xludf.DUMMYFUNCTION("""COMPUTED_VALUE"""),30)</f>
        <v>30</v>
      </c>
      <c r="F1220" s="5"/>
    </row>
    <row r="1221" spans="1:6">
      <c r="A1221" s="5" t="str">
        <f ca="1">IFERROR(__xludf.DUMMYFUNCTION("""COMPUTED_VALUE"""),"20140211OHCHL")</f>
        <v>20140211OHCHL</v>
      </c>
      <c r="B1221" s="5" t="str">
        <f ca="1">IFERROR(__xludf.DUMMYFUNCTION("""COMPUTED_VALUE"""),"None")</f>
        <v>None</v>
      </c>
      <c r="C1221" s="5"/>
      <c r="D1221" s="5"/>
      <c r="E1221" s="5"/>
      <c r="F1221" s="5"/>
    </row>
    <row r="1222" spans="1:6">
      <c r="A1222" s="5" t="str">
        <f ca="1">IFERROR(__xludf.DUMMYFUNCTION("""COMPUTED_VALUE"""),"20140210NCSAS")</f>
        <v>20140210NCSAS</v>
      </c>
      <c r="B1222" s="5" t="str">
        <f ca="1">IFERROR(__xludf.DUMMYFUNCTION("""COMPUTED_VALUE"""),"Wounded")</f>
        <v>Wounded</v>
      </c>
      <c r="C1222" s="5" t="str">
        <f ca="1">IFERROR(__xludf.DUMMYFUNCTION("""COMPUTED_VALUE"""),"Male")</f>
        <v>Male</v>
      </c>
      <c r="D1222" s="5" t="str">
        <f ca="1">IFERROR(__xludf.DUMMYFUNCTION("""COMPUTED_VALUE"""),"Student")</f>
        <v>Student</v>
      </c>
      <c r="E1222" s="5">
        <f ca="1">IFERROR(__xludf.DUMMYFUNCTION("""COMPUTED_VALUE"""),16)</f>
        <v>16</v>
      </c>
      <c r="F1222" s="5" t="str">
        <f ca="1">IFERROR(__xludf.DUMMYFUNCTION("""COMPUTED_VALUE"""),"Black")</f>
        <v>Black</v>
      </c>
    </row>
    <row r="1223" spans="1:6">
      <c r="A1223" s="5" t="str">
        <f ca="1">IFERROR(__xludf.DUMMYFUNCTION("""COMPUTED_VALUE"""),"20140207ORBEB")</f>
        <v>20140207ORBEB</v>
      </c>
      <c r="B1223" s="5" t="str">
        <f ca="1">IFERROR(__xludf.DUMMYFUNCTION("""COMPUTED_VALUE"""),"None")</f>
        <v>None</v>
      </c>
      <c r="C1223" s="5" t="str">
        <f ca="1">IFERROR(__xludf.DUMMYFUNCTION("""COMPUTED_VALUE"""),"Male")</f>
        <v>Male</v>
      </c>
      <c r="D1223" s="5" t="str">
        <f ca="1">IFERROR(__xludf.DUMMYFUNCTION("""COMPUTED_VALUE"""),"Student")</f>
        <v>Student</v>
      </c>
      <c r="E1223" s="5">
        <f ca="1">IFERROR(__xludf.DUMMYFUNCTION("""COMPUTED_VALUE"""),17)</f>
        <v>17</v>
      </c>
      <c r="F1223" s="5"/>
    </row>
    <row r="1224" spans="1:6">
      <c r="A1224" s="5" t="str">
        <f ca="1">IFERROR(__xludf.DUMMYFUNCTION("""COMPUTED_VALUE"""),"20140131IANOD")</f>
        <v>20140131IANOD</v>
      </c>
      <c r="B1224" s="5" t="str">
        <f ca="1">IFERROR(__xludf.DUMMYFUNCTION("""COMPUTED_VALUE"""),"Wounded")</f>
        <v>Wounded</v>
      </c>
      <c r="C1224" s="5" t="str">
        <f ca="1">IFERROR(__xludf.DUMMYFUNCTION("""COMPUTED_VALUE"""),"Female")</f>
        <v>Female</v>
      </c>
      <c r="D1224" s="5" t="str">
        <f ca="1">IFERROR(__xludf.DUMMYFUNCTION("""COMPUTED_VALUE"""),"Student")</f>
        <v>Student</v>
      </c>
      <c r="E1224" s="5">
        <f ca="1">IFERROR(__xludf.DUMMYFUNCTION("""COMPUTED_VALUE"""),15)</f>
        <v>15</v>
      </c>
      <c r="F1224" s="5" t="str">
        <f ca="1">IFERROR(__xludf.DUMMYFUNCTION("""COMPUTED_VALUE"""),"Black")</f>
        <v>Black</v>
      </c>
    </row>
    <row r="1225" spans="1:6">
      <c r="A1225" s="5" t="str">
        <f ca="1">IFERROR(__xludf.DUMMYFUNCTION("""COMPUTED_VALUE"""),"20140131AZCEP")</f>
        <v>20140131AZCEP</v>
      </c>
      <c r="B1225" s="5" t="str">
        <f ca="1">IFERROR(__xludf.DUMMYFUNCTION("""COMPUTED_VALUE"""),"None")</f>
        <v>None</v>
      </c>
      <c r="C1225" s="5"/>
      <c r="D1225" s="5"/>
      <c r="E1225" s="5"/>
      <c r="F1225" s="5"/>
    </row>
    <row r="1226" spans="1:6">
      <c r="A1226" s="5" t="str">
        <f ca="1">IFERROR(__xludf.DUMMYFUNCTION("""COMPUTED_VALUE"""),"20140128HIPRH")</f>
        <v>20140128HIPRH</v>
      </c>
      <c r="B1226" s="5" t="str">
        <f ca="1">IFERROR(__xludf.DUMMYFUNCTION("""COMPUTED_VALUE"""),"Wounded")</f>
        <v>Wounded</v>
      </c>
      <c r="C1226" s="5" t="str">
        <f ca="1">IFERROR(__xludf.DUMMYFUNCTION("""COMPUTED_VALUE"""),"Male")</f>
        <v>Male</v>
      </c>
      <c r="D1226" s="5" t="str">
        <f ca="1">IFERROR(__xludf.DUMMYFUNCTION("""COMPUTED_VALUE"""),"Student")</f>
        <v>Student</v>
      </c>
      <c r="E1226" s="5" t="str">
        <f ca="1">IFERROR(__xludf.DUMMYFUNCTION("""COMPUTED_VALUE"""),"Teen")</f>
        <v>Teen</v>
      </c>
      <c r="F1226" s="5"/>
    </row>
    <row r="1227" spans="1:6">
      <c r="A1227" s="5" t="str">
        <f ca="1">IFERROR(__xludf.DUMMYFUNCTION("""COMPUTED_VALUE"""),"20140127ILREC")</f>
        <v>20140127ILREC</v>
      </c>
      <c r="B1227" s="5" t="str">
        <f ca="1">IFERROR(__xludf.DUMMYFUNCTION("""COMPUTED_VALUE"""),"Wounded")</f>
        <v>Wounded</v>
      </c>
      <c r="C1227" s="5" t="str">
        <f ca="1">IFERROR(__xludf.DUMMYFUNCTION("""COMPUTED_VALUE"""),"Male")</f>
        <v>Male</v>
      </c>
      <c r="D1227" s="5" t="str">
        <f ca="1">IFERROR(__xludf.DUMMYFUNCTION("""COMPUTED_VALUE"""),"Parent")</f>
        <v>Parent</v>
      </c>
      <c r="E1227" s="5" t="str">
        <f ca="1">IFERROR(__xludf.DUMMYFUNCTION("""COMPUTED_VALUE"""),"Adult")</f>
        <v>Adult</v>
      </c>
      <c r="F1227" s="5" t="str">
        <f ca="1">IFERROR(__xludf.DUMMYFUNCTION("""COMPUTED_VALUE"""),"Black")</f>
        <v>Black</v>
      </c>
    </row>
    <row r="1228" spans="1:6">
      <c r="A1228" s="5" t="str">
        <f ca="1">IFERROR(__xludf.DUMMYFUNCTION("""COMPUTED_VALUE"""),"20140117PADEP")</f>
        <v>20140117PADEP</v>
      </c>
      <c r="B1228" s="5" t="str">
        <f ca="1">IFERROR(__xludf.DUMMYFUNCTION("""COMPUTED_VALUE"""),"Wounded")</f>
        <v>Wounded</v>
      </c>
      <c r="C1228" s="5" t="str">
        <f ca="1">IFERROR(__xludf.DUMMYFUNCTION("""COMPUTED_VALUE"""),"Female")</f>
        <v>Female</v>
      </c>
      <c r="D1228" s="5" t="str">
        <f ca="1">IFERROR(__xludf.DUMMYFUNCTION("""COMPUTED_VALUE"""),"Student")</f>
        <v>Student</v>
      </c>
      <c r="E1228" s="5">
        <f ca="1">IFERROR(__xludf.DUMMYFUNCTION("""COMPUTED_VALUE"""),15)</f>
        <v>15</v>
      </c>
      <c r="F1228" s="5"/>
    </row>
    <row r="1229" spans="1:6">
      <c r="A1229" s="5" t="str">
        <f ca="1">IFERROR(__xludf.DUMMYFUNCTION("""COMPUTED_VALUE"""),"20140117PADEP")</f>
        <v>20140117PADEP</v>
      </c>
      <c r="B1229" s="5" t="str">
        <f ca="1">IFERROR(__xludf.DUMMYFUNCTION("""COMPUTED_VALUE"""),"Wounded")</f>
        <v>Wounded</v>
      </c>
      <c r="C1229" s="5" t="str">
        <f ca="1">IFERROR(__xludf.DUMMYFUNCTION("""COMPUTED_VALUE"""),"Male")</f>
        <v>Male</v>
      </c>
      <c r="D1229" s="5" t="str">
        <f ca="1">IFERROR(__xludf.DUMMYFUNCTION("""COMPUTED_VALUE"""),"Student")</f>
        <v>Student</v>
      </c>
      <c r="E1229" s="5">
        <f ca="1">IFERROR(__xludf.DUMMYFUNCTION("""COMPUTED_VALUE"""),15)</f>
        <v>15</v>
      </c>
      <c r="F1229" s="5"/>
    </row>
    <row r="1230" spans="1:6">
      <c r="A1230" s="5" t="str">
        <f ca="1">IFERROR(__xludf.DUMMYFUNCTION("""COMPUTED_VALUE"""),"20140114PAKIL")</f>
        <v>20140114PAKIL</v>
      </c>
      <c r="B1230" s="5" t="str">
        <f ca="1">IFERROR(__xludf.DUMMYFUNCTION("""COMPUTED_VALUE"""),"None")</f>
        <v>None</v>
      </c>
      <c r="C1230" s="5"/>
      <c r="D1230" s="5"/>
      <c r="E1230" s="5"/>
      <c r="F1230" s="5"/>
    </row>
    <row r="1231" spans="1:6">
      <c r="A1231" s="5" t="str">
        <f ca="1">IFERROR(__xludf.DUMMYFUNCTION("""COMPUTED_VALUE"""),"20140114NMBER")</f>
        <v>20140114NMBER</v>
      </c>
      <c r="B1231" s="5" t="str">
        <f ca="1">IFERROR(__xludf.DUMMYFUNCTION("""COMPUTED_VALUE"""),"Wounded")</f>
        <v>Wounded</v>
      </c>
      <c r="C1231" s="5" t="str">
        <f ca="1">IFERROR(__xludf.DUMMYFUNCTION("""COMPUTED_VALUE"""),"Male")</f>
        <v>Male</v>
      </c>
      <c r="D1231" s="5" t="str">
        <f ca="1">IFERROR(__xludf.DUMMYFUNCTION("""COMPUTED_VALUE"""),"Student")</f>
        <v>Student</v>
      </c>
      <c r="E1231" s="5" t="str">
        <f ca="1">IFERROR(__xludf.DUMMYFUNCTION("""COMPUTED_VALUE"""),"Teen")</f>
        <v>Teen</v>
      </c>
      <c r="F1231" s="5"/>
    </row>
    <row r="1232" spans="1:6">
      <c r="A1232" s="5" t="str">
        <f ca="1">IFERROR(__xludf.DUMMYFUNCTION("""COMPUTED_VALUE"""),"20140114NMBER")</f>
        <v>20140114NMBER</v>
      </c>
      <c r="B1232" s="5" t="str">
        <f ca="1">IFERROR(__xludf.DUMMYFUNCTION("""COMPUTED_VALUE"""),"Wounded")</f>
        <v>Wounded</v>
      </c>
      <c r="C1232" s="5" t="str">
        <f ca="1">IFERROR(__xludf.DUMMYFUNCTION("""COMPUTED_VALUE"""),"Female")</f>
        <v>Female</v>
      </c>
      <c r="D1232" s="5" t="str">
        <f ca="1">IFERROR(__xludf.DUMMYFUNCTION("""COMPUTED_VALUE"""),"Student")</f>
        <v>Student</v>
      </c>
      <c r="E1232" s="5" t="str">
        <f ca="1">IFERROR(__xludf.DUMMYFUNCTION("""COMPUTED_VALUE"""),"Teen")</f>
        <v>Teen</v>
      </c>
      <c r="F1232" s="5"/>
    </row>
    <row r="1233" spans="1:6">
      <c r="A1233" s="5" t="str">
        <f ca="1">IFERROR(__xludf.DUMMYFUNCTION("""COMPUTED_VALUE"""),"20140114LASTB")</f>
        <v>20140114LASTB</v>
      </c>
      <c r="B1233" s="5" t="str">
        <f ca="1">IFERROR(__xludf.DUMMYFUNCTION("""COMPUTED_VALUE"""),"Wounded")</f>
        <v>Wounded</v>
      </c>
      <c r="C1233" s="5" t="str">
        <f ca="1">IFERROR(__xludf.DUMMYFUNCTION("""COMPUTED_VALUE"""),"Male")</f>
        <v>Male</v>
      </c>
      <c r="D1233" s="5"/>
      <c r="E1233" s="5">
        <f ca="1">IFERROR(__xludf.DUMMYFUNCTION("""COMPUTED_VALUE"""),19)</f>
        <v>19</v>
      </c>
      <c r="F1233" s="5" t="str">
        <f ca="1">IFERROR(__xludf.DUMMYFUNCTION("""COMPUTED_VALUE"""),"Black")</f>
        <v>Black</v>
      </c>
    </row>
    <row r="1234" spans="1:6">
      <c r="A1234" s="5" t="str">
        <f ca="1">IFERROR(__xludf.DUMMYFUNCTION("""COMPUTED_VALUE"""),"20140113CTHIN")</f>
        <v>20140113CTHIN</v>
      </c>
      <c r="B1234" s="5" t="str">
        <f ca="1">IFERROR(__xludf.DUMMYFUNCTION("""COMPUTED_VALUE"""),"Wounded")</f>
        <v>Wounded</v>
      </c>
      <c r="C1234" s="5" t="str">
        <f ca="1">IFERROR(__xludf.DUMMYFUNCTION("""COMPUTED_VALUE"""),"Male")</f>
        <v>Male</v>
      </c>
      <c r="D1234" s="5" t="str">
        <f ca="1">IFERROR(__xludf.DUMMYFUNCTION("""COMPUTED_VALUE"""),"Rival School Student")</f>
        <v>Rival School Student</v>
      </c>
      <c r="E1234" s="5">
        <f ca="1">IFERROR(__xludf.DUMMYFUNCTION("""COMPUTED_VALUE"""),14)</f>
        <v>14</v>
      </c>
      <c r="F1234" s="5"/>
    </row>
    <row r="1235" spans="1:6">
      <c r="A1235" s="5" t="str">
        <f ca="1">IFERROR(__xludf.DUMMYFUNCTION("""COMPUTED_VALUE"""),"20140109TNLIJ")</f>
        <v>20140109TNLIJ</v>
      </c>
      <c r="B1235" s="5" t="str">
        <f ca="1">IFERROR(__xludf.DUMMYFUNCTION("""COMPUTED_VALUE"""),"Wounded")</f>
        <v>Wounded</v>
      </c>
      <c r="C1235" s="5" t="str">
        <f ca="1">IFERROR(__xludf.DUMMYFUNCTION("""COMPUTED_VALUE"""),"Male")</f>
        <v>Male</v>
      </c>
      <c r="D1235" s="5" t="str">
        <f ca="1">IFERROR(__xludf.DUMMYFUNCTION("""COMPUTED_VALUE"""),"Student")</f>
        <v>Student</v>
      </c>
      <c r="E1235" s="5">
        <f ca="1">IFERROR(__xludf.DUMMYFUNCTION("""COMPUTED_VALUE"""),17)</f>
        <v>17</v>
      </c>
      <c r="F1235" s="5"/>
    </row>
    <row r="1236" spans="1:6">
      <c r="A1236" s="5" t="str">
        <f ca="1">IFERROR(__xludf.DUMMYFUNCTION("""COMPUTED_VALUE"""),"20131219CAEDF")</f>
        <v>20131219CAEDF</v>
      </c>
      <c r="B1236" s="5" t="str">
        <f ca="1">IFERROR(__xludf.DUMMYFUNCTION("""COMPUTED_VALUE"""),"Wounded")</f>
        <v>Wounded</v>
      </c>
      <c r="C1236" s="5" t="str">
        <f ca="1">IFERROR(__xludf.DUMMYFUNCTION("""COMPUTED_VALUE"""),"Male")</f>
        <v>Male</v>
      </c>
      <c r="D1236" s="5" t="str">
        <f ca="1">IFERROR(__xludf.DUMMYFUNCTION("""COMPUTED_VALUE"""),"Teacher")</f>
        <v>Teacher</v>
      </c>
      <c r="E1236" s="5">
        <f ca="1">IFERROR(__xludf.DUMMYFUNCTION("""COMPUTED_VALUE"""),30)</f>
        <v>30</v>
      </c>
      <c r="F1236" s="5" t="str">
        <f ca="1">IFERROR(__xludf.DUMMYFUNCTION("""COMPUTED_VALUE"""),"Hispanic")</f>
        <v>Hispanic</v>
      </c>
    </row>
    <row r="1237" spans="1:6">
      <c r="A1237" s="5" t="str">
        <f ca="1">IFERROR(__xludf.DUMMYFUNCTION("""COMPUTED_VALUE"""),"20131213COARC")</f>
        <v>20131213COARC</v>
      </c>
      <c r="B1237" s="5" t="str">
        <f ca="1">IFERROR(__xludf.DUMMYFUNCTION("""COMPUTED_VALUE"""),"Fatal")</f>
        <v>Fatal</v>
      </c>
      <c r="C1237" s="5" t="str">
        <f ca="1">IFERROR(__xludf.DUMMYFUNCTION("""COMPUTED_VALUE"""),"Female")</f>
        <v>Female</v>
      </c>
      <c r="D1237" s="5" t="str">
        <f ca="1">IFERROR(__xludf.DUMMYFUNCTION("""COMPUTED_VALUE"""),"Student")</f>
        <v>Student</v>
      </c>
      <c r="E1237" s="5">
        <f ca="1">IFERROR(__xludf.DUMMYFUNCTION("""COMPUTED_VALUE"""),17)</f>
        <v>17</v>
      </c>
      <c r="F1237" s="5" t="str">
        <f ca="1">IFERROR(__xludf.DUMMYFUNCTION("""COMPUTED_VALUE"""),"White")</f>
        <v>White</v>
      </c>
    </row>
    <row r="1238" spans="1:6">
      <c r="A1238" s="5" t="str">
        <f ca="1">IFERROR(__xludf.DUMMYFUNCTION("""COMPUTED_VALUE"""),"20131204FLWEW")</f>
        <v>20131204FLWEW</v>
      </c>
      <c r="B1238" s="5" t="str">
        <f ca="1">IFERROR(__xludf.DUMMYFUNCTION("""COMPUTED_VALUE"""),"Wounded")</f>
        <v>Wounded</v>
      </c>
      <c r="C1238" s="5" t="str">
        <f ca="1">IFERROR(__xludf.DUMMYFUNCTION("""COMPUTED_VALUE"""),"Male")</f>
        <v>Male</v>
      </c>
      <c r="D1238" s="5" t="str">
        <f ca="1">IFERROR(__xludf.DUMMYFUNCTION("""COMPUTED_VALUE"""),"Student")</f>
        <v>Student</v>
      </c>
      <c r="E1238" s="5">
        <f ca="1">IFERROR(__xludf.DUMMYFUNCTION("""COMPUTED_VALUE"""),15)</f>
        <v>15</v>
      </c>
      <c r="F1238" s="5" t="str">
        <f ca="1">IFERROR(__xludf.DUMMYFUNCTION("""COMPUTED_VALUE"""),"Black")</f>
        <v>Black</v>
      </c>
    </row>
    <row r="1239" spans="1:6">
      <c r="A1239" s="5" t="str">
        <f ca="1">IFERROR(__xludf.DUMMYFUNCTION("""COMPUTED_VALUE"""),"20131113PABRP")</f>
        <v>20131113PABRP</v>
      </c>
      <c r="B1239" s="5" t="str">
        <f ca="1">IFERROR(__xludf.DUMMYFUNCTION("""COMPUTED_VALUE"""),"Wounded")</f>
        <v>Wounded</v>
      </c>
      <c r="C1239" s="5" t="str">
        <f ca="1">IFERROR(__xludf.DUMMYFUNCTION("""COMPUTED_VALUE"""),"Male")</f>
        <v>Male</v>
      </c>
      <c r="D1239" s="5" t="str">
        <f ca="1">IFERROR(__xludf.DUMMYFUNCTION("""COMPUTED_VALUE"""),"Student")</f>
        <v>Student</v>
      </c>
      <c r="E1239" s="5">
        <f ca="1">IFERROR(__xludf.DUMMYFUNCTION("""COMPUTED_VALUE"""),17)</f>
        <v>17</v>
      </c>
      <c r="F1239" s="5"/>
    </row>
    <row r="1240" spans="1:6">
      <c r="A1240" s="5" t="str">
        <f ca="1">IFERROR(__xludf.DUMMYFUNCTION("""COMPUTED_VALUE"""),"20131113PABRP")</f>
        <v>20131113PABRP</v>
      </c>
      <c r="B1240" s="5" t="str">
        <f ca="1">IFERROR(__xludf.DUMMYFUNCTION("""COMPUTED_VALUE"""),"Wounded")</f>
        <v>Wounded</v>
      </c>
      <c r="C1240" s="5" t="str">
        <f ca="1">IFERROR(__xludf.DUMMYFUNCTION("""COMPUTED_VALUE"""),"Male")</f>
        <v>Male</v>
      </c>
      <c r="D1240" s="5" t="str">
        <f ca="1">IFERROR(__xludf.DUMMYFUNCTION("""COMPUTED_VALUE"""),"Student")</f>
        <v>Student</v>
      </c>
      <c r="E1240" s="5">
        <f ca="1">IFERROR(__xludf.DUMMYFUNCTION("""COMPUTED_VALUE"""),15)</f>
        <v>15</v>
      </c>
      <c r="F1240" s="5"/>
    </row>
    <row r="1241" spans="1:6">
      <c r="A1241" s="5" t="str">
        <f ca="1">IFERROR(__xludf.DUMMYFUNCTION("""COMPUTED_VALUE"""),"20131113PABRP")</f>
        <v>20131113PABRP</v>
      </c>
      <c r="B1241" s="5" t="str">
        <f ca="1">IFERROR(__xludf.DUMMYFUNCTION("""COMPUTED_VALUE"""),"Wounded")</f>
        <v>Wounded</v>
      </c>
      <c r="C1241" s="5" t="str">
        <f ca="1">IFERROR(__xludf.DUMMYFUNCTION("""COMPUTED_VALUE"""),"Male")</f>
        <v>Male</v>
      </c>
      <c r="D1241" s="5" t="str">
        <f ca="1">IFERROR(__xludf.DUMMYFUNCTION("""COMPUTED_VALUE"""),"Student")</f>
        <v>Student</v>
      </c>
      <c r="E1241" s="5">
        <f ca="1">IFERROR(__xludf.DUMMYFUNCTION("""COMPUTED_VALUE"""),17)</f>
        <v>17</v>
      </c>
      <c r="F1241" s="5"/>
    </row>
    <row r="1242" spans="1:6">
      <c r="A1242" s="5" t="str">
        <f ca="1">IFERROR(__xludf.DUMMYFUNCTION("""COMPUTED_VALUE"""),"20131103GASTL")</f>
        <v>20131103GASTL</v>
      </c>
      <c r="B1242" s="5" t="str">
        <f ca="1">IFERROR(__xludf.DUMMYFUNCTION("""COMPUTED_VALUE"""),"Wounded")</f>
        <v>Wounded</v>
      </c>
      <c r="C1242" s="5" t="str">
        <f ca="1">IFERROR(__xludf.DUMMYFUNCTION("""COMPUTED_VALUE"""),"Male")</f>
        <v>Male</v>
      </c>
      <c r="D1242" s="5" t="str">
        <f ca="1">IFERROR(__xludf.DUMMYFUNCTION("""COMPUTED_VALUE"""),"Student")</f>
        <v>Student</v>
      </c>
      <c r="E1242" s="5">
        <f ca="1">IFERROR(__xludf.DUMMYFUNCTION("""COMPUTED_VALUE"""),17)</f>
        <v>17</v>
      </c>
      <c r="F1242" s="5"/>
    </row>
    <row r="1243" spans="1:6">
      <c r="A1243" s="5" t="str">
        <f ca="1">IFERROR(__xludf.DUMMYFUNCTION("""COMPUTED_VALUE"""),"20131101IAALA")</f>
        <v>20131101IAALA</v>
      </c>
      <c r="B1243" s="5" t="str">
        <f ca="1">IFERROR(__xludf.DUMMYFUNCTION("""COMPUTED_VALUE"""),"None")</f>
        <v>None</v>
      </c>
      <c r="C1243" s="5" t="str">
        <f ca="1">IFERROR(__xludf.DUMMYFUNCTION("""COMPUTED_VALUE"""),"Male")</f>
        <v>Male</v>
      </c>
      <c r="D1243" s="5" t="str">
        <f ca="1">IFERROR(__xludf.DUMMYFUNCTION("""COMPUTED_VALUE"""),"Former Student")</f>
        <v>Former Student</v>
      </c>
      <c r="E1243" s="5">
        <f ca="1">IFERROR(__xludf.DUMMYFUNCTION("""COMPUTED_VALUE"""),23)</f>
        <v>23</v>
      </c>
      <c r="F1243" s="5" t="str">
        <f ca="1">IFERROR(__xludf.DUMMYFUNCTION("""COMPUTED_VALUE"""),"White")</f>
        <v>White</v>
      </c>
    </row>
    <row r="1244" spans="1:6">
      <c r="A1244" s="5" t="str">
        <f ca="1">IFERROR(__xludf.DUMMYFUNCTION("""COMPUTED_VALUE"""),"20131023CANEC")</f>
        <v>20131023CANEC</v>
      </c>
      <c r="B1244" s="5" t="str">
        <f ca="1">IFERROR(__xludf.DUMMYFUNCTION("""COMPUTED_VALUE"""),"Wounded")</f>
        <v>Wounded</v>
      </c>
      <c r="C1244" s="5"/>
      <c r="D1244" s="5" t="str">
        <f ca="1">IFERROR(__xludf.DUMMYFUNCTION("""COMPUTED_VALUE"""),"Student")</f>
        <v>Student</v>
      </c>
      <c r="E1244" s="5" t="str">
        <f ca="1">IFERROR(__xludf.DUMMYFUNCTION("""COMPUTED_VALUE"""),"Child")</f>
        <v>Child</v>
      </c>
      <c r="F1244" s="5"/>
    </row>
    <row r="1245" spans="1:6">
      <c r="A1245" s="5" t="str">
        <f ca="1">IFERROR(__xludf.DUMMYFUNCTION("""COMPUTED_VALUE"""),"20131023CANEC")</f>
        <v>20131023CANEC</v>
      </c>
      <c r="B1245" s="5" t="str">
        <f ca="1">IFERROR(__xludf.DUMMYFUNCTION("""COMPUTED_VALUE"""),"Wounded")</f>
        <v>Wounded</v>
      </c>
      <c r="C1245" s="5"/>
      <c r="D1245" s="5" t="str">
        <f ca="1">IFERROR(__xludf.DUMMYFUNCTION("""COMPUTED_VALUE"""),"Student")</f>
        <v>Student</v>
      </c>
      <c r="E1245" s="5" t="str">
        <f ca="1">IFERROR(__xludf.DUMMYFUNCTION("""COMPUTED_VALUE"""),"Child")</f>
        <v>Child</v>
      </c>
      <c r="F1245" s="5"/>
    </row>
    <row r="1246" spans="1:6">
      <c r="A1246" s="5" t="str">
        <f ca="1">IFERROR(__xludf.DUMMYFUNCTION("""COMPUTED_VALUE"""),"20131023CANEC")</f>
        <v>20131023CANEC</v>
      </c>
      <c r="B1246" s="5" t="str">
        <f ca="1">IFERROR(__xludf.DUMMYFUNCTION("""COMPUTED_VALUE"""),"Wounded")</f>
        <v>Wounded</v>
      </c>
      <c r="C1246" s="5"/>
      <c r="D1246" s="5" t="str">
        <f ca="1">IFERROR(__xludf.DUMMYFUNCTION("""COMPUTED_VALUE"""),"Student")</f>
        <v>Student</v>
      </c>
      <c r="E1246" s="5" t="str">
        <f ca="1">IFERROR(__xludf.DUMMYFUNCTION("""COMPUTED_VALUE"""),"Child")</f>
        <v>Child</v>
      </c>
      <c r="F1246" s="5"/>
    </row>
    <row r="1247" spans="1:6">
      <c r="A1247" s="5" t="str">
        <f ca="1">IFERROR(__xludf.DUMMYFUNCTION("""COMPUTED_VALUE"""),"20131021NVSPS")</f>
        <v>20131021NVSPS</v>
      </c>
      <c r="B1247" s="5" t="str">
        <f ca="1">IFERROR(__xludf.DUMMYFUNCTION("""COMPUTED_VALUE"""),"Wounded")</f>
        <v>Wounded</v>
      </c>
      <c r="C1247" s="5" t="str">
        <f ca="1">IFERROR(__xludf.DUMMYFUNCTION("""COMPUTED_VALUE"""),"Male")</f>
        <v>Male</v>
      </c>
      <c r="D1247" s="5" t="str">
        <f ca="1">IFERROR(__xludf.DUMMYFUNCTION("""COMPUTED_VALUE"""),"Student")</f>
        <v>Student</v>
      </c>
      <c r="E1247" s="5">
        <f ca="1">IFERROR(__xludf.DUMMYFUNCTION("""COMPUTED_VALUE"""),12)</f>
        <v>12</v>
      </c>
      <c r="F1247" s="5"/>
    </row>
    <row r="1248" spans="1:6">
      <c r="A1248" s="5" t="str">
        <f ca="1">IFERROR(__xludf.DUMMYFUNCTION("""COMPUTED_VALUE"""),"20131021NVSPS")</f>
        <v>20131021NVSPS</v>
      </c>
      <c r="B1248" s="5" t="str">
        <f ca="1">IFERROR(__xludf.DUMMYFUNCTION("""COMPUTED_VALUE"""),"Wounded")</f>
        <v>Wounded</v>
      </c>
      <c r="C1248" s="5" t="str">
        <f ca="1">IFERROR(__xludf.DUMMYFUNCTION("""COMPUTED_VALUE"""),"Male")</f>
        <v>Male</v>
      </c>
      <c r="D1248" s="5" t="str">
        <f ca="1">IFERROR(__xludf.DUMMYFUNCTION("""COMPUTED_VALUE"""),"Student")</f>
        <v>Student</v>
      </c>
      <c r="E1248" s="5">
        <f ca="1">IFERROR(__xludf.DUMMYFUNCTION("""COMPUTED_VALUE"""),12)</f>
        <v>12</v>
      </c>
      <c r="F1248" s="5"/>
    </row>
    <row r="1249" spans="1:6">
      <c r="A1249" s="5" t="str">
        <f ca="1">IFERROR(__xludf.DUMMYFUNCTION("""COMPUTED_VALUE"""),"20131021NVSPS")</f>
        <v>20131021NVSPS</v>
      </c>
      <c r="B1249" s="5" t="str">
        <f ca="1">IFERROR(__xludf.DUMMYFUNCTION("""COMPUTED_VALUE"""),"Fatal")</f>
        <v>Fatal</v>
      </c>
      <c r="C1249" s="5" t="str">
        <f ca="1">IFERROR(__xludf.DUMMYFUNCTION("""COMPUTED_VALUE"""),"Male")</f>
        <v>Male</v>
      </c>
      <c r="D1249" s="5" t="str">
        <f ca="1">IFERROR(__xludf.DUMMYFUNCTION("""COMPUTED_VALUE"""),"Teacher")</f>
        <v>Teacher</v>
      </c>
      <c r="E1249" s="5">
        <f ca="1">IFERROR(__xludf.DUMMYFUNCTION("""COMPUTED_VALUE"""),45)</f>
        <v>45</v>
      </c>
      <c r="F1249" s="5"/>
    </row>
    <row r="1250" spans="1:6">
      <c r="A1250" s="5" t="str">
        <f ca="1">IFERROR(__xludf.DUMMYFUNCTION("""COMPUTED_VALUE"""),"20131015TXLAA")</f>
        <v>20131015TXLAA</v>
      </c>
      <c r="B1250" s="5" t="str">
        <f ca="1">IFERROR(__xludf.DUMMYFUNCTION("""COMPUTED_VALUE"""),"None")</f>
        <v>None</v>
      </c>
      <c r="C1250" s="5" t="str">
        <f ca="1">IFERROR(__xludf.DUMMYFUNCTION("""COMPUTED_VALUE"""),"Male")</f>
        <v>Male</v>
      </c>
      <c r="D1250" s="5" t="str">
        <f ca="1">IFERROR(__xludf.DUMMYFUNCTION("""COMPUTED_VALUE"""),"Student")</f>
        <v>Student</v>
      </c>
      <c r="E1250" s="5">
        <f ca="1">IFERROR(__xludf.DUMMYFUNCTION("""COMPUTED_VALUE"""),16)</f>
        <v>16</v>
      </c>
      <c r="F1250" s="5" t="str">
        <f ca="1">IFERROR(__xludf.DUMMYFUNCTION("""COMPUTED_VALUE"""),"Hispanic")</f>
        <v>Hispanic</v>
      </c>
    </row>
    <row r="1251" spans="1:6">
      <c r="A1251" s="5" t="str">
        <f ca="1">IFERROR(__xludf.DUMMYFUNCTION("""COMPUTED_VALUE"""),"20131004FLAGP")</f>
        <v>20131004FLAGP</v>
      </c>
      <c r="B1251" s="5" t="str">
        <f ca="1">IFERROR(__xludf.DUMMYFUNCTION("""COMPUTED_VALUE"""),"Wounded")</f>
        <v>Wounded</v>
      </c>
      <c r="C1251" s="5" t="str">
        <f ca="1">IFERROR(__xludf.DUMMYFUNCTION("""COMPUTED_VALUE"""),"Male")</f>
        <v>Male</v>
      </c>
      <c r="D1251" s="5" t="str">
        <f ca="1">IFERROR(__xludf.DUMMYFUNCTION("""COMPUTED_VALUE"""),"Student")</f>
        <v>Student</v>
      </c>
      <c r="E1251" s="5">
        <f ca="1">IFERROR(__xludf.DUMMYFUNCTION("""COMPUTED_VALUE"""),16)</f>
        <v>16</v>
      </c>
      <c r="F1251" s="5"/>
    </row>
    <row r="1252" spans="1:6">
      <c r="A1252" s="5" t="str">
        <f ca="1">IFERROR(__xludf.DUMMYFUNCTION("""COMPUTED_VALUE"""),"20131004FLAGP")</f>
        <v>20131004FLAGP</v>
      </c>
      <c r="B1252" s="5" t="str">
        <f ca="1">IFERROR(__xludf.DUMMYFUNCTION("""COMPUTED_VALUE"""),"Wounded")</f>
        <v>Wounded</v>
      </c>
      <c r="C1252" s="5" t="str">
        <f ca="1">IFERROR(__xludf.DUMMYFUNCTION("""COMPUTED_VALUE"""),"Male")</f>
        <v>Male</v>
      </c>
      <c r="D1252" s="5" t="str">
        <f ca="1">IFERROR(__xludf.DUMMYFUNCTION("""COMPUTED_VALUE"""),"Student")</f>
        <v>Student</v>
      </c>
      <c r="E1252" s="5">
        <f ca="1">IFERROR(__xludf.DUMMYFUNCTION("""COMPUTED_VALUE"""),17)</f>
        <v>17</v>
      </c>
      <c r="F1252" s="5"/>
    </row>
    <row r="1253" spans="1:6">
      <c r="A1253" s="5" t="str">
        <f ca="1">IFERROR(__xludf.DUMMYFUNCTION("""COMPUTED_VALUE"""),"20131002NHWIS")</f>
        <v>20131002NHWIS</v>
      </c>
      <c r="B1253" s="5" t="str">
        <f ca="1">IFERROR(__xludf.DUMMYFUNCTION("""COMPUTED_VALUE"""),"None")</f>
        <v>None</v>
      </c>
      <c r="C1253" s="5"/>
      <c r="D1253" s="5"/>
      <c r="E1253" s="5"/>
      <c r="F1253" s="5"/>
    </row>
    <row r="1254" spans="1:6">
      <c r="A1254" s="5" t="str">
        <f ca="1">IFERROR(__xludf.DUMMYFUNCTION("""COMPUTED_VALUE"""),"20130928MENEG")</f>
        <v>20130928MENEG</v>
      </c>
      <c r="B1254" s="5" t="str">
        <f ca="1">IFERROR(__xludf.DUMMYFUNCTION("""COMPUTED_VALUE"""),"None")</f>
        <v>None</v>
      </c>
      <c r="C1254" s="5" t="str">
        <f ca="1">IFERROR(__xludf.DUMMYFUNCTION("""COMPUTED_VALUE"""),"Male")</f>
        <v>Male</v>
      </c>
      <c r="D1254" s="5" t="str">
        <f ca="1">IFERROR(__xludf.DUMMYFUNCTION("""COMPUTED_VALUE"""),"Intimate Relationship")</f>
        <v>Intimate Relationship</v>
      </c>
      <c r="E1254" s="5">
        <f ca="1">IFERROR(__xludf.DUMMYFUNCTION("""COMPUTED_VALUE"""),19)</f>
        <v>19</v>
      </c>
      <c r="F1254" s="5"/>
    </row>
    <row r="1255" spans="1:6">
      <c r="A1255" s="5" t="str">
        <f ca="1">IFERROR(__xludf.DUMMYFUNCTION("""COMPUTED_VALUE"""),"20130927ILROC")</f>
        <v>20130927ILROC</v>
      </c>
      <c r="B1255" s="5" t="str">
        <f ca="1">IFERROR(__xludf.DUMMYFUNCTION("""COMPUTED_VALUE"""),"Wounded")</f>
        <v>Wounded</v>
      </c>
      <c r="C1255" s="5" t="str">
        <f ca="1">IFERROR(__xludf.DUMMYFUNCTION("""COMPUTED_VALUE"""),"Male")</f>
        <v>Male</v>
      </c>
      <c r="D1255" s="5" t="str">
        <f ca="1">IFERROR(__xludf.DUMMYFUNCTION("""COMPUTED_VALUE"""),"Student")</f>
        <v>Student</v>
      </c>
      <c r="E1255" s="5">
        <f ca="1">IFERROR(__xludf.DUMMYFUNCTION("""COMPUTED_VALUE"""),15)</f>
        <v>15</v>
      </c>
      <c r="F1255" s="5"/>
    </row>
    <row r="1256" spans="1:6">
      <c r="A1256" s="5" t="str">
        <f ca="1">IFERROR(__xludf.DUMMYFUNCTION("""COMPUTED_VALUE"""),"20130830NCCAW")</f>
        <v>20130830NCCAW</v>
      </c>
      <c r="B1256" s="5" t="str">
        <f ca="1">IFERROR(__xludf.DUMMYFUNCTION("""COMPUTED_VALUE"""),"Wounded")</f>
        <v>Wounded</v>
      </c>
      <c r="C1256" s="5" t="str">
        <f ca="1">IFERROR(__xludf.DUMMYFUNCTION("""COMPUTED_VALUE"""),"Male")</f>
        <v>Male</v>
      </c>
      <c r="D1256" s="5" t="str">
        <f ca="1">IFERROR(__xludf.DUMMYFUNCTION("""COMPUTED_VALUE"""),"Student")</f>
        <v>Student</v>
      </c>
      <c r="E1256" s="5">
        <f ca="1">IFERROR(__xludf.DUMMYFUNCTION("""COMPUTED_VALUE"""),15)</f>
        <v>15</v>
      </c>
      <c r="F1256" s="5" t="str">
        <f ca="1">IFERROR(__xludf.DUMMYFUNCTION("""COMPUTED_VALUE"""),"Black")</f>
        <v>Black</v>
      </c>
    </row>
    <row r="1257" spans="1:6">
      <c r="A1257" s="5" t="str">
        <f ca="1">IFERROR(__xludf.DUMMYFUNCTION("""COMPUTED_VALUE"""),"20130823MSNOS")</f>
        <v>20130823MSNOS</v>
      </c>
      <c r="B1257" s="5" t="str">
        <f ca="1">IFERROR(__xludf.DUMMYFUNCTION("""COMPUTED_VALUE"""),"Fatal")</f>
        <v>Fatal</v>
      </c>
      <c r="C1257" s="5" t="str">
        <f ca="1">IFERROR(__xludf.DUMMYFUNCTION("""COMPUTED_VALUE"""),"Male")</f>
        <v>Male</v>
      </c>
      <c r="D1257" s="5" t="str">
        <f ca="1">IFERROR(__xludf.DUMMYFUNCTION("""COMPUTED_VALUE"""),"Student")</f>
        <v>Student</v>
      </c>
      <c r="E1257" s="5">
        <f ca="1">IFERROR(__xludf.DUMMYFUNCTION("""COMPUTED_VALUE"""),15)</f>
        <v>15</v>
      </c>
      <c r="F1257" s="5"/>
    </row>
    <row r="1258" spans="1:6">
      <c r="A1258" s="5" t="str">
        <f ca="1">IFERROR(__xludf.DUMMYFUNCTION("""COMPUTED_VALUE"""),"20130823MSNOS")</f>
        <v>20130823MSNOS</v>
      </c>
      <c r="B1258" s="5" t="str">
        <f ca="1">IFERROR(__xludf.DUMMYFUNCTION("""COMPUTED_VALUE"""),"Wounded")</f>
        <v>Wounded</v>
      </c>
      <c r="C1258" s="5" t="str">
        <f ca="1">IFERROR(__xludf.DUMMYFUNCTION("""COMPUTED_VALUE"""),"Male")</f>
        <v>Male</v>
      </c>
      <c r="D1258" s="5" t="str">
        <f ca="1">IFERROR(__xludf.DUMMYFUNCTION("""COMPUTED_VALUE"""),"Student")</f>
        <v>Student</v>
      </c>
      <c r="E1258" s="5" t="str">
        <f ca="1">IFERROR(__xludf.DUMMYFUNCTION("""COMPUTED_VALUE"""),"Teen")</f>
        <v>Teen</v>
      </c>
      <c r="F1258" s="5"/>
    </row>
    <row r="1259" spans="1:6">
      <c r="A1259" s="5" t="str">
        <f ca="1">IFERROR(__xludf.DUMMYFUNCTION("""COMPUTED_VALUE"""),"20130823MSNOS")</f>
        <v>20130823MSNOS</v>
      </c>
      <c r="B1259" s="5" t="str">
        <f ca="1">IFERROR(__xludf.DUMMYFUNCTION("""COMPUTED_VALUE"""),"Wounded")</f>
        <v>Wounded</v>
      </c>
      <c r="C1259" s="5" t="str">
        <f ca="1">IFERROR(__xludf.DUMMYFUNCTION("""COMPUTED_VALUE"""),"Male")</f>
        <v>Male</v>
      </c>
      <c r="D1259" s="5" t="str">
        <f ca="1">IFERROR(__xludf.DUMMYFUNCTION("""COMPUTED_VALUE"""),"Student")</f>
        <v>Student</v>
      </c>
      <c r="E1259" s="5" t="str">
        <f ca="1">IFERROR(__xludf.DUMMYFUNCTION("""COMPUTED_VALUE"""),"Teen")</f>
        <v>Teen</v>
      </c>
      <c r="F1259" s="5"/>
    </row>
    <row r="1260" spans="1:6">
      <c r="A1260" s="5" t="str">
        <f ca="1">IFERROR(__xludf.DUMMYFUNCTION("""COMPUTED_VALUE"""),"20130822TNWEM")</f>
        <v>20130822TNWEM</v>
      </c>
      <c r="B1260" s="5" t="str">
        <f ca="1">IFERROR(__xludf.DUMMYFUNCTION("""COMPUTED_VALUE"""),"None")</f>
        <v>None</v>
      </c>
      <c r="C1260" s="5"/>
      <c r="D1260" s="5"/>
      <c r="E1260" s="5"/>
      <c r="F1260" s="5"/>
    </row>
    <row r="1261" spans="1:6">
      <c r="A1261" s="5" t="str">
        <f ca="1">IFERROR(__xludf.DUMMYFUNCTION("""COMPUTED_VALUE"""),"20130820GAROD")</f>
        <v>20130820GAROD</v>
      </c>
      <c r="B1261" s="5" t="str">
        <f ca="1">IFERROR(__xludf.DUMMYFUNCTION("""COMPUTED_VALUE"""),"None")</f>
        <v>None</v>
      </c>
      <c r="C1261" s="5"/>
      <c r="D1261" s="5"/>
      <c r="E1261" s="5"/>
      <c r="F1261" s="5"/>
    </row>
    <row r="1262" spans="1:6">
      <c r="A1262" s="5" t="str">
        <f ca="1">IFERROR(__xludf.DUMMYFUNCTION("""COMPUTED_VALUE"""),"20130815TNNOC")</f>
        <v>20130815TNNOC</v>
      </c>
      <c r="B1262" s="5" t="str">
        <f ca="1">IFERROR(__xludf.DUMMYFUNCTION("""COMPUTED_VALUE"""),"Fatal")</f>
        <v>Fatal</v>
      </c>
      <c r="C1262" s="5" t="str">
        <f ca="1">IFERROR(__xludf.DUMMYFUNCTION("""COMPUTED_VALUE"""),"Male")</f>
        <v>Male</v>
      </c>
      <c r="D1262" s="5" t="str">
        <f ca="1">IFERROR(__xludf.DUMMYFUNCTION("""COMPUTED_VALUE"""),"No Relation")</f>
        <v>No Relation</v>
      </c>
      <c r="E1262" s="5">
        <f ca="1">IFERROR(__xludf.DUMMYFUNCTION("""COMPUTED_VALUE"""),38)</f>
        <v>38</v>
      </c>
      <c r="F1262" s="5" t="str">
        <f ca="1">IFERROR(__xludf.DUMMYFUNCTION("""COMPUTED_VALUE"""),"Black")</f>
        <v>Black</v>
      </c>
    </row>
    <row r="1263" spans="1:6">
      <c r="A1263" s="5" t="str">
        <f ca="1">IFERROR(__xludf.DUMMYFUNCTION("""COMPUTED_VALUE"""),"20130619FLALW")</f>
        <v>20130619FLALW</v>
      </c>
      <c r="B1263" s="5" t="str">
        <f ca="1">IFERROR(__xludf.DUMMYFUNCTION("""COMPUTED_VALUE"""),"Fatal")</f>
        <v>Fatal</v>
      </c>
      <c r="C1263" s="5" t="str">
        <f ca="1">IFERROR(__xludf.DUMMYFUNCTION("""COMPUTED_VALUE"""),"Male")</f>
        <v>Male</v>
      </c>
      <c r="D1263" s="5" t="str">
        <f ca="1">IFERROR(__xludf.DUMMYFUNCTION("""COMPUTED_VALUE"""),"Other Staff")</f>
        <v>Other Staff</v>
      </c>
      <c r="E1263" s="5">
        <f ca="1">IFERROR(__xludf.DUMMYFUNCTION("""COMPUTED_VALUE"""),56)</f>
        <v>56</v>
      </c>
      <c r="F1263" s="5" t="str">
        <f ca="1">IFERROR(__xludf.DUMMYFUNCTION("""COMPUTED_VALUE"""),"White")</f>
        <v>White</v>
      </c>
    </row>
    <row r="1264" spans="1:6">
      <c r="A1264" s="5" t="str">
        <f ca="1">IFERROR(__xludf.DUMMYFUNCTION("""COMPUTED_VALUE"""),"20130619FLALW")</f>
        <v>20130619FLALW</v>
      </c>
      <c r="B1264" s="5" t="str">
        <f ca="1">IFERROR(__xludf.DUMMYFUNCTION("""COMPUTED_VALUE"""),"Fatal")</f>
        <v>Fatal</v>
      </c>
      <c r="C1264" s="5" t="str">
        <f ca="1">IFERROR(__xludf.DUMMYFUNCTION("""COMPUTED_VALUE"""),"Male")</f>
        <v>Male</v>
      </c>
      <c r="D1264" s="5" t="str">
        <f ca="1">IFERROR(__xludf.DUMMYFUNCTION("""COMPUTED_VALUE"""),"Other Staff")</f>
        <v>Other Staff</v>
      </c>
      <c r="E1264" s="5">
        <f ca="1">IFERROR(__xludf.DUMMYFUNCTION("""COMPUTED_VALUE"""),48)</f>
        <v>48</v>
      </c>
      <c r="F1264" s="5" t="str">
        <f ca="1">IFERROR(__xludf.DUMMYFUNCTION("""COMPUTED_VALUE"""),"White")</f>
        <v>White</v>
      </c>
    </row>
    <row r="1265" spans="1:6">
      <c r="A1265" s="5" t="str">
        <f ca="1">IFERROR(__xludf.DUMMYFUNCTION("""COMPUTED_VALUE"""),"20130618NCHIC")</f>
        <v>20130618NCHIC</v>
      </c>
      <c r="B1265" s="5" t="str">
        <f ca="1">IFERROR(__xludf.DUMMYFUNCTION("""COMPUTED_VALUE"""),"Wounded")</f>
        <v>Wounded</v>
      </c>
      <c r="C1265" s="5" t="str">
        <f ca="1">IFERROR(__xludf.DUMMYFUNCTION("""COMPUTED_VALUE"""),"Male")</f>
        <v>Male</v>
      </c>
      <c r="D1265" s="5" t="str">
        <f ca="1">IFERROR(__xludf.DUMMYFUNCTION("""COMPUTED_VALUE"""),"No Relation")</f>
        <v>No Relation</v>
      </c>
      <c r="E1265" s="5" t="str">
        <f ca="1">IFERROR(__xludf.DUMMYFUNCTION("""COMPUTED_VALUE"""),"Adult")</f>
        <v>Adult</v>
      </c>
      <c r="F1265" s="5"/>
    </row>
    <row r="1266" spans="1:6">
      <c r="A1266" s="5" t="str">
        <f ca="1">IFERROR(__xludf.DUMMYFUNCTION("""COMPUTED_VALUE"""),"20130523FLREH")</f>
        <v>20130523FLREH</v>
      </c>
      <c r="B1266" s="5" t="str">
        <f ca="1">IFERROR(__xludf.DUMMYFUNCTION("""COMPUTED_VALUE"""),"Wounded")</f>
        <v>Wounded</v>
      </c>
      <c r="C1266" s="5" t="str">
        <f ca="1">IFERROR(__xludf.DUMMYFUNCTION("""COMPUTED_VALUE"""),"Male")</f>
        <v>Male</v>
      </c>
      <c r="D1266" s="5" t="str">
        <f ca="1">IFERROR(__xludf.DUMMYFUNCTION("""COMPUTED_VALUE"""),"Student")</f>
        <v>Student</v>
      </c>
      <c r="E1266" s="5">
        <f ca="1">IFERROR(__xludf.DUMMYFUNCTION("""COMPUTED_VALUE"""),12)</f>
        <v>12</v>
      </c>
      <c r="F1266" s="5"/>
    </row>
    <row r="1267" spans="1:6">
      <c r="A1267" s="5" t="str">
        <f ca="1">IFERROR(__xludf.DUMMYFUNCTION("""COMPUTED_VALUE"""),"20130513ALOSB")</f>
        <v>20130513ALOSB</v>
      </c>
      <c r="B1267" s="5" t="str">
        <f ca="1">IFERROR(__xludf.DUMMYFUNCTION("""COMPUTED_VALUE"""),"None")</f>
        <v>None</v>
      </c>
      <c r="C1267" s="5"/>
      <c r="D1267" s="5"/>
      <c r="E1267" s="5"/>
      <c r="F1267" s="5"/>
    </row>
    <row r="1268" spans="1:6">
      <c r="A1268" s="5" t="str">
        <f ca="1">IFERROR(__xludf.DUMMYFUNCTION("""COMPUTED_VALUE"""),"20130430NMTUT")</f>
        <v>20130430NMTUT</v>
      </c>
      <c r="B1268" s="5" t="str">
        <f ca="1">IFERROR(__xludf.DUMMYFUNCTION("""COMPUTED_VALUE"""),"None")</f>
        <v>None</v>
      </c>
      <c r="C1268" s="5" t="str">
        <f ca="1">IFERROR(__xludf.DUMMYFUNCTION("""COMPUTED_VALUE"""),"Male")</f>
        <v>Male</v>
      </c>
      <c r="D1268" s="5" t="str">
        <f ca="1">IFERROR(__xludf.DUMMYFUNCTION("""COMPUTED_VALUE"""),"No Relation")</f>
        <v>No Relation</v>
      </c>
      <c r="E1268" s="5">
        <f ca="1">IFERROR(__xludf.DUMMYFUNCTION("""COMPUTED_VALUE"""),19)</f>
        <v>19</v>
      </c>
      <c r="F1268" s="5"/>
    </row>
    <row r="1269" spans="1:6">
      <c r="A1269" s="5" t="str">
        <f ca="1">IFERROR(__xludf.DUMMYFUNCTION("""COMPUTED_VALUE"""),"20130429OHLAC")</f>
        <v>20130429OHLAC</v>
      </c>
      <c r="B1269" s="5" t="str">
        <f ca="1">IFERROR(__xludf.DUMMYFUNCTION("""COMPUTED_VALUE"""),"None")</f>
        <v>None</v>
      </c>
      <c r="C1269" s="5" t="str">
        <f ca="1">IFERROR(__xludf.DUMMYFUNCTION("""COMPUTED_VALUE"""),"Male")</f>
        <v>Male</v>
      </c>
      <c r="D1269" s="5" t="str">
        <f ca="1">IFERROR(__xludf.DUMMYFUNCTION("""COMPUTED_VALUE"""),"Student")</f>
        <v>Student</v>
      </c>
      <c r="E1269" s="5">
        <f ca="1">IFERROR(__xludf.DUMMYFUNCTION("""COMPUTED_VALUE"""),17)</f>
        <v>17</v>
      </c>
      <c r="F1269" s="5"/>
    </row>
    <row r="1270" spans="1:6">
      <c r="A1270" s="5" t="str">
        <f ca="1">IFERROR(__xludf.DUMMYFUNCTION("""COMPUTED_VALUE"""),"20130416TXTET")</f>
        <v>20130416TXTET</v>
      </c>
      <c r="B1270" s="5" t="str">
        <f ca="1">IFERROR(__xludf.DUMMYFUNCTION("""COMPUTED_VALUE"""),"None")</f>
        <v>None</v>
      </c>
      <c r="C1270" s="5" t="str">
        <f ca="1">IFERROR(__xludf.DUMMYFUNCTION("""COMPUTED_VALUE"""),"Male")</f>
        <v>Male</v>
      </c>
      <c r="D1270" s="5" t="str">
        <f ca="1">IFERROR(__xludf.DUMMYFUNCTION("""COMPUTED_VALUE"""),"Student")</f>
        <v>Student</v>
      </c>
      <c r="E1270" s="5">
        <f ca="1">IFERROR(__xludf.DUMMYFUNCTION("""COMPUTED_VALUE"""),15)</f>
        <v>15</v>
      </c>
      <c r="F1270" s="5"/>
    </row>
    <row r="1271" spans="1:6">
      <c r="A1271" s="5" t="str">
        <f ca="1">IFERROR(__xludf.DUMMYFUNCTION("""COMPUTED_VALUE"""),"20130321MIDAS")</f>
        <v>20130321MIDAS</v>
      </c>
      <c r="B1271" s="5" t="str">
        <f ca="1">IFERROR(__xludf.DUMMYFUNCTION("""COMPUTED_VALUE"""),"None")</f>
        <v>None</v>
      </c>
      <c r="C1271" s="5" t="str">
        <f ca="1">IFERROR(__xludf.DUMMYFUNCTION("""COMPUTED_VALUE"""),"Male")</f>
        <v>Male</v>
      </c>
      <c r="D1271" s="5" t="str">
        <f ca="1">IFERROR(__xludf.DUMMYFUNCTION("""COMPUTED_VALUE"""),"Student")</f>
        <v>Student</v>
      </c>
      <c r="E1271" s="5">
        <f ca="1">IFERROR(__xludf.DUMMYFUNCTION("""COMPUTED_VALUE"""),13)</f>
        <v>13</v>
      </c>
      <c r="F1271" s="5"/>
    </row>
    <row r="1272" spans="1:6">
      <c r="A1272" s="5" t="str">
        <f ca="1">IFERROR(__xludf.DUMMYFUNCTION("""COMPUTED_VALUE"""),"20130227GAGRA")</f>
        <v>20130227GAGRA</v>
      </c>
      <c r="B1272" s="5" t="str">
        <f ca="1">IFERROR(__xludf.DUMMYFUNCTION("""COMPUTED_VALUE"""),"None")</f>
        <v>None</v>
      </c>
      <c r="C1272" s="5" t="str">
        <f ca="1">IFERROR(__xludf.DUMMYFUNCTION("""COMPUTED_VALUE"""),"Female")</f>
        <v>Female</v>
      </c>
      <c r="D1272" s="5" t="str">
        <f ca="1">IFERROR(__xludf.DUMMYFUNCTION("""COMPUTED_VALUE"""),"Student")</f>
        <v>Student</v>
      </c>
      <c r="E1272" s="5">
        <f ca="1">IFERROR(__xludf.DUMMYFUNCTION("""COMPUTED_VALUE"""),17)</f>
        <v>17</v>
      </c>
      <c r="F1272" s="5" t="str">
        <f ca="1">IFERROR(__xludf.DUMMYFUNCTION("""COMPUTED_VALUE"""),"Black")</f>
        <v>Black</v>
      </c>
    </row>
    <row r="1273" spans="1:6">
      <c r="A1273" s="5" t="str">
        <f ca="1">IFERROR(__xludf.DUMMYFUNCTION("""COMPUTED_VALUE"""),"20130213CAHIS")</f>
        <v>20130213CAHIS</v>
      </c>
      <c r="B1273" s="5" t="str">
        <f ca="1">IFERROR(__xludf.DUMMYFUNCTION("""COMPUTED_VALUE"""),"Fatal")</f>
        <v>Fatal</v>
      </c>
      <c r="C1273" s="5" t="str">
        <f ca="1">IFERROR(__xludf.DUMMYFUNCTION("""COMPUTED_VALUE"""),"Male")</f>
        <v>Male</v>
      </c>
      <c r="D1273" s="5" t="str">
        <f ca="1">IFERROR(__xludf.DUMMYFUNCTION("""COMPUTED_VALUE"""),"No Relation")</f>
        <v>No Relation</v>
      </c>
      <c r="E1273" s="5">
        <f ca="1">IFERROR(__xludf.DUMMYFUNCTION("""COMPUTED_VALUE"""),18)</f>
        <v>18</v>
      </c>
      <c r="F1273" s="5" t="str">
        <f ca="1">IFERROR(__xludf.DUMMYFUNCTION("""COMPUTED_VALUE"""),"Black")</f>
        <v>Black</v>
      </c>
    </row>
    <row r="1274" spans="1:6">
      <c r="A1274" s="5" t="str">
        <f ca="1">IFERROR(__xludf.DUMMYFUNCTION("""COMPUTED_VALUE"""),"20130201MIMAD")</f>
        <v>20130201MIMAD</v>
      </c>
      <c r="B1274" s="5" t="str">
        <f ca="1">IFERROR(__xludf.DUMMYFUNCTION("""COMPUTED_VALUE"""),"Wounded")</f>
        <v>Wounded</v>
      </c>
      <c r="C1274" s="5" t="str">
        <f ca="1">IFERROR(__xludf.DUMMYFUNCTION("""COMPUTED_VALUE"""),"Male")</f>
        <v>Male</v>
      </c>
      <c r="D1274" s="5" t="str">
        <f ca="1">IFERROR(__xludf.DUMMYFUNCTION("""COMPUTED_VALUE"""),"Unknown")</f>
        <v>Unknown</v>
      </c>
      <c r="E1274" s="5" t="str">
        <f ca="1">IFERROR(__xludf.DUMMYFUNCTION("""COMPUTED_VALUE"""),"Teen")</f>
        <v>Teen</v>
      </c>
      <c r="F1274" s="5"/>
    </row>
    <row r="1275" spans="1:6">
      <c r="A1275" s="5" t="str">
        <f ca="1">IFERROR(__xludf.DUMMYFUNCTION("""COMPUTED_VALUE"""),"20130201MIMAD")</f>
        <v>20130201MIMAD</v>
      </c>
      <c r="B1275" s="5" t="str">
        <f ca="1">IFERROR(__xludf.DUMMYFUNCTION("""COMPUTED_VALUE"""),"Fatal")</f>
        <v>Fatal</v>
      </c>
      <c r="C1275" s="5" t="str">
        <f ca="1">IFERROR(__xludf.DUMMYFUNCTION("""COMPUTED_VALUE"""),"Male")</f>
        <v>Male</v>
      </c>
      <c r="D1275" s="5" t="str">
        <f ca="1">IFERROR(__xludf.DUMMYFUNCTION("""COMPUTED_VALUE"""),"Unknown")</f>
        <v>Unknown</v>
      </c>
      <c r="E1275" s="5" t="str">
        <f ca="1">IFERROR(__xludf.DUMMYFUNCTION("""COMPUTED_VALUE"""),"Teen")</f>
        <v>Teen</v>
      </c>
      <c r="F1275" s="5"/>
    </row>
    <row r="1276" spans="1:6">
      <c r="A1276" s="5" t="str">
        <f ca="1">IFERROR(__xludf.DUMMYFUNCTION("""COMPUTED_VALUE"""),"20130131GAPRA")</f>
        <v>20130131GAPRA</v>
      </c>
      <c r="B1276" s="5" t="str">
        <f ca="1">IFERROR(__xludf.DUMMYFUNCTION("""COMPUTED_VALUE"""),"Wounded")</f>
        <v>Wounded</v>
      </c>
      <c r="C1276" s="5" t="str">
        <f ca="1">IFERROR(__xludf.DUMMYFUNCTION("""COMPUTED_VALUE"""),"Male")</f>
        <v>Male</v>
      </c>
      <c r="D1276" s="5" t="str">
        <f ca="1">IFERROR(__xludf.DUMMYFUNCTION("""COMPUTED_VALUE"""),"Student")</f>
        <v>Student</v>
      </c>
      <c r="E1276" s="5">
        <f ca="1">IFERROR(__xludf.DUMMYFUNCTION("""COMPUTED_VALUE"""),14)</f>
        <v>14</v>
      </c>
      <c r="F1276" s="5" t="str">
        <f ca="1">IFERROR(__xludf.DUMMYFUNCTION("""COMPUTED_VALUE"""),"Black")</f>
        <v>Black</v>
      </c>
    </row>
    <row r="1277" spans="1:6">
      <c r="A1277" s="5" t="str">
        <f ca="1">IFERROR(__xludf.DUMMYFUNCTION("""COMPUTED_VALUE"""),"20130129ALDAM")</f>
        <v>20130129ALDAM</v>
      </c>
      <c r="B1277" s="5" t="str">
        <f ca="1">IFERROR(__xludf.DUMMYFUNCTION("""COMPUTED_VALUE"""),"Fatal")</f>
        <v>Fatal</v>
      </c>
      <c r="C1277" s="5" t="str">
        <f ca="1">IFERROR(__xludf.DUMMYFUNCTION("""COMPUTED_VALUE"""),"Male")</f>
        <v>Male</v>
      </c>
      <c r="D1277" s="5" t="str">
        <f ca="1">IFERROR(__xludf.DUMMYFUNCTION("""COMPUTED_VALUE"""),"Bus Driver")</f>
        <v>Bus Driver</v>
      </c>
      <c r="E1277" s="5">
        <f ca="1">IFERROR(__xludf.DUMMYFUNCTION("""COMPUTED_VALUE"""),66)</f>
        <v>66</v>
      </c>
      <c r="F1277" s="5"/>
    </row>
    <row r="1278" spans="1:6">
      <c r="A1278" s="5" t="str">
        <f ca="1">IFERROR(__xludf.DUMMYFUNCTION("""COMPUTED_VALUE"""),"20130111MIOSD")</f>
        <v>20130111MIOSD</v>
      </c>
      <c r="B1278" s="5" t="str">
        <f ca="1">IFERROR(__xludf.DUMMYFUNCTION("""COMPUTED_VALUE"""),"Wounded")</f>
        <v>Wounded</v>
      </c>
      <c r="C1278" s="5" t="str">
        <f ca="1">IFERROR(__xludf.DUMMYFUNCTION("""COMPUTED_VALUE"""),"Male")</f>
        <v>Male</v>
      </c>
      <c r="D1278" s="5" t="str">
        <f ca="1">IFERROR(__xludf.DUMMYFUNCTION("""COMPUTED_VALUE"""),"Student")</f>
        <v>Student</v>
      </c>
      <c r="E1278" s="5">
        <f ca="1">IFERROR(__xludf.DUMMYFUNCTION("""COMPUTED_VALUE"""),16)</f>
        <v>16</v>
      </c>
      <c r="F1278" s="5"/>
    </row>
    <row r="1279" spans="1:6">
      <c r="A1279" s="5" t="str">
        <f ca="1">IFERROR(__xludf.DUMMYFUNCTION("""COMPUTED_VALUE"""),"20130110CATAT")</f>
        <v>20130110CATAT</v>
      </c>
      <c r="B1279" s="5" t="str">
        <f ca="1">IFERROR(__xludf.DUMMYFUNCTION("""COMPUTED_VALUE"""),"Wounded")</f>
        <v>Wounded</v>
      </c>
      <c r="C1279" s="5" t="str">
        <f ca="1">IFERROR(__xludf.DUMMYFUNCTION("""COMPUTED_VALUE"""),"Male")</f>
        <v>Male</v>
      </c>
      <c r="D1279" s="5" t="str">
        <f ca="1">IFERROR(__xludf.DUMMYFUNCTION("""COMPUTED_VALUE"""),"Student")</f>
        <v>Student</v>
      </c>
      <c r="E1279" s="5">
        <f ca="1">IFERROR(__xludf.DUMMYFUNCTION("""COMPUTED_VALUE"""),16)</f>
        <v>16</v>
      </c>
      <c r="F1279" s="5" t="str">
        <f ca="1">IFERROR(__xludf.DUMMYFUNCTION("""COMPUTED_VALUE"""),"White")</f>
        <v>White</v>
      </c>
    </row>
    <row r="1280" spans="1:6">
      <c r="A1280" s="5" t="str">
        <f ca="1">IFERROR(__xludf.DUMMYFUNCTION("""COMPUTED_VALUE"""),"20130110CATAT")</f>
        <v>20130110CATAT</v>
      </c>
      <c r="B1280" s="5" t="str">
        <f ca="1">IFERROR(__xludf.DUMMYFUNCTION("""COMPUTED_VALUE"""),"Wounded")</f>
        <v>Wounded</v>
      </c>
      <c r="C1280" s="5" t="str">
        <f ca="1">IFERROR(__xludf.DUMMYFUNCTION("""COMPUTED_VALUE"""),"Male")</f>
        <v>Male</v>
      </c>
      <c r="D1280" s="5" t="str">
        <f ca="1">IFERROR(__xludf.DUMMYFUNCTION("""COMPUTED_VALUE"""),"Student")</f>
        <v>Student</v>
      </c>
      <c r="E1280" s="5" t="str">
        <f ca="1">IFERROR(__xludf.DUMMYFUNCTION("""COMPUTED_VALUE"""),"Teen")</f>
        <v>Teen</v>
      </c>
      <c r="F1280" s="5" t="str">
        <f ca="1">IFERROR(__xludf.DUMMYFUNCTION("""COMPUTED_VALUE"""),"White")</f>
        <v>White</v>
      </c>
    </row>
    <row r="1281" spans="1:6">
      <c r="A1281" s="5" t="str">
        <f ca="1">IFERROR(__xludf.DUMMYFUNCTION("""COMPUTED_VALUE"""),"20130107FLAPF")</f>
        <v>20130107FLAPF</v>
      </c>
      <c r="B1281" s="5" t="str">
        <f ca="1">IFERROR(__xludf.DUMMYFUNCTION("""COMPUTED_VALUE"""),"Fatal")</f>
        <v>Fatal</v>
      </c>
      <c r="C1281" s="5" t="str">
        <f ca="1">IFERROR(__xludf.DUMMYFUNCTION("""COMPUTED_VALUE"""),"Male")</f>
        <v>Male</v>
      </c>
      <c r="D1281" s="5" t="str">
        <f ca="1">IFERROR(__xludf.DUMMYFUNCTION("""COMPUTED_VALUE"""),"Parent")</f>
        <v>Parent</v>
      </c>
      <c r="E1281" s="5">
        <f ca="1">IFERROR(__xludf.DUMMYFUNCTION("""COMPUTED_VALUE"""),27)</f>
        <v>27</v>
      </c>
      <c r="F1281" s="5" t="str">
        <f ca="1">IFERROR(__xludf.DUMMYFUNCTION("""COMPUTED_VALUE"""),"Black")</f>
        <v>Black</v>
      </c>
    </row>
    <row r="1282" spans="1:6">
      <c r="A1282" s="5" t="str">
        <f ca="1">IFERROR(__xludf.DUMMYFUNCTION("""COMPUTED_VALUE"""),"20121214CTSAN")</f>
        <v>20121214CTSAN</v>
      </c>
      <c r="B1282" s="5" t="str">
        <f ca="1">IFERROR(__xludf.DUMMYFUNCTION("""COMPUTED_VALUE"""),"Fatal")</f>
        <v>Fatal</v>
      </c>
      <c r="C1282" s="5" t="str">
        <f ca="1">IFERROR(__xludf.DUMMYFUNCTION("""COMPUTED_VALUE"""),"Female")</f>
        <v>Female</v>
      </c>
      <c r="D1282" s="5" t="str">
        <f ca="1">IFERROR(__xludf.DUMMYFUNCTION("""COMPUTED_VALUE"""),"Student")</f>
        <v>Student</v>
      </c>
      <c r="E1282" s="5">
        <f ca="1">IFERROR(__xludf.DUMMYFUNCTION("""COMPUTED_VALUE"""),6)</f>
        <v>6</v>
      </c>
      <c r="F1282" s="5" t="str">
        <f ca="1">IFERROR(__xludf.DUMMYFUNCTION("""COMPUTED_VALUE"""),"White")</f>
        <v>White</v>
      </c>
    </row>
    <row r="1283" spans="1:6">
      <c r="A1283" s="5" t="str">
        <f ca="1">IFERROR(__xludf.DUMMYFUNCTION("""COMPUTED_VALUE"""),"20121214CTSAN")</f>
        <v>20121214CTSAN</v>
      </c>
      <c r="B1283" s="5" t="str">
        <f ca="1">IFERROR(__xludf.DUMMYFUNCTION("""COMPUTED_VALUE"""),"Fatal")</f>
        <v>Fatal</v>
      </c>
      <c r="C1283" s="5" t="str">
        <f ca="1">IFERROR(__xludf.DUMMYFUNCTION("""COMPUTED_VALUE"""),"Female")</f>
        <v>Female</v>
      </c>
      <c r="D1283" s="5" t="str">
        <f ca="1">IFERROR(__xludf.DUMMYFUNCTION("""COMPUTED_VALUE"""),"Student")</f>
        <v>Student</v>
      </c>
      <c r="E1283" s="5">
        <f ca="1">IFERROR(__xludf.DUMMYFUNCTION("""COMPUTED_VALUE"""),6)</f>
        <v>6</v>
      </c>
      <c r="F1283" s="5" t="str">
        <f ca="1">IFERROR(__xludf.DUMMYFUNCTION("""COMPUTED_VALUE"""),"Black")</f>
        <v>Black</v>
      </c>
    </row>
    <row r="1284" spans="1:6">
      <c r="A1284" s="5" t="str">
        <f ca="1">IFERROR(__xludf.DUMMYFUNCTION("""COMPUTED_VALUE"""),"20121214CTSAN")</f>
        <v>20121214CTSAN</v>
      </c>
      <c r="B1284" s="5" t="str">
        <f ca="1">IFERROR(__xludf.DUMMYFUNCTION("""COMPUTED_VALUE"""),"Fatal")</f>
        <v>Fatal</v>
      </c>
      <c r="C1284" s="5" t="str">
        <f ca="1">IFERROR(__xludf.DUMMYFUNCTION("""COMPUTED_VALUE"""),"Female")</f>
        <v>Female</v>
      </c>
      <c r="D1284" s="5" t="str">
        <f ca="1">IFERROR(__xludf.DUMMYFUNCTION("""COMPUTED_VALUE"""),"Student")</f>
        <v>Student</v>
      </c>
      <c r="E1284" s="5">
        <f ca="1">IFERROR(__xludf.DUMMYFUNCTION("""COMPUTED_VALUE"""),6)</f>
        <v>6</v>
      </c>
      <c r="F1284" s="5" t="str">
        <f ca="1">IFERROR(__xludf.DUMMYFUNCTION("""COMPUTED_VALUE"""),"White")</f>
        <v>White</v>
      </c>
    </row>
    <row r="1285" spans="1:6">
      <c r="A1285" s="5" t="str">
        <f ca="1">IFERROR(__xludf.DUMMYFUNCTION("""COMPUTED_VALUE"""),"20121214CTSAN")</f>
        <v>20121214CTSAN</v>
      </c>
      <c r="B1285" s="5" t="str">
        <f ca="1">IFERROR(__xludf.DUMMYFUNCTION("""COMPUTED_VALUE"""),"Fatal")</f>
        <v>Fatal</v>
      </c>
      <c r="C1285" s="5" t="str">
        <f ca="1">IFERROR(__xludf.DUMMYFUNCTION("""COMPUTED_VALUE"""),"Female")</f>
        <v>Female</v>
      </c>
      <c r="D1285" s="5" t="str">
        <f ca="1">IFERROR(__xludf.DUMMYFUNCTION("""COMPUTED_VALUE"""),"Student")</f>
        <v>Student</v>
      </c>
      <c r="E1285" s="5">
        <f ca="1">IFERROR(__xludf.DUMMYFUNCTION("""COMPUTED_VALUE"""),6)</f>
        <v>6</v>
      </c>
      <c r="F1285" s="5" t="str">
        <f ca="1">IFERROR(__xludf.DUMMYFUNCTION("""COMPUTED_VALUE"""),"White")</f>
        <v>White</v>
      </c>
    </row>
    <row r="1286" spans="1:6">
      <c r="A1286" s="5" t="str">
        <f ca="1">IFERROR(__xludf.DUMMYFUNCTION("""COMPUTED_VALUE"""),"20121214CTSAN")</f>
        <v>20121214CTSAN</v>
      </c>
      <c r="B1286" s="5" t="str">
        <f ca="1">IFERROR(__xludf.DUMMYFUNCTION("""COMPUTED_VALUE"""),"Fatal")</f>
        <v>Fatal</v>
      </c>
      <c r="C1286" s="5" t="str">
        <f ca="1">IFERROR(__xludf.DUMMYFUNCTION("""COMPUTED_VALUE"""),"Female")</f>
        <v>Female</v>
      </c>
      <c r="D1286" s="5" t="str">
        <f ca="1">IFERROR(__xludf.DUMMYFUNCTION("""COMPUTED_VALUE"""),"Student")</f>
        <v>Student</v>
      </c>
      <c r="E1286" s="5">
        <f ca="1">IFERROR(__xludf.DUMMYFUNCTION("""COMPUTED_VALUE"""),6)</f>
        <v>6</v>
      </c>
      <c r="F1286" s="5" t="str">
        <f ca="1">IFERROR(__xludf.DUMMYFUNCTION("""COMPUTED_VALUE"""),"White")</f>
        <v>White</v>
      </c>
    </row>
    <row r="1287" spans="1:6">
      <c r="A1287" s="5" t="str">
        <f ca="1">IFERROR(__xludf.DUMMYFUNCTION("""COMPUTED_VALUE"""),"20121214CTSAN")</f>
        <v>20121214CTSAN</v>
      </c>
      <c r="B1287" s="5" t="str">
        <f ca="1">IFERROR(__xludf.DUMMYFUNCTION("""COMPUTED_VALUE"""),"Fatal")</f>
        <v>Fatal</v>
      </c>
      <c r="C1287" s="5" t="str">
        <f ca="1">IFERROR(__xludf.DUMMYFUNCTION("""COMPUTED_VALUE"""),"Female")</f>
        <v>Female</v>
      </c>
      <c r="D1287" s="5" t="str">
        <f ca="1">IFERROR(__xludf.DUMMYFUNCTION("""COMPUTED_VALUE"""),"Teacher")</f>
        <v>Teacher</v>
      </c>
      <c r="E1287" s="5">
        <f ca="1">IFERROR(__xludf.DUMMYFUNCTION("""COMPUTED_VALUE"""),52)</f>
        <v>52</v>
      </c>
      <c r="F1287" s="5" t="str">
        <f ca="1">IFERROR(__xludf.DUMMYFUNCTION("""COMPUTED_VALUE"""),"White")</f>
        <v>White</v>
      </c>
    </row>
    <row r="1288" spans="1:6">
      <c r="A1288" s="5" t="str">
        <f ca="1">IFERROR(__xludf.DUMMYFUNCTION("""COMPUTED_VALUE"""),"20121214CTSAN")</f>
        <v>20121214CTSAN</v>
      </c>
      <c r="B1288" s="5" t="str">
        <f ca="1">IFERROR(__xludf.DUMMYFUNCTION("""COMPUTED_VALUE"""),"Fatal")</f>
        <v>Fatal</v>
      </c>
      <c r="C1288" s="5" t="str">
        <f ca="1">IFERROR(__xludf.DUMMYFUNCTION("""COMPUTED_VALUE"""),"Female")</f>
        <v>Female</v>
      </c>
      <c r="D1288" s="5" t="str">
        <f ca="1">IFERROR(__xludf.DUMMYFUNCTION("""COMPUTED_VALUE"""),"Student")</f>
        <v>Student</v>
      </c>
      <c r="E1288" s="5">
        <f ca="1">IFERROR(__xludf.DUMMYFUNCTION("""COMPUTED_VALUE"""),7)</f>
        <v>7</v>
      </c>
      <c r="F1288" s="5" t="str">
        <f ca="1">IFERROR(__xludf.DUMMYFUNCTION("""COMPUTED_VALUE"""),"White")</f>
        <v>White</v>
      </c>
    </row>
    <row r="1289" spans="1:6">
      <c r="A1289" s="5" t="str">
        <f ca="1">IFERROR(__xludf.DUMMYFUNCTION("""COMPUTED_VALUE"""),"20121214CTSAN")</f>
        <v>20121214CTSAN</v>
      </c>
      <c r="B1289" s="5" t="str">
        <f ca="1">IFERROR(__xludf.DUMMYFUNCTION("""COMPUTED_VALUE"""),"Fatal")</f>
        <v>Fatal</v>
      </c>
      <c r="C1289" s="5" t="str">
        <f ca="1">IFERROR(__xludf.DUMMYFUNCTION("""COMPUTED_VALUE"""),"Female")</f>
        <v>Female</v>
      </c>
      <c r="D1289" s="5" t="str">
        <f ca="1">IFERROR(__xludf.DUMMYFUNCTION("""COMPUTED_VALUE"""),"Student")</f>
        <v>Student</v>
      </c>
      <c r="E1289" s="5">
        <f ca="1">IFERROR(__xludf.DUMMYFUNCTION("""COMPUTED_VALUE"""),7)</f>
        <v>7</v>
      </c>
      <c r="F1289" s="5" t="str">
        <f ca="1">IFERROR(__xludf.DUMMYFUNCTION("""COMPUTED_VALUE"""),"White")</f>
        <v>White</v>
      </c>
    </row>
    <row r="1290" spans="1:6">
      <c r="A1290" s="5" t="str">
        <f ca="1">IFERROR(__xludf.DUMMYFUNCTION("""COMPUTED_VALUE"""),"20121214CTSAN")</f>
        <v>20121214CTSAN</v>
      </c>
      <c r="B1290" s="5" t="str">
        <f ca="1">IFERROR(__xludf.DUMMYFUNCTION("""COMPUTED_VALUE"""),"Fatal")</f>
        <v>Fatal</v>
      </c>
      <c r="C1290" s="5" t="str">
        <f ca="1">IFERROR(__xludf.DUMMYFUNCTION("""COMPUTED_VALUE"""),"Male")</f>
        <v>Male</v>
      </c>
      <c r="D1290" s="5" t="str">
        <f ca="1">IFERROR(__xludf.DUMMYFUNCTION("""COMPUTED_VALUE"""),"Student")</f>
        <v>Student</v>
      </c>
      <c r="E1290" s="5">
        <f ca="1">IFERROR(__xludf.DUMMYFUNCTION("""COMPUTED_VALUE"""),7)</f>
        <v>7</v>
      </c>
      <c r="F1290" s="5"/>
    </row>
    <row r="1291" spans="1:6">
      <c r="A1291" s="5" t="str">
        <f ca="1">IFERROR(__xludf.DUMMYFUNCTION("""COMPUTED_VALUE"""),"20121214CTSAN")</f>
        <v>20121214CTSAN</v>
      </c>
      <c r="B1291" s="5" t="str">
        <f ca="1">IFERROR(__xludf.DUMMYFUNCTION("""COMPUTED_VALUE"""),"Fatal")</f>
        <v>Fatal</v>
      </c>
      <c r="C1291" s="5" t="str">
        <f ca="1">IFERROR(__xludf.DUMMYFUNCTION("""COMPUTED_VALUE"""),"Female")</f>
        <v>Female</v>
      </c>
      <c r="D1291" s="5" t="str">
        <f ca="1">IFERROR(__xludf.DUMMYFUNCTION("""COMPUTED_VALUE"""),"Teacher")</f>
        <v>Teacher</v>
      </c>
      <c r="E1291" s="5">
        <f ca="1">IFERROR(__xludf.DUMMYFUNCTION("""COMPUTED_VALUE"""),29)</f>
        <v>29</v>
      </c>
      <c r="F1291" s="5" t="str">
        <f ca="1">IFERROR(__xludf.DUMMYFUNCTION("""COMPUTED_VALUE"""),"White")</f>
        <v>White</v>
      </c>
    </row>
    <row r="1292" spans="1:6">
      <c r="A1292" s="5" t="str">
        <f ca="1">IFERROR(__xludf.DUMMYFUNCTION("""COMPUTED_VALUE"""),"20121214CTSAN")</f>
        <v>20121214CTSAN</v>
      </c>
      <c r="B1292" s="5" t="str">
        <f ca="1">IFERROR(__xludf.DUMMYFUNCTION("""COMPUTED_VALUE"""),"Fatal")</f>
        <v>Fatal</v>
      </c>
      <c r="C1292" s="5" t="str">
        <f ca="1">IFERROR(__xludf.DUMMYFUNCTION("""COMPUTED_VALUE"""),"Female")</f>
        <v>Female</v>
      </c>
      <c r="D1292" s="5" t="str">
        <f ca="1">IFERROR(__xludf.DUMMYFUNCTION("""COMPUTED_VALUE"""),"Student")</f>
        <v>Student</v>
      </c>
      <c r="E1292" s="5">
        <f ca="1">IFERROR(__xludf.DUMMYFUNCTION("""COMPUTED_VALUE"""),6)</f>
        <v>6</v>
      </c>
      <c r="F1292" s="5" t="str">
        <f ca="1">IFERROR(__xludf.DUMMYFUNCTION("""COMPUTED_VALUE"""),"White")</f>
        <v>White</v>
      </c>
    </row>
    <row r="1293" spans="1:6">
      <c r="A1293" s="5" t="str">
        <f ca="1">IFERROR(__xludf.DUMMYFUNCTION("""COMPUTED_VALUE"""),"20121214CTSAN")</f>
        <v>20121214CTSAN</v>
      </c>
      <c r="B1293" s="5" t="str">
        <f ca="1">IFERROR(__xludf.DUMMYFUNCTION("""COMPUTED_VALUE"""),"Fatal")</f>
        <v>Fatal</v>
      </c>
      <c r="C1293" s="5" t="str">
        <f ca="1">IFERROR(__xludf.DUMMYFUNCTION("""COMPUTED_VALUE"""),"Female")</f>
        <v>Female</v>
      </c>
      <c r="D1293" s="5" t="str">
        <f ca="1">IFERROR(__xludf.DUMMYFUNCTION("""COMPUTED_VALUE"""),"Teacher")</f>
        <v>Teacher</v>
      </c>
      <c r="E1293" s="5">
        <f ca="1">IFERROR(__xludf.DUMMYFUNCTION("""COMPUTED_VALUE"""),30)</f>
        <v>30</v>
      </c>
      <c r="F1293" s="5" t="str">
        <f ca="1">IFERROR(__xludf.DUMMYFUNCTION("""COMPUTED_VALUE"""),"White")</f>
        <v>White</v>
      </c>
    </row>
    <row r="1294" spans="1:6">
      <c r="A1294" s="5" t="str">
        <f ca="1">IFERROR(__xludf.DUMMYFUNCTION("""COMPUTED_VALUE"""),"20121214CTSAN")</f>
        <v>20121214CTSAN</v>
      </c>
      <c r="B1294" s="5" t="str">
        <f ca="1">IFERROR(__xludf.DUMMYFUNCTION("""COMPUTED_VALUE"""),"Fatal")</f>
        <v>Fatal</v>
      </c>
      <c r="C1294" s="5" t="str">
        <f ca="1">IFERROR(__xludf.DUMMYFUNCTION("""COMPUTED_VALUE"""),"Male")</f>
        <v>Male</v>
      </c>
      <c r="D1294" s="5" t="str">
        <f ca="1">IFERROR(__xludf.DUMMYFUNCTION("""COMPUTED_VALUE"""),"Student")</f>
        <v>Student</v>
      </c>
      <c r="E1294" s="5">
        <f ca="1">IFERROR(__xludf.DUMMYFUNCTION("""COMPUTED_VALUE"""),6)</f>
        <v>6</v>
      </c>
      <c r="F1294" s="5"/>
    </row>
    <row r="1295" spans="1:6">
      <c r="A1295" s="5" t="str">
        <f ca="1">IFERROR(__xludf.DUMMYFUNCTION("""COMPUTED_VALUE"""),"20121214CTSAN")</f>
        <v>20121214CTSAN</v>
      </c>
      <c r="B1295" s="5" t="str">
        <f ca="1">IFERROR(__xludf.DUMMYFUNCTION("""COMPUTED_VALUE"""),"Fatal")</f>
        <v>Fatal</v>
      </c>
      <c r="C1295" s="5" t="str">
        <f ca="1">IFERROR(__xludf.DUMMYFUNCTION("""COMPUTED_VALUE"""),"Male")</f>
        <v>Male</v>
      </c>
      <c r="D1295" s="5" t="str">
        <f ca="1">IFERROR(__xludf.DUMMYFUNCTION("""COMPUTED_VALUE"""),"Student")</f>
        <v>Student</v>
      </c>
      <c r="E1295" s="5">
        <f ca="1">IFERROR(__xludf.DUMMYFUNCTION("""COMPUTED_VALUE"""),7)</f>
        <v>7</v>
      </c>
      <c r="F1295" s="5" t="str">
        <f ca="1">IFERROR(__xludf.DUMMYFUNCTION("""COMPUTED_VALUE"""),"White")</f>
        <v>White</v>
      </c>
    </row>
    <row r="1296" spans="1:6">
      <c r="A1296" s="5" t="str">
        <f ca="1">IFERROR(__xludf.DUMMYFUNCTION("""COMPUTED_VALUE"""),"20121214CTSAN")</f>
        <v>20121214CTSAN</v>
      </c>
      <c r="B1296" s="5" t="str">
        <f ca="1">IFERROR(__xludf.DUMMYFUNCTION("""COMPUTED_VALUE"""),"Fatal")</f>
        <v>Fatal</v>
      </c>
      <c r="C1296" s="5" t="str">
        <f ca="1">IFERROR(__xludf.DUMMYFUNCTION("""COMPUTED_VALUE"""),"Female")</f>
        <v>Female</v>
      </c>
      <c r="D1296" s="5" t="str">
        <f ca="1">IFERROR(__xludf.DUMMYFUNCTION("""COMPUTED_VALUE"""),"Teacher")</f>
        <v>Teacher</v>
      </c>
      <c r="E1296" s="5">
        <f ca="1">IFERROR(__xludf.DUMMYFUNCTION("""COMPUTED_VALUE"""),27)</f>
        <v>27</v>
      </c>
      <c r="F1296" s="5" t="str">
        <f ca="1">IFERROR(__xludf.DUMMYFUNCTION("""COMPUTED_VALUE"""),"White")</f>
        <v>White</v>
      </c>
    </row>
    <row r="1297" spans="1:6">
      <c r="A1297" s="5" t="str">
        <f ca="1">IFERROR(__xludf.DUMMYFUNCTION("""COMPUTED_VALUE"""),"20121214CTSAN")</f>
        <v>20121214CTSAN</v>
      </c>
      <c r="B1297" s="5" t="str">
        <f ca="1">IFERROR(__xludf.DUMMYFUNCTION("""COMPUTED_VALUE"""),"Fatal")</f>
        <v>Fatal</v>
      </c>
      <c r="C1297" s="5" t="str">
        <f ca="1">IFERROR(__xludf.DUMMYFUNCTION("""COMPUTED_VALUE"""),"Male")</f>
        <v>Male</v>
      </c>
      <c r="D1297" s="5" t="str">
        <f ca="1">IFERROR(__xludf.DUMMYFUNCTION("""COMPUTED_VALUE"""),"Student")</f>
        <v>Student</v>
      </c>
      <c r="E1297" s="5">
        <f ca="1">IFERROR(__xludf.DUMMYFUNCTION("""COMPUTED_VALUE"""),6)</f>
        <v>6</v>
      </c>
      <c r="F1297" s="5"/>
    </row>
    <row r="1298" spans="1:6">
      <c r="A1298" s="5" t="str">
        <f ca="1">IFERROR(__xludf.DUMMYFUNCTION("""COMPUTED_VALUE"""),"20121214CTSAN")</f>
        <v>20121214CTSAN</v>
      </c>
      <c r="B1298" s="5" t="str">
        <f ca="1">IFERROR(__xludf.DUMMYFUNCTION("""COMPUTED_VALUE"""),"Fatal")</f>
        <v>Fatal</v>
      </c>
      <c r="C1298" s="5" t="str">
        <f ca="1">IFERROR(__xludf.DUMMYFUNCTION("""COMPUTED_VALUE"""),"Female")</f>
        <v>Female</v>
      </c>
      <c r="D1298" s="5" t="str">
        <f ca="1">IFERROR(__xludf.DUMMYFUNCTION("""COMPUTED_VALUE"""),"Student")</f>
        <v>Student</v>
      </c>
      <c r="E1298" s="5">
        <f ca="1">IFERROR(__xludf.DUMMYFUNCTION("""COMPUTED_VALUE"""),6)</f>
        <v>6</v>
      </c>
      <c r="F1298" s="5"/>
    </row>
    <row r="1299" spans="1:6">
      <c r="A1299" s="5" t="str">
        <f ca="1">IFERROR(__xludf.DUMMYFUNCTION("""COMPUTED_VALUE"""),"20121214CTSAN")</f>
        <v>20121214CTSAN</v>
      </c>
      <c r="B1299" s="5" t="str">
        <f ca="1">IFERROR(__xludf.DUMMYFUNCTION("""COMPUTED_VALUE"""),"Fatal")</f>
        <v>Fatal</v>
      </c>
      <c r="C1299" s="5" t="str">
        <f ca="1">IFERROR(__xludf.DUMMYFUNCTION("""COMPUTED_VALUE"""),"Male")</f>
        <v>Male</v>
      </c>
      <c r="D1299" s="5" t="str">
        <f ca="1">IFERROR(__xludf.DUMMYFUNCTION("""COMPUTED_VALUE"""),"Student")</f>
        <v>Student</v>
      </c>
      <c r="E1299" s="5">
        <f ca="1">IFERROR(__xludf.DUMMYFUNCTION("""COMPUTED_VALUE"""),6)</f>
        <v>6</v>
      </c>
      <c r="F1299" s="5" t="str">
        <f ca="1">IFERROR(__xludf.DUMMYFUNCTION("""COMPUTED_VALUE"""),"White")</f>
        <v>White</v>
      </c>
    </row>
    <row r="1300" spans="1:6">
      <c r="A1300" s="5" t="str">
        <f ca="1">IFERROR(__xludf.DUMMYFUNCTION("""COMPUTED_VALUE"""),"20121214CTSAN")</f>
        <v>20121214CTSAN</v>
      </c>
      <c r="B1300" s="5" t="str">
        <f ca="1">IFERROR(__xludf.DUMMYFUNCTION("""COMPUTED_VALUE"""),"Fatal")</f>
        <v>Fatal</v>
      </c>
      <c r="C1300" s="5" t="str">
        <f ca="1">IFERROR(__xludf.DUMMYFUNCTION("""COMPUTED_VALUE"""),"Female")</f>
        <v>Female</v>
      </c>
      <c r="D1300" s="5" t="str">
        <f ca="1">IFERROR(__xludf.DUMMYFUNCTION("""COMPUTED_VALUE"""),"Principal/Vice-Principal")</f>
        <v>Principal/Vice-Principal</v>
      </c>
      <c r="E1300" s="5">
        <f ca="1">IFERROR(__xludf.DUMMYFUNCTION("""COMPUTED_VALUE"""),47)</f>
        <v>47</v>
      </c>
      <c r="F1300" s="5" t="str">
        <f ca="1">IFERROR(__xludf.DUMMYFUNCTION("""COMPUTED_VALUE"""),"White")</f>
        <v>White</v>
      </c>
    </row>
    <row r="1301" spans="1:6">
      <c r="A1301" s="5" t="str">
        <f ca="1">IFERROR(__xludf.DUMMYFUNCTION("""COMPUTED_VALUE"""),"20121214CTSAN")</f>
        <v>20121214CTSAN</v>
      </c>
      <c r="B1301" s="5" t="str">
        <f ca="1">IFERROR(__xludf.DUMMYFUNCTION("""COMPUTED_VALUE"""),"Fatal")</f>
        <v>Fatal</v>
      </c>
      <c r="C1301" s="5" t="str">
        <f ca="1">IFERROR(__xludf.DUMMYFUNCTION("""COMPUTED_VALUE"""),"Female")</f>
        <v>Female</v>
      </c>
      <c r="D1301" s="5" t="str">
        <f ca="1">IFERROR(__xludf.DUMMYFUNCTION("""COMPUTED_VALUE"""),"Student")</f>
        <v>Student</v>
      </c>
      <c r="E1301" s="5">
        <f ca="1">IFERROR(__xludf.DUMMYFUNCTION("""COMPUTED_VALUE"""),6)</f>
        <v>6</v>
      </c>
      <c r="F1301" s="5" t="str">
        <f ca="1">IFERROR(__xludf.DUMMYFUNCTION("""COMPUTED_VALUE"""),"White")</f>
        <v>White</v>
      </c>
    </row>
    <row r="1302" spans="1:6">
      <c r="A1302" s="5" t="str">
        <f ca="1">IFERROR(__xludf.DUMMYFUNCTION("""COMPUTED_VALUE"""),"20121214CTSAN")</f>
        <v>20121214CTSAN</v>
      </c>
      <c r="B1302" s="5" t="str">
        <f ca="1">IFERROR(__xludf.DUMMYFUNCTION("""COMPUTED_VALUE"""),"Fatal")</f>
        <v>Fatal</v>
      </c>
      <c r="C1302" s="5" t="str">
        <f ca="1">IFERROR(__xludf.DUMMYFUNCTION("""COMPUTED_VALUE"""),"Female")</f>
        <v>Female</v>
      </c>
      <c r="D1302" s="5" t="str">
        <f ca="1">IFERROR(__xludf.DUMMYFUNCTION("""COMPUTED_VALUE"""),"Teacher")</f>
        <v>Teacher</v>
      </c>
      <c r="E1302" s="5">
        <f ca="1">IFERROR(__xludf.DUMMYFUNCTION("""COMPUTED_VALUE"""),56)</f>
        <v>56</v>
      </c>
      <c r="F1302" s="5" t="str">
        <f ca="1">IFERROR(__xludf.DUMMYFUNCTION("""COMPUTED_VALUE"""),"White")</f>
        <v>White</v>
      </c>
    </row>
    <row r="1303" spans="1:6">
      <c r="A1303" s="5" t="str">
        <f ca="1">IFERROR(__xludf.DUMMYFUNCTION("""COMPUTED_VALUE"""),"20121214CTSAN")</f>
        <v>20121214CTSAN</v>
      </c>
      <c r="B1303" s="5" t="str">
        <f ca="1">IFERROR(__xludf.DUMMYFUNCTION("""COMPUTED_VALUE"""),"Fatal")</f>
        <v>Fatal</v>
      </c>
      <c r="C1303" s="5" t="str">
        <f ca="1">IFERROR(__xludf.DUMMYFUNCTION("""COMPUTED_VALUE"""),"Male")</f>
        <v>Male</v>
      </c>
      <c r="D1303" s="5" t="str">
        <f ca="1">IFERROR(__xludf.DUMMYFUNCTION("""COMPUTED_VALUE"""),"Student")</f>
        <v>Student</v>
      </c>
      <c r="E1303" s="5">
        <f ca="1">IFERROR(__xludf.DUMMYFUNCTION("""COMPUTED_VALUE"""),6)</f>
        <v>6</v>
      </c>
      <c r="F1303" s="5" t="str">
        <f ca="1">IFERROR(__xludf.DUMMYFUNCTION("""COMPUTED_VALUE"""),"White")</f>
        <v>White</v>
      </c>
    </row>
    <row r="1304" spans="1:6">
      <c r="A1304" s="5" t="str">
        <f ca="1">IFERROR(__xludf.DUMMYFUNCTION("""COMPUTED_VALUE"""),"20121214CTSAN")</f>
        <v>20121214CTSAN</v>
      </c>
      <c r="B1304" s="5" t="str">
        <f ca="1">IFERROR(__xludf.DUMMYFUNCTION("""COMPUTED_VALUE"""),"Fatal")</f>
        <v>Fatal</v>
      </c>
      <c r="C1304" s="5" t="str">
        <f ca="1">IFERROR(__xludf.DUMMYFUNCTION("""COMPUTED_VALUE"""),"Female")</f>
        <v>Female</v>
      </c>
      <c r="D1304" s="5" t="str">
        <f ca="1">IFERROR(__xludf.DUMMYFUNCTION("""COMPUTED_VALUE"""),"Student")</f>
        <v>Student</v>
      </c>
      <c r="E1304" s="5">
        <f ca="1">IFERROR(__xludf.DUMMYFUNCTION("""COMPUTED_VALUE"""),6)</f>
        <v>6</v>
      </c>
      <c r="F1304" s="5" t="str">
        <f ca="1">IFERROR(__xludf.DUMMYFUNCTION("""COMPUTED_VALUE"""),"White")</f>
        <v>White</v>
      </c>
    </row>
    <row r="1305" spans="1:6">
      <c r="A1305" s="5" t="str">
        <f ca="1">IFERROR(__xludf.DUMMYFUNCTION("""COMPUTED_VALUE"""),"20121214CTSAN")</f>
        <v>20121214CTSAN</v>
      </c>
      <c r="B1305" s="5" t="str">
        <f ca="1">IFERROR(__xludf.DUMMYFUNCTION("""COMPUTED_VALUE"""),"Fatal")</f>
        <v>Fatal</v>
      </c>
      <c r="C1305" s="5" t="str">
        <f ca="1">IFERROR(__xludf.DUMMYFUNCTION("""COMPUTED_VALUE"""),"Male")</f>
        <v>Male</v>
      </c>
      <c r="D1305" s="5" t="str">
        <f ca="1">IFERROR(__xludf.DUMMYFUNCTION("""COMPUTED_VALUE"""),"Student")</f>
        <v>Student</v>
      </c>
      <c r="E1305" s="5">
        <f ca="1">IFERROR(__xludf.DUMMYFUNCTION("""COMPUTED_VALUE"""),6)</f>
        <v>6</v>
      </c>
      <c r="F1305" s="5"/>
    </row>
    <row r="1306" spans="1:6">
      <c r="A1306" s="5" t="str">
        <f ca="1">IFERROR(__xludf.DUMMYFUNCTION("""COMPUTED_VALUE"""),"20121214CTSAN")</f>
        <v>20121214CTSAN</v>
      </c>
      <c r="B1306" s="5" t="str">
        <f ca="1">IFERROR(__xludf.DUMMYFUNCTION("""COMPUTED_VALUE"""),"Fatal")</f>
        <v>Fatal</v>
      </c>
      <c r="C1306" s="5" t="str">
        <f ca="1">IFERROR(__xludf.DUMMYFUNCTION("""COMPUTED_VALUE"""),"Female")</f>
        <v>Female</v>
      </c>
      <c r="D1306" s="5" t="str">
        <f ca="1">IFERROR(__xludf.DUMMYFUNCTION("""COMPUTED_VALUE"""),"Student")</f>
        <v>Student</v>
      </c>
      <c r="E1306" s="5">
        <f ca="1">IFERROR(__xludf.DUMMYFUNCTION("""COMPUTED_VALUE"""),6)</f>
        <v>6</v>
      </c>
      <c r="F1306" s="5" t="str">
        <f ca="1">IFERROR(__xludf.DUMMYFUNCTION("""COMPUTED_VALUE"""),"White")</f>
        <v>White</v>
      </c>
    </row>
    <row r="1307" spans="1:6">
      <c r="A1307" s="5" t="str">
        <f ca="1">IFERROR(__xludf.DUMMYFUNCTION("""COMPUTED_VALUE"""),"20121214CTSAN")</f>
        <v>20121214CTSAN</v>
      </c>
      <c r="B1307" s="5" t="str">
        <f ca="1">IFERROR(__xludf.DUMMYFUNCTION("""COMPUTED_VALUE"""),"Fatal")</f>
        <v>Fatal</v>
      </c>
      <c r="C1307" s="5" t="str">
        <f ca="1">IFERROR(__xludf.DUMMYFUNCTION("""COMPUTED_VALUE"""),"Male")</f>
        <v>Male</v>
      </c>
      <c r="D1307" s="5" t="str">
        <f ca="1">IFERROR(__xludf.DUMMYFUNCTION("""COMPUTED_VALUE"""),"Student")</f>
        <v>Student</v>
      </c>
      <c r="E1307" s="5">
        <f ca="1">IFERROR(__xludf.DUMMYFUNCTION("""COMPUTED_VALUE"""),6)</f>
        <v>6</v>
      </c>
      <c r="F1307" s="5" t="str">
        <f ca="1">IFERROR(__xludf.DUMMYFUNCTION("""COMPUTED_VALUE"""),"White")</f>
        <v>White</v>
      </c>
    </row>
    <row r="1308" spans="1:6">
      <c r="A1308" s="5" t="str">
        <f ca="1">IFERROR(__xludf.DUMMYFUNCTION("""COMPUTED_VALUE"""),"20121210TXSPH")</f>
        <v>20121210TXSPH</v>
      </c>
      <c r="B1308" s="5" t="str">
        <f ca="1">IFERROR(__xludf.DUMMYFUNCTION("""COMPUTED_VALUE"""),"None")</f>
        <v>None</v>
      </c>
      <c r="C1308" s="5"/>
      <c r="D1308" s="5"/>
      <c r="E1308" s="5"/>
      <c r="F1308" s="5"/>
    </row>
    <row r="1309" spans="1:6">
      <c r="A1309" s="5" t="str">
        <f ca="1">IFERROR(__xludf.DUMMYFUNCTION("""COMPUTED_VALUE"""),"20121019ILBAC")</f>
        <v>20121019ILBAC</v>
      </c>
      <c r="B1309" s="5" t="str">
        <f ca="1">IFERROR(__xludf.DUMMYFUNCTION("""COMPUTED_VALUE"""),"Fatal")</f>
        <v>Fatal</v>
      </c>
      <c r="C1309" s="5" t="str">
        <f ca="1">IFERROR(__xludf.DUMMYFUNCTION("""COMPUTED_VALUE"""),"Male")</f>
        <v>Male</v>
      </c>
      <c r="D1309" s="5" t="str">
        <f ca="1">IFERROR(__xludf.DUMMYFUNCTION("""COMPUTED_VALUE"""),"Student")</f>
        <v>Student</v>
      </c>
      <c r="E1309" s="5">
        <f ca="1">IFERROR(__xludf.DUMMYFUNCTION("""COMPUTED_VALUE"""),18)</f>
        <v>18</v>
      </c>
      <c r="F1309" s="5" t="str">
        <f ca="1">IFERROR(__xludf.DUMMYFUNCTION("""COMPUTED_VALUE"""),"Black")</f>
        <v>Black</v>
      </c>
    </row>
    <row r="1310" spans="1:6">
      <c r="A1310" s="5" t="str">
        <f ca="1">IFERROR(__xludf.DUMMYFUNCTION("""COMPUTED_VALUE"""),"20121012NDFAF")</f>
        <v>20121012NDFAF</v>
      </c>
      <c r="B1310" s="5" t="str">
        <f ca="1">IFERROR(__xludf.DUMMYFUNCTION("""COMPUTED_VALUE"""),"None")</f>
        <v>None</v>
      </c>
      <c r="C1310" s="5" t="str">
        <f ca="1">IFERROR(__xludf.DUMMYFUNCTION("""COMPUTED_VALUE"""),"Male")</f>
        <v>Male</v>
      </c>
      <c r="D1310" s="5" t="str">
        <f ca="1">IFERROR(__xludf.DUMMYFUNCTION("""COMPUTED_VALUE"""),"Student")</f>
        <v>Student</v>
      </c>
      <c r="E1310" s="5">
        <f ca="1">IFERROR(__xludf.DUMMYFUNCTION("""COMPUTED_VALUE"""),14)</f>
        <v>14</v>
      </c>
      <c r="F1310" s="5"/>
    </row>
    <row r="1311" spans="1:6">
      <c r="A1311" s="5" t="str">
        <f ca="1">IFERROR(__xludf.DUMMYFUNCTION("""COMPUTED_VALUE"""),"20120926OKSTS")</f>
        <v>20120926OKSTS</v>
      </c>
      <c r="B1311" s="5" t="str">
        <f ca="1">IFERROR(__xludf.DUMMYFUNCTION("""COMPUTED_VALUE"""),"None")</f>
        <v>None</v>
      </c>
      <c r="C1311" s="5" t="str">
        <f ca="1">IFERROR(__xludf.DUMMYFUNCTION("""COMPUTED_VALUE"""),"Male")</f>
        <v>Male</v>
      </c>
      <c r="D1311" s="5" t="str">
        <f ca="1">IFERROR(__xludf.DUMMYFUNCTION("""COMPUTED_VALUE"""),"Student")</f>
        <v>Student</v>
      </c>
      <c r="E1311" s="5">
        <f ca="1">IFERROR(__xludf.DUMMYFUNCTION("""COMPUTED_VALUE"""),13)</f>
        <v>13</v>
      </c>
      <c r="F1311" s="5" t="str">
        <f ca="1">IFERROR(__xludf.DUMMYFUNCTION("""COMPUTED_VALUE"""),"White")</f>
        <v>White</v>
      </c>
    </row>
    <row r="1312" spans="1:6">
      <c r="A1312" s="5" t="str">
        <f ca="1">IFERROR(__xludf.DUMMYFUNCTION("""COMPUTED_VALUE"""),"20120907ILNON")</f>
        <v>20120907ILNON</v>
      </c>
      <c r="B1312" s="5" t="str">
        <f ca="1">IFERROR(__xludf.DUMMYFUNCTION("""COMPUTED_VALUE"""),"None")</f>
        <v>None</v>
      </c>
      <c r="C1312" s="5"/>
      <c r="D1312" s="5"/>
      <c r="E1312" s="5"/>
      <c r="F1312" s="5"/>
    </row>
    <row r="1313" spans="1:6">
      <c r="A1313" s="5" t="str">
        <f ca="1">IFERROR(__xludf.DUMMYFUNCTION("""COMPUTED_VALUE"""),"20120827MDPEP")</f>
        <v>20120827MDPEP</v>
      </c>
      <c r="B1313" s="5" t="str">
        <f ca="1">IFERROR(__xludf.DUMMYFUNCTION("""COMPUTED_VALUE"""),"Wounded")</f>
        <v>Wounded</v>
      </c>
      <c r="C1313" s="5" t="str">
        <f ca="1">IFERROR(__xludf.DUMMYFUNCTION("""COMPUTED_VALUE"""),"Male")</f>
        <v>Male</v>
      </c>
      <c r="D1313" s="5" t="str">
        <f ca="1">IFERROR(__xludf.DUMMYFUNCTION("""COMPUTED_VALUE"""),"Student")</f>
        <v>Student</v>
      </c>
      <c r="E1313" s="5">
        <f ca="1">IFERROR(__xludf.DUMMYFUNCTION("""COMPUTED_VALUE"""),17)</f>
        <v>17</v>
      </c>
      <c r="F1313" s="5" t="str">
        <f ca="1">IFERROR(__xludf.DUMMYFUNCTION("""COMPUTED_VALUE"""),"White")</f>
        <v>White</v>
      </c>
    </row>
    <row r="1314" spans="1:6">
      <c r="A1314" s="5" t="str">
        <f ca="1">IFERROR(__xludf.DUMMYFUNCTION("""COMPUTED_VALUE"""),"20120824GABAH")</f>
        <v>20120824GABAH</v>
      </c>
      <c r="B1314" s="5" t="str">
        <f ca="1">IFERROR(__xludf.DUMMYFUNCTION("""COMPUTED_VALUE"""),"None")</f>
        <v>None</v>
      </c>
      <c r="C1314" s="5" t="str">
        <f ca="1">IFERROR(__xludf.DUMMYFUNCTION("""COMPUTED_VALUE"""),"Male")</f>
        <v>Male</v>
      </c>
      <c r="D1314" s="5" t="str">
        <f ca="1">IFERROR(__xludf.DUMMYFUNCTION("""COMPUTED_VALUE"""),"Student")</f>
        <v>Student</v>
      </c>
      <c r="E1314" s="5">
        <f ca="1">IFERROR(__xludf.DUMMYFUNCTION("""COMPUTED_VALUE"""),15)</f>
        <v>15</v>
      </c>
      <c r="F1314" s="5"/>
    </row>
    <row r="1315" spans="1:6">
      <c r="A1315" s="5" t="str">
        <f ca="1">IFERROR(__xludf.DUMMYFUNCTION("""COMPUTED_VALUE"""),"20120816TNHAM")</f>
        <v>20120816TNHAM</v>
      </c>
      <c r="B1315" s="5" t="str">
        <f ca="1">IFERROR(__xludf.DUMMYFUNCTION("""COMPUTED_VALUE"""),"None")</f>
        <v>None</v>
      </c>
      <c r="C1315" s="5"/>
      <c r="D1315" s="5" t="str">
        <f ca="1">IFERROR(__xludf.DUMMYFUNCTION("""COMPUTED_VALUE"""),"Student")</f>
        <v>Student</v>
      </c>
      <c r="E1315" s="5" t="str">
        <f ca="1">IFERROR(__xludf.DUMMYFUNCTION("""COMPUTED_VALUE"""),"Teen")</f>
        <v>Teen</v>
      </c>
      <c r="F1315" s="5"/>
    </row>
    <row r="1316" spans="1:6">
      <c r="A1316" s="5" t="str">
        <f ca="1">IFERROR(__xludf.DUMMYFUNCTION("""COMPUTED_VALUE"""),"20120816TNHAM")</f>
        <v>20120816TNHAM</v>
      </c>
      <c r="B1316" s="5" t="str">
        <f ca="1">IFERROR(__xludf.DUMMYFUNCTION("""COMPUTED_VALUE"""),"None")</f>
        <v>None</v>
      </c>
      <c r="C1316" s="5"/>
      <c r="D1316" s="5" t="str">
        <f ca="1">IFERROR(__xludf.DUMMYFUNCTION("""COMPUTED_VALUE"""),"Student")</f>
        <v>Student</v>
      </c>
      <c r="E1316" s="5" t="str">
        <f ca="1">IFERROR(__xludf.DUMMYFUNCTION("""COMPUTED_VALUE"""),"Teen")</f>
        <v>Teen</v>
      </c>
      <c r="F1316" s="5"/>
    </row>
    <row r="1317" spans="1:6">
      <c r="A1317" s="5" t="str">
        <f ca="1">IFERROR(__xludf.DUMMYFUNCTION("""COMPUTED_VALUE"""),"20120706RINAP")</f>
        <v>20120706RINAP</v>
      </c>
      <c r="B1317" s="5" t="str">
        <f ca="1">IFERROR(__xludf.DUMMYFUNCTION("""COMPUTED_VALUE"""),"Fatal")</f>
        <v>Fatal</v>
      </c>
      <c r="C1317" s="5" t="str">
        <f ca="1">IFERROR(__xludf.DUMMYFUNCTION("""COMPUTED_VALUE"""),"Male")</f>
        <v>Male</v>
      </c>
      <c r="D1317" s="5" t="str">
        <f ca="1">IFERROR(__xludf.DUMMYFUNCTION("""COMPUTED_VALUE"""),"No Relation")</f>
        <v>No Relation</v>
      </c>
      <c r="E1317" s="5">
        <f ca="1">IFERROR(__xludf.DUMMYFUNCTION("""COMPUTED_VALUE"""),20)</f>
        <v>20</v>
      </c>
      <c r="F1317" s="5" t="str">
        <f ca="1">IFERROR(__xludf.DUMMYFUNCTION("""COMPUTED_VALUE"""),"Black")</f>
        <v>Black</v>
      </c>
    </row>
    <row r="1318" spans="1:6">
      <c r="A1318" s="5" t="str">
        <f ca="1">IFERROR(__xludf.DUMMYFUNCTION("""COMPUTED_VALUE"""),"20120525NCMAC")</f>
        <v>20120525NCMAC</v>
      </c>
      <c r="B1318" s="5" t="str">
        <f ca="1">IFERROR(__xludf.DUMMYFUNCTION("""COMPUTED_VALUE"""),"Fatal")</f>
        <v>Fatal</v>
      </c>
      <c r="C1318" s="5" t="str">
        <f ca="1">IFERROR(__xludf.DUMMYFUNCTION("""COMPUTED_VALUE"""),"Female")</f>
        <v>Female</v>
      </c>
      <c r="D1318" s="5" t="str">
        <f ca="1">IFERROR(__xludf.DUMMYFUNCTION("""COMPUTED_VALUE"""),"Parent")</f>
        <v>Parent</v>
      </c>
      <c r="E1318" s="5">
        <f ca="1">IFERROR(__xludf.DUMMYFUNCTION("""COMPUTED_VALUE"""),40)</f>
        <v>40</v>
      </c>
      <c r="F1318" s="5" t="str">
        <f ca="1">IFERROR(__xludf.DUMMYFUNCTION("""COMPUTED_VALUE"""),"White")</f>
        <v>White</v>
      </c>
    </row>
    <row r="1319" spans="1:6">
      <c r="A1319" s="5" t="str">
        <f ca="1">IFERROR(__xludf.DUMMYFUNCTION("""COMPUTED_VALUE"""),"20120525AZWEA")</f>
        <v>20120525AZWEA</v>
      </c>
      <c r="B1319" s="5" t="str">
        <f ca="1">IFERROR(__xludf.DUMMYFUNCTION("""COMPUTED_VALUE"""),"Fatal")</f>
        <v>Fatal</v>
      </c>
      <c r="C1319" s="5" t="str">
        <f ca="1">IFERROR(__xludf.DUMMYFUNCTION("""COMPUTED_VALUE"""),"Female")</f>
        <v>Female</v>
      </c>
      <c r="D1319" s="5" t="str">
        <f ca="1">IFERROR(__xludf.DUMMYFUNCTION("""COMPUTED_VALUE"""),"Parent")</f>
        <v>Parent</v>
      </c>
      <c r="E1319" s="5">
        <f ca="1">IFERROR(__xludf.DUMMYFUNCTION("""COMPUTED_VALUE"""),34)</f>
        <v>34</v>
      </c>
      <c r="F1319" s="5" t="str">
        <f ca="1">IFERROR(__xludf.DUMMYFUNCTION("""COMPUTED_VALUE"""),"Black")</f>
        <v>Black</v>
      </c>
    </row>
    <row r="1320" spans="1:6">
      <c r="A1320" s="5" t="str">
        <f ca="1">IFERROR(__xludf.DUMMYFUNCTION("""COMPUTED_VALUE"""),"20120401ARKIR")</f>
        <v>20120401ARKIR</v>
      </c>
      <c r="B1320" s="5" t="str">
        <f ca="1">IFERROR(__xludf.DUMMYFUNCTION("""COMPUTED_VALUE"""),"Wounded")</f>
        <v>Wounded</v>
      </c>
      <c r="C1320" s="5" t="str">
        <f ca="1">IFERROR(__xludf.DUMMYFUNCTION("""COMPUTED_VALUE"""),"Male")</f>
        <v>Male</v>
      </c>
      <c r="D1320" s="5" t="str">
        <f ca="1">IFERROR(__xludf.DUMMYFUNCTION("""COMPUTED_VALUE"""),"Unknown")</f>
        <v>Unknown</v>
      </c>
      <c r="E1320" s="5">
        <f ca="1">IFERROR(__xludf.DUMMYFUNCTION("""COMPUTED_VALUE"""),18)</f>
        <v>18</v>
      </c>
      <c r="F1320" s="5"/>
    </row>
    <row r="1321" spans="1:6">
      <c r="A1321" s="5" t="str">
        <f ca="1">IFERROR(__xludf.DUMMYFUNCTION("""COMPUTED_VALUE"""),"20120315ALLEM")</f>
        <v>20120315ALLEM</v>
      </c>
      <c r="B1321" s="5" t="str">
        <f ca="1">IFERROR(__xludf.DUMMYFUNCTION("""COMPUTED_VALUE"""),"None")</f>
        <v>None</v>
      </c>
      <c r="C1321" s="5" t="str">
        <f ca="1">IFERROR(__xludf.DUMMYFUNCTION("""COMPUTED_VALUE"""),"Male")</f>
        <v>Male</v>
      </c>
      <c r="D1321" s="5" t="str">
        <f ca="1">IFERROR(__xludf.DUMMYFUNCTION("""COMPUTED_VALUE"""),"Student")</f>
        <v>Student</v>
      </c>
      <c r="E1321" s="5" t="str">
        <f ca="1">IFERROR(__xludf.DUMMYFUNCTION("""COMPUTED_VALUE"""),"Teen")</f>
        <v>Teen</v>
      </c>
      <c r="F1321" s="5"/>
    </row>
    <row r="1322" spans="1:6">
      <c r="A1322" s="5" t="str">
        <f ca="1">IFERROR(__xludf.DUMMYFUNCTION("""COMPUTED_VALUE"""),"20120306FLEPJ")</f>
        <v>20120306FLEPJ</v>
      </c>
      <c r="B1322" s="5" t="str">
        <f ca="1">IFERROR(__xludf.DUMMYFUNCTION("""COMPUTED_VALUE"""),"Fatal")</f>
        <v>Fatal</v>
      </c>
      <c r="C1322" s="5" t="str">
        <f ca="1">IFERROR(__xludf.DUMMYFUNCTION("""COMPUTED_VALUE"""),"Female")</f>
        <v>Female</v>
      </c>
      <c r="D1322" s="5" t="str">
        <f ca="1">IFERROR(__xludf.DUMMYFUNCTION("""COMPUTED_VALUE"""),"Principal/Vice-Principal")</f>
        <v>Principal/Vice-Principal</v>
      </c>
      <c r="E1322" s="5">
        <f ca="1">IFERROR(__xludf.DUMMYFUNCTION("""COMPUTED_VALUE"""),63)</f>
        <v>63</v>
      </c>
      <c r="F1322" s="5" t="str">
        <f ca="1">IFERROR(__xludf.DUMMYFUNCTION("""COMPUTED_VALUE"""),"White")</f>
        <v>White</v>
      </c>
    </row>
    <row r="1323" spans="1:6">
      <c r="A1323" s="5" t="str">
        <f ca="1">IFERROR(__xludf.DUMMYFUNCTION("""COMPUTED_VALUE"""),"20120227OHCHC")</f>
        <v>20120227OHCHC</v>
      </c>
      <c r="B1323" s="5" t="str">
        <f ca="1">IFERROR(__xludf.DUMMYFUNCTION("""COMPUTED_VALUE"""),"Wounded")</f>
        <v>Wounded</v>
      </c>
      <c r="C1323" s="5" t="str">
        <f ca="1">IFERROR(__xludf.DUMMYFUNCTION("""COMPUTED_VALUE"""),"Male")</f>
        <v>Male</v>
      </c>
      <c r="D1323" s="5" t="str">
        <f ca="1">IFERROR(__xludf.DUMMYFUNCTION("""COMPUTED_VALUE"""),"Student")</f>
        <v>Student</v>
      </c>
      <c r="E1323" s="5">
        <f ca="1">IFERROR(__xludf.DUMMYFUNCTION("""COMPUTED_VALUE"""),17)</f>
        <v>17</v>
      </c>
      <c r="F1323" s="5"/>
    </row>
    <row r="1324" spans="1:6">
      <c r="A1324" s="5" t="str">
        <f ca="1">IFERROR(__xludf.DUMMYFUNCTION("""COMPUTED_VALUE"""),"20120227OHCHC")</f>
        <v>20120227OHCHC</v>
      </c>
      <c r="B1324" s="5" t="str">
        <f ca="1">IFERROR(__xludf.DUMMYFUNCTION("""COMPUTED_VALUE"""),"Wounded")</f>
        <v>Wounded</v>
      </c>
      <c r="C1324" s="5" t="str">
        <f ca="1">IFERROR(__xludf.DUMMYFUNCTION("""COMPUTED_VALUE"""),"Male")</f>
        <v>Male</v>
      </c>
      <c r="D1324" s="5" t="str">
        <f ca="1">IFERROR(__xludf.DUMMYFUNCTION("""COMPUTED_VALUE"""),"Student")</f>
        <v>Student</v>
      </c>
      <c r="E1324" s="5">
        <f ca="1">IFERROR(__xludf.DUMMYFUNCTION("""COMPUTED_VALUE"""),18)</f>
        <v>18</v>
      </c>
      <c r="F1324" s="5"/>
    </row>
    <row r="1325" spans="1:6">
      <c r="A1325" s="5" t="str">
        <f ca="1">IFERROR(__xludf.DUMMYFUNCTION("""COMPUTED_VALUE"""),"20120227OHCHC")</f>
        <v>20120227OHCHC</v>
      </c>
      <c r="B1325" s="5" t="str">
        <f ca="1">IFERROR(__xludf.DUMMYFUNCTION("""COMPUTED_VALUE"""),"Wounded")</f>
        <v>Wounded</v>
      </c>
      <c r="C1325" s="5" t="str">
        <f ca="1">IFERROR(__xludf.DUMMYFUNCTION("""COMPUTED_VALUE"""),"Male")</f>
        <v>Male</v>
      </c>
      <c r="D1325" s="5" t="str">
        <f ca="1">IFERROR(__xludf.DUMMYFUNCTION("""COMPUTED_VALUE"""),"Student")</f>
        <v>Student</v>
      </c>
      <c r="E1325" s="5" t="str">
        <f ca="1">IFERROR(__xludf.DUMMYFUNCTION("""COMPUTED_VALUE"""),"Teen")</f>
        <v>Teen</v>
      </c>
      <c r="F1325" s="5"/>
    </row>
    <row r="1326" spans="1:6">
      <c r="A1326" s="5" t="str">
        <f ca="1">IFERROR(__xludf.DUMMYFUNCTION("""COMPUTED_VALUE"""),"20120227OHCHC")</f>
        <v>20120227OHCHC</v>
      </c>
      <c r="B1326" s="5" t="str">
        <f ca="1">IFERROR(__xludf.DUMMYFUNCTION("""COMPUTED_VALUE"""),"Fatal")</f>
        <v>Fatal</v>
      </c>
      <c r="C1326" s="5" t="str">
        <f ca="1">IFERROR(__xludf.DUMMYFUNCTION("""COMPUTED_VALUE"""),"Male")</f>
        <v>Male</v>
      </c>
      <c r="D1326" s="5" t="str">
        <f ca="1">IFERROR(__xludf.DUMMYFUNCTION("""COMPUTED_VALUE"""),"Student")</f>
        <v>Student</v>
      </c>
      <c r="E1326" s="5">
        <f ca="1">IFERROR(__xludf.DUMMYFUNCTION("""COMPUTED_VALUE"""),16)</f>
        <v>16</v>
      </c>
      <c r="F1326" s="5"/>
    </row>
    <row r="1327" spans="1:6">
      <c r="A1327" s="5" t="str">
        <f ca="1">IFERROR(__xludf.DUMMYFUNCTION("""COMPUTED_VALUE"""),"20120227OHCHC")</f>
        <v>20120227OHCHC</v>
      </c>
      <c r="B1327" s="5" t="str">
        <f ca="1">IFERROR(__xludf.DUMMYFUNCTION("""COMPUTED_VALUE"""),"Fatal")</f>
        <v>Fatal</v>
      </c>
      <c r="C1327" s="5" t="str">
        <f ca="1">IFERROR(__xludf.DUMMYFUNCTION("""COMPUTED_VALUE"""),"Male")</f>
        <v>Male</v>
      </c>
      <c r="D1327" s="5" t="str">
        <f ca="1">IFERROR(__xludf.DUMMYFUNCTION("""COMPUTED_VALUE"""),"Student")</f>
        <v>Student</v>
      </c>
      <c r="E1327" s="5">
        <f ca="1">IFERROR(__xludf.DUMMYFUNCTION("""COMPUTED_VALUE"""),16)</f>
        <v>16</v>
      </c>
      <c r="F1327" s="5"/>
    </row>
    <row r="1328" spans="1:6">
      <c r="A1328" s="5" t="str">
        <f ca="1">IFERROR(__xludf.DUMMYFUNCTION("""COMPUTED_VALUE"""),"20120227OHCHC")</f>
        <v>20120227OHCHC</v>
      </c>
      <c r="B1328" s="5" t="str">
        <f ca="1">IFERROR(__xludf.DUMMYFUNCTION("""COMPUTED_VALUE"""),"Fatal")</f>
        <v>Fatal</v>
      </c>
      <c r="C1328" s="5" t="str">
        <f ca="1">IFERROR(__xludf.DUMMYFUNCTION("""COMPUTED_VALUE"""),"Male")</f>
        <v>Male</v>
      </c>
      <c r="D1328" s="5" t="str">
        <f ca="1">IFERROR(__xludf.DUMMYFUNCTION("""COMPUTED_VALUE"""),"Student")</f>
        <v>Student</v>
      </c>
      <c r="E1328" s="5" t="str">
        <f ca="1">IFERROR(__xludf.DUMMYFUNCTION("""COMPUTED_VALUE"""),"Teen")</f>
        <v>Teen</v>
      </c>
      <c r="F1328" s="5"/>
    </row>
    <row r="1329" spans="1:6">
      <c r="A1329" s="5" t="str">
        <f ca="1">IFERROR(__xludf.DUMMYFUNCTION("""COMPUTED_VALUE"""),"20120222WAARB")</f>
        <v>20120222WAARB</v>
      </c>
      <c r="B1329" s="5" t="str">
        <f ca="1">IFERROR(__xludf.DUMMYFUNCTION("""COMPUTED_VALUE"""),"Wounded")</f>
        <v>Wounded</v>
      </c>
      <c r="C1329" s="5" t="str">
        <f ca="1">IFERROR(__xludf.DUMMYFUNCTION("""COMPUTED_VALUE"""),"Female")</f>
        <v>Female</v>
      </c>
      <c r="D1329" s="5" t="str">
        <f ca="1">IFERROR(__xludf.DUMMYFUNCTION("""COMPUTED_VALUE"""),"Student")</f>
        <v>Student</v>
      </c>
      <c r="E1329" s="5">
        <f ca="1">IFERROR(__xludf.DUMMYFUNCTION("""COMPUTED_VALUE"""),8)</f>
        <v>8</v>
      </c>
      <c r="F1329" s="5" t="str">
        <f ca="1">IFERROR(__xludf.DUMMYFUNCTION("""COMPUTED_VALUE"""),"Hispanic")</f>
        <v>Hispanic</v>
      </c>
    </row>
    <row r="1330" spans="1:6">
      <c r="A1330" s="5" t="str">
        <f ca="1">IFERROR(__xludf.DUMMYFUNCTION("""COMPUTED_VALUE"""),"20120210NHWAW")</f>
        <v>20120210NHWAW</v>
      </c>
      <c r="B1330" s="5" t="str">
        <f ca="1">IFERROR(__xludf.DUMMYFUNCTION("""COMPUTED_VALUE"""),"None")</f>
        <v>None</v>
      </c>
      <c r="C1330" s="5" t="str">
        <f ca="1">IFERROR(__xludf.DUMMYFUNCTION("""COMPUTED_VALUE"""),"Male")</f>
        <v>Male</v>
      </c>
      <c r="D1330" s="5" t="str">
        <f ca="1">IFERROR(__xludf.DUMMYFUNCTION("""COMPUTED_VALUE"""),"Student")</f>
        <v>Student</v>
      </c>
      <c r="E1330" s="5">
        <f ca="1">IFERROR(__xludf.DUMMYFUNCTION("""COMPUTED_VALUE"""),14)</f>
        <v>14</v>
      </c>
      <c r="F1330" s="5" t="str">
        <f ca="1">IFERROR(__xludf.DUMMYFUNCTION("""COMPUTED_VALUE"""),"White")</f>
        <v>White</v>
      </c>
    </row>
    <row r="1331" spans="1:6">
      <c r="A1331" s="5" t="str">
        <f ca="1">IFERROR(__xludf.DUMMYFUNCTION("""COMPUTED_VALUE"""),"20120110TXNOH")</f>
        <v>20120110TXNOH</v>
      </c>
      <c r="B1331" s="5" t="str">
        <f ca="1">IFERROR(__xludf.DUMMYFUNCTION("""COMPUTED_VALUE"""),"Wounded")</f>
        <v>Wounded</v>
      </c>
      <c r="C1331" s="5" t="str">
        <f ca="1">IFERROR(__xludf.DUMMYFUNCTION("""COMPUTED_VALUE"""),"Male")</f>
        <v>Male</v>
      </c>
      <c r="D1331" s="5" t="str">
        <f ca="1">IFERROR(__xludf.DUMMYFUNCTION("""COMPUTED_VALUE"""),"Student")</f>
        <v>Student</v>
      </c>
      <c r="E1331" s="5">
        <f ca="1">IFERROR(__xludf.DUMMYFUNCTION("""COMPUTED_VALUE"""),16)</f>
        <v>16</v>
      </c>
      <c r="F1331" s="5" t="str">
        <f ca="1">IFERROR(__xludf.DUMMYFUNCTION("""COMPUTED_VALUE"""),"Black")</f>
        <v>Black</v>
      </c>
    </row>
    <row r="1332" spans="1:6">
      <c r="A1332" s="5" t="str">
        <f ca="1">IFERROR(__xludf.DUMMYFUNCTION("""COMPUTED_VALUE"""),"20120104TXCUB")</f>
        <v>20120104TXCUB</v>
      </c>
      <c r="B1332" s="5" t="str">
        <f ca="1">IFERROR(__xludf.DUMMYFUNCTION("""COMPUTED_VALUE"""),"None")</f>
        <v>None</v>
      </c>
      <c r="C1332" s="5" t="str">
        <f ca="1">IFERROR(__xludf.DUMMYFUNCTION("""COMPUTED_VALUE"""),"Male")</f>
        <v>Male</v>
      </c>
      <c r="D1332" s="5" t="str">
        <f ca="1">IFERROR(__xludf.DUMMYFUNCTION("""COMPUTED_VALUE"""),"Student")</f>
        <v>Student</v>
      </c>
      <c r="E1332" s="5" t="str">
        <f ca="1">IFERROR(__xludf.DUMMYFUNCTION("""COMPUTED_VALUE"""),"Child")</f>
        <v>Child</v>
      </c>
      <c r="F1332" s="5"/>
    </row>
    <row r="1333" spans="1:6">
      <c r="A1333" s="5" t="str">
        <f ca="1">IFERROR(__xludf.DUMMYFUNCTION("""COMPUTED_VALUE"""),"20111228MINOF")</f>
        <v>20111228MINOF</v>
      </c>
      <c r="B1333" s="5" t="str">
        <f ca="1">IFERROR(__xludf.DUMMYFUNCTION("""COMPUTED_VALUE"""),"Wounded")</f>
        <v>Wounded</v>
      </c>
      <c r="C1333" s="5" t="str">
        <f ca="1">IFERROR(__xludf.DUMMYFUNCTION("""COMPUTED_VALUE"""),"Male")</f>
        <v>Male</v>
      </c>
      <c r="D1333" s="5" t="str">
        <f ca="1">IFERROR(__xludf.DUMMYFUNCTION("""COMPUTED_VALUE"""),"Unknown")</f>
        <v>Unknown</v>
      </c>
      <c r="E1333" s="5"/>
      <c r="F1333" s="5"/>
    </row>
    <row r="1334" spans="1:6">
      <c r="A1334" s="5" t="str">
        <f ca="1">IFERROR(__xludf.DUMMYFUNCTION("""COMPUTED_VALUE"""),"20111212TXHAE")</f>
        <v>20111212TXHAE</v>
      </c>
      <c r="B1334" s="5" t="str">
        <f ca="1">IFERROR(__xludf.DUMMYFUNCTION("""COMPUTED_VALUE"""),"Wounded")</f>
        <v>Wounded</v>
      </c>
      <c r="C1334" s="5" t="str">
        <f ca="1">IFERROR(__xludf.DUMMYFUNCTION("""COMPUTED_VALUE"""),"Male")</f>
        <v>Male</v>
      </c>
      <c r="D1334" s="5" t="str">
        <f ca="1">IFERROR(__xludf.DUMMYFUNCTION("""COMPUTED_VALUE"""),"Student")</f>
        <v>Student</v>
      </c>
      <c r="E1334" s="5">
        <f ca="1">IFERROR(__xludf.DUMMYFUNCTION("""COMPUTED_VALUE"""),13)</f>
        <v>13</v>
      </c>
      <c r="F1334" s="5" t="str">
        <f ca="1">IFERROR(__xludf.DUMMYFUNCTION("""COMPUTED_VALUE"""),"White")</f>
        <v>White</v>
      </c>
    </row>
    <row r="1335" spans="1:6">
      <c r="A1335" s="5" t="str">
        <f ca="1">IFERROR(__xludf.DUMMYFUNCTION("""COMPUTED_VALUE"""),"20111212TXHAE")</f>
        <v>20111212TXHAE</v>
      </c>
      <c r="B1335" s="5" t="str">
        <f ca="1">IFERROR(__xludf.DUMMYFUNCTION("""COMPUTED_VALUE"""),"Wounded")</f>
        <v>Wounded</v>
      </c>
      <c r="C1335" s="5" t="str">
        <f ca="1">IFERROR(__xludf.DUMMYFUNCTION("""COMPUTED_VALUE"""),"Male")</f>
        <v>Male</v>
      </c>
      <c r="D1335" s="5" t="str">
        <f ca="1">IFERROR(__xludf.DUMMYFUNCTION("""COMPUTED_VALUE"""),"Student")</f>
        <v>Student</v>
      </c>
      <c r="E1335" s="5">
        <f ca="1">IFERROR(__xludf.DUMMYFUNCTION("""COMPUTED_VALUE"""),14)</f>
        <v>14</v>
      </c>
      <c r="F1335" s="5" t="str">
        <f ca="1">IFERROR(__xludf.DUMMYFUNCTION("""COMPUTED_VALUE"""),"White")</f>
        <v>White</v>
      </c>
    </row>
    <row r="1336" spans="1:6">
      <c r="A1336" s="5" t="str">
        <f ca="1">IFERROR(__xludf.DUMMYFUNCTION("""COMPUTED_VALUE"""),"20111024NCCAF")</f>
        <v>20111024NCCAF</v>
      </c>
      <c r="B1336" s="5" t="str">
        <f ca="1">IFERROR(__xludf.DUMMYFUNCTION("""COMPUTED_VALUE"""),"Wounded")</f>
        <v>Wounded</v>
      </c>
      <c r="C1336" s="5" t="str">
        <f ca="1">IFERROR(__xludf.DUMMYFUNCTION("""COMPUTED_VALUE"""),"Female")</f>
        <v>Female</v>
      </c>
      <c r="D1336" s="5" t="str">
        <f ca="1">IFERROR(__xludf.DUMMYFUNCTION("""COMPUTED_VALUE"""),"Student")</f>
        <v>Student</v>
      </c>
      <c r="E1336" s="5">
        <f ca="1">IFERROR(__xludf.DUMMYFUNCTION("""COMPUTED_VALUE"""),15)</f>
        <v>15</v>
      </c>
      <c r="F1336" s="5" t="str">
        <f ca="1">IFERROR(__xludf.DUMMYFUNCTION("""COMPUTED_VALUE"""),"White")</f>
        <v>White</v>
      </c>
    </row>
    <row r="1337" spans="1:6">
      <c r="A1337" s="5" t="str">
        <f ca="1">IFERROR(__xludf.DUMMYFUNCTION("""COMPUTED_VALUE"""),"20110930ORWIP")</f>
        <v>20110930ORWIP</v>
      </c>
      <c r="B1337" s="5" t="str">
        <f ca="1">IFERROR(__xludf.DUMMYFUNCTION("""COMPUTED_VALUE"""),"None")</f>
        <v>None</v>
      </c>
      <c r="C1337" s="5"/>
      <c r="D1337" s="5"/>
      <c r="E1337" s="5"/>
      <c r="F1337" s="5"/>
    </row>
    <row r="1338" spans="1:6">
      <c r="A1338" s="5" t="str">
        <f ca="1">IFERROR(__xludf.DUMMYFUNCTION("""COMPUTED_VALUE"""),"20110930NCGAC")</f>
        <v>20110930NCGAC</v>
      </c>
      <c r="B1338" s="5" t="str">
        <f ca="1">IFERROR(__xludf.DUMMYFUNCTION("""COMPUTED_VALUE"""),"Wounded")</f>
        <v>Wounded</v>
      </c>
      <c r="C1338" s="5" t="str">
        <f ca="1">IFERROR(__xludf.DUMMYFUNCTION("""COMPUTED_VALUE"""),"Male")</f>
        <v>Male</v>
      </c>
      <c r="D1338" s="5" t="str">
        <f ca="1">IFERROR(__xludf.DUMMYFUNCTION("""COMPUTED_VALUE"""),"Former Student")</f>
        <v>Former Student</v>
      </c>
      <c r="E1338" s="5">
        <f ca="1">IFERROR(__xludf.DUMMYFUNCTION("""COMPUTED_VALUE"""),17)</f>
        <v>17</v>
      </c>
      <c r="F1338" s="5"/>
    </row>
    <row r="1339" spans="1:6">
      <c r="A1339" s="5" t="str">
        <f ca="1">IFERROR(__xludf.DUMMYFUNCTION("""COMPUTED_VALUE"""),"20110923WAISS")</f>
        <v>20110923WAISS</v>
      </c>
      <c r="B1339" s="5" t="str">
        <f ca="1">IFERROR(__xludf.DUMMYFUNCTION("""COMPUTED_VALUE"""),"None")</f>
        <v>None</v>
      </c>
      <c r="C1339" s="5" t="str">
        <f ca="1">IFERROR(__xludf.DUMMYFUNCTION("""COMPUTED_VALUE"""),"Male")</f>
        <v>Male</v>
      </c>
      <c r="D1339" s="5" t="str">
        <f ca="1">IFERROR(__xludf.DUMMYFUNCTION("""COMPUTED_VALUE"""),"No Relation")</f>
        <v>No Relation</v>
      </c>
      <c r="E1339" s="5">
        <f ca="1">IFERROR(__xludf.DUMMYFUNCTION("""COMPUTED_VALUE"""),51)</f>
        <v>51</v>
      </c>
      <c r="F1339" s="5"/>
    </row>
    <row r="1340" spans="1:6">
      <c r="A1340" s="5" t="str">
        <f ca="1">IFERROR(__xludf.DUMMYFUNCTION("""COMPUTED_VALUE"""),"20110523HIHIP")</f>
        <v>20110523HIHIP</v>
      </c>
      <c r="B1340" s="5" t="str">
        <f ca="1">IFERROR(__xludf.DUMMYFUNCTION("""COMPUTED_VALUE"""),"Wounded")</f>
        <v>Wounded</v>
      </c>
      <c r="C1340" s="5" t="str">
        <f ca="1">IFERROR(__xludf.DUMMYFUNCTION("""COMPUTED_VALUE"""),"Male")</f>
        <v>Male</v>
      </c>
      <c r="D1340" s="5" t="str">
        <f ca="1">IFERROR(__xludf.DUMMYFUNCTION("""COMPUTED_VALUE"""),"Student")</f>
        <v>Student</v>
      </c>
      <c r="E1340" s="5">
        <f ca="1">IFERROR(__xludf.DUMMYFUNCTION("""COMPUTED_VALUE"""),14)</f>
        <v>14</v>
      </c>
      <c r="F1340" s="5"/>
    </row>
    <row r="1341" spans="1:6">
      <c r="A1341" s="5" t="str">
        <f ca="1">IFERROR(__xludf.DUMMYFUNCTION("""COMPUTED_VALUE"""),"20110517WAHOE")</f>
        <v>20110517WAHOE</v>
      </c>
      <c r="B1341" s="5" t="str">
        <f ca="1">IFERROR(__xludf.DUMMYFUNCTION("""COMPUTED_VALUE"""),"Wounded")</f>
        <v>Wounded</v>
      </c>
      <c r="C1341" s="5" t="str">
        <f ca="1">IFERROR(__xludf.DUMMYFUNCTION("""COMPUTED_VALUE"""),"Male")</f>
        <v>Male</v>
      </c>
      <c r="D1341" s="5" t="str">
        <f ca="1">IFERROR(__xludf.DUMMYFUNCTION("""COMPUTED_VALUE"""),"Unknown")</f>
        <v>Unknown</v>
      </c>
      <c r="E1341" s="5">
        <f ca="1">IFERROR(__xludf.DUMMYFUNCTION("""COMPUTED_VALUE"""),17)</f>
        <v>17</v>
      </c>
      <c r="F1341" s="5"/>
    </row>
    <row r="1342" spans="1:6">
      <c r="A1342" s="5" t="str">
        <f ca="1">IFERROR(__xludf.DUMMYFUNCTION("""COMPUTED_VALUE"""),"20110419TXBEH")</f>
        <v>20110419TXBEH</v>
      </c>
      <c r="B1342" s="5" t="str">
        <f ca="1">IFERROR(__xludf.DUMMYFUNCTION("""COMPUTED_VALUE"""),"Wounded")</f>
        <v>Wounded</v>
      </c>
      <c r="C1342" s="5" t="str">
        <f ca="1">IFERROR(__xludf.DUMMYFUNCTION("""COMPUTED_VALUE"""),"Female")</f>
        <v>Female</v>
      </c>
      <c r="D1342" s="5" t="str">
        <f ca="1">IFERROR(__xludf.DUMMYFUNCTION("""COMPUTED_VALUE"""),"Student")</f>
        <v>Student</v>
      </c>
      <c r="E1342" s="5">
        <f ca="1">IFERROR(__xludf.DUMMYFUNCTION("""COMPUTED_VALUE"""),6)</f>
        <v>6</v>
      </c>
      <c r="F1342" s="5"/>
    </row>
    <row r="1343" spans="1:6">
      <c r="A1343" s="5" t="str">
        <f ca="1">IFERROR(__xludf.DUMMYFUNCTION("""COMPUTED_VALUE"""),"20110419TXBEH")</f>
        <v>20110419TXBEH</v>
      </c>
      <c r="B1343" s="5" t="str">
        <f ca="1">IFERROR(__xludf.DUMMYFUNCTION("""COMPUTED_VALUE"""),"Wounded")</f>
        <v>Wounded</v>
      </c>
      <c r="C1343" s="5" t="str">
        <f ca="1">IFERROR(__xludf.DUMMYFUNCTION("""COMPUTED_VALUE"""),"Male")</f>
        <v>Male</v>
      </c>
      <c r="D1343" s="5" t="str">
        <f ca="1">IFERROR(__xludf.DUMMYFUNCTION("""COMPUTED_VALUE"""),"Student")</f>
        <v>Student</v>
      </c>
      <c r="E1343" s="5">
        <f ca="1">IFERROR(__xludf.DUMMYFUNCTION("""COMPUTED_VALUE"""),6)</f>
        <v>6</v>
      </c>
      <c r="F1343" s="5"/>
    </row>
    <row r="1344" spans="1:6">
      <c r="A1344" s="5" t="str">
        <f ca="1">IFERROR(__xludf.DUMMYFUNCTION("""COMPUTED_VALUE"""),"20110419TXBEH")</f>
        <v>20110419TXBEH</v>
      </c>
      <c r="B1344" s="5" t="str">
        <f ca="1">IFERROR(__xludf.DUMMYFUNCTION("""COMPUTED_VALUE"""),"Wounded")</f>
        <v>Wounded</v>
      </c>
      <c r="C1344" s="5" t="str">
        <f ca="1">IFERROR(__xludf.DUMMYFUNCTION("""COMPUTED_VALUE"""),"Male")</f>
        <v>Male</v>
      </c>
      <c r="D1344" s="5" t="str">
        <f ca="1">IFERROR(__xludf.DUMMYFUNCTION("""COMPUTED_VALUE"""),"Student")</f>
        <v>Student</v>
      </c>
      <c r="E1344" s="5">
        <f ca="1">IFERROR(__xludf.DUMMYFUNCTION("""COMPUTED_VALUE"""),5)</f>
        <v>5</v>
      </c>
      <c r="F1344" s="5"/>
    </row>
    <row r="1345" spans="1:6">
      <c r="A1345" s="5" t="str">
        <f ca="1">IFERROR(__xludf.DUMMYFUNCTION("""COMPUTED_VALUE"""),"20110413FLSHA")</f>
        <v>20110413FLSHA</v>
      </c>
      <c r="B1345" s="5" t="str">
        <f ca="1">IFERROR(__xludf.DUMMYFUNCTION("""COMPUTED_VALUE"""),"Wounded")</f>
        <v>Wounded</v>
      </c>
      <c r="C1345" s="5" t="str">
        <f ca="1">IFERROR(__xludf.DUMMYFUNCTION("""COMPUTED_VALUE"""),"Male")</f>
        <v>Male</v>
      </c>
      <c r="D1345" s="5" t="str">
        <f ca="1">IFERROR(__xludf.DUMMYFUNCTION("""COMPUTED_VALUE"""),"No Relation")</f>
        <v>No Relation</v>
      </c>
      <c r="E1345" s="5">
        <f ca="1">IFERROR(__xludf.DUMMYFUNCTION("""COMPUTED_VALUE"""),17)</f>
        <v>17</v>
      </c>
      <c r="F1345" s="5"/>
    </row>
    <row r="1346" spans="1:6">
      <c r="A1346" s="5" t="str">
        <f ca="1">IFERROR(__xludf.DUMMYFUNCTION("""COMPUTED_VALUE"""),"20110330TXWOH")</f>
        <v>20110330TXWOH</v>
      </c>
      <c r="B1346" s="5" t="str">
        <f ca="1">IFERROR(__xludf.DUMMYFUNCTION("""COMPUTED_VALUE"""),"Wounded")</f>
        <v>Wounded</v>
      </c>
      <c r="C1346" s="5" t="str">
        <f ca="1">IFERROR(__xludf.DUMMYFUNCTION("""COMPUTED_VALUE"""),"Male")</f>
        <v>Male</v>
      </c>
      <c r="D1346" s="5" t="str">
        <f ca="1">IFERROR(__xludf.DUMMYFUNCTION("""COMPUTED_VALUE"""),"Student")</f>
        <v>Student</v>
      </c>
      <c r="E1346" s="5" t="str">
        <f ca="1">IFERROR(__xludf.DUMMYFUNCTION("""COMPUTED_VALUE"""),"Teen")</f>
        <v>Teen</v>
      </c>
      <c r="F1346" s="5"/>
    </row>
    <row r="1347" spans="1:6">
      <c r="A1347" s="5" t="str">
        <f ca="1">IFERROR(__xludf.DUMMYFUNCTION("""COMPUTED_VALUE"""),"20110330TXWOH")</f>
        <v>20110330TXWOH</v>
      </c>
      <c r="B1347" s="5" t="str">
        <f ca="1">IFERROR(__xludf.DUMMYFUNCTION("""COMPUTED_VALUE"""),"Wounded")</f>
        <v>Wounded</v>
      </c>
      <c r="C1347" s="5" t="str">
        <f ca="1">IFERROR(__xludf.DUMMYFUNCTION("""COMPUTED_VALUE"""),"Male")</f>
        <v>Male</v>
      </c>
      <c r="D1347" s="5" t="str">
        <f ca="1">IFERROR(__xludf.DUMMYFUNCTION("""COMPUTED_VALUE"""),"Student")</f>
        <v>Student</v>
      </c>
      <c r="E1347" s="5"/>
      <c r="F1347" s="5"/>
    </row>
    <row r="1348" spans="1:6">
      <c r="A1348" s="5" t="str">
        <f ca="1">IFERROR(__xludf.DUMMYFUNCTION("""COMPUTED_VALUE"""),"20110330TXWOH")</f>
        <v>20110330TXWOH</v>
      </c>
      <c r="B1348" s="5" t="str">
        <f ca="1">IFERROR(__xludf.DUMMYFUNCTION("""COMPUTED_VALUE"""),"Wounded")</f>
        <v>Wounded</v>
      </c>
      <c r="C1348" s="5" t="str">
        <f ca="1">IFERROR(__xludf.DUMMYFUNCTION("""COMPUTED_VALUE"""),"Male")</f>
        <v>Male</v>
      </c>
      <c r="D1348" s="5" t="str">
        <f ca="1">IFERROR(__xludf.DUMMYFUNCTION("""COMPUTED_VALUE"""),"Student")</f>
        <v>Student</v>
      </c>
      <c r="E1348" s="5"/>
      <c r="F1348" s="5"/>
    </row>
    <row r="1349" spans="1:6">
      <c r="A1349" s="5" t="str">
        <f ca="1">IFERROR(__xludf.DUMMYFUNCTION("""COMPUTED_VALUE"""),"20110330TXWOH")</f>
        <v>20110330TXWOH</v>
      </c>
      <c r="B1349" s="5" t="str">
        <f ca="1">IFERROR(__xludf.DUMMYFUNCTION("""COMPUTED_VALUE"""),"Wounded")</f>
        <v>Wounded</v>
      </c>
      <c r="C1349" s="5" t="str">
        <f ca="1">IFERROR(__xludf.DUMMYFUNCTION("""COMPUTED_VALUE"""),"Male")</f>
        <v>Male</v>
      </c>
      <c r="D1349" s="5"/>
      <c r="E1349" s="5"/>
      <c r="F1349" s="5"/>
    </row>
    <row r="1350" spans="1:6">
      <c r="A1350" s="5" t="str">
        <f ca="1">IFERROR(__xludf.DUMMYFUNCTION("""COMPUTED_VALUE"""),"20110330TXWOH")</f>
        <v>20110330TXWOH</v>
      </c>
      <c r="B1350" s="5" t="str">
        <f ca="1">IFERROR(__xludf.DUMMYFUNCTION("""COMPUTED_VALUE"""),"Wounded")</f>
        <v>Wounded</v>
      </c>
      <c r="C1350" s="5" t="str">
        <f ca="1">IFERROR(__xludf.DUMMYFUNCTION("""COMPUTED_VALUE"""),"Male")</f>
        <v>Male</v>
      </c>
      <c r="D1350" s="5"/>
      <c r="E1350" s="5"/>
      <c r="F1350" s="5"/>
    </row>
    <row r="1351" spans="1:6">
      <c r="A1351" s="5" t="str">
        <f ca="1">IFERROR(__xludf.DUMMYFUNCTION("""COMPUTED_VALUE"""),"20110330TXWOH")</f>
        <v>20110330TXWOH</v>
      </c>
      <c r="B1351" s="5" t="str">
        <f ca="1">IFERROR(__xludf.DUMMYFUNCTION("""COMPUTED_VALUE"""),"Fatal")</f>
        <v>Fatal</v>
      </c>
      <c r="C1351" s="5" t="str">
        <f ca="1">IFERROR(__xludf.DUMMYFUNCTION("""COMPUTED_VALUE"""),"Male")</f>
        <v>Male</v>
      </c>
      <c r="D1351" s="5" t="str">
        <f ca="1">IFERROR(__xludf.DUMMYFUNCTION("""COMPUTED_VALUE"""),"Student")</f>
        <v>Student</v>
      </c>
      <c r="E1351" s="5"/>
      <c r="F1351" s="5"/>
    </row>
    <row r="1352" spans="1:6">
      <c r="A1352" s="5" t="str">
        <f ca="1">IFERROR(__xludf.DUMMYFUNCTION("""COMPUTED_VALUE"""),"20110325INMAM")</f>
        <v>20110325INMAM</v>
      </c>
      <c r="B1352" s="5" t="str">
        <f ca="1">IFERROR(__xludf.DUMMYFUNCTION("""COMPUTED_VALUE"""),"Wounded")</f>
        <v>Wounded</v>
      </c>
      <c r="C1352" s="5" t="str">
        <f ca="1">IFERROR(__xludf.DUMMYFUNCTION("""COMPUTED_VALUE"""),"Male")</f>
        <v>Male</v>
      </c>
      <c r="D1352" s="5" t="str">
        <f ca="1">IFERROR(__xludf.DUMMYFUNCTION("""COMPUTED_VALUE"""),"Student")</f>
        <v>Student</v>
      </c>
      <c r="E1352" s="5">
        <f ca="1">IFERROR(__xludf.DUMMYFUNCTION("""COMPUTED_VALUE"""),15)</f>
        <v>15</v>
      </c>
      <c r="F1352" s="5" t="str">
        <f ca="1">IFERROR(__xludf.DUMMYFUNCTION("""COMPUTED_VALUE"""),"White")</f>
        <v>White</v>
      </c>
    </row>
    <row r="1353" spans="1:6">
      <c r="A1353" s="5" t="str">
        <f ca="1">IFERROR(__xludf.DUMMYFUNCTION("""COMPUTED_VALUE"""),"20110202CALOP")</f>
        <v>20110202CALOP</v>
      </c>
      <c r="B1353" s="5" t="str">
        <f ca="1">IFERROR(__xludf.DUMMYFUNCTION("""COMPUTED_VALUE"""),"Fatal")</f>
        <v>Fatal</v>
      </c>
      <c r="C1353" s="5" t="str">
        <f ca="1">IFERROR(__xludf.DUMMYFUNCTION("""COMPUTED_VALUE"""),"Male")</f>
        <v>Male</v>
      </c>
      <c r="D1353" s="5" t="str">
        <f ca="1">IFERROR(__xludf.DUMMYFUNCTION("""COMPUTED_VALUE"""),"Principal/Vice-Principal")</f>
        <v>Principal/Vice-Principal</v>
      </c>
      <c r="E1353" s="5">
        <f ca="1">IFERROR(__xludf.DUMMYFUNCTION("""COMPUTED_VALUE"""),50)</f>
        <v>50</v>
      </c>
      <c r="F1353" s="5" t="str">
        <f ca="1">IFERROR(__xludf.DUMMYFUNCTION("""COMPUTED_VALUE"""),"White")</f>
        <v>White</v>
      </c>
    </row>
    <row r="1354" spans="1:6">
      <c r="A1354" s="5" t="str">
        <f ca="1">IFERROR(__xludf.DUMMYFUNCTION("""COMPUTED_VALUE"""),"20110118CAGAL")</f>
        <v>20110118CAGAL</v>
      </c>
      <c r="B1354" s="5" t="str">
        <f ca="1">IFERROR(__xludf.DUMMYFUNCTION("""COMPUTED_VALUE"""),"Wounded")</f>
        <v>Wounded</v>
      </c>
      <c r="C1354" s="5" t="str">
        <f ca="1">IFERROR(__xludf.DUMMYFUNCTION("""COMPUTED_VALUE"""),"Male")</f>
        <v>Male</v>
      </c>
      <c r="D1354" s="5" t="str">
        <f ca="1">IFERROR(__xludf.DUMMYFUNCTION("""COMPUTED_VALUE"""),"Student")</f>
        <v>Student</v>
      </c>
      <c r="E1354" s="5">
        <f ca="1">IFERROR(__xludf.DUMMYFUNCTION("""COMPUTED_VALUE"""),15)</f>
        <v>15</v>
      </c>
      <c r="F1354" s="5"/>
    </row>
    <row r="1355" spans="1:6">
      <c r="A1355" s="5" t="str">
        <f ca="1">IFERROR(__xludf.DUMMYFUNCTION("""COMPUTED_VALUE"""),"20110118CAGAL")</f>
        <v>20110118CAGAL</v>
      </c>
      <c r="B1355" s="5" t="str">
        <f ca="1">IFERROR(__xludf.DUMMYFUNCTION("""COMPUTED_VALUE"""),"Wounded")</f>
        <v>Wounded</v>
      </c>
      <c r="C1355" s="5" t="str">
        <f ca="1">IFERROR(__xludf.DUMMYFUNCTION("""COMPUTED_VALUE"""),"Female")</f>
        <v>Female</v>
      </c>
      <c r="D1355" s="5" t="str">
        <f ca="1">IFERROR(__xludf.DUMMYFUNCTION("""COMPUTED_VALUE"""),"Student")</f>
        <v>Student</v>
      </c>
      <c r="E1355" s="5">
        <f ca="1">IFERROR(__xludf.DUMMYFUNCTION("""COMPUTED_VALUE"""),15)</f>
        <v>15</v>
      </c>
      <c r="F1355" s="5"/>
    </row>
    <row r="1356" spans="1:6">
      <c r="A1356" s="5" t="str">
        <f ca="1">IFERROR(__xludf.DUMMYFUNCTION("""COMPUTED_VALUE"""),"20110105NEMIO")</f>
        <v>20110105NEMIO</v>
      </c>
      <c r="B1356" s="5" t="str">
        <f ca="1">IFERROR(__xludf.DUMMYFUNCTION("""COMPUTED_VALUE"""),"Fatal")</f>
        <v>Fatal</v>
      </c>
      <c r="C1356" s="5" t="str">
        <f ca="1">IFERROR(__xludf.DUMMYFUNCTION("""COMPUTED_VALUE"""),"Male")</f>
        <v>Male</v>
      </c>
      <c r="D1356" s="5" t="str">
        <f ca="1">IFERROR(__xludf.DUMMYFUNCTION("""COMPUTED_VALUE"""),"Principal/Vice-Principal")</f>
        <v>Principal/Vice-Principal</v>
      </c>
      <c r="E1356" s="5" t="str">
        <f ca="1">IFERROR(__xludf.DUMMYFUNCTION("""COMPUTED_VALUE"""),"Adult")</f>
        <v>Adult</v>
      </c>
      <c r="F1356" s="5"/>
    </row>
    <row r="1357" spans="1:6">
      <c r="A1357" s="5" t="str">
        <f ca="1">IFERROR(__xludf.DUMMYFUNCTION("""COMPUTED_VALUE"""),"20110105NEMIO")</f>
        <v>20110105NEMIO</v>
      </c>
      <c r="B1357" s="5" t="str">
        <f ca="1">IFERROR(__xludf.DUMMYFUNCTION("""COMPUTED_VALUE"""),"Wounded")</f>
        <v>Wounded</v>
      </c>
      <c r="C1357" s="5" t="str">
        <f ca="1">IFERROR(__xludf.DUMMYFUNCTION("""COMPUTED_VALUE"""),"Female")</f>
        <v>Female</v>
      </c>
      <c r="D1357" s="5" t="str">
        <f ca="1">IFERROR(__xludf.DUMMYFUNCTION("""COMPUTED_VALUE"""),"Principal/Vice-Principal")</f>
        <v>Principal/Vice-Principal</v>
      </c>
      <c r="E1357" s="5" t="str">
        <f ca="1">IFERROR(__xludf.DUMMYFUNCTION("""COMPUTED_VALUE"""),"Adult")</f>
        <v>Adult</v>
      </c>
      <c r="F1357" s="5"/>
    </row>
    <row r="1358" spans="1:6">
      <c r="A1358" s="5" t="str">
        <f ca="1">IFERROR(__xludf.DUMMYFUNCTION("""COMPUTED_VALUE"""),"20110104INCRC")</f>
        <v>20110104INCRC</v>
      </c>
      <c r="B1358" s="5" t="str">
        <f ca="1">IFERROR(__xludf.DUMMYFUNCTION("""COMPUTED_VALUE"""),"None")</f>
        <v>None</v>
      </c>
      <c r="C1358" s="5"/>
      <c r="D1358" s="5"/>
      <c r="E1358" s="5"/>
      <c r="F1358" s="5"/>
    </row>
    <row r="1359" spans="1:6">
      <c r="A1359" s="5" t="str">
        <f ca="1">IFERROR(__xludf.DUMMYFUNCTION("""COMPUTED_VALUE"""),"20101206COAUA")</f>
        <v>20101206COAUA</v>
      </c>
      <c r="B1359" s="5" t="str">
        <f ca="1">IFERROR(__xludf.DUMMYFUNCTION("""COMPUTED_VALUE"""),"Wounded")</f>
        <v>Wounded</v>
      </c>
      <c r="C1359" s="5" t="str">
        <f ca="1">IFERROR(__xludf.DUMMYFUNCTION("""COMPUTED_VALUE"""),"Female")</f>
        <v>Female</v>
      </c>
      <c r="D1359" s="5" t="str">
        <f ca="1">IFERROR(__xludf.DUMMYFUNCTION("""COMPUTED_VALUE"""),"Student")</f>
        <v>Student</v>
      </c>
      <c r="E1359" s="5">
        <f ca="1">IFERROR(__xludf.DUMMYFUNCTION("""COMPUTED_VALUE"""),17)</f>
        <v>17</v>
      </c>
      <c r="F1359" s="5" t="str">
        <f ca="1">IFERROR(__xludf.DUMMYFUNCTION("""COMPUTED_VALUE"""),"Hispanic")</f>
        <v>Hispanic</v>
      </c>
    </row>
    <row r="1360" spans="1:6">
      <c r="A1360" s="5" t="str">
        <f ca="1">IFERROR(__xludf.DUMMYFUNCTION("""COMPUTED_VALUE"""),"20101129WIMAM")</f>
        <v>20101129WIMAM</v>
      </c>
      <c r="B1360" s="5" t="str">
        <f ca="1">IFERROR(__xludf.DUMMYFUNCTION("""COMPUTED_VALUE"""),"None")</f>
        <v>None</v>
      </c>
      <c r="C1360" s="5" t="str">
        <f ca="1">IFERROR(__xludf.DUMMYFUNCTION("""COMPUTED_VALUE"""),"Male")</f>
        <v>Male</v>
      </c>
      <c r="D1360" s="5" t="str">
        <f ca="1">IFERROR(__xludf.DUMMYFUNCTION("""COMPUTED_VALUE"""),"Student")</f>
        <v>Student</v>
      </c>
      <c r="E1360" s="5">
        <f ca="1">IFERROR(__xludf.DUMMYFUNCTION("""COMPUTED_VALUE"""),15)</f>
        <v>15</v>
      </c>
      <c r="F1360" s="5" t="str">
        <f ca="1">IFERROR(__xludf.DUMMYFUNCTION("""COMPUTED_VALUE"""),"White")</f>
        <v>White</v>
      </c>
    </row>
    <row r="1361" spans="1:6">
      <c r="A1361" s="5" t="str">
        <f ca="1">IFERROR(__xludf.DUMMYFUNCTION("""COMPUTED_VALUE"""),"20101023KSTOT")</f>
        <v>20101023KSTOT</v>
      </c>
      <c r="B1361" s="5" t="str">
        <f ca="1">IFERROR(__xludf.DUMMYFUNCTION("""COMPUTED_VALUE"""),"Fatal")</f>
        <v>Fatal</v>
      </c>
      <c r="C1361" s="5" t="str">
        <f ca="1">IFERROR(__xludf.DUMMYFUNCTION("""COMPUTED_VALUE"""),"Male")</f>
        <v>Male</v>
      </c>
      <c r="D1361" s="5" t="str">
        <f ca="1">IFERROR(__xludf.DUMMYFUNCTION("""COMPUTED_VALUE"""),"No Relation")</f>
        <v>No Relation</v>
      </c>
      <c r="E1361" s="5">
        <f ca="1">IFERROR(__xludf.DUMMYFUNCTION("""COMPUTED_VALUE"""),20)</f>
        <v>20</v>
      </c>
      <c r="F1361" s="5"/>
    </row>
    <row r="1362" spans="1:6">
      <c r="A1362" s="5" t="str">
        <f ca="1">IFERROR(__xludf.DUMMYFUNCTION("""COMPUTED_VALUE"""),"20101023KSTOT")</f>
        <v>20101023KSTOT</v>
      </c>
      <c r="B1362" s="5" t="str">
        <f ca="1">IFERROR(__xludf.DUMMYFUNCTION("""COMPUTED_VALUE"""),"Wounded")</f>
        <v>Wounded</v>
      </c>
      <c r="C1362" s="5" t="str">
        <f ca="1">IFERROR(__xludf.DUMMYFUNCTION("""COMPUTED_VALUE"""),"Male")</f>
        <v>Male</v>
      </c>
      <c r="D1362" s="5"/>
      <c r="E1362" s="5">
        <f ca="1">IFERROR(__xludf.DUMMYFUNCTION("""COMPUTED_VALUE"""),17)</f>
        <v>17</v>
      </c>
      <c r="F1362" s="5"/>
    </row>
    <row r="1363" spans="1:6">
      <c r="A1363" s="5" t="str">
        <f ca="1">IFERROR(__xludf.DUMMYFUNCTION("""COMPUTED_VALUE"""),"20101008CAKEC")</f>
        <v>20101008CAKEC</v>
      </c>
      <c r="B1363" s="5" t="str">
        <f ca="1">IFERROR(__xludf.DUMMYFUNCTION("""COMPUTED_VALUE"""),"Wounded")</f>
        <v>Wounded</v>
      </c>
      <c r="C1363" s="5" t="str">
        <f ca="1">IFERROR(__xludf.DUMMYFUNCTION("""COMPUTED_VALUE"""),"Female")</f>
        <v>Female</v>
      </c>
      <c r="D1363" s="5" t="str">
        <f ca="1">IFERROR(__xludf.DUMMYFUNCTION("""COMPUTED_VALUE"""),"Student")</f>
        <v>Student</v>
      </c>
      <c r="E1363" s="5">
        <f ca="1">IFERROR(__xludf.DUMMYFUNCTION("""COMPUTED_VALUE"""),6)</f>
        <v>6</v>
      </c>
      <c r="F1363" s="5"/>
    </row>
    <row r="1364" spans="1:6">
      <c r="A1364" s="5" t="str">
        <f ca="1">IFERROR(__xludf.DUMMYFUNCTION("""COMPUTED_VALUE"""),"20101008CAKEC")</f>
        <v>20101008CAKEC</v>
      </c>
      <c r="B1364" s="5" t="str">
        <f ca="1">IFERROR(__xludf.DUMMYFUNCTION("""COMPUTED_VALUE"""),"Wounded")</f>
        <v>Wounded</v>
      </c>
      <c r="C1364" s="5" t="str">
        <f ca="1">IFERROR(__xludf.DUMMYFUNCTION("""COMPUTED_VALUE"""),"Female")</f>
        <v>Female</v>
      </c>
      <c r="D1364" s="5" t="str">
        <f ca="1">IFERROR(__xludf.DUMMYFUNCTION("""COMPUTED_VALUE"""),"Student")</f>
        <v>Student</v>
      </c>
      <c r="E1364" s="5">
        <f ca="1">IFERROR(__xludf.DUMMYFUNCTION("""COMPUTED_VALUE"""),7)</f>
        <v>7</v>
      </c>
      <c r="F1364" s="5"/>
    </row>
    <row r="1365" spans="1:6">
      <c r="A1365" s="5" t="str">
        <f ca="1">IFERROR(__xludf.DUMMYFUNCTION("""COMPUTED_VALUE"""),"20101001CAALS")</f>
        <v>20101001CAALS</v>
      </c>
      <c r="B1365" s="5" t="str">
        <f ca="1">IFERROR(__xludf.DUMMYFUNCTION("""COMPUTED_VALUE"""),"Fatal")</f>
        <v>Fatal</v>
      </c>
      <c r="C1365" s="5" t="str">
        <f ca="1">IFERROR(__xludf.DUMMYFUNCTION("""COMPUTED_VALUE"""),"Male")</f>
        <v>Male</v>
      </c>
      <c r="D1365" s="5" t="str">
        <f ca="1">IFERROR(__xludf.DUMMYFUNCTION("""COMPUTED_VALUE"""),"Student")</f>
        <v>Student</v>
      </c>
      <c r="E1365" s="5">
        <f ca="1">IFERROR(__xludf.DUMMYFUNCTION("""COMPUTED_VALUE"""),15)</f>
        <v>15</v>
      </c>
      <c r="F1365" s="5"/>
    </row>
    <row r="1366" spans="1:6">
      <c r="A1366" s="5" t="str">
        <f ca="1">IFERROR(__xludf.DUMMYFUNCTION("""COMPUTED_VALUE"""),"20100921SCSOC")</f>
        <v>20100921SCSOC</v>
      </c>
      <c r="B1366" s="5" t="str">
        <f ca="1">IFERROR(__xludf.DUMMYFUNCTION("""COMPUTED_VALUE"""),"Wounded")</f>
        <v>Wounded</v>
      </c>
      <c r="C1366" s="5" t="str">
        <f ca="1">IFERROR(__xludf.DUMMYFUNCTION("""COMPUTED_VALUE"""),"Male")</f>
        <v>Male</v>
      </c>
      <c r="D1366" s="5" t="str">
        <f ca="1">IFERROR(__xludf.DUMMYFUNCTION("""COMPUTED_VALUE"""),"Police Officer/SRO")</f>
        <v>Police Officer/SRO</v>
      </c>
      <c r="E1366" s="5" t="str">
        <f ca="1">IFERROR(__xludf.DUMMYFUNCTION("""COMPUTED_VALUE"""),"Adult")</f>
        <v>Adult</v>
      </c>
      <c r="F1366" s="5"/>
    </row>
    <row r="1367" spans="1:6">
      <c r="A1367" s="5" t="str">
        <f ca="1">IFERROR(__xludf.DUMMYFUNCTION("""COMPUTED_VALUE"""),"20100908MIMUD")</f>
        <v>20100908MIMUD</v>
      </c>
      <c r="B1367" s="5" t="str">
        <f ca="1">IFERROR(__xludf.DUMMYFUNCTION("""COMPUTED_VALUE"""),"Wounded")</f>
        <v>Wounded</v>
      </c>
      <c r="C1367" s="5" t="str">
        <f ca="1">IFERROR(__xludf.DUMMYFUNCTION("""COMPUTED_VALUE"""),"Male")</f>
        <v>Male</v>
      </c>
      <c r="D1367" s="5" t="str">
        <f ca="1">IFERROR(__xludf.DUMMYFUNCTION("""COMPUTED_VALUE"""),"Student")</f>
        <v>Student</v>
      </c>
      <c r="E1367" s="5">
        <f ca="1">IFERROR(__xludf.DUMMYFUNCTION("""COMPUTED_VALUE"""),16)</f>
        <v>16</v>
      </c>
      <c r="F1367" s="5"/>
    </row>
    <row r="1368" spans="1:6">
      <c r="A1368" s="5" t="str">
        <f ca="1">IFERROR(__xludf.DUMMYFUNCTION("""COMPUTED_VALUE"""),"20100908MIMUD")</f>
        <v>20100908MIMUD</v>
      </c>
      <c r="B1368" s="5" t="str">
        <f ca="1">IFERROR(__xludf.DUMMYFUNCTION("""COMPUTED_VALUE"""),"Wounded")</f>
        <v>Wounded</v>
      </c>
      <c r="C1368" s="5" t="str">
        <f ca="1">IFERROR(__xludf.DUMMYFUNCTION("""COMPUTED_VALUE"""),"Female")</f>
        <v>Female</v>
      </c>
      <c r="D1368" s="5" t="str">
        <f ca="1">IFERROR(__xludf.DUMMYFUNCTION("""COMPUTED_VALUE"""),"Student")</f>
        <v>Student</v>
      </c>
      <c r="E1368" s="5">
        <f ca="1">IFERROR(__xludf.DUMMYFUNCTION("""COMPUTED_VALUE"""),14)</f>
        <v>14</v>
      </c>
      <c r="F1368" s="5"/>
    </row>
    <row r="1369" spans="1:6">
      <c r="A1369" s="5" t="str">
        <f ca="1">IFERROR(__xludf.DUMMYFUNCTION("""COMPUTED_VALUE"""),"20100830TNSUB")</f>
        <v>20100830TNSUB</v>
      </c>
      <c r="B1369" s="5" t="str">
        <f ca="1">IFERROR(__xludf.DUMMYFUNCTION("""COMPUTED_VALUE"""),"Fatal")</f>
        <v>Fatal</v>
      </c>
      <c r="C1369" s="5" t="str">
        <f ca="1">IFERROR(__xludf.DUMMYFUNCTION("""COMPUTED_VALUE"""),"Male")</f>
        <v>Male</v>
      </c>
      <c r="D1369" s="5" t="str">
        <f ca="1">IFERROR(__xludf.DUMMYFUNCTION("""COMPUTED_VALUE"""),"No Relation")</f>
        <v>No Relation</v>
      </c>
      <c r="E1369" s="5">
        <f ca="1">IFERROR(__xludf.DUMMYFUNCTION("""COMPUTED_VALUE"""),62)</f>
        <v>62</v>
      </c>
      <c r="F1369" s="5" t="str">
        <f ca="1">IFERROR(__xludf.DUMMYFUNCTION("""COMPUTED_VALUE"""),"White")</f>
        <v>White</v>
      </c>
    </row>
    <row r="1370" spans="1:6">
      <c r="A1370" s="5" t="str">
        <f ca="1">IFERROR(__xludf.DUMMYFUNCTION("""COMPUTED_VALUE"""),"20100518CASOS")</f>
        <v>20100518CASOS</v>
      </c>
      <c r="B1370" s="5" t="str">
        <f ca="1">IFERROR(__xludf.DUMMYFUNCTION("""COMPUTED_VALUE"""),"Wounded")</f>
        <v>Wounded</v>
      </c>
      <c r="C1370" s="5" t="str">
        <f ca="1">IFERROR(__xludf.DUMMYFUNCTION("""COMPUTED_VALUE"""),"Male")</f>
        <v>Male</v>
      </c>
      <c r="D1370" s="5" t="str">
        <f ca="1">IFERROR(__xludf.DUMMYFUNCTION("""COMPUTED_VALUE"""),"Student")</f>
        <v>Student</v>
      </c>
      <c r="E1370" s="5">
        <f ca="1">IFERROR(__xludf.DUMMYFUNCTION("""COMPUTED_VALUE"""),15)</f>
        <v>15</v>
      </c>
      <c r="F1370" s="5"/>
    </row>
    <row r="1371" spans="1:6">
      <c r="A1371" s="5" t="str">
        <f ca="1">IFERROR(__xludf.DUMMYFUNCTION("""COMPUTED_VALUE"""),"20100428VAWOP")</f>
        <v>20100428VAWOP</v>
      </c>
      <c r="B1371" s="5" t="str">
        <f ca="1">IFERROR(__xludf.DUMMYFUNCTION("""COMPUTED_VALUE"""),"None")</f>
        <v>None</v>
      </c>
      <c r="C1371" s="5"/>
      <c r="D1371" s="5"/>
      <c r="E1371" s="5"/>
      <c r="F1371" s="5"/>
    </row>
    <row r="1372" spans="1:6">
      <c r="A1372" s="5" t="str">
        <f ca="1">IFERROR(__xludf.DUMMYFUNCTION("""COMPUTED_VALUE"""),"20100226WABIT")</f>
        <v>20100226WABIT</v>
      </c>
      <c r="B1372" s="5" t="str">
        <f ca="1">IFERROR(__xludf.DUMMYFUNCTION("""COMPUTED_VALUE"""),"Fatal")</f>
        <v>Fatal</v>
      </c>
      <c r="C1372" s="5" t="str">
        <f ca="1">IFERROR(__xludf.DUMMYFUNCTION("""COMPUTED_VALUE"""),"Female")</f>
        <v>Female</v>
      </c>
      <c r="D1372" s="5" t="str">
        <f ca="1">IFERROR(__xludf.DUMMYFUNCTION("""COMPUTED_VALUE"""),"Teacher")</f>
        <v>Teacher</v>
      </c>
      <c r="E1372" s="5">
        <f ca="1">IFERROR(__xludf.DUMMYFUNCTION("""COMPUTED_VALUE"""),30)</f>
        <v>30</v>
      </c>
      <c r="F1372" s="5" t="str">
        <f ca="1">IFERROR(__xludf.DUMMYFUNCTION("""COMPUTED_VALUE"""),"White")</f>
        <v>White</v>
      </c>
    </row>
    <row r="1373" spans="1:6">
      <c r="A1373" s="5" t="str">
        <f ca="1">IFERROR(__xludf.DUMMYFUNCTION("""COMPUTED_VALUE"""),"20100223CODEL")</f>
        <v>20100223CODEL</v>
      </c>
      <c r="B1373" s="5" t="str">
        <f ca="1">IFERROR(__xludf.DUMMYFUNCTION("""COMPUTED_VALUE"""),"Wounded")</f>
        <v>Wounded</v>
      </c>
      <c r="C1373" s="5" t="str">
        <f ca="1">IFERROR(__xludf.DUMMYFUNCTION("""COMPUTED_VALUE"""),"Female")</f>
        <v>Female</v>
      </c>
      <c r="D1373" s="5" t="str">
        <f ca="1">IFERROR(__xludf.DUMMYFUNCTION("""COMPUTED_VALUE"""),"Student")</f>
        <v>Student</v>
      </c>
      <c r="E1373" s="5" t="str">
        <f ca="1">IFERROR(__xludf.DUMMYFUNCTION("""COMPUTED_VALUE"""),"Teen")</f>
        <v>Teen</v>
      </c>
      <c r="F1373" s="5"/>
    </row>
    <row r="1374" spans="1:6">
      <c r="A1374" s="5" t="str">
        <f ca="1">IFERROR(__xludf.DUMMYFUNCTION("""COMPUTED_VALUE"""),"20100223CODEL")</f>
        <v>20100223CODEL</v>
      </c>
      <c r="B1374" s="5" t="str">
        <f ca="1">IFERROR(__xludf.DUMMYFUNCTION("""COMPUTED_VALUE"""),"Wounded")</f>
        <v>Wounded</v>
      </c>
      <c r="C1374" s="5" t="str">
        <f ca="1">IFERROR(__xludf.DUMMYFUNCTION("""COMPUTED_VALUE"""),"Male")</f>
        <v>Male</v>
      </c>
      <c r="D1374" s="5" t="str">
        <f ca="1">IFERROR(__xludf.DUMMYFUNCTION("""COMPUTED_VALUE"""),"Student")</f>
        <v>Student</v>
      </c>
      <c r="E1374" s="5" t="str">
        <f ca="1">IFERROR(__xludf.DUMMYFUNCTION("""COMPUTED_VALUE"""),"Teen")</f>
        <v>Teen</v>
      </c>
      <c r="F1374" s="5"/>
    </row>
    <row r="1375" spans="1:6">
      <c r="A1375" s="5" t="str">
        <f ca="1">IFERROR(__xludf.DUMMYFUNCTION("""COMPUTED_VALUE"""),"20100210TNINK")</f>
        <v>20100210TNINK</v>
      </c>
      <c r="B1375" s="5" t="str">
        <f ca="1">IFERROR(__xludf.DUMMYFUNCTION("""COMPUTED_VALUE"""),"Wounded")</f>
        <v>Wounded</v>
      </c>
      <c r="C1375" s="5" t="str">
        <f ca="1">IFERROR(__xludf.DUMMYFUNCTION("""COMPUTED_VALUE"""),"Male")</f>
        <v>Male</v>
      </c>
      <c r="D1375" s="5" t="str">
        <f ca="1">IFERROR(__xludf.DUMMYFUNCTION("""COMPUTED_VALUE"""),"Principal/Vice-Principal")</f>
        <v>Principal/Vice-Principal</v>
      </c>
      <c r="E1375" s="5" t="str">
        <f ca="1">IFERROR(__xludf.DUMMYFUNCTION("""COMPUTED_VALUE"""),"Adult")</f>
        <v>Adult</v>
      </c>
      <c r="F1375" s="5"/>
    </row>
    <row r="1376" spans="1:6">
      <c r="A1376" s="5" t="str">
        <f ca="1">IFERROR(__xludf.DUMMYFUNCTION("""COMPUTED_VALUE"""),"20100210TNINK")</f>
        <v>20100210TNINK</v>
      </c>
      <c r="B1376" s="5" t="str">
        <f ca="1">IFERROR(__xludf.DUMMYFUNCTION("""COMPUTED_VALUE"""),"Wounded")</f>
        <v>Wounded</v>
      </c>
      <c r="C1376" s="5" t="str">
        <f ca="1">IFERROR(__xludf.DUMMYFUNCTION("""COMPUTED_VALUE"""),"Female")</f>
        <v>Female</v>
      </c>
      <c r="D1376" s="5" t="str">
        <f ca="1">IFERROR(__xludf.DUMMYFUNCTION("""COMPUTED_VALUE"""),"Principal/Vice-Principal")</f>
        <v>Principal/Vice-Principal</v>
      </c>
      <c r="E1376" s="5" t="str">
        <f ca="1">IFERROR(__xludf.DUMMYFUNCTION("""COMPUTED_VALUE"""),"Adult")</f>
        <v>Adult</v>
      </c>
      <c r="F1376" s="5"/>
    </row>
    <row r="1377" spans="1:6">
      <c r="A1377" s="5" t="str">
        <f ca="1">IFERROR(__xludf.DUMMYFUNCTION("""COMPUTED_VALUE"""),"20100205ALDIM")</f>
        <v>20100205ALDIM</v>
      </c>
      <c r="B1377" s="5" t="str">
        <f ca="1">IFERROR(__xludf.DUMMYFUNCTION("""COMPUTED_VALUE"""),"Fatal")</f>
        <v>Fatal</v>
      </c>
      <c r="C1377" s="5" t="str">
        <f ca="1">IFERROR(__xludf.DUMMYFUNCTION("""COMPUTED_VALUE"""),"Male")</f>
        <v>Male</v>
      </c>
      <c r="D1377" s="5" t="str">
        <f ca="1">IFERROR(__xludf.DUMMYFUNCTION("""COMPUTED_VALUE"""),"Student")</f>
        <v>Student</v>
      </c>
      <c r="E1377" s="5">
        <f ca="1">IFERROR(__xludf.DUMMYFUNCTION("""COMPUTED_VALUE"""),14)</f>
        <v>14</v>
      </c>
      <c r="F1377" s="5"/>
    </row>
    <row r="1378" spans="1:6">
      <c r="A1378" s="5" t="str">
        <f ca="1">IFERROR(__xludf.DUMMYFUNCTION("""COMPUTED_VALUE"""),"20100120ALLIL")</f>
        <v>20100120ALLIL</v>
      </c>
      <c r="B1378" s="5" t="str">
        <f ca="1">IFERROR(__xludf.DUMMYFUNCTION("""COMPUTED_VALUE"""),"Wounded")</f>
        <v>Wounded</v>
      </c>
      <c r="C1378" s="5" t="str">
        <f ca="1">IFERROR(__xludf.DUMMYFUNCTION("""COMPUTED_VALUE"""),"Female")</f>
        <v>Female</v>
      </c>
      <c r="D1378" s="5" t="str">
        <f ca="1">IFERROR(__xludf.DUMMYFUNCTION("""COMPUTED_VALUE"""),"Teacher")</f>
        <v>Teacher</v>
      </c>
      <c r="E1378" s="5">
        <f ca="1">IFERROR(__xludf.DUMMYFUNCTION("""COMPUTED_VALUE"""),32)</f>
        <v>32</v>
      </c>
      <c r="F1378" s="5"/>
    </row>
    <row r="1379" spans="1:6">
      <c r="A1379" s="5" t="str">
        <f ca="1">IFERROR(__xludf.DUMMYFUNCTION("""COMPUTED_VALUE"""),"20091211LABOS")</f>
        <v>20091211LABOS</v>
      </c>
      <c r="B1379" s="5" t="str">
        <f ca="1">IFERROR(__xludf.DUMMYFUNCTION("""COMPUTED_VALUE"""),"Wounded")</f>
        <v>Wounded</v>
      </c>
      <c r="C1379" s="5" t="str">
        <f ca="1">IFERROR(__xludf.DUMMYFUNCTION("""COMPUTED_VALUE"""),"Female")</f>
        <v>Female</v>
      </c>
      <c r="D1379" s="5" t="str">
        <f ca="1">IFERROR(__xludf.DUMMYFUNCTION("""COMPUTED_VALUE"""),"Student")</f>
        <v>Student</v>
      </c>
      <c r="E1379" s="5">
        <f ca="1">IFERROR(__xludf.DUMMYFUNCTION("""COMPUTED_VALUE"""),18)</f>
        <v>18</v>
      </c>
      <c r="F1379" s="5"/>
    </row>
    <row r="1380" spans="1:6">
      <c r="A1380" s="5" t="str">
        <f ca="1">IFERROR(__xludf.DUMMYFUNCTION("""COMPUTED_VALUE"""),"20091106PAHAW")</f>
        <v>20091106PAHAW</v>
      </c>
      <c r="B1380" s="5" t="str">
        <f ca="1">IFERROR(__xludf.DUMMYFUNCTION("""COMPUTED_VALUE"""),"Wounded")</f>
        <v>Wounded</v>
      </c>
      <c r="C1380" s="5" t="str">
        <f ca="1">IFERROR(__xludf.DUMMYFUNCTION("""COMPUTED_VALUE"""),"Male")</f>
        <v>Male</v>
      </c>
      <c r="D1380" s="5" t="str">
        <f ca="1">IFERROR(__xludf.DUMMYFUNCTION("""COMPUTED_VALUE"""),"Student")</f>
        <v>Student</v>
      </c>
      <c r="E1380" s="5">
        <f ca="1">IFERROR(__xludf.DUMMYFUNCTION("""COMPUTED_VALUE"""),17)</f>
        <v>17</v>
      </c>
      <c r="F1380" s="5"/>
    </row>
    <row r="1381" spans="1:6">
      <c r="A1381" s="5" t="str">
        <f ca="1">IFERROR(__xludf.DUMMYFUNCTION("""COMPUTED_VALUE"""),"20091030CAWIL")</f>
        <v>20091030CAWIL</v>
      </c>
      <c r="B1381" s="5" t="str">
        <f ca="1">IFERROR(__xludf.DUMMYFUNCTION("""COMPUTED_VALUE"""),"Fatal")</f>
        <v>Fatal</v>
      </c>
      <c r="C1381" s="5" t="str">
        <f ca="1">IFERROR(__xludf.DUMMYFUNCTION("""COMPUTED_VALUE"""),"Female")</f>
        <v>Female</v>
      </c>
      <c r="D1381" s="5" t="str">
        <f ca="1">IFERROR(__xludf.DUMMYFUNCTION("""COMPUTED_VALUE"""),"Student")</f>
        <v>Student</v>
      </c>
      <c r="E1381" s="5">
        <f ca="1">IFERROR(__xludf.DUMMYFUNCTION("""COMPUTED_VALUE"""),16)</f>
        <v>16</v>
      </c>
      <c r="F1381" s="5"/>
    </row>
    <row r="1382" spans="1:6">
      <c r="A1382" s="5" t="str">
        <f ca="1">IFERROR(__xludf.DUMMYFUNCTION("""COMPUTED_VALUE"""),"20091030CAWIL")</f>
        <v>20091030CAWIL</v>
      </c>
      <c r="B1382" s="5" t="str">
        <f ca="1">IFERROR(__xludf.DUMMYFUNCTION("""COMPUTED_VALUE"""),"Wounded")</f>
        <v>Wounded</v>
      </c>
      <c r="C1382" s="5" t="str">
        <f ca="1">IFERROR(__xludf.DUMMYFUNCTION("""COMPUTED_VALUE"""),"Male")</f>
        <v>Male</v>
      </c>
      <c r="D1382" s="5" t="str">
        <f ca="1">IFERROR(__xludf.DUMMYFUNCTION("""COMPUTED_VALUE"""),"Student")</f>
        <v>Student</v>
      </c>
      <c r="E1382" s="5">
        <f ca="1">IFERROR(__xludf.DUMMYFUNCTION("""COMPUTED_VALUE"""),18)</f>
        <v>18</v>
      </c>
      <c r="F1382" s="5"/>
    </row>
    <row r="1383" spans="1:6">
      <c r="A1383" s="5" t="str">
        <f ca="1">IFERROR(__xludf.DUMMYFUNCTION("""COMPUTED_VALUE"""),"20091030CAWIL")</f>
        <v>20091030CAWIL</v>
      </c>
      <c r="B1383" s="5" t="str">
        <f ca="1">IFERROR(__xludf.DUMMYFUNCTION("""COMPUTED_VALUE"""),"Wounded")</f>
        <v>Wounded</v>
      </c>
      <c r="C1383" s="5" t="str">
        <f ca="1">IFERROR(__xludf.DUMMYFUNCTION("""COMPUTED_VALUE"""),"Male")</f>
        <v>Male</v>
      </c>
      <c r="D1383" s="5" t="str">
        <f ca="1">IFERROR(__xludf.DUMMYFUNCTION("""COMPUTED_VALUE"""),"Nonstudent Using Athletic Facilities/Attending Game")</f>
        <v>Nonstudent Using Athletic Facilities/Attending Game</v>
      </c>
      <c r="E1383" s="5">
        <f ca="1">IFERROR(__xludf.DUMMYFUNCTION("""COMPUTED_VALUE"""),20)</f>
        <v>20</v>
      </c>
      <c r="F1383" s="5"/>
    </row>
    <row r="1384" spans="1:6">
      <c r="A1384" s="5" t="str">
        <f ca="1">IFERROR(__xludf.DUMMYFUNCTION("""COMPUTED_VALUE"""),"20091016SCCAC")</f>
        <v>20091016SCCAC</v>
      </c>
      <c r="B1384" s="5" t="str">
        <f ca="1">IFERROR(__xludf.DUMMYFUNCTION("""COMPUTED_VALUE"""),"Fatal")</f>
        <v>Fatal</v>
      </c>
      <c r="C1384" s="5" t="str">
        <f ca="1">IFERROR(__xludf.DUMMYFUNCTION("""COMPUTED_VALUE"""),"Male")</f>
        <v>Male</v>
      </c>
      <c r="D1384" s="5" t="str">
        <f ca="1">IFERROR(__xludf.DUMMYFUNCTION("""COMPUTED_VALUE"""),"Student")</f>
        <v>Student</v>
      </c>
      <c r="E1384" s="5" t="str">
        <f ca="1">IFERROR(__xludf.DUMMYFUNCTION("""COMPUTED_VALUE"""),"Teen")</f>
        <v>Teen</v>
      </c>
      <c r="F1384" s="5"/>
    </row>
    <row r="1385" spans="1:6">
      <c r="A1385" s="5" t="str">
        <f ca="1">IFERROR(__xludf.DUMMYFUNCTION("""COMPUTED_VALUE"""),"20091008NYMAM")</f>
        <v>20091008NYMAM</v>
      </c>
      <c r="B1385" s="5" t="str">
        <f ca="1">IFERROR(__xludf.DUMMYFUNCTION("""COMPUTED_VALUE"""),"Wounded")</f>
        <v>Wounded</v>
      </c>
      <c r="C1385" s="5" t="str">
        <f ca="1">IFERROR(__xludf.DUMMYFUNCTION("""COMPUTED_VALUE"""),"Female")</f>
        <v>Female</v>
      </c>
      <c r="D1385" s="5" t="str">
        <f ca="1">IFERROR(__xludf.DUMMYFUNCTION("""COMPUTED_VALUE"""),"Student")</f>
        <v>Student</v>
      </c>
      <c r="E1385" s="5">
        <f ca="1">IFERROR(__xludf.DUMMYFUNCTION("""COMPUTED_VALUE"""),18)</f>
        <v>18</v>
      </c>
      <c r="F1385" s="5"/>
    </row>
    <row r="1386" spans="1:6">
      <c r="A1386" s="5" t="str">
        <f ca="1">IFERROR(__xludf.DUMMYFUNCTION("""COMPUTED_VALUE"""),"20090916VAVIG")</f>
        <v>20090916VAVIG</v>
      </c>
      <c r="B1386" s="5" t="str">
        <f ca="1">IFERROR(__xludf.DUMMYFUNCTION("""COMPUTED_VALUE"""),"None")</f>
        <v>None</v>
      </c>
      <c r="C1386" s="5" t="str">
        <f ca="1">IFERROR(__xludf.DUMMYFUNCTION("""COMPUTED_VALUE"""),"Unknown")</f>
        <v>Unknown</v>
      </c>
      <c r="D1386" s="5" t="str">
        <f ca="1">IFERROR(__xludf.DUMMYFUNCTION("""COMPUTED_VALUE"""),"Student")</f>
        <v>Student</v>
      </c>
      <c r="E1386" s="5"/>
      <c r="F1386" s="5"/>
    </row>
    <row r="1387" spans="1:6">
      <c r="A1387" s="5" t="str">
        <f ca="1">IFERROR(__xludf.DUMMYFUNCTION("""COMPUTED_VALUE"""),"20090916VAVIG")</f>
        <v>20090916VAVIG</v>
      </c>
      <c r="B1387" s="5" t="str">
        <f ca="1">IFERROR(__xludf.DUMMYFUNCTION("""COMPUTED_VALUE"""),"None")</f>
        <v>None</v>
      </c>
      <c r="C1387" s="5" t="str">
        <f ca="1">IFERROR(__xludf.DUMMYFUNCTION("""COMPUTED_VALUE"""),"Unknown")</f>
        <v>Unknown</v>
      </c>
      <c r="D1387" s="5" t="str">
        <f ca="1">IFERROR(__xludf.DUMMYFUNCTION("""COMPUTED_VALUE"""),"Student")</f>
        <v>Student</v>
      </c>
      <c r="E1387" s="5"/>
      <c r="F1387" s="5"/>
    </row>
    <row r="1388" spans="1:6">
      <c r="A1388" s="5" t="str">
        <f ca="1">IFERROR(__xludf.DUMMYFUNCTION("""COMPUTED_VALUE"""),"20090908CTSTS")</f>
        <v>20090908CTSTS</v>
      </c>
      <c r="B1388" s="5" t="str">
        <f ca="1">IFERROR(__xludf.DUMMYFUNCTION("""COMPUTED_VALUE"""),"None")</f>
        <v>None</v>
      </c>
      <c r="C1388" s="5"/>
      <c r="D1388" s="5"/>
      <c r="E1388" s="5"/>
      <c r="F1388" s="5"/>
    </row>
    <row r="1389" spans="1:6">
      <c r="A1389" s="5" t="str">
        <f ca="1">IFERROR(__xludf.DUMMYFUNCTION("""COMPUTED_VALUE"""),"20090827NCWEF")</f>
        <v>20090827NCWEF</v>
      </c>
      <c r="B1389" s="5" t="str">
        <f ca="1">IFERROR(__xludf.DUMMYFUNCTION("""COMPUTED_VALUE"""),"None")</f>
        <v>None</v>
      </c>
      <c r="C1389" s="5" t="str">
        <f ca="1">IFERROR(__xludf.DUMMYFUNCTION("""COMPUTED_VALUE"""),"Male")</f>
        <v>Male</v>
      </c>
      <c r="D1389" s="5" t="str">
        <f ca="1">IFERROR(__xludf.DUMMYFUNCTION("""COMPUTED_VALUE"""),"Nonstudent")</f>
        <v>Nonstudent</v>
      </c>
      <c r="E1389" s="5">
        <f ca="1">IFERROR(__xludf.DUMMYFUNCTION("""COMPUTED_VALUE"""),22)</f>
        <v>22</v>
      </c>
      <c r="F1389" s="5"/>
    </row>
    <row r="1390" spans="1:6">
      <c r="A1390" s="5" t="str">
        <f ca="1">IFERROR(__xludf.DUMMYFUNCTION("""COMPUTED_VALUE"""),"20090624IAAPP")</f>
        <v>20090624IAAPP</v>
      </c>
      <c r="B1390" s="5" t="str">
        <f ca="1">IFERROR(__xludf.DUMMYFUNCTION("""COMPUTED_VALUE"""),"Fatal")</f>
        <v>Fatal</v>
      </c>
      <c r="C1390" s="5" t="str">
        <f ca="1">IFERROR(__xludf.DUMMYFUNCTION("""COMPUTED_VALUE"""),"Male")</f>
        <v>Male</v>
      </c>
      <c r="D1390" s="5" t="str">
        <f ca="1">IFERROR(__xludf.DUMMYFUNCTION("""COMPUTED_VALUE"""),"Other Staff")</f>
        <v>Other Staff</v>
      </c>
      <c r="E1390" s="5">
        <f ca="1">IFERROR(__xludf.DUMMYFUNCTION("""COMPUTED_VALUE"""),58)</f>
        <v>58</v>
      </c>
      <c r="F1390" s="5" t="str">
        <f ca="1">IFERROR(__xludf.DUMMYFUNCTION("""COMPUTED_VALUE"""),"White")</f>
        <v>White</v>
      </c>
    </row>
    <row r="1391" spans="1:6">
      <c r="A1391" s="5" t="str">
        <f ca="1">IFERROR(__xludf.DUMMYFUNCTION("""COMPUTED_VALUE"""),"20090615CAINS")</f>
        <v>20090615CAINS</v>
      </c>
      <c r="B1391" s="5" t="str">
        <f ca="1">IFERROR(__xludf.DUMMYFUNCTION("""COMPUTED_VALUE"""),"Wounded")</f>
        <v>Wounded</v>
      </c>
      <c r="C1391" s="5" t="str">
        <f ca="1">IFERROR(__xludf.DUMMYFUNCTION("""COMPUTED_VALUE"""),"Female")</f>
        <v>Female</v>
      </c>
      <c r="D1391" s="5" t="str">
        <f ca="1">IFERROR(__xludf.DUMMYFUNCTION("""COMPUTED_VALUE"""),"Student")</f>
        <v>Student</v>
      </c>
      <c r="E1391" s="5">
        <f ca="1">IFERROR(__xludf.DUMMYFUNCTION("""COMPUTED_VALUE"""),15)</f>
        <v>15</v>
      </c>
      <c r="F1391" s="5"/>
    </row>
    <row r="1392" spans="1:6">
      <c r="A1392" s="5" t="str">
        <f ca="1">IFERROR(__xludf.DUMMYFUNCTION("""COMPUTED_VALUE"""),"20090615CAINS")</f>
        <v>20090615CAINS</v>
      </c>
      <c r="B1392" s="5" t="str">
        <f ca="1">IFERROR(__xludf.DUMMYFUNCTION("""COMPUTED_VALUE"""),"Wounded")</f>
        <v>Wounded</v>
      </c>
      <c r="C1392" s="5" t="str">
        <f ca="1">IFERROR(__xludf.DUMMYFUNCTION("""COMPUTED_VALUE"""),"Male")</f>
        <v>Male</v>
      </c>
      <c r="D1392" s="5" t="str">
        <f ca="1">IFERROR(__xludf.DUMMYFUNCTION("""COMPUTED_VALUE"""),"Student")</f>
        <v>Student</v>
      </c>
      <c r="E1392" s="5" t="str">
        <f ca="1">IFERROR(__xludf.DUMMYFUNCTION("""COMPUTED_VALUE"""),"Teen")</f>
        <v>Teen</v>
      </c>
      <c r="F1392" s="5"/>
    </row>
    <row r="1393" spans="1:6">
      <c r="A1393" s="5" t="str">
        <f ca="1">IFERROR(__xludf.DUMMYFUNCTION("""COMPUTED_VALUE"""),"20090615CAINS")</f>
        <v>20090615CAINS</v>
      </c>
      <c r="B1393" s="5" t="str">
        <f ca="1">IFERROR(__xludf.DUMMYFUNCTION("""COMPUTED_VALUE"""),"Wounded")</f>
        <v>Wounded</v>
      </c>
      <c r="C1393" s="5" t="str">
        <f ca="1">IFERROR(__xludf.DUMMYFUNCTION("""COMPUTED_VALUE"""),"Male")</f>
        <v>Male</v>
      </c>
      <c r="D1393" s="5" t="str">
        <f ca="1">IFERROR(__xludf.DUMMYFUNCTION("""COMPUTED_VALUE"""),"Student")</f>
        <v>Student</v>
      </c>
      <c r="E1393" s="5" t="str">
        <f ca="1">IFERROR(__xludf.DUMMYFUNCTION("""COMPUTED_VALUE"""),"Teen")</f>
        <v>Teen</v>
      </c>
      <c r="F1393" s="5"/>
    </row>
    <row r="1394" spans="1:6">
      <c r="A1394" s="5" t="str">
        <f ca="1">IFERROR(__xludf.DUMMYFUNCTION("""COMPUTED_VALUE"""),"20090518LALAL")</f>
        <v>20090518LALAL</v>
      </c>
      <c r="B1394" s="5" t="str">
        <f ca="1">IFERROR(__xludf.DUMMYFUNCTION("""COMPUTED_VALUE"""),"None")</f>
        <v>None</v>
      </c>
      <c r="C1394" s="5" t="str">
        <f ca="1">IFERROR(__xludf.DUMMYFUNCTION("""COMPUTED_VALUE"""),"Male")</f>
        <v>Male</v>
      </c>
      <c r="D1394" s="5" t="str">
        <f ca="1">IFERROR(__xludf.DUMMYFUNCTION("""COMPUTED_VALUE"""),"Student")</f>
        <v>Student</v>
      </c>
      <c r="E1394" s="5">
        <f ca="1">IFERROR(__xludf.DUMMYFUNCTION("""COMPUTED_VALUE"""),15)</f>
        <v>15</v>
      </c>
      <c r="F1394" s="5"/>
    </row>
    <row r="1395" spans="1:6">
      <c r="A1395" s="5" t="str">
        <f ca="1">IFERROR(__xludf.DUMMYFUNCTION("""COMPUTED_VALUE"""),"20090505NYCAC")</f>
        <v>20090505NYCAC</v>
      </c>
      <c r="B1395" s="5" t="str">
        <f ca="1">IFERROR(__xludf.DUMMYFUNCTION("""COMPUTED_VALUE"""),"None")</f>
        <v>None</v>
      </c>
      <c r="C1395" s="5" t="str">
        <f ca="1">IFERROR(__xludf.DUMMYFUNCTION("""COMPUTED_VALUE"""),"Male")</f>
        <v>Male</v>
      </c>
      <c r="D1395" s="5" t="str">
        <f ca="1">IFERROR(__xludf.DUMMYFUNCTION("""COMPUTED_VALUE"""),"Student")</f>
        <v>Student</v>
      </c>
      <c r="E1395" s="5">
        <f ca="1">IFERROR(__xludf.DUMMYFUNCTION("""COMPUTED_VALUE"""),17)</f>
        <v>17</v>
      </c>
      <c r="F1395" s="5" t="str">
        <f ca="1">IFERROR(__xludf.DUMMYFUNCTION("""COMPUTED_VALUE"""),"White")</f>
        <v>White</v>
      </c>
    </row>
    <row r="1396" spans="1:6">
      <c r="A1396" s="5" t="str">
        <f ca="1">IFERROR(__xludf.DUMMYFUNCTION("""COMPUTED_VALUE"""),"20090501WISHS")</f>
        <v>20090501WISHS</v>
      </c>
      <c r="B1396" s="5" t="str">
        <f ca="1">IFERROR(__xludf.DUMMYFUNCTION("""COMPUTED_VALUE"""),"None")</f>
        <v>None</v>
      </c>
      <c r="C1396" s="5" t="str">
        <f ca="1">IFERROR(__xludf.DUMMYFUNCTION("""COMPUTED_VALUE"""),"Male")</f>
        <v>Male</v>
      </c>
      <c r="D1396" s="5" t="str">
        <f ca="1">IFERROR(__xludf.DUMMYFUNCTION("""COMPUTED_VALUE"""),"Student")</f>
        <v>Student</v>
      </c>
      <c r="E1396" s="5">
        <f ca="1">IFERROR(__xludf.DUMMYFUNCTION("""COMPUTED_VALUE"""),17)</f>
        <v>17</v>
      </c>
      <c r="F1396" s="5"/>
    </row>
    <row r="1397" spans="1:6">
      <c r="A1397" s="5" t="str">
        <f ca="1">IFERROR(__xludf.DUMMYFUNCTION("""COMPUTED_VALUE"""),"20090413CALOL")</f>
        <v>20090413CALOL</v>
      </c>
      <c r="B1397" s="5" t="str">
        <f ca="1">IFERROR(__xludf.DUMMYFUNCTION("""COMPUTED_VALUE"""),"Wounded")</f>
        <v>Wounded</v>
      </c>
      <c r="C1397" s="5" t="str">
        <f ca="1">IFERROR(__xludf.DUMMYFUNCTION("""COMPUTED_VALUE"""),"Male")</f>
        <v>Male</v>
      </c>
      <c r="D1397" s="5" t="str">
        <f ca="1">IFERROR(__xludf.DUMMYFUNCTION("""COMPUTED_VALUE"""),"Student")</f>
        <v>Student</v>
      </c>
      <c r="E1397" s="5">
        <f ca="1">IFERROR(__xludf.DUMMYFUNCTION("""COMPUTED_VALUE"""),16)</f>
        <v>16</v>
      </c>
      <c r="F1397" s="5"/>
    </row>
    <row r="1398" spans="1:6">
      <c r="A1398" s="5" t="str">
        <f ca="1">IFERROR(__xludf.DUMMYFUNCTION("""COMPUTED_VALUE"""),"20090311TXCYH")</f>
        <v>20090311TXCYH</v>
      </c>
      <c r="B1398" s="5" t="str">
        <f ca="1">IFERROR(__xludf.DUMMYFUNCTION("""COMPUTED_VALUE"""),"None")</f>
        <v>None</v>
      </c>
      <c r="C1398" s="5"/>
      <c r="D1398" s="5"/>
      <c r="E1398" s="5"/>
      <c r="F1398" s="5"/>
    </row>
    <row r="1399" spans="1:6">
      <c r="A1399" s="5" t="str">
        <f ca="1">IFERROR(__xludf.DUMMYFUNCTION("""COMPUTED_VALUE"""),"20090310FLRIJ")</f>
        <v>20090310FLRIJ</v>
      </c>
      <c r="B1399" s="5" t="str">
        <f ca="1">IFERROR(__xludf.DUMMYFUNCTION("""COMPUTED_VALUE"""),"None")</f>
        <v>None</v>
      </c>
      <c r="C1399" s="5"/>
      <c r="D1399" s="5"/>
      <c r="E1399" s="5"/>
      <c r="F1399" s="5"/>
    </row>
    <row r="1400" spans="1:6">
      <c r="A1400" s="5" t="str">
        <f ca="1">IFERROR(__xludf.DUMMYFUNCTION("""COMPUTED_VALUE"""),"20090306NCWEF")</f>
        <v>20090306NCWEF</v>
      </c>
      <c r="B1400" s="5" t="str">
        <f ca="1">IFERROR(__xludf.DUMMYFUNCTION("""COMPUTED_VALUE"""),"Wounded")</f>
        <v>Wounded</v>
      </c>
      <c r="C1400" s="5" t="str">
        <f ca="1">IFERROR(__xludf.DUMMYFUNCTION("""COMPUTED_VALUE"""),"Male")</f>
        <v>Male</v>
      </c>
      <c r="D1400" s="5" t="str">
        <f ca="1">IFERROR(__xludf.DUMMYFUNCTION("""COMPUTED_VALUE"""),"Student")</f>
        <v>Student</v>
      </c>
      <c r="E1400" s="5">
        <f ca="1">IFERROR(__xludf.DUMMYFUNCTION("""COMPUTED_VALUE"""),15)</f>
        <v>15</v>
      </c>
      <c r="F1400" s="5"/>
    </row>
    <row r="1401" spans="1:6">
      <c r="A1401" s="5" t="str">
        <f ca="1">IFERROR(__xludf.DUMMYFUNCTION("""COMPUTED_VALUE"""),"20090302SDROS")</f>
        <v>20090302SDROS</v>
      </c>
      <c r="B1401" s="5" t="str">
        <f ca="1">IFERROR(__xludf.DUMMYFUNCTION("""COMPUTED_VALUE"""),"None")</f>
        <v>None</v>
      </c>
      <c r="C1401" s="5" t="str">
        <f ca="1">IFERROR(__xludf.DUMMYFUNCTION("""COMPUTED_VALUE"""),"Male")</f>
        <v>Male</v>
      </c>
      <c r="D1401" s="5" t="str">
        <f ca="1">IFERROR(__xludf.DUMMYFUNCTION("""COMPUTED_VALUE"""),"Student")</f>
        <v>Student</v>
      </c>
      <c r="E1401" s="5">
        <f ca="1">IFERROR(__xludf.DUMMYFUNCTION("""COMPUTED_VALUE"""),8)</f>
        <v>8</v>
      </c>
      <c r="F1401" s="5"/>
    </row>
    <row r="1402" spans="1:6">
      <c r="A1402" s="5" t="str">
        <f ca="1">IFERROR(__xludf.DUMMYFUNCTION("""COMPUTED_VALUE"""),"20090223CTBRN")</f>
        <v>20090223CTBRN</v>
      </c>
      <c r="B1402" s="5" t="str">
        <f ca="1">IFERROR(__xludf.DUMMYFUNCTION("""COMPUTED_VALUE"""),"None")</f>
        <v>None</v>
      </c>
      <c r="C1402" s="5" t="str">
        <f ca="1">IFERROR(__xludf.DUMMYFUNCTION("""COMPUTED_VALUE"""),"Male")</f>
        <v>Male</v>
      </c>
      <c r="D1402" s="5" t="str">
        <f ca="1">IFERROR(__xludf.DUMMYFUNCTION("""COMPUTED_VALUE"""),"No Relation")</f>
        <v>No Relation</v>
      </c>
      <c r="E1402" s="5">
        <f ca="1">IFERROR(__xludf.DUMMYFUNCTION("""COMPUTED_VALUE"""),19)</f>
        <v>19</v>
      </c>
      <c r="F1402" s="5"/>
    </row>
    <row r="1403" spans="1:6">
      <c r="A1403" s="5" t="str">
        <f ca="1">IFERROR(__xludf.DUMMYFUNCTION("""COMPUTED_VALUE"""),"20090220CAJOH")</f>
        <v>20090220CAJOH</v>
      </c>
      <c r="B1403" s="5" t="str">
        <f ca="1">IFERROR(__xludf.DUMMYFUNCTION("""COMPUTED_VALUE"""),"None")</f>
        <v>None</v>
      </c>
      <c r="C1403" s="5" t="str">
        <f ca="1">IFERROR(__xludf.DUMMYFUNCTION("""COMPUTED_VALUE"""),"Male")</f>
        <v>Male</v>
      </c>
      <c r="D1403" s="5" t="str">
        <f ca="1">IFERROR(__xludf.DUMMYFUNCTION("""COMPUTED_VALUE"""),"Nonstudent")</f>
        <v>Nonstudent</v>
      </c>
      <c r="E1403" s="5">
        <f ca="1">IFERROR(__xludf.DUMMYFUNCTION("""COMPUTED_VALUE"""),29)</f>
        <v>29</v>
      </c>
      <c r="F1403" s="5"/>
    </row>
    <row r="1404" spans="1:6">
      <c r="A1404" s="5" t="str">
        <f ca="1">IFERROR(__xludf.DUMMYFUNCTION("""COMPUTED_VALUE"""),"20090220CAJOH")</f>
        <v>20090220CAJOH</v>
      </c>
      <c r="B1404" s="5" t="str">
        <f ca="1">IFERROR(__xludf.DUMMYFUNCTION("""COMPUTED_VALUE"""),"None")</f>
        <v>None</v>
      </c>
      <c r="C1404" s="5" t="str">
        <f ca="1">IFERROR(__xludf.DUMMYFUNCTION("""COMPUTED_VALUE"""),"Male")</f>
        <v>Male</v>
      </c>
      <c r="D1404" s="5" t="str">
        <f ca="1">IFERROR(__xludf.DUMMYFUNCTION("""COMPUTED_VALUE"""),"Nonstudent")</f>
        <v>Nonstudent</v>
      </c>
      <c r="E1404" s="5">
        <f ca="1">IFERROR(__xludf.DUMMYFUNCTION("""COMPUTED_VALUE"""),5)</f>
        <v>5</v>
      </c>
      <c r="F1404" s="5"/>
    </row>
    <row r="1405" spans="1:6">
      <c r="A1405" s="5" t="str">
        <f ca="1">IFERROR(__xludf.DUMMYFUNCTION("""COMPUTED_VALUE"""),"20090217MICED")</f>
        <v>20090217MICED</v>
      </c>
      <c r="B1405" s="5" t="str">
        <f ca="1">IFERROR(__xludf.DUMMYFUNCTION("""COMPUTED_VALUE"""),"Wounded")</f>
        <v>Wounded</v>
      </c>
      <c r="C1405" s="5" t="str">
        <f ca="1">IFERROR(__xludf.DUMMYFUNCTION("""COMPUTED_VALUE"""),"Male")</f>
        <v>Male</v>
      </c>
      <c r="D1405" s="5" t="str">
        <f ca="1">IFERROR(__xludf.DUMMYFUNCTION("""COMPUTED_VALUE"""),"Relative")</f>
        <v>Relative</v>
      </c>
      <c r="E1405" s="5">
        <f ca="1">IFERROR(__xludf.DUMMYFUNCTION("""COMPUTED_VALUE"""),19)</f>
        <v>19</v>
      </c>
      <c r="F1405" s="5"/>
    </row>
    <row r="1406" spans="1:6">
      <c r="A1406" s="5" t="str">
        <f ca="1">IFERROR(__xludf.DUMMYFUNCTION("""COMPUTED_VALUE"""),"20090211NCSCZ")</f>
        <v>20090211NCSCZ</v>
      </c>
      <c r="B1406" s="5" t="str">
        <f ca="1">IFERROR(__xludf.DUMMYFUNCTION("""COMPUTED_VALUE"""),"Wounded")</f>
        <v>Wounded</v>
      </c>
      <c r="C1406" s="5" t="str">
        <f ca="1">IFERROR(__xludf.DUMMYFUNCTION("""COMPUTED_VALUE"""),"Male")</f>
        <v>Male</v>
      </c>
      <c r="D1406" s="5" t="str">
        <f ca="1">IFERROR(__xludf.DUMMYFUNCTION("""COMPUTED_VALUE"""),"Student")</f>
        <v>Student</v>
      </c>
      <c r="E1406" s="5">
        <f ca="1">IFERROR(__xludf.DUMMYFUNCTION("""COMPUTED_VALUE"""),14)</f>
        <v>14</v>
      </c>
      <c r="F1406" s="5" t="str">
        <f ca="1">IFERROR(__xludf.DUMMYFUNCTION("""COMPUTED_VALUE"""),"White")</f>
        <v>White</v>
      </c>
    </row>
    <row r="1407" spans="1:6">
      <c r="A1407" s="5" t="str">
        <f ca="1">IFERROR(__xludf.DUMMYFUNCTION("""COMPUTED_VALUE"""),"20090210CABAE")</f>
        <v>20090210CABAE</v>
      </c>
      <c r="B1407" s="5" t="str">
        <f ca="1">IFERROR(__xludf.DUMMYFUNCTION("""COMPUTED_VALUE"""),"None")</f>
        <v>None</v>
      </c>
      <c r="C1407" s="5"/>
      <c r="D1407" s="5"/>
      <c r="E1407" s="5"/>
      <c r="F1407" s="5"/>
    </row>
    <row r="1408" spans="1:6">
      <c r="A1408" s="5" t="str">
        <f ca="1">IFERROR(__xludf.DUMMYFUNCTION("""COMPUTED_VALUE"""),"20090127NCCLC")</f>
        <v>20090127NCCLC</v>
      </c>
      <c r="B1408" s="5" t="str">
        <f ca="1">IFERROR(__xludf.DUMMYFUNCTION("""COMPUTED_VALUE"""),"None")</f>
        <v>None</v>
      </c>
      <c r="C1408" s="5"/>
      <c r="D1408" s="5"/>
      <c r="E1408" s="5"/>
      <c r="F1408" s="5"/>
    </row>
    <row r="1409" spans="1:6">
      <c r="A1409" s="5" t="str">
        <f ca="1">IFERROR(__xludf.DUMMYFUNCTION("""COMPUTED_VALUE"""),"20090123ILCAC")</f>
        <v>20090123ILCAC</v>
      </c>
      <c r="B1409" s="5" t="str">
        <f ca="1">IFERROR(__xludf.DUMMYFUNCTION("""COMPUTED_VALUE"""),"Fatal")</f>
        <v>Fatal</v>
      </c>
      <c r="C1409" s="5" t="str">
        <f ca="1">IFERROR(__xludf.DUMMYFUNCTION("""COMPUTED_VALUE"""),"Male")</f>
        <v>Male</v>
      </c>
      <c r="D1409" s="5" t="str">
        <f ca="1">IFERROR(__xludf.DUMMYFUNCTION("""COMPUTED_VALUE"""),"Former Student")</f>
        <v>Former Student</v>
      </c>
      <c r="E1409" s="5">
        <f ca="1">IFERROR(__xludf.DUMMYFUNCTION("""COMPUTED_VALUE"""),17)</f>
        <v>17</v>
      </c>
      <c r="F1409" s="5" t="str">
        <f ca="1">IFERROR(__xludf.DUMMYFUNCTION("""COMPUTED_VALUE"""),"Black")</f>
        <v>Black</v>
      </c>
    </row>
    <row r="1410" spans="1:6">
      <c r="A1410" s="5" t="str">
        <f ca="1">IFERROR(__xludf.DUMMYFUNCTION("""COMPUTED_VALUE"""),"20090120PAEAE")</f>
        <v>20090120PAEAE</v>
      </c>
      <c r="B1410" s="5" t="str">
        <f ca="1">IFERROR(__xludf.DUMMYFUNCTION("""COMPUTED_VALUE"""),"Wounded")</f>
        <v>Wounded</v>
      </c>
      <c r="C1410" s="5" t="str">
        <f ca="1">IFERROR(__xludf.DUMMYFUNCTION("""COMPUTED_VALUE"""),"Female")</f>
        <v>Female</v>
      </c>
      <c r="D1410" s="5" t="str">
        <f ca="1">IFERROR(__xludf.DUMMYFUNCTION("""COMPUTED_VALUE"""),"Nonstudent")</f>
        <v>Nonstudent</v>
      </c>
      <c r="E1410" s="5">
        <f ca="1">IFERROR(__xludf.DUMMYFUNCTION("""COMPUTED_VALUE"""),21)</f>
        <v>21</v>
      </c>
      <c r="F1410" s="5"/>
    </row>
    <row r="1411" spans="1:6">
      <c r="A1411" s="5" t="str">
        <f ca="1">IFERROR(__xludf.DUMMYFUNCTION("""COMPUTED_VALUE"""),"20090120MIBEM")</f>
        <v>20090120MIBEM</v>
      </c>
      <c r="B1411" s="5" t="str">
        <f ca="1">IFERROR(__xludf.DUMMYFUNCTION("""COMPUTED_VALUE"""),"Wounded")</f>
        <v>Wounded</v>
      </c>
      <c r="C1411" s="5" t="str">
        <f ca="1">IFERROR(__xludf.DUMMYFUNCTION("""COMPUTED_VALUE"""),"Male")</f>
        <v>Male</v>
      </c>
      <c r="D1411" s="5" t="str">
        <f ca="1">IFERROR(__xludf.DUMMYFUNCTION("""COMPUTED_VALUE"""),"Nonstudent Using Athletic Facilities/Attending Game")</f>
        <v>Nonstudent Using Athletic Facilities/Attending Game</v>
      </c>
      <c r="E1411" s="5">
        <f ca="1">IFERROR(__xludf.DUMMYFUNCTION("""COMPUTED_VALUE"""),19)</f>
        <v>19</v>
      </c>
      <c r="F1411" s="5"/>
    </row>
    <row r="1412" spans="1:6">
      <c r="A1412" s="5" t="str">
        <f ca="1">IFERROR(__xludf.DUMMYFUNCTION("""COMPUTED_VALUE"""),"20090120MIBEM")</f>
        <v>20090120MIBEM</v>
      </c>
      <c r="B1412" s="5" t="str">
        <f ca="1">IFERROR(__xludf.DUMMYFUNCTION("""COMPUTED_VALUE"""),"Wounded")</f>
        <v>Wounded</v>
      </c>
      <c r="C1412" s="5" t="str">
        <f ca="1">IFERROR(__xludf.DUMMYFUNCTION("""COMPUTED_VALUE"""),"Male")</f>
        <v>Male</v>
      </c>
      <c r="D1412" s="5" t="str">
        <f ca="1">IFERROR(__xludf.DUMMYFUNCTION("""COMPUTED_VALUE"""),"Nonstudent Using Athletic Facilities/Attending Game")</f>
        <v>Nonstudent Using Athletic Facilities/Attending Game</v>
      </c>
      <c r="E1412" s="5">
        <f ca="1">IFERROR(__xludf.DUMMYFUNCTION("""COMPUTED_VALUE"""),19)</f>
        <v>19</v>
      </c>
      <c r="F1412" s="5"/>
    </row>
    <row r="1413" spans="1:6">
      <c r="A1413" s="5" t="str">
        <f ca="1">IFERROR(__xludf.DUMMYFUNCTION("""COMPUTED_VALUE"""),"20090120MIBEM")</f>
        <v>20090120MIBEM</v>
      </c>
      <c r="B1413" s="5" t="str">
        <f ca="1">IFERROR(__xludf.DUMMYFUNCTION("""COMPUTED_VALUE"""),"Wounded")</f>
        <v>Wounded</v>
      </c>
      <c r="C1413" s="5" t="str">
        <f ca="1">IFERROR(__xludf.DUMMYFUNCTION("""COMPUTED_VALUE"""),"Male")</f>
        <v>Male</v>
      </c>
      <c r="D1413" s="5" t="str">
        <f ca="1">IFERROR(__xludf.DUMMYFUNCTION("""COMPUTED_VALUE"""),"Nonstudent Using Athletic Facilities/Attending Game")</f>
        <v>Nonstudent Using Athletic Facilities/Attending Game</v>
      </c>
      <c r="E1413" s="5">
        <f ca="1">IFERROR(__xludf.DUMMYFUNCTION("""COMPUTED_VALUE"""),16)</f>
        <v>16</v>
      </c>
      <c r="F1413" s="5"/>
    </row>
    <row r="1414" spans="1:6">
      <c r="A1414" s="5" t="str">
        <f ca="1">IFERROR(__xludf.DUMMYFUNCTION("""COMPUTED_VALUE"""),"20090120MIBEM")</f>
        <v>20090120MIBEM</v>
      </c>
      <c r="B1414" s="5" t="str">
        <f ca="1">IFERROR(__xludf.DUMMYFUNCTION("""COMPUTED_VALUE"""),"Wounded")</f>
        <v>Wounded</v>
      </c>
      <c r="C1414" s="5" t="str">
        <f ca="1">IFERROR(__xludf.DUMMYFUNCTION("""COMPUTED_VALUE"""),"Male")</f>
        <v>Male</v>
      </c>
      <c r="D1414" s="5" t="str">
        <f ca="1">IFERROR(__xludf.DUMMYFUNCTION("""COMPUTED_VALUE"""),"Nonstudent Using Athletic Facilities/Attending Game")</f>
        <v>Nonstudent Using Athletic Facilities/Attending Game</v>
      </c>
      <c r="E1414" s="5">
        <f ca="1">IFERROR(__xludf.DUMMYFUNCTION("""COMPUTED_VALUE"""),20)</f>
        <v>20</v>
      </c>
      <c r="F1414" s="5"/>
    </row>
    <row r="1415" spans="1:6">
      <c r="A1415" s="5" t="str">
        <f ca="1">IFERROR(__xludf.DUMMYFUNCTION("""COMPUTED_VALUE"""),"20090120ILCOC")</f>
        <v>20090120ILCOC</v>
      </c>
      <c r="B1415" s="5" t="str">
        <f ca="1">IFERROR(__xludf.DUMMYFUNCTION("""COMPUTED_VALUE"""),"Wounded")</f>
        <v>Wounded</v>
      </c>
      <c r="C1415" s="5" t="str">
        <f ca="1">IFERROR(__xludf.DUMMYFUNCTION("""COMPUTED_VALUE"""),"Male")</f>
        <v>Male</v>
      </c>
      <c r="D1415" s="5" t="str">
        <f ca="1">IFERROR(__xludf.DUMMYFUNCTION("""COMPUTED_VALUE"""),"Nonstudent Using Athletic Facilities/Attending Game")</f>
        <v>Nonstudent Using Athletic Facilities/Attending Game</v>
      </c>
      <c r="E1415" s="5">
        <f ca="1">IFERROR(__xludf.DUMMYFUNCTION("""COMPUTED_VALUE"""),16)</f>
        <v>16</v>
      </c>
      <c r="F1415" s="5" t="str">
        <f ca="1">IFERROR(__xludf.DUMMYFUNCTION("""COMPUTED_VALUE"""),"Black")</f>
        <v>Black</v>
      </c>
    </row>
    <row r="1416" spans="1:6">
      <c r="A1416" s="5" t="str">
        <f ca="1">IFERROR(__xludf.DUMMYFUNCTION("""COMPUTED_VALUE"""),"20090114ILPEC")</f>
        <v>20090114ILPEC</v>
      </c>
      <c r="B1416" s="5" t="str">
        <f ca="1">IFERROR(__xludf.DUMMYFUNCTION("""COMPUTED_VALUE"""),"Wounded")</f>
        <v>Wounded</v>
      </c>
      <c r="C1416" s="5" t="str">
        <f ca="1">IFERROR(__xludf.DUMMYFUNCTION("""COMPUTED_VALUE"""),"Male")</f>
        <v>Male</v>
      </c>
      <c r="D1416" s="5" t="str">
        <f ca="1">IFERROR(__xludf.DUMMYFUNCTION("""COMPUTED_VALUE"""),"Student")</f>
        <v>Student</v>
      </c>
      <c r="E1416" s="5" t="str">
        <f ca="1">IFERROR(__xludf.DUMMYFUNCTION("""COMPUTED_VALUE"""),"Teen")</f>
        <v>Teen</v>
      </c>
      <c r="F1416" s="5"/>
    </row>
    <row r="1417" spans="1:6">
      <c r="A1417" s="5" t="str">
        <f ca="1">IFERROR(__xludf.DUMMYFUNCTION("""COMPUTED_VALUE"""),"20090114ILPEC")</f>
        <v>20090114ILPEC</v>
      </c>
      <c r="B1417" s="5" t="str">
        <f ca="1">IFERROR(__xludf.DUMMYFUNCTION("""COMPUTED_VALUE"""),"Wounded")</f>
        <v>Wounded</v>
      </c>
      <c r="C1417" s="5" t="str">
        <f ca="1">IFERROR(__xludf.DUMMYFUNCTION("""COMPUTED_VALUE"""),"Male")</f>
        <v>Male</v>
      </c>
      <c r="D1417" s="5" t="str">
        <f ca="1">IFERROR(__xludf.DUMMYFUNCTION("""COMPUTED_VALUE"""),"Student")</f>
        <v>Student</v>
      </c>
      <c r="E1417" s="5" t="str">
        <f ca="1">IFERROR(__xludf.DUMMYFUNCTION("""COMPUTED_VALUE"""),"Teen")</f>
        <v>Teen</v>
      </c>
      <c r="F1417" s="5"/>
    </row>
    <row r="1418" spans="1:6">
      <c r="A1418" s="5" t="str">
        <f ca="1">IFERROR(__xludf.DUMMYFUNCTION("""COMPUTED_VALUE"""),"20090114ILPEC")</f>
        <v>20090114ILPEC</v>
      </c>
      <c r="B1418" s="5" t="str">
        <f ca="1">IFERROR(__xludf.DUMMYFUNCTION("""COMPUTED_VALUE"""),"Wounded")</f>
        <v>Wounded</v>
      </c>
      <c r="C1418" s="5" t="str">
        <f ca="1">IFERROR(__xludf.DUMMYFUNCTION("""COMPUTED_VALUE"""),"Male")</f>
        <v>Male</v>
      </c>
      <c r="D1418" s="5" t="str">
        <f ca="1">IFERROR(__xludf.DUMMYFUNCTION("""COMPUTED_VALUE"""),"Student")</f>
        <v>Student</v>
      </c>
      <c r="E1418" s="5" t="str">
        <f ca="1">IFERROR(__xludf.DUMMYFUNCTION("""COMPUTED_VALUE"""),"Teen")</f>
        <v>Teen</v>
      </c>
      <c r="F1418" s="5"/>
    </row>
    <row r="1419" spans="1:6">
      <c r="A1419" s="5" t="str">
        <f ca="1">IFERROR(__xludf.DUMMYFUNCTION("""COMPUTED_VALUE"""),"20090109ILDUC")</f>
        <v>20090109ILDUC</v>
      </c>
      <c r="B1419" s="5" t="str">
        <f ca="1">IFERROR(__xludf.DUMMYFUNCTION("""COMPUTED_VALUE"""),"Wounded")</f>
        <v>Wounded</v>
      </c>
      <c r="C1419" s="5" t="str">
        <f ca="1">IFERROR(__xludf.DUMMYFUNCTION("""COMPUTED_VALUE"""),"Male")</f>
        <v>Male</v>
      </c>
      <c r="D1419" s="5" t="str">
        <f ca="1">IFERROR(__xludf.DUMMYFUNCTION("""COMPUTED_VALUE"""),"Gang Member")</f>
        <v>Gang Member</v>
      </c>
      <c r="E1419" s="5" t="str">
        <f ca="1">IFERROR(__xludf.DUMMYFUNCTION("""COMPUTED_VALUE"""),"Teen")</f>
        <v>Teen</v>
      </c>
      <c r="F1419" s="5"/>
    </row>
    <row r="1420" spans="1:6">
      <c r="A1420" s="5" t="str">
        <f ca="1">IFERROR(__xludf.DUMMYFUNCTION("""COMPUTED_VALUE"""),"20090109ILDUC")</f>
        <v>20090109ILDUC</v>
      </c>
      <c r="B1420" s="5" t="str">
        <f ca="1">IFERROR(__xludf.DUMMYFUNCTION("""COMPUTED_VALUE"""),"Wounded")</f>
        <v>Wounded</v>
      </c>
      <c r="C1420" s="5" t="str">
        <f ca="1">IFERROR(__xludf.DUMMYFUNCTION("""COMPUTED_VALUE"""),"Male")</f>
        <v>Male</v>
      </c>
      <c r="D1420" s="5" t="str">
        <f ca="1">IFERROR(__xludf.DUMMYFUNCTION("""COMPUTED_VALUE"""),"Gang Member")</f>
        <v>Gang Member</v>
      </c>
      <c r="E1420" s="5" t="str">
        <f ca="1">IFERROR(__xludf.DUMMYFUNCTION("""COMPUTED_VALUE"""),"Teen")</f>
        <v>Teen</v>
      </c>
      <c r="F1420" s="5"/>
    </row>
    <row r="1421" spans="1:6">
      <c r="A1421" s="5" t="str">
        <f ca="1">IFERROR(__xludf.DUMMYFUNCTION("""COMPUTED_VALUE"""),"20090109ILDUC")</f>
        <v>20090109ILDUC</v>
      </c>
      <c r="B1421" s="5" t="str">
        <f ca="1">IFERROR(__xludf.DUMMYFUNCTION("""COMPUTED_VALUE"""),"Wounded")</f>
        <v>Wounded</v>
      </c>
      <c r="C1421" s="5" t="str">
        <f ca="1">IFERROR(__xludf.DUMMYFUNCTION("""COMPUTED_VALUE"""),"Male")</f>
        <v>Male</v>
      </c>
      <c r="D1421" s="5" t="str">
        <f ca="1">IFERROR(__xludf.DUMMYFUNCTION("""COMPUTED_VALUE"""),"Gang Member")</f>
        <v>Gang Member</v>
      </c>
      <c r="E1421" s="5" t="str">
        <f ca="1">IFERROR(__xludf.DUMMYFUNCTION("""COMPUTED_VALUE"""),"Teen")</f>
        <v>Teen</v>
      </c>
      <c r="F1421" s="5"/>
    </row>
    <row r="1422" spans="1:6">
      <c r="A1422" s="5" t="str">
        <f ca="1">IFERROR(__xludf.DUMMYFUNCTION("""COMPUTED_VALUE"""),"20090109ILDUC")</f>
        <v>20090109ILDUC</v>
      </c>
      <c r="B1422" s="5" t="str">
        <f ca="1">IFERROR(__xludf.DUMMYFUNCTION("""COMPUTED_VALUE"""),"Wounded")</f>
        <v>Wounded</v>
      </c>
      <c r="C1422" s="5" t="str">
        <f ca="1">IFERROR(__xludf.DUMMYFUNCTION("""COMPUTED_VALUE"""),"Male")</f>
        <v>Male</v>
      </c>
      <c r="D1422" s="5" t="str">
        <f ca="1">IFERROR(__xludf.DUMMYFUNCTION("""COMPUTED_VALUE"""),"Gang Member")</f>
        <v>Gang Member</v>
      </c>
      <c r="E1422" s="5" t="str">
        <f ca="1">IFERROR(__xludf.DUMMYFUNCTION("""COMPUTED_VALUE"""),"Teen")</f>
        <v>Teen</v>
      </c>
      <c r="F1422" s="5"/>
    </row>
    <row r="1423" spans="1:6">
      <c r="A1423" s="5" t="str">
        <f ca="1">IFERROR(__xludf.DUMMYFUNCTION("""COMPUTED_VALUE"""),"20090109ILDUC")</f>
        <v>20090109ILDUC</v>
      </c>
      <c r="B1423" s="5" t="str">
        <f ca="1">IFERROR(__xludf.DUMMYFUNCTION("""COMPUTED_VALUE"""),"Wounded")</f>
        <v>Wounded</v>
      </c>
      <c r="C1423" s="5" t="str">
        <f ca="1">IFERROR(__xludf.DUMMYFUNCTION("""COMPUTED_VALUE"""),"Male")</f>
        <v>Male</v>
      </c>
      <c r="D1423" s="5" t="str">
        <f ca="1">IFERROR(__xludf.DUMMYFUNCTION("""COMPUTED_VALUE"""),"Gang Member")</f>
        <v>Gang Member</v>
      </c>
      <c r="E1423" s="5" t="str">
        <f ca="1">IFERROR(__xludf.DUMMYFUNCTION("""COMPUTED_VALUE"""),"Teen")</f>
        <v>Teen</v>
      </c>
      <c r="F1423" s="5"/>
    </row>
    <row r="1424" spans="1:6">
      <c r="A1424" s="5" t="str">
        <f ca="1">IFERROR(__xludf.DUMMYFUNCTION("""COMPUTED_VALUE"""),"20090108DEWIN")</f>
        <v>20090108DEWIN</v>
      </c>
      <c r="B1424" s="5" t="str">
        <f ca="1">IFERROR(__xludf.DUMMYFUNCTION("""COMPUTED_VALUE"""),"Wounded")</f>
        <v>Wounded</v>
      </c>
      <c r="C1424" s="5" t="str">
        <f ca="1">IFERROR(__xludf.DUMMYFUNCTION("""COMPUTED_VALUE"""),"Male")</f>
        <v>Male</v>
      </c>
      <c r="D1424" s="5" t="str">
        <f ca="1">IFERROR(__xludf.DUMMYFUNCTION("""COMPUTED_VALUE"""),"Student")</f>
        <v>Student</v>
      </c>
      <c r="E1424" s="5">
        <f ca="1">IFERROR(__xludf.DUMMYFUNCTION("""COMPUTED_VALUE"""),18)</f>
        <v>18</v>
      </c>
      <c r="F1424" s="5"/>
    </row>
    <row r="1425" spans="1:6">
      <c r="A1425" s="5" t="str">
        <f ca="1">IFERROR(__xludf.DUMMYFUNCTION("""COMPUTED_VALUE"""),"20090108DEWIN")</f>
        <v>20090108DEWIN</v>
      </c>
      <c r="B1425" s="5" t="str">
        <f ca="1">IFERROR(__xludf.DUMMYFUNCTION("""COMPUTED_VALUE"""),"Wounded")</f>
        <v>Wounded</v>
      </c>
      <c r="C1425" s="5" t="str">
        <f ca="1">IFERROR(__xludf.DUMMYFUNCTION("""COMPUTED_VALUE"""),"Female")</f>
        <v>Female</v>
      </c>
      <c r="D1425" s="5" t="str">
        <f ca="1">IFERROR(__xludf.DUMMYFUNCTION("""COMPUTED_VALUE"""),"Police Officer/SRO")</f>
        <v>Police Officer/SRO</v>
      </c>
      <c r="E1425" s="5" t="str">
        <f ca="1">IFERROR(__xludf.DUMMYFUNCTION("""COMPUTED_VALUE"""),"Adult")</f>
        <v>Adult</v>
      </c>
      <c r="F1425" s="5"/>
    </row>
    <row r="1426" spans="1:6">
      <c r="A1426" s="5" t="str">
        <f ca="1">IFERROR(__xludf.DUMMYFUNCTION("""COMPUTED_VALUE"""),"20081231OKKEN")</f>
        <v>20081231OKKEN</v>
      </c>
      <c r="B1426" s="5" t="str">
        <f ca="1">IFERROR(__xludf.DUMMYFUNCTION("""COMPUTED_VALUE"""),"None")</f>
        <v>None</v>
      </c>
      <c r="C1426" s="5" t="str">
        <f ca="1">IFERROR(__xludf.DUMMYFUNCTION("""COMPUTED_VALUE"""),"Male")</f>
        <v>Male</v>
      </c>
      <c r="D1426" s="5" t="str">
        <f ca="1">IFERROR(__xludf.DUMMYFUNCTION("""COMPUTED_VALUE"""),"Nonstudent")</f>
        <v>Nonstudent</v>
      </c>
      <c r="E1426" s="5">
        <f ca="1">IFERROR(__xludf.DUMMYFUNCTION("""COMPUTED_VALUE"""),68)</f>
        <v>68</v>
      </c>
      <c r="F1426" s="5"/>
    </row>
    <row r="1427" spans="1:6">
      <c r="A1427" s="5" t="str">
        <f ca="1">IFERROR(__xludf.DUMMYFUNCTION("""COMPUTED_VALUE"""),"20081231GASHS")</f>
        <v>20081231GASHS</v>
      </c>
      <c r="B1427" s="5" t="str">
        <f ca="1">IFERROR(__xludf.DUMMYFUNCTION("""COMPUTED_VALUE"""),"Wounded")</f>
        <v>Wounded</v>
      </c>
      <c r="C1427" s="5" t="str">
        <f ca="1">IFERROR(__xludf.DUMMYFUNCTION("""COMPUTED_VALUE"""),"Unknown")</f>
        <v>Unknown</v>
      </c>
      <c r="D1427" s="5" t="str">
        <f ca="1">IFERROR(__xludf.DUMMYFUNCTION("""COMPUTED_VALUE"""),"Other Staff")</f>
        <v>Other Staff</v>
      </c>
      <c r="E1427" s="5" t="str">
        <f ca="1">IFERROR(__xludf.DUMMYFUNCTION("""COMPUTED_VALUE"""),"Adult")</f>
        <v>Adult</v>
      </c>
      <c r="F1427" s="5"/>
    </row>
    <row r="1428" spans="1:6">
      <c r="A1428" s="5" t="str">
        <f ca="1">IFERROR(__xludf.DUMMYFUNCTION("""COMPUTED_VALUE"""),"20081227PAWIP")</f>
        <v>20081227PAWIP</v>
      </c>
      <c r="B1428" s="5" t="str">
        <f ca="1">IFERROR(__xludf.DUMMYFUNCTION("""COMPUTED_VALUE"""),"Wounded")</f>
        <v>Wounded</v>
      </c>
      <c r="C1428" s="5" t="str">
        <f ca="1">IFERROR(__xludf.DUMMYFUNCTION("""COMPUTED_VALUE"""),"Male")</f>
        <v>Male</v>
      </c>
      <c r="D1428" s="5" t="str">
        <f ca="1">IFERROR(__xludf.DUMMYFUNCTION("""COMPUTED_VALUE"""),"Nonstudent")</f>
        <v>Nonstudent</v>
      </c>
      <c r="E1428" s="5">
        <f ca="1">IFERROR(__xludf.DUMMYFUNCTION("""COMPUTED_VALUE"""),27)</f>
        <v>27</v>
      </c>
      <c r="F1428" s="5"/>
    </row>
    <row r="1429" spans="1:6">
      <c r="A1429" s="5" t="str">
        <f ca="1">IFERROR(__xludf.DUMMYFUNCTION("""COMPUTED_VALUE"""),"20081227PAWIP")</f>
        <v>20081227PAWIP</v>
      </c>
      <c r="B1429" s="5" t="str">
        <f ca="1">IFERROR(__xludf.DUMMYFUNCTION("""COMPUTED_VALUE"""),"Wounded")</f>
        <v>Wounded</v>
      </c>
      <c r="C1429" s="5" t="str">
        <f ca="1">IFERROR(__xludf.DUMMYFUNCTION("""COMPUTED_VALUE"""),"Female")</f>
        <v>Female</v>
      </c>
      <c r="D1429" s="5" t="str">
        <f ca="1">IFERROR(__xludf.DUMMYFUNCTION("""COMPUTED_VALUE"""),"Nonstudent")</f>
        <v>Nonstudent</v>
      </c>
      <c r="E1429" s="5">
        <f ca="1">IFERROR(__xludf.DUMMYFUNCTION("""COMPUTED_VALUE"""),31)</f>
        <v>31</v>
      </c>
      <c r="F1429" s="5"/>
    </row>
    <row r="1430" spans="1:6">
      <c r="A1430" s="5" t="str">
        <f ca="1">IFERROR(__xludf.DUMMYFUNCTION("""COMPUTED_VALUE"""),"20081222FLLAL")</f>
        <v>20081222FLLAL</v>
      </c>
      <c r="B1430" s="5" t="str">
        <f ca="1">IFERROR(__xludf.DUMMYFUNCTION("""COMPUTED_VALUE"""),"None")</f>
        <v>None</v>
      </c>
      <c r="C1430" s="5" t="str">
        <f ca="1">IFERROR(__xludf.DUMMYFUNCTION("""COMPUTED_VALUE"""),"Female")</f>
        <v>Female</v>
      </c>
      <c r="D1430" s="5" t="str">
        <f ca="1">IFERROR(__xludf.DUMMYFUNCTION("""COMPUTED_VALUE"""),"Teacher")</f>
        <v>Teacher</v>
      </c>
      <c r="E1430" s="5">
        <f ca="1">IFERROR(__xludf.DUMMYFUNCTION("""COMPUTED_VALUE"""),47)</f>
        <v>47</v>
      </c>
      <c r="F1430" s="5" t="str">
        <f ca="1">IFERROR(__xludf.DUMMYFUNCTION("""COMPUTED_VALUE"""),"White")</f>
        <v>White</v>
      </c>
    </row>
    <row r="1431" spans="1:6">
      <c r="A1431" s="5" t="str">
        <f ca="1">IFERROR(__xludf.DUMMYFUNCTION("""COMPUTED_VALUE"""),"20081221SCSUS")</f>
        <v>20081221SCSUS</v>
      </c>
      <c r="B1431" s="5" t="str">
        <f ca="1">IFERROR(__xludf.DUMMYFUNCTION("""COMPUTED_VALUE"""),"Wounded")</f>
        <v>Wounded</v>
      </c>
      <c r="C1431" s="5" t="str">
        <f ca="1">IFERROR(__xludf.DUMMYFUNCTION("""COMPUTED_VALUE"""),"Male")</f>
        <v>Male</v>
      </c>
      <c r="D1431" s="5" t="str">
        <f ca="1">IFERROR(__xludf.DUMMYFUNCTION("""COMPUTED_VALUE"""),"Student")</f>
        <v>Student</v>
      </c>
      <c r="E1431" s="5">
        <f ca="1">IFERROR(__xludf.DUMMYFUNCTION("""COMPUTED_VALUE"""),17)</f>
        <v>17</v>
      </c>
      <c r="F1431" s="5"/>
    </row>
    <row r="1432" spans="1:6">
      <c r="A1432" s="5" t="str">
        <f ca="1">IFERROR(__xludf.DUMMYFUNCTION("""COMPUTED_VALUE"""),"20081212NYWIM")</f>
        <v>20081212NYWIM</v>
      </c>
      <c r="B1432" s="5" t="str">
        <f ca="1">IFERROR(__xludf.DUMMYFUNCTION("""COMPUTED_VALUE"""),"Wounded")</f>
        <v>Wounded</v>
      </c>
      <c r="C1432" s="5" t="str">
        <f ca="1">IFERROR(__xludf.DUMMYFUNCTION("""COMPUTED_VALUE"""),"Male")</f>
        <v>Male</v>
      </c>
      <c r="D1432" s="5" t="str">
        <f ca="1">IFERROR(__xludf.DUMMYFUNCTION("""COMPUTED_VALUE"""),"Student")</f>
        <v>Student</v>
      </c>
      <c r="E1432" s="5">
        <f ca="1">IFERROR(__xludf.DUMMYFUNCTION("""COMPUTED_VALUE"""),14)</f>
        <v>14</v>
      </c>
      <c r="F1432" s="5"/>
    </row>
    <row r="1433" spans="1:6">
      <c r="A1433" s="5" t="str">
        <f ca="1">IFERROR(__xludf.DUMMYFUNCTION("""COMPUTED_VALUE"""),"20081212NCGUA")</f>
        <v>20081212NCGUA</v>
      </c>
      <c r="B1433" s="5" t="str">
        <f ca="1">IFERROR(__xludf.DUMMYFUNCTION("""COMPUTED_VALUE"""),"Fatal")</f>
        <v>Fatal</v>
      </c>
      <c r="C1433" s="5" t="str">
        <f ca="1">IFERROR(__xludf.DUMMYFUNCTION("""COMPUTED_VALUE"""),"Male")</f>
        <v>Male</v>
      </c>
      <c r="D1433" s="5" t="str">
        <f ca="1">IFERROR(__xludf.DUMMYFUNCTION("""COMPUTED_VALUE"""),"No Relation")</f>
        <v>No Relation</v>
      </c>
      <c r="E1433" s="5">
        <f ca="1">IFERROR(__xludf.DUMMYFUNCTION("""COMPUTED_VALUE"""),16)</f>
        <v>16</v>
      </c>
      <c r="F1433" s="5"/>
    </row>
    <row r="1434" spans="1:6">
      <c r="A1434" s="5" t="str">
        <f ca="1">IFERROR(__xludf.DUMMYFUNCTION("""COMPUTED_VALUE"""),"20081205MNSHF")</f>
        <v>20081205MNSHF</v>
      </c>
      <c r="B1434" s="5" t="str">
        <f ca="1">IFERROR(__xludf.DUMMYFUNCTION("""COMPUTED_VALUE"""),"None")</f>
        <v>None</v>
      </c>
      <c r="C1434" s="5" t="str">
        <f ca="1">IFERROR(__xludf.DUMMYFUNCTION("""COMPUTED_VALUE"""),"Male")</f>
        <v>Male</v>
      </c>
      <c r="D1434" s="5" t="str">
        <f ca="1">IFERROR(__xludf.DUMMYFUNCTION("""COMPUTED_VALUE"""),"Teacher")</f>
        <v>Teacher</v>
      </c>
      <c r="E1434" s="5">
        <f ca="1">IFERROR(__xludf.DUMMYFUNCTION("""COMPUTED_VALUE"""),34)</f>
        <v>34</v>
      </c>
      <c r="F1434" s="5"/>
    </row>
    <row r="1435" spans="1:6">
      <c r="A1435" s="5" t="str">
        <f ca="1">IFERROR(__xludf.DUMMYFUNCTION("""COMPUTED_VALUE"""),"20081202CAKIK")</f>
        <v>20081202CAKIK</v>
      </c>
      <c r="B1435" s="5" t="str">
        <f ca="1">IFERROR(__xludf.DUMMYFUNCTION("""COMPUTED_VALUE"""),"Wounded")</f>
        <v>Wounded</v>
      </c>
      <c r="C1435" s="5" t="str">
        <f ca="1">IFERROR(__xludf.DUMMYFUNCTION("""COMPUTED_VALUE"""),"Male")</f>
        <v>Male</v>
      </c>
      <c r="D1435" s="5" t="str">
        <f ca="1">IFERROR(__xludf.DUMMYFUNCTION("""COMPUTED_VALUE"""),"Student")</f>
        <v>Student</v>
      </c>
      <c r="E1435" s="5">
        <f ca="1">IFERROR(__xludf.DUMMYFUNCTION("""COMPUTED_VALUE"""),15)</f>
        <v>15</v>
      </c>
      <c r="F1435" s="5"/>
    </row>
    <row r="1436" spans="1:6">
      <c r="A1436" s="5" t="str">
        <f ca="1">IFERROR(__xludf.DUMMYFUNCTION("""COMPUTED_VALUE"""),"20081202CAKIK")</f>
        <v>20081202CAKIK</v>
      </c>
      <c r="B1436" s="5" t="str">
        <f ca="1">IFERROR(__xludf.DUMMYFUNCTION("""COMPUTED_VALUE"""),"Fatal")</f>
        <v>Fatal</v>
      </c>
      <c r="C1436" s="5" t="str">
        <f ca="1">IFERROR(__xludf.DUMMYFUNCTION("""COMPUTED_VALUE"""),"Female")</f>
        <v>Female</v>
      </c>
      <c r="D1436" s="5" t="str">
        <f ca="1">IFERROR(__xludf.DUMMYFUNCTION("""COMPUTED_VALUE"""),"Relative")</f>
        <v>Relative</v>
      </c>
      <c r="E1436" s="5">
        <f ca="1">IFERROR(__xludf.DUMMYFUNCTION("""COMPUTED_VALUE"""),11)</f>
        <v>11</v>
      </c>
      <c r="F1436" s="5"/>
    </row>
    <row r="1437" spans="1:6">
      <c r="A1437" s="5" t="str">
        <f ca="1">IFERROR(__xludf.DUMMYFUNCTION("""COMPUTED_VALUE"""),"20081130CAOAG")</f>
        <v>20081130CAOAG</v>
      </c>
      <c r="B1437" s="5" t="str">
        <f ca="1">IFERROR(__xludf.DUMMYFUNCTION("""COMPUTED_VALUE"""),"Wounded")</f>
        <v>Wounded</v>
      </c>
      <c r="C1437" s="5" t="str">
        <f ca="1">IFERROR(__xludf.DUMMYFUNCTION("""COMPUTED_VALUE"""),"Male")</f>
        <v>Male</v>
      </c>
      <c r="D1437" s="5" t="str">
        <f ca="1">IFERROR(__xludf.DUMMYFUNCTION("""COMPUTED_VALUE"""),"No Relation")</f>
        <v>No Relation</v>
      </c>
      <c r="E1437" s="5">
        <f ca="1">IFERROR(__xludf.DUMMYFUNCTION("""COMPUTED_VALUE"""),19)</f>
        <v>19</v>
      </c>
      <c r="F1437" s="5"/>
    </row>
    <row r="1438" spans="1:6">
      <c r="A1438" s="5" t="str">
        <f ca="1">IFERROR(__xludf.DUMMYFUNCTION("""COMPUTED_VALUE"""),"20081125TXNOH")</f>
        <v>20081125TXNOH</v>
      </c>
      <c r="B1438" s="5" t="str">
        <f ca="1">IFERROR(__xludf.DUMMYFUNCTION("""COMPUTED_VALUE"""),"Wounded")</f>
        <v>Wounded</v>
      </c>
      <c r="C1438" s="5" t="str">
        <f ca="1">IFERROR(__xludf.DUMMYFUNCTION("""COMPUTED_VALUE"""),"Male")</f>
        <v>Male</v>
      </c>
      <c r="D1438" s="5"/>
      <c r="E1438" s="5"/>
      <c r="F1438" s="5"/>
    </row>
    <row r="1439" spans="1:6">
      <c r="A1439" s="5" t="str">
        <f ca="1">IFERROR(__xludf.DUMMYFUNCTION("""COMPUTED_VALUE"""),"20081118CACOO")</f>
        <v>20081118CACOO</v>
      </c>
      <c r="B1439" s="5" t="str">
        <f ca="1">IFERROR(__xludf.DUMMYFUNCTION("""COMPUTED_VALUE"""),"None")</f>
        <v>None</v>
      </c>
      <c r="C1439" s="5"/>
      <c r="D1439" s="5"/>
      <c r="E1439" s="5"/>
      <c r="F1439" s="5"/>
    </row>
    <row r="1440" spans="1:6">
      <c r="A1440" s="5" t="str">
        <f ca="1">IFERROR(__xludf.DUMMYFUNCTION("""COMPUTED_VALUE"""),"20081118CACEC")</f>
        <v>20081118CACEC</v>
      </c>
      <c r="B1440" s="5" t="str">
        <f ca="1">IFERROR(__xludf.DUMMYFUNCTION("""COMPUTED_VALUE"""),"Wounded")</f>
        <v>Wounded</v>
      </c>
      <c r="C1440" s="5" t="str">
        <f ca="1">IFERROR(__xludf.DUMMYFUNCTION("""COMPUTED_VALUE"""),"Male")</f>
        <v>Male</v>
      </c>
      <c r="D1440" s="5" t="str">
        <f ca="1">IFERROR(__xludf.DUMMYFUNCTION("""COMPUTED_VALUE"""),"Student")</f>
        <v>Student</v>
      </c>
      <c r="E1440" s="5">
        <f ca="1">IFERROR(__xludf.DUMMYFUNCTION("""COMPUTED_VALUE"""),19)</f>
        <v>19</v>
      </c>
      <c r="F1440" s="5"/>
    </row>
    <row r="1441" spans="1:6">
      <c r="A1441" s="5" t="str">
        <f ca="1">IFERROR(__xludf.DUMMYFUNCTION("""COMPUTED_VALUE"""),"20081115UTDES")</f>
        <v>20081115UTDES</v>
      </c>
      <c r="B1441" s="5" t="str">
        <f ca="1">IFERROR(__xludf.DUMMYFUNCTION("""COMPUTED_VALUE"""),"Fatal")</f>
        <v>Fatal</v>
      </c>
      <c r="C1441" s="5" t="str">
        <f ca="1">IFERROR(__xludf.DUMMYFUNCTION("""COMPUTED_VALUE"""),"Male")</f>
        <v>Male</v>
      </c>
      <c r="D1441" s="5" t="str">
        <f ca="1">IFERROR(__xludf.DUMMYFUNCTION("""COMPUTED_VALUE"""),"Student")</f>
        <v>Student</v>
      </c>
      <c r="E1441" s="5">
        <f ca="1">IFERROR(__xludf.DUMMYFUNCTION("""COMPUTED_VALUE"""),15)</f>
        <v>15</v>
      </c>
      <c r="F1441" s="5"/>
    </row>
    <row r="1442" spans="1:6">
      <c r="A1442" s="5" t="str">
        <f ca="1">IFERROR(__xludf.DUMMYFUNCTION("""COMPUTED_VALUE"""),"20081115COTHL")</f>
        <v>20081115COTHL</v>
      </c>
      <c r="B1442" s="5" t="str">
        <f ca="1">IFERROR(__xludf.DUMMYFUNCTION("""COMPUTED_VALUE"""),"Fatal")</f>
        <v>Fatal</v>
      </c>
      <c r="C1442" s="5" t="str">
        <f ca="1">IFERROR(__xludf.DUMMYFUNCTION("""COMPUTED_VALUE"""),"Male")</f>
        <v>Male</v>
      </c>
      <c r="D1442" s="5" t="str">
        <f ca="1">IFERROR(__xludf.DUMMYFUNCTION("""COMPUTED_VALUE"""),"No Relation")</f>
        <v>No Relation</v>
      </c>
      <c r="E1442" s="5">
        <f ca="1">IFERROR(__xludf.DUMMYFUNCTION("""COMPUTED_VALUE"""),23)</f>
        <v>23</v>
      </c>
      <c r="F1442" s="5"/>
    </row>
    <row r="1443" spans="1:6">
      <c r="A1443" s="5" t="str">
        <f ca="1">IFERROR(__xludf.DUMMYFUNCTION("""COMPUTED_VALUE"""),"20081112FLDIF")</f>
        <v>20081112FLDIF</v>
      </c>
      <c r="B1443" s="5" t="str">
        <f ca="1">IFERROR(__xludf.DUMMYFUNCTION("""COMPUTED_VALUE"""),"Fatal")</f>
        <v>Fatal</v>
      </c>
      <c r="C1443" s="5" t="str">
        <f ca="1">IFERROR(__xludf.DUMMYFUNCTION("""COMPUTED_VALUE"""),"Female")</f>
        <v>Female</v>
      </c>
      <c r="D1443" s="5" t="str">
        <f ca="1">IFERROR(__xludf.DUMMYFUNCTION("""COMPUTED_VALUE"""),"Student")</f>
        <v>Student</v>
      </c>
      <c r="E1443" s="5">
        <f ca="1">IFERROR(__xludf.DUMMYFUNCTION("""COMPUTED_VALUE"""),15)</f>
        <v>15</v>
      </c>
      <c r="F1443" s="5"/>
    </row>
    <row r="1444" spans="1:6">
      <c r="A1444" s="5" t="str">
        <f ca="1">IFERROR(__xludf.DUMMYFUNCTION("""COMPUTED_VALUE"""),"20081103CAELO")</f>
        <v>20081103CAELO</v>
      </c>
      <c r="B1444" s="5" t="str">
        <f ca="1">IFERROR(__xludf.DUMMYFUNCTION("""COMPUTED_VALUE"""),"None")</f>
        <v>None</v>
      </c>
      <c r="C1444" s="5"/>
      <c r="D1444" s="5"/>
      <c r="E1444" s="5"/>
      <c r="F1444" s="5"/>
    </row>
    <row r="1445" spans="1:6">
      <c r="A1445" s="5" t="str">
        <f ca="1">IFERROR(__xludf.DUMMYFUNCTION("""COMPUTED_VALUE"""),"20081103CABEB")</f>
        <v>20081103CABEB</v>
      </c>
      <c r="B1445" s="5" t="str">
        <f ca="1">IFERROR(__xludf.DUMMYFUNCTION("""COMPUTED_VALUE"""),"Fatal")</f>
        <v>Fatal</v>
      </c>
      <c r="C1445" s="5" t="str">
        <f ca="1">IFERROR(__xludf.DUMMYFUNCTION("""COMPUTED_VALUE"""),"Male")</f>
        <v>Male</v>
      </c>
      <c r="D1445" s="5"/>
      <c r="E1445" s="5">
        <f ca="1">IFERROR(__xludf.DUMMYFUNCTION("""COMPUTED_VALUE"""),18)</f>
        <v>18</v>
      </c>
      <c r="F1445" s="5"/>
    </row>
    <row r="1446" spans="1:6">
      <c r="A1446" s="5" t="str">
        <f ca="1">IFERROR(__xludf.DUMMYFUNCTION("""COMPUTED_VALUE"""),"20081031MESTS")</f>
        <v>20081031MESTS</v>
      </c>
      <c r="B1446" s="5" t="str">
        <f ca="1">IFERROR(__xludf.DUMMYFUNCTION("""COMPUTED_VALUE"""),"None")</f>
        <v>None</v>
      </c>
      <c r="C1446" s="5"/>
      <c r="D1446" s="5"/>
      <c r="E1446" s="5"/>
      <c r="F1446" s="5"/>
    </row>
    <row r="1447" spans="1:6">
      <c r="A1447" s="5" t="str">
        <f ca="1">IFERROR(__xludf.DUMMYFUNCTION("""COMPUTED_VALUE"""),"20081029CAELG")</f>
        <v>20081029CAELG</v>
      </c>
      <c r="B1447" s="5" t="str">
        <f ca="1">IFERROR(__xludf.DUMMYFUNCTION("""COMPUTED_VALUE"""),"Wounded")</f>
        <v>Wounded</v>
      </c>
      <c r="C1447" s="5" t="str">
        <f ca="1">IFERROR(__xludf.DUMMYFUNCTION("""COMPUTED_VALUE"""),"Female")</f>
        <v>Female</v>
      </c>
      <c r="D1447" s="5" t="str">
        <f ca="1">IFERROR(__xludf.DUMMYFUNCTION("""COMPUTED_VALUE"""),"Teacher")</f>
        <v>Teacher</v>
      </c>
      <c r="E1447" s="5" t="str">
        <f ca="1">IFERROR(__xludf.DUMMYFUNCTION("""COMPUTED_VALUE"""),"Adult")</f>
        <v>Adult</v>
      </c>
      <c r="F1447" s="5"/>
    </row>
    <row r="1448" spans="1:6">
      <c r="A1448" s="5" t="str">
        <f ca="1">IFERROR(__xludf.DUMMYFUNCTION("""COMPUTED_VALUE"""),"20081023ALPRP")</f>
        <v>20081023ALPRP</v>
      </c>
      <c r="B1448" s="5" t="str">
        <f ca="1">IFERROR(__xludf.DUMMYFUNCTION("""COMPUTED_VALUE"""),"Wounded")</f>
        <v>Wounded</v>
      </c>
      <c r="C1448" s="5" t="str">
        <f ca="1">IFERROR(__xludf.DUMMYFUNCTION("""COMPUTED_VALUE"""),"Female")</f>
        <v>Female</v>
      </c>
      <c r="D1448" s="5" t="str">
        <f ca="1">IFERROR(__xludf.DUMMYFUNCTION("""COMPUTED_VALUE"""),"Parent")</f>
        <v>Parent</v>
      </c>
      <c r="E1448" s="5">
        <f ca="1">IFERROR(__xludf.DUMMYFUNCTION("""COMPUTED_VALUE"""),43)</f>
        <v>43</v>
      </c>
      <c r="F1448" s="5"/>
    </row>
    <row r="1449" spans="1:6">
      <c r="A1449" s="5" t="str">
        <f ca="1">IFERROR(__xludf.DUMMYFUNCTION("""COMPUTED_VALUE"""),"20081020CAVAA")</f>
        <v>20081020CAVAA</v>
      </c>
      <c r="B1449" s="5" t="str">
        <f ca="1">IFERROR(__xludf.DUMMYFUNCTION("""COMPUTED_VALUE"""),"None")</f>
        <v>None</v>
      </c>
      <c r="C1449" s="5" t="str">
        <f ca="1">IFERROR(__xludf.DUMMYFUNCTION("""COMPUTED_VALUE"""),"Male")</f>
        <v>Male</v>
      </c>
      <c r="D1449" s="5" t="str">
        <f ca="1">IFERROR(__xludf.DUMMYFUNCTION("""COMPUTED_VALUE"""),"Student")</f>
        <v>Student</v>
      </c>
      <c r="E1449" s="5">
        <f ca="1">IFERROR(__xludf.DUMMYFUNCTION("""COMPUTED_VALUE"""),14)</f>
        <v>14</v>
      </c>
      <c r="F1449" s="5" t="str">
        <f ca="1">IFERROR(__xludf.DUMMYFUNCTION("""COMPUTED_VALUE"""),"White")</f>
        <v>White</v>
      </c>
    </row>
    <row r="1450" spans="1:6">
      <c r="A1450" s="5" t="str">
        <f ca="1">IFERROR(__xludf.DUMMYFUNCTION("""COMPUTED_VALUE"""),"20081016MIHED")</f>
        <v>20081016MIHED</v>
      </c>
      <c r="B1450" s="5" t="str">
        <f ca="1">IFERROR(__xludf.DUMMYFUNCTION("""COMPUTED_VALUE"""),"Fatal")</f>
        <v>Fatal</v>
      </c>
      <c r="C1450" s="5" t="str">
        <f ca="1">IFERROR(__xludf.DUMMYFUNCTION("""COMPUTED_VALUE"""),"Male")</f>
        <v>Male</v>
      </c>
      <c r="D1450" s="5" t="str">
        <f ca="1">IFERROR(__xludf.DUMMYFUNCTION("""COMPUTED_VALUE"""),"Student")</f>
        <v>Student</v>
      </c>
      <c r="E1450" s="5">
        <f ca="1">IFERROR(__xludf.DUMMYFUNCTION("""COMPUTED_VALUE"""),16)</f>
        <v>16</v>
      </c>
      <c r="F1450" s="5"/>
    </row>
    <row r="1451" spans="1:6">
      <c r="A1451" s="5" t="str">
        <f ca="1">IFERROR(__xludf.DUMMYFUNCTION("""COMPUTED_VALUE"""),"20081016MIHED")</f>
        <v>20081016MIHED</v>
      </c>
      <c r="B1451" s="5" t="str">
        <f ca="1">IFERROR(__xludf.DUMMYFUNCTION("""COMPUTED_VALUE"""),"Wounded")</f>
        <v>Wounded</v>
      </c>
      <c r="C1451" s="5" t="str">
        <f ca="1">IFERROR(__xludf.DUMMYFUNCTION("""COMPUTED_VALUE"""),"Female")</f>
        <v>Female</v>
      </c>
      <c r="D1451" s="5" t="str">
        <f ca="1">IFERROR(__xludf.DUMMYFUNCTION("""COMPUTED_VALUE"""),"Student")</f>
        <v>Student</v>
      </c>
      <c r="E1451" s="5">
        <f ca="1">IFERROR(__xludf.DUMMYFUNCTION("""COMPUTED_VALUE"""),15)</f>
        <v>15</v>
      </c>
      <c r="F1451" s="5"/>
    </row>
    <row r="1452" spans="1:6">
      <c r="A1452" s="5" t="str">
        <f ca="1">IFERROR(__xludf.DUMMYFUNCTION("""COMPUTED_VALUE"""),"20081016MIHED")</f>
        <v>20081016MIHED</v>
      </c>
      <c r="B1452" s="5" t="str">
        <f ca="1">IFERROR(__xludf.DUMMYFUNCTION("""COMPUTED_VALUE"""),"Wounded")</f>
        <v>Wounded</v>
      </c>
      <c r="C1452" s="5" t="str">
        <f ca="1">IFERROR(__xludf.DUMMYFUNCTION("""COMPUTED_VALUE"""),"Male")</f>
        <v>Male</v>
      </c>
      <c r="D1452" s="5" t="str">
        <f ca="1">IFERROR(__xludf.DUMMYFUNCTION("""COMPUTED_VALUE"""),"Student")</f>
        <v>Student</v>
      </c>
      <c r="E1452" s="5">
        <f ca="1">IFERROR(__xludf.DUMMYFUNCTION("""COMPUTED_VALUE"""),16)</f>
        <v>16</v>
      </c>
      <c r="F1452" s="5"/>
    </row>
    <row r="1453" spans="1:6">
      <c r="A1453" s="5" t="str">
        <f ca="1">IFERROR(__xludf.DUMMYFUNCTION("""COMPUTED_VALUE"""),"20081016MIHED")</f>
        <v>20081016MIHED</v>
      </c>
      <c r="B1453" s="5" t="str">
        <f ca="1">IFERROR(__xludf.DUMMYFUNCTION("""COMPUTED_VALUE"""),"Wounded")</f>
        <v>Wounded</v>
      </c>
      <c r="C1453" s="5" t="str">
        <f ca="1">IFERROR(__xludf.DUMMYFUNCTION("""COMPUTED_VALUE"""),"Male")</f>
        <v>Male</v>
      </c>
      <c r="D1453" s="5" t="str">
        <f ca="1">IFERROR(__xludf.DUMMYFUNCTION("""COMPUTED_VALUE"""),"Former Student")</f>
        <v>Former Student</v>
      </c>
      <c r="E1453" s="5">
        <f ca="1">IFERROR(__xludf.DUMMYFUNCTION("""COMPUTED_VALUE"""),16)</f>
        <v>16</v>
      </c>
      <c r="F1453" s="5"/>
    </row>
    <row r="1454" spans="1:6">
      <c r="A1454" s="5" t="str">
        <f ca="1">IFERROR(__xludf.DUMMYFUNCTION("""COMPUTED_VALUE"""),"20080919CAGEA")</f>
        <v>20080919CAGEA</v>
      </c>
      <c r="B1454" s="5" t="str">
        <f ca="1">IFERROR(__xludf.DUMMYFUNCTION("""COMPUTED_VALUE"""),"Wounded")</f>
        <v>Wounded</v>
      </c>
      <c r="C1454" s="5" t="str">
        <f ca="1">IFERROR(__xludf.DUMMYFUNCTION("""COMPUTED_VALUE"""),"Female")</f>
        <v>Female</v>
      </c>
      <c r="D1454" s="5" t="str">
        <f ca="1">IFERROR(__xludf.DUMMYFUNCTION("""COMPUTED_VALUE"""),"Nonstudent Using Athletic Facilities/Attending Game")</f>
        <v>Nonstudent Using Athletic Facilities/Attending Game</v>
      </c>
      <c r="E1454" s="5">
        <f ca="1">IFERROR(__xludf.DUMMYFUNCTION("""COMPUTED_VALUE"""),12)</f>
        <v>12</v>
      </c>
      <c r="F1454" s="5"/>
    </row>
    <row r="1455" spans="1:6">
      <c r="A1455" s="5" t="str">
        <f ca="1">IFERROR(__xludf.DUMMYFUNCTION("""COMPUTED_VALUE"""),"20080919CAGEA")</f>
        <v>20080919CAGEA</v>
      </c>
      <c r="B1455" s="5" t="str">
        <f ca="1">IFERROR(__xludf.DUMMYFUNCTION("""COMPUTED_VALUE"""),"Wounded")</f>
        <v>Wounded</v>
      </c>
      <c r="C1455" s="5" t="str">
        <f ca="1">IFERROR(__xludf.DUMMYFUNCTION("""COMPUTED_VALUE"""),"Male")</f>
        <v>Male</v>
      </c>
      <c r="D1455" s="5" t="str">
        <f ca="1">IFERROR(__xludf.DUMMYFUNCTION("""COMPUTED_VALUE"""),"Nonstudent Using Athletic Facilities/Attending Game")</f>
        <v>Nonstudent Using Athletic Facilities/Attending Game</v>
      </c>
      <c r="E1455" s="5">
        <f ca="1">IFERROR(__xludf.DUMMYFUNCTION("""COMPUTED_VALUE"""),19)</f>
        <v>19</v>
      </c>
      <c r="F1455" s="5"/>
    </row>
    <row r="1456" spans="1:6">
      <c r="A1456" s="5" t="str">
        <f ca="1">IFERROR(__xludf.DUMMYFUNCTION("""COMPUTED_VALUE"""),"20080915CAMIS")</f>
        <v>20080915CAMIS</v>
      </c>
      <c r="B1456" s="5" t="str">
        <f ca="1">IFERROR(__xludf.DUMMYFUNCTION("""COMPUTED_VALUE"""),"None")</f>
        <v>None</v>
      </c>
      <c r="C1456" s="5" t="str">
        <f ca="1">IFERROR(__xludf.DUMMYFUNCTION("""COMPUTED_VALUE"""),"Male")</f>
        <v>Male</v>
      </c>
      <c r="D1456" s="5" t="str">
        <f ca="1">IFERROR(__xludf.DUMMYFUNCTION("""COMPUTED_VALUE"""),"Student")</f>
        <v>Student</v>
      </c>
      <c r="E1456" s="5">
        <f ca="1">IFERROR(__xludf.DUMMYFUNCTION("""COMPUTED_VALUE"""),17)</f>
        <v>17</v>
      </c>
      <c r="F1456" s="5"/>
    </row>
    <row r="1457" spans="1:6">
      <c r="A1457" s="5" t="str">
        <f ca="1">IFERROR(__xludf.DUMMYFUNCTION("""COMPUTED_VALUE"""),"20080902OHSOW")</f>
        <v>20080902OHSOW</v>
      </c>
      <c r="B1457" s="5" t="str">
        <f ca="1">IFERROR(__xludf.DUMMYFUNCTION("""COMPUTED_VALUE"""),"None")</f>
        <v>None</v>
      </c>
      <c r="C1457" s="5"/>
      <c r="D1457" s="5"/>
      <c r="E1457" s="5"/>
      <c r="F1457" s="5"/>
    </row>
    <row r="1458" spans="1:6">
      <c r="A1458" s="5" t="str">
        <f ca="1">IFERROR(__xludf.DUMMYFUNCTION("""COMPUTED_VALUE"""),"20080821TNCEK")</f>
        <v>20080821TNCEK</v>
      </c>
      <c r="B1458" s="5" t="str">
        <f ca="1">IFERROR(__xludf.DUMMYFUNCTION("""COMPUTED_VALUE"""),"Fatal")</f>
        <v>Fatal</v>
      </c>
      <c r="C1458" s="5" t="str">
        <f ca="1">IFERROR(__xludf.DUMMYFUNCTION("""COMPUTED_VALUE"""),"Male")</f>
        <v>Male</v>
      </c>
      <c r="D1458" s="5" t="str">
        <f ca="1">IFERROR(__xludf.DUMMYFUNCTION("""COMPUTED_VALUE"""),"Student")</f>
        <v>Student</v>
      </c>
      <c r="E1458" s="5">
        <f ca="1">IFERROR(__xludf.DUMMYFUNCTION("""COMPUTED_VALUE"""),15)</f>
        <v>15</v>
      </c>
      <c r="F1458" s="5"/>
    </row>
    <row r="1459" spans="1:6">
      <c r="A1459" s="5" t="str">
        <f ca="1">IFERROR(__xludf.DUMMYFUNCTION("""COMPUTED_VALUE"""),"20080814WALAF")</f>
        <v>20080814WALAF</v>
      </c>
      <c r="B1459" s="5" t="str">
        <f ca="1">IFERROR(__xludf.DUMMYFUNCTION("""COMPUTED_VALUE"""),"Fatal")</f>
        <v>Fatal</v>
      </c>
      <c r="C1459" s="5" t="str">
        <f ca="1">IFERROR(__xludf.DUMMYFUNCTION("""COMPUTED_VALUE"""),"Male")</f>
        <v>Male</v>
      </c>
      <c r="D1459" s="5"/>
      <c r="E1459" s="5">
        <f ca="1">IFERROR(__xludf.DUMMYFUNCTION("""COMPUTED_VALUE"""),26)</f>
        <v>26</v>
      </c>
      <c r="F1459" s="5"/>
    </row>
    <row r="1460" spans="1:6">
      <c r="A1460" s="5" t="str">
        <f ca="1">IFERROR(__xludf.DUMMYFUNCTION("""COMPUTED_VALUE"""),"20080811WAWAK")</f>
        <v>20080811WAWAK</v>
      </c>
      <c r="B1460" s="5" t="str">
        <f ca="1">IFERROR(__xludf.DUMMYFUNCTION("""COMPUTED_VALUE"""),"None")</f>
        <v>None</v>
      </c>
      <c r="C1460" s="5" t="str">
        <f ca="1">IFERROR(__xludf.DUMMYFUNCTION("""COMPUTED_VALUE"""),"Male")</f>
        <v>Male</v>
      </c>
      <c r="D1460" s="5" t="str">
        <f ca="1">IFERROR(__xludf.DUMMYFUNCTION("""COMPUTED_VALUE"""),"Student")</f>
        <v>Student</v>
      </c>
      <c r="E1460" s="5" t="str">
        <f ca="1">IFERROR(__xludf.DUMMYFUNCTION("""COMPUTED_VALUE"""),"Child")</f>
        <v>Child</v>
      </c>
      <c r="F1460" s="5"/>
    </row>
    <row r="1461" spans="1:6">
      <c r="A1461" s="5" t="str">
        <f ca="1">IFERROR(__xludf.DUMMYFUNCTION("""COMPUTED_VALUE"""),"20080516LAMAT")</f>
        <v>20080516LAMAT</v>
      </c>
      <c r="B1461" s="5" t="str">
        <f ca="1">IFERROR(__xludf.DUMMYFUNCTION("""COMPUTED_VALUE"""),"None")</f>
        <v>None</v>
      </c>
      <c r="C1461" s="5" t="str">
        <f ca="1">IFERROR(__xludf.DUMMYFUNCTION("""COMPUTED_VALUE"""),"Male")</f>
        <v>Male</v>
      </c>
      <c r="D1461" s="5" t="str">
        <f ca="1">IFERROR(__xludf.DUMMYFUNCTION("""COMPUTED_VALUE"""),"Student")</f>
        <v>Student</v>
      </c>
      <c r="E1461" s="5">
        <f ca="1">IFERROR(__xludf.DUMMYFUNCTION("""COMPUTED_VALUE"""),14)</f>
        <v>14</v>
      </c>
      <c r="F1461" s="5"/>
    </row>
    <row r="1462" spans="1:6">
      <c r="A1462" s="5" t="str">
        <f ca="1">IFERROR(__xludf.DUMMYFUNCTION("""COMPUTED_VALUE"""),"20080416CAROF")</f>
        <v>20080416CAROF</v>
      </c>
      <c r="B1462" s="5" t="str">
        <f ca="1">IFERROR(__xludf.DUMMYFUNCTION("""COMPUTED_VALUE"""),"Fatal")</f>
        <v>Fatal</v>
      </c>
      <c r="C1462" s="5" t="str">
        <f ca="1">IFERROR(__xludf.DUMMYFUNCTION("""COMPUTED_VALUE"""),"Male")</f>
        <v>Male</v>
      </c>
      <c r="D1462" s="5" t="str">
        <f ca="1">IFERROR(__xludf.DUMMYFUNCTION("""COMPUTED_VALUE"""),"Student")</f>
        <v>Student</v>
      </c>
      <c r="E1462" s="5">
        <f ca="1">IFERROR(__xludf.DUMMYFUNCTION("""COMPUTED_VALUE"""),17)</f>
        <v>17</v>
      </c>
      <c r="F1462" s="5" t="str">
        <f ca="1">IFERROR(__xludf.DUMMYFUNCTION("""COMPUTED_VALUE"""),"Hispanic")</f>
        <v>Hispanic</v>
      </c>
    </row>
    <row r="1463" spans="1:6">
      <c r="A1463" s="5" t="str">
        <f ca="1">IFERROR(__xludf.DUMMYFUNCTION("""COMPUTED_VALUE"""),"20080306ALDAM")</f>
        <v>20080306ALDAM</v>
      </c>
      <c r="B1463" s="5" t="str">
        <f ca="1">IFERROR(__xludf.DUMMYFUNCTION("""COMPUTED_VALUE"""),"None")</f>
        <v>None</v>
      </c>
      <c r="C1463" s="5" t="str">
        <f ca="1">IFERROR(__xludf.DUMMYFUNCTION("""COMPUTED_VALUE"""),"Male")</f>
        <v>Male</v>
      </c>
      <c r="D1463" s="5" t="str">
        <f ca="1">IFERROR(__xludf.DUMMYFUNCTION("""COMPUTED_VALUE"""),"Student")</f>
        <v>Student</v>
      </c>
      <c r="E1463" s="5">
        <f ca="1">IFERROR(__xludf.DUMMYFUNCTION("""COMPUTED_VALUE"""),18)</f>
        <v>18</v>
      </c>
      <c r="F1463" s="5"/>
    </row>
    <row r="1464" spans="1:6">
      <c r="A1464" s="5" t="str">
        <f ca="1">IFERROR(__xludf.DUMMYFUNCTION("""COMPUTED_VALUE"""),"20080214CAEOO")</f>
        <v>20080214CAEOO</v>
      </c>
      <c r="B1464" s="5" t="str">
        <f ca="1">IFERROR(__xludf.DUMMYFUNCTION("""COMPUTED_VALUE"""),"Fatal")</f>
        <v>Fatal</v>
      </c>
      <c r="C1464" s="5" t="str">
        <f ca="1">IFERROR(__xludf.DUMMYFUNCTION("""COMPUTED_VALUE"""),"Male")</f>
        <v>Male</v>
      </c>
      <c r="D1464" s="5" t="str">
        <f ca="1">IFERROR(__xludf.DUMMYFUNCTION("""COMPUTED_VALUE"""),"Student")</f>
        <v>Student</v>
      </c>
      <c r="E1464" s="5">
        <f ca="1">IFERROR(__xludf.DUMMYFUNCTION("""COMPUTED_VALUE"""),14)</f>
        <v>14</v>
      </c>
      <c r="F1464" s="5"/>
    </row>
    <row r="1465" spans="1:6">
      <c r="A1465" s="5" t="str">
        <f ca="1">IFERROR(__xludf.DUMMYFUNCTION("""COMPUTED_VALUE"""),"20080211TNMIM")</f>
        <v>20080211TNMIM</v>
      </c>
      <c r="B1465" s="5" t="str">
        <f ca="1">IFERROR(__xludf.DUMMYFUNCTION("""COMPUTED_VALUE"""),"Wounded")</f>
        <v>Wounded</v>
      </c>
      <c r="C1465" s="5" t="str">
        <f ca="1">IFERROR(__xludf.DUMMYFUNCTION("""COMPUTED_VALUE"""),"Male")</f>
        <v>Male</v>
      </c>
      <c r="D1465" s="5" t="str">
        <f ca="1">IFERROR(__xludf.DUMMYFUNCTION("""COMPUTED_VALUE"""),"Student")</f>
        <v>Student</v>
      </c>
      <c r="E1465" s="5">
        <f ca="1">IFERROR(__xludf.DUMMYFUNCTION("""COMPUTED_VALUE"""),19)</f>
        <v>19</v>
      </c>
      <c r="F1465" s="5"/>
    </row>
    <row r="1466" spans="1:6">
      <c r="A1466" s="5" t="str">
        <f ca="1">IFERROR(__xludf.DUMMYFUNCTION("""COMPUTED_VALUE"""),"20080204TNHAM")</f>
        <v>20080204TNHAM</v>
      </c>
      <c r="B1466" s="5" t="str">
        <f ca="1">IFERROR(__xludf.DUMMYFUNCTION("""COMPUTED_VALUE"""),"Wounded")</f>
        <v>Wounded</v>
      </c>
      <c r="C1466" s="5" t="str">
        <f ca="1">IFERROR(__xludf.DUMMYFUNCTION("""COMPUTED_VALUE"""),"Male")</f>
        <v>Male</v>
      </c>
      <c r="D1466" s="5" t="str">
        <f ca="1">IFERROR(__xludf.DUMMYFUNCTION("""COMPUTED_VALUE"""),"Student")</f>
        <v>Student</v>
      </c>
      <c r="E1466" s="5" t="str">
        <f ca="1">IFERROR(__xludf.DUMMYFUNCTION("""COMPUTED_VALUE"""),"Teen")</f>
        <v>Teen</v>
      </c>
      <c r="F1466" s="5"/>
    </row>
    <row r="1467" spans="1:6">
      <c r="A1467" s="5" t="str">
        <f ca="1">IFERROR(__xludf.DUMMYFUNCTION("""COMPUTED_VALUE"""),"20071221CABAU")</f>
        <v>20071221CABAU</v>
      </c>
      <c r="B1467" s="5" t="str">
        <f ca="1">IFERROR(__xludf.DUMMYFUNCTION("""COMPUTED_VALUE"""),"Fatal")</f>
        <v>Fatal</v>
      </c>
      <c r="C1467" s="5" t="str">
        <f ca="1">IFERROR(__xludf.DUMMYFUNCTION("""COMPUTED_VALUE"""),"Male")</f>
        <v>Male</v>
      </c>
      <c r="D1467" s="5" t="str">
        <f ca="1">IFERROR(__xludf.DUMMYFUNCTION("""COMPUTED_VALUE"""),"Student")</f>
        <v>Student</v>
      </c>
      <c r="E1467" s="5">
        <f ca="1">IFERROR(__xludf.DUMMYFUNCTION("""COMPUTED_VALUE"""),14)</f>
        <v>14</v>
      </c>
      <c r="F1467" s="5" t="str">
        <f ca="1">IFERROR(__xludf.DUMMYFUNCTION("""COMPUTED_VALUE"""),"Black")</f>
        <v>Black</v>
      </c>
    </row>
    <row r="1468" spans="1:6">
      <c r="A1468" s="5" t="str">
        <f ca="1">IFERROR(__xludf.DUMMYFUNCTION("""COMPUTED_VALUE"""),"20071126NYHOH")</f>
        <v>20071126NYHOH</v>
      </c>
      <c r="B1468" s="5" t="str">
        <f ca="1">IFERROR(__xludf.DUMMYFUNCTION("""COMPUTED_VALUE"""),"None")</f>
        <v>None</v>
      </c>
      <c r="C1468" s="5"/>
      <c r="D1468" s="5"/>
      <c r="E1468" s="5"/>
      <c r="F1468" s="5"/>
    </row>
    <row r="1469" spans="1:6">
      <c r="A1469" s="5" t="str">
        <f ca="1">IFERROR(__xludf.DUMMYFUNCTION("""COMPUTED_VALUE"""),"20071105LAJOR")</f>
        <v>20071105LAJOR</v>
      </c>
      <c r="B1469" s="5" t="str">
        <f ca="1">IFERROR(__xludf.DUMMYFUNCTION("""COMPUTED_VALUE"""),"None")</f>
        <v>None</v>
      </c>
      <c r="C1469" s="5" t="str">
        <f ca="1">IFERROR(__xludf.DUMMYFUNCTION("""COMPUTED_VALUE"""),"Male")</f>
        <v>Male</v>
      </c>
      <c r="D1469" s="5" t="str">
        <f ca="1">IFERROR(__xludf.DUMMYFUNCTION("""COMPUTED_VALUE"""),"Student")</f>
        <v>Student</v>
      </c>
      <c r="E1469" s="5">
        <f ca="1">IFERROR(__xludf.DUMMYFUNCTION("""COMPUTED_VALUE"""),13)</f>
        <v>13</v>
      </c>
      <c r="F1469" s="5"/>
    </row>
    <row r="1470" spans="1:6">
      <c r="A1470" s="5" t="str">
        <f ca="1">IFERROR(__xludf.DUMMYFUNCTION("""COMPUTED_VALUE"""),"20071024TNMAM")</f>
        <v>20071024TNMAM</v>
      </c>
      <c r="B1470" s="5" t="str">
        <f ca="1">IFERROR(__xludf.DUMMYFUNCTION("""COMPUTED_VALUE"""),"Wounded")</f>
        <v>Wounded</v>
      </c>
      <c r="C1470" s="5" t="str">
        <f ca="1">IFERROR(__xludf.DUMMYFUNCTION("""COMPUTED_VALUE"""),"Male")</f>
        <v>Male</v>
      </c>
      <c r="D1470" s="5" t="str">
        <f ca="1">IFERROR(__xludf.DUMMYFUNCTION("""COMPUTED_VALUE"""),"Student")</f>
        <v>Student</v>
      </c>
      <c r="E1470" s="5">
        <f ca="1">IFERROR(__xludf.DUMMYFUNCTION("""COMPUTED_VALUE"""),16)</f>
        <v>16</v>
      </c>
      <c r="F1470" s="5"/>
    </row>
    <row r="1471" spans="1:6">
      <c r="A1471" s="5" t="str">
        <f ca="1">IFERROR(__xludf.DUMMYFUNCTION("""COMPUTED_VALUE"""),"20071010OHSUC")</f>
        <v>20071010OHSUC</v>
      </c>
      <c r="B1471" s="5" t="str">
        <f ca="1">IFERROR(__xludf.DUMMYFUNCTION("""COMPUTED_VALUE"""),"Wounded")</f>
        <v>Wounded</v>
      </c>
      <c r="C1471" s="5" t="str">
        <f ca="1">IFERROR(__xludf.DUMMYFUNCTION("""COMPUTED_VALUE"""),"Male")</f>
        <v>Male</v>
      </c>
      <c r="D1471" s="5" t="str">
        <f ca="1">IFERROR(__xludf.DUMMYFUNCTION("""COMPUTED_VALUE"""),"Teacher")</f>
        <v>Teacher</v>
      </c>
      <c r="E1471" s="5">
        <f ca="1">IFERROR(__xludf.DUMMYFUNCTION("""COMPUTED_VALUE"""),57)</f>
        <v>57</v>
      </c>
      <c r="F1471" s="5"/>
    </row>
    <row r="1472" spans="1:6">
      <c r="A1472" s="5" t="str">
        <f ca="1">IFERROR(__xludf.DUMMYFUNCTION("""COMPUTED_VALUE"""),"20071010OHSUC")</f>
        <v>20071010OHSUC</v>
      </c>
      <c r="B1472" s="5" t="str">
        <f ca="1">IFERROR(__xludf.DUMMYFUNCTION("""COMPUTED_VALUE"""),"Wounded")</f>
        <v>Wounded</v>
      </c>
      <c r="C1472" s="5" t="str">
        <f ca="1">IFERROR(__xludf.DUMMYFUNCTION("""COMPUTED_VALUE"""),"Male")</f>
        <v>Male</v>
      </c>
      <c r="D1472" s="5" t="str">
        <f ca="1">IFERROR(__xludf.DUMMYFUNCTION("""COMPUTED_VALUE"""),"Teacher")</f>
        <v>Teacher</v>
      </c>
      <c r="E1472" s="5">
        <f ca="1">IFERROR(__xludf.DUMMYFUNCTION("""COMPUTED_VALUE"""),42)</f>
        <v>42</v>
      </c>
      <c r="F1472" s="5"/>
    </row>
    <row r="1473" spans="1:6">
      <c r="A1473" s="5" t="str">
        <f ca="1">IFERROR(__xludf.DUMMYFUNCTION("""COMPUTED_VALUE"""),"20071010OHSUC")</f>
        <v>20071010OHSUC</v>
      </c>
      <c r="B1473" s="5" t="str">
        <f ca="1">IFERROR(__xludf.DUMMYFUNCTION("""COMPUTED_VALUE"""),"Wounded")</f>
        <v>Wounded</v>
      </c>
      <c r="C1473" s="5" t="str">
        <f ca="1">IFERROR(__xludf.DUMMYFUNCTION("""COMPUTED_VALUE"""),"Male")</f>
        <v>Male</v>
      </c>
      <c r="D1473" s="5" t="str">
        <f ca="1">IFERROR(__xludf.DUMMYFUNCTION("""COMPUTED_VALUE"""),"Student")</f>
        <v>Student</v>
      </c>
      <c r="E1473" s="5">
        <f ca="1">IFERROR(__xludf.DUMMYFUNCTION("""COMPUTED_VALUE"""),15)</f>
        <v>15</v>
      </c>
      <c r="F1473" s="5"/>
    </row>
    <row r="1474" spans="1:6">
      <c r="A1474" s="5" t="str">
        <f ca="1">IFERROR(__xludf.DUMMYFUNCTION("""COMPUTED_VALUE"""),"20071010OHSUC")</f>
        <v>20071010OHSUC</v>
      </c>
      <c r="B1474" s="5" t="str">
        <f ca="1">IFERROR(__xludf.DUMMYFUNCTION("""COMPUTED_VALUE"""),"Wounded")</f>
        <v>Wounded</v>
      </c>
      <c r="C1474" s="5" t="str">
        <f ca="1">IFERROR(__xludf.DUMMYFUNCTION("""COMPUTED_VALUE"""),"Female")</f>
        <v>Female</v>
      </c>
      <c r="D1474" s="5" t="str">
        <f ca="1">IFERROR(__xludf.DUMMYFUNCTION("""COMPUTED_VALUE"""),"Student")</f>
        <v>Student</v>
      </c>
      <c r="E1474" s="5">
        <f ca="1">IFERROR(__xludf.DUMMYFUNCTION("""COMPUTED_VALUE"""),15)</f>
        <v>15</v>
      </c>
      <c r="F1474" s="5"/>
    </row>
    <row r="1475" spans="1:6">
      <c r="A1475" s="5" t="str">
        <f ca="1">IFERROR(__xludf.DUMMYFUNCTION("""COMPUTED_VALUE"""),"20071001CTPLM")</f>
        <v>20071001CTPLM</v>
      </c>
      <c r="B1475" s="5" t="str">
        <f ca="1">IFERROR(__xludf.DUMMYFUNCTION("""COMPUTED_VALUE"""),"Wounded")</f>
        <v>Wounded</v>
      </c>
      <c r="C1475" s="5" t="str">
        <f ca="1">IFERROR(__xludf.DUMMYFUNCTION("""COMPUTED_VALUE"""),"Male")</f>
        <v>Male</v>
      </c>
      <c r="D1475" s="5" t="str">
        <f ca="1">IFERROR(__xludf.DUMMYFUNCTION("""COMPUTED_VALUE"""),"Student")</f>
        <v>Student</v>
      </c>
      <c r="E1475" s="5">
        <f ca="1">IFERROR(__xludf.DUMMYFUNCTION("""COMPUTED_VALUE"""),16)</f>
        <v>16</v>
      </c>
      <c r="F1475" s="5"/>
    </row>
    <row r="1476" spans="1:6">
      <c r="A1476" s="5" t="str">
        <f ca="1">IFERROR(__xludf.DUMMYFUNCTION("""COMPUTED_VALUE"""),"20070930AZSSP")</f>
        <v>20070930AZSSP</v>
      </c>
      <c r="B1476" s="5" t="str">
        <f ca="1">IFERROR(__xludf.DUMMYFUNCTION("""COMPUTED_VALUE"""),"Wounded")</f>
        <v>Wounded</v>
      </c>
      <c r="C1476" s="5" t="str">
        <f ca="1">IFERROR(__xludf.DUMMYFUNCTION("""COMPUTED_VALUE"""),"Male")</f>
        <v>Male</v>
      </c>
      <c r="D1476" s="5"/>
      <c r="E1476" s="5"/>
      <c r="F1476" s="5"/>
    </row>
    <row r="1477" spans="1:6">
      <c r="A1477" s="5" t="str">
        <f ca="1">IFERROR(__xludf.DUMMYFUNCTION("""COMPUTED_VALUE"""),"20070930AZSSP")</f>
        <v>20070930AZSSP</v>
      </c>
      <c r="B1477" s="5" t="str">
        <f ca="1">IFERROR(__xludf.DUMMYFUNCTION("""COMPUTED_VALUE"""),"Wounded")</f>
        <v>Wounded</v>
      </c>
      <c r="C1477" s="5" t="str">
        <f ca="1">IFERROR(__xludf.DUMMYFUNCTION("""COMPUTED_VALUE"""),"Female")</f>
        <v>Female</v>
      </c>
      <c r="D1477" s="5"/>
      <c r="E1477" s="5"/>
      <c r="F1477" s="5"/>
    </row>
    <row r="1478" spans="1:6">
      <c r="A1478" s="5" t="str">
        <f ca="1">IFERROR(__xludf.DUMMYFUNCTION("""COMPUTED_VALUE"""),"20070928CALAO")</f>
        <v>20070928CALAO</v>
      </c>
      <c r="B1478" s="5" t="str">
        <f ca="1">IFERROR(__xludf.DUMMYFUNCTION("""COMPUTED_VALUE"""),"None")</f>
        <v>None</v>
      </c>
      <c r="C1478" s="5"/>
      <c r="D1478" s="5"/>
      <c r="E1478" s="5"/>
      <c r="F1478" s="5"/>
    </row>
    <row r="1479" spans="1:6">
      <c r="A1479" s="5" t="str">
        <f ca="1">IFERROR(__xludf.DUMMYFUNCTION("""COMPUTED_VALUE"""),"20070804NJMON")</f>
        <v>20070804NJMON</v>
      </c>
      <c r="B1479" s="5" t="str">
        <f ca="1">IFERROR(__xludf.DUMMYFUNCTION("""COMPUTED_VALUE"""),"Fatal")</f>
        <v>Fatal</v>
      </c>
      <c r="C1479" s="5" t="str">
        <f ca="1">IFERROR(__xludf.DUMMYFUNCTION("""COMPUTED_VALUE"""),"Male")</f>
        <v>Male</v>
      </c>
      <c r="D1479" s="5" t="str">
        <f ca="1">IFERROR(__xludf.DUMMYFUNCTION("""COMPUTED_VALUE"""),"No Relation")</f>
        <v>No Relation</v>
      </c>
      <c r="E1479" s="5">
        <f ca="1">IFERROR(__xludf.DUMMYFUNCTION("""COMPUTED_VALUE"""),17)</f>
        <v>17</v>
      </c>
      <c r="F1479" s="5"/>
    </row>
    <row r="1480" spans="1:6">
      <c r="A1480" s="5" t="str">
        <f ca="1">IFERROR(__xludf.DUMMYFUNCTION("""COMPUTED_VALUE"""),"20070804NJMON")</f>
        <v>20070804NJMON</v>
      </c>
      <c r="B1480" s="5" t="str">
        <f ca="1">IFERROR(__xludf.DUMMYFUNCTION("""COMPUTED_VALUE"""),"Wounded")</f>
        <v>Wounded</v>
      </c>
      <c r="C1480" s="5" t="str">
        <f ca="1">IFERROR(__xludf.DUMMYFUNCTION("""COMPUTED_VALUE"""),"Male")</f>
        <v>Male</v>
      </c>
      <c r="D1480" s="5" t="str">
        <f ca="1">IFERROR(__xludf.DUMMYFUNCTION("""COMPUTED_VALUE"""),"No Relation")</f>
        <v>No Relation</v>
      </c>
      <c r="E1480" s="5">
        <f ca="1">IFERROR(__xludf.DUMMYFUNCTION("""COMPUTED_VALUE"""),15)</f>
        <v>15</v>
      </c>
      <c r="F1480" s="5"/>
    </row>
    <row r="1481" spans="1:6">
      <c r="A1481" s="5" t="str">
        <f ca="1">IFERROR(__xludf.DUMMYFUNCTION("""COMPUTED_VALUE"""),"20070804NJMON")</f>
        <v>20070804NJMON</v>
      </c>
      <c r="B1481" s="5" t="str">
        <f ca="1">IFERROR(__xludf.DUMMYFUNCTION("""COMPUTED_VALUE"""),"Fatal")</f>
        <v>Fatal</v>
      </c>
      <c r="C1481" s="5" t="str">
        <f ca="1">IFERROR(__xludf.DUMMYFUNCTION("""COMPUTED_VALUE"""),"Male")</f>
        <v>Male</v>
      </c>
      <c r="D1481" s="5" t="str">
        <f ca="1">IFERROR(__xludf.DUMMYFUNCTION("""COMPUTED_VALUE"""),"No Relation")</f>
        <v>No Relation</v>
      </c>
      <c r="E1481" s="5">
        <f ca="1">IFERROR(__xludf.DUMMYFUNCTION("""COMPUTED_VALUE"""),18)</f>
        <v>18</v>
      </c>
      <c r="F1481" s="5"/>
    </row>
    <row r="1482" spans="1:6">
      <c r="A1482" s="5" t="str">
        <f ca="1">IFERROR(__xludf.DUMMYFUNCTION("""COMPUTED_VALUE"""),"20070804NJMON")</f>
        <v>20070804NJMON</v>
      </c>
      <c r="B1482" s="5" t="str">
        <f ca="1">IFERROR(__xludf.DUMMYFUNCTION("""COMPUTED_VALUE"""),"Fatal")</f>
        <v>Fatal</v>
      </c>
      <c r="C1482" s="5" t="str">
        <f ca="1">IFERROR(__xludf.DUMMYFUNCTION("""COMPUTED_VALUE"""),"Male")</f>
        <v>Male</v>
      </c>
      <c r="D1482" s="5" t="str">
        <f ca="1">IFERROR(__xludf.DUMMYFUNCTION("""COMPUTED_VALUE"""),"No Relation")</f>
        <v>No Relation</v>
      </c>
      <c r="E1482" s="5">
        <f ca="1">IFERROR(__xludf.DUMMYFUNCTION("""COMPUTED_VALUE"""),28)</f>
        <v>28</v>
      </c>
      <c r="F1482" s="5"/>
    </row>
    <row r="1483" spans="1:6">
      <c r="A1483" s="5" t="str">
        <f ca="1">IFERROR(__xludf.DUMMYFUNCTION("""COMPUTED_VALUE"""),"20070709ILCAC")</f>
        <v>20070709ILCAC</v>
      </c>
      <c r="B1483" s="5" t="str">
        <f ca="1">IFERROR(__xludf.DUMMYFUNCTION("""COMPUTED_VALUE"""),"Wounded")</f>
        <v>Wounded</v>
      </c>
      <c r="C1483" s="5" t="str">
        <f ca="1">IFERROR(__xludf.DUMMYFUNCTION("""COMPUTED_VALUE"""),"Male")</f>
        <v>Male</v>
      </c>
      <c r="D1483" s="5" t="str">
        <f ca="1">IFERROR(__xludf.DUMMYFUNCTION("""COMPUTED_VALUE"""),"No Relation")</f>
        <v>No Relation</v>
      </c>
      <c r="E1483" s="5">
        <f ca="1">IFERROR(__xludf.DUMMYFUNCTION("""COMPUTED_VALUE"""),14)</f>
        <v>14</v>
      </c>
      <c r="F1483" s="5"/>
    </row>
    <row r="1484" spans="1:6">
      <c r="A1484" s="5" t="str">
        <f ca="1">IFERROR(__xludf.DUMMYFUNCTION("""COMPUTED_VALUE"""),"20070709ILCAC")</f>
        <v>20070709ILCAC</v>
      </c>
      <c r="B1484" s="5" t="str">
        <f ca="1">IFERROR(__xludf.DUMMYFUNCTION("""COMPUTED_VALUE"""),"Wounded")</f>
        <v>Wounded</v>
      </c>
      <c r="C1484" s="5" t="str">
        <f ca="1">IFERROR(__xludf.DUMMYFUNCTION("""COMPUTED_VALUE"""),"Male")</f>
        <v>Male</v>
      </c>
      <c r="D1484" s="5" t="str">
        <f ca="1">IFERROR(__xludf.DUMMYFUNCTION("""COMPUTED_VALUE"""),"No Relation")</f>
        <v>No Relation</v>
      </c>
      <c r="E1484" s="5">
        <f ca="1">IFERROR(__xludf.DUMMYFUNCTION("""COMPUTED_VALUE"""),15)</f>
        <v>15</v>
      </c>
      <c r="F1484" s="5"/>
    </row>
    <row r="1485" spans="1:6">
      <c r="A1485" s="5" t="str">
        <f ca="1">IFERROR(__xludf.DUMMYFUNCTION("""COMPUTED_VALUE"""),"20070628TXDAD")</f>
        <v>20070628TXDAD</v>
      </c>
      <c r="B1485" s="5" t="str">
        <f ca="1">IFERROR(__xludf.DUMMYFUNCTION("""COMPUTED_VALUE"""),"Wounded")</f>
        <v>Wounded</v>
      </c>
      <c r="C1485" s="5" t="str">
        <f ca="1">IFERROR(__xludf.DUMMYFUNCTION("""COMPUTED_VALUE"""),"Male")</f>
        <v>Male</v>
      </c>
      <c r="D1485" s="5" t="str">
        <f ca="1">IFERROR(__xludf.DUMMYFUNCTION("""COMPUTED_VALUE"""),"Student")</f>
        <v>Student</v>
      </c>
      <c r="E1485" s="5" t="str">
        <f ca="1">IFERROR(__xludf.DUMMYFUNCTION("""COMPUTED_VALUE"""),"Teen")</f>
        <v>Teen</v>
      </c>
      <c r="F1485" s="5"/>
    </row>
    <row r="1486" spans="1:6">
      <c r="A1486" s="5" t="str">
        <f ca="1">IFERROR(__xludf.DUMMYFUNCTION("""COMPUTED_VALUE"""),"20070628TXDAD")</f>
        <v>20070628TXDAD</v>
      </c>
      <c r="B1486" s="5" t="str">
        <f ca="1">IFERROR(__xludf.DUMMYFUNCTION("""COMPUTED_VALUE"""),"Wounded")</f>
        <v>Wounded</v>
      </c>
      <c r="C1486" s="5" t="str">
        <f ca="1">IFERROR(__xludf.DUMMYFUNCTION("""COMPUTED_VALUE"""),"Male")</f>
        <v>Male</v>
      </c>
      <c r="D1486" s="5" t="str">
        <f ca="1">IFERROR(__xludf.DUMMYFUNCTION("""COMPUTED_VALUE"""),"Student")</f>
        <v>Student</v>
      </c>
      <c r="E1486" s="5" t="str">
        <f ca="1">IFERROR(__xludf.DUMMYFUNCTION("""COMPUTED_VALUE"""),"Teen")</f>
        <v>Teen</v>
      </c>
      <c r="F1486" s="5"/>
    </row>
    <row r="1487" spans="1:6">
      <c r="A1487" s="5" t="str">
        <f ca="1">IFERROR(__xludf.DUMMYFUNCTION("""COMPUTED_VALUE"""),"20070617SCBRB")</f>
        <v>20070617SCBRB</v>
      </c>
      <c r="B1487" s="5" t="str">
        <f ca="1">IFERROR(__xludf.DUMMYFUNCTION("""COMPUTED_VALUE"""),"Wounded")</f>
        <v>Wounded</v>
      </c>
      <c r="C1487" s="5" t="str">
        <f ca="1">IFERROR(__xludf.DUMMYFUNCTION("""COMPUTED_VALUE"""),"Male")</f>
        <v>Male</v>
      </c>
      <c r="D1487" s="5" t="str">
        <f ca="1">IFERROR(__xludf.DUMMYFUNCTION("""COMPUTED_VALUE"""),"Nonstudent")</f>
        <v>Nonstudent</v>
      </c>
      <c r="E1487" s="5">
        <f ca="1">IFERROR(__xludf.DUMMYFUNCTION("""COMPUTED_VALUE"""),22)</f>
        <v>22</v>
      </c>
      <c r="F1487" s="5"/>
    </row>
    <row r="1488" spans="1:6">
      <c r="A1488" s="5" t="str">
        <f ca="1">IFERROR(__xludf.DUMMYFUNCTION("""COMPUTED_VALUE"""),"20070531NCNOG")</f>
        <v>20070531NCNOG</v>
      </c>
      <c r="B1488" s="5" t="str">
        <f ca="1">IFERROR(__xludf.DUMMYFUNCTION("""COMPUTED_VALUE"""),"Minor Injuries")</f>
        <v>Minor Injuries</v>
      </c>
      <c r="C1488" s="5" t="str">
        <f ca="1">IFERROR(__xludf.DUMMYFUNCTION("""COMPUTED_VALUE"""),"Unknown")</f>
        <v>Unknown</v>
      </c>
      <c r="D1488" s="5" t="str">
        <f ca="1">IFERROR(__xludf.DUMMYFUNCTION("""COMPUTED_VALUE"""),"Student")</f>
        <v>Student</v>
      </c>
      <c r="E1488" s="5" t="str">
        <f ca="1">IFERROR(__xludf.DUMMYFUNCTION("""COMPUTED_VALUE"""),"Child")</f>
        <v>Child</v>
      </c>
      <c r="F1488" s="5"/>
    </row>
    <row r="1489" spans="1:6">
      <c r="A1489" s="5" t="str">
        <f ca="1">IFERROR(__xludf.DUMMYFUNCTION("""COMPUTED_VALUE"""),"20070531NCNOG")</f>
        <v>20070531NCNOG</v>
      </c>
      <c r="B1489" s="5" t="str">
        <f ca="1">IFERROR(__xludf.DUMMYFUNCTION("""COMPUTED_VALUE"""),"Minor Injuries")</f>
        <v>Minor Injuries</v>
      </c>
      <c r="C1489" s="5" t="str">
        <f ca="1">IFERROR(__xludf.DUMMYFUNCTION("""COMPUTED_VALUE"""),"Unknown")</f>
        <v>Unknown</v>
      </c>
      <c r="D1489" s="5" t="str">
        <f ca="1">IFERROR(__xludf.DUMMYFUNCTION("""COMPUTED_VALUE"""),"Student")</f>
        <v>Student</v>
      </c>
      <c r="E1489" s="5" t="str">
        <f ca="1">IFERROR(__xludf.DUMMYFUNCTION("""COMPUTED_VALUE"""),"Child")</f>
        <v>Child</v>
      </c>
      <c r="F1489" s="5"/>
    </row>
    <row r="1490" spans="1:6">
      <c r="A1490" s="5" t="str">
        <f ca="1">IFERROR(__xludf.DUMMYFUNCTION("""COMPUTED_VALUE"""),"20070531NCNOG")</f>
        <v>20070531NCNOG</v>
      </c>
      <c r="B1490" s="5" t="str">
        <f ca="1">IFERROR(__xludf.DUMMYFUNCTION("""COMPUTED_VALUE"""),"Minor Injuries")</f>
        <v>Minor Injuries</v>
      </c>
      <c r="C1490" s="5" t="str">
        <f ca="1">IFERROR(__xludf.DUMMYFUNCTION("""COMPUTED_VALUE"""),"Unknown")</f>
        <v>Unknown</v>
      </c>
      <c r="D1490" s="5" t="str">
        <f ca="1">IFERROR(__xludf.DUMMYFUNCTION("""COMPUTED_VALUE"""),"Student")</f>
        <v>Student</v>
      </c>
      <c r="E1490" s="5" t="str">
        <f ca="1">IFERROR(__xludf.DUMMYFUNCTION("""COMPUTED_VALUE"""),"Child")</f>
        <v>Child</v>
      </c>
      <c r="F1490" s="5"/>
    </row>
    <row r="1491" spans="1:6">
      <c r="A1491" s="5" t="str">
        <f ca="1">IFERROR(__xludf.DUMMYFUNCTION("""COMPUTED_VALUE"""),"20070530NCVAG")</f>
        <v>20070530NCVAG</v>
      </c>
      <c r="B1491" s="5" t="str">
        <f ca="1">IFERROR(__xludf.DUMMYFUNCTION("""COMPUTED_VALUE"""),"Wounded")</f>
        <v>Wounded</v>
      </c>
      <c r="C1491" s="5" t="str">
        <f ca="1">IFERROR(__xludf.DUMMYFUNCTION("""COMPUTED_VALUE"""),"Unknown")</f>
        <v>Unknown</v>
      </c>
      <c r="D1491" s="5" t="str">
        <f ca="1">IFERROR(__xludf.DUMMYFUNCTION("""COMPUTED_VALUE"""),"Parent")</f>
        <v>Parent</v>
      </c>
      <c r="E1491" s="5" t="str">
        <f ca="1">IFERROR(__xludf.DUMMYFUNCTION("""COMPUTED_VALUE"""),"Adult")</f>
        <v>Adult</v>
      </c>
      <c r="F1491" s="5"/>
    </row>
    <row r="1492" spans="1:6">
      <c r="A1492" s="5" t="str">
        <f ca="1">IFERROR(__xludf.DUMMYFUNCTION("""COMPUTED_VALUE"""),"20070523RIOAC")</f>
        <v>20070523RIOAC</v>
      </c>
      <c r="B1492" s="5" t="str">
        <f ca="1">IFERROR(__xludf.DUMMYFUNCTION("""COMPUTED_VALUE"""),"Wounded")</f>
        <v>Wounded</v>
      </c>
      <c r="C1492" s="5" t="str">
        <f ca="1">IFERROR(__xludf.DUMMYFUNCTION("""COMPUTED_VALUE"""),"Male")</f>
        <v>Male</v>
      </c>
      <c r="D1492" s="5" t="str">
        <f ca="1">IFERROR(__xludf.DUMMYFUNCTION("""COMPUTED_VALUE"""),"Student")</f>
        <v>Student</v>
      </c>
      <c r="E1492" s="5">
        <f ca="1">IFERROR(__xludf.DUMMYFUNCTION("""COMPUTED_VALUE"""),13)</f>
        <v>13</v>
      </c>
      <c r="F1492" s="5"/>
    </row>
    <row r="1493" spans="1:6">
      <c r="A1493" s="5" t="str">
        <f ca="1">IFERROR(__xludf.DUMMYFUNCTION("""COMPUTED_VALUE"""),"20070515TXLIL")</f>
        <v>20070515TXLIL</v>
      </c>
      <c r="B1493" s="5" t="str">
        <f ca="1">IFERROR(__xludf.DUMMYFUNCTION("""COMPUTED_VALUE"""),"None")</f>
        <v>None</v>
      </c>
      <c r="C1493" s="5"/>
      <c r="D1493" s="5"/>
      <c r="E1493" s="5"/>
      <c r="F1493" s="5"/>
    </row>
    <row r="1494" spans="1:6">
      <c r="A1494" s="5" t="str">
        <f ca="1">IFERROR(__xludf.DUMMYFUNCTION("""COMPUTED_VALUE"""),"20070512TXWEM")</f>
        <v>20070512TXWEM</v>
      </c>
      <c r="B1494" s="5" t="str">
        <f ca="1">IFERROR(__xludf.DUMMYFUNCTION("""COMPUTED_VALUE"""),"Wounded")</f>
        <v>Wounded</v>
      </c>
      <c r="C1494" s="5" t="str">
        <f ca="1">IFERROR(__xludf.DUMMYFUNCTION("""COMPUTED_VALUE"""),"Male")</f>
        <v>Male</v>
      </c>
      <c r="D1494" s="5" t="str">
        <f ca="1">IFERROR(__xludf.DUMMYFUNCTION("""COMPUTED_VALUE"""),"Student")</f>
        <v>Student</v>
      </c>
      <c r="E1494" s="5">
        <f ca="1">IFERROR(__xludf.DUMMYFUNCTION("""COMPUTED_VALUE"""),18)</f>
        <v>18</v>
      </c>
      <c r="F1494" s="5"/>
    </row>
    <row r="1495" spans="1:6">
      <c r="A1495" s="5" t="str">
        <f ca="1">IFERROR(__xludf.DUMMYFUNCTION("""COMPUTED_VALUE"""),"20070510MIHED")</f>
        <v>20070510MIHED</v>
      </c>
      <c r="B1495" s="5" t="str">
        <f ca="1">IFERROR(__xludf.DUMMYFUNCTION("""COMPUTED_VALUE"""),"Wounded")</f>
        <v>Wounded</v>
      </c>
      <c r="C1495" s="5" t="str">
        <f ca="1">IFERROR(__xludf.DUMMYFUNCTION("""COMPUTED_VALUE"""),"Male")</f>
        <v>Male</v>
      </c>
      <c r="D1495" s="5" t="str">
        <f ca="1">IFERROR(__xludf.DUMMYFUNCTION("""COMPUTED_VALUE"""),"Student")</f>
        <v>Student</v>
      </c>
      <c r="E1495" s="5">
        <f ca="1">IFERROR(__xludf.DUMMYFUNCTION("""COMPUTED_VALUE"""),17)</f>
        <v>17</v>
      </c>
      <c r="F1495" s="5"/>
    </row>
    <row r="1496" spans="1:6">
      <c r="A1496" s="5" t="str">
        <f ca="1">IFERROR(__xludf.DUMMYFUNCTION("""COMPUTED_VALUE"""),"20070510MIHED")</f>
        <v>20070510MIHED</v>
      </c>
      <c r="B1496" s="5" t="str">
        <f ca="1">IFERROR(__xludf.DUMMYFUNCTION("""COMPUTED_VALUE"""),"Wounded")</f>
        <v>Wounded</v>
      </c>
      <c r="C1496" s="5" t="str">
        <f ca="1">IFERROR(__xludf.DUMMYFUNCTION("""COMPUTED_VALUE"""),"Male")</f>
        <v>Male</v>
      </c>
      <c r="D1496" s="5" t="str">
        <f ca="1">IFERROR(__xludf.DUMMYFUNCTION("""COMPUTED_VALUE"""),"Student")</f>
        <v>Student</v>
      </c>
      <c r="E1496" s="5">
        <f ca="1">IFERROR(__xludf.DUMMYFUNCTION("""COMPUTED_VALUE"""),17)</f>
        <v>17</v>
      </c>
      <c r="F1496" s="5"/>
    </row>
    <row r="1497" spans="1:6">
      <c r="A1497" s="5" t="str">
        <f ca="1">IFERROR(__xludf.DUMMYFUNCTION("""COMPUTED_VALUE"""),"20070504TXTIE")</f>
        <v>20070504TXTIE</v>
      </c>
      <c r="B1497" s="5" t="str">
        <f ca="1">IFERROR(__xludf.DUMMYFUNCTION("""COMPUTED_VALUE"""),"None")</f>
        <v>None</v>
      </c>
      <c r="C1497" s="5" t="str">
        <f ca="1">IFERROR(__xludf.DUMMYFUNCTION("""COMPUTED_VALUE"""),"Female")</f>
        <v>Female</v>
      </c>
      <c r="D1497" s="5" t="str">
        <f ca="1">IFERROR(__xludf.DUMMYFUNCTION("""COMPUTED_VALUE"""),"Student")</f>
        <v>Student</v>
      </c>
      <c r="E1497" s="5">
        <f ca="1">IFERROR(__xludf.DUMMYFUNCTION("""COMPUTED_VALUE"""),15)</f>
        <v>15</v>
      </c>
      <c r="F1497" s="5"/>
    </row>
    <row r="1498" spans="1:6">
      <c r="A1498" s="5" t="str">
        <f ca="1">IFERROR(__xludf.DUMMYFUNCTION("""COMPUTED_VALUE"""),"20070503OHGED")</f>
        <v>20070503OHGED</v>
      </c>
      <c r="B1498" s="5" t="str">
        <f ca="1">IFERROR(__xludf.DUMMYFUNCTION("""COMPUTED_VALUE"""),"Wounded")</f>
        <v>Wounded</v>
      </c>
      <c r="C1498" s="5" t="str">
        <f ca="1">IFERROR(__xludf.DUMMYFUNCTION("""COMPUTED_VALUE"""),"Female")</f>
        <v>Female</v>
      </c>
      <c r="D1498" s="5" t="str">
        <f ca="1">IFERROR(__xludf.DUMMYFUNCTION("""COMPUTED_VALUE"""),"Bus Driver")</f>
        <v>Bus Driver</v>
      </c>
      <c r="E1498" s="5" t="str">
        <f ca="1">IFERROR(__xludf.DUMMYFUNCTION("""COMPUTED_VALUE"""),"Adult")</f>
        <v>Adult</v>
      </c>
      <c r="F1498" s="5"/>
    </row>
    <row r="1499" spans="1:6">
      <c r="A1499" s="5" t="str">
        <f ca="1">IFERROR(__xludf.DUMMYFUNCTION("""COMPUTED_VALUE"""),"20070418NCNOH")</f>
        <v>20070418NCNOH</v>
      </c>
      <c r="B1499" s="5" t="str">
        <f ca="1">IFERROR(__xludf.DUMMYFUNCTION("""COMPUTED_VALUE"""),"None")</f>
        <v>None</v>
      </c>
      <c r="C1499" s="5"/>
      <c r="D1499" s="5"/>
      <c r="E1499" s="5"/>
      <c r="F1499" s="5"/>
    </row>
    <row r="1500" spans="1:6">
      <c r="A1500" s="5" t="str">
        <f ca="1">IFERROR(__xludf.DUMMYFUNCTION("""COMPUTED_VALUE"""),"20070410ORSPG")</f>
        <v>20070410ORSPG</v>
      </c>
      <c r="B1500" s="5" t="str">
        <f ca="1">IFERROR(__xludf.DUMMYFUNCTION("""COMPUTED_VALUE"""),"Wounded")</f>
        <v>Wounded</v>
      </c>
      <c r="C1500" s="5" t="str">
        <f ca="1">IFERROR(__xludf.DUMMYFUNCTION("""COMPUTED_VALUE"""),"Unknown")</f>
        <v>Unknown</v>
      </c>
      <c r="D1500" s="5" t="str">
        <f ca="1">IFERROR(__xludf.DUMMYFUNCTION("""COMPUTED_VALUE"""),"Student")</f>
        <v>Student</v>
      </c>
      <c r="E1500" s="5" t="str">
        <f ca="1">IFERROR(__xludf.DUMMYFUNCTION("""COMPUTED_VALUE"""),"Teen")</f>
        <v>Teen</v>
      </c>
      <c r="F1500" s="5"/>
    </row>
    <row r="1501" spans="1:6">
      <c r="A1501" s="5" t="str">
        <f ca="1">IFERROR(__xludf.DUMMYFUNCTION("""COMPUTED_VALUE"""),"20070410ORSPG")</f>
        <v>20070410ORSPG</v>
      </c>
      <c r="B1501" s="5" t="str">
        <f ca="1">IFERROR(__xludf.DUMMYFUNCTION("""COMPUTED_VALUE"""),"Wounded")</f>
        <v>Wounded</v>
      </c>
      <c r="C1501" s="5" t="str">
        <f ca="1">IFERROR(__xludf.DUMMYFUNCTION("""COMPUTED_VALUE"""),"Unknown")</f>
        <v>Unknown</v>
      </c>
      <c r="D1501" s="5" t="str">
        <f ca="1">IFERROR(__xludf.DUMMYFUNCTION("""COMPUTED_VALUE"""),"Student")</f>
        <v>Student</v>
      </c>
      <c r="E1501" s="5" t="str">
        <f ca="1">IFERROR(__xludf.DUMMYFUNCTION("""COMPUTED_VALUE"""),"Teen")</f>
        <v>Teen</v>
      </c>
      <c r="F1501" s="5"/>
    </row>
    <row r="1502" spans="1:6">
      <c r="A1502" s="5" t="str">
        <f ca="1">IFERROR(__xludf.DUMMYFUNCTION("""COMPUTED_VALUE"""),"20070410ORSPG")</f>
        <v>20070410ORSPG</v>
      </c>
      <c r="B1502" s="5" t="str">
        <f ca="1">IFERROR(__xludf.DUMMYFUNCTION("""COMPUTED_VALUE"""),"Wounded")</f>
        <v>Wounded</v>
      </c>
      <c r="C1502" s="5" t="str">
        <f ca="1">IFERROR(__xludf.DUMMYFUNCTION("""COMPUTED_VALUE"""),"Unknown")</f>
        <v>Unknown</v>
      </c>
      <c r="D1502" s="5" t="str">
        <f ca="1">IFERROR(__xludf.DUMMYFUNCTION("""COMPUTED_VALUE"""),"Student")</f>
        <v>Student</v>
      </c>
      <c r="E1502" s="5" t="str">
        <f ca="1">IFERROR(__xludf.DUMMYFUNCTION("""COMPUTED_VALUE"""),"Teen")</f>
        <v>Teen</v>
      </c>
      <c r="F1502" s="5"/>
    </row>
    <row r="1503" spans="1:6">
      <c r="A1503" s="5" t="str">
        <f ca="1">IFERROR(__xludf.DUMMYFUNCTION("""COMPUTED_VALUE"""),"20070410ORSPG")</f>
        <v>20070410ORSPG</v>
      </c>
      <c r="B1503" s="5" t="str">
        <f ca="1">IFERROR(__xludf.DUMMYFUNCTION("""COMPUTED_VALUE"""),"Wounded")</f>
        <v>Wounded</v>
      </c>
      <c r="C1503" s="5" t="str">
        <f ca="1">IFERROR(__xludf.DUMMYFUNCTION("""COMPUTED_VALUE"""),"Unknown")</f>
        <v>Unknown</v>
      </c>
      <c r="D1503" s="5" t="str">
        <f ca="1">IFERROR(__xludf.DUMMYFUNCTION("""COMPUTED_VALUE"""),"Student")</f>
        <v>Student</v>
      </c>
      <c r="E1503" s="5" t="str">
        <f ca="1">IFERROR(__xludf.DUMMYFUNCTION("""COMPUTED_VALUE"""),"Teen")</f>
        <v>Teen</v>
      </c>
      <c r="F1503" s="5"/>
    </row>
    <row r="1504" spans="1:6">
      <c r="A1504" s="5" t="str">
        <f ca="1">IFERROR(__xludf.DUMMYFUNCTION("""COMPUTED_VALUE"""),"20070410ORSPG")</f>
        <v>20070410ORSPG</v>
      </c>
      <c r="B1504" s="5" t="str">
        <f ca="1">IFERROR(__xludf.DUMMYFUNCTION("""COMPUTED_VALUE"""),"Wounded")</f>
        <v>Wounded</v>
      </c>
      <c r="C1504" s="5" t="str">
        <f ca="1">IFERROR(__xludf.DUMMYFUNCTION("""COMPUTED_VALUE"""),"Unknown")</f>
        <v>Unknown</v>
      </c>
      <c r="D1504" s="5" t="str">
        <f ca="1">IFERROR(__xludf.DUMMYFUNCTION("""COMPUTED_VALUE"""),"Student")</f>
        <v>Student</v>
      </c>
      <c r="E1504" s="5" t="str">
        <f ca="1">IFERROR(__xludf.DUMMYFUNCTION("""COMPUTED_VALUE"""),"Teen")</f>
        <v>Teen</v>
      </c>
      <c r="F1504" s="5"/>
    </row>
    <row r="1505" spans="1:6">
      <c r="A1505" s="5" t="str">
        <f ca="1">IFERROR(__xludf.DUMMYFUNCTION("""COMPUTED_VALUE"""),"20070410ORSPG")</f>
        <v>20070410ORSPG</v>
      </c>
      <c r="B1505" s="5" t="str">
        <f ca="1">IFERROR(__xludf.DUMMYFUNCTION("""COMPUTED_VALUE"""),"Wounded")</f>
        <v>Wounded</v>
      </c>
      <c r="C1505" s="5" t="str">
        <f ca="1">IFERROR(__xludf.DUMMYFUNCTION("""COMPUTED_VALUE"""),"Unknown")</f>
        <v>Unknown</v>
      </c>
      <c r="D1505" s="5" t="str">
        <f ca="1">IFERROR(__xludf.DUMMYFUNCTION("""COMPUTED_VALUE"""),"Student")</f>
        <v>Student</v>
      </c>
      <c r="E1505" s="5" t="str">
        <f ca="1">IFERROR(__xludf.DUMMYFUNCTION("""COMPUTED_VALUE"""),"Teen")</f>
        <v>Teen</v>
      </c>
      <c r="F1505" s="5"/>
    </row>
    <row r="1506" spans="1:6">
      <c r="A1506" s="5" t="str">
        <f ca="1">IFERROR(__xludf.DUMMYFUNCTION("""COMPUTED_VALUE"""),"20070410ORSPG")</f>
        <v>20070410ORSPG</v>
      </c>
      <c r="B1506" s="5" t="str">
        <f ca="1">IFERROR(__xludf.DUMMYFUNCTION("""COMPUTED_VALUE"""),"Wounded")</f>
        <v>Wounded</v>
      </c>
      <c r="C1506" s="5" t="str">
        <f ca="1">IFERROR(__xludf.DUMMYFUNCTION("""COMPUTED_VALUE"""),"Unknown")</f>
        <v>Unknown</v>
      </c>
      <c r="D1506" s="5" t="str">
        <f ca="1">IFERROR(__xludf.DUMMYFUNCTION("""COMPUTED_VALUE"""),"Student")</f>
        <v>Student</v>
      </c>
      <c r="E1506" s="5" t="str">
        <f ca="1">IFERROR(__xludf.DUMMYFUNCTION("""COMPUTED_VALUE"""),"Teen")</f>
        <v>Teen</v>
      </c>
      <c r="F1506" s="5"/>
    </row>
    <row r="1507" spans="1:6">
      <c r="A1507" s="5" t="str">
        <f ca="1">IFERROR(__xludf.DUMMYFUNCTION("""COMPUTED_VALUE"""),"20070410ORSPG")</f>
        <v>20070410ORSPG</v>
      </c>
      <c r="B1507" s="5" t="str">
        <f ca="1">IFERROR(__xludf.DUMMYFUNCTION("""COMPUTED_VALUE"""),"Wounded")</f>
        <v>Wounded</v>
      </c>
      <c r="C1507" s="5" t="str">
        <f ca="1">IFERROR(__xludf.DUMMYFUNCTION("""COMPUTED_VALUE"""),"Unknown")</f>
        <v>Unknown</v>
      </c>
      <c r="D1507" s="5" t="str">
        <f ca="1">IFERROR(__xludf.DUMMYFUNCTION("""COMPUTED_VALUE"""),"Student")</f>
        <v>Student</v>
      </c>
      <c r="E1507" s="5" t="str">
        <f ca="1">IFERROR(__xludf.DUMMYFUNCTION("""COMPUTED_VALUE"""),"Teen")</f>
        <v>Teen</v>
      </c>
      <c r="F1507" s="5"/>
    </row>
    <row r="1508" spans="1:6">
      <c r="A1508" s="5" t="str">
        <f ca="1">IFERROR(__xludf.DUMMYFUNCTION("""COMPUTED_VALUE"""),"20070410ORSPG")</f>
        <v>20070410ORSPG</v>
      </c>
      <c r="B1508" s="5" t="str">
        <f ca="1">IFERROR(__xludf.DUMMYFUNCTION("""COMPUTED_VALUE"""),"Wounded")</f>
        <v>Wounded</v>
      </c>
      <c r="C1508" s="5" t="str">
        <f ca="1">IFERROR(__xludf.DUMMYFUNCTION("""COMPUTED_VALUE"""),"Unknown")</f>
        <v>Unknown</v>
      </c>
      <c r="D1508" s="5" t="str">
        <f ca="1">IFERROR(__xludf.DUMMYFUNCTION("""COMPUTED_VALUE"""),"Student")</f>
        <v>Student</v>
      </c>
      <c r="E1508" s="5" t="str">
        <f ca="1">IFERROR(__xludf.DUMMYFUNCTION("""COMPUTED_VALUE"""),"Teen")</f>
        <v>Teen</v>
      </c>
      <c r="F1508" s="5"/>
    </row>
    <row r="1509" spans="1:6">
      <c r="A1509" s="5" t="str">
        <f ca="1">IFERROR(__xludf.DUMMYFUNCTION("""COMPUTED_VALUE"""),"20070410ORSPG")</f>
        <v>20070410ORSPG</v>
      </c>
      <c r="B1509" s="5" t="str">
        <f ca="1">IFERROR(__xludf.DUMMYFUNCTION("""COMPUTED_VALUE"""),"Wounded")</f>
        <v>Wounded</v>
      </c>
      <c r="C1509" s="5" t="str">
        <f ca="1">IFERROR(__xludf.DUMMYFUNCTION("""COMPUTED_VALUE"""),"Unknown")</f>
        <v>Unknown</v>
      </c>
      <c r="D1509" s="5" t="str">
        <f ca="1">IFERROR(__xludf.DUMMYFUNCTION("""COMPUTED_VALUE"""),"Student")</f>
        <v>Student</v>
      </c>
      <c r="E1509" s="5" t="str">
        <f ca="1">IFERROR(__xludf.DUMMYFUNCTION("""COMPUTED_VALUE"""),"Teen")</f>
        <v>Teen</v>
      </c>
      <c r="F1509" s="5"/>
    </row>
    <row r="1510" spans="1:6">
      <c r="A1510" s="5" t="str">
        <f ca="1">IFERROR(__xludf.DUMMYFUNCTION("""COMPUTED_VALUE"""),"20070410ILCHC")</f>
        <v>20070410ILCHC</v>
      </c>
      <c r="B1510" s="5" t="str">
        <f ca="1">IFERROR(__xludf.DUMMYFUNCTION("""COMPUTED_VALUE"""),"Wounded")</f>
        <v>Wounded</v>
      </c>
      <c r="C1510" s="5" t="str">
        <f ca="1">IFERROR(__xludf.DUMMYFUNCTION("""COMPUTED_VALUE"""),"Male")</f>
        <v>Male</v>
      </c>
      <c r="D1510" s="5" t="str">
        <f ca="1">IFERROR(__xludf.DUMMYFUNCTION("""COMPUTED_VALUE"""),"Student")</f>
        <v>Student</v>
      </c>
      <c r="E1510" s="5">
        <f ca="1">IFERROR(__xludf.DUMMYFUNCTION("""COMPUTED_VALUE"""),15)</f>
        <v>15</v>
      </c>
      <c r="F1510" s="5"/>
    </row>
    <row r="1511" spans="1:6">
      <c r="A1511" s="5" t="str">
        <f ca="1">IFERROR(__xludf.DUMMYFUNCTION("""COMPUTED_VALUE"""),"20070329SCMYM")</f>
        <v>20070329SCMYM</v>
      </c>
      <c r="B1511" s="5" t="str">
        <f ca="1">IFERROR(__xludf.DUMMYFUNCTION("""COMPUTED_VALUE"""),"None")</f>
        <v>None</v>
      </c>
      <c r="C1511" s="5" t="str">
        <f ca="1">IFERROR(__xludf.DUMMYFUNCTION("""COMPUTED_VALUE"""),"Male")</f>
        <v>Male</v>
      </c>
      <c r="D1511" s="5" t="str">
        <f ca="1">IFERROR(__xludf.DUMMYFUNCTION("""COMPUTED_VALUE"""),"Student")</f>
        <v>Student</v>
      </c>
      <c r="E1511" s="5">
        <f ca="1">IFERROR(__xludf.DUMMYFUNCTION("""COMPUTED_VALUE"""),18)</f>
        <v>18</v>
      </c>
      <c r="F1511" s="5"/>
    </row>
    <row r="1512" spans="1:6">
      <c r="A1512" s="5" t="str">
        <f ca="1">IFERROR(__xludf.DUMMYFUNCTION("""COMPUTED_VALUE"""),"20070327CTSAH")</f>
        <v>20070327CTSAH</v>
      </c>
      <c r="B1512" s="5" t="str">
        <f ca="1">IFERROR(__xludf.DUMMYFUNCTION("""COMPUTED_VALUE"""),"Wounded")</f>
        <v>Wounded</v>
      </c>
      <c r="C1512" s="5" t="str">
        <f ca="1">IFERROR(__xludf.DUMMYFUNCTION("""COMPUTED_VALUE"""),"Male")</f>
        <v>Male</v>
      </c>
      <c r="D1512" s="5" t="str">
        <f ca="1">IFERROR(__xludf.DUMMYFUNCTION("""COMPUTED_VALUE"""),"No Relation")</f>
        <v>No Relation</v>
      </c>
      <c r="E1512" s="5">
        <f ca="1">IFERROR(__xludf.DUMMYFUNCTION("""COMPUTED_VALUE"""),16)</f>
        <v>16</v>
      </c>
      <c r="F1512" s="5"/>
    </row>
    <row r="1513" spans="1:6">
      <c r="A1513" s="5" t="str">
        <f ca="1">IFERROR(__xludf.DUMMYFUNCTION("""COMPUTED_VALUE"""),"20070323FLUNO")</f>
        <v>20070323FLUNO</v>
      </c>
      <c r="B1513" s="5" t="str">
        <f ca="1">IFERROR(__xludf.DUMMYFUNCTION("""COMPUTED_VALUE"""),"Wounded")</f>
        <v>Wounded</v>
      </c>
      <c r="C1513" s="5" t="str">
        <f ca="1">IFERROR(__xludf.DUMMYFUNCTION("""COMPUTED_VALUE"""),"Male")</f>
        <v>Male</v>
      </c>
      <c r="D1513" s="5" t="str">
        <f ca="1">IFERROR(__xludf.DUMMYFUNCTION("""COMPUTED_VALUE"""),"Student")</f>
        <v>Student</v>
      </c>
      <c r="E1513" s="5">
        <f ca="1">IFERROR(__xludf.DUMMYFUNCTION("""COMPUTED_VALUE"""),8)</f>
        <v>8</v>
      </c>
      <c r="F1513" s="5"/>
    </row>
    <row r="1514" spans="1:6">
      <c r="A1514" s="5" t="str">
        <f ca="1">IFERROR(__xludf.DUMMYFUNCTION("""COMPUTED_VALUE"""),"20070308TNEAC")</f>
        <v>20070308TNEAC</v>
      </c>
      <c r="B1514" s="5" t="str">
        <f ca="1">IFERROR(__xludf.DUMMYFUNCTION("""COMPUTED_VALUE"""),"None")</f>
        <v>None</v>
      </c>
      <c r="C1514" s="5" t="str">
        <f ca="1">IFERROR(__xludf.DUMMYFUNCTION("""COMPUTED_VALUE"""),"Male")</f>
        <v>Male</v>
      </c>
      <c r="D1514" s="5" t="str">
        <f ca="1">IFERROR(__xludf.DUMMYFUNCTION("""COMPUTED_VALUE"""),"Former Teacher")</f>
        <v>Former Teacher</v>
      </c>
      <c r="E1514" s="5">
        <f ca="1">IFERROR(__xludf.DUMMYFUNCTION("""COMPUTED_VALUE"""),62)</f>
        <v>62</v>
      </c>
      <c r="F1514" s="5"/>
    </row>
    <row r="1515" spans="1:6">
      <c r="A1515" s="5" t="str">
        <f ca="1">IFERROR(__xludf.DUMMYFUNCTION("""COMPUTED_VALUE"""),"20070307TXGRG")</f>
        <v>20070307TXGRG</v>
      </c>
      <c r="B1515" s="5" t="str">
        <f ca="1">IFERROR(__xludf.DUMMYFUNCTION("""COMPUTED_VALUE"""),"None")</f>
        <v>None</v>
      </c>
      <c r="C1515" s="5" t="str">
        <f ca="1">IFERROR(__xludf.DUMMYFUNCTION("""COMPUTED_VALUE"""),"Male")</f>
        <v>Male</v>
      </c>
      <c r="D1515" s="5" t="str">
        <f ca="1">IFERROR(__xludf.DUMMYFUNCTION("""COMPUTED_VALUE"""),"Student")</f>
        <v>Student</v>
      </c>
      <c r="E1515" s="5">
        <f ca="1">IFERROR(__xludf.DUMMYFUNCTION("""COMPUTED_VALUE"""),16)</f>
        <v>16</v>
      </c>
      <c r="F1515" s="5"/>
    </row>
    <row r="1516" spans="1:6">
      <c r="A1516" s="5" t="str">
        <f ca="1">IFERROR(__xludf.DUMMYFUNCTION("""COMPUTED_VALUE"""),"20070307MIHEM")</f>
        <v>20070307MIHEM</v>
      </c>
      <c r="B1516" s="5" t="str">
        <f ca="1">IFERROR(__xludf.DUMMYFUNCTION("""COMPUTED_VALUE"""),"Wounded")</f>
        <v>Wounded</v>
      </c>
      <c r="C1516" s="5" t="str">
        <f ca="1">IFERROR(__xludf.DUMMYFUNCTION("""COMPUTED_VALUE"""),"Female")</f>
        <v>Female</v>
      </c>
      <c r="D1516" s="5" t="str">
        <f ca="1">IFERROR(__xludf.DUMMYFUNCTION("""COMPUTED_VALUE"""),"Student")</f>
        <v>Student</v>
      </c>
      <c r="E1516" s="5">
        <f ca="1">IFERROR(__xludf.DUMMYFUNCTION("""COMPUTED_VALUE"""),17)</f>
        <v>17</v>
      </c>
      <c r="F1516" s="5"/>
    </row>
    <row r="1517" spans="1:6">
      <c r="A1517" s="5" t="str">
        <f ca="1">IFERROR(__xludf.DUMMYFUNCTION("""COMPUTED_VALUE"""),"20070307CACEC")</f>
        <v>20070307CACEC</v>
      </c>
      <c r="B1517" s="5" t="str">
        <f ca="1">IFERROR(__xludf.DUMMYFUNCTION("""COMPUTED_VALUE"""),"Wounded")</f>
        <v>Wounded</v>
      </c>
      <c r="C1517" s="5" t="str">
        <f ca="1">IFERROR(__xludf.DUMMYFUNCTION("""COMPUTED_VALUE"""),"Male")</f>
        <v>Male</v>
      </c>
      <c r="D1517" s="5" t="str">
        <f ca="1">IFERROR(__xludf.DUMMYFUNCTION("""COMPUTED_VALUE"""),"Student")</f>
        <v>Student</v>
      </c>
      <c r="E1517" s="5" t="str">
        <f ca="1">IFERROR(__xludf.DUMMYFUNCTION("""COMPUTED_VALUE"""),"Teen")</f>
        <v>Teen</v>
      </c>
      <c r="F1517" s="5"/>
    </row>
    <row r="1518" spans="1:6">
      <c r="A1518" s="5" t="str">
        <f ca="1">IFERROR(__xludf.DUMMYFUNCTION("""COMPUTED_VALUE"""),"20070227GACLA")</f>
        <v>20070227GACLA</v>
      </c>
      <c r="B1518" s="5" t="str">
        <f ca="1">IFERROR(__xludf.DUMMYFUNCTION("""COMPUTED_VALUE"""),"Wounded")</f>
        <v>Wounded</v>
      </c>
      <c r="C1518" s="5" t="str">
        <f ca="1">IFERROR(__xludf.DUMMYFUNCTION("""COMPUTED_VALUE"""),"Male")</f>
        <v>Male</v>
      </c>
      <c r="D1518" s="5" t="str">
        <f ca="1">IFERROR(__xludf.DUMMYFUNCTION("""COMPUTED_VALUE"""),"Student")</f>
        <v>Student</v>
      </c>
      <c r="E1518" s="5">
        <f ca="1">IFERROR(__xludf.DUMMYFUNCTION("""COMPUTED_VALUE"""),10)</f>
        <v>10</v>
      </c>
      <c r="F1518" s="5"/>
    </row>
    <row r="1519" spans="1:6">
      <c r="A1519" s="5" t="str">
        <f ca="1">IFERROR(__xludf.DUMMYFUNCTION("""COMPUTED_VALUE"""),"20070226CASLA")</f>
        <v>20070226CASLA</v>
      </c>
      <c r="B1519" s="5" t="str">
        <f ca="1">IFERROR(__xludf.DUMMYFUNCTION("""COMPUTED_VALUE"""),"Wounded")</f>
        <v>Wounded</v>
      </c>
      <c r="C1519" s="5" t="str">
        <f ca="1">IFERROR(__xludf.DUMMYFUNCTION("""COMPUTED_VALUE"""),"Male")</f>
        <v>Male</v>
      </c>
      <c r="D1519" s="5" t="str">
        <f ca="1">IFERROR(__xludf.DUMMYFUNCTION("""COMPUTED_VALUE"""),"Student")</f>
        <v>Student</v>
      </c>
      <c r="E1519" s="5">
        <f ca="1">IFERROR(__xludf.DUMMYFUNCTION("""COMPUTED_VALUE"""),12)</f>
        <v>12</v>
      </c>
      <c r="F1519" s="5"/>
    </row>
    <row r="1520" spans="1:6">
      <c r="A1520" s="5" t="str">
        <f ca="1">IFERROR(__xludf.DUMMYFUNCTION("""COMPUTED_VALUE"""),"20070226CASLA")</f>
        <v>20070226CASLA</v>
      </c>
      <c r="B1520" s="5" t="str">
        <f ca="1">IFERROR(__xludf.DUMMYFUNCTION("""COMPUTED_VALUE"""),"Wounded")</f>
        <v>Wounded</v>
      </c>
      <c r="C1520" s="5" t="str">
        <f ca="1">IFERROR(__xludf.DUMMYFUNCTION("""COMPUTED_VALUE"""),"Male")</f>
        <v>Male</v>
      </c>
      <c r="D1520" s="5" t="str">
        <f ca="1">IFERROR(__xludf.DUMMYFUNCTION("""COMPUTED_VALUE"""),"Student")</f>
        <v>Student</v>
      </c>
      <c r="E1520" s="5">
        <f ca="1">IFERROR(__xludf.DUMMYFUNCTION("""COMPUTED_VALUE"""),12)</f>
        <v>12</v>
      </c>
      <c r="F1520" s="5"/>
    </row>
    <row r="1521" spans="1:6">
      <c r="A1521" s="5" t="str">
        <f ca="1">IFERROR(__xludf.DUMMYFUNCTION("""COMPUTED_VALUE"""),"20070208TXSTP")</f>
        <v>20070208TXSTP</v>
      </c>
      <c r="B1521" s="5" t="str">
        <f ca="1">IFERROR(__xludf.DUMMYFUNCTION("""COMPUTED_VALUE"""),"Minor Injuries")</f>
        <v>Minor Injuries</v>
      </c>
      <c r="C1521" s="5" t="str">
        <f ca="1">IFERROR(__xludf.DUMMYFUNCTION("""COMPUTED_VALUE"""),"Male")</f>
        <v>Male</v>
      </c>
      <c r="D1521" s="5" t="str">
        <f ca="1">IFERROR(__xludf.DUMMYFUNCTION("""COMPUTED_VALUE"""),"Student")</f>
        <v>Student</v>
      </c>
      <c r="E1521" s="5" t="str">
        <f ca="1">IFERROR(__xludf.DUMMYFUNCTION("""COMPUTED_VALUE"""),"Teen")</f>
        <v>Teen</v>
      </c>
      <c r="F1521" s="5"/>
    </row>
    <row r="1522" spans="1:6">
      <c r="A1522" s="5" t="str">
        <f ca="1">IFERROR(__xludf.DUMMYFUNCTION("""COMPUTED_VALUE"""),"20070208ORCRP")</f>
        <v>20070208ORCRP</v>
      </c>
      <c r="B1522" s="5" t="str">
        <f ca="1">IFERROR(__xludf.DUMMYFUNCTION("""COMPUTED_VALUE"""),"None")</f>
        <v>None</v>
      </c>
      <c r="C1522" s="5" t="str">
        <f ca="1">IFERROR(__xludf.DUMMYFUNCTION("""COMPUTED_VALUE"""),"Male")</f>
        <v>Male</v>
      </c>
      <c r="D1522" s="5" t="str">
        <f ca="1">IFERROR(__xludf.DUMMYFUNCTION("""COMPUTED_VALUE"""),"Student")</f>
        <v>Student</v>
      </c>
      <c r="E1522" s="5">
        <f ca="1">IFERROR(__xludf.DUMMYFUNCTION("""COMPUTED_VALUE"""),18)</f>
        <v>18</v>
      </c>
      <c r="F1522" s="5"/>
    </row>
    <row r="1523" spans="1:6">
      <c r="A1523" s="5" t="str">
        <f ca="1">IFERROR(__xludf.DUMMYFUNCTION("""COMPUTED_VALUE"""),"20070207FLPAJ")</f>
        <v>20070207FLPAJ</v>
      </c>
      <c r="B1523" s="5" t="str">
        <f ca="1">IFERROR(__xludf.DUMMYFUNCTION("""COMPUTED_VALUE"""),"None")</f>
        <v>None</v>
      </c>
      <c r="C1523" s="5" t="str">
        <f ca="1">IFERROR(__xludf.DUMMYFUNCTION("""COMPUTED_VALUE"""),"Unknown")</f>
        <v>Unknown</v>
      </c>
      <c r="D1523" s="5" t="str">
        <f ca="1">IFERROR(__xludf.DUMMYFUNCTION("""COMPUTED_VALUE"""),"Police Officer/SRO")</f>
        <v>Police Officer/SRO</v>
      </c>
      <c r="E1523" s="5" t="str">
        <f ca="1">IFERROR(__xludf.DUMMYFUNCTION("""COMPUTED_VALUE"""),"Adult")</f>
        <v>Adult</v>
      </c>
      <c r="F1523" s="5"/>
    </row>
    <row r="1524" spans="1:6">
      <c r="A1524" s="5" t="str">
        <f ca="1">IFERROR(__xludf.DUMMYFUNCTION("""COMPUTED_VALUE"""),"20070131ILHIC")</f>
        <v>20070131ILHIC</v>
      </c>
      <c r="B1524" s="5" t="str">
        <f ca="1">IFERROR(__xludf.DUMMYFUNCTION("""COMPUTED_VALUE"""),"Wounded")</f>
        <v>Wounded</v>
      </c>
      <c r="C1524" s="5" t="str">
        <f ca="1">IFERROR(__xludf.DUMMYFUNCTION("""COMPUTED_VALUE"""),"Male")</f>
        <v>Male</v>
      </c>
      <c r="D1524" s="5" t="str">
        <f ca="1">IFERROR(__xludf.DUMMYFUNCTION("""COMPUTED_VALUE"""),"Student")</f>
        <v>Student</v>
      </c>
      <c r="E1524" s="5">
        <f ca="1">IFERROR(__xludf.DUMMYFUNCTION("""COMPUTED_VALUE"""),15)</f>
        <v>15</v>
      </c>
      <c r="F1524" s="5"/>
    </row>
    <row r="1525" spans="1:6">
      <c r="A1525" s="5" t="str">
        <f ca="1">IFERROR(__xludf.DUMMYFUNCTION("""COMPUTED_VALUE"""),"20070124TNHAS")</f>
        <v>20070124TNHAS</v>
      </c>
      <c r="B1525" s="5" t="str">
        <f ca="1">IFERROR(__xludf.DUMMYFUNCTION("""COMPUTED_VALUE"""),"None")</f>
        <v>None</v>
      </c>
      <c r="C1525" s="5" t="str">
        <f ca="1">IFERROR(__xludf.DUMMYFUNCTION("""COMPUTED_VALUE"""),"Male")</f>
        <v>Male</v>
      </c>
      <c r="D1525" s="5" t="str">
        <f ca="1">IFERROR(__xludf.DUMMYFUNCTION("""COMPUTED_VALUE"""),"Student")</f>
        <v>Student</v>
      </c>
      <c r="E1525" s="5">
        <f ca="1">IFERROR(__xludf.DUMMYFUNCTION("""COMPUTED_VALUE"""),17)</f>
        <v>17</v>
      </c>
      <c r="F1525" s="5"/>
    </row>
    <row r="1526" spans="1:6">
      <c r="A1526" s="5" t="str">
        <f ca="1">IFERROR(__xludf.DUMMYFUNCTION("""COMPUTED_VALUE"""),"20070118PAWIP")</f>
        <v>20070118PAWIP</v>
      </c>
      <c r="B1526" s="5" t="str">
        <f ca="1">IFERROR(__xludf.DUMMYFUNCTION("""COMPUTED_VALUE"""),"Wounded")</f>
        <v>Wounded</v>
      </c>
      <c r="C1526" s="5" t="str">
        <f ca="1">IFERROR(__xludf.DUMMYFUNCTION("""COMPUTED_VALUE"""),"Male")</f>
        <v>Male</v>
      </c>
      <c r="D1526" s="5" t="str">
        <f ca="1">IFERROR(__xludf.DUMMYFUNCTION("""COMPUTED_VALUE"""),"Student")</f>
        <v>Student</v>
      </c>
      <c r="E1526" s="5">
        <f ca="1">IFERROR(__xludf.DUMMYFUNCTION("""COMPUTED_VALUE"""),17)</f>
        <v>17</v>
      </c>
      <c r="F1526" s="5"/>
    </row>
    <row r="1527" spans="1:6">
      <c r="A1527" s="5" t="str">
        <f ca="1">IFERROR(__xludf.DUMMYFUNCTION("""COMPUTED_VALUE"""),"20070109NVWEL")</f>
        <v>20070109NVWEL</v>
      </c>
      <c r="B1527" s="5" t="str">
        <f ca="1">IFERROR(__xludf.DUMMYFUNCTION("""COMPUTED_VALUE"""),"Wounded")</f>
        <v>Wounded</v>
      </c>
      <c r="C1527" s="5" t="str">
        <f ca="1">IFERROR(__xludf.DUMMYFUNCTION("""COMPUTED_VALUE"""),"Male")</f>
        <v>Male</v>
      </c>
      <c r="D1527" s="5" t="str">
        <f ca="1">IFERROR(__xludf.DUMMYFUNCTION("""COMPUTED_VALUE"""),"Student")</f>
        <v>Student</v>
      </c>
      <c r="E1527" s="5" t="str">
        <f ca="1">IFERROR(__xludf.DUMMYFUNCTION("""COMPUTED_VALUE"""),"Teen")</f>
        <v>Teen</v>
      </c>
      <c r="F1527" s="5"/>
    </row>
    <row r="1528" spans="1:6">
      <c r="A1528" s="5" t="str">
        <f ca="1">IFERROR(__xludf.DUMMYFUNCTION("""COMPUTED_VALUE"""),"20070109NVWEL")</f>
        <v>20070109NVWEL</v>
      </c>
      <c r="B1528" s="5" t="str">
        <f ca="1">IFERROR(__xludf.DUMMYFUNCTION("""COMPUTED_VALUE"""),"Wounded")</f>
        <v>Wounded</v>
      </c>
      <c r="C1528" s="5" t="str">
        <f ca="1">IFERROR(__xludf.DUMMYFUNCTION("""COMPUTED_VALUE"""),"Female")</f>
        <v>Female</v>
      </c>
      <c r="D1528" s="5" t="str">
        <f ca="1">IFERROR(__xludf.DUMMYFUNCTION("""COMPUTED_VALUE"""),"Student")</f>
        <v>Student</v>
      </c>
      <c r="E1528" s="5" t="str">
        <f ca="1">IFERROR(__xludf.DUMMYFUNCTION("""COMPUTED_VALUE"""),"Teen")</f>
        <v>Teen</v>
      </c>
      <c r="F1528" s="5"/>
    </row>
    <row r="1529" spans="1:6">
      <c r="A1529" s="5" t="str">
        <f ca="1">IFERROR(__xludf.DUMMYFUNCTION("""COMPUTED_VALUE"""),"20070109CAGRV")</f>
        <v>20070109CAGRV</v>
      </c>
      <c r="B1529" s="5" t="str">
        <f ca="1">IFERROR(__xludf.DUMMYFUNCTION("""COMPUTED_VALUE"""),"Wounded")</f>
        <v>Wounded</v>
      </c>
      <c r="C1529" s="5" t="str">
        <f ca="1">IFERROR(__xludf.DUMMYFUNCTION("""COMPUTED_VALUE"""),"Male")</f>
        <v>Male</v>
      </c>
      <c r="D1529" s="5" t="str">
        <f ca="1">IFERROR(__xludf.DUMMYFUNCTION("""COMPUTED_VALUE"""),"Student")</f>
        <v>Student</v>
      </c>
      <c r="E1529" s="5">
        <f ca="1">IFERROR(__xludf.DUMMYFUNCTION("""COMPUTED_VALUE"""),16)</f>
        <v>16</v>
      </c>
      <c r="F1529" s="5"/>
    </row>
    <row r="1530" spans="1:6">
      <c r="A1530" s="5" t="str">
        <f ca="1">IFERROR(__xludf.DUMMYFUNCTION("""COMPUTED_VALUE"""),"20070109CAGRV")</f>
        <v>20070109CAGRV</v>
      </c>
      <c r="B1530" s="5" t="str">
        <f ca="1">IFERROR(__xludf.DUMMYFUNCTION("""COMPUTED_VALUE"""),"Wounded")</f>
        <v>Wounded</v>
      </c>
      <c r="C1530" s="5" t="str">
        <f ca="1">IFERROR(__xludf.DUMMYFUNCTION("""COMPUTED_VALUE"""),"Male")</f>
        <v>Male</v>
      </c>
      <c r="D1530" s="5" t="str">
        <f ca="1">IFERROR(__xludf.DUMMYFUNCTION("""COMPUTED_VALUE"""),"Student")</f>
        <v>Student</v>
      </c>
      <c r="E1530" s="5">
        <f ca="1">IFERROR(__xludf.DUMMYFUNCTION("""COMPUTED_VALUE"""),17)</f>
        <v>17</v>
      </c>
      <c r="F1530" s="5"/>
    </row>
    <row r="1531" spans="1:6">
      <c r="A1531" s="5" t="str">
        <f ca="1">IFERROR(__xludf.DUMMYFUNCTION("""COMPUTED_VALUE"""),"20070108OHROC")</f>
        <v>20070108OHROC</v>
      </c>
      <c r="B1531" s="5" t="str">
        <f ca="1">IFERROR(__xludf.DUMMYFUNCTION("""COMPUTED_VALUE"""),"None")</f>
        <v>None</v>
      </c>
      <c r="C1531" s="5" t="str">
        <f ca="1">IFERROR(__xludf.DUMMYFUNCTION("""COMPUTED_VALUE"""),"Unknown")</f>
        <v>Unknown</v>
      </c>
      <c r="D1531" s="5" t="str">
        <f ca="1">IFERROR(__xludf.DUMMYFUNCTION("""COMPUTED_VALUE"""),"Principal/Vice-Principal")</f>
        <v>Principal/Vice-Principal</v>
      </c>
      <c r="E1531" s="5" t="str">
        <f ca="1">IFERROR(__xludf.DUMMYFUNCTION("""COMPUTED_VALUE"""),"Adult")</f>
        <v>Adult</v>
      </c>
      <c r="F1531" s="5"/>
    </row>
    <row r="1532" spans="1:6">
      <c r="A1532" s="5" t="str">
        <f ca="1">IFERROR(__xludf.DUMMYFUNCTION("""COMPUTED_VALUE"""),"20070104MINOD")</f>
        <v>20070104MINOD</v>
      </c>
      <c r="B1532" s="5" t="str">
        <f ca="1">IFERROR(__xludf.DUMMYFUNCTION("""COMPUTED_VALUE"""),"Wounded")</f>
        <v>Wounded</v>
      </c>
      <c r="C1532" s="5" t="str">
        <f ca="1">IFERROR(__xludf.DUMMYFUNCTION("""COMPUTED_VALUE"""),"Female")</f>
        <v>Female</v>
      </c>
      <c r="D1532" s="5" t="str">
        <f ca="1">IFERROR(__xludf.DUMMYFUNCTION("""COMPUTED_VALUE"""),"Student")</f>
        <v>Student</v>
      </c>
      <c r="E1532" s="5">
        <f ca="1">IFERROR(__xludf.DUMMYFUNCTION("""COMPUTED_VALUE"""),14)</f>
        <v>14</v>
      </c>
      <c r="F1532" s="5"/>
    </row>
    <row r="1533" spans="1:6">
      <c r="A1533" s="5" t="str">
        <f ca="1">IFERROR(__xludf.DUMMYFUNCTION("""COMPUTED_VALUE"""),"20070103WAHET")</f>
        <v>20070103WAHET</v>
      </c>
      <c r="B1533" s="5" t="str">
        <f ca="1">IFERROR(__xludf.DUMMYFUNCTION("""COMPUTED_VALUE"""),"Fatal")</f>
        <v>Fatal</v>
      </c>
      <c r="C1533" s="5" t="str">
        <f ca="1">IFERROR(__xludf.DUMMYFUNCTION("""COMPUTED_VALUE"""),"Male")</f>
        <v>Male</v>
      </c>
      <c r="D1533" s="5" t="str">
        <f ca="1">IFERROR(__xludf.DUMMYFUNCTION("""COMPUTED_VALUE"""),"Student")</f>
        <v>Student</v>
      </c>
      <c r="E1533" s="5">
        <f ca="1">IFERROR(__xludf.DUMMYFUNCTION("""COMPUTED_VALUE"""),17)</f>
        <v>17</v>
      </c>
      <c r="F1533" s="5"/>
    </row>
    <row r="1534" spans="1:6">
      <c r="A1534" s="5" t="str">
        <f ca="1">IFERROR(__xludf.DUMMYFUNCTION("""COMPUTED_VALUE"""),"20070102NCWEF")</f>
        <v>20070102NCWEF</v>
      </c>
      <c r="B1534" s="5" t="str">
        <f ca="1">IFERROR(__xludf.DUMMYFUNCTION("""COMPUTED_VALUE"""),"None")</f>
        <v>None</v>
      </c>
      <c r="C1534" s="5" t="str">
        <f ca="1">IFERROR(__xludf.DUMMYFUNCTION("""COMPUTED_VALUE"""),"Male")</f>
        <v>Male</v>
      </c>
      <c r="D1534" s="5" t="str">
        <f ca="1">IFERROR(__xludf.DUMMYFUNCTION("""COMPUTED_VALUE"""),"Student")</f>
        <v>Student</v>
      </c>
      <c r="E1534" s="5">
        <f ca="1">IFERROR(__xludf.DUMMYFUNCTION("""COMPUTED_VALUE"""),17)</f>
        <v>17</v>
      </c>
      <c r="F1534" s="5" t="str">
        <f ca="1">IFERROR(__xludf.DUMMYFUNCTION("""COMPUTED_VALUE"""),"Black")</f>
        <v>Black</v>
      </c>
    </row>
    <row r="1535" spans="1:6">
      <c r="A1535" s="5" t="str">
        <f ca="1">IFERROR(__xludf.DUMMYFUNCTION("""COMPUTED_VALUE"""),"20061214PAMCC")</f>
        <v>20061214PAMCC</v>
      </c>
      <c r="B1535" s="5" t="str">
        <f ca="1">IFERROR(__xludf.DUMMYFUNCTION("""COMPUTED_VALUE"""),"None")</f>
        <v>None</v>
      </c>
      <c r="C1535" s="5" t="str">
        <f ca="1">IFERROR(__xludf.DUMMYFUNCTION("""COMPUTED_VALUE"""),"Male")</f>
        <v>Male</v>
      </c>
      <c r="D1535" s="5" t="str">
        <f ca="1">IFERROR(__xludf.DUMMYFUNCTION("""COMPUTED_VALUE"""),"Student")</f>
        <v>Student</v>
      </c>
      <c r="E1535" s="5">
        <f ca="1">IFERROR(__xludf.DUMMYFUNCTION("""COMPUTED_VALUE"""),17)</f>
        <v>17</v>
      </c>
      <c r="F1535" s="5"/>
    </row>
    <row r="1536" spans="1:6">
      <c r="A1536" s="5" t="str">
        <f ca="1">IFERROR(__xludf.DUMMYFUNCTION("""COMPUTED_VALUE"""),"20061213PABAB")</f>
        <v>20061213PABAB</v>
      </c>
      <c r="B1536" s="5" t="str">
        <f ca="1">IFERROR(__xludf.DUMMYFUNCTION("""COMPUTED_VALUE"""),"Wounded")</f>
        <v>Wounded</v>
      </c>
      <c r="C1536" s="5" t="str">
        <f ca="1">IFERROR(__xludf.DUMMYFUNCTION("""COMPUTED_VALUE"""),"Female")</f>
        <v>Female</v>
      </c>
      <c r="D1536" s="5" t="str">
        <f ca="1">IFERROR(__xludf.DUMMYFUNCTION("""COMPUTED_VALUE"""),"Student")</f>
        <v>Student</v>
      </c>
      <c r="E1536" s="5" t="str">
        <f ca="1">IFERROR(__xludf.DUMMYFUNCTION("""COMPUTED_VALUE"""),"Teen")</f>
        <v>Teen</v>
      </c>
      <c r="F1536" s="5"/>
    </row>
    <row r="1537" spans="1:6">
      <c r="A1537" s="5" t="str">
        <f ca="1">IFERROR(__xludf.DUMMYFUNCTION("""COMPUTED_VALUE"""),"20061212PASPS")</f>
        <v>20061212PASPS</v>
      </c>
      <c r="B1537" s="5" t="str">
        <f ca="1">IFERROR(__xludf.DUMMYFUNCTION("""COMPUTED_VALUE"""),"None")</f>
        <v>None</v>
      </c>
      <c r="C1537" s="5" t="str">
        <f ca="1">IFERROR(__xludf.DUMMYFUNCTION("""COMPUTED_VALUE"""),"Male")</f>
        <v>Male</v>
      </c>
      <c r="D1537" s="5" t="str">
        <f ca="1">IFERROR(__xludf.DUMMYFUNCTION("""COMPUTED_VALUE"""),"Student")</f>
        <v>Student</v>
      </c>
      <c r="E1537" s="5">
        <f ca="1">IFERROR(__xludf.DUMMYFUNCTION("""COMPUTED_VALUE"""),16)</f>
        <v>16</v>
      </c>
      <c r="F1537" s="5"/>
    </row>
    <row r="1538" spans="1:6">
      <c r="A1538" s="5" t="str">
        <f ca="1">IFERROR(__xludf.DUMMYFUNCTION("""COMPUTED_VALUE"""),"20061211ILCLC")</f>
        <v>20061211ILCLC</v>
      </c>
      <c r="B1538" s="5" t="str">
        <f ca="1">IFERROR(__xludf.DUMMYFUNCTION("""COMPUTED_VALUE"""),"Wounded")</f>
        <v>Wounded</v>
      </c>
      <c r="C1538" s="5" t="str">
        <f ca="1">IFERROR(__xludf.DUMMYFUNCTION("""COMPUTED_VALUE"""),"Male")</f>
        <v>Male</v>
      </c>
      <c r="D1538" s="5" t="str">
        <f ca="1">IFERROR(__xludf.DUMMYFUNCTION("""COMPUTED_VALUE"""),"Police Officer/SRO")</f>
        <v>Police Officer/SRO</v>
      </c>
      <c r="E1538" s="5">
        <f ca="1">IFERROR(__xludf.DUMMYFUNCTION("""COMPUTED_VALUE"""),36)</f>
        <v>36</v>
      </c>
      <c r="F1538" s="5"/>
    </row>
    <row r="1539" spans="1:6">
      <c r="A1539" s="5" t="str">
        <f ca="1">IFERROR(__xludf.DUMMYFUNCTION("""COMPUTED_VALUE"""),"20061207NENOO")</f>
        <v>20061207NENOO</v>
      </c>
      <c r="B1539" s="5" t="str">
        <f ca="1">IFERROR(__xludf.DUMMYFUNCTION("""COMPUTED_VALUE"""),"Wounded")</f>
        <v>Wounded</v>
      </c>
      <c r="C1539" s="5" t="str">
        <f ca="1">IFERROR(__xludf.DUMMYFUNCTION("""COMPUTED_VALUE"""),"Male")</f>
        <v>Male</v>
      </c>
      <c r="D1539" s="5" t="str">
        <f ca="1">IFERROR(__xludf.DUMMYFUNCTION("""COMPUTED_VALUE"""),"Student")</f>
        <v>Student</v>
      </c>
      <c r="E1539" s="5">
        <f ca="1">IFERROR(__xludf.DUMMYFUNCTION("""COMPUTED_VALUE"""),17)</f>
        <v>17</v>
      </c>
      <c r="F1539" s="5"/>
    </row>
    <row r="1540" spans="1:6">
      <c r="A1540" s="5" t="str">
        <f ca="1">IFERROR(__xludf.DUMMYFUNCTION("""COMPUTED_VALUE"""),"20061201NCJOT")</f>
        <v>20061201NCJOT</v>
      </c>
      <c r="B1540" s="5" t="str">
        <f ca="1">IFERROR(__xludf.DUMMYFUNCTION("""COMPUTED_VALUE"""),"Fatal")</f>
        <v>Fatal</v>
      </c>
      <c r="C1540" s="5" t="str">
        <f ca="1">IFERROR(__xludf.DUMMYFUNCTION("""COMPUTED_VALUE"""),"Male")</f>
        <v>Male</v>
      </c>
      <c r="D1540" s="5" t="str">
        <f ca="1">IFERROR(__xludf.DUMMYFUNCTION("""COMPUTED_VALUE"""),"Former Student")</f>
        <v>Former Student</v>
      </c>
      <c r="E1540" s="5">
        <f ca="1">IFERROR(__xludf.DUMMYFUNCTION("""COMPUTED_VALUE"""),23)</f>
        <v>23</v>
      </c>
      <c r="F1540" s="5"/>
    </row>
    <row r="1541" spans="1:6">
      <c r="A1541" s="5" t="str">
        <f ca="1">IFERROR(__xludf.DUMMYFUNCTION("""COMPUTED_VALUE"""),"20061122GASAA")</f>
        <v>20061122GASAA</v>
      </c>
      <c r="B1541" s="5" t="str">
        <f ca="1">IFERROR(__xludf.DUMMYFUNCTION("""COMPUTED_VALUE"""),"Fatal")</f>
        <v>Fatal</v>
      </c>
      <c r="C1541" s="5" t="str">
        <f ca="1">IFERROR(__xludf.DUMMYFUNCTION("""COMPUTED_VALUE"""),"Male")</f>
        <v>Male</v>
      </c>
      <c r="D1541" s="5" t="str">
        <f ca="1">IFERROR(__xludf.DUMMYFUNCTION("""COMPUTED_VALUE"""),"Student")</f>
        <v>Student</v>
      </c>
      <c r="E1541" s="5">
        <f ca="1">IFERROR(__xludf.DUMMYFUNCTION("""COMPUTED_VALUE"""),14)</f>
        <v>14</v>
      </c>
      <c r="F1541" s="5"/>
    </row>
    <row r="1542" spans="1:6">
      <c r="A1542" s="5" t="str">
        <f ca="1">IFERROR(__xludf.DUMMYFUNCTION("""COMPUTED_VALUE"""),"20061111CALIO")</f>
        <v>20061111CALIO</v>
      </c>
      <c r="B1542" s="5" t="str">
        <f ca="1">IFERROR(__xludf.DUMMYFUNCTION("""COMPUTED_VALUE"""),"Fatal")</f>
        <v>Fatal</v>
      </c>
      <c r="C1542" s="5" t="str">
        <f ca="1">IFERROR(__xludf.DUMMYFUNCTION("""COMPUTED_VALUE"""),"Male")</f>
        <v>Male</v>
      </c>
      <c r="D1542" s="5" t="str">
        <f ca="1">IFERROR(__xludf.DUMMYFUNCTION("""COMPUTED_VALUE"""),"No Relation")</f>
        <v>No Relation</v>
      </c>
      <c r="E1542" s="5">
        <f ca="1">IFERROR(__xludf.DUMMYFUNCTION("""COMPUTED_VALUE"""),23)</f>
        <v>23</v>
      </c>
      <c r="F1542" s="5"/>
    </row>
    <row r="1543" spans="1:6">
      <c r="A1543" s="5" t="str">
        <f ca="1">IFERROR(__xludf.DUMMYFUNCTION("""COMPUTED_VALUE"""),"20061111CALIO")</f>
        <v>20061111CALIO</v>
      </c>
      <c r="B1543" s="5" t="str">
        <f ca="1">IFERROR(__xludf.DUMMYFUNCTION("""COMPUTED_VALUE"""),"Wounded")</f>
        <v>Wounded</v>
      </c>
      <c r="C1543" s="5" t="str">
        <f ca="1">IFERROR(__xludf.DUMMYFUNCTION("""COMPUTED_VALUE"""),"Male")</f>
        <v>Male</v>
      </c>
      <c r="D1543" s="5" t="str">
        <f ca="1">IFERROR(__xludf.DUMMYFUNCTION("""COMPUTED_VALUE"""),"No Relation")</f>
        <v>No Relation</v>
      </c>
      <c r="E1543" s="5">
        <f ca="1">IFERROR(__xludf.DUMMYFUNCTION("""COMPUTED_VALUE"""),20)</f>
        <v>20</v>
      </c>
      <c r="F1543" s="5"/>
    </row>
    <row r="1544" spans="1:6">
      <c r="A1544" s="5" t="str">
        <f ca="1">IFERROR(__xludf.DUMMYFUNCTION("""COMPUTED_VALUE"""),"20061031TNHAK")</f>
        <v>20061031TNHAK</v>
      </c>
      <c r="B1544" s="5" t="str">
        <f ca="1">IFERROR(__xludf.DUMMYFUNCTION("""COMPUTED_VALUE"""),"Fatal")</f>
        <v>Fatal</v>
      </c>
      <c r="C1544" s="5" t="str">
        <f ca="1">IFERROR(__xludf.DUMMYFUNCTION("""COMPUTED_VALUE"""),"Male")</f>
        <v>Male</v>
      </c>
      <c r="D1544" s="5" t="str">
        <f ca="1">IFERROR(__xludf.DUMMYFUNCTION("""COMPUTED_VALUE"""),"Security Guard")</f>
        <v>Security Guard</v>
      </c>
      <c r="E1544" s="5">
        <f ca="1">IFERROR(__xludf.DUMMYFUNCTION("""COMPUTED_VALUE"""),39)</f>
        <v>39</v>
      </c>
      <c r="F1544" s="5"/>
    </row>
    <row r="1545" spans="1:6">
      <c r="A1545" s="5" t="str">
        <f ca="1">IFERROR(__xludf.DUMMYFUNCTION("""COMPUTED_VALUE"""),"20061017TXSEK")</f>
        <v>20061017TXSEK</v>
      </c>
      <c r="B1545" s="5" t="str">
        <f ca="1">IFERROR(__xludf.DUMMYFUNCTION("""COMPUTED_VALUE"""),"None")</f>
        <v>None</v>
      </c>
      <c r="C1545" s="5" t="str">
        <f ca="1">IFERROR(__xludf.DUMMYFUNCTION("""COMPUTED_VALUE"""),"Male")</f>
        <v>Male</v>
      </c>
      <c r="D1545" s="5" t="str">
        <f ca="1">IFERROR(__xludf.DUMMYFUNCTION("""COMPUTED_VALUE"""),"Student")</f>
        <v>Student</v>
      </c>
      <c r="E1545" s="5">
        <f ca="1">IFERROR(__xludf.DUMMYFUNCTION("""COMPUTED_VALUE"""),16)</f>
        <v>16</v>
      </c>
      <c r="F1545" s="5"/>
    </row>
    <row r="1546" spans="1:6">
      <c r="A1546" s="5" t="str">
        <f ca="1">IFERROR(__xludf.DUMMYFUNCTION("""COMPUTED_VALUE"""),"20061012MDGRB")</f>
        <v>20061012MDGRB</v>
      </c>
      <c r="B1546" s="5" t="str">
        <f ca="1">IFERROR(__xludf.DUMMYFUNCTION("""COMPUTED_VALUE"""),"None")</f>
        <v>None</v>
      </c>
      <c r="C1546" s="5"/>
      <c r="D1546" s="5"/>
      <c r="E1546" s="5"/>
      <c r="F1546" s="5"/>
    </row>
    <row r="1547" spans="1:6">
      <c r="A1547" s="5" t="str">
        <f ca="1">IFERROR(__xludf.DUMMYFUNCTION("""COMPUTED_VALUE"""),"20061010NYPOP")</f>
        <v>20061010NYPOP</v>
      </c>
      <c r="B1547" s="5" t="str">
        <f ca="1">IFERROR(__xludf.DUMMYFUNCTION("""COMPUTED_VALUE"""),"Wounded")</f>
        <v>Wounded</v>
      </c>
      <c r="C1547" s="5" t="str">
        <f ca="1">IFERROR(__xludf.DUMMYFUNCTION("""COMPUTED_VALUE"""),"Male")</f>
        <v>Male</v>
      </c>
      <c r="D1547" s="5" t="str">
        <f ca="1">IFERROR(__xludf.DUMMYFUNCTION("""COMPUTED_VALUE"""),"Student")</f>
        <v>Student</v>
      </c>
      <c r="E1547" s="5">
        <f ca="1">IFERROR(__xludf.DUMMYFUNCTION("""COMPUTED_VALUE"""),12)</f>
        <v>12</v>
      </c>
      <c r="F1547" s="5"/>
    </row>
    <row r="1548" spans="1:6">
      <c r="A1548" s="5" t="str">
        <f ca="1">IFERROR(__xludf.DUMMYFUNCTION("""COMPUTED_VALUE"""),"20061010NYPOP")</f>
        <v>20061010NYPOP</v>
      </c>
      <c r="B1548" s="5" t="str">
        <f ca="1">IFERROR(__xludf.DUMMYFUNCTION("""COMPUTED_VALUE"""),"Wounded")</f>
        <v>Wounded</v>
      </c>
      <c r="C1548" s="5" t="str">
        <f ca="1">IFERROR(__xludf.DUMMYFUNCTION("""COMPUTED_VALUE"""),"Male")</f>
        <v>Male</v>
      </c>
      <c r="D1548" s="5" t="str">
        <f ca="1">IFERROR(__xludf.DUMMYFUNCTION("""COMPUTED_VALUE"""),"Student")</f>
        <v>Student</v>
      </c>
      <c r="E1548" s="5">
        <f ca="1">IFERROR(__xludf.DUMMYFUNCTION("""COMPUTED_VALUE"""),12)</f>
        <v>12</v>
      </c>
      <c r="F1548" s="5"/>
    </row>
    <row r="1549" spans="1:6">
      <c r="A1549" s="5" t="str">
        <f ca="1">IFERROR(__xludf.DUMMYFUNCTION("""COMPUTED_VALUE"""),"20061009MOMEJ")</f>
        <v>20061009MOMEJ</v>
      </c>
      <c r="B1549" s="5" t="str">
        <f ca="1">IFERROR(__xludf.DUMMYFUNCTION("""COMPUTED_VALUE"""),"None")</f>
        <v>None</v>
      </c>
      <c r="C1549" s="5"/>
      <c r="D1549" s="5"/>
      <c r="E1549" s="5"/>
      <c r="F1549" s="5"/>
    </row>
    <row r="1550" spans="1:6">
      <c r="A1550" s="5" t="str">
        <f ca="1">IFERROR(__xludf.DUMMYFUNCTION("""COMPUTED_VALUE"""),"20061002PAWEN")</f>
        <v>20061002PAWEN</v>
      </c>
      <c r="B1550" s="5" t="str">
        <f ca="1">IFERROR(__xludf.DUMMYFUNCTION("""COMPUTED_VALUE"""),"Fatal")</f>
        <v>Fatal</v>
      </c>
      <c r="C1550" s="5" t="str">
        <f ca="1">IFERROR(__xludf.DUMMYFUNCTION("""COMPUTED_VALUE"""),"Female")</f>
        <v>Female</v>
      </c>
      <c r="D1550" s="5" t="str">
        <f ca="1">IFERROR(__xludf.DUMMYFUNCTION("""COMPUTED_VALUE"""),"Student")</f>
        <v>Student</v>
      </c>
      <c r="E1550" s="5">
        <f ca="1">IFERROR(__xludf.DUMMYFUNCTION("""COMPUTED_VALUE"""),12)</f>
        <v>12</v>
      </c>
      <c r="F1550" s="5"/>
    </row>
    <row r="1551" spans="1:6">
      <c r="A1551" s="5" t="str">
        <f ca="1">IFERROR(__xludf.DUMMYFUNCTION("""COMPUTED_VALUE"""),"20061002PAWEN")</f>
        <v>20061002PAWEN</v>
      </c>
      <c r="B1551" s="5" t="str">
        <f ca="1">IFERROR(__xludf.DUMMYFUNCTION("""COMPUTED_VALUE"""),"Fatal")</f>
        <v>Fatal</v>
      </c>
      <c r="C1551" s="5" t="str">
        <f ca="1">IFERROR(__xludf.DUMMYFUNCTION("""COMPUTED_VALUE"""),"Female")</f>
        <v>Female</v>
      </c>
      <c r="D1551" s="5" t="str">
        <f ca="1">IFERROR(__xludf.DUMMYFUNCTION("""COMPUTED_VALUE"""),"Student")</f>
        <v>Student</v>
      </c>
      <c r="E1551" s="5">
        <f ca="1">IFERROR(__xludf.DUMMYFUNCTION("""COMPUTED_VALUE"""),7)</f>
        <v>7</v>
      </c>
      <c r="F1551" s="5"/>
    </row>
    <row r="1552" spans="1:6">
      <c r="A1552" s="5" t="str">
        <f ca="1">IFERROR(__xludf.DUMMYFUNCTION("""COMPUTED_VALUE"""),"20061002PAWEN")</f>
        <v>20061002PAWEN</v>
      </c>
      <c r="B1552" s="5" t="str">
        <f ca="1">IFERROR(__xludf.DUMMYFUNCTION("""COMPUTED_VALUE"""),"Wounded")</f>
        <v>Wounded</v>
      </c>
      <c r="C1552" s="5" t="str">
        <f ca="1">IFERROR(__xludf.DUMMYFUNCTION("""COMPUTED_VALUE"""),"Female")</f>
        <v>Female</v>
      </c>
      <c r="D1552" s="5" t="str">
        <f ca="1">IFERROR(__xludf.DUMMYFUNCTION("""COMPUTED_VALUE"""),"Student")</f>
        <v>Student</v>
      </c>
      <c r="E1552" s="5" t="str">
        <f ca="1">IFERROR(__xludf.DUMMYFUNCTION("""COMPUTED_VALUE"""),"Child")</f>
        <v>Child</v>
      </c>
      <c r="F1552" s="5"/>
    </row>
    <row r="1553" spans="1:6">
      <c r="A1553" s="5" t="str">
        <f ca="1">IFERROR(__xludf.DUMMYFUNCTION("""COMPUTED_VALUE"""),"20061002PAWEN")</f>
        <v>20061002PAWEN</v>
      </c>
      <c r="B1553" s="5" t="str">
        <f ca="1">IFERROR(__xludf.DUMMYFUNCTION("""COMPUTED_VALUE"""),"Wounded")</f>
        <v>Wounded</v>
      </c>
      <c r="C1553" s="5" t="str">
        <f ca="1">IFERROR(__xludf.DUMMYFUNCTION("""COMPUTED_VALUE"""),"Female")</f>
        <v>Female</v>
      </c>
      <c r="D1553" s="5" t="str">
        <f ca="1">IFERROR(__xludf.DUMMYFUNCTION("""COMPUTED_VALUE"""),"Student")</f>
        <v>Student</v>
      </c>
      <c r="E1553" s="5" t="str">
        <f ca="1">IFERROR(__xludf.DUMMYFUNCTION("""COMPUTED_VALUE"""),"Child")</f>
        <v>Child</v>
      </c>
      <c r="F1553" s="5"/>
    </row>
    <row r="1554" spans="1:6">
      <c r="A1554" s="5" t="str">
        <f ca="1">IFERROR(__xludf.DUMMYFUNCTION("""COMPUTED_VALUE"""),"20061002PAWEN")</f>
        <v>20061002PAWEN</v>
      </c>
      <c r="B1554" s="5" t="str">
        <f ca="1">IFERROR(__xludf.DUMMYFUNCTION("""COMPUTED_VALUE"""),"Wounded")</f>
        <v>Wounded</v>
      </c>
      <c r="C1554" s="5" t="str">
        <f ca="1">IFERROR(__xludf.DUMMYFUNCTION("""COMPUTED_VALUE"""),"Female")</f>
        <v>Female</v>
      </c>
      <c r="D1554" s="5" t="str">
        <f ca="1">IFERROR(__xludf.DUMMYFUNCTION("""COMPUTED_VALUE"""),"Student")</f>
        <v>Student</v>
      </c>
      <c r="E1554" s="5" t="str">
        <f ca="1">IFERROR(__xludf.DUMMYFUNCTION("""COMPUTED_VALUE"""),"Child")</f>
        <v>Child</v>
      </c>
      <c r="F1554" s="5"/>
    </row>
    <row r="1555" spans="1:6">
      <c r="A1555" s="5" t="str">
        <f ca="1">IFERROR(__xludf.DUMMYFUNCTION("""COMPUTED_VALUE"""),"20061002PAWEN")</f>
        <v>20061002PAWEN</v>
      </c>
      <c r="B1555" s="5" t="str">
        <f ca="1">IFERROR(__xludf.DUMMYFUNCTION("""COMPUTED_VALUE"""),"Fatal")</f>
        <v>Fatal</v>
      </c>
      <c r="C1555" s="5" t="str">
        <f ca="1">IFERROR(__xludf.DUMMYFUNCTION("""COMPUTED_VALUE"""),"Female")</f>
        <v>Female</v>
      </c>
      <c r="D1555" s="5" t="str">
        <f ca="1">IFERROR(__xludf.DUMMYFUNCTION("""COMPUTED_VALUE"""),"Student")</f>
        <v>Student</v>
      </c>
      <c r="E1555" s="5">
        <f ca="1">IFERROR(__xludf.DUMMYFUNCTION("""COMPUTED_VALUE"""),13)</f>
        <v>13</v>
      </c>
      <c r="F1555" s="5"/>
    </row>
    <row r="1556" spans="1:6">
      <c r="A1556" s="5" t="str">
        <f ca="1">IFERROR(__xludf.DUMMYFUNCTION("""COMPUTED_VALUE"""),"20061002PAWEN")</f>
        <v>20061002PAWEN</v>
      </c>
      <c r="B1556" s="5" t="str">
        <f ca="1">IFERROR(__xludf.DUMMYFUNCTION("""COMPUTED_VALUE"""),"Wounded")</f>
        <v>Wounded</v>
      </c>
      <c r="C1556" s="5" t="str">
        <f ca="1">IFERROR(__xludf.DUMMYFUNCTION("""COMPUTED_VALUE"""),"Female")</f>
        <v>Female</v>
      </c>
      <c r="D1556" s="5" t="str">
        <f ca="1">IFERROR(__xludf.DUMMYFUNCTION("""COMPUTED_VALUE"""),"Student")</f>
        <v>Student</v>
      </c>
      <c r="E1556" s="5" t="str">
        <f ca="1">IFERROR(__xludf.DUMMYFUNCTION("""COMPUTED_VALUE"""),"Child")</f>
        <v>Child</v>
      </c>
      <c r="F1556" s="5"/>
    </row>
    <row r="1557" spans="1:6">
      <c r="A1557" s="5" t="str">
        <f ca="1">IFERROR(__xludf.DUMMYFUNCTION("""COMPUTED_VALUE"""),"20061002PAWEN")</f>
        <v>20061002PAWEN</v>
      </c>
      <c r="B1557" s="5" t="str">
        <f ca="1">IFERROR(__xludf.DUMMYFUNCTION("""COMPUTED_VALUE"""),"Fatal")</f>
        <v>Fatal</v>
      </c>
      <c r="C1557" s="5" t="str">
        <f ca="1">IFERROR(__xludf.DUMMYFUNCTION("""COMPUTED_VALUE"""),"Female")</f>
        <v>Female</v>
      </c>
      <c r="D1557" s="5" t="str">
        <f ca="1">IFERROR(__xludf.DUMMYFUNCTION("""COMPUTED_VALUE"""),"Student")</f>
        <v>Student</v>
      </c>
      <c r="E1557" s="5">
        <f ca="1">IFERROR(__xludf.DUMMYFUNCTION("""COMPUTED_VALUE"""),8)</f>
        <v>8</v>
      </c>
      <c r="F1557" s="5"/>
    </row>
    <row r="1558" spans="1:6">
      <c r="A1558" s="5" t="str">
        <f ca="1">IFERROR(__xludf.DUMMYFUNCTION("""COMPUTED_VALUE"""),"20061002PAWEN")</f>
        <v>20061002PAWEN</v>
      </c>
      <c r="B1558" s="5" t="str">
        <f ca="1">IFERROR(__xludf.DUMMYFUNCTION("""COMPUTED_VALUE"""),"Wounded")</f>
        <v>Wounded</v>
      </c>
      <c r="C1558" s="5" t="str">
        <f ca="1">IFERROR(__xludf.DUMMYFUNCTION("""COMPUTED_VALUE"""),"Female")</f>
        <v>Female</v>
      </c>
      <c r="D1558" s="5" t="str">
        <f ca="1">IFERROR(__xludf.DUMMYFUNCTION("""COMPUTED_VALUE"""),"Student")</f>
        <v>Student</v>
      </c>
      <c r="E1558" s="5" t="str">
        <f ca="1">IFERROR(__xludf.DUMMYFUNCTION("""COMPUTED_VALUE"""),"Child")</f>
        <v>Child</v>
      </c>
      <c r="F1558" s="5"/>
    </row>
    <row r="1559" spans="1:6">
      <c r="A1559" s="5" t="str">
        <f ca="1">IFERROR(__xludf.DUMMYFUNCTION("""COMPUTED_VALUE"""),"20061002PAWEN")</f>
        <v>20061002PAWEN</v>
      </c>
      <c r="B1559" s="5" t="str">
        <f ca="1">IFERROR(__xludf.DUMMYFUNCTION("""COMPUTED_VALUE"""),"Fatal")</f>
        <v>Fatal</v>
      </c>
      <c r="C1559" s="5" t="str">
        <f ca="1">IFERROR(__xludf.DUMMYFUNCTION("""COMPUTED_VALUE"""),"Female")</f>
        <v>Female</v>
      </c>
      <c r="D1559" s="5" t="str">
        <f ca="1">IFERROR(__xludf.DUMMYFUNCTION("""COMPUTED_VALUE"""),"Student")</f>
        <v>Student</v>
      </c>
      <c r="E1559" s="5">
        <f ca="1">IFERROR(__xludf.DUMMYFUNCTION("""COMPUTED_VALUE"""),7)</f>
        <v>7</v>
      </c>
      <c r="F1559" s="5"/>
    </row>
    <row r="1560" spans="1:6">
      <c r="A1560" s="5" t="str">
        <f ca="1">IFERROR(__xludf.DUMMYFUNCTION("""COMPUTED_VALUE"""),"20060929WIWEC")</f>
        <v>20060929WIWEC</v>
      </c>
      <c r="B1560" s="5" t="str">
        <f ca="1">IFERROR(__xludf.DUMMYFUNCTION("""COMPUTED_VALUE"""),"Fatal")</f>
        <v>Fatal</v>
      </c>
      <c r="C1560" s="5" t="str">
        <f ca="1">IFERROR(__xludf.DUMMYFUNCTION("""COMPUTED_VALUE"""),"Male")</f>
        <v>Male</v>
      </c>
      <c r="D1560" s="5" t="str">
        <f ca="1">IFERROR(__xludf.DUMMYFUNCTION("""COMPUTED_VALUE"""),"Principal/Vice-Principal")</f>
        <v>Principal/Vice-Principal</v>
      </c>
      <c r="E1560" s="5" t="str">
        <f ca="1">IFERROR(__xludf.DUMMYFUNCTION("""COMPUTED_VALUE"""),"Adult")</f>
        <v>Adult</v>
      </c>
      <c r="F1560" s="5"/>
    </row>
    <row r="1561" spans="1:6">
      <c r="A1561" s="5" t="str">
        <f ca="1">IFERROR(__xludf.DUMMYFUNCTION("""COMPUTED_VALUE"""),"20060927COPLB")</f>
        <v>20060927COPLB</v>
      </c>
      <c r="B1561" s="5" t="str">
        <f ca="1">IFERROR(__xludf.DUMMYFUNCTION("""COMPUTED_VALUE"""),"Fatal")</f>
        <v>Fatal</v>
      </c>
      <c r="C1561" s="5" t="str">
        <f ca="1">IFERROR(__xludf.DUMMYFUNCTION("""COMPUTED_VALUE"""),"Female")</f>
        <v>Female</v>
      </c>
      <c r="D1561" s="5" t="str">
        <f ca="1">IFERROR(__xludf.DUMMYFUNCTION("""COMPUTED_VALUE"""),"Student")</f>
        <v>Student</v>
      </c>
      <c r="E1561" s="5">
        <f ca="1">IFERROR(__xludf.DUMMYFUNCTION("""COMPUTED_VALUE"""),16)</f>
        <v>16</v>
      </c>
      <c r="F1561" s="5" t="str">
        <f ca="1">IFERROR(__xludf.DUMMYFUNCTION("""COMPUTED_VALUE"""),"White")</f>
        <v>White</v>
      </c>
    </row>
    <row r="1562" spans="1:6">
      <c r="A1562" s="5" t="str">
        <f ca="1">IFERROR(__xludf.DUMMYFUNCTION("""COMPUTED_VALUE"""),"20060921DCCAW")</f>
        <v>20060921DCCAW</v>
      </c>
      <c r="B1562" s="5" t="str">
        <f ca="1">IFERROR(__xludf.DUMMYFUNCTION("""COMPUTED_VALUE"""),"Wounded")</f>
        <v>Wounded</v>
      </c>
      <c r="C1562" s="5" t="str">
        <f ca="1">IFERROR(__xludf.DUMMYFUNCTION("""COMPUTED_VALUE"""),"Male")</f>
        <v>Male</v>
      </c>
      <c r="D1562" s="5" t="str">
        <f ca="1">IFERROR(__xludf.DUMMYFUNCTION("""COMPUTED_VALUE"""),"Student")</f>
        <v>Student</v>
      </c>
      <c r="E1562" s="5">
        <f ca="1">IFERROR(__xludf.DUMMYFUNCTION("""COMPUTED_VALUE"""),16)</f>
        <v>16</v>
      </c>
      <c r="F1562" s="5"/>
    </row>
    <row r="1563" spans="1:6">
      <c r="A1563" s="5" t="str">
        <f ca="1">IFERROR(__xludf.DUMMYFUNCTION("""COMPUTED_VALUE"""),"20060913MOWEC")</f>
        <v>20060913MOWEC</v>
      </c>
      <c r="B1563" s="5" t="str">
        <f ca="1">IFERROR(__xludf.DUMMYFUNCTION("""COMPUTED_VALUE"""),"None")</f>
        <v>None</v>
      </c>
      <c r="C1563" s="5" t="str">
        <f ca="1">IFERROR(__xludf.DUMMYFUNCTION("""COMPUTED_VALUE"""),"Male")</f>
        <v>Male</v>
      </c>
      <c r="D1563" s="5" t="str">
        <f ca="1">IFERROR(__xludf.DUMMYFUNCTION("""COMPUTED_VALUE"""),"Student")</f>
        <v>Student</v>
      </c>
      <c r="E1563" s="5">
        <f ca="1">IFERROR(__xludf.DUMMYFUNCTION("""COMPUTED_VALUE"""),17)</f>
        <v>17</v>
      </c>
      <c r="F1563" s="5"/>
    </row>
    <row r="1564" spans="1:6">
      <c r="A1564" s="5" t="str">
        <f ca="1">IFERROR(__xludf.DUMMYFUNCTION("""COMPUTED_VALUE"""),"20060908TXSOF")</f>
        <v>20060908TXSOF</v>
      </c>
      <c r="B1564" s="5" t="str">
        <f ca="1">IFERROR(__xludf.DUMMYFUNCTION("""COMPUTED_VALUE"""),"Wounded")</f>
        <v>Wounded</v>
      </c>
      <c r="C1564" s="5" t="str">
        <f ca="1">IFERROR(__xludf.DUMMYFUNCTION("""COMPUTED_VALUE"""),"Male")</f>
        <v>Male</v>
      </c>
      <c r="D1564" s="5" t="str">
        <f ca="1">IFERROR(__xludf.DUMMYFUNCTION("""COMPUTED_VALUE"""),"Student")</f>
        <v>Student</v>
      </c>
      <c r="E1564" s="5">
        <f ca="1">IFERROR(__xludf.DUMMYFUNCTION("""COMPUTED_VALUE"""),15)</f>
        <v>15</v>
      </c>
      <c r="F1564" s="5"/>
    </row>
    <row r="1565" spans="1:6">
      <c r="A1565" s="5" t="str">
        <f ca="1">IFERROR(__xludf.DUMMYFUNCTION("""COMPUTED_VALUE"""),"20060905TNKIM")</f>
        <v>20060905TNKIM</v>
      </c>
      <c r="B1565" s="5" t="str">
        <f ca="1">IFERROR(__xludf.DUMMYFUNCTION("""COMPUTED_VALUE"""),"Wounded")</f>
        <v>Wounded</v>
      </c>
      <c r="C1565" s="5" t="str">
        <f ca="1">IFERROR(__xludf.DUMMYFUNCTION("""COMPUTED_VALUE"""),"Male")</f>
        <v>Male</v>
      </c>
      <c r="D1565" s="5" t="str">
        <f ca="1">IFERROR(__xludf.DUMMYFUNCTION("""COMPUTED_VALUE"""),"Student")</f>
        <v>Student</v>
      </c>
      <c r="E1565" s="5" t="str">
        <f ca="1">IFERROR(__xludf.DUMMYFUNCTION("""COMPUTED_VALUE"""),"Teen")</f>
        <v>Teen</v>
      </c>
      <c r="F1565" s="5"/>
    </row>
    <row r="1566" spans="1:6">
      <c r="A1566" s="5" t="str">
        <f ca="1">IFERROR(__xludf.DUMMYFUNCTION("""COMPUTED_VALUE"""),"20060831ALOXO")</f>
        <v>20060831ALOXO</v>
      </c>
      <c r="B1566" s="5" t="str">
        <f ca="1">IFERROR(__xludf.DUMMYFUNCTION("""COMPUTED_VALUE"""),"Wounded")</f>
        <v>Wounded</v>
      </c>
      <c r="C1566" s="5" t="str">
        <f ca="1">IFERROR(__xludf.DUMMYFUNCTION("""COMPUTED_VALUE"""),"Male")</f>
        <v>Male</v>
      </c>
      <c r="D1566" s="5" t="str">
        <f ca="1">IFERROR(__xludf.DUMMYFUNCTION("""COMPUTED_VALUE"""),"Nonstudent Using Athletic Facilities/Attending Game")</f>
        <v>Nonstudent Using Athletic Facilities/Attending Game</v>
      </c>
      <c r="E1566" s="5">
        <f ca="1">IFERROR(__xludf.DUMMYFUNCTION("""COMPUTED_VALUE"""),21)</f>
        <v>21</v>
      </c>
      <c r="F1566" s="5"/>
    </row>
    <row r="1567" spans="1:6">
      <c r="A1567" s="5" t="str">
        <f ca="1">IFERROR(__xludf.DUMMYFUNCTION("""COMPUTED_VALUE"""),"20060830NCORH")</f>
        <v>20060830NCORH</v>
      </c>
      <c r="B1567" s="5" t="str">
        <f ca="1">IFERROR(__xludf.DUMMYFUNCTION("""COMPUTED_VALUE"""),"Wounded")</f>
        <v>Wounded</v>
      </c>
      <c r="C1567" s="5" t="str">
        <f ca="1">IFERROR(__xludf.DUMMYFUNCTION("""COMPUTED_VALUE"""),"Male")</f>
        <v>Male</v>
      </c>
      <c r="D1567" s="5" t="str">
        <f ca="1">IFERROR(__xludf.DUMMYFUNCTION("""COMPUTED_VALUE"""),"Student")</f>
        <v>Student</v>
      </c>
      <c r="E1567" s="5" t="str">
        <f ca="1">IFERROR(__xludf.DUMMYFUNCTION("""COMPUTED_VALUE"""),"Teen")</f>
        <v>Teen</v>
      </c>
      <c r="F1567" s="5"/>
    </row>
    <row r="1568" spans="1:6">
      <c r="A1568" s="5" t="str">
        <f ca="1">IFERROR(__xludf.DUMMYFUNCTION("""COMPUTED_VALUE"""),"20060830NCORH")</f>
        <v>20060830NCORH</v>
      </c>
      <c r="B1568" s="5" t="str">
        <f ca="1">IFERROR(__xludf.DUMMYFUNCTION("""COMPUTED_VALUE"""),"Wounded")</f>
        <v>Wounded</v>
      </c>
      <c r="C1568" s="5" t="str">
        <f ca="1">IFERROR(__xludf.DUMMYFUNCTION("""COMPUTED_VALUE"""),"Female")</f>
        <v>Female</v>
      </c>
      <c r="D1568" s="5" t="str">
        <f ca="1">IFERROR(__xludf.DUMMYFUNCTION("""COMPUTED_VALUE"""),"Student")</f>
        <v>Student</v>
      </c>
      <c r="E1568" s="5" t="str">
        <f ca="1">IFERROR(__xludf.DUMMYFUNCTION("""COMPUTED_VALUE"""),"Teen")</f>
        <v>Teen</v>
      </c>
      <c r="F1568" s="5"/>
    </row>
    <row r="1569" spans="1:6">
      <c r="A1569" s="5" t="str">
        <f ca="1">IFERROR(__xludf.DUMMYFUNCTION("""COMPUTED_VALUE"""),"20060829DCANW")</f>
        <v>20060829DCANW</v>
      </c>
      <c r="B1569" s="5" t="str">
        <f ca="1">IFERROR(__xludf.DUMMYFUNCTION("""COMPUTED_VALUE"""),"None")</f>
        <v>None</v>
      </c>
      <c r="C1569" s="5"/>
      <c r="D1569" s="5"/>
      <c r="E1569" s="5"/>
      <c r="F1569" s="5"/>
    </row>
    <row r="1570" spans="1:6">
      <c r="A1570" s="5" t="str">
        <f ca="1">IFERROR(__xludf.DUMMYFUNCTION("""COMPUTED_VALUE"""),"20060824VTESE")</f>
        <v>20060824VTESE</v>
      </c>
      <c r="B1570" s="5" t="str">
        <f ca="1">IFERROR(__xludf.DUMMYFUNCTION("""COMPUTED_VALUE"""),"Fatal")</f>
        <v>Fatal</v>
      </c>
      <c r="C1570" s="5" t="str">
        <f ca="1">IFERROR(__xludf.DUMMYFUNCTION("""COMPUTED_VALUE"""),"Female")</f>
        <v>Female</v>
      </c>
      <c r="D1570" s="5" t="str">
        <f ca="1">IFERROR(__xludf.DUMMYFUNCTION("""COMPUTED_VALUE"""),"Teacher")</f>
        <v>Teacher</v>
      </c>
      <c r="E1570" s="5" t="str">
        <f ca="1">IFERROR(__xludf.DUMMYFUNCTION("""COMPUTED_VALUE"""),"Adult")</f>
        <v>Adult</v>
      </c>
      <c r="F1570" s="5"/>
    </row>
    <row r="1571" spans="1:6">
      <c r="A1571" s="5" t="str">
        <f ca="1">IFERROR(__xludf.DUMMYFUNCTION("""COMPUTED_VALUE"""),"20060821INCAN")</f>
        <v>20060821INCAN</v>
      </c>
      <c r="B1571" s="5" t="str">
        <f ca="1">IFERROR(__xludf.DUMMYFUNCTION("""COMPUTED_VALUE"""),"None")</f>
        <v>None</v>
      </c>
      <c r="C1571" s="5" t="str">
        <f ca="1">IFERROR(__xludf.DUMMYFUNCTION("""COMPUTED_VALUE"""),"Male")</f>
        <v>Male</v>
      </c>
      <c r="D1571" s="5" t="str">
        <f ca="1">IFERROR(__xludf.DUMMYFUNCTION("""COMPUTED_VALUE"""),"Student")</f>
        <v>Student</v>
      </c>
      <c r="E1571" s="5">
        <f ca="1">IFERROR(__xludf.DUMMYFUNCTION("""COMPUTED_VALUE"""),16)</f>
        <v>16</v>
      </c>
      <c r="F1571" s="5" t="str">
        <f ca="1">IFERROR(__xludf.DUMMYFUNCTION("""COMPUTED_VALUE"""),"White")</f>
        <v>White</v>
      </c>
    </row>
    <row r="1572" spans="1:6">
      <c r="A1572" s="5" t="str">
        <f ca="1">IFERROR(__xludf.DUMMYFUNCTION("""COMPUTED_VALUE"""),"20060820GALYH")</f>
        <v>20060820GALYH</v>
      </c>
      <c r="B1572" s="5" t="str">
        <f ca="1">IFERROR(__xludf.DUMMYFUNCTION("""COMPUTED_VALUE"""),"Wounded")</f>
        <v>Wounded</v>
      </c>
      <c r="C1572" s="5" t="str">
        <f ca="1">IFERROR(__xludf.DUMMYFUNCTION("""COMPUTED_VALUE"""),"Male")</f>
        <v>Male</v>
      </c>
      <c r="D1572" s="5" t="str">
        <f ca="1">IFERROR(__xludf.DUMMYFUNCTION("""COMPUTED_VALUE"""),"No Relation")</f>
        <v>No Relation</v>
      </c>
      <c r="E1572" s="5">
        <f ca="1">IFERROR(__xludf.DUMMYFUNCTION("""COMPUTED_VALUE"""),18)</f>
        <v>18</v>
      </c>
      <c r="F1572" s="5"/>
    </row>
    <row r="1573" spans="1:6">
      <c r="A1573" s="5" t="str">
        <f ca="1">IFERROR(__xludf.DUMMYFUNCTION("""COMPUTED_VALUE"""),"20060820GALYH")</f>
        <v>20060820GALYH</v>
      </c>
      <c r="B1573" s="5" t="str">
        <f ca="1">IFERROR(__xludf.DUMMYFUNCTION("""COMPUTED_VALUE"""),"Wounded")</f>
        <v>Wounded</v>
      </c>
      <c r="C1573" s="5" t="str">
        <f ca="1">IFERROR(__xludf.DUMMYFUNCTION("""COMPUTED_VALUE"""),"Male")</f>
        <v>Male</v>
      </c>
      <c r="D1573" s="5" t="str">
        <f ca="1">IFERROR(__xludf.DUMMYFUNCTION("""COMPUTED_VALUE"""),"No Relation")</f>
        <v>No Relation</v>
      </c>
      <c r="E1573" s="5">
        <f ca="1">IFERROR(__xludf.DUMMYFUNCTION("""COMPUTED_VALUE"""),17)</f>
        <v>17</v>
      </c>
      <c r="F1573" s="5"/>
    </row>
    <row r="1574" spans="1:6">
      <c r="A1574" s="5" t="str">
        <f ca="1">IFERROR(__xludf.DUMMYFUNCTION("""COMPUTED_VALUE"""),"20060819OHSOY")</f>
        <v>20060819OHSOY</v>
      </c>
      <c r="B1574" s="5" t="str">
        <f ca="1">IFERROR(__xludf.DUMMYFUNCTION("""COMPUTED_VALUE"""),"Fatal")</f>
        <v>Fatal</v>
      </c>
      <c r="C1574" s="5" t="str">
        <f ca="1">IFERROR(__xludf.DUMMYFUNCTION("""COMPUTED_VALUE"""),"Male")</f>
        <v>Male</v>
      </c>
      <c r="D1574" s="5" t="str">
        <f ca="1">IFERROR(__xludf.DUMMYFUNCTION("""COMPUTED_VALUE"""),"Parent")</f>
        <v>Parent</v>
      </c>
      <c r="E1574" s="5">
        <f ca="1">IFERROR(__xludf.DUMMYFUNCTION("""COMPUTED_VALUE"""),31)</f>
        <v>31</v>
      </c>
      <c r="F1574" s="5"/>
    </row>
    <row r="1575" spans="1:6">
      <c r="A1575" s="5" t="str">
        <f ca="1">IFERROR(__xludf.DUMMYFUNCTION("""COMPUTED_VALUE"""),"20060817TXMEA")</f>
        <v>20060817TXMEA</v>
      </c>
      <c r="B1575" s="5" t="str">
        <f ca="1">IFERROR(__xludf.DUMMYFUNCTION("""COMPUTED_VALUE"""),"Fatal")</f>
        <v>Fatal</v>
      </c>
      <c r="C1575" s="5" t="str">
        <f ca="1">IFERROR(__xludf.DUMMYFUNCTION("""COMPUTED_VALUE"""),"Male")</f>
        <v>Male</v>
      </c>
      <c r="D1575" s="5" t="str">
        <f ca="1">IFERROR(__xludf.DUMMYFUNCTION("""COMPUTED_VALUE"""),"Relative")</f>
        <v>Relative</v>
      </c>
      <c r="E1575" s="5">
        <f ca="1">IFERROR(__xludf.DUMMYFUNCTION("""COMPUTED_VALUE"""),21)</f>
        <v>21</v>
      </c>
      <c r="F1575" s="5"/>
    </row>
    <row r="1576" spans="1:6">
      <c r="A1576" s="5" t="str">
        <f ca="1">IFERROR(__xludf.DUMMYFUNCTION("""COMPUTED_VALUE"""),"20060815KYJTV")</f>
        <v>20060815KYJTV</v>
      </c>
      <c r="B1576" s="5" t="str">
        <f ca="1">IFERROR(__xludf.DUMMYFUNCTION("""COMPUTED_VALUE"""),"None")</f>
        <v>None</v>
      </c>
      <c r="C1576" s="5"/>
      <c r="D1576" s="5"/>
      <c r="E1576" s="5"/>
      <c r="F1576" s="5"/>
    </row>
    <row r="1577" spans="1:6">
      <c r="A1577" s="5" t="str">
        <f ca="1">IFERROR(__xludf.DUMMYFUNCTION("""COMPUTED_VALUE"""),"20060731FLYOT")</f>
        <v>20060731FLYOT</v>
      </c>
      <c r="B1577" s="5" t="str">
        <f ca="1">IFERROR(__xludf.DUMMYFUNCTION("""COMPUTED_VALUE"""),"Fatal")</f>
        <v>Fatal</v>
      </c>
      <c r="C1577" s="5" t="str">
        <f ca="1">IFERROR(__xludf.DUMMYFUNCTION("""COMPUTED_VALUE"""),"Female")</f>
        <v>Female</v>
      </c>
      <c r="D1577" s="5" t="str">
        <f ca="1">IFERROR(__xludf.DUMMYFUNCTION("""COMPUTED_VALUE"""),"Parent")</f>
        <v>Parent</v>
      </c>
      <c r="E1577" s="5">
        <f ca="1">IFERROR(__xludf.DUMMYFUNCTION("""COMPUTED_VALUE"""),38)</f>
        <v>38</v>
      </c>
      <c r="F1577" s="5"/>
    </row>
    <row r="1578" spans="1:6">
      <c r="A1578" s="5" t="str">
        <f ca="1">IFERROR(__xludf.DUMMYFUNCTION("""COMPUTED_VALUE"""),"20060615MIPED")</f>
        <v>20060615MIPED</v>
      </c>
      <c r="B1578" s="5" t="str">
        <f ca="1">IFERROR(__xludf.DUMMYFUNCTION("""COMPUTED_VALUE"""),"Wounded")</f>
        <v>Wounded</v>
      </c>
      <c r="C1578" s="5" t="str">
        <f ca="1">IFERROR(__xludf.DUMMYFUNCTION("""COMPUTED_VALUE"""),"Male")</f>
        <v>Male</v>
      </c>
      <c r="D1578" s="5" t="str">
        <f ca="1">IFERROR(__xludf.DUMMYFUNCTION("""COMPUTED_VALUE"""),"Student")</f>
        <v>Student</v>
      </c>
      <c r="E1578" s="5">
        <f ca="1">IFERROR(__xludf.DUMMYFUNCTION("""COMPUTED_VALUE"""),16)</f>
        <v>16</v>
      </c>
      <c r="F1578" s="5"/>
    </row>
    <row r="1579" spans="1:6">
      <c r="A1579" s="5" t="str">
        <f ca="1">IFERROR(__xludf.DUMMYFUNCTION("""COMPUTED_VALUE"""),"20060606INWIG")</f>
        <v>20060606INWIG</v>
      </c>
      <c r="B1579" s="5" t="str">
        <f ca="1">IFERROR(__xludf.DUMMYFUNCTION("""COMPUTED_VALUE"""),"Fatal")</f>
        <v>Fatal</v>
      </c>
      <c r="C1579" s="5" t="str">
        <f ca="1">IFERROR(__xludf.DUMMYFUNCTION("""COMPUTED_VALUE"""),"Male")</f>
        <v>Male</v>
      </c>
      <c r="D1579" s="5" t="str">
        <f ca="1">IFERROR(__xludf.DUMMYFUNCTION("""COMPUTED_VALUE"""),"Relative")</f>
        <v>Relative</v>
      </c>
      <c r="E1579" s="5">
        <f ca="1">IFERROR(__xludf.DUMMYFUNCTION("""COMPUTED_VALUE"""),21)</f>
        <v>21</v>
      </c>
      <c r="F1579" s="5"/>
    </row>
    <row r="1580" spans="1:6">
      <c r="A1580" s="5" t="str">
        <f ca="1">IFERROR(__xludf.DUMMYFUNCTION("""COMPUTED_VALUE"""),"20060605CAVEL")</f>
        <v>20060605CAVEL</v>
      </c>
      <c r="B1580" s="5" t="str">
        <f ca="1">IFERROR(__xludf.DUMMYFUNCTION("""COMPUTED_VALUE"""),"Fatal")</f>
        <v>Fatal</v>
      </c>
      <c r="C1580" s="5" t="str">
        <f ca="1">IFERROR(__xludf.DUMMYFUNCTION("""COMPUTED_VALUE"""),"Male")</f>
        <v>Male</v>
      </c>
      <c r="D1580" s="5" t="str">
        <f ca="1">IFERROR(__xludf.DUMMYFUNCTION("""COMPUTED_VALUE"""),"Student")</f>
        <v>Student</v>
      </c>
      <c r="E1580" s="5">
        <f ca="1">IFERROR(__xludf.DUMMYFUNCTION("""COMPUTED_VALUE"""),17)</f>
        <v>17</v>
      </c>
      <c r="F1580" s="5"/>
    </row>
    <row r="1581" spans="1:6">
      <c r="A1581" s="5" t="str">
        <f ca="1">IFERROR(__xludf.DUMMYFUNCTION("""COMPUTED_VALUE"""),"20060525PANON")</f>
        <v>20060525PANON</v>
      </c>
      <c r="B1581" s="5" t="str">
        <f ca="1">IFERROR(__xludf.DUMMYFUNCTION("""COMPUTED_VALUE"""),"None")</f>
        <v>None</v>
      </c>
      <c r="C1581" s="5"/>
      <c r="D1581" s="5"/>
      <c r="E1581" s="5"/>
      <c r="F1581" s="5"/>
    </row>
    <row r="1582" spans="1:6">
      <c r="A1582" s="5" t="str">
        <f ca="1">IFERROR(__xludf.DUMMYFUNCTION("""COMPUTED_VALUE"""),"20060522SCBUI")</f>
        <v>20060522SCBUI</v>
      </c>
      <c r="B1582" s="5" t="str">
        <f ca="1">IFERROR(__xludf.DUMMYFUNCTION("""COMPUTED_VALUE"""),"None")</f>
        <v>None</v>
      </c>
      <c r="C1582" s="5"/>
      <c r="D1582" s="5"/>
      <c r="E1582" s="5"/>
      <c r="F1582" s="5"/>
    </row>
    <row r="1583" spans="1:6">
      <c r="A1583" s="5" t="str">
        <f ca="1">IFERROR(__xludf.DUMMYFUNCTION("""COMPUTED_VALUE"""),"20060505FLPAM")</f>
        <v>20060505FLPAM</v>
      </c>
      <c r="B1583" s="5" t="str">
        <f ca="1">IFERROR(__xludf.DUMMYFUNCTION("""COMPUTED_VALUE"""),"Fatal")</f>
        <v>Fatal</v>
      </c>
      <c r="C1583" s="5" t="str">
        <f ca="1">IFERROR(__xludf.DUMMYFUNCTION("""COMPUTED_VALUE"""),"Male")</f>
        <v>Male</v>
      </c>
      <c r="D1583" s="5" t="str">
        <f ca="1">IFERROR(__xludf.DUMMYFUNCTION("""COMPUTED_VALUE"""),"Student")</f>
        <v>Student</v>
      </c>
      <c r="E1583" s="5">
        <f ca="1">IFERROR(__xludf.DUMMYFUNCTION("""COMPUTED_VALUE"""),19)</f>
        <v>19</v>
      </c>
      <c r="F1583" s="5"/>
    </row>
    <row r="1584" spans="1:6">
      <c r="A1584" s="5" t="str">
        <f ca="1">IFERROR(__xludf.DUMMYFUNCTION("""COMPUTED_VALUE"""),"20060424NCEAC")</f>
        <v>20060424NCEAC</v>
      </c>
      <c r="B1584" s="5" t="str">
        <f ca="1">IFERROR(__xludf.DUMMYFUNCTION("""COMPUTED_VALUE"""),"None")</f>
        <v>None</v>
      </c>
      <c r="C1584" s="5"/>
      <c r="D1584" s="5"/>
      <c r="E1584" s="5"/>
      <c r="F1584" s="5"/>
    </row>
    <row r="1585" spans="1:6">
      <c r="A1585" s="5" t="str">
        <f ca="1">IFERROR(__xludf.DUMMYFUNCTION("""COMPUTED_VALUE"""),"20060418TXWEH")</f>
        <v>20060418TXWEH</v>
      </c>
      <c r="B1585" s="5" t="str">
        <f ca="1">IFERROR(__xludf.DUMMYFUNCTION("""COMPUTED_VALUE"""),"Wounded")</f>
        <v>Wounded</v>
      </c>
      <c r="C1585" s="5" t="str">
        <f ca="1">IFERROR(__xludf.DUMMYFUNCTION("""COMPUTED_VALUE"""),"Unknown")</f>
        <v>Unknown</v>
      </c>
      <c r="D1585" s="5" t="str">
        <f ca="1">IFERROR(__xludf.DUMMYFUNCTION("""COMPUTED_VALUE"""),"Student")</f>
        <v>Student</v>
      </c>
      <c r="E1585" s="5" t="str">
        <f ca="1">IFERROR(__xludf.DUMMYFUNCTION("""COMPUTED_VALUE"""),"Teen")</f>
        <v>Teen</v>
      </c>
      <c r="F1585" s="5"/>
    </row>
    <row r="1586" spans="1:6">
      <c r="A1586" s="5" t="str">
        <f ca="1">IFERROR(__xludf.DUMMYFUNCTION("""COMPUTED_VALUE"""),"20060418TXWEH")</f>
        <v>20060418TXWEH</v>
      </c>
      <c r="B1586" s="5" t="str">
        <f ca="1">IFERROR(__xludf.DUMMYFUNCTION("""COMPUTED_VALUE"""),"Wounded")</f>
        <v>Wounded</v>
      </c>
      <c r="C1586" s="5" t="str">
        <f ca="1">IFERROR(__xludf.DUMMYFUNCTION("""COMPUTED_VALUE"""),"Unknown")</f>
        <v>Unknown</v>
      </c>
      <c r="D1586" s="5" t="str">
        <f ca="1">IFERROR(__xludf.DUMMYFUNCTION("""COMPUTED_VALUE"""),"Student")</f>
        <v>Student</v>
      </c>
      <c r="E1586" s="5" t="str">
        <f ca="1">IFERROR(__xludf.DUMMYFUNCTION("""COMPUTED_VALUE"""),"Teen")</f>
        <v>Teen</v>
      </c>
      <c r="F1586" s="5"/>
    </row>
    <row r="1587" spans="1:6">
      <c r="A1587" s="5" t="str">
        <f ca="1">IFERROR(__xludf.DUMMYFUNCTION("""COMPUTED_VALUE"""),"20060405DCROW")</f>
        <v>20060405DCROW</v>
      </c>
      <c r="B1587" s="5" t="str">
        <f ca="1">IFERROR(__xludf.DUMMYFUNCTION("""COMPUTED_VALUE"""),"Wounded")</f>
        <v>Wounded</v>
      </c>
      <c r="C1587" s="5" t="str">
        <f ca="1">IFERROR(__xludf.DUMMYFUNCTION("""COMPUTED_VALUE"""),"Male")</f>
        <v>Male</v>
      </c>
      <c r="D1587" s="5" t="str">
        <f ca="1">IFERROR(__xludf.DUMMYFUNCTION("""COMPUTED_VALUE"""),"Student")</f>
        <v>Student</v>
      </c>
      <c r="E1587" s="5">
        <f ca="1">IFERROR(__xludf.DUMMYFUNCTION("""COMPUTED_VALUE"""),19)</f>
        <v>19</v>
      </c>
      <c r="F1587" s="5"/>
    </row>
    <row r="1588" spans="1:6">
      <c r="A1588" s="5" t="str">
        <f ca="1">IFERROR(__xludf.DUMMYFUNCTION("""COMPUTED_VALUE"""),"20060405DCROW")</f>
        <v>20060405DCROW</v>
      </c>
      <c r="B1588" s="5" t="str">
        <f ca="1">IFERROR(__xludf.DUMMYFUNCTION("""COMPUTED_VALUE"""),"Wounded")</f>
        <v>Wounded</v>
      </c>
      <c r="C1588" s="5" t="str">
        <f ca="1">IFERROR(__xludf.DUMMYFUNCTION("""COMPUTED_VALUE"""),"Female")</f>
        <v>Female</v>
      </c>
      <c r="D1588" s="5" t="str">
        <f ca="1">IFERROR(__xludf.DUMMYFUNCTION("""COMPUTED_VALUE"""),"Student")</f>
        <v>Student</v>
      </c>
      <c r="E1588" s="5">
        <f ca="1">IFERROR(__xludf.DUMMYFUNCTION("""COMPUTED_VALUE"""),18)</f>
        <v>18</v>
      </c>
      <c r="F1588" s="5"/>
    </row>
    <row r="1589" spans="1:6">
      <c r="A1589" s="5" t="str">
        <f ca="1">IFERROR(__xludf.DUMMYFUNCTION("""COMPUTED_VALUE"""),"20060314NVPIR")</f>
        <v>20060314NVPIR</v>
      </c>
      <c r="B1589" s="5" t="str">
        <f ca="1">IFERROR(__xludf.DUMMYFUNCTION("""COMPUTED_VALUE"""),"Wounded")</f>
        <v>Wounded</v>
      </c>
      <c r="C1589" s="5" t="str">
        <f ca="1">IFERROR(__xludf.DUMMYFUNCTION("""COMPUTED_VALUE"""),"Male")</f>
        <v>Male</v>
      </c>
      <c r="D1589" s="5" t="str">
        <f ca="1">IFERROR(__xludf.DUMMYFUNCTION("""COMPUTED_VALUE"""),"Student")</f>
        <v>Student</v>
      </c>
      <c r="E1589" s="5" t="str">
        <f ca="1">IFERROR(__xludf.DUMMYFUNCTION("""COMPUTED_VALUE"""),"Teen")</f>
        <v>Teen</v>
      </c>
      <c r="F1589" s="5"/>
    </row>
    <row r="1590" spans="1:6">
      <c r="A1590" s="5" t="str">
        <f ca="1">IFERROR(__xludf.DUMMYFUNCTION("""COMPUTED_VALUE"""),"20060314NVPIR")</f>
        <v>20060314NVPIR</v>
      </c>
      <c r="B1590" s="5" t="str">
        <f ca="1">IFERROR(__xludf.DUMMYFUNCTION("""COMPUTED_VALUE"""),"Wounded")</f>
        <v>Wounded</v>
      </c>
      <c r="C1590" s="5" t="str">
        <f ca="1">IFERROR(__xludf.DUMMYFUNCTION("""COMPUTED_VALUE"""),"Male")</f>
        <v>Male</v>
      </c>
      <c r="D1590" s="5" t="str">
        <f ca="1">IFERROR(__xludf.DUMMYFUNCTION("""COMPUTED_VALUE"""),"Student")</f>
        <v>Student</v>
      </c>
      <c r="E1590" s="5" t="str">
        <f ca="1">IFERROR(__xludf.DUMMYFUNCTION("""COMPUTED_VALUE"""),"Teen")</f>
        <v>Teen</v>
      </c>
      <c r="F1590" s="5"/>
    </row>
    <row r="1591" spans="1:6">
      <c r="A1591" s="5" t="str">
        <f ca="1">IFERROR(__xludf.DUMMYFUNCTION("""COMPUTED_VALUE"""),"20060310NYISN")</f>
        <v>20060310NYISN</v>
      </c>
      <c r="B1591" s="5" t="str">
        <f ca="1">IFERROR(__xludf.DUMMYFUNCTION("""COMPUTED_VALUE"""),"Wounded")</f>
        <v>Wounded</v>
      </c>
      <c r="C1591" s="5" t="str">
        <f ca="1">IFERROR(__xludf.DUMMYFUNCTION("""COMPUTED_VALUE"""),"Male")</f>
        <v>Male</v>
      </c>
      <c r="D1591" s="5" t="str">
        <f ca="1">IFERROR(__xludf.DUMMYFUNCTION("""COMPUTED_VALUE"""),"Student")</f>
        <v>Student</v>
      </c>
      <c r="E1591" s="5" t="str">
        <f ca="1">IFERROR(__xludf.DUMMYFUNCTION("""COMPUTED_VALUE"""),"Teen")</f>
        <v>Teen</v>
      </c>
      <c r="F1591" s="5"/>
    </row>
    <row r="1592" spans="1:6">
      <c r="A1592" s="5" t="str">
        <f ca="1">IFERROR(__xludf.DUMMYFUNCTION("""COMPUTED_VALUE"""),"20060310NYISN")</f>
        <v>20060310NYISN</v>
      </c>
      <c r="B1592" s="5" t="str">
        <f ca="1">IFERROR(__xludf.DUMMYFUNCTION("""COMPUTED_VALUE"""),"Wounded")</f>
        <v>Wounded</v>
      </c>
      <c r="C1592" s="5" t="str">
        <f ca="1">IFERROR(__xludf.DUMMYFUNCTION("""COMPUTED_VALUE"""),"Male")</f>
        <v>Male</v>
      </c>
      <c r="D1592" s="5" t="str">
        <f ca="1">IFERROR(__xludf.DUMMYFUNCTION("""COMPUTED_VALUE"""),"Student")</f>
        <v>Student</v>
      </c>
      <c r="E1592" s="5" t="str">
        <f ca="1">IFERROR(__xludf.DUMMYFUNCTION("""COMPUTED_VALUE"""),"Teen")</f>
        <v>Teen</v>
      </c>
      <c r="F1592" s="5"/>
    </row>
    <row r="1593" spans="1:6">
      <c r="A1593" s="5" t="str">
        <f ca="1">IFERROR(__xludf.DUMMYFUNCTION("""COMPUTED_VALUE"""),"20060223ORROR")</f>
        <v>20060223ORROR</v>
      </c>
      <c r="B1593" s="5" t="str">
        <f ca="1">IFERROR(__xludf.DUMMYFUNCTION("""COMPUTED_VALUE"""),"Wounded")</f>
        <v>Wounded</v>
      </c>
      <c r="C1593" s="5" t="str">
        <f ca="1">IFERROR(__xludf.DUMMYFUNCTION("""COMPUTED_VALUE"""),"Male")</f>
        <v>Male</v>
      </c>
      <c r="D1593" s="5" t="str">
        <f ca="1">IFERROR(__xludf.DUMMYFUNCTION("""COMPUTED_VALUE"""),"Student")</f>
        <v>Student</v>
      </c>
      <c r="E1593" s="5">
        <f ca="1">IFERROR(__xludf.DUMMYFUNCTION("""COMPUTED_VALUE"""),14)</f>
        <v>14</v>
      </c>
      <c r="F1593" s="5"/>
    </row>
    <row r="1594" spans="1:6">
      <c r="A1594" s="5" t="str">
        <f ca="1">IFERROR(__xludf.DUMMYFUNCTION("""COMPUTED_VALUE"""),"20060221PAWEP")</f>
        <v>20060221PAWEP</v>
      </c>
      <c r="B1594" s="5" t="str">
        <f ca="1">IFERROR(__xludf.DUMMYFUNCTION("""COMPUTED_VALUE"""),"Wounded")</f>
        <v>Wounded</v>
      </c>
      <c r="C1594" s="5" t="str">
        <f ca="1">IFERROR(__xludf.DUMMYFUNCTION("""COMPUTED_VALUE"""),"Male")</f>
        <v>Male</v>
      </c>
      <c r="D1594" s="5" t="str">
        <f ca="1">IFERROR(__xludf.DUMMYFUNCTION("""COMPUTED_VALUE"""),"Student")</f>
        <v>Student</v>
      </c>
      <c r="E1594" s="5">
        <f ca="1">IFERROR(__xludf.DUMMYFUNCTION("""COMPUTED_VALUE"""),16)</f>
        <v>16</v>
      </c>
      <c r="F1594" s="5"/>
    </row>
    <row r="1595" spans="1:6">
      <c r="A1595" s="5" t="str">
        <f ca="1">IFERROR(__xludf.DUMMYFUNCTION("""COMPUTED_VALUE"""),"20060215PAWEY")</f>
        <v>20060215PAWEY</v>
      </c>
      <c r="B1595" s="5" t="str">
        <f ca="1">IFERROR(__xludf.DUMMYFUNCTION("""COMPUTED_VALUE"""),"None")</f>
        <v>None</v>
      </c>
      <c r="C1595" s="5" t="str">
        <f ca="1">IFERROR(__xludf.DUMMYFUNCTION("""COMPUTED_VALUE"""),"Male")</f>
        <v>Male</v>
      </c>
      <c r="D1595" s="5" t="str">
        <f ca="1">IFERROR(__xludf.DUMMYFUNCTION("""COMPUTED_VALUE"""),"Teacher")</f>
        <v>Teacher</v>
      </c>
      <c r="E1595" s="5" t="str">
        <f ca="1">IFERROR(__xludf.DUMMYFUNCTION("""COMPUTED_VALUE"""),"Adult")</f>
        <v>Adult</v>
      </c>
      <c r="F1595" s="5"/>
    </row>
    <row r="1596" spans="1:6">
      <c r="A1596" s="5" t="str">
        <f ca="1">IFERROR(__xludf.DUMMYFUNCTION("""COMPUTED_VALUE"""),"20060209DEWIN")</f>
        <v>20060209DEWIN</v>
      </c>
      <c r="B1596" s="5" t="str">
        <f ca="1">IFERROR(__xludf.DUMMYFUNCTION("""COMPUTED_VALUE"""),"Wounded")</f>
        <v>Wounded</v>
      </c>
      <c r="C1596" s="5" t="str">
        <f ca="1">IFERROR(__xludf.DUMMYFUNCTION("""COMPUTED_VALUE"""),"Male")</f>
        <v>Male</v>
      </c>
      <c r="D1596" s="5" t="str">
        <f ca="1">IFERROR(__xludf.DUMMYFUNCTION("""COMPUTED_VALUE"""),"Student")</f>
        <v>Student</v>
      </c>
      <c r="E1596" s="5">
        <f ca="1">IFERROR(__xludf.DUMMYFUNCTION("""COMPUTED_VALUE"""),18)</f>
        <v>18</v>
      </c>
      <c r="F1596" s="5"/>
    </row>
    <row r="1597" spans="1:6">
      <c r="A1597" s="5" t="str">
        <f ca="1">IFERROR(__xludf.DUMMYFUNCTION("""COMPUTED_VALUE"""),"20060203CALOC")</f>
        <v>20060203CALOC</v>
      </c>
      <c r="B1597" s="5" t="str">
        <f ca="1">IFERROR(__xludf.DUMMYFUNCTION("""COMPUTED_VALUE"""),"Wounded")</f>
        <v>Wounded</v>
      </c>
      <c r="C1597" s="5" t="str">
        <f ca="1">IFERROR(__xludf.DUMMYFUNCTION("""COMPUTED_VALUE"""),"Male")</f>
        <v>Male</v>
      </c>
      <c r="D1597" s="5" t="str">
        <f ca="1">IFERROR(__xludf.DUMMYFUNCTION("""COMPUTED_VALUE"""),"Student")</f>
        <v>Student</v>
      </c>
      <c r="E1597" s="5">
        <f ca="1">IFERROR(__xludf.DUMMYFUNCTION("""COMPUTED_VALUE"""),10)</f>
        <v>10</v>
      </c>
      <c r="F1597" s="5"/>
    </row>
    <row r="1598" spans="1:6">
      <c r="A1598" s="5" t="str">
        <f ca="1">IFERROR(__xludf.DUMMYFUNCTION("""COMPUTED_VALUE"""),"20060130MTCMG")</f>
        <v>20060130MTCMG</v>
      </c>
      <c r="B1598" s="5" t="str">
        <f ca="1">IFERROR(__xludf.DUMMYFUNCTION("""COMPUTED_VALUE"""),"None")</f>
        <v>None</v>
      </c>
      <c r="C1598" s="5" t="str">
        <f ca="1">IFERROR(__xludf.DUMMYFUNCTION("""COMPUTED_VALUE"""),"Male")</f>
        <v>Male</v>
      </c>
      <c r="D1598" s="5" t="str">
        <f ca="1">IFERROR(__xludf.DUMMYFUNCTION("""COMPUTED_VALUE"""),"Student")</f>
        <v>Student</v>
      </c>
      <c r="E1598" s="5">
        <f ca="1">IFERROR(__xludf.DUMMYFUNCTION("""COMPUTED_VALUE"""),16)</f>
        <v>16</v>
      </c>
      <c r="F1598" s="5"/>
    </row>
    <row r="1599" spans="1:6">
      <c r="A1599" s="5" t="str">
        <f ca="1">IFERROR(__xludf.DUMMYFUNCTION("""COMPUTED_VALUE"""),"20060127TXLAG")</f>
        <v>20060127TXLAG</v>
      </c>
      <c r="B1599" s="5" t="str">
        <f ca="1">IFERROR(__xludf.DUMMYFUNCTION("""COMPUTED_VALUE"""),"Wounded")</f>
        <v>Wounded</v>
      </c>
      <c r="C1599" s="5" t="str">
        <f ca="1">IFERROR(__xludf.DUMMYFUNCTION("""COMPUTED_VALUE"""),"Female")</f>
        <v>Female</v>
      </c>
      <c r="D1599" s="5" t="str">
        <f ca="1">IFERROR(__xludf.DUMMYFUNCTION("""COMPUTED_VALUE"""),"Student")</f>
        <v>Student</v>
      </c>
      <c r="E1599" s="5" t="str">
        <f ca="1">IFERROR(__xludf.DUMMYFUNCTION("""COMPUTED_VALUE"""),"Teen")</f>
        <v>Teen</v>
      </c>
      <c r="F1599" s="5"/>
    </row>
    <row r="1600" spans="1:6">
      <c r="A1600" s="5" t="str">
        <f ca="1">IFERROR(__xludf.DUMMYFUNCTION("""COMPUTED_VALUE"""),"20060127TXLAG")</f>
        <v>20060127TXLAG</v>
      </c>
      <c r="B1600" s="5" t="str">
        <f ca="1">IFERROR(__xludf.DUMMYFUNCTION("""COMPUTED_VALUE"""),"Wounded")</f>
        <v>Wounded</v>
      </c>
      <c r="C1600" s="5" t="str">
        <f ca="1">IFERROR(__xludf.DUMMYFUNCTION("""COMPUTED_VALUE"""),"Female")</f>
        <v>Female</v>
      </c>
      <c r="D1600" s="5" t="str">
        <f ca="1">IFERROR(__xludf.DUMMYFUNCTION("""COMPUTED_VALUE"""),"Student")</f>
        <v>Student</v>
      </c>
      <c r="E1600" s="5" t="str">
        <f ca="1">IFERROR(__xludf.DUMMYFUNCTION("""COMPUTED_VALUE"""),"Teen")</f>
        <v>Teen</v>
      </c>
      <c r="F1600" s="5"/>
    </row>
    <row r="1601" spans="1:6">
      <c r="A1601" s="5" t="str">
        <f ca="1">IFERROR(__xludf.DUMMYFUNCTION("""COMPUTED_VALUE"""),"20060123CAWIV")</f>
        <v>20060123CAWIV</v>
      </c>
      <c r="B1601" s="5" t="str">
        <f ca="1">IFERROR(__xludf.DUMMYFUNCTION("""COMPUTED_VALUE"""),"Wounded")</f>
        <v>Wounded</v>
      </c>
      <c r="C1601" s="5" t="str">
        <f ca="1">IFERROR(__xludf.DUMMYFUNCTION("""COMPUTED_VALUE"""),"Female")</f>
        <v>Female</v>
      </c>
      <c r="D1601" s="5" t="str">
        <f ca="1">IFERROR(__xludf.DUMMYFUNCTION("""COMPUTED_VALUE"""),"Student")</f>
        <v>Student</v>
      </c>
      <c r="E1601" s="5">
        <f ca="1">IFERROR(__xludf.DUMMYFUNCTION("""COMPUTED_VALUE"""),15)</f>
        <v>15</v>
      </c>
      <c r="F1601" s="5"/>
    </row>
    <row r="1602" spans="1:6">
      <c r="A1602" s="5" t="str">
        <f ca="1">IFERROR(__xludf.DUMMYFUNCTION("""COMPUTED_VALUE"""),"20060119OHWIC")</f>
        <v>20060119OHWIC</v>
      </c>
      <c r="B1602" s="5" t="str">
        <f ca="1">IFERROR(__xludf.DUMMYFUNCTION("""COMPUTED_VALUE"""),"Wounded")</f>
        <v>Wounded</v>
      </c>
      <c r="C1602" s="5" t="str">
        <f ca="1">IFERROR(__xludf.DUMMYFUNCTION("""COMPUTED_VALUE"""),"Male")</f>
        <v>Male</v>
      </c>
      <c r="D1602" s="5" t="str">
        <f ca="1">IFERROR(__xludf.DUMMYFUNCTION("""COMPUTED_VALUE"""),"No Relation")</f>
        <v>No Relation</v>
      </c>
      <c r="E1602" s="5">
        <f ca="1">IFERROR(__xludf.DUMMYFUNCTION("""COMPUTED_VALUE"""),20)</f>
        <v>20</v>
      </c>
      <c r="F1602" s="5"/>
    </row>
    <row r="1603" spans="1:6">
      <c r="A1603" s="5" t="str">
        <f ca="1">IFERROR(__xludf.DUMMYFUNCTION("""COMPUTED_VALUE"""),"20060119OHWIC")</f>
        <v>20060119OHWIC</v>
      </c>
      <c r="B1603" s="5" t="str">
        <f ca="1">IFERROR(__xludf.DUMMYFUNCTION("""COMPUTED_VALUE"""),"Wounded")</f>
        <v>Wounded</v>
      </c>
      <c r="C1603" s="5" t="str">
        <f ca="1">IFERROR(__xludf.DUMMYFUNCTION("""COMPUTED_VALUE"""),"Male")</f>
        <v>Male</v>
      </c>
      <c r="D1603" s="5" t="str">
        <f ca="1">IFERROR(__xludf.DUMMYFUNCTION("""COMPUTED_VALUE"""),"No Relation")</f>
        <v>No Relation</v>
      </c>
      <c r="E1603" s="5">
        <f ca="1">IFERROR(__xludf.DUMMYFUNCTION("""COMPUTED_VALUE"""),17)</f>
        <v>17</v>
      </c>
      <c r="F1603" s="5"/>
    </row>
    <row r="1604" spans="1:6">
      <c r="A1604" s="5" t="str">
        <f ca="1">IFERROR(__xludf.DUMMYFUNCTION("""COMPUTED_VALUE"""),"20060118VAINC")</f>
        <v>20060118VAINC</v>
      </c>
      <c r="B1604" s="5" t="str">
        <f ca="1">IFERROR(__xludf.DUMMYFUNCTION("""COMPUTED_VALUE"""),"None")</f>
        <v>None</v>
      </c>
      <c r="C1604" s="5" t="str">
        <f ca="1">IFERROR(__xludf.DUMMYFUNCTION("""COMPUTED_VALUE"""),"Unknown")</f>
        <v>Unknown</v>
      </c>
      <c r="D1604" s="5" t="str">
        <f ca="1">IFERROR(__xludf.DUMMYFUNCTION("""COMPUTED_VALUE"""),"Student")</f>
        <v>Student</v>
      </c>
      <c r="E1604" s="5" t="str">
        <f ca="1">IFERROR(__xludf.DUMMYFUNCTION("""COMPUTED_VALUE"""),"Teen")</f>
        <v>Teen</v>
      </c>
      <c r="F1604" s="5"/>
    </row>
    <row r="1605" spans="1:6">
      <c r="A1605" s="5" t="str">
        <f ca="1">IFERROR(__xludf.DUMMYFUNCTION("""COMPUTED_VALUE"""),"20060118TXPAA")</f>
        <v>20060118TXPAA</v>
      </c>
      <c r="B1605" s="5" t="str">
        <f ca="1">IFERROR(__xludf.DUMMYFUNCTION("""COMPUTED_VALUE"""),"Wounded")</f>
        <v>Wounded</v>
      </c>
      <c r="C1605" s="5" t="str">
        <f ca="1">IFERROR(__xludf.DUMMYFUNCTION("""COMPUTED_VALUE"""),"Male")</f>
        <v>Male</v>
      </c>
      <c r="D1605" s="5" t="str">
        <f ca="1">IFERROR(__xludf.DUMMYFUNCTION("""COMPUTED_VALUE"""),"Student")</f>
        <v>Student</v>
      </c>
      <c r="E1605" s="5">
        <f ca="1">IFERROR(__xludf.DUMMYFUNCTION("""COMPUTED_VALUE"""),12)</f>
        <v>12</v>
      </c>
      <c r="F1605" s="5"/>
    </row>
    <row r="1606" spans="1:6">
      <c r="A1606" s="5" t="str">
        <f ca="1">IFERROR(__xludf.DUMMYFUNCTION("""COMPUTED_VALUE"""),"20060118MTFRA")</f>
        <v>20060118MTFRA</v>
      </c>
      <c r="B1606" s="5" t="str">
        <f ca="1">IFERROR(__xludf.DUMMYFUNCTION("""COMPUTED_VALUE"""),"Wounded")</f>
        <v>Wounded</v>
      </c>
      <c r="C1606" s="5" t="str">
        <f ca="1">IFERROR(__xludf.DUMMYFUNCTION("""COMPUTED_VALUE"""),"Male")</f>
        <v>Male</v>
      </c>
      <c r="D1606" s="5" t="str">
        <f ca="1">IFERROR(__xludf.DUMMYFUNCTION("""COMPUTED_VALUE"""),"Student")</f>
        <v>Student</v>
      </c>
      <c r="E1606" s="5" t="str">
        <f ca="1">IFERROR(__xludf.DUMMYFUNCTION("""COMPUTED_VALUE"""),"Teen")</f>
        <v>Teen</v>
      </c>
      <c r="F1606" s="5"/>
    </row>
    <row r="1607" spans="1:6">
      <c r="A1607" s="5" t="str">
        <f ca="1">IFERROR(__xludf.DUMMYFUNCTION("""COMPUTED_VALUE"""),"20060113MIOSD")</f>
        <v>20060113MIOSD</v>
      </c>
      <c r="B1607" s="5" t="str">
        <f ca="1">IFERROR(__xludf.DUMMYFUNCTION("""COMPUTED_VALUE"""),"None")</f>
        <v>None</v>
      </c>
      <c r="C1607" s="5" t="str">
        <f ca="1">IFERROR(__xludf.DUMMYFUNCTION("""COMPUTED_VALUE"""),"Unknown")</f>
        <v>Unknown</v>
      </c>
      <c r="D1607" s="5" t="str">
        <f ca="1">IFERROR(__xludf.DUMMYFUNCTION("""COMPUTED_VALUE"""),"Principal/Vice-Principal")</f>
        <v>Principal/Vice-Principal</v>
      </c>
      <c r="E1607" s="5" t="str">
        <f ca="1">IFERROR(__xludf.DUMMYFUNCTION("""COMPUTED_VALUE"""),"Adult")</f>
        <v>Adult</v>
      </c>
      <c r="F1607" s="5"/>
    </row>
    <row r="1608" spans="1:6">
      <c r="A1608" s="5" t="str">
        <f ca="1">IFERROR(__xludf.DUMMYFUNCTION("""COMPUTED_VALUE"""),"20060113FLMIL")</f>
        <v>20060113FLMIL</v>
      </c>
      <c r="B1608" s="5" t="str">
        <f ca="1">IFERROR(__xludf.DUMMYFUNCTION("""COMPUTED_VALUE"""),"None")</f>
        <v>None</v>
      </c>
      <c r="C1608" s="5" t="str">
        <f ca="1">IFERROR(__xludf.DUMMYFUNCTION("""COMPUTED_VALUE"""),"Male")</f>
        <v>Male</v>
      </c>
      <c r="D1608" s="5" t="str">
        <f ca="1">IFERROR(__xludf.DUMMYFUNCTION("""COMPUTED_VALUE"""),"Student")</f>
        <v>Student</v>
      </c>
      <c r="E1608" s="5">
        <f ca="1">IFERROR(__xludf.DUMMYFUNCTION("""COMPUTED_VALUE"""),15)</f>
        <v>15</v>
      </c>
      <c r="F1608" s="5"/>
    </row>
    <row r="1609" spans="1:6">
      <c r="A1609" s="5" t="str">
        <f ca="1">IFERROR(__xludf.DUMMYFUNCTION("""COMPUTED_VALUE"""),"20060113ALPIP")</f>
        <v>20060113ALPIP</v>
      </c>
      <c r="B1609" s="5" t="str">
        <f ca="1">IFERROR(__xludf.DUMMYFUNCTION("""COMPUTED_VALUE"""),"Wounded")</f>
        <v>Wounded</v>
      </c>
      <c r="C1609" s="5" t="str">
        <f ca="1">IFERROR(__xludf.DUMMYFUNCTION("""COMPUTED_VALUE"""),"Male")</f>
        <v>Male</v>
      </c>
      <c r="D1609" s="5" t="str">
        <f ca="1">IFERROR(__xludf.DUMMYFUNCTION("""COMPUTED_VALUE"""),"Student")</f>
        <v>Student</v>
      </c>
      <c r="E1609" s="5">
        <f ca="1">IFERROR(__xludf.DUMMYFUNCTION("""COMPUTED_VALUE"""),17)</f>
        <v>17</v>
      </c>
      <c r="F1609" s="5"/>
    </row>
    <row r="1610" spans="1:6">
      <c r="A1610" s="5" t="str">
        <f ca="1">IFERROR(__xludf.DUMMYFUNCTION("""COMPUTED_VALUE"""),"20060111WIMAM")</f>
        <v>20060111WIMAM</v>
      </c>
      <c r="B1610" s="5" t="str">
        <f ca="1">IFERROR(__xludf.DUMMYFUNCTION("""COMPUTED_VALUE"""),"Wounded")</f>
        <v>Wounded</v>
      </c>
      <c r="C1610" s="5" t="str">
        <f ca="1">IFERROR(__xludf.DUMMYFUNCTION("""COMPUTED_VALUE"""),"Female")</f>
        <v>Female</v>
      </c>
      <c r="D1610" s="5" t="str">
        <f ca="1">IFERROR(__xludf.DUMMYFUNCTION("""COMPUTED_VALUE"""),"Student")</f>
        <v>Student</v>
      </c>
      <c r="E1610" s="5">
        <f ca="1">IFERROR(__xludf.DUMMYFUNCTION("""COMPUTED_VALUE"""),9)</f>
        <v>9</v>
      </c>
      <c r="F1610" s="5"/>
    </row>
    <row r="1611" spans="1:6">
      <c r="A1611" s="5" t="str">
        <f ca="1">IFERROR(__xludf.DUMMYFUNCTION("""COMPUTED_VALUE"""),"20060110DEMOW")</f>
        <v>20060110DEMOW</v>
      </c>
      <c r="B1611" s="5" t="str">
        <f ca="1">IFERROR(__xludf.DUMMYFUNCTION("""COMPUTED_VALUE"""),"Wounded")</f>
        <v>Wounded</v>
      </c>
      <c r="C1611" s="5" t="str">
        <f ca="1">IFERROR(__xludf.DUMMYFUNCTION("""COMPUTED_VALUE"""),"Male")</f>
        <v>Male</v>
      </c>
      <c r="D1611" s="5" t="str">
        <f ca="1">IFERROR(__xludf.DUMMYFUNCTION("""COMPUTED_VALUE"""),"Student")</f>
        <v>Student</v>
      </c>
      <c r="E1611" s="5">
        <f ca="1">IFERROR(__xludf.DUMMYFUNCTION("""COMPUTED_VALUE"""),16)</f>
        <v>16</v>
      </c>
      <c r="F1611" s="5"/>
    </row>
    <row r="1612" spans="1:6">
      <c r="A1612" s="5" t="str">
        <f ca="1">IFERROR(__xludf.DUMMYFUNCTION("""COMPUTED_VALUE"""),"20060103NJLIJ")</f>
        <v>20060103NJLIJ</v>
      </c>
      <c r="B1612" s="5" t="str">
        <f ca="1">IFERROR(__xludf.DUMMYFUNCTION("""COMPUTED_VALUE"""),"Wounded")</f>
        <v>Wounded</v>
      </c>
      <c r="C1612" s="5" t="str">
        <f ca="1">IFERROR(__xludf.DUMMYFUNCTION("""COMPUTED_VALUE"""),"Male")</f>
        <v>Male</v>
      </c>
      <c r="D1612" s="5" t="str">
        <f ca="1">IFERROR(__xludf.DUMMYFUNCTION("""COMPUTED_VALUE"""),"Student")</f>
        <v>Student</v>
      </c>
      <c r="E1612" s="5" t="str">
        <f ca="1">IFERROR(__xludf.DUMMYFUNCTION("""COMPUTED_VALUE"""),"Teen")</f>
        <v>Teen</v>
      </c>
      <c r="F1612" s="5"/>
    </row>
    <row r="1613" spans="1:6">
      <c r="A1613" s="5" t="str">
        <f ca="1">IFERROR(__xludf.DUMMYFUNCTION("""COMPUTED_VALUE"""),"20060103NJLIJ")</f>
        <v>20060103NJLIJ</v>
      </c>
      <c r="B1613" s="5" t="str">
        <f ca="1">IFERROR(__xludf.DUMMYFUNCTION("""COMPUTED_VALUE"""),"Wounded")</f>
        <v>Wounded</v>
      </c>
      <c r="C1613" s="5" t="str">
        <f ca="1">IFERROR(__xludf.DUMMYFUNCTION("""COMPUTED_VALUE"""),"Female")</f>
        <v>Female</v>
      </c>
      <c r="D1613" s="5" t="str">
        <f ca="1">IFERROR(__xludf.DUMMYFUNCTION("""COMPUTED_VALUE"""),"Student")</f>
        <v>Student</v>
      </c>
      <c r="E1613" s="5" t="str">
        <f ca="1">IFERROR(__xludf.DUMMYFUNCTION("""COMPUTED_VALUE"""),"Teen")</f>
        <v>Teen</v>
      </c>
      <c r="F1613" s="5"/>
    </row>
    <row r="1614" spans="1:6">
      <c r="A1614" s="5" t="str">
        <f ca="1">IFERROR(__xludf.DUMMYFUNCTION("""COMPUTED_VALUE"""),"20051206MICED")</f>
        <v>20051206MICED</v>
      </c>
      <c r="B1614" s="5" t="str">
        <f ca="1">IFERROR(__xludf.DUMMYFUNCTION("""COMPUTED_VALUE"""),"Wounded")</f>
        <v>Wounded</v>
      </c>
      <c r="C1614" s="5" t="str">
        <f ca="1">IFERROR(__xludf.DUMMYFUNCTION("""COMPUTED_VALUE"""),"Male")</f>
        <v>Male</v>
      </c>
      <c r="D1614" s="5" t="str">
        <f ca="1">IFERROR(__xludf.DUMMYFUNCTION("""COMPUTED_VALUE"""),"Nonstudent")</f>
        <v>Nonstudent</v>
      </c>
      <c r="E1614" s="5"/>
      <c r="F1614" s="5"/>
    </row>
    <row r="1615" spans="1:6">
      <c r="A1615" s="5" t="str">
        <f ca="1">IFERROR(__xludf.DUMMYFUNCTION("""COMPUTED_VALUE"""),"20051206CASAG")</f>
        <v>20051206CASAG</v>
      </c>
      <c r="B1615" s="5" t="str">
        <f ca="1">IFERROR(__xludf.DUMMYFUNCTION("""COMPUTED_VALUE"""),"Fatal")</f>
        <v>Fatal</v>
      </c>
      <c r="C1615" s="5" t="str">
        <f ca="1">IFERROR(__xludf.DUMMYFUNCTION("""COMPUTED_VALUE"""),"Male")</f>
        <v>Male</v>
      </c>
      <c r="D1615" s="5" t="str">
        <f ca="1">IFERROR(__xludf.DUMMYFUNCTION("""COMPUTED_VALUE"""),"Student")</f>
        <v>Student</v>
      </c>
      <c r="E1615" s="5">
        <f ca="1">IFERROR(__xludf.DUMMYFUNCTION("""COMPUTED_VALUE"""),16)</f>
        <v>16</v>
      </c>
      <c r="F1615" s="5"/>
    </row>
    <row r="1616" spans="1:6">
      <c r="A1616" s="5" t="str">
        <f ca="1">IFERROR(__xludf.DUMMYFUNCTION("""COMPUTED_VALUE"""),"20051205MABOR")</f>
        <v>20051205MABOR</v>
      </c>
      <c r="B1616" s="5" t="str">
        <f ca="1">IFERROR(__xludf.DUMMYFUNCTION("""COMPUTED_VALUE"""),"None")</f>
        <v>None</v>
      </c>
      <c r="C1616" s="5"/>
      <c r="D1616" s="5"/>
      <c r="E1616" s="5"/>
      <c r="F1616" s="5"/>
    </row>
    <row r="1617" spans="1:6">
      <c r="A1617" s="5" t="str">
        <f ca="1">IFERROR(__xludf.DUMMYFUNCTION("""COMPUTED_VALUE"""),"20051116TXIRS")</f>
        <v>20051116TXIRS</v>
      </c>
      <c r="B1617" s="5" t="str">
        <f ca="1">IFERROR(__xludf.DUMMYFUNCTION("""COMPUTED_VALUE"""),"Fatal")</f>
        <v>Fatal</v>
      </c>
      <c r="C1617" s="5" t="str">
        <f ca="1">IFERROR(__xludf.DUMMYFUNCTION("""COMPUTED_VALUE"""),"Male")</f>
        <v>Male</v>
      </c>
      <c r="D1617" s="5" t="str">
        <f ca="1">IFERROR(__xludf.DUMMYFUNCTION("""COMPUTED_VALUE"""),"No Relation")</f>
        <v>No Relation</v>
      </c>
      <c r="E1617" s="5" t="str">
        <f ca="1">IFERROR(__xludf.DUMMYFUNCTION("""COMPUTED_VALUE"""),"Adult")</f>
        <v>Adult</v>
      </c>
      <c r="F1617" s="5"/>
    </row>
    <row r="1618" spans="1:6">
      <c r="A1618" s="5" t="str">
        <f ca="1">IFERROR(__xludf.DUMMYFUNCTION("""COMPUTED_VALUE"""),"20051115FLPAM")</f>
        <v>20051115FLPAM</v>
      </c>
      <c r="B1618" s="5" t="str">
        <f ca="1">IFERROR(__xludf.DUMMYFUNCTION("""COMPUTED_VALUE"""),"Wounded")</f>
        <v>Wounded</v>
      </c>
      <c r="C1618" s="5" t="str">
        <f ca="1">IFERROR(__xludf.DUMMYFUNCTION("""COMPUTED_VALUE"""),"Female")</f>
        <v>Female</v>
      </c>
      <c r="D1618" s="5" t="str">
        <f ca="1">IFERROR(__xludf.DUMMYFUNCTION("""COMPUTED_VALUE"""),"Student")</f>
        <v>Student</v>
      </c>
      <c r="E1618" s="5">
        <f ca="1">IFERROR(__xludf.DUMMYFUNCTION("""COMPUTED_VALUE"""),17)</f>
        <v>17</v>
      </c>
      <c r="F1618" s="5"/>
    </row>
    <row r="1619" spans="1:6">
      <c r="A1619" s="5" t="str">
        <f ca="1">IFERROR(__xludf.DUMMYFUNCTION("""COMPUTED_VALUE"""),"20051108TNCAJ")</f>
        <v>20051108TNCAJ</v>
      </c>
      <c r="B1619" s="5" t="str">
        <f ca="1">IFERROR(__xludf.DUMMYFUNCTION("""COMPUTED_VALUE"""),"Wounded")</f>
        <v>Wounded</v>
      </c>
      <c r="C1619" s="5" t="str">
        <f ca="1">IFERROR(__xludf.DUMMYFUNCTION("""COMPUTED_VALUE"""),"Male")</f>
        <v>Male</v>
      </c>
      <c r="D1619" s="5" t="str">
        <f ca="1">IFERROR(__xludf.DUMMYFUNCTION("""COMPUTED_VALUE"""),"Principal/Vice-Principal")</f>
        <v>Principal/Vice-Principal</v>
      </c>
      <c r="E1619" s="5" t="str">
        <f ca="1">IFERROR(__xludf.DUMMYFUNCTION("""COMPUTED_VALUE"""),"Adult")</f>
        <v>Adult</v>
      </c>
      <c r="F1619" s="5"/>
    </row>
    <row r="1620" spans="1:6">
      <c r="A1620" s="5" t="str">
        <f ca="1">IFERROR(__xludf.DUMMYFUNCTION("""COMPUTED_VALUE"""),"20051108TNCAJ")</f>
        <v>20051108TNCAJ</v>
      </c>
      <c r="B1620" s="5" t="str">
        <f ca="1">IFERROR(__xludf.DUMMYFUNCTION("""COMPUTED_VALUE"""),"Wounded")</f>
        <v>Wounded</v>
      </c>
      <c r="C1620" s="5" t="str">
        <f ca="1">IFERROR(__xludf.DUMMYFUNCTION("""COMPUTED_VALUE"""),"Male")</f>
        <v>Male</v>
      </c>
      <c r="D1620" s="5" t="str">
        <f ca="1">IFERROR(__xludf.DUMMYFUNCTION("""COMPUTED_VALUE"""),"Principal/Vice-Principal")</f>
        <v>Principal/Vice-Principal</v>
      </c>
      <c r="E1620" s="5" t="str">
        <f ca="1">IFERROR(__xludf.DUMMYFUNCTION("""COMPUTED_VALUE"""),"Adult")</f>
        <v>Adult</v>
      </c>
      <c r="F1620" s="5"/>
    </row>
    <row r="1621" spans="1:6">
      <c r="A1621" s="5" t="str">
        <f ca="1">IFERROR(__xludf.DUMMYFUNCTION("""COMPUTED_VALUE"""),"20051108TNCAJ")</f>
        <v>20051108TNCAJ</v>
      </c>
      <c r="B1621" s="5" t="str">
        <f ca="1">IFERROR(__xludf.DUMMYFUNCTION("""COMPUTED_VALUE"""),"Fatal")</f>
        <v>Fatal</v>
      </c>
      <c r="C1621" s="5" t="str">
        <f ca="1">IFERROR(__xludf.DUMMYFUNCTION("""COMPUTED_VALUE"""),"Male")</f>
        <v>Male</v>
      </c>
      <c r="D1621" s="5" t="str">
        <f ca="1">IFERROR(__xludf.DUMMYFUNCTION("""COMPUTED_VALUE"""),"Principal/Vice-Principal")</f>
        <v>Principal/Vice-Principal</v>
      </c>
      <c r="E1621" s="5" t="str">
        <f ca="1">IFERROR(__xludf.DUMMYFUNCTION("""COMPUTED_VALUE"""),"Adult")</f>
        <v>Adult</v>
      </c>
      <c r="F1621" s="5"/>
    </row>
    <row r="1622" spans="1:6">
      <c r="A1622" s="5" t="str">
        <f ca="1">IFERROR(__xludf.DUMMYFUNCTION("""COMPUTED_VALUE"""),"20051028NYFAF")</f>
        <v>20051028NYFAF</v>
      </c>
      <c r="B1622" s="5" t="str">
        <f ca="1">IFERROR(__xludf.DUMMYFUNCTION("""COMPUTED_VALUE"""),"None")</f>
        <v>None</v>
      </c>
      <c r="C1622" s="5" t="str">
        <f ca="1">IFERROR(__xludf.DUMMYFUNCTION("""COMPUTED_VALUE"""),"Male")</f>
        <v>Male</v>
      </c>
      <c r="D1622" s="5" t="str">
        <f ca="1">IFERROR(__xludf.DUMMYFUNCTION("""COMPUTED_VALUE"""),"Security Guard")</f>
        <v>Security Guard</v>
      </c>
      <c r="E1622" s="5" t="str">
        <f ca="1">IFERROR(__xludf.DUMMYFUNCTION("""COMPUTED_VALUE"""),"Adult")</f>
        <v>Adult</v>
      </c>
      <c r="F1622" s="5"/>
    </row>
    <row r="1623" spans="1:6">
      <c r="A1623" s="5" t="str">
        <f ca="1">IFERROR(__xludf.DUMMYFUNCTION("""COMPUTED_VALUE"""),"20051028MDANA")</f>
        <v>20051028MDANA</v>
      </c>
      <c r="B1623" s="5" t="str">
        <f ca="1">IFERROR(__xludf.DUMMYFUNCTION("""COMPUTED_VALUE"""),"Wounded")</f>
        <v>Wounded</v>
      </c>
      <c r="C1623" s="5" t="str">
        <f ca="1">IFERROR(__xludf.DUMMYFUNCTION("""COMPUTED_VALUE"""),"Female")</f>
        <v>Female</v>
      </c>
      <c r="D1623" s="5" t="str">
        <f ca="1">IFERROR(__xludf.DUMMYFUNCTION("""COMPUTED_VALUE"""),"Student")</f>
        <v>Student</v>
      </c>
      <c r="E1623" s="5">
        <f ca="1">IFERROR(__xludf.DUMMYFUNCTION("""COMPUTED_VALUE"""),17)</f>
        <v>17</v>
      </c>
      <c r="F1623" s="5"/>
    </row>
    <row r="1624" spans="1:6">
      <c r="A1624" s="5" t="str">
        <f ca="1">IFERROR(__xludf.DUMMYFUNCTION("""COMPUTED_VALUE"""),"20051027CABIF")</f>
        <v>20051027CABIF</v>
      </c>
      <c r="B1624" s="5" t="str">
        <f ca="1">IFERROR(__xludf.DUMMYFUNCTION("""COMPUTED_VALUE"""),"Fatal")</f>
        <v>Fatal</v>
      </c>
      <c r="C1624" s="5" t="str">
        <f ca="1">IFERROR(__xludf.DUMMYFUNCTION("""COMPUTED_VALUE"""),"Male")</f>
        <v>Male</v>
      </c>
      <c r="D1624" s="5" t="str">
        <f ca="1">IFERROR(__xludf.DUMMYFUNCTION("""COMPUTED_VALUE"""),"Parent")</f>
        <v>Parent</v>
      </c>
      <c r="E1624" s="5">
        <f ca="1">IFERROR(__xludf.DUMMYFUNCTION("""COMPUTED_VALUE"""),37)</f>
        <v>37</v>
      </c>
      <c r="F1624" s="5"/>
    </row>
    <row r="1625" spans="1:6">
      <c r="A1625" s="5" t="str">
        <f ca="1">IFERROR(__xludf.DUMMYFUNCTION("""COMPUTED_VALUE"""),"20051020MISAS")</f>
        <v>20051020MISAS</v>
      </c>
      <c r="B1625" s="5" t="str">
        <f ca="1">IFERROR(__xludf.DUMMYFUNCTION("""COMPUTED_VALUE"""),"Wounded")</f>
        <v>Wounded</v>
      </c>
      <c r="C1625" s="5" t="str">
        <f ca="1">IFERROR(__xludf.DUMMYFUNCTION("""COMPUTED_VALUE"""),"Male")</f>
        <v>Male</v>
      </c>
      <c r="D1625" s="5" t="str">
        <f ca="1">IFERROR(__xludf.DUMMYFUNCTION("""COMPUTED_VALUE"""),"Student")</f>
        <v>Student</v>
      </c>
      <c r="E1625" s="5">
        <f ca="1">IFERROR(__xludf.DUMMYFUNCTION("""COMPUTED_VALUE"""),15)</f>
        <v>15</v>
      </c>
      <c r="F1625" s="5"/>
    </row>
    <row r="1626" spans="1:6">
      <c r="A1626" s="5" t="str">
        <f ca="1">IFERROR(__xludf.DUMMYFUNCTION("""COMPUTED_VALUE"""),"20051019CASAS")</f>
        <v>20051019CASAS</v>
      </c>
      <c r="B1626" s="5" t="str">
        <f ca="1">IFERROR(__xludf.DUMMYFUNCTION("""COMPUTED_VALUE"""),"Wounded")</f>
        <v>Wounded</v>
      </c>
      <c r="C1626" s="5" t="str">
        <f ca="1">IFERROR(__xludf.DUMMYFUNCTION("""COMPUTED_VALUE"""),"Male")</f>
        <v>Male</v>
      </c>
      <c r="D1626" s="5" t="str">
        <f ca="1">IFERROR(__xludf.DUMMYFUNCTION("""COMPUTED_VALUE"""),"Student")</f>
        <v>Student</v>
      </c>
      <c r="E1626" s="5">
        <f ca="1">IFERROR(__xludf.DUMMYFUNCTION("""COMPUTED_VALUE"""),16)</f>
        <v>16</v>
      </c>
      <c r="F1626" s="5"/>
    </row>
    <row r="1627" spans="1:6">
      <c r="A1627" s="5" t="str">
        <f ca="1">IFERROR(__xludf.DUMMYFUNCTION("""COMPUTED_VALUE"""),"20051014NYSAN")</f>
        <v>20051014NYSAN</v>
      </c>
      <c r="B1627" s="5" t="str">
        <f ca="1">IFERROR(__xludf.DUMMYFUNCTION("""COMPUTED_VALUE"""),"Wounded")</f>
        <v>Wounded</v>
      </c>
      <c r="C1627" s="5" t="str">
        <f ca="1">IFERROR(__xludf.DUMMYFUNCTION("""COMPUTED_VALUE"""),"Male")</f>
        <v>Male</v>
      </c>
      <c r="D1627" s="5" t="str">
        <f ca="1">IFERROR(__xludf.DUMMYFUNCTION("""COMPUTED_VALUE"""),"Student")</f>
        <v>Student</v>
      </c>
      <c r="E1627" s="5">
        <f ca="1">IFERROR(__xludf.DUMMYFUNCTION("""COMPUTED_VALUE"""),16)</f>
        <v>16</v>
      </c>
      <c r="F1627" s="5"/>
    </row>
    <row r="1628" spans="1:6">
      <c r="A1628" s="5" t="str">
        <f ca="1">IFERROR(__xludf.DUMMYFUNCTION("""COMPUTED_VALUE"""),"20051011MIFAF")</f>
        <v>20051011MIFAF</v>
      </c>
      <c r="B1628" s="5" t="str">
        <f ca="1">IFERROR(__xludf.DUMMYFUNCTION("""COMPUTED_VALUE"""),"None")</f>
        <v>None</v>
      </c>
      <c r="C1628" s="5"/>
      <c r="D1628" s="5"/>
      <c r="E1628" s="5"/>
      <c r="F1628" s="5"/>
    </row>
    <row r="1629" spans="1:6">
      <c r="A1629" s="5" t="str">
        <f ca="1">IFERROR(__xludf.DUMMYFUNCTION("""COMPUTED_VALUE"""),"20050924MISAS")</f>
        <v>20050924MISAS</v>
      </c>
      <c r="B1629" s="5" t="str">
        <f ca="1">IFERROR(__xludf.DUMMYFUNCTION("""COMPUTED_VALUE"""),"Wounded")</f>
        <v>Wounded</v>
      </c>
      <c r="C1629" s="5" t="str">
        <f ca="1">IFERROR(__xludf.DUMMYFUNCTION("""COMPUTED_VALUE"""),"Female")</f>
        <v>Female</v>
      </c>
      <c r="D1629" s="5" t="str">
        <f ca="1">IFERROR(__xludf.DUMMYFUNCTION("""COMPUTED_VALUE"""),"Student")</f>
        <v>Student</v>
      </c>
      <c r="E1629" s="5">
        <f ca="1">IFERROR(__xludf.DUMMYFUNCTION("""COMPUTED_VALUE"""),14)</f>
        <v>14</v>
      </c>
      <c r="F1629" s="5"/>
    </row>
    <row r="1630" spans="1:6">
      <c r="A1630" s="5" t="str">
        <f ca="1">IFERROR(__xludf.DUMMYFUNCTION("""COMPUTED_VALUE"""),"20050924MISAS")</f>
        <v>20050924MISAS</v>
      </c>
      <c r="B1630" s="5" t="str">
        <f ca="1">IFERROR(__xludf.DUMMYFUNCTION("""COMPUTED_VALUE"""),"Wounded")</f>
        <v>Wounded</v>
      </c>
      <c r="C1630" s="5" t="str">
        <f ca="1">IFERROR(__xludf.DUMMYFUNCTION("""COMPUTED_VALUE"""),"Male")</f>
        <v>Male</v>
      </c>
      <c r="D1630" s="5" t="str">
        <f ca="1">IFERROR(__xludf.DUMMYFUNCTION("""COMPUTED_VALUE"""),"Student")</f>
        <v>Student</v>
      </c>
      <c r="E1630" s="5">
        <f ca="1">IFERROR(__xludf.DUMMYFUNCTION("""COMPUTED_VALUE"""),15)</f>
        <v>15</v>
      </c>
      <c r="F1630" s="5"/>
    </row>
    <row r="1631" spans="1:6">
      <c r="A1631" s="5" t="str">
        <f ca="1">IFERROR(__xludf.DUMMYFUNCTION("""COMPUTED_VALUE"""),"20050913ILHAC")</f>
        <v>20050913ILHAC</v>
      </c>
      <c r="B1631" s="5" t="str">
        <f ca="1">IFERROR(__xludf.DUMMYFUNCTION("""COMPUTED_VALUE"""),"Wounded")</f>
        <v>Wounded</v>
      </c>
      <c r="C1631" s="5" t="str">
        <f ca="1">IFERROR(__xludf.DUMMYFUNCTION("""COMPUTED_VALUE"""),"Male")</f>
        <v>Male</v>
      </c>
      <c r="D1631" s="5" t="str">
        <f ca="1">IFERROR(__xludf.DUMMYFUNCTION("""COMPUTED_VALUE"""),"Student")</f>
        <v>Student</v>
      </c>
      <c r="E1631" s="5">
        <f ca="1">IFERROR(__xludf.DUMMYFUNCTION("""COMPUTED_VALUE"""),15)</f>
        <v>15</v>
      </c>
      <c r="F1631" s="5"/>
    </row>
    <row r="1632" spans="1:6">
      <c r="A1632" s="5" t="str">
        <f ca="1">IFERROR(__xludf.DUMMYFUNCTION("""COMPUTED_VALUE"""),"20050902FLSOJ")</f>
        <v>20050902FLSOJ</v>
      </c>
      <c r="B1632" s="5" t="str">
        <f ca="1">IFERROR(__xludf.DUMMYFUNCTION("""COMPUTED_VALUE"""),"Wounded")</f>
        <v>Wounded</v>
      </c>
      <c r="C1632" s="5" t="str">
        <f ca="1">IFERROR(__xludf.DUMMYFUNCTION("""COMPUTED_VALUE"""),"Male")</f>
        <v>Male</v>
      </c>
      <c r="D1632" s="5" t="str">
        <f ca="1">IFERROR(__xludf.DUMMYFUNCTION("""COMPUTED_VALUE"""),"Student")</f>
        <v>Student</v>
      </c>
      <c r="E1632" s="5">
        <f ca="1">IFERROR(__xludf.DUMMYFUNCTION("""COMPUTED_VALUE"""),17)</f>
        <v>17</v>
      </c>
      <c r="F1632" s="5"/>
    </row>
    <row r="1633" spans="1:6">
      <c r="A1633" s="5" t="str">
        <f ca="1">IFERROR(__xludf.DUMMYFUNCTION("""COMPUTED_VALUE"""),"20050901AKDIA")</f>
        <v>20050901AKDIA</v>
      </c>
      <c r="B1633" s="5" t="str">
        <f ca="1">IFERROR(__xludf.DUMMYFUNCTION("""COMPUTED_VALUE"""),"None")</f>
        <v>None</v>
      </c>
      <c r="C1633" s="5" t="str">
        <f ca="1">IFERROR(__xludf.DUMMYFUNCTION("""COMPUTED_VALUE"""),"Male")</f>
        <v>Male</v>
      </c>
      <c r="D1633" s="5" t="str">
        <f ca="1">IFERROR(__xludf.DUMMYFUNCTION("""COMPUTED_VALUE"""),"Student")</f>
        <v>Student</v>
      </c>
      <c r="E1633" s="5" t="str">
        <f ca="1">IFERROR(__xludf.DUMMYFUNCTION("""COMPUTED_VALUE"""),"Teen")</f>
        <v>Teen</v>
      </c>
      <c r="F1633" s="5"/>
    </row>
    <row r="1634" spans="1:6">
      <c r="A1634" s="5" t="str">
        <f ca="1">IFERROR(__xludf.DUMMYFUNCTION("""COMPUTED_VALUE"""),"20050901AKDIA")</f>
        <v>20050901AKDIA</v>
      </c>
      <c r="B1634" s="5" t="str">
        <f ca="1">IFERROR(__xludf.DUMMYFUNCTION("""COMPUTED_VALUE"""),"None")</f>
        <v>None</v>
      </c>
      <c r="C1634" s="5" t="str">
        <f ca="1">IFERROR(__xludf.DUMMYFUNCTION("""COMPUTED_VALUE"""),"Male")</f>
        <v>Male</v>
      </c>
      <c r="D1634" s="5" t="str">
        <f ca="1">IFERROR(__xludf.DUMMYFUNCTION("""COMPUTED_VALUE"""),"Student")</f>
        <v>Student</v>
      </c>
      <c r="E1634" s="5" t="str">
        <f ca="1">IFERROR(__xludf.DUMMYFUNCTION("""COMPUTED_VALUE"""),"Teen")</f>
        <v>Teen</v>
      </c>
      <c r="F1634" s="5"/>
    </row>
    <row r="1635" spans="1:6">
      <c r="A1635" s="5" t="str">
        <f ca="1">IFERROR(__xludf.DUMMYFUNCTION("""COMPUTED_VALUE"""),"20050825TNMAD")</f>
        <v>20050825TNMAD</v>
      </c>
      <c r="B1635" s="5" t="str">
        <f ca="1">IFERROR(__xludf.DUMMYFUNCTION("""COMPUTED_VALUE"""),"Wounded")</f>
        <v>Wounded</v>
      </c>
      <c r="C1635" s="5" t="str">
        <f ca="1">IFERROR(__xludf.DUMMYFUNCTION("""COMPUTED_VALUE"""),"Male")</f>
        <v>Male</v>
      </c>
      <c r="D1635" s="5" t="str">
        <f ca="1">IFERROR(__xludf.DUMMYFUNCTION("""COMPUTED_VALUE"""),"Student")</f>
        <v>Student</v>
      </c>
      <c r="E1635" s="5">
        <f ca="1">IFERROR(__xludf.DUMMYFUNCTION("""COMPUTED_VALUE"""),12)</f>
        <v>12</v>
      </c>
      <c r="F1635" s="5"/>
    </row>
    <row r="1636" spans="1:6">
      <c r="A1636" s="5" t="str">
        <f ca="1">IFERROR(__xludf.DUMMYFUNCTION("""COMPUTED_VALUE"""),"20050819GAMOM")</f>
        <v>20050819GAMOM</v>
      </c>
      <c r="B1636" s="5" t="str">
        <f ca="1">IFERROR(__xludf.DUMMYFUNCTION("""COMPUTED_VALUE"""),"Wounded")</f>
        <v>Wounded</v>
      </c>
      <c r="C1636" s="5" t="str">
        <f ca="1">IFERROR(__xludf.DUMMYFUNCTION("""COMPUTED_VALUE"""),"Male")</f>
        <v>Male</v>
      </c>
      <c r="D1636" s="5" t="str">
        <f ca="1">IFERROR(__xludf.DUMMYFUNCTION("""COMPUTED_VALUE"""),"Student")</f>
        <v>Student</v>
      </c>
      <c r="E1636" s="5">
        <f ca="1">IFERROR(__xludf.DUMMYFUNCTION("""COMPUTED_VALUE"""),18)</f>
        <v>18</v>
      </c>
      <c r="F1636" s="5"/>
    </row>
    <row r="1637" spans="1:6">
      <c r="A1637" s="5" t="str">
        <f ca="1">IFERROR(__xludf.DUMMYFUNCTION("""COMPUTED_VALUE"""),"20050819GAMOM")</f>
        <v>20050819GAMOM</v>
      </c>
      <c r="B1637" s="5" t="str">
        <f ca="1">IFERROR(__xludf.DUMMYFUNCTION("""COMPUTED_VALUE"""),"Wounded")</f>
        <v>Wounded</v>
      </c>
      <c r="C1637" s="5" t="str">
        <f ca="1">IFERROR(__xludf.DUMMYFUNCTION("""COMPUTED_VALUE"""),"Male")</f>
        <v>Male</v>
      </c>
      <c r="D1637" s="5" t="str">
        <f ca="1">IFERROR(__xludf.DUMMYFUNCTION("""COMPUTED_VALUE"""),"Nonstudent")</f>
        <v>Nonstudent</v>
      </c>
      <c r="E1637" s="5">
        <f ca="1">IFERROR(__xludf.DUMMYFUNCTION("""COMPUTED_VALUE"""),21)</f>
        <v>21</v>
      </c>
      <c r="F1637" s="5"/>
    </row>
    <row r="1638" spans="1:6">
      <c r="A1638" s="5" t="str">
        <f ca="1">IFERROR(__xludf.DUMMYFUNCTION("""COMPUTED_VALUE"""),"20050817CAPLB")</f>
        <v>20050817CAPLB</v>
      </c>
      <c r="B1638" s="5" t="str">
        <f ca="1">IFERROR(__xludf.DUMMYFUNCTION("""COMPUTED_VALUE"""),"Fatal")</f>
        <v>Fatal</v>
      </c>
      <c r="C1638" s="5" t="str">
        <f ca="1">IFERROR(__xludf.DUMMYFUNCTION("""COMPUTED_VALUE"""),"Male")</f>
        <v>Male</v>
      </c>
      <c r="D1638" s="5" t="str">
        <f ca="1">IFERROR(__xludf.DUMMYFUNCTION("""COMPUTED_VALUE"""),"No Relation")</f>
        <v>No Relation</v>
      </c>
      <c r="E1638" s="5">
        <f ca="1">IFERROR(__xludf.DUMMYFUNCTION("""COMPUTED_VALUE"""),15)</f>
        <v>15</v>
      </c>
      <c r="F1638" s="5"/>
    </row>
    <row r="1639" spans="1:6">
      <c r="A1639" s="5" t="str">
        <f ca="1">IFERROR(__xludf.DUMMYFUNCTION("""COMPUTED_VALUE"""),"20050816VICOE")</f>
        <v>20050816VICOE</v>
      </c>
      <c r="B1639" s="5" t="str">
        <f ca="1">IFERROR(__xludf.DUMMYFUNCTION("""COMPUTED_VALUE"""),"Wounded")</f>
        <v>Wounded</v>
      </c>
      <c r="C1639" s="5" t="str">
        <f ca="1">IFERROR(__xludf.DUMMYFUNCTION("""COMPUTED_VALUE"""),"Male")</f>
        <v>Male</v>
      </c>
      <c r="D1639" s="5" t="str">
        <f ca="1">IFERROR(__xludf.DUMMYFUNCTION("""COMPUTED_VALUE"""),"Other Staff")</f>
        <v>Other Staff</v>
      </c>
      <c r="E1639" s="5" t="str">
        <f ca="1">IFERROR(__xludf.DUMMYFUNCTION("""COMPUTED_VALUE"""),"Adult")</f>
        <v>Adult</v>
      </c>
      <c r="F1639" s="5"/>
    </row>
    <row r="1640" spans="1:6">
      <c r="A1640" s="5" t="str">
        <f ca="1">IFERROR(__xludf.DUMMYFUNCTION("""COMPUTED_VALUE"""),"20050718NJWEN")</f>
        <v>20050718NJWEN</v>
      </c>
      <c r="B1640" s="5" t="str">
        <f ca="1">IFERROR(__xludf.DUMMYFUNCTION("""COMPUTED_VALUE"""),"Fatal")</f>
        <v>Fatal</v>
      </c>
      <c r="C1640" s="5" t="str">
        <f ca="1">IFERROR(__xludf.DUMMYFUNCTION("""COMPUTED_VALUE"""),"Male")</f>
        <v>Male</v>
      </c>
      <c r="D1640" s="5" t="str">
        <f ca="1">IFERROR(__xludf.DUMMYFUNCTION("""COMPUTED_VALUE"""),"Police Officer/SRO")</f>
        <v>Police Officer/SRO</v>
      </c>
      <c r="E1640" s="5">
        <f ca="1">IFERROR(__xludf.DUMMYFUNCTION("""COMPUTED_VALUE"""),32)</f>
        <v>32</v>
      </c>
      <c r="F1640" s="5"/>
    </row>
    <row r="1641" spans="1:6">
      <c r="A1641" s="5" t="str">
        <f ca="1">IFERROR(__xludf.DUMMYFUNCTION("""COMPUTED_VALUE"""),"20050718NJWEN")</f>
        <v>20050718NJWEN</v>
      </c>
      <c r="B1641" s="5" t="str">
        <f ca="1">IFERROR(__xludf.DUMMYFUNCTION("""COMPUTED_VALUE"""),"Fatal")</f>
        <v>Fatal</v>
      </c>
      <c r="C1641" s="5" t="str">
        <f ca="1">IFERROR(__xludf.DUMMYFUNCTION("""COMPUTED_VALUE"""),"Male")</f>
        <v>Male</v>
      </c>
      <c r="D1641" s="5" t="str">
        <f ca="1">IFERROR(__xludf.DUMMYFUNCTION("""COMPUTED_VALUE"""),"Police Officer/SRO")</f>
        <v>Police Officer/SRO</v>
      </c>
      <c r="E1641" s="5">
        <f ca="1">IFERROR(__xludf.DUMMYFUNCTION("""COMPUTED_VALUE"""),23)</f>
        <v>23</v>
      </c>
      <c r="F1641" s="5"/>
    </row>
    <row r="1642" spans="1:6">
      <c r="A1642" s="5" t="str">
        <f ca="1">IFERROR(__xludf.DUMMYFUNCTION("""COMPUTED_VALUE"""),"20050612NJBAA")</f>
        <v>20050612NJBAA</v>
      </c>
      <c r="B1642" s="5" t="str">
        <f ca="1">IFERROR(__xludf.DUMMYFUNCTION("""COMPUTED_VALUE"""),"Wounded")</f>
        <v>Wounded</v>
      </c>
      <c r="C1642" s="5" t="str">
        <f ca="1">IFERROR(__xludf.DUMMYFUNCTION("""COMPUTED_VALUE"""),"Male")</f>
        <v>Male</v>
      </c>
      <c r="D1642" s="5" t="str">
        <f ca="1">IFERROR(__xludf.DUMMYFUNCTION("""COMPUTED_VALUE"""),"No Relation")</f>
        <v>No Relation</v>
      </c>
      <c r="E1642" s="5">
        <f ca="1">IFERROR(__xludf.DUMMYFUNCTION("""COMPUTED_VALUE"""),24)</f>
        <v>24</v>
      </c>
      <c r="F1642" s="5"/>
    </row>
    <row r="1643" spans="1:6">
      <c r="A1643" s="5" t="str">
        <f ca="1">IFERROR(__xludf.DUMMYFUNCTION("""COMPUTED_VALUE"""),"20050612NJBAA")</f>
        <v>20050612NJBAA</v>
      </c>
      <c r="B1643" s="5" t="str">
        <f ca="1">IFERROR(__xludf.DUMMYFUNCTION("""COMPUTED_VALUE"""),"Wounded")</f>
        <v>Wounded</v>
      </c>
      <c r="C1643" s="5" t="str">
        <f ca="1">IFERROR(__xludf.DUMMYFUNCTION("""COMPUTED_VALUE"""),"Male")</f>
        <v>Male</v>
      </c>
      <c r="D1643" s="5" t="str">
        <f ca="1">IFERROR(__xludf.DUMMYFUNCTION("""COMPUTED_VALUE"""),"No Relation")</f>
        <v>No Relation</v>
      </c>
      <c r="E1643" s="5">
        <f ca="1">IFERROR(__xludf.DUMMYFUNCTION("""COMPUTED_VALUE"""),20)</f>
        <v>20</v>
      </c>
      <c r="F1643" s="5"/>
    </row>
    <row r="1644" spans="1:6">
      <c r="A1644" s="5" t="str">
        <f ca="1">IFERROR(__xludf.DUMMYFUNCTION("""COMPUTED_VALUE"""),"20050612NJBAA")</f>
        <v>20050612NJBAA</v>
      </c>
      <c r="B1644" s="5" t="str">
        <f ca="1">IFERROR(__xludf.DUMMYFUNCTION("""COMPUTED_VALUE"""),"Wounded")</f>
        <v>Wounded</v>
      </c>
      <c r="C1644" s="5" t="str">
        <f ca="1">IFERROR(__xludf.DUMMYFUNCTION("""COMPUTED_VALUE"""),"Male")</f>
        <v>Male</v>
      </c>
      <c r="D1644" s="5" t="str">
        <f ca="1">IFERROR(__xludf.DUMMYFUNCTION("""COMPUTED_VALUE"""),"No Relation")</f>
        <v>No Relation</v>
      </c>
      <c r="E1644" s="5">
        <f ca="1">IFERROR(__xludf.DUMMYFUNCTION("""COMPUTED_VALUE"""),21)</f>
        <v>21</v>
      </c>
      <c r="F1644" s="5"/>
    </row>
    <row r="1645" spans="1:6">
      <c r="A1645" s="5" t="str">
        <f ca="1">IFERROR(__xludf.DUMMYFUNCTION("""COMPUTED_VALUE"""),"20050608NYARP")</f>
        <v>20050608NYARP</v>
      </c>
      <c r="B1645" s="5" t="str">
        <f ca="1">IFERROR(__xludf.DUMMYFUNCTION("""COMPUTED_VALUE"""),"Wounded")</f>
        <v>Wounded</v>
      </c>
      <c r="C1645" s="5" t="str">
        <f ca="1">IFERROR(__xludf.DUMMYFUNCTION("""COMPUTED_VALUE"""),"Unknown")</f>
        <v>Unknown</v>
      </c>
      <c r="D1645" s="5" t="str">
        <f ca="1">IFERROR(__xludf.DUMMYFUNCTION("""COMPUTED_VALUE"""),"Student")</f>
        <v>Student</v>
      </c>
      <c r="E1645" s="5" t="str">
        <f ca="1">IFERROR(__xludf.DUMMYFUNCTION("""COMPUTED_VALUE"""),"Teen")</f>
        <v>Teen</v>
      </c>
      <c r="F1645" s="5"/>
    </row>
    <row r="1646" spans="1:6">
      <c r="A1646" s="5" t="str">
        <f ca="1">IFERROR(__xludf.DUMMYFUNCTION("""COMPUTED_VALUE"""),"20050608NYARP")</f>
        <v>20050608NYARP</v>
      </c>
      <c r="B1646" s="5" t="str">
        <f ca="1">IFERROR(__xludf.DUMMYFUNCTION("""COMPUTED_VALUE"""),"Wounded")</f>
        <v>Wounded</v>
      </c>
      <c r="C1646" s="5" t="str">
        <f ca="1">IFERROR(__xludf.DUMMYFUNCTION("""COMPUTED_VALUE"""),"Unknown")</f>
        <v>Unknown</v>
      </c>
      <c r="D1646" s="5" t="str">
        <f ca="1">IFERROR(__xludf.DUMMYFUNCTION("""COMPUTED_VALUE"""),"Student")</f>
        <v>Student</v>
      </c>
      <c r="E1646" s="5" t="str">
        <f ca="1">IFERROR(__xludf.DUMMYFUNCTION("""COMPUTED_VALUE"""),"Teen")</f>
        <v>Teen</v>
      </c>
      <c r="F1646" s="5"/>
    </row>
    <row r="1647" spans="1:6">
      <c r="A1647" s="5" t="str">
        <f ca="1">IFERROR(__xludf.DUMMYFUNCTION("""COMPUTED_VALUE"""),"20050524LABOS")</f>
        <v>20050524LABOS</v>
      </c>
      <c r="B1647" s="5" t="str">
        <f ca="1">IFERROR(__xludf.DUMMYFUNCTION("""COMPUTED_VALUE"""),"None")</f>
        <v>None</v>
      </c>
      <c r="C1647" s="5" t="str">
        <f ca="1">IFERROR(__xludf.DUMMYFUNCTION("""COMPUTED_VALUE"""),"Male")</f>
        <v>Male</v>
      </c>
      <c r="D1647" s="5" t="str">
        <f ca="1">IFERROR(__xludf.DUMMYFUNCTION("""COMPUTED_VALUE"""),"Student")</f>
        <v>Student</v>
      </c>
      <c r="E1647" s="5">
        <f ca="1">IFERROR(__xludf.DUMMYFUNCTION("""COMPUTED_VALUE"""),16)</f>
        <v>16</v>
      </c>
      <c r="F1647" s="5"/>
    </row>
    <row r="1648" spans="1:6">
      <c r="A1648" s="5" t="str">
        <f ca="1">IFERROR(__xludf.DUMMYFUNCTION("""COMPUTED_VALUE"""),"20050524COACD")</f>
        <v>20050524COACD</v>
      </c>
      <c r="B1648" s="5" t="str">
        <f ca="1">IFERROR(__xludf.DUMMYFUNCTION("""COMPUTED_VALUE"""),"Wounded")</f>
        <v>Wounded</v>
      </c>
      <c r="C1648" s="5" t="str">
        <f ca="1">IFERROR(__xludf.DUMMYFUNCTION("""COMPUTED_VALUE"""),"Female")</f>
        <v>Female</v>
      </c>
      <c r="D1648" s="5" t="str">
        <f ca="1">IFERROR(__xludf.DUMMYFUNCTION("""COMPUTED_VALUE"""),"Teacher")</f>
        <v>Teacher</v>
      </c>
      <c r="E1648" s="5" t="str">
        <f ca="1">IFERROR(__xludf.DUMMYFUNCTION("""COMPUTED_VALUE"""),"Adult")</f>
        <v>Adult</v>
      </c>
      <c r="F1648" s="5"/>
    </row>
    <row r="1649" spans="1:6">
      <c r="A1649" s="5" t="str">
        <f ca="1">IFERROR(__xludf.DUMMYFUNCTION("""COMPUTED_VALUE"""),"20050524COACD")</f>
        <v>20050524COACD</v>
      </c>
      <c r="B1649" s="5" t="str">
        <f ca="1">IFERROR(__xludf.DUMMYFUNCTION("""COMPUTED_VALUE"""),"Wounded")</f>
        <v>Wounded</v>
      </c>
      <c r="C1649" s="5" t="str">
        <f ca="1">IFERROR(__xludf.DUMMYFUNCTION("""COMPUTED_VALUE"""),"Female")</f>
        <v>Female</v>
      </c>
      <c r="D1649" s="5" t="str">
        <f ca="1">IFERROR(__xludf.DUMMYFUNCTION("""COMPUTED_VALUE"""),"Teacher")</f>
        <v>Teacher</v>
      </c>
      <c r="E1649" s="5" t="str">
        <f ca="1">IFERROR(__xludf.DUMMYFUNCTION("""COMPUTED_VALUE"""),"Adult")</f>
        <v>Adult</v>
      </c>
      <c r="F1649" s="5"/>
    </row>
    <row r="1650" spans="1:6">
      <c r="A1650" s="5" t="str">
        <f ca="1">IFERROR(__xludf.DUMMYFUNCTION("""COMPUTED_VALUE"""),"20050520ILLOM")</f>
        <v>20050520ILLOM</v>
      </c>
      <c r="B1650" s="5" t="str">
        <f ca="1">IFERROR(__xludf.DUMMYFUNCTION("""COMPUTED_VALUE"""),"Wounded")</f>
        <v>Wounded</v>
      </c>
      <c r="C1650" s="5" t="str">
        <f ca="1">IFERROR(__xludf.DUMMYFUNCTION("""COMPUTED_VALUE"""),"Male")</f>
        <v>Male</v>
      </c>
      <c r="D1650" s="5" t="str">
        <f ca="1">IFERROR(__xludf.DUMMYFUNCTION("""COMPUTED_VALUE"""),"Student")</f>
        <v>Student</v>
      </c>
      <c r="E1650" s="5" t="str">
        <f ca="1">IFERROR(__xludf.DUMMYFUNCTION("""COMPUTED_VALUE"""),"Teen")</f>
        <v>Teen</v>
      </c>
      <c r="F1650" s="5"/>
    </row>
    <row r="1651" spans="1:6">
      <c r="A1651" s="5" t="str">
        <f ca="1">IFERROR(__xludf.DUMMYFUNCTION("""COMPUTED_VALUE"""),"20050520ILLOM")</f>
        <v>20050520ILLOM</v>
      </c>
      <c r="B1651" s="5" t="str">
        <f ca="1">IFERROR(__xludf.DUMMYFUNCTION("""COMPUTED_VALUE"""),"Wounded")</f>
        <v>Wounded</v>
      </c>
      <c r="C1651" s="5" t="str">
        <f ca="1">IFERROR(__xludf.DUMMYFUNCTION("""COMPUTED_VALUE"""),"Male")</f>
        <v>Male</v>
      </c>
      <c r="D1651" s="5" t="str">
        <f ca="1">IFERROR(__xludf.DUMMYFUNCTION("""COMPUTED_VALUE"""),"Student")</f>
        <v>Student</v>
      </c>
      <c r="E1651" s="5" t="str">
        <f ca="1">IFERROR(__xludf.DUMMYFUNCTION("""COMPUTED_VALUE"""),"Teen")</f>
        <v>Teen</v>
      </c>
      <c r="F1651" s="5"/>
    </row>
    <row r="1652" spans="1:6">
      <c r="A1652" s="5" t="str">
        <f ca="1">IFERROR(__xludf.DUMMYFUNCTION("""COMPUTED_VALUE"""),"20050517PAHIL")</f>
        <v>20050517PAHIL</v>
      </c>
      <c r="B1652" s="5" t="str">
        <f ca="1">IFERROR(__xludf.DUMMYFUNCTION("""COMPUTED_VALUE"""),"Fatal")</f>
        <v>Fatal</v>
      </c>
      <c r="C1652" s="5" t="str">
        <f ca="1">IFERROR(__xludf.DUMMYFUNCTION("""COMPUTED_VALUE"""),"Female")</f>
        <v>Female</v>
      </c>
      <c r="D1652" s="5" t="str">
        <f ca="1">IFERROR(__xludf.DUMMYFUNCTION("""COMPUTED_VALUE"""),"Parent")</f>
        <v>Parent</v>
      </c>
      <c r="E1652" s="5">
        <f ca="1">IFERROR(__xludf.DUMMYFUNCTION("""COMPUTED_VALUE"""),32)</f>
        <v>32</v>
      </c>
      <c r="F1652" s="5"/>
    </row>
    <row r="1653" spans="1:6">
      <c r="A1653" s="5" t="str">
        <f ca="1">IFERROR(__xludf.DUMMYFUNCTION("""COMPUTED_VALUE"""),"20050514TXBER")</f>
        <v>20050514TXBER</v>
      </c>
      <c r="B1653" s="5" t="str">
        <f ca="1">IFERROR(__xludf.DUMMYFUNCTION("""COMPUTED_VALUE"""),"Wounded")</f>
        <v>Wounded</v>
      </c>
      <c r="C1653" s="5" t="str">
        <f ca="1">IFERROR(__xludf.DUMMYFUNCTION("""COMPUTED_VALUE"""),"Male")</f>
        <v>Male</v>
      </c>
      <c r="D1653" s="5" t="str">
        <f ca="1">IFERROR(__xludf.DUMMYFUNCTION("""COMPUTED_VALUE"""),"Student")</f>
        <v>Student</v>
      </c>
      <c r="E1653" s="5">
        <f ca="1">IFERROR(__xludf.DUMMYFUNCTION("""COMPUTED_VALUE"""),18)</f>
        <v>18</v>
      </c>
      <c r="F1653" s="5"/>
    </row>
    <row r="1654" spans="1:6">
      <c r="A1654" s="5" t="str">
        <f ca="1">IFERROR(__xludf.DUMMYFUNCTION("""COMPUTED_VALUE"""),"20050429OHDAC")</f>
        <v>20050429OHDAC</v>
      </c>
      <c r="B1654" s="5" t="str">
        <f ca="1">IFERROR(__xludf.DUMMYFUNCTION("""COMPUTED_VALUE"""),"Wounded")</f>
        <v>Wounded</v>
      </c>
      <c r="C1654" s="5" t="str">
        <f ca="1">IFERROR(__xludf.DUMMYFUNCTION("""COMPUTED_VALUE"""),"Female")</f>
        <v>Female</v>
      </c>
      <c r="D1654" s="5" t="str">
        <f ca="1">IFERROR(__xludf.DUMMYFUNCTION("""COMPUTED_VALUE"""),"Other Staff")</f>
        <v>Other Staff</v>
      </c>
      <c r="E1654" s="5" t="str">
        <f ca="1">IFERROR(__xludf.DUMMYFUNCTION("""COMPUTED_VALUE"""),"Adult")</f>
        <v>Adult</v>
      </c>
      <c r="F1654" s="5"/>
    </row>
    <row r="1655" spans="1:6">
      <c r="A1655" s="5" t="str">
        <f ca="1">IFERROR(__xludf.DUMMYFUNCTION("""COMPUTED_VALUE"""),"20050427LALER")</f>
        <v>20050427LALER</v>
      </c>
      <c r="B1655" s="5" t="str">
        <f ca="1">IFERROR(__xludf.DUMMYFUNCTION("""COMPUTED_VALUE"""),"None")</f>
        <v>None</v>
      </c>
      <c r="C1655" s="5"/>
      <c r="D1655" s="5"/>
      <c r="E1655" s="5"/>
      <c r="F1655" s="5"/>
    </row>
    <row r="1656" spans="1:6">
      <c r="A1656" s="5" t="str">
        <f ca="1">IFERROR(__xludf.DUMMYFUNCTION("""COMPUTED_VALUE"""),"20050407TXCAC")</f>
        <v>20050407TXCAC</v>
      </c>
      <c r="B1656" s="5" t="str">
        <f ca="1">IFERROR(__xludf.DUMMYFUNCTION("""COMPUTED_VALUE"""),"Wounded")</f>
        <v>Wounded</v>
      </c>
      <c r="C1656" s="5" t="str">
        <f ca="1">IFERROR(__xludf.DUMMYFUNCTION("""COMPUTED_VALUE"""),"Male")</f>
        <v>Male</v>
      </c>
      <c r="D1656" s="5" t="str">
        <f ca="1">IFERROR(__xludf.DUMMYFUNCTION("""COMPUTED_VALUE"""),"Other Staff")</f>
        <v>Other Staff</v>
      </c>
      <c r="E1656" s="5">
        <f ca="1">IFERROR(__xludf.DUMMYFUNCTION("""COMPUTED_VALUE"""),37)</f>
        <v>37</v>
      </c>
      <c r="F1656" s="5" t="str">
        <f ca="1">IFERROR(__xludf.DUMMYFUNCTION("""COMPUTED_VALUE"""),"White")</f>
        <v>White</v>
      </c>
    </row>
    <row r="1657" spans="1:6">
      <c r="A1657" s="5" t="str">
        <f ca="1">IFERROR(__xludf.DUMMYFUNCTION("""COMPUTED_VALUE"""),"20050330TNEAM")</f>
        <v>20050330TNEAM</v>
      </c>
      <c r="B1657" s="5" t="str">
        <f ca="1">IFERROR(__xludf.DUMMYFUNCTION("""COMPUTED_VALUE"""),"None")</f>
        <v>None</v>
      </c>
      <c r="C1657" s="5" t="str">
        <f ca="1">IFERROR(__xludf.DUMMYFUNCTION("""COMPUTED_VALUE"""),"Male")</f>
        <v>Male</v>
      </c>
      <c r="D1657" s="5" t="str">
        <f ca="1">IFERROR(__xludf.DUMMYFUNCTION("""COMPUTED_VALUE"""),"Student")</f>
        <v>Student</v>
      </c>
      <c r="E1657" s="5">
        <f ca="1">IFERROR(__xludf.DUMMYFUNCTION("""COMPUTED_VALUE"""),17)</f>
        <v>17</v>
      </c>
      <c r="F1657" s="5"/>
    </row>
    <row r="1658" spans="1:6">
      <c r="A1658" s="5" t="str">
        <f ca="1">IFERROR(__xludf.DUMMYFUNCTION("""COMPUTED_VALUE"""),"20050324TNFAM")</f>
        <v>20050324TNFAM</v>
      </c>
      <c r="B1658" s="5" t="str">
        <f ca="1">IFERROR(__xludf.DUMMYFUNCTION("""COMPUTED_VALUE"""),"None")</f>
        <v>None</v>
      </c>
      <c r="C1658" s="5" t="str">
        <f ca="1">IFERROR(__xludf.DUMMYFUNCTION("""COMPUTED_VALUE"""),"Female")</f>
        <v>Female</v>
      </c>
      <c r="D1658" s="5" t="str">
        <f ca="1">IFERROR(__xludf.DUMMYFUNCTION("""COMPUTED_VALUE"""),"Student")</f>
        <v>Student</v>
      </c>
      <c r="E1658" s="5">
        <f ca="1">IFERROR(__xludf.DUMMYFUNCTION("""COMPUTED_VALUE"""),17)</f>
        <v>17</v>
      </c>
      <c r="F1658" s="5"/>
    </row>
    <row r="1659" spans="1:6">
      <c r="A1659" s="5" t="str">
        <f ca="1">IFERROR(__xludf.DUMMYFUNCTION("""COMPUTED_VALUE"""),"20050321NYNEB")</f>
        <v>20050321NYNEB</v>
      </c>
      <c r="B1659" s="5" t="str">
        <f ca="1">IFERROR(__xludf.DUMMYFUNCTION("""COMPUTED_VALUE"""),"None")</f>
        <v>None</v>
      </c>
      <c r="C1659" s="5" t="str">
        <f ca="1">IFERROR(__xludf.DUMMYFUNCTION("""COMPUTED_VALUE"""),"Male")</f>
        <v>Male</v>
      </c>
      <c r="D1659" s="5" t="str">
        <f ca="1">IFERROR(__xludf.DUMMYFUNCTION("""COMPUTED_VALUE"""),"Student")</f>
        <v>Student</v>
      </c>
      <c r="E1659" s="5" t="str">
        <f ca="1">IFERROR(__xludf.DUMMYFUNCTION("""COMPUTED_VALUE"""),"Teen")</f>
        <v>Teen</v>
      </c>
      <c r="F1659" s="5"/>
    </row>
    <row r="1660" spans="1:6">
      <c r="A1660" s="5" t="str">
        <f ca="1">IFERROR(__xludf.DUMMYFUNCTION("""COMPUTED_VALUE"""),"20050321MNRER")</f>
        <v>20050321MNRER</v>
      </c>
      <c r="B1660" s="5" t="str">
        <f ca="1">IFERROR(__xludf.DUMMYFUNCTION("""COMPUTED_VALUE"""),"Fatal")</f>
        <v>Fatal</v>
      </c>
      <c r="C1660" s="5" t="str">
        <f ca="1">IFERROR(__xludf.DUMMYFUNCTION("""COMPUTED_VALUE"""),"Male")</f>
        <v>Male</v>
      </c>
      <c r="D1660" s="5" t="str">
        <f ca="1">IFERROR(__xludf.DUMMYFUNCTION("""COMPUTED_VALUE"""),"Student")</f>
        <v>Student</v>
      </c>
      <c r="E1660" s="5">
        <f ca="1">IFERROR(__xludf.DUMMYFUNCTION("""COMPUTED_VALUE"""),15)</f>
        <v>15</v>
      </c>
      <c r="F1660" s="5"/>
    </row>
    <row r="1661" spans="1:6">
      <c r="A1661" s="5" t="str">
        <f ca="1">IFERROR(__xludf.DUMMYFUNCTION("""COMPUTED_VALUE"""),"20050321MNRER")</f>
        <v>20050321MNRER</v>
      </c>
      <c r="B1661" s="5" t="str">
        <f ca="1">IFERROR(__xludf.DUMMYFUNCTION("""COMPUTED_VALUE"""),"Wounded")</f>
        <v>Wounded</v>
      </c>
      <c r="C1661" s="5" t="str">
        <f ca="1">IFERROR(__xludf.DUMMYFUNCTION("""COMPUTED_VALUE"""),"Unknown")</f>
        <v>Unknown</v>
      </c>
      <c r="D1661" s="5" t="str">
        <f ca="1">IFERROR(__xludf.DUMMYFUNCTION("""COMPUTED_VALUE"""),"Student")</f>
        <v>Student</v>
      </c>
      <c r="E1661" s="5">
        <f ca="1">IFERROR(__xludf.DUMMYFUNCTION("""COMPUTED_VALUE"""),15)</f>
        <v>15</v>
      </c>
      <c r="F1661" s="5"/>
    </row>
    <row r="1662" spans="1:6">
      <c r="A1662" s="5" t="str">
        <f ca="1">IFERROR(__xludf.DUMMYFUNCTION("""COMPUTED_VALUE"""),"20050321MNRER")</f>
        <v>20050321MNRER</v>
      </c>
      <c r="B1662" s="5" t="str">
        <f ca="1">IFERROR(__xludf.DUMMYFUNCTION("""COMPUTED_VALUE"""),"Fatal")</f>
        <v>Fatal</v>
      </c>
      <c r="C1662" s="5" t="str">
        <f ca="1">IFERROR(__xludf.DUMMYFUNCTION("""COMPUTED_VALUE"""),"Female")</f>
        <v>Female</v>
      </c>
      <c r="D1662" s="5" t="str">
        <f ca="1">IFERROR(__xludf.DUMMYFUNCTION("""COMPUTED_VALUE"""),"Teacher")</f>
        <v>Teacher</v>
      </c>
      <c r="E1662" s="5">
        <f ca="1">IFERROR(__xludf.DUMMYFUNCTION("""COMPUTED_VALUE"""),62)</f>
        <v>62</v>
      </c>
      <c r="F1662" s="5"/>
    </row>
    <row r="1663" spans="1:6">
      <c r="A1663" s="5" t="str">
        <f ca="1">IFERROR(__xludf.DUMMYFUNCTION("""COMPUTED_VALUE"""),"20050321MNRER")</f>
        <v>20050321MNRER</v>
      </c>
      <c r="B1663" s="5" t="str">
        <f ca="1">IFERROR(__xludf.DUMMYFUNCTION("""COMPUTED_VALUE"""),"Wounded")</f>
        <v>Wounded</v>
      </c>
      <c r="C1663" s="5" t="str">
        <f ca="1">IFERROR(__xludf.DUMMYFUNCTION("""COMPUTED_VALUE"""),"Unknown")</f>
        <v>Unknown</v>
      </c>
      <c r="D1663" s="5" t="str">
        <f ca="1">IFERROR(__xludf.DUMMYFUNCTION("""COMPUTED_VALUE"""),"Student")</f>
        <v>Student</v>
      </c>
      <c r="E1663" s="5">
        <f ca="1">IFERROR(__xludf.DUMMYFUNCTION("""COMPUTED_VALUE"""),15)</f>
        <v>15</v>
      </c>
      <c r="F1663" s="5"/>
    </row>
    <row r="1664" spans="1:6">
      <c r="A1664" s="5" t="str">
        <f ca="1">IFERROR(__xludf.DUMMYFUNCTION("""COMPUTED_VALUE"""),"20050321MNRER")</f>
        <v>20050321MNRER</v>
      </c>
      <c r="B1664" s="5" t="str">
        <f ca="1">IFERROR(__xludf.DUMMYFUNCTION("""COMPUTED_VALUE"""),"Fatal")</f>
        <v>Fatal</v>
      </c>
      <c r="C1664" s="5" t="str">
        <f ca="1">IFERROR(__xludf.DUMMYFUNCTION("""COMPUTED_VALUE"""),"Male")</f>
        <v>Male</v>
      </c>
      <c r="D1664" s="5" t="str">
        <f ca="1">IFERROR(__xludf.DUMMYFUNCTION("""COMPUTED_VALUE"""),"Student")</f>
        <v>Student</v>
      </c>
      <c r="E1664" s="5">
        <f ca="1">IFERROR(__xludf.DUMMYFUNCTION("""COMPUTED_VALUE"""),15)</f>
        <v>15</v>
      </c>
      <c r="F1664" s="5"/>
    </row>
    <row r="1665" spans="1:6">
      <c r="A1665" s="5" t="str">
        <f ca="1">IFERROR(__xludf.DUMMYFUNCTION("""COMPUTED_VALUE"""),"20050321MNRER")</f>
        <v>20050321MNRER</v>
      </c>
      <c r="B1665" s="5" t="str">
        <f ca="1">IFERROR(__xludf.DUMMYFUNCTION("""COMPUTED_VALUE"""),"Wounded")</f>
        <v>Wounded</v>
      </c>
      <c r="C1665" s="5" t="str">
        <f ca="1">IFERROR(__xludf.DUMMYFUNCTION("""COMPUTED_VALUE"""),"Unknown")</f>
        <v>Unknown</v>
      </c>
      <c r="D1665" s="5" t="str">
        <f ca="1">IFERROR(__xludf.DUMMYFUNCTION("""COMPUTED_VALUE"""),"Student")</f>
        <v>Student</v>
      </c>
      <c r="E1665" s="5">
        <f ca="1">IFERROR(__xludf.DUMMYFUNCTION("""COMPUTED_VALUE"""),15)</f>
        <v>15</v>
      </c>
      <c r="F1665" s="5"/>
    </row>
    <row r="1666" spans="1:6">
      <c r="A1666" s="5" t="str">
        <f ca="1">IFERROR(__xludf.DUMMYFUNCTION("""COMPUTED_VALUE"""),"20050321MNRER")</f>
        <v>20050321MNRER</v>
      </c>
      <c r="B1666" s="5" t="str">
        <f ca="1">IFERROR(__xludf.DUMMYFUNCTION("""COMPUTED_VALUE"""),"Fatal")</f>
        <v>Fatal</v>
      </c>
      <c r="C1666" s="5" t="str">
        <f ca="1">IFERROR(__xludf.DUMMYFUNCTION("""COMPUTED_VALUE"""),"Male")</f>
        <v>Male</v>
      </c>
      <c r="D1666" s="5" t="str">
        <f ca="1">IFERROR(__xludf.DUMMYFUNCTION("""COMPUTED_VALUE"""),"Student")</f>
        <v>Student</v>
      </c>
      <c r="E1666" s="5">
        <f ca="1">IFERROR(__xludf.DUMMYFUNCTION("""COMPUTED_VALUE"""),16)</f>
        <v>16</v>
      </c>
      <c r="F1666" s="5"/>
    </row>
    <row r="1667" spans="1:6">
      <c r="A1667" s="5" t="str">
        <f ca="1">IFERROR(__xludf.DUMMYFUNCTION("""COMPUTED_VALUE"""),"20050321MNRER")</f>
        <v>20050321MNRER</v>
      </c>
      <c r="B1667" s="5" t="str">
        <f ca="1">IFERROR(__xludf.DUMMYFUNCTION("""COMPUTED_VALUE"""),"Fatal")</f>
        <v>Fatal</v>
      </c>
      <c r="C1667" s="5" t="str">
        <f ca="1">IFERROR(__xludf.DUMMYFUNCTION("""COMPUTED_VALUE"""),"Female")</f>
        <v>Female</v>
      </c>
      <c r="D1667" s="5" t="str">
        <f ca="1">IFERROR(__xludf.DUMMYFUNCTION("""COMPUTED_VALUE"""),"Student")</f>
        <v>Student</v>
      </c>
      <c r="E1667" s="5">
        <f ca="1">IFERROR(__xludf.DUMMYFUNCTION("""COMPUTED_VALUE"""),15)</f>
        <v>15</v>
      </c>
      <c r="F1667" s="5"/>
    </row>
    <row r="1668" spans="1:6">
      <c r="A1668" s="5" t="str">
        <f ca="1">IFERROR(__xludf.DUMMYFUNCTION("""COMPUTED_VALUE"""),"20050321MNRER")</f>
        <v>20050321MNRER</v>
      </c>
      <c r="B1668" s="5" t="str">
        <f ca="1">IFERROR(__xludf.DUMMYFUNCTION("""COMPUTED_VALUE"""),"Fatal")</f>
        <v>Fatal</v>
      </c>
      <c r="C1668" s="5" t="str">
        <f ca="1">IFERROR(__xludf.DUMMYFUNCTION("""COMPUTED_VALUE"""),"Male")</f>
        <v>Male</v>
      </c>
      <c r="D1668" s="5" t="str">
        <f ca="1">IFERROR(__xludf.DUMMYFUNCTION("""COMPUTED_VALUE"""),"Security Guard")</f>
        <v>Security Guard</v>
      </c>
      <c r="E1668" s="5">
        <f ca="1">IFERROR(__xludf.DUMMYFUNCTION("""COMPUTED_VALUE"""),28)</f>
        <v>28</v>
      </c>
      <c r="F1668" s="5"/>
    </row>
    <row r="1669" spans="1:6">
      <c r="A1669" s="5" t="str">
        <f ca="1">IFERROR(__xludf.DUMMYFUNCTION("""COMPUTED_VALUE"""),"20050321MNRER")</f>
        <v>20050321MNRER</v>
      </c>
      <c r="B1669" s="5" t="str">
        <f ca="1">IFERROR(__xludf.DUMMYFUNCTION("""COMPUTED_VALUE"""),"Fatal")</f>
        <v>Fatal</v>
      </c>
      <c r="C1669" s="5" t="str">
        <f ca="1">IFERROR(__xludf.DUMMYFUNCTION("""COMPUTED_VALUE"""),"Female")</f>
        <v>Female</v>
      </c>
      <c r="D1669" s="5" t="str">
        <f ca="1">IFERROR(__xludf.DUMMYFUNCTION("""COMPUTED_VALUE"""),"Student")</f>
        <v>Student</v>
      </c>
      <c r="E1669" s="5">
        <f ca="1">IFERROR(__xludf.DUMMYFUNCTION("""COMPUTED_VALUE"""),14)</f>
        <v>14</v>
      </c>
      <c r="F1669" s="5"/>
    </row>
    <row r="1670" spans="1:6">
      <c r="A1670" s="5" t="str">
        <f ca="1">IFERROR(__xludf.DUMMYFUNCTION("""COMPUTED_VALUE"""),"20050321MNRER")</f>
        <v>20050321MNRER</v>
      </c>
      <c r="B1670" s="5" t="str">
        <f ca="1">IFERROR(__xludf.DUMMYFUNCTION("""COMPUTED_VALUE"""),"Fatal")</f>
        <v>Fatal</v>
      </c>
      <c r="C1670" s="5" t="str">
        <f ca="1">IFERROR(__xludf.DUMMYFUNCTION("""COMPUTED_VALUE"""),"Female")</f>
        <v>Female</v>
      </c>
      <c r="D1670" s="5" t="str">
        <f ca="1">IFERROR(__xludf.DUMMYFUNCTION("""COMPUTED_VALUE"""),"Student")</f>
        <v>Student</v>
      </c>
      <c r="E1670" s="5">
        <f ca="1">IFERROR(__xludf.DUMMYFUNCTION("""COMPUTED_VALUE"""),15)</f>
        <v>15</v>
      </c>
      <c r="F1670" s="5"/>
    </row>
    <row r="1671" spans="1:6">
      <c r="A1671" s="5" t="str">
        <f ca="1">IFERROR(__xludf.DUMMYFUNCTION("""COMPUTED_VALUE"""),"20050321MNRER")</f>
        <v>20050321MNRER</v>
      </c>
      <c r="B1671" s="5" t="str">
        <f ca="1">IFERROR(__xludf.DUMMYFUNCTION("""COMPUTED_VALUE"""),"Wounded")</f>
        <v>Wounded</v>
      </c>
      <c r="C1671" s="5" t="str">
        <f ca="1">IFERROR(__xludf.DUMMYFUNCTION("""COMPUTED_VALUE"""),"Unknown")</f>
        <v>Unknown</v>
      </c>
      <c r="D1671" s="5" t="str">
        <f ca="1">IFERROR(__xludf.DUMMYFUNCTION("""COMPUTED_VALUE"""),"Student")</f>
        <v>Student</v>
      </c>
      <c r="E1671" s="5">
        <f ca="1">IFERROR(__xludf.DUMMYFUNCTION("""COMPUTED_VALUE"""),16)</f>
        <v>16</v>
      </c>
      <c r="F1671" s="5"/>
    </row>
    <row r="1672" spans="1:6">
      <c r="A1672" s="5" t="str">
        <f ca="1">IFERROR(__xludf.DUMMYFUNCTION("""COMPUTED_VALUE"""),"20050321MNRER")</f>
        <v>20050321MNRER</v>
      </c>
      <c r="B1672" s="5" t="str">
        <f ca="1">IFERROR(__xludf.DUMMYFUNCTION("""COMPUTED_VALUE"""),"Wounded")</f>
        <v>Wounded</v>
      </c>
      <c r="C1672" s="5" t="str">
        <f ca="1">IFERROR(__xludf.DUMMYFUNCTION("""COMPUTED_VALUE"""),"Unknown")</f>
        <v>Unknown</v>
      </c>
      <c r="D1672" s="5" t="str">
        <f ca="1">IFERROR(__xludf.DUMMYFUNCTION("""COMPUTED_VALUE"""),"Student")</f>
        <v>Student</v>
      </c>
      <c r="E1672" s="5">
        <f ca="1">IFERROR(__xludf.DUMMYFUNCTION("""COMPUTED_VALUE"""),15)</f>
        <v>15</v>
      </c>
      <c r="F1672" s="5"/>
    </row>
    <row r="1673" spans="1:6">
      <c r="A1673" s="5" t="str">
        <f ca="1">IFERROR(__xludf.DUMMYFUNCTION("""COMPUTED_VALUE"""),"20050317LAOPA")</f>
        <v>20050317LAOPA</v>
      </c>
      <c r="B1673" s="5" t="str">
        <f ca="1">IFERROR(__xludf.DUMMYFUNCTION("""COMPUTED_VALUE"""),"Wounded")</f>
        <v>Wounded</v>
      </c>
      <c r="C1673" s="5" t="str">
        <f ca="1">IFERROR(__xludf.DUMMYFUNCTION("""COMPUTED_VALUE"""),"Male")</f>
        <v>Male</v>
      </c>
      <c r="D1673" s="5" t="str">
        <f ca="1">IFERROR(__xludf.DUMMYFUNCTION("""COMPUTED_VALUE"""),"Student")</f>
        <v>Student</v>
      </c>
      <c r="E1673" s="5">
        <f ca="1">IFERROR(__xludf.DUMMYFUNCTION("""COMPUTED_VALUE"""),16)</f>
        <v>16</v>
      </c>
      <c r="F1673" s="5"/>
    </row>
    <row r="1674" spans="1:6">
      <c r="A1674" s="5" t="str">
        <f ca="1">IFERROR(__xludf.DUMMYFUNCTION("""COMPUTED_VALUE"""),"20050317CALOL")</f>
        <v>20050317CALOL</v>
      </c>
      <c r="B1674" s="5" t="str">
        <f ca="1">IFERROR(__xludf.DUMMYFUNCTION("""COMPUTED_VALUE"""),"Fatal")</f>
        <v>Fatal</v>
      </c>
      <c r="C1674" s="5" t="str">
        <f ca="1">IFERROR(__xludf.DUMMYFUNCTION("""COMPUTED_VALUE"""),"Female")</f>
        <v>Female</v>
      </c>
      <c r="D1674" s="5" t="str">
        <f ca="1">IFERROR(__xludf.DUMMYFUNCTION("""COMPUTED_VALUE"""),"Student")</f>
        <v>Student</v>
      </c>
      <c r="E1674" s="5">
        <f ca="1">IFERROR(__xludf.DUMMYFUNCTION("""COMPUTED_VALUE"""),15)</f>
        <v>15</v>
      </c>
      <c r="F1674" s="5"/>
    </row>
    <row r="1675" spans="1:6">
      <c r="A1675" s="5" t="str">
        <f ca="1">IFERROR(__xludf.DUMMYFUNCTION("""COMPUTED_VALUE"""),"20050316PACAP")</f>
        <v>20050316PACAP</v>
      </c>
      <c r="B1675" s="5" t="str">
        <f ca="1">IFERROR(__xludf.DUMMYFUNCTION("""COMPUTED_VALUE"""),"Fatal")</f>
        <v>Fatal</v>
      </c>
      <c r="C1675" s="5" t="str">
        <f ca="1">IFERROR(__xludf.DUMMYFUNCTION("""COMPUTED_VALUE"""),"Male")</f>
        <v>Male</v>
      </c>
      <c r="D1675" s="5" t="str">
        <f ca="1">IFERROR(__xludf.DUMMYFUNCTION("""COMPUTED_VALUE"""),"Student")</f>
        <v>Student</v>
      </c>
      <c r="E1675" s="5">
        <f ca="1">IFERROR(__xludf.DUMMYFUNCTION("""COMPUTED_VALUE"""),16)</f>
        <v>16</v>
      </c>
      <c r="F1675" s="5"/>
    </row>
    <row r="1676" spans="1:6">
      <c r="A1676" s="5" t="str">
        <f ca="1">IFERROR(__xludf.DUMMYFUNCTION("""COMPUTED_VALUE"""),"20050316PACAP")</f>
        <v>20050316PACAP</v>
      </c>
      <c r="B1676" s="5" t="str">
        <f ca="1">IFERROR(__xludf.DUMMYFUNCTION("""COMPUTED_VALUE"""),"Wounded")</f>
        <v>Wounded</v>
      </c>
      <c r="C1676" s="5" t="str">
        <f ca="1">IFERROR(__xludf.DUMMYFUNCTION("""COMPUTED_VALUE"""),"Male")</f>
        <v>Male</v>
      </c>
      <c r="D1676" s="5" t="str">
        <f ca="1">IFERROR(__xludf.DUMMYFUNCTION("""COMPUTED_VALUE"""),"Student")</f>
        <v>Student</v>
      </c>
      <c r="E1676" s="5">
        <f ca="1">IFERROR(__xludf.DUMMYFUNCTION("""COMPUTED_VALUE"""),17)</f>
        <v>17</v>
      </c>
      <c r="F1676" s="5"/>
    </row>
    <row r="1677" spans="1:6">
      <c r="A1677" s="5" t="str">
        <f ca="1">IFERROR(__xludf.DUMMYFUNCTION("""COMPUTED_VALUE"""),"20050316PACAP")</f>
        <v>20050316PACAP</v>
      </c>
      <c r="B1677" s="5" t="str">
        <f ca="1">IFERROR(__xludf.DUMMYFUNCTION("""COMPUTED_VALUE"""),"Wounded")</f>
        <v>Wounded</v>
      </c>
      <c r="C1677" s="5" t="str">
        <f ca="1">IFERROR(__xludf.DUMMYFUNCTION("""COMPUTED_VALUE"""),"Male")</f>
        <v>Male</v>
      </c>
      <c r="D1677" s="5" t="str">
        <f ca="1">IFERROR(__xludf.DUMMYFUNCTION("""COMPUTED_VALUE"""),"Student")</f>
        <v>Student</v>
      </c>
      <c r="E1677" s="5">
        <f ca="1">IFERROR(__xludf.DUMMYFUNCTION("""COMPUTED_VALUE"""),16)</f>
        <v>16</v>
      </c>
      <c r="F1677" s="5"/>
    </row>
    <row r="1678" spans="1:6">
      <c r="A1678" s="5" t="str">
        <f ca="1">IFERROR(__xludf.DUMMYFUNCTION("""COMPUTED_VALUE"""),"20050314OHLEC")</f>
        <v>20050314OHLEC</v>
      </c>
      <c r="B1678" s="5" t="str">
        <f ca="1">IFERROR(__xludf.DUMMYFUNCTION("""COMPUTED_VALUE"""),"Wounded")</f>
        <v>Wounded</v>
      </c>
      <c r="C1678" s="5" t="str">
        <f ca="1">IFERROR(__xludf.DUMMYFUNCTION("""COMPUTED_VALUE"""),"Male")</f>
        <v>Male</v>
      </c>
      <c r="D1678" s="5" t="str">
        <f ca="1">IFERROR(__xludf.DUMMYFUNCTION("""COMPUTED_VALUE"""),"Student")</f>
        <v>Student</v>
      </c>
      <c r="E1678" s="5">
        <f ca="1">IFERROR(__xludf.DUMMYFUNCTION("""COMPUTED_VALUE"""),7)</f>
        <v>7</v>
      </c>
      <c r="F1678" s="5"/>
    </row>
    <row r="1679" spans="1:6">
      <c r="A1679" s="5" t="str">
        <f ca="1">IFERROR(__xludf.DUMMYFUNCTION("""COMPUTED_VALUE"""),"20050310TXZAD")</f>
        <v>20050310TXZAD</v>
      </c>
      <c r="B1679" s="5" t="str">
        <f ca="1">IFERROR(__xludf.DUMMYFUNCTION("""COMPUTED_VALUE"""),"Wounded")</f>
        <v>Wounded</v>
      </c>
      <c r="C1679" s="5" t="str">
        <f ca="1">IFERROR(__xludf.DUMMYFUNCTION("""COMPUTED_VALUE"""),"Male")</f>
        <v>Male</v>
      </c>
      <c r="D1679" s="5" t="str">
        <f ca="1">IFERROR(__xludf.DUMMYFUNCTION("""COMPUTED_VALUE"""),"No Relation")</f>
        <v>No Relation</v>
      </c>
      <c r="E1679" s="5" t="str">
        <f ca="1">IFERROR(__xludf.DUMMYFUNCTION("""COMPUTED_VALUE"""),"Adult")</f>
        <v>Adult</v>
      </c>
      <c r="F1679" s="5"/>
    </row>
    <row r="1680" spans="1:6">
      <c r="A1680" s="5" t="str">
        <f ca="1">IFERROR(__xludf.DUMMYFUNCTION("""COMPUTED_VALUE"""),"20050309TNMAN")</f>
        <v>20050309TNMAN</v>
      </c>
      <c r="B1680" s="5" t="str">
        <f ca="1">IFERROR(__xludf.DUMMYFUNCTION("""COMPUTED_VALUE"""),"Wounded")</f>
        <v>Wounded</v>
      </c>
      <c r="C1680" s="5" t="str">
        <f ca="1">IFERROR(__xludf.DUMMYFUNCTION("""COMPUTED_VALUE"""),"Male")</f>
        <v>Male</v>
      </c>
      <c r="D1680" s="5" t="str">
        <f ca="1">IFERROR(__xludf.DUMMYFUNCTION("""COMPUTED_VALUE"""),"Student")</f>
        <v>Student</v>
      </c>
      <c r="E1680" s="5">
        <f ca="1">IFERROR(__xludf.DUMMYFUNCTION("""COMPUTED_VALUE"""),19)</f>
        <v>19</v>
      </c>
      <c r="F1680" s="5"/>
    </row>
    <row r="1681" spans="1:6">
      <c r="A1681" s="5" t="str">
        <f ca="1">IFERROR(__xludf.DUMMYFUNCTION("""COMPUTED_VALUE"""),"20050302TNSTD")</f>
        <v>20050302TNSTD</v>
      </c>
      <c r="B1681" s="5" t="str">
        <f ca="1">IFERROR(__xludf.DUMMYFUNCTION("""COMPUTED_VALUE"""),"Fatal")</f>
        <v>Fatal</v>
      </c>
      <c r="C1681" s="5" t="str">
        <f ca="1">IFERROR(__xludf.DUMMYFUNCTION("""COMPUTED_VALUE"""),"Female")</f>
        <v>Female</v>
      </c>
      <c r="D1681" s="5" t="str">
        <f ca="1">IFERROR(__xludf.DUMMYFUNCTION("""COMPUTED_VALUE"""),"Bus Driver")</f>
        <v>Bus Driver</v>
      </c>
      <c r="E1681" s="5">
        <f ca="1">IFERROR(__xludf.DUMMYFUNCTION("""COMPUTED_VALUE"""),47)</f>
        <v>47</v>
      </c>
      <c r="F1681" s="5"/>
    </row>
    <row r="1682" spans="1:6">
      <c r="A1682" s="5" t="str">
        <f ca="1">IFERROR(__xludf.DUMMYFUNCTION("""COMPUTED_VALUE"""),"20050208ILBOC")</f>
        <v>20050208ILBOC</v>
      </c>
      <c r="B1682" s="5" t="str">
        <f ca="1">IFERROR(__xludf.DUMMYFUNCTION("""COMPUTED_VALUE"""),"Wounded")</f>
        <v>Wounded</v>
      </c>
      <c r="C1682" s="5" t="str">
        <f ca="1">IFERROR(__xludf.DUMMYFUNCTION("""COMPUTED_VALUE"""),"Female")</f>
        <v>Female</v>
      </c>
      <c r="D1682" s="5" t="str">
        <f ca="1">IFERROR(__xludf.DUMMYFUNCTION("""COMPUTED_VALUE"""),"Student")</f>
        <v>Student</v>
      </c>
      <c r="E1682" s="5">
        <f ca="1">IFERROR(__xludf.DUMMYFUNCTION("""COMPUTED_VALUE"""),18)</f>
        <v>18</v>
      </c>
      <c r="F1682" s="5"/>
    </row>
    <row r="1683" spans="1:6">
      <c r="A1683" s="5" t="str">
        <f ca="1">IFERROR(__xludf.DUMMYFUNCTION("""COMPUTED_VALUE"""),"20050204GAMCA")</f>
        <v>20050204GAMCA</v>
      </c>
      <c r="B1683" s="5" t="str">
        <f ca="1">IFERROR(__xludf.DUMMYFUNCTION("""COMPUTED_VALUE"""),"Wounded")</f>
        <v>Wounded</v>
      </c>
      <c r="C1683" s="5" t="str">
        <f ca="1">IFERROR(__xludf.DUMMYFUNCTION("""COMPUTED_VALUE"""),"Female")</f>
        <v>Female</v>
      </c>
      <c r="D1683" s="5" t="str">
        <f ca="1">IFERROR(__xludf.DUMMYFUNCTION("""COMPUTED_VALUE"""),"Student")</f>
        <v>Student</v>
      </c>
      <c r="E1683" s="5">
        <f ca="1">IFERROR(__xludf.DUMMYFUNCTION("""COMPUTED_VALUE"""),15)</f>
        <v>15</v>
      </c>
      <c r="F1683" s="5"/>
    </row>
    <row r="1684" spans="1:6">
      <c r="A1684" s="5" t="str">
        <f ca="1">IFERROR(__xludf.DUMMYFUNCTION("""COMPUTED_VALUE"""),"20050126ILWOP")</f>
        <v>20050126ILWOP</v>
      </c>
      <c r="B1684" s="5" t="str">
        <f ca="1">IFERROR(__xludf.DUMMYFUNCTION("""COMPUTED_VALUE"""),"None")</f>
        <v>None</v>
      </c>
      <c r="C1684" s="5" t="str">
        <f ca="1">IFERROR(__xludf.DUMMYFUNCTION("""COMPUTED_VALUE"""),"Unknown")</f>
        <v>Unknown</v>
      </c>
      <c r="D1684" s="5" t="str">
        <f ca="1">IFERROR(__xludf.DUMMYFUNCTION("""COMPUTED_VALUE"""),"Student")</f>
        <v>Student</v>
      </c>
      <c r="E1684" s="5" t="str">
        <f ca="1">IFERROR(__xludf.DUMMYFUNCTION("""COMPUTED_VALUE"""),"Teen")</f>
        <v>Teen</v>
      </c>
      <c r="F1684" s="5"/>
    </row>
    <row r="1685" spans="1:6">
      <c r="A1685" s="5" t="str">
        <f ca="1">IFERROR(__xludf.DUMMYFUNCTION("""COMPUTED_VALUE"""),"20050105PAMUN")</f>
        <v>20050105PAMUN</v>
      </c>
      <c r="B1685" s="5" t="str">
        <f ca="1">IFERROR(__xludf.DUMMYFUNCTION("""COMPUTED_VALUE"""),"Fatal")</f>
        <v>Fatal</v>
      </c>
      <c r="C1685" s="5" t="str">
        <f ca="1">IFERROR(__xludf.DUMMYFUNCTION("""COMPUTED_VALUE"""),"Male")</f>
        <v>Male</v>
      </c>
      <c r="D1685" s="5" t="str">
        <f ca="1">IFERROR(__xludf.DUMMYFUNCTION("""COMPUTED_VALUE"""),"Student")</f>
        <v>Student</v>
      </c>
      <c r="E1685" s="5">
        <f ca="1">IFERROR(__xludf.DUMMYFUNCTION("""COMPUTED_VALUE"""),18)</f>
        <v>18</v>
      </c>
      <c r="F1685" s="5"/>
    </row>
    <row r="1686" spans="1:6">
      <c r="A1686" s="5" t="str">
        <f ca="1">IFERROR(__xludf.DUMMYFUNCTION("""COMPUTED_VALUE"""),"20041231TXRIR")</f>
        <v>20041231TXRIR</v>
      </c>
      <c r="B1686" s="5" t="str">
        <f ca="1">IFERROR(__xludf.DUMMYFUNCTION("""COMPUTED_VALUE"""),"Wounded")</f>
        <v>Wounded</v>
      </c>
      <c r="C1686" s="5" t="str">
        <f ca="1">IFERROR(__xludf.DUMMYFUNCTION("""COMPUTED_VALUE"""),"Female")</f>
        <v>Female</v>
      </c>
      <c r="D1686" s="5" t="str">
        <f ca="1">IFERROR(__xludf.DUMMYFUNCTION("""COMPUTED_VALUE"""),"Other Staff")</f>
        <v>Other Staff</v>
      </c>
      <c r="E1686" s="5">
        <f ca="1">IFERROR(__xludf.DUMMYFUNCTION("""COMPUTED_VALUE"""),38)</f>
        <v>38</v>
      </c>
      <c r="F1686" s="5"/>
    </row>
    <row r="1687" spans="1:6">
      <c r="A1687" s="5" t="str">
        <f ca="1">IFERROR(__xludf.DUMMYFUNCTION("""COMPUTED_VALUE"""),"20041213LALAL")</f>
        <v>20041213LALAL</v>
      </c>
      <c r="B1687" s="5" t="str">
        <f ca="1">IFERROR(__xludf.DUMMYFUNCTION("""COMPUTED_VALUE"""),"Wounded")</f>
        <v>Wounded</v>
      </c>
      <c r="C1687" s="5" t="str">
        <f ca="1">IFERROR(__xludf.DUMMYFUNCTION("""COMPUTED_VALUE"""),"Male")</f>
        <v>Male</v>
      </c>
      <c r="D1687" s="5" t="str">
        <f ca="1">IFERROR(__xludf.DUMMYFUNCTION("""COMPUTED_VALUE"""),"Student")</f>
        <v>Student</v>
      </c>
      <c r="E1687" s="5">
        <f ca="1">IFERROR(__xludf.DUMMYFUNCTION("""COMPUTED_VALUE"""),18)</f>
        <v>18</v>
      </c>
      <c r="F1687" s="5"/>
    </row>
    <row r="1688" spans="1:6">
      <c r="A1688" s="5" t="str">
        <f ca="1">IFERROR(__xludf.DUMMYFUNCTION("""COMPUTED_VALUE"""),"20041209WALAS")</f>
        <v>20041209WALAS</v>
      </c>
      <c r="B1688" s="5" t="str">
        <f ca="1">IFERROR(__xludf.DUMMYFUNCTION("""COMPUTED_VALUE"""),"None")</f>
        <v>None</v>
      </c>
      <c r="C1688" s="5" t="str">
        <f ca="1">IFERROR(__xludf.DUMMYFUNCTION("""COMPUTED_VALUE"""),"Male")</f>
        <v>Male</v>
      </c>
      <c r="D1688" s="5" t="str">
        <f ca="1">IFERROR(__xludf.DUMMYFUNCTION("""COMPUTED_VALUE"""),"Student")</f>
        <v>Student</v>
      </c>
      <c r="E1688" s="5">
        <f ca="1">IFERROR(__xludf.DUMMYFUNCTION("""COMPUTED_VALUE"""),16)</f>
        <v>16</v>
      </c>
      <c r="F1688" s="5"/>
    </row>
    <row r="1689" spans="1:6">
      <c r="A1689" s="5" t="str">
        <f ca="1">IFERROR(__xludf.DUMMYFUNCTION("""COMPUTED_VALUE"""),"20041119FLTEJ")</f>
        <v>20041119FLTEJ</v>
      </c>
      <c r="B1689" s="5" t="str">
        <f ca="1">IFERROR(__xludf.DUMMYFUNCTION("""COMPUTED_VALUE"""),"Wounded")</f>
        <v>Wounded</v>
      </c>
      <c r="C1689" s="5" t="str">
        <f ca="1">IFERROR(__xludf.DUMMYFUNCTION("""COMPUTED_VALUE"""),"Male")</f>
        <v>Male</v>
      </c>
      <c r="D1689" s="5" t="str">
        <f ca="1">IFERROR(__xludf.DUMMYFUNCTION("""COMPUTED_VALUE"""),"Student")</f>
        <v>Student</v>
      </c>
      <c r="E1689" s="5" t="str">
        <f ca="1">IFERROR(__xludf.DUMMYFUNCTION("""COMPUTED_VALUE"""),"Teen")</f>
        <v>Teen</v>
      </c>
      <c r="F1689" s="5"/>
    </row>
    <row r="1690" spans="1:6">
      <c r="A1690" s="5" t="str">
        <f ca="1">IFERROR(__xludf.DUMMYFUNCTION("""COMPUTED_VALUE"""),"20041117FLAPA")</f>
        <v>20041117FLAPA</v>
      </c>
      <c r="B1690" s="5" t="str">
        <f ca="1">IFERROR(__xludf.DUMMYFUNCTION("""COMPUTED_VALUE"""),"None")</f>
        <v>None</v>
      </c>
      <c r="C1690" s="5"/>
      <c r="D1690" s="5"/>
      <c r="E1690" s="5"/>
      <c r="F1690" s="5"/>
    </row>
    <row r="1691" spans="1:6">
      <c r="A1691" s="5" t="str">
        <f ca="1">IFERROR(__xludf.DUMMYFUNCTION("""COMPUTED_VALUE"""),"20041116SCBAB")</f>
        <v>20041116SCBAB</v>
      </c>
      <c r="B1691" s="5" t="str">
        <f ca="1">IFERROR(__xludf.DUMMYFUNCTION("""COMPUTED_VALUE"""),"Wounded")</f>
        <v>Wounded</v>
      </c>
      <c r="C1691" s="5" t="str">
        <f ca="1">IFERROR(__xludf.DUMMYFUNCTION("""COMPUTED_VALUE"""),"Male")</f>
        <v>Male</v>
      </c>
      <c r="D1691" s="5" t="str">
        <f ca="1">IFERROR(__xludf.DUMMYFUNCTION("""COMPUTED_VALUE"""),"Unknown")</f>
        <v>Unknown</v>
      </c>
      <c r="E1691" s="5">
        <f ca="1">IFERROR(__xludf.DUMMYFUNCTION("""COMPUTED_VALUE"""),19)</f>
        <v>19</v>
      </c>
      <c r="F1691" s="5"/>
    </row>
    <row r="1692" spans="1:6">
      <c r="A1692" s="5" t="str">
        <f ca="1">IFERROR(__xludf.DUMMYFUNCTION("""COMPUTED_VALUE"""),"20041115INBRG")</f>
        <v>20041115INBRG</v>
      </c>
      <c r="B1692" s="5" t="str">
        <f ca="1">IFERROR(__xludf.DUMMYFUNCTION("""COMPUTED_VALUE"""),"Wounded")</f>
        <v>Wounded</v>
      </c>
      <c r="C1692" s="5" t="str">
        <f ca="1">IFERROR(__xludf.DUMMYFUNCTION("""COMPUTED_VALUE"""),"Male")</f>
        <v>Male</v>
      </c>
      <c r="D1692" s="5" t="str">
        <f ca="1">IFERROR(__xludf.DUMMYFUNCTION("""COMPUTED_VALUE"""),"Parent")</f>
        <v>Parent</v>
      </c>
      <c r="E1692" s="5">
        <f ca="1">IFERROR(__xludf.DUMMYFUNCTION("""COMPUTED_VALUE"""),28)</f>
        <v>28</v>
      </c>
      <c r="F1692" s="5"/>
    </row>
    <row r="1693" spans="1:6">
      <c r="A1693" s="5" t="str">
        <f ca="1">IFERROR(__xludf.DUMMYFUNCTION("""COMPUTED_VALUE"""),"20041115ALPAB")</f>
        <v>20041115ALPAB</v>
      </c>
      <c r="B1693" s="5" t="str">
        <f ca="1">IFERROR(__xludf.DUMMYFUNCTION("""COMPUTED_VALUE"""),"Wounded")</f>
        <v>Wounded</v>
      </c>
      <c r="C1693" s="5" t="str">
        <f ca="1">IFERROR(__xludf.DUMMYFUNCTION("""COMPUTED_VALUE"""),"Male")</f>
        <v>Male</v>
      </c>
      <c r="D1693" s="5" t="str">
        <f ca="1">IFERROR(__xludf.DUMMYFUNCTION("""COMPUTED_VALUE"""),"Unknown")</f>
        <v>Unknown</v>
      </c>
      <c r="E1693" s="5">
        <f ca="1">IFERROR(__xludf.DUMMYFUNCTION("""COMPUTED_VALUE"""),20)</f>
        <v>20</v>
      </c>
      <c r="F1693" s="5"/>
    </row>
    <row r="1694" spans="1:6">
      <c r="A1694" s="5" t="str">
        <f ca="1">IFERROR(__xludf.DUMMYFUNCTION("""COMPUTED_VALUE"""),"20041022CATYH")</f>
        <v>20041022CATYH</v>
      </c>
      <c r="B1694" s="5" t="str">
        <f ca="1">IFERROR(__xludf.DUMMYFUNCTION("""COMPUTED_VALUE"""),"Fatal")</f>
        <v>Fatal</v>
      </c>
      <c r="C1694" s="5" t="str">
        <f ca="1">IFERROR(__xludf.DUMMYFUNCTION("""COMPUTED_VALUE"""),"Male")</f>
        <v>Male</v>
      </c>
      <c r="D1694" s="5" t="str">
        <f ca="1">IFERROR(__xludf.DUMMYFUNCTION("""COMPUTED_VALUE"""),"No Relation")</f>
        <v>No Relation</v>
      </c>
      <c r="E1694" s="5">
        <f ca="1">IFERROR(__xludf.DUMMYFUNCTION("""COMPUTED_VALUE"""),32)</f>
        <v>32</v>
      </c>
      <c r="F1694" s="5"/>
    </row>
    <row r="1695" spans="1:6">
      <c r="A1695" s="5" t="str">
        <f ca="1">IFERROR(__xludf.DUMMYFUNCTION("""COMPUTED_VALUE"""),"20041021MDTHB")</f>
        <v>20041021MDTHB</v>
      </c>
      <c r="B1695" s="5" t="str">
        <f ca="1">IFERROR(__xludf.DUMMYFUNCTION("""COMPUTED_VALUE"""),"Wounded")</f>
        <v>Wounded</v>
      </c>
      <c r="C1695" s="5" t="str">
        <f ca="1">IFERROR(__xludf.DUMMYFUNCTION("""COMPUTED_VALUE"""),"Male")</f>
        <v>Male</v>
      </c>
      <c r="D1695" s="5" t="str">
        <f ca="1">IFERROR(__xludf.DUMMYFUNCTION("""COMPUTED_VALUE"""),"Student")</f>
        <v>Student</v>
      </c>
      <c r="E1695" s="5">
        <f ca="1">IFERROR(__xludf.DUMMYFUNCTION("""COMPUTED_VALUE"""),19)</f>
        <v>19</v>
      </c>
      <c r="F1695" s="5"/>
    </row>
    <row r="1696" spans="1:6">
      <c r="A1696" s="5" t="str">
        <f ca="1">IFERROR(__xludf.DUMMYFUNCTION("""COMPUTED_VALUE"""),"20041021MDTHB")</f>
        <v>20041021MDTHB</v>
      </c>
      <c r="B1696" s="5" t="str">
        <f ca="1">IFERROR(__xludf.DUMMYFUNCTION("""COMPUTED_VALUE"""),"Wounded")</f>
        <v>Wounded</v>
      </c>
      <c r="C1696" s="5" t="str">
        <f ca="1">IFERROR(__xludf.DUMMYFUNCTION("""COMPUTED_VALUE"""),"Male")</f>
        <v>Male</v>
      </c>
      <c r="D1696" s="5" t="str">
        <f ca="1">IFERROR(__xludf.DUMMYFUNCTION("""COMPUTED_VALUE"""),"Student")</f>
        <v>Student</v>
      </c>
      <c r="E1696" s="5">
        <f ca="1">IFERROR(__xludf.DUMMYFUNCTION("""COMPUTED_VALUE"""),15)</f>
        <v>15</v>
      </c>
      <c r="F1696" s="5"/>
    </row>
    <row r="1697" spans="1:6">
      <c r="A1697" s="5" t="str">
        <f ca="1">IFERROR(__xludf.DUMMYFUNCTION("""COMPUTED_VALUE"""),"20041015CABIB")</f>
        <v>20041015CABIB</v>
      </c>
      <c r="B1697" s="5" t="str">
        <f ca="1">IFERROR(__xludf.DUMMYFUNCTION("""COMPUTED_VALUE"""),"Wounded")</f>
        <v>Wounded</v>
      </c>
      <c r="C1697" s="5" t="str">
        <f ca="1">IFERROR(__xludf.DUMMYFUNCTION("""COMPUTED_VALUE"""),"Male")</f>
        <v>Male</v>
      </c>
      <c r="D1697" s="5" t="str">
        <f ca="1">IFERROR(__xludf.DUMMYFUNCTION("""COMPUTED_VALUE"""),"Student")</f>
        <v>Student</v>
      </c>
      <c r="E1697" s="5">
        <f ca="1">IFERROR(__xludf.DUMMYFUNCTION("""COMPUTED_VALUE"""),17)</f>
        <v>17</v>
      </c>
      <c r="F1697" s="5"/>
    </row>
    <row r="1698" spans="1:6">
      <c r="A1698" s="5" t="str">
        <f ca="1">IFERROR(__xludf.DUMMYFUNCTION("""COMPUTED_VALUE"""),"20041012CALAS")</f>
        <v>20041012CALAS</v>
      </c>
      <c r="B1698" s="5" t="str">
        <f ca="1">IFERROR(__xludf.DUMMYFUNCTION("""COMPUTED_VALUE"""),"None")</f>
        <v>None</v>
      </c>
      <c r="C1698" s="5" t="str">
        <f ca="1">IFERROR(__xludf.DUMMYFUNCTION("""COMPUTED_VALUE"""),"Male")</f>
        <v>Male</v>
      </c>
      <c r="D1698" s="5" t="str">
        <f ca="1">IFERROR(__xludf.DUMMYFUNCTION("""COMPUTED_VALUE"""),"No Relation")</f>
        <v>No Relation</v>
      </c>
      <c r="E1698" s="5">
        <f ca="1">IFERROR(__xludf.DUMMYFUNCTION("""COMPUTED_VALUE"""),25)</f>
        <v>25</v>
      </c>
      <c r="F1698" s="5"/>
    </row>
    <row r="1699" spans="1:6">
      <c r="A1699" s="5" t="str">
        <f ca="1">IFERROR(__xludf.DUMMYFUNCTION("""COMPUTED_VALUE"""),"20041007MANEN")</f>
        <v>20041007MANEN</v>
      </c>
      <c r="B1699" s="5" t="str">
        <f ca="1">IFERROR(__xludf.DUMMYFUNCTION("""COMPUTED_VALUE"""),"None")</f>
        <v>None</v>
      </c>
      <c r="C1699" s="5" t="str">
        <f ca="1">IFERROR(__xludf.DUMMYFUNCTION("""COMPUTED_VALUE"""),"Male")</f>
        <v>Male</v>
      </c>
      <c r="D1699" s="5" t="str">
        <f ca="1">IFERROR(__xludf.DUMMYFUNCTION("""COMPUTED_VALUE"""),"Student")</f>
        <v>Student</v>
      </c>
      <c r="E1699" s="5">
        <f ca="1">IFERROR(__xludf.DUMMYFUNCTION("""COMPUTED_VALUE"""),15)</f>
        <v>15</v>
      </c>
      <c r="F1699" s="5"/>
    </row>
    <row r="1700" spans="1:6">
      <c r="A1700" s="5" t="str">
        <f ca="1">IFERROR(__xludf.DUMMYFUNCTION("""COMPUTED_VALUE"""),"20041002NEJEG")</f>
        <v>20041002NEJEG</v>
      </c>
      <c r="B1700" s="5" t="str">
        <f ca="1">IFERROR(__xludf.DUMMYFUNCTION("""COMPUTED_VALUE"""),"Wounded")</f>
        <v>Wounded</v>
      </c>
      <c r="C1700" s="5" t="str">
        <f ca="1">IFERROR(__xludf.DUMMYFUNCTION("""COMPUTED_VALUE"""),"Female")</f>
        <v>Female</v>
      </c>
      <c r="D1700" s="5" t="str">
        <f ca="1">IFERROR(__xludf.DUMMYFUNCTION("""COMPUTED_VALUE"""),"No Relation")</f>
        <v>No Relation</v>
      </c>
      <c r="E1700" s="5">
        <f ca="1">IFERROR(__xludf.DUMMYFUNCTION("""COMPUTED_VALUE"""),21)</f>
        <v>21</v>
      </c>
      <c r="F1700" s="5"/>
    </row>
    <row r="1701" spans="1:6">
      <c r="A1701" s="5" t="str">
        <f ca="1">IFERROR(__xludf.DUMMYFUNCTION("""COMPUTED_VALUE"""),"20040915INWIG")</f>
        <v>20040915INWIG</v>
      </c>
      <c r="B1701" s="5" t="str">
        <f ca="1">IFERROR(__xludf.DUMMYFUNCTION("""COMPUTED_VALUE"""),"None")</f>
        <v>None</v>
      </c>
      <c r="C1701" s="5"/>
      <c r="D1701" s="5"/>
      <c r="E1701" s="5"/>
      <c r="F1701" s="5"/>
    </row>
    <row r="1702" spans="1:6">
      <c r="A1702" s="5" t="str">
        <f ca="1">IFERROR(__xludf.DUMMYFUNCTION("""COMPUTED_VALUE"""),"20040912LABON")</f>
        <v>20040912LABON</v>
      </c>
      <c r="B1702" s="5" t="str">
        <f ca="1">IFERROR(__xludf.DUMMYFUNCTION("""COMPUTED_VALUE"""),"Wounded")</f>
        <v>Wounded</v>
      </c>
      <c r="C1702" s="5" t="str">
        <f ca="1">IFERROR(__xludf.DUMMYFUNCTION("""COMPUTED_VALUE"""),"Male")</f>
        <v>Male</v>
      </c>
      <c r="D1702" s="5" t="str">
        <f ca="1">IFERROR(__xludf.DUMMYFUNCTION("""COMPUTED_VALUE"""),"Student")</f>
        <v>Student</v>
      </c>
      <c r="E1702" s="5">
        <f ca="1">IFERROR(__xludf.DUMMYFUNCTION("""COMPUTED_VALUE"""),16)</f>
        <v>16</v>
      </c>
      <c r="F1702" s="5"/>
    </row>
    <row r="1703" spans="1:6">
      <c r="A1703" s="5" t="str">
        <f ca="1">IFERROR(__xludf.DUMMYFUNCTION("""COMPUTED_VALUE"""),"20040830ILPRM")</f>
        <v>20040830ILPRM</v>
      </c>
      <c r="B1703" s="5" t="str">
        <f ca="1">IFERROR(__xludf.DUMMYFUNCTION("""COMPUTED_VALUE"""),"Fatal")</f>
        <v>Fatal</v>
      </c>
      <c r="C1703" s="5" t="str">
        <f ca="1">IFERROR(__xludf.DUMMYFUNCTION("""COMPUTED_VALUE"""),"Male")</f>
        <v>Male</v>
      </c>
      <c r="D1703" s="5" t="str">
        <f ca="1">IFERROR(__xludf.DUMMYFUNCTION("""COMPUTED_VALUE"""),"Relative")</f>
        <v>Relative</v>
      </c>
      <c r="E1703" s="5">
        <f ca="1">IFERROR(__xludf.DUMMYFUNCTION("""COMPUTED_VALUE"""),22)</f>
        <v>22</v>
      </c>
      <c r="F1703" s="5"/>
    </row>
    <row r="1704" spans="1:6">
      <c r="A1704" s="5" t="str">
        <f ca="1">IFERROR(__xludf.DUMMYFUNCTION("""COMPUTED_VALUE"""),"20040824TNHAM")</f>
        <v>20040824TNHAM</v>
      </c>
      <c r="B1704" s="5" t="str">
        <f ca="1">IFERROR(__xludf.DUMMYFUNCTION("""COMPUTED_VALUE"""),"None")</f>
        <v>None</v>
      </c>
      <c r="C1704" s="5" t="str">
        <f ca="1">IFERROR(__xludf.DUMMYFUNCTION("""COMPUTED_VALUE"""),"Male")</f>
        <v>Male</v>
      </c>
      <c r="D1704" s="5" t="str">
        <f ca="1">IFERROR(__xludf.DUMMYFUNCTION("""COMPUTED_VALUE"""),"Student")</f>
        <v>Student</v>
      </c>
      <c r="E1704" s="5">
        <f ca="1">IFERROR(__xludf.DUMMYFUNCTION("""COMPUTED_VALUE"""),17)</f>
        <v>17</v>
      </c>
      <c r="F1704" s="5"/>
    </row>
    <row r="1705" spans="1:6">
      <c r="A1705" s="5" t="str">
        <f ca="1">IFERROR(__xludf.DUMMYFUNCTION("""COMPUTED_VALUE"""),"20040803ALHUB")</f>
        <v>20040803ALHUB</v>
      </c>
      <c r="B1705" s="5" t="str">
        <f ca="1">IFERROR(__xludf.DUMMYFUNCTION("""COMPUTED_VALUE"""),"Wounded")</f>
        <v>Wounded</v>
      </c>
      <c r="C1705" s="5" t="str">
        <f ca="1">IFERROR(__xludf.DUMMYFUNCTION("""COMPUTED_VALUE"""),"Male")</f>
        <v>Male</v>
      </c>
      <c r="D1705" s="5" t="str">
        <f ca="1">IFERROR(__xludf.DUMMYFUNCTION("""COMPUTED_VALUE"""),"Student")</f>
        <v>Student</v>
      </c>
      <c r="E1705" s="5">
        <f ca="1">IFERROR(__xludf.DUMMYFUNCTION("""COMPUTED_VALUE"""),16)</f>
        <v>16</v>
      </c>
      <c r="F1705" s="5"/>
    </row>
    <row r="1706" spans="1:6">
      <c r="A1706" s="5" t="str">
        <f ca="1">IFERROR(__xludf.DUMMYFUNCTION("""COMPUTED_VALUE"""),"20040609CACAO")</f>
        <v>20040609CACAO</v>
      </c>
      <c r="B1706" s="5" t="str">
        <f ca="1">IFERROR(__xludf.DUMMYFUNCTION("""COMPUTED_VALUE"""),"Wounded")</f>
        <v>Wounded</v>
      </c>
      <c r="C1706" s="5" t="str">
        <f ca="1">IFERROR(__xludf.DUMMYFUNCTION("""COMPUTED_VALUE"""),"Male")</f>
        <v>Male</v>
      </c>
      <c r="D1706" s="5" t="str">
        <f ca="1">IFERROR(__xludf.DUMMYFUNCTION("""COMPUTED_VALUE"""),"Student")</f>
        <v>Student</v>
      </c>
      <c r="E1706" s="5">
        <f ca="1">IFERROR(__xludf.DUMMYFUNCTION("""COMPUTED_VALUE"""),15)</f>
        <v>15</v>
      </c>
      <c r="F1706" s="5"/>
    </row>
    <row r="1707" spans="1:6">
      <c r="A1707" s="5" t="str">
        <f ca="1">IFERROR(__xludf.DUMMYFUNCTION("""COMPUTED_VALUE"""),"20040609CACAO")</f>
        <v>20040609CACAO</v>
      </c>
      <c r="B1707" s="5" t="str">
        <f ca="1">IFERROR(__xludf.DUMMYFUNCTION("""COMPUTED_VALUE"""),"Wounded")</f>
        <v>Wounded</v>
      </c>
      <c r="C1707" s="5" t="str">
        <f ca="1">IFERROR(__xludf.DUMMYFUNCTION("""COMPUTED_VALUE"""),"Male")</f>
        <v>Male</v>
      </c>
      <c r="D1707" s="5" t="str">
        <f ca="1">IFERROR(__xludf.DUMMYFUNCTION("""COMPUTED_VALUE"""),"Student")</f>
        <v>Student</v>
      </c>
      <c r="E1707" s="5">
        <f ca="1">IFERROR(__xludf.DUMMYFUNCTION("""COMPUTED_VALUE"""),15)</f>
        <v>15</v>
      </c>
      <c r="F1707" s="5"/>
    </row>
    <row r="1708" spans="1:6">
      <c r="A1708" s="5" t="str">
        <f ca="1">IFERROR(__xludf.DUMMYFUNCTION("""COMPUTED_VALUE"""),"20040524UTWES")</f>
        <v>20040524UTWES</v>
      </c>
      <c r="B1708" s="5" t="str">
        <f ca="1">IFERROR(__xludf.DUMMYFUNCTION("""COMPUTED_VALUE"""),"Fatal")</f>
        <v>Fatal</v>
      </c>
      <c r="C1708" s="5" t="str">
        <f ca="1">IFERROR(__xludf.DUMMYFUNCTION("""COMPUTED_VALUE"""),"Female")</f>
        <v>Female</v>
      </c>
      <c r="D1708" s="5" t="str">
        <f ca="1">IFERROR(__xludf.DUMMYFUNCTION("""COMPUTED_VALUE"""),"Other Staff")</f>
        <v>Other Staff</v>
      </c>
      <c r="E1708" s="5">
        <f ca="1">IFERROR(__xludf.DUMMYFUNCTION("""COMPUTED_VALUE"""),39)</f>
        <v>39</v>
      </c>
      <c r="F1708" s="5"/>
    </row>
    <row r="1709" spans="1:6">
      <c r="A1709" s="5" t="str">
        <f ca="1">IFERROR(__xludf.DUMMYFUNCTION("""COMPUTED_VALUE"""),"20040512CAEAM")</f>
        <v>20040512CAEAM</v>
      </c>
      <c r="B1709" s="5" t="str">
        <f ca="1">IFERROR(__xludf.DUMMYFUNCTION("""COMPUTED_VALUE"""),"Wounded")</f>
        <v>Wounded</v>
      </c>
      <c r="C1709" s="5" t="str">
        <f ca="1">IFERROR(__xludf.DUMMYFUNCTION("""COMPUTED_VALUE"""),"Female")</f>
        <v>Female</v>
      </c>
      <c r="D1709" s="5" t="str">
        <f ca="1">IFERROR(__xludf.DUMMYFUNCTION("""COMPUTED_VALUE"""),"Student")</f>
        <v>Student</v>
      </c>
      <c r="E1709" s="5">
        <f ca="1">IFERROR(__xludf.DUMMYFUNCTION("""COMPUTED_VALUE"""),17)</f>
        <v>17</v>
      </c>
      <c r="F1709" s="5"/>
    </row>
    <row r="1710" spans="1:6">
      <c r="A1710" s="5" t="str">
        <f ca="1">IFERROR(__xludf.DUMMYFUNCTION("""COMPUTED_VALUE"""),"20040512CAEAM")</f>
        <v>20040512CAEAM</v>
      </c>
      <c r="B1710" s="5" t="str">
        <f ca="1">IFERROR(__xludf.DUMMYFUNCTION("""COMPUTED_VALUE"""),"Wounded")</f>
        <v>Wounded</v>
      </c>
      <c r="C1710" s="5" t="str">
        <f ca="1">IFERROR(__xludf.DUMMYFUNCTION("""COMPUTED_VALUE"""),"Male")</f>
        <v>Male</v>
      </c>
      <c r="D1710" s="5" t="str">
        <f ca="1">IFERROR(__xludf.DUMMYFUNCTION("""COMPUTED_VALUE"""),"Student")</f>
        <v>Student</v>
      </c>
      <c r="E1710" s="5">
        <f ca="1">IFERROR(__xludf.DUMMYFUNCTION("""COMPUTED_VALUE"""),19)</f>
        <v>19</v>
      </c>
      <c r="F1710" s="5"/>
    </row>
    <row r="1711" spans="1:6">
      <c r="A1711" s="5" t="str">
        <f ca="1">IFERROR(__xludf.DUMMYFUNCTION("""COMPUTED_VALUE"""),"20040507MDRAR")</f>
        <v>20040507MDRAR</v>
      </c>
      <c r="B1711" s="5" t="str">
        <f ca="1">IFERROR(__xludf.DUMMYFUNCTION("""COMPUTED_VALUE"""),"Wounded")</f>
        <v>Wounded</v>
      </c>
      <c r="C1711" s="5" t="str">
        <f ca="1">IFERROR(__xludf.DUMMYFUNCTION("""COMPUTED_VALUE"""),"Male")</f>
        <v>Male</v>
      </c>
      <c r="D1711" s="5" t="str">
        <f ca="1">IFERROR(__xludf.DUMMYFUNCTION("""COMPUTED_VALUE"""),"Student")</f>
        <v>Student</v>
      </c>
      <c r="E1711" s="5">
        <f ca="1">IFERROR(__xludf.DUMMYFUNCTION("""COMPUTED_VALUE"""),17)</f>
        <v>17</v>
      </c>
      <c r="F1711" s="5"/>
    </row>
    <row r="1712" spans="1:6">
      <c r="A1712" s="5" t="str">
        <f ca="1">IFERROR(__xludf.DUMMYFUNCTION("""COMPUTED_VALUE"""),"20040507MDRAR")</f>
        <v>20040507MDRAR</v>
      </c>
      <c r="B1712" s="5" t="str">
        <f ca="1">IFERROR(__xludf.DUMMYFUNCTION("""COMPUTED_VALUE"""),"Wounded")</f>
        <v>Wounded</v>
      </c>
      <c r="C1712" s="5" t="str">
        <f ca="1">IFERROR(__xludf.DUMMYFUNCTION("""COMPUTED_VALUE"""),"Male")</f>
        <v>Male</v>
      </c>
      <c r="D1712" s="5" t="str">
        <f ca="1">IFERROR(__xludf.DUMMYFUNCTION("""COMPUTED_VALUE"""),"Student")</f>
        <v>Student</v>
      </c>
      <c r="E1712" s="5">
        <f ca="1">IFERROR(__xludf.DUMMYFUNCTION("""COMPUTED_VALUE"""),17)</f>
        <v>17</v>
      </c>
      <c r="F1712" s="5"/>
    </row>
    <row r="1713" spans="1:6">
      <c r="A1713" s="5" t="str">
        <f ca="1">IFERROR(__xludf.DUMMYFUNCTION("""COMPUTED_VALUE"""),"20040507MDRAR")</f>
        <v>20040507MDRAR</v>
      </c>
      <c r="B1713" s="5" t="str">
        <f ca="1">IFERROR(__xludf.DUMMYFUNCTION("""COMPUTED_VALUE"""),"Wounded")</f>
        <v>Wounded</v>
      </c>
      <c r="C1713" s="5" t="str">
        <f ca="1">IFERROR(__xludf.DUMMYFUNCTION("""COMPUTED_VALUE"""),"Male")</f>
        <v>Male</v>
      </c>
      <c r="D1713" s="5" t="str">
        <f ca="1">IFERROR(__xludf.DUMMYFUNCTION("""COMPUTED_VALUE"""),"Student")</f>
        <v>Student</v>
      </c>
      <c r="E1713" s="5">
        <f ca="1">IFERROR(__xludf.DUMMYFUNCTION("""COMPUTED_VALUE"""),16)</f>
        <v>16</v>
      </c>
      <c r="F1713" s="5"/>
    </row>
    <row r="1714" spans="1:6">
      <c r="A1714" s="5" t="str">
        <f ca="1">IFERROR(__xludf.DUMMYFUNCTION("""COMPUTED_VALUE"""),"20040507MDRAR")</f>
        <v>20040507MDRAR</v>
      </c>
      <c r="B1714" s="5" t="str">
        <f ca="1">IFERROR(__xludf.DUMMYFUNCTION("""COMPUTED_VALUE"""),"Wounded")</f>
        <v>Wounded</v>
      </c>
      <c r="C1714" s="5" t="str">
        <f ca="1">IFERROR(__xludf.DUMMYFUNCTION("""COMPUTED_VALUE"""),"Male")</f>
        <v>Male</v>
      </c>
      <c r="D1714" s="5" t="str">
        <f ca="1">IFERROR(__xludf.DUMMYFUNCTION("""COMPUTED_VALUE"""),"Student")</f>
        <v>Student</v>
      </c>
      <c r="E1714" s="5">
        <f ca="1">IFERROR(__xludf.DUMMYFUNCTION("""COMPUTED_VALUE"""),16)</f>
        <v>16</v>
      </c>
      <c r="F1714" s="5"/>
    </row>
    <row r="1715" spans="1:6">
      <c r="A1715" s="5" t="str">
        <f ca="1">IFERROR(__xludf.DUMMYFUNCTION("""COMPUTED_VALUE"""),"20040504TXKAH")</f>
        <v>20040504TXKAH</v>
      </c>
      <c r="B1715" s="5" t="str">
        <f ca="1">IFERROR(__xludf.DUMMYFUNCTION("""COMPUTED_VALUE"""),"None")</f>
        <v>None</v>
      </c>
      <c r="C1715" s="5"/>
      <c r="D1715" s="5"/>
      <c r="E1715" s="5"/>
      <c r="F1715" s="5"/>
    </row>
    <row r="1716" spans="1:6">
      <c r="A1716" s="5" t="str">
        <f ca="1">IFERROR(__xludf.DUMMYFUNCTION("""COMPUTED_VALUE"""),"20040317WACRJ")</f>
        <v>20040317WACRJ</v>
      </c>
      <c r="B1716" s="5" t="str">
        <f ca="1">IFERROR(__xludf.DUMMYFUNCTION("""COMPUTED_VALUE"""),"None")</f>
        <v>None</v>
      </c>
      <c r="C1716" s="5" t="str">
        <f ca="1">IFERROR(__xludf.DUMMYFUNCTION("""COMPUTED_VALUE"""),"Male")</f>
        <v>Male</v>
      </c>
      <c r="D1716" s="5" t="str">
        <f ca="1">IFERROR(__xludf.DUMMYFUNCTION("""COMPUTED_VALUE"""),"Student")</f>
        <v>Student</v>
      </c>
      <c r="E1716" s="5">
        <f ca="1">IFERROR(__xludf.DUMMYFUNCTION("""COMPUTED_VALUE"""),13)</f>
        <v>13</v>
      </c>
      <c r="F1716" s="5"/>
    </row>
    <row r="1717" spans="1:6">
      <c r="A1717" s="5" t="str">
        <f ca="1">IFERROR(__xludf.DUMMYFUNCTION("""COMPUTED_VALUE"""),"20040305CASAL")</f>
        <v>20040305CASAL</v>
      </c>
      <c r="B1717" s="5" t="str">
        <f ca="1">IFERROR(__xludf.DUMMYFUNCTION("""COMPUTED_VALUE"""),"Wounded")</f>
        <v>Wounded</v>
      </c>
      <c r="C1717" s="5" t="str">
        <f ca="1">IFERROR(__xludf.DUMMYFUNCTION("""COMPUTED_VALUE"""),"Male")</f>
        <v>Male</v>
      </c>
      <c r="D1717" s="5" t="str">
        <f ca="1">IFERROR(__xludf.DUMMYFUNCTION("""COMPUTED_VALUE"""),"Student")</f>
        <v>Student</v>
      </c>
      <c r="E1717" s="5">
        <f ca="1">IFERROR(__xludf.DUMMYFUNCTION("""COMPUTED_VALUE"""),17)</f>
        <v>17</v>
      </c>
      <c r="F1717" s="5"/>
    </row>
    <row r="1718" spans="1:6">
      <c r="A1718" s="5" t="str">
        <f ca="1">IFERROR(__xludf.DUMMYFUNCTION("""COMPUTED_VALUE"""),"20040305CASAL")</f>
        <v>20040305CASAL</v>
      </c>
      <c r="B1718" s="5" t="str">
        <f ca="1">IFERROR(__xludf.DUMMYFUNCTION("""COMPUTED_VALUE"""),"Wounded")</f>
        <v>Wounded</v>
      </c>
      <c r="C1718" s="5" t="str">
        <f ca="1">IFERROR(__xludf.DUMMYFUNCTION("""COMPUTED_VALUE"""),"Female")</f>
        <v>Female</v>
      </c>
      <c r="D1718" s="5" t="str">
        <f ca="1">IFERROR(__xludf.DUMMYFUNCTION("""COMPUTED_VALUE"""),"Student")</f>
        <v>Student</v>
      </c>
      <c r="E1718" s="5">
        <f ca="1">IFERROR(__xludf.DUMMYFUNCTION("""COMPUTED_VALUE"""),16)</f>
        <v>16</v>
      </c>
      <c r="F1718" s="5"/>
    </row>
    <row r="1719" spans="1:6">
      <c r="A1719" s="5" t="str">
        <f ca="1">IFERROR(__xludf.DUMMYFUNCTION("""COMPUTED_VALUE"""),"20040220LAGAS")</f>
        <v>20040220LAGAS</v>
      </c>
      <c r="B1719" s="5" t="str">
        <f ca="1">IFERROR(__xludf.DUMMYFUNCTION("""COMPUTED_VALUE"""),"Fatal")</f>
        <v>Fatal</v>
      </c>
      <c r="C1719" s="5" t="str">
        <f ca="1">IFERROR(__xludf.DUMMYFUNCTION("""COMPUTED_VALUE"""),"Female")</f>
        <v>Female</v>
      </c>
      <c r="D1719" s="5" t="str">
        <f ca="1">IFERROR(__xludf.DUMMYFUNCTION("""COMPUTED_VALUE"""),"Teacher")</f>
        <v>Teacher</v>
      </c>
      <c r="E1719" s="5">
        <f ca="1">IFERROR(__xludf.DUMMYFUNCTION("""COMPUTED_VALUE"""),19)</f>
        <v>19</v>
      </c>
      <c r="F1719" s="5"/>
    </row>
    <row r="1720" spans="1:6">
      <c r="A1720" s="5" t="str">
        <f ca="1">IFERROR(__xludf.DUMMYFUNCTION("""COMPUTED_VALUE"""),"20040213OHCOD")</f>
        <v>20040213OHCOD</v>
      </c>
      <c r="B1720" s="5" t="str">
        <f ca="1">IFERROR(__xludf.DUMMYFUNCTION("""COMPUTED_VALUE"""),"Wounded")</f>
        <v>Wounded</v>
      </c>
      <c r="C1720" s="5" t="str">
        <f ca="1">IFERROR(__xludf.DUMMYFUNCTION("""COMPUTED_VALUE"""),"Male")</f>
        <v>Male</v>
      </c>
      <c r="D1720" s="5" t="str">
        <f ca="1">IFERROR(__xludf.DUMMYFUNCTION("""COMPUTED_VALUE"""),"Student")</f>
        <v>Student</v>
      </c>
      <c r="E1720" s="5">
        <f ca="1">IFERROR(__xludf.DUMMYFUNCTION("""COMPUTED_VALUE"""),17)</f>
        <v>17</v>
      </c>
      <c r="F1720" s="5"/>
    </row>
    <row r="1721" spans="1:6">
      <c r="A1721" s="5" t="str">
        <f ca="1">IFERROR(__xludf.DUMMYFUNCTION("""COMPUTED_VALUE"""),"20040211PATMP")</f>
        <v>20040211PATMP</v>
      </c>
      <c r="B1721" s="5" t="str">
        <f ca="1">IFERROR(__xludf.DUMMYFUNCTION("""COMPUTED_VALUE"""),"Fatal")</f>
        <v>Fatal</v>
      </c>
      <c r="C1721" s="5" t="str">
        <f ca="1">IFERROR(__xludf.DUMMYFUNCTION("""COMPUTED_VALUE"""),"Male")</f>
        <v>Male</v>
      </c>
      <c r="D1721" s="5" t="str">
        <f ca="1">IFERROR(__xludf.DUMMYFUNCTION("""COMPUTED_VALUE"""),"Student")</f>
        <v>Student</v>
      </c>
      <c r="E1721" s="5">
        <f ca="1">IFERROR(__xludf.DUMMYFUNCTION("""COMPUTED_VALUE"""),10)</f>
        <v>10</v>
      </c>
      <c r="F1721" s="5"/>
    </row>
    <row r="1722" spans="1:6">
      <c r="A1722" s="5" t="str">
        <f ca="1">IFERROR(__xludf.DUMMYFUNCTION("""COMPUTED_VALUE"""),"20040211PATMP")</f>
        <v>20040211PATMP</v>
      </c>
      <c r="B1722" s="5" t="str">
        <f ca="1">IFERROR(__xludf.DUMMYFUNCTION("""COMPUTED_VALUE"""),"Wounded")</f>
        <v>Wounded</v>
      </c>
      <c r="C1722" s="5" t="str">
        <f ca="1">IFERROR(__xludf.DUMMYFUNCTION("""COMPUTED_VALUE"""),"Female")</f>
        <v>Female</v>
      </c>
      <c r="D1722" s="5" t="str">
        <f ca="1">IFERROR(__xludf.DUMMYFUNCTION("""COMPUTED_VALUE"""),"Teacher")</f>
        <v>Teacher</v>
      </c>
      <c r="E1722" s="5" t="str">
        <f ca="1">IFERROR(__xludf.DUMMYFUNCTION("""COMPUTED_VALUE"""),"Adult")</f>
        <v>Adult</v>
      </c>
      <c r="F1722" s="5"/>
    </row>
    <row r="1723" spans="1:6">
      <c r="A1723" s="5" t="str">
        <f ca="1">IFERROR(__xludf.DUMMYFUNCTION("""COMPUTED_VALUE"""),"20040209NYCOE")</f>
        <v>20040209NYCOE</v>
      </c>
      <c r="B1723" s="5" t="str">
        <f ca="1">IFERROR(__xludf.DUMMYFUNCTION("""COMPUTED_VALUE"""),"Wounded")</f>
        <v>Wounded</v>
      </c>
      <c r="C1723" s="5" t="str">
        <f ca="1">IFERROR(__xludf.DUMMYFUNCTION("""COMPUTED_VALUE"""),"Male")</f>
        <v>Male</v>
      </c>
      <c r="D1723" s="5" t="str">
        <f ca="1">IFERROR(__xludf.DUMMYFUNCTION("""COMPUTED_VALUE"""),"Teacher")</f>
        <v>Teacher</v>
      </c>
      <c r="E1723" s="5" t="str">
        <f ca="1">IFERROR(__xludf.DUMMYFUNCTION("""COMPUTED_VALUE"""),"Adult")</f>
        <v>Adult</v>
      </c>
      <c r="F1723" s="5"/>
    </row>
    <row r="1724" spans="1:6">
      <c r="A1724" s="5" t="str">
        <f ca="1">IFERROR(__xludf.DUMMYFUNCTION("""COMPUTED_VALUE"""),"20040206LAFAS")</f>
        <v>20040206LAFAS</v>
      </c>
      <c r="B1724" s="5" t="str">
        <f ca="1">IFERROR(__xludf.DUMMYFUNCTION("""COMPUTED_VALUE"""),"None")</f>
        <v>None</v>
      </c>
      <c r="C1724" s="5"/>
      <c r="D1724" s="5"/>
      <c r="E1724" s="5"/>
      <c r="F1724" s="5"/>
    </row>
    <row r="1725" spans="1:6">
      <c r="A1725" s="5" t="str">
        <f ca="1">IFERROR(__xludf.DUMMYFUNCTION("""COMPUTED_VALUE"""),"20040203TXYOH")</f>
        <v>20040203TXYOH</v>
      </c>
      <c r="B1725" s="5" t="str">
        <f ca="1">IFERROR(__xludf.DUMMYFUNCTION("""COMPUTED_VALUE"""),"None")</f>
        <v>None</v>
      </c>
      <c r="C1725" s="5" t="str">
        <f ca="1">IFERROR(__xludf.DUMMYFUNCTION("""COMPUTED_VALUE"""),"Male")</f>
        <v>Male</v>
      </c>
      <c r="D1725" s="5" t="str">
        <f ca="1">IFERROR(__xludf.DUMMYFUNCTION("""COMPUTED_VALUE"""),"Student")</f>
        <v>Student</v>
      </c>
      <c r="E1725" s="5">
        <f ca="1">IFERROR(__xludf.DUMMYFUNCTION("""COMPUTED_VALUE"""),12)</f>
        <v>12</v>
      </c>
      <c r="F1725" s="5"/>
    </row>
    <row r="1726" spans="1:6">
      <c r="A1726" s="5" t="str">
        <f ca="1">IFERROR(__xludf.DUMMYFUNCTION("""COMPUTED_VALUE"""),"20040202DCBAW")</f>
        <v>20040202DCBAW</v>
      </c>
      <c r="B1726" s="5" t="str">
        <f ca="1">IFERROR(__xludf.DUMMYFUNCTION("""COMPUTED_VALUE"""),"Fatal")</f>
        <v>Fatal</v>
      </c>
      <c r="C1726" s="5" t="str">
        <f ca="1">IFERROR(__xludf.DUMMYFUNCTION("""COMPUTED_VALUE"""),"Male")</f>
        <v>Male</v>
      </c>
      <c r="D1726" s="5" t="str">
        <f ca="1">IFERROR(__xludf.DUMMYFUNCTION("""COMPUTED_VALUE"""),"Student")</f>
        <v>Student</v>
      </c>
      <c r="E1726" s="5">
        <f ca="1">IFERROR(__xludf.DUMMYFUNCTION("""COMPUTED_VALUE"""),17)</f>
        <v>17</v>
      </c>
      <c r="F1726" s="5"/>
    </row>
    <row r="1727" spans="1:6">
      <c r="A1727" s="5" t="str">
        <f ca="1">IFERROR(__xludf.DUMMYFUNCTION("""COMPUTED_VALUE"""),"20040121NVFAH")</f>
        <v>20040121NVFAH</v>
      </c>
      <c r="B1727" s="5" t="str">
        <f ca="1">IFERROR(__xludf.DUMMYFUNCTION("""COMPUTED_VALUE"""),"Fatal")</f>
        <v>Fatal</v>
      </c>
      <c r="C1727" s="5" t="str">
        <f ca="1">IFERROR(__xludf.DUMMYFUNCTION("""COMPUTED_VALUE"""),"Male")</f>
        <v>Male</v>
      </c>
      <c r="D1727" s="5" t="str">
        <f ca="1">IFERROR(__xludf.DUMMYFUNCTION("""COMPUTED_VALUE"""),"Intimate Relationship")</f>
        <v>Intimate Relationship</v>
      </c>
      <c r="E1727" s="5" t="str">
        <f ca="1">IFERROR(__xludf.DUMMYFUNCTION("""COMPUTED_VALUE"""),"Adult")</f>
        <v>Adult</v>
      </c>
      <c r="F1727" s="5"/>
    </row>
    <row r="1728" spans="1:6">
      <c r="A1728" s="5" t="str">
        <f ca="1">IFERROR(__xludf.DUMMYFUNCTION("""COMPUTED_VALUE"""),"20040115CAPOP")</f>
        <v>20040115CAPOP</v>
      </c>
      <c r="B1728" s="5" t="str">
        <f ca="1">IFERROR(__xludf.DUMMYFUNCTION("""COMPUTED_VALUE"""),"Wounded")</f>
        <v>Wounded</v>
      </c>
      <c r="C1728" s="5" t="str">
        <f ca="1">IFERROR(__xludf.DUMMYFUNCTION("""COMPUTED_VALUE"""),"Female")</f>
        <v>Female</v>
      </c>
      <c r="D1728" s="5" t="str">
        <f ca="1">IFERROR(__xludf.DUMMYFUNCTION("""COMPUTED_VALUE"""),"Student")</f>
        <v>Student</v>
      </c>
      <c r="E1728" s="5">
        <f ca="1">IFERROR(__xludf.DUMMYFUNCTION("""COMPUTED_VALUE"""),16)</f>
        <v>16</v>
      </c>
      <c r="F1728" s="5"/>
    </row>
    <row r="1729" spans="1:6">
      <c r="A1729" s="5" t="str">
        <f ca="1">IFERROR(__xludf.DUMMYFUNCTION("""COMPUTED_VALUE"""),"20031229FLABE")</f>
        <v>20031229FLABE</v>
      </c>
      <c r="B1729" s="5" t="str">
        <f ca="1">IFERROR(__xludf.DUMMYFUNCTION("""COMPUTED_VALUE"""),"Wounded")</f>
        <v>Wounded</v>
      </c>
      <c r="C1729" s="5" t="str">
        <f ca="1">IFERROR(__xludf.DUMMYFUNCTION("""COMPUTED_VALUE"""),"Male")</f>
        <v>Male</v>
      </c>
      <c r="D1729" s="5" t="str">
        <f ca="1">IFERROR(__xludf.DUMMYFUNCTION("""COMPUTED_VALUE"""),"No Relation")</f>
        <v>No Relation</v>
      </c>
      <c r="E1729" s="5">
        <f ca="1">IFERROR(__xludf.DUMMYFUNCTION("""COMPUTED_VALUE"""),16)</f>
        <v>16</v>
      </c>
      <c r="F1729" s="5"/>
    </row>
    <row r="1730" spans="1:6">
      <c r="A1730" s="5" t="str">
        <f ca="1">IFERROR(__xludf.DUMMYFUNCTION("""COMPUTED_VALUE"""),"20031229FLABE")</f>
        <v>20031229FLABE</v>
      </c>
      <c r="B1730" s="5" t="str">
        <f ca="1">IFERROR(__xludf.DUMMYFUNCTION("""COMPUTED_VALUE"""),"Fatal")</f>
        <v>Fatal</v>
      </c>
      <c r="C1730" s="5" t="str">
        <f ca="1">IFERROR(__xludf.DUMMYFUNCTION("""COMPUTED_VALUE"""),"Male")</f>
        <v>Male</v>
      </c>
      <c r="D1730" s="5" t="str">
        <f ca="1">IFERROR(__xludf.DUMMYFUNCTION("""COMPUTED_VALUE"""),"No Relation")</f>
        <v>No Relation</v>
      </c>
      <c r="E1730" s="5">
        <f ca="1">IFERROR(__xludf.DUMMYFUNCTION("""COMPUTED_VALUE"""),19)</f>
        <v>19</v>
      </c>
      <c r="F1730" s="5"/>
    </row>
    <row r="1731" spans="1:6">
      <c r="A1731" s="5" t="str">
        <f ca="1">IFERROR(__xludf.DUMMYFUNCTION("""COMPUTED_VALUE"""),"20031222NJCOW")</f>
        <v>20031222NJCOW</v>
      </c>
      <c r="B1731" s="5" t="str">
        <f ca="1">IFERROR(__xludf.DUMMYFUNCTION("""COMPUTED_VALUE"""),"Wounded")</f>
        <v>Wounded</v>
      </c>
      <c r="C1731" s="5" t="str">
        <f ca="1">IFERROR(__xludf.DUMMYFUNCTION("""COMPUTED_VALUE"""),"Male")</f>
        <v>Male</v>
      </c>
      <c r="D1731" s="5" t="str">
        <f ca="1">IFERROR(__xludf.DUMMYFUNCTION("""COMPUTED_VALUE"""),"Student")</f>
        <v>Student</v>
      </c>
      <c r="E1731" s="5">
        <f ca="1">IFERROR(__xludf.DUMMYFUNCTION("""COMPUTED_VALUE"""),18)</f>
        <v>18</v>
      </c>
      <c r="F1731" s="5"/>
    </row>
    <row r="1732" spans="1:6">
      <c r="A1732" s="5" t="str">
        <f ca="1">IFERROR(__xludf.DUMMYFUNCTION("""COMPUTED_VALUE"""),"20031217MDOLM")</f>
        <v>20031217MDOLM</v>
      </c>
      <c r="B1732" s="5" t="str">
        <f ca="1">IFERROR(__xludf.DUMMYFUNCTION("""COMPUTED_VALUE"""),"None")</f>
        <v>None</v>
      </c>
      <c r="C1732" s="5"/>
      <c r="D1732" s="5"/>
      <c r="E1732" s="5"/>
      <c r="F1732" s="5"/>
    </row>
    <row r="1733" spans="1:6">
      <c r="A1733" s="5" t="str">
        <f ca="1">IFERROR(__xludf.DUMMYFUNCTION("""COMPUTED_VALUE"""),"20031205ILCAC")</f>
        <v>20031205ILCAC</v>
      </c>
      <c r="B1733" s="5" t="str">
        <f ca="1">IFERROR(__xludf.DUMMYFUNCTION("""COMPUTED_VALUE"""),"Wounded")</f>
        <v>Wounded</v>
      </c>
      <c r="C1733" s="5" t="str">
        <f ca="1">IFERROR(__xludf.DUMMYFUNCTION("""COMPUTED_VALUE"""),"Male")</f>
        <v>Male</v>
      </c>
      <c r="D1733" s="5" t="str">
        <f ca="1">IFERROR(__xludf.DUMMYFUNCTION("""COMPUTED_VALUE"""),"Other Staff")</f>
        <v>Other Staff</v>
      </c>
      <c r="E1733" s="5">
        <f ca="1">IFERROR(__xludf.DUMMYFUNCTION("""COMPUTED_VALUE"""),33)</f>
        <v>33</v>
      </c>
      <c r="F1733" s="5"/>
    </row>
    <row r="1734" spans="1:6">
      <c r="A1734" s="5" t="str">
        <f ca="1">IFERROR(__xludf.DUMMYFUNCTION("""COMPUTED_VALUE"""),"20031204OKDOO")</f>
        <v>20031204OKDOO</v>
      </c>
      <c r="B1734" s="5" t="str">
        <f ca="1">IFERROR(__xludf.DUMMYFUNCTION("""COMPUTED_VALUE"""),"Wounded")</f>
        <v>Wounded</v>
      </c>
      <c r="C1734" s="5" t="str">
        <f ca="1">IFERROR(__xludf.DUMMYFUNCTION("""COMPUTED_VALUE"""),"Female")</f>
        <v>Female</v>
      </c>
      <c r="D1734" s="5" t="str">
        <f ca="1">IFERROR(__xludf.DUMMYFUNCTION("""COMPUTED_VALUE"""),"Student")</f>
        <v>Student</v>
      </c>
      <c r="E1734" s="5">
        <f ca="1">IFERROR(__xludf.DUMMYFUNCTION("""COMPUTED_VALUE"""),17)</f>
        <v>17</v>
      </c>
      <c r="F1734" s="5"/>
    </row>
    <row r="1735" spans="1:6">
      <c r="A1735" s="5" t="str">
        <f ca="1">IFERROR(__xludf.DUMMYFUNCTION("""COMPUTED_VALUE"""),"20031202ILFEC")</f>
        <v>20031202ILFEC</v>
      </c>
      <c r="B1735" s="5" t="str">
        <f ca="1">IFERROR(__xludf.DUMMYFUNCTION("""COMPUTED_VALUE"""),"None")</f>
        <v>None</v>
      </c>
      <c r="C1735" s="5" t="str">
        <f ca="1">IFERROR(__xludf.DUMMYFUNCTION("""COMPUTED_VALUE"""),"Male")</f>
        <v>Male</v>
      </c>
      <c r="D1735" s="5" t="str">
        <f ca="1">IFERROR(__xludf.DUMMYFUNCTION("""COMPUTED_VALUE"""),"Unknown")</f>
        <v>Unknown</v>
      </c>
      <c r="E1735" s="5">
        <f ca="1">IFERROR(__xludf.DUMMYFUNCTION("""COMPUTED_VALUE"""),18)</f>
        <v>18</v>
      </c>
      <c r="F1735" s="5"/>
    </row>
    <row r="1736" spans="1:6">
      <c r="A1736" s="5" t="str">
        <f ca="1">IFERROR(__xludf.DUMMYFUNCTION("""COMPUTED_VALUE"""),"20031113NCEAC")</f>
        <v>20031113NCEAC</v>
      </c>
      <c r="B1736" s="5" t="str">
        <f ca="1">IFERROR(__xludf.DUMMYFUNCTION("""COMPUTED_VALUE"""),"Wounded")</f>
        <v>Wounded</v>
      </c>
      <c r="C1736" s="5" t="str">
        <f ca="1">IFERROR(__xludf.DUMMYFUNCTION("""COMPUTED_VALUE"""),"Male")</f>
        <v>Male</v>
      </c>
      <c r="D1736" s="5" t="str">
        <f ca="1">IFERROR(__xludf.DUMMYFUNCTION("""COMPUTED_VALUE"""),"Student")</f>
        <v>Student</v>
      </c>
      <c r="E1736" s="5" t="str">
        <f ca="1">IFERROR(__xludf.DUMMYFUNCTION("""COMPUTED_VALUE"""),"Teen")</f>
        <v>Teen</v>
      </c>
      <c r="F1736" s="5"/>
    </row>
    <row r="1737" spans="1:6">
      <c r="A1737" s="5" t="str">
        <f ca="1">IFERROR(__xludf.DUMMYFUNCTION("""COMPUTED_VALUE"""),"20031113NCEAC")</f>
        <v>20031113NCEAC</v>
      </c>
      <c r="B1737" s="5" t="str">
        <f ca="1">IFERROR(__xludf.DUMMYFUNCTION("""COMPUTED_VALUE"""),"Wounded")</f>
        <v>Wounded</v>
      </c>
      <c r="C1737" s="5" t="str">
        <f ca="1">IFERROR(__xludf.DUMMYFUNCTION("""COMPUTED_VALUE"""),"Male")</f>
        <v>Male</v>
      </c>
      <c r="D1737" s="5" t="str">
        <f ca="1">IFERROR(__xludf.DUMMYFUNCTION("""COMPUTED_VALUE"""),"Student")</f>
        <v>Student</v>
      </c>
      <c r="E1737" s="5" t="str">
        <f ca="1">IFERROR(__xludf.DUMMYFUNCTION("""COMPUTED_VALUE"""),"Teen")</f>
        <v>Teen</v>
      </c>
      <c r="F1737" s="5"/>
    </row>
    <row r="1738" spans="1:6">
      <c r="A1738" s="5" t="str">
        <f ca="1">IFERROR(__xludf.DUMMYFUNCTION("""COMPUTED_VALUE"""),"20031108TXHIS")</f>
        <v>20031108TXHIS</v>
      </c>
      <c r="B1738" s="5" t="str">
        <f ca="1">IFERROR(__xludf.DUMMYFUNCTION("""COMPUTED_VALUE"""),"Fatal")</f>
        <v>Fatal</v>
      </c>
      <c r="C1738" s="5" t="str">
        <f ca="1">IFERROR(__xludf.DUMMYFUNCTION("""COMPUTED_VALUE"""),"Female")</f>
        <v>Female</v>
      </c>
      <c r="D1738" s="5" t="str">
        <f ca="1">IFERROR(__xludf.DUMMYFUNCTION("""COMPUTED_VALUE"""),"Student")</f>
        <v>Student</v>
      </c>
      <c r="E1738" s="5">
        <f ca="1">IFERROR(__xludf.DUMMYFUNCTION("""COMPUTED_VALUE"""),17)</f>
        <v>17</v>
      </c>
      <c r="F1738" s="5"/>
    </row>
    <row r="1739" spans="1:6">
      <c r="A1739" s="5" t="str">
        <f ca="1">IFERROR(__xludf.DUMMYFUNCTION("""COMPUTED_VALUE"""),"20031030DCANW")</f>
        <v>20031030DCANW</v>
      </c>
      <c r="B1739" s="5" t="str">
        <f ca="1">IFERROR(__xludf.DUMMYFUNCTION("""COMPUTED_VALUE"""),"Fatal")</f>
        <v>Fatal</v>
      </c>
      <c r="C1739" s="5" t="str">
        <f ca="1">IFERROR(__xludf.DUMMYFUNCTION("""COMPUTED_VALUE"""),"Male")</f>
        <v>Male</v>
      </c>
      <c r="D1739" s="5" t="str">
        <f ca="1">IFERROR(__xludf.DUMMYFUNCTION("""COMPUTED_VALUE"""),"Student")</f>
        <v>Student</v>
      </c>
      <c r="E1739" s="5">
        <f ca="1">IFERROR(__xludf.DUMMYFUNCTION("""COMPUTED_VALUE"""),16)</f>
        <v>16</v>
      </c>
      <c r="F1739" s="5"/>
    </row>
    <row r="1740" spans="1:6">
      <c r="A1740" s="5" t="str">
        <f ca="1">IFERROR(__xludf.DUMMYFUNCTION("""COMPUTED_VALUE"""),"20031030DCANW")</f>
        <v>20031030DCANW</v>
      </c>
      <c r="B1740" s="5" t="str">
        <f ca="1">IFERROR(__xludf.DUMMYFUNCTION("""COMPUTED_VALUE"""),"Wounded")</f>
        <v>Wounded</v>
      </c>
      <c r="C1740" s="5" t="str">
        <f ca="1">IFERROR(__xludf.DUMMYFUNCTION("""COMPUTED_VALUE"""),"Female")</f>
        <v>Female</v>
      </c>
      <c r="D1740" s="5" t="str">
        <f ca="1">IFERROR(__xludf.DUMMYFUNCTION("""COMPUTED_VALUE"""),"Student")</f>
        <v>Student</v>
      </c>
      <c r="E1740" s="5">
        <f ca="1">IFERROR(__xludf.DUMMYFUNCTION("""COMPUTED_VALUE"""),15)</f>
        <v>15</v>
      </c>
      <c r="F1740" s="5"/>
    </row>
    <row r="1741" spans="1:6">
      <c r="A1741" s="5" t="str">
        <f ca="1">IFERROR(__xludf.DUMMYFUNCTION("""COMPUTED_VALUE"""),"20031029LAMAM")</f>
        <v>20031029LAMAM</v>
      </c>
      <c r="B1741" s="5" t="str">
        <f ca="1">IFERROR(__xludf.DUMMYFUNCTION("""COMPUTED_VALUE"""),"None")</f>
        <v>None</v>
      </c>
      <c r="C1741" s="5" t="str">
        <f ca="1">IFERROR(__xludf.DUMMYFUNCTION("""COMPUTED_VALUE"""),"Male")</f>
        <v>Male</v>
      </c>
      <c r="D1741" s="5" t="str">
        <f ca="1">IFERROR(__xludf.DUMMYFUNCTION("""COMPUTED_VALUE"""),"Student")</f>
        <v>Student</v>
      </c>
      <c r="E1741" s="5">
        <f ca="1">IFERROR(__xludf.DUMMYFUNCTION("""COMPUTED_VALUE"""),12)</f>
        <v>12</v>
      </c>
      <c r="F1741" s="5"/>
    </row>
    <row r="1742" spans="1:6">
      <c r="A1742" s="5" t="str">
        <f ca="1">IFERROR(__xludf.DUMMYFUNCTION("""COMPUTED_VALUE"""),"20031007OHKEA")</f>
        <v>20031007OHKEA</v>
      </c>
      <c r="B1742" s="5" t="str">
        <f ca="1">IFERROR(__xludf.DUMMYFUNCTION("""COMPUTED_VALUE"""),"Wounded")</f>
        <v>Wounded</v>
      </c>
      <c r="C1742" s="5" t="str">
        <f ca="1">IFERROR(__xludf.DUMMYFUNCTION("""COMPUTED_VALUE"""),"Male")</f>
        <v>Male</v>
      </c>
      <c r="D1742" s="5" t="str">
        <f ca="1">IFERROR(__xludf.DUMMYFUNCTION("""COMPUTED_VALUE"""),"Student")</f>
        <v>Student</v>
      </c>
      <c r="E1742" s="5">
        <f ca="1">IFERROR(__xludf.DUMMYFUNCTION("""COMPUTED_VALUE"""),17)</f>
        <v>17</v>
      </c>
      <c r="F1742" s="5"/>
    </row>
    <row r="1743" spans="1:6">
      <c r="A1743" s="5" t="str">
        <f ca="1">IFERROR(__xludf.DUMMYFUNCTION("""COMPUTED_VALUE"""),"20031001CARIS")</f>
        <v>20031001CARIS</v>
      </c>
      <c r="B1743" s="5" t="str">
        <f ca="1">IFERROR(__xludf.DUMMYFUNCTION("""COMPUTED_VALUE"""),"Wounded")</f>
        <v>Wounded</v>
      </c>
      <c r="C1743" s="5" t="str">
        <f ca="1">IFERROR(__xludf.DUMMYFUNCTION("""COMPUTED_VALUE"""),"Male")</f>
        <v>Male</v>
      </c>
      <c r="D1743" s="5" t="str">
        <f ca="1">IFERROR(__xludf.DUMMYFUNCTION("""COMPUTED_VALUE"""),"Principal/Vice-Principal")</f>
        <v>Principal/Vice-Principal</v>
      </c>
      <c r="E1743" s="5" t="str">
        <f ca="1">IFERROR(__xludf.DUMMYFUNCTION("""COMPUTED_VALUE"""),"Adult")</f>
        <v>Adult</v>
      </c>
      <c r="F1743" s="5"/>
    </row>
    <row r="1744" spans="1:6">
      <c r="A1744" s="5" t="str">
        <f ca="1">IFERROR(__xludf.DUMMYFUNCTION("""COMPUTED_VALUE"""),"20030925NCBUL")</f>
        <v>20030925NCBUL</v>
      </c>
      <c r="B1744" s="5" t="str">
        <f ca="1">IFERROR(__xludf.DUMMYFUNCTION("""COMPUTED_VALUE"""),"None")</f>
        <v>None</v>
      </c>
      <c r="C1744" s="5"/>
      <c r="D1744" s="5"/>
      <c r="E1744" s="5"/>
      <c r="F1744" s="5"/>
    </row>
    <row r="1745" spans="1:6">
      <c r="A1745" s="5" t="str">
        <f ca="1">IFERROR(__xludf.DUMMYFUNCTION("""COMPUTED_VALUE"""),"20030924MNROC")</f>
        <v>20030924MNROC</v>
      </c>
      <c r="B1745" s="5" t="str">
        <f ca="1">IFERROR(__xludf.DUMMYFUNCTION("""COMPUTED_VALUE"""),"Fatal")</f>
        <v>Fatal</v>
      </c>
      <c r="C1745" s="5" t="str">
        <f ca="1">IFERROR(__xludf.DUMMYFUNCTION("""COMPUTED_VALUE"""),"Male")</f>
        <v>Male</v>
      </c>
      <c r="D1745" s="5" t="str">
        <f ca="1">IFERROR(__xludf.DUMMYFUNCTION("""COMPUTED_VALUE"""),"Student")</f>
        <v>Student</v>
      </c>
      <c r="E1745" s="5">
        <f ca="1">IFERROR(__xludf.DUMMYFUNCTION("""COMPUTED_VALUE"""),14)</f>
        <v>14</v>
      </c>
      <c r="F1745" s="5"/>
    </row>
    <row r="1746" spans="1:6">
      <c r="A1746" s="5" t="str">
        <f ca="1">IFERROR(__xludf.DUMMYFUNCTION("""COMPUTED_VALUE"""),"20030924MNROC")</f>
        <v>20030924MNROC</v>
      </c>
      <c r="B1746" s="5" t="str">
        <f ca="1">IFERROR(__xludf.DUMMYFUNCTION("""COMPUTED_VALUE"""),"Fatal")</f>
        <v>Fatal</v>
      </c>
      <c r="C1746" s="5" t="str">
        <f ca="1">IFERROR(__xludf.DUMMYFUNCTION("""COMPUTED_VALUE"""),"Male")</f>
        <v>Male</v>
      </c>
      <c r="D1746" s="5" t="str">
        <f ca="1">IFERROR(__xludf.DUMMYFUNCTION("""COMPUTED_VALUE"""),"Student")</f>
        <v>Student</v>
      </c>
      <c r="E1746" s="5">
        <f ca="1">IFERROR(__xludf.DUMMYFUNCTION("""COMPUTED_VALUE"""),17)</f>
        <v>17</v>
      </c>
      <c r="F1746" s="5"/>
    </row>
    <row r="1747" spans="1:6">
      <c r="A1747" s="5" t="str">
        <f ca="1">IFERROR(__xludf.DUMMYFUNCTION("""COMPUTED_VALUE"""),"20030922WALES")</f>
        <v>20030922WALES</v>
      </c>
      <c r="B1747" s="5" t="str">
        <f ca="1">IFERROR(__xludf.DUMMYFUNCTION("""COMPUTED_VALUE"""),"Wounded")</f>
        <v>Wounded</v>
      </c>
      <c r="C1747" s="5" t="str">
        <f ca="1">IFERROR(__xludf.DUMMYFUNCTION("""COMPUTED_VALUE"""),"Male")</f>
        <v>Male</v>
      </c>
      <c r="D1747" s="5" t="str">
        <f ca="1">IFERROR(__xludf.DUMMYFUNCTION("""COMPUTED_VALUE"""),"Student")</f>
        <v>Student</v>
      </c>
      <c r="E1747" s="5">
        <f ca="1">IFERROR(__xludf.DUMMYFUNCTION("""COMPUTED_VALUE"""),17)</f>
        <v>17</v>
      </c>
      <c r="F1747" s="5"/>
    </row>
    <row r="1748" spans="1:6">
      <c r="A1748" s="5" t="str">
        <f ca="1">IFERROR(__xludf.DUMMYFUNCTION("""COMPUTED_VALUE"""),"20030917MDOKE")</f>
        <v>20030917MDOKE</v>
      </c>
      <c r="B1748" s="5" t="str">
        <f ca="1">IFERROR(__xludf.DUMMYFUNCTION("""COMPUTED_VALUE"""),"None")</f>
        <v>None</v>
      </c>
      <c r="C1748" s="5"/>
      <c r="D1748" s="5"/>
      <c r="E1748" s="5"/>
      <c r="F1748" s="5"/>
    </row>
    <row r="1749" spans="1:6">
      <c r="A1749" s="5" t="str">
        <f ca="1">IFERROR(__xludf.DUMMYFUNCTION("""COMPUTED_VALUE"""),"20030917MACHB")</f>
        <v>20030917MACHB</v>
      </c>
      <c r="B1749" s="5" t="str">
        <f ca="1">IFERROR(__xludf.DUMMYFUNCTION("""COMPUTED_VALUE"""),"Wounded")</f>
        <v>Wounded</v>
      </c>
      <c r="C1749" s="5" t="str">
        <f ca="1">IFERROR(__xludf.DUMMYFUNCTION("""COMPUTED_VALUE"""),"Male")</f>
        <v>Male</v>
      </c>
      <c r="D1749" s="5" t="str">
        <f ca="1">IFERROR(__xludf.DUMMYFUNCTION("""COMPUTED_VALUE"""),"Student")</f>
        <v>Student</v>
      </c>
      <c r="E1749" s="5">
        <f ca="1">IFERROR(__xludf.DUMMYFUNCTION("""COMPUTED_VALUE"""),15)</f>
        <v>15</v>
      </c>
      <c r="F1749" s="5"/>
    </row>
    <row r="1750" spans="1:6">
      <c r="A1750" s="5" t="str">
        <f ca="1">IFERROR(__xludf.DUMMYFUNCTION("""COMPUTED_VALUE"""),"20030917MACHB")</f>
        <v>20030917MACHB</v>
      </c>
      <c r="B1750" s="5" t="str">
        <f ca="1">IFERROR(__xludf.DUMMYFUNCTION("""COMPUTED_VALUE"""),"Wounded")</f>
        <v>Wounded</v>
      </c>
      <c r="C1750" s="5" t="str">
        <f ca="1">IFERROR(__xludf.DUMMYFUNCTION("""COMPUTED_VALUE"""),"Male")</f>
        <v>Male</v>
      </c>
      <c r="D1750" s="5" t="str">
        <f ca="1">IFERROR(__xludf.DUMMYFUNCTION("""COMPUTED_VALUE"""),"Police Officer/SRO")</f>
        <v>Police Officer/SRO</v>
      </c>
      <c r="E1750" s="5" t="str">
        <f ca="1">IFERROR(__xludf.DUMMYFUNCTION("""COMPUTED_VALUE"""),"Adult")</f>
        <v>Adult</v>
      </c>
      <c r="F1750" s="5"/>
    </row>
    <row r="1751" spans="1:6">
      <c r="A1751" s="5" t="str">
        <f ca="1">IFERROR(__xludf.DUMMYFUNCTION("""COMPUTED_VALUE"""),"20030910MSVIV")</f>
        <v>20030910MSVIV</v>
      </c>
      <c r="B1751" s="5" t="str">
        <f ca="1">IFERROR(__xludf.DUMMYFUNCTION("""COMPUTED_VALUE"""),"Fatal")</f>
        <v>Fatal</v>
      </c>
      <c r="C1751" s="5" t="str">
        <f ca="1">IFERROR(__xludf.DUMMYFUNCTION("""COMPUTED_VALUE"""),"Male")</f>
        <v>Male</v>
      </c>
      <c r="D1751" s="5"/>
      <c r="E1751" s="5">
        <f ca="1">IFERROR(__xludf.DUMMYFUNCTION("""COMPUTED_VALUE"""),20)</f>
        <v>20</v>
      </c>
      <c r="F1751" s="5"/>
    </row>
    <row r="1752" spans="1:6">
      <c r="A1752" s="5" t="str">
        <f ca="1">IFERROR(__xludf.DUMMYFUNCTION("""COMPUTED_VALUE"""),"20030604PAROW")</f>
        <v>20030604PAROW</v>
      </c>
      <c r="B1752" s="5" t="str">
        <f ca="1">IFERROR(__xludf.DUMMYFUNCTION("""COMPUTED_VALUE"""),"None")</f>
        <v>None</v>
      </c>
      <c r="C1752" s="5" t="str">
        <f ca="1">IFERROR(__xludf.DUMMYFUNCTION("""COMPUTED_VALUE"""),"Male")</f>
        <v>Male</v>
      </c>
      <c r="D1752" s="5" t="str">
        <f ca="1">IFERROR(__xludf.DUMMYFUNCTION("""COMPUTED_VALUE"""),"Student")</f>
        <v>Student</v>
      </c>
      <c r="E1752" s="5">
        <f ca="1">IFERROR(__xludf.DUMMYFUNCTION("""COMPUTED_VALUE"""),12)</f>
        <v>12</v>
      </c>
      <c r="F1752" s="5"/>
    </row>
    <row r="1753" spans="1:6">
      <c r="A1753" s="5" t="str">
        <f ca="1">IFERROR(__xludf.DUMMYFUNCTION("""COMPUTED_VALUE"""),"20030513PAFOJ")</f>
        <v>20030513PAFOJ</v>
      </c>
      <c r="B1753" s="5" t="str">
        <f ca="1">IFERROR(__xludf.DUMMYFUNCTION("""COMPUTED_VALUE"""),"None")</f>
        <v>None</v>
      </c>
      <c r="C1753" s="5" t="str">
        <f ca="1">IFERROR(__xludf.DUMMYFUNCTION("""COMPUTED_VALUE"""),"Male")</f>
        <v>Male</v>
      </c>
      <c r="D1753" s="5" t="str">
        <f ca="1">IFERROR(__xludf.DUMMYFUNCTION("""COMPUTED_VALUE"""),"Student")</f>
        <v>Student</v>
      </c>
      <c r="E1753" s="5">
        <f ca="1">IFERROR(__xludf.DUMMYFUNCTION("""COMPUTED_VALUE"""),18)</f>
        <v>18</v>
      </c>
      <c r="F1753" s="5"/>
    </row>
    <row r="1754" spans="1:6">
      <c r="A1754" s="5" t="str">
        <f ca="1">IFERROR(__xludf.DUMMYFUNCTION("""COMPUTED_VALUE"""),"20030424PARER")</f>
        <v>20030424PARER</v>
      </c>
      <c r="B1754" s="5" t="str">
        <f ca="1">IFERROR(__xludf.DUMMYFUNCTION("""COMPUTED_VALUE"""),"Fatal")</f>
        <v>Fatal</v>
      </c>
      <c r="C1754" s="5" t="str">
        <f ca="1">IFERROR(__xludf.DUMMYFUNCTION("""COMPUTED_VALUE"""),"Male")</f>
        <v>Male</v>
      </c>
      <c r="D1754" s="5" t="str">
        <f ca="1">IFERROR(__xludf.DUMMYFUNCTION("""COMPUTED_VALUE"""),"Principal/Vice-Principal")</f>
        <v>Principal/Vice-Principal</v>
      </c>
      <c r="E1754" s="5" t="str">
        <f ca="1">IFERROR(__xludf.DUMMYFUNCTION("""COMPUTED_VALUE"""),"Adult")</f>
        <v>Adult</v>
      </c>
      <c r="F1754" s="5"/>
    </row>
    <row r="1755" spans="1:6">
      <c r="A1755" s="5" t="str">
        <f ca="1">IFERROR(__xludf.DUMMYFUNCTION("""COMPUTED_VALUE"""),"20030416TXGRA")</f>
        <v>20030416TXGRA</v>
      </c>
      <c r="B1755" s="5" t="str">
        <f ca="1">IFERROR(__xludf.DUMMYFUNCTION("""COMPUTED_VALUE"""),"None")</f>
        <v>None</v>
      </c>
      <c r="C1755" s="5" t="str">
        <f ca="1">IFERROR(__xludf.DUMMYFUNCTION("""COMPUTED_VALUE"""),"Female")</f>
        <v>Female</v>
      </c>
      <c r="D1755" s="5" t="str">
        <f ca="1">IFERROR(__xludf.DUMMYFUNCTION("""COMPUTED_VALUE"""),"Student")</f>
        <v>Student</v>
      </c>
      <c r="E1755" s="5">
        <f ca="1">IFERROR(__xludf.DUMMYFUNCTION("""COMPUTED_VALUE"""),12)</f>
        <v>12</v>
      </c>
      <c r="F1755" s="5"/>
    </row>
    <row r="1756" spans="1:6">
      <c r="A1756" s="5" t="str">
        <f ca="1">IFERROR(__xludf.DUMMYFUNCTION("""COMPUTED_VALUE"""),"20030414LAJON")</f>
        <v>20030414LAJON</v>
      </c>
      <c r="B1756" s="5" t="str">
        <f ca="1">IFERROR(__xludf.DUMMYFUNCTION("""COMPUTED_VALUE"""),"Wounded")</f>
        <v>Wounded</v>
      </c>
      <c r="C1756" s="5" t="str">
        <f ca="1">IFERROR(__xludf.DUMMYFUNCTION("""COMPUTED_VALUE"""),"Male")</f>
        <v>Male</v>
      </c>
      <c r="D1756" s="5" t="str">
        <f ca="1">IFERROR(__xludf.DUMMYFUNCTION("""COMPUTED_VALUE"""),"Student")</f>
        <v>Student</v>
      </c>
      <c r="E1756" s="5">
        <f ca="1">IFERROR(__xludf.DUMMYFUNCTION("""COMPUTED_VALUE"""),18)</f>
        <v>18</v>
      </c>
      <c r="F1756" s="5"/>
    </row>
    <row r="1757" spans="1:6">
      <c r="A1757" s="5" t="str">
        <f ca="1">IFERROR(__xludf.DUMMYFUNCTION("""COMPUTED_VALUE"""),"20030414LAJON")</f>
        <v>20030414LAJON</v>
      </c>
      <c r="B1757" s="5" t="str">
        <f ca="1">IFERROR(__xludf.DUMMYFUNCTION("""COMPUTED_VALUE"""),"Wounded")</f>
        <v>Wounded</v>
      </c>
      <c r="C1757" s="5" t="str">
        <f ca="1">IFERROR(__xludf.DUMMYFUNCTION("""COMPUTED_VALUE"""),"Male")</f>
        <v>Male</v>
      </c>
      <c r="D1757" s="5" t="str">
        <f ca="1">IFERROR(__xludf.DUMMYFUNCTION("""COMPUTED_VALUE"""),"Student")</f>
        <v>Student</v>
      </c>
      <c r="E1757" s="5">
        <f ca="1">IFERROR(__xludf.DUMMYFUNCTION("""COMPUTED_VALUE"""),15)</f>
        <v>15</v>
      </c>
      <c r="F1757" s="5"/>
    </row>
    <row r="1758" spans="1:6">
      <c r="A1758" s="5" t="str">
        <f ca="1">IFERROR(__xludf.DUMMYFUNCTION("""COMPUTED_VALUE"""),"20030414LAJON")</f>
        <v>20030414LAJON</v>
      </c>
      <c r="B1758" s="5" t="str">
        <f ca="1">IFERROR(__xludf.DUMMYFUNCTION("""COMPUTED_VALUE"""),"Wounded")</f>
        <v>Wounded</v>
      </c>
      <c r="C1758" s="5" t="str">
        <f ca="1">IFERROR(__xludf.DUMMYFUNCTION("""COMPUTED_VALUE"""),"Male")</f>
        <v>Male</v>
      </c>
      <c r="D1758" s="5" t="str">
        <f ca="1">IFERROR(__xludf.DUMMYFUNCTION("""COMPUTED_VALUE"""),"Student")</f>
        <v>Student</v>
      </c>
      <c r="E1758" s="5">
        <f ca="1">IFERROR(__xludf.DUMMYFUNCTION("""COMPUTED_VALUE"""),18)</f>
        <v>18</v>
      </c>
      <c r="F1758" s="5"/>
    </row>
    <row r="1759" spans="1:6">
      <c r="A1759" s="5" t="str">
        <f ca="1">IFERROR(__xludf.DUMMYFUNCTION("""COMPUTED_VALUE"""),"20030414LAJON")</f>
        <v>20030414LAJON</v>
      </c>
      <c r="B1759" s="5" t="str">
        <f ca="1">IFERROR(__xludf.DUMMYFUNCTION("""COMPUTED_VALUE"""),"Fatal")</f>
        <v>Fatal</v>
      </c>
      <c r="C1759" s="5" t="str">
        <f ca="1">IFERROR(__xludf.DUMMYFUNCTION("""COMPUTED_VALUE"""),"Male")</f>
        <v>Male</v>
      </c>
      <c r="D1759" s="5" t="str">
        <f ca="1">IFERROR(__xludf.DUMMYFUNCTION("""COMPUTED_VALUE"""),"Student")</f>
        <v>Student</v>
      </c>
      <c r="E1759" s="5">
        <f ca="1">IFERROR(__xludf.DUMMYFUNCTION("""COMPUTED_VALUE"""),18)</f>
        <v>18</v>
      </c>
      <c r="F1759" s="5"/>
    </row>
    <row r="1760" spans="1:6">
      <c r="A1760" s="5" t="str">
        <f ca="1">IFERROR(__xludf.DUMMYFUNCTION("""COMPUTED_VALUE"""),"20030414LAJON")</f>
        <v>20030414LAJON</v>
      </c>
      <c r="B1760" s="5" t="str">
        <f ca="1">IFERROR(__xludf.DUMMYFUNCTION("""COMPUTED_VALUE"""),"Wounded")</f>
        <v>Wounded</v>
      </c>
      <c r="C1760" s="5" t="str">
        <f ca="1">IFERROR(__xludf.DUMMYFUNCTION("""COMPUTED_VALUE"""),"Female")</f>
        <v>Female</v>
      </c>
      <c r="D1760" s="5" t="str">
        <f ca="1">IFERROR(__xludf.DUMMYFUNCTION("""COMPUTED_VALUE"""),"Student")</f>
        <v>Student</v>
      </c>
      <c r="E1760" s="5">
        <f ca="1">IFERROR(__xludf.DUMMYFUNCTION("""COMPUTED_VALUE"""),16)</f>
        <v>16</v>
      </c>
      <c r="F1760" s="5"/>
    </row>
    <row r="1761" spans="1:6">
      <c r="A1761" s="5" t="str">
        <f ca="1">IFERROR(__xludf.DUMMYFUNCTION("""COMPUTED_VALUE"""),"20030414LAFAS")</f>
        <v>20030414LAFAS</v>
      </c>
      <c r="B1761" s="5" t="str">
        <f ca="1">IFERROR(__xludf.DUMMYFUNCTION("""COMPUTED_VALUE"""),"Wounded")</f>
        <v>Wounded</v>
      </c>
      <c r="C1761" s="5" t="str">
        <f ca="1">IFERROR(__xludf.DUMMYFUNCTION("""COMPUTED_VALUE"""),"Male")</f>
        <v>Male</v>
      </c>
      <c r="D1761" s="5" t="str">
        <f ca="1">IFERROR(__xludf.DUMMYFUNCTION("""COMPUTED_VALUE"""),"Student")</f>
        <v>Student</v>
      </c>
      <c r="E1761" s="5">
        <f ca="1">IFERROR(__xludf.DUMMYFUNCTION("""COMPUTED_VALUE"""),18)</f>
        <v>18</v>
      </c>
      <c r="F1761" s="5"/>
    </row>
    <row r="1762" spans="1:6">
      <c r="A1762" s="5" t="str">
        <f ca="1">IFERROR(__xludf.DUMMYFUNCTION("""COMPUTED_VALUE"""),"20030401DCCAW")</f>
        <v>20030401DCCAW</v>
      </c>
      <c r="B1762" s="5" t="str">
        <f ca="1">IFERROR(__xludf.DUMMYFUNCTION("""COMPUTED_VALUE"""),"Wounded")</f>
        <v>Wounded</v>
      </c>
      <c r="C1762" s="5" t="str">
        <f ca="1">IFERROR(__xludf.DUMMYFUNCTION("""COMPUTED_VALUE"""),"Male")</f>
        <v>Male</v>
      </c>
      <c r="D1762" s="5" t="str">
        <f ca="1">IFERROR(__xludf.DUMMYFUNCTION("""COMPUTED_VALUE"""),"Student")</f>
        <v>Student</v>
      </c>
      <c r="E1762" s="5">
        <f ca="1">IFERROR(__xludf.DUMMYFUNCTION("""COMPUTED_VALUE"""),16)</f>
        <v>16</v>
      </c>
      <c r="F1762" s="5"/>
    </row>
    <row r="1763" spans="1:6">
      <c r="A1763" s="5" t="str">
        <f ca="1">IFERROR(__xludf.DUMMYFUNCTION("""COMPUTED_VALUE"""),"20030330CAROW")</f>
        <v>20030330CAROW</v>
      </c>
      <c r="B1763" s="5" t="str">
        <f ca="1">IFERROR(__xludf.DUMMYFUNCTION("""COMPUTED_VALUE"""),"Fatal")</f>
        <v>Fatal</v>
      </c>
      <c r="C1763" s="5" t="str">
        <f ca="1">IFERROR(__xludf.DUMMYFUNCTION("""COMPUTED_VALUE"""),"Male")</f>
        <v>Male</v>
      </c>
      <c r="D1763" s="5" t="str">
        <f ca="1">IFERROR(__xludf.DUMMYFUNCTION("""COMPUTED_VALUE"""),"No Relation")</f>
        <v>No Relation</v>
      </c>
      <c r="E1763" s="5">
        <f ca="1">IFERROR(__xludf.DUMMYFUNCTION("""COMPUTED_VALUE"""),30)</f>
        <v>30</v>
      </c>
      <c r="F1763" s="5" t="str">
        <f ca="1">IFERROR(__xludf.DUMMYFUNCTION("""COMPUTED_VALUE"""),"Hispanic")</f>
        <v>Hispanic</v>
      </c>
    </row>
    <row r="1764" spans="1:6">
      <c r="A1764" s="5" t="str">
        <f ca="1">IFERROR(__xludf.DUMMYFUNCTION("""COMPUTED_VALUE"""),"20030321MSNOM")</f>
        <v>20030321MSNOM</v>
      </c>
      <c r="B1764" s="5" t="str">
        <f ca="1">IFERROR(__xludf.DUMMYFUNCTION("""COMPUTED_VALUE"""),"None")</f>
        <v>None</v>
      </c>
      <c r="C1764" s="5" t="str">
        <f ca="1">IFERROR(__xludf.DUMMYFUNCTION("""COMPUTED_VALUE"""),"Male")</f>
        <v>Male</v>
      </c>
      <c r="D1764" s="5" t="str">
        <f ca="1">IFERROR(__xludf.DUMMYFUNCTION("""COMPUTED_VALUE"""),"Student")</f>
        <v>Student</v>
      </c>
      <c r="E1764" s="5">
        <f ca="1">IFERROR(__xludf.DUMMYFUNCTION("""COMPUTED_VALUE"""),15)</f>
        <v>15</v>
      </c>
      <c r="F1764" s="5"/>
    </row>
    <row r="1765" spans="1:6">
      <c r="A1765" s="5" t="str">
        <f ca="1">IFERROR(__xludf.DUMMYFUNCTION("""COMPUTED_VALUE"""),"20030318IACLG")</f>
        <v>20030318IACLG</v>
      </c>
      <c r="B1765" s="5" t="str">
        <f ca="1">IFERROR(__xludf.DUMMYFUNCTION("""COMPUTED_VALUE"""),"None")</f>
        <v>None</v>
      </c>
      <c r="C1765" s="5" t="str">
        <f ca="1">IFERROR(__xludf.DUMMYFUNCTION("""COMPUTED_VALUE"""),"Male")</f>
        <v>Male</v>
      </c>
      <c r="D1765" s="5" t="str">
        <f ca="1">IFERROR(__xludf.DUMMYFUNCTION("""COMPUTED_VALUE"""),"Student")</f>
        <v>Student</v>
      </c>
      <c r="E1765" s="5">
        <f ca="1">IFERROR(__xludf.DUMMYFUNCTION("""COMPUTED_VALUE"""),17)</f>
        <v>17</v>
      </c>
      <c r="F1765" s="5"/>
    </row>
    <row r="1766" spans="1:6">
      <c r="A1766" s="5" t="str">
        <f ca="1">IFERROR(__xludf.DUMMYFUNCTION("""COMPUTED_VALUE"""),"20030205CORAW")</f>
        <v>20030205CORAW</v>
      </c>
      <c r="B1766" s="5" t="str">
        <f ca="1">IFERROR(__xludf.DUMMYFUNCTION("""COMPUTED_VALUE"""),"None")</f>
        <v>None</v>
      </c>
      <c r="C1766" s="5" t="str">
        <f ca="1">IFERROR(__xludf.DUMMYFUNCTION("""COMPUTED_VALUE"""),"Male")</f>
        <v>Male</v>
      </c>
      <c r="D1766" s="5" t="str">
        <f ca="1">IFERROR(__xludf.DUMMYFUNCTION("""COMPUTED_VALUE"""),"Student")</f>
        <v>Student</v>
      </c>
      <c r="E1766" s="5">
        <f ca="1">IFERROR(__xludf.DUMMYFUNCTION("""COMPUTED_VALUE"""),14)</f>
        <v>14</v>
      </c>
      <c r="F1766" s="5"/>
    </row>
    <row r="1767" spans="1:6">
      <c r="A1767" s="5" t="str">
        <f ca="1">IFERROR(__xludf.DUMMYFUNCTION("""COMPUTED_VALUE"""),"20030130OKJEJ")</f>
        <v>20030130OKJEJ</v>
      </c>
      <c r="B1767" s="5" t="str">
        <f ca="1">IFERROR(__xludf.DUMMYFUNCTION("""COMPUTED_VALUE"""),"None")</f>
        <v>None</v>
      </c>
      <c r="C1767" s="5"/>
      <c r="D1767" s="5"/>
      <c r="E1767" s="5"/>
      <c r="F1767" s="5"/>
    </row>
    <row r="1768" spans="1:6">
      <c r="A1768" s="5" t="str">
        <f ca="1">IFERROR(__xludf.DUMMYFUNCTION("""COMPUTED_VALUE"""),"20030121KYWEO")</f>
        <v>20030121KYWEO</v>
      </c>
      <c r="B1768" s="5" t="str">
        <f ca="1">IFERROR(__xludf.DUMMYFUNCTION("""COMPUTED_VALUE"""),"None")</f>
        <v>None</v>
      </c>
      <c r="C1768" s="5" t="str">
        <f ca="1">IFERROR(__xludf.DUMMYFUNCTION("""COMPUTED_VALUE"""),"Male")</f>
        <v>Male</v>
      </c>
      <c r="D1768" s="5" t="str">
        <f ca="1">IFERROR(__xludf.DUMMYFUNCTION("""COMPUTED_VALUE"""),"Student")</f>
        <v>Student</v>
      </c>
      <c r="E1768" s="5" t="str">
        <f ca="1">IFERROR(__xludf.DUMMYFUNCTION("""COMPUTED_VALUE"""),"Child")</f>
        <v>Child</v>
      </c>
      <c r="F1768" s="5"/>
    </row>
    <row r="1769" spans="1:6">
      <c r="A1769" s="5" t="str">
        <f ca="1">IFERROR(__xludf.DUMMYFUNCTION("""COMPUTED_VALUE"""),"20021216ILENC")</f>
        <v>20021216ILENC</v>
      </c>
      <c r="B1769" s="5" t="str">
        <f ca="1">IFERROR(__xludf.DUMMYFUNCTION("""COMPUTED_VALUE"""),"Fatal")</f>
        <v>Fatal</v>
      </c>
      <c r="C1769" s="5" t="str">
        <f ca="1">IFERROR(__xludf.DUMMYFUNCTION("""COMPUTED_VALUE"""),"Male")</f>
        <v>Male</v>
      </c>
      <c r="D1769" s="5" t="str">
        <f ca="1">IFERROR(__xludf.DUMMYFUNCTION("""COMPUTED_VALUE"""),"Student")</f>
        <v>Student</v>
      </c>
      <c r="E1769" s="5">
        <f ca="1">IFERROR(__xludf.DUMMYFUNCTION("""COMPUTED_VALUE"""),18)</f>
        <v>18</v>
      </c>
      <c r="F1769" s="5"/>
    </row>
    <row r="1770" spans="1:6">
      <c r="A1770" s="5" t="str">
        <f ca="1">IFERROR(__xludf.DUMMYFUNCTION("""COMPUTED_VALUE"""),"20021216ILENC")</f>
        <v>20021216ILENC</v>
      </c>
      <c r="B1770" s="5" t="str">
        <f ca="1">IFERROR(__xludf.DUMMYFUNCTION("""COMPUTED_VALUE"""),"Wounded")</f>
        <v>Wounded</v>
      </c>
      <c r="C1770" s="5" t="str">
        <f ca="1">IFERROR(__xludf.DUMMYFUNCTION("""COMPUTED_VALUE"""),"Female")</f>
        <v>Female</v>
      </c>
      <c r="D1770" s="5" t="str">
        <f ca="1">IFERROR(__xludf.DUMMYFUNCTION("""COMPUTED_VALUE"""),"Student")</f>
        <v>Student</v>
      </c>
      <c r="E1770" s="5">
        <f ca="1">IFERROR(__xludf.DUMMYFUNCTION("""COMPUTED_VALUE"""),17)</f>
        <v>17</v>
      </c>
      <c r="F1770" s="5"/>
    </row>
    <row r="1771" spans="1:6">
      <c r="A1771" s="5" t="str">
        <f ca="1">IFERROR(__xludf.DUMMYFUNCTION("""COMPUTED_VALUE"""),"20021212WAWIC")</f>
        <v>20021212WAWIC</v>
      </c>
      <c r="B1771" s="5" t="str">
        <f ca="1">IFERROR(__xludf.DUMMYFUNCTION("""COMPUTED_VALUE"""),"Minor Injuries")</f>
        <v>Minor Injuries</v>
      </c>
      <c r="C1771" s="5" t="str">
        <f ca="1">IFERROR(__xludf.DUMMYFUNCTION("""COMPUTED_VALUE"""),"Male")</f>
        <v>Male</v>
      </c>
      <c r="D1771" s="5" t="str">
        <f ca="1">IFERROR(__xludf.DUMMYFUNCTION("""COMPUTED_VALUE"""),"Student")</f>
        <v>Student</v>
      </c>
      <c r="E1771" s="5" t="str">
        <f ca="1">IFERROR(__xludf.DUMMYFUNCTION("""COMPUTED_VALUE"""),"Teen")</f>
        <v>Teen</v>
      </c>
      <c r="F1771" s="5"/>
    </row>
    <row r="1772" spans="1:6">
      <c r="A1772" s="5" t="str">
        <f ca="1">IFERROR(__xludf.DUMMYFUNCTION("""COMPUTED_VALUE"""),"20021212WAWIC")</f>
        <v>20021212WAWIC</v>
      </c>
      <c r="B1772" s="5" t="str">
        <f ca="1">IFERROR(__xludf.DUMMYFUNCTION("""COMPUTED_VALUE"""),"Minor Injuries")</f>
        <v>Minor Injuries</v>
      </c>
      <c r="C1772" s="5" t="str">
        <f ca="1">IFERROR(__xludf.DUMMYFUNCTION("""COMPUTED_VALUE"""),"Female")</f>
        <v>Female</v>
      </c>
      <c r="D1772" s="5" t="str">
        <f ca="1">IFERROR(__xludf.DUMMYFUNCTION("""COMPUTED_VALUE"""),"Student")</f>
        <v>Student</v>
      </c>
      <c r="E1772" s="5" t="str">
        <f ca="1">IFERROR(__xludf.DUMMYFUNCTION("""COMPUTED_VALUE"""),"Teen")</f>
        <v>Teen</v>
      </c>
      <c r="F1772" s="5"/>
    </row>
    <row r="1773" spans="1:6">
      <c r="A1773" s="5" t="str">
        <f ca="1">IFERROR(__xludf.DUMMYFUNCTION("""COMPUTED_VALUE"""),"20021202MIOSD")</f>
        <v>20021202MIOSD</v>
      </c>
      <c r="B1773" s="5" t="str">
        <f ca="1">IFERROR(__xludf.DUMMYFUNCTION("""COMPUTED_VALUE"""),"None")</f>
        <v>None</v>
      </c>
      <c r="C1773" s="5" t="str">
        <f ca="1">IFERROR(__xludf.DUMMYFUNCTION("""COMPUTED_VALUE"""),"Male")</f>
        <v>Male</v>
      </c>
      <c r="D1773" s="5" t="str">
        <f ca="1">IFERROR(__xludf.DUMMYFUNCTION("""COMPUTED_VALUE"""),"Student")</f>
        <v>Student</v>
      </c>
      <c r="E1773" s="5">
        <f ca="1">IFERROR(__xludf.DUMMYFUNCTION("""COMPUTED_VALUE"""),15)</f>
        <v>15</v>
      </c>
      <c r="F1773" s="5"/>
    </row>
    <row r="1774" spans="1:6">
      <c r="A1774" s="5" t="str">
        <f ca="1">IFERROR(__xludf.DUMMYFUNCTION("""COMPUTED_VALUE"""),"20021115TXSCS")</f>
        <v>20021115TXSCS</v>
      </c>
      <c r="B1774" s="5" t="str">
        <f ca="1">IFERROR(__xludf.DUMMYFUNCTION("""COMPUTED_VALUE"""),"None")</f>
        <v>None</v>
      </c>
      <c r="C1774" s="5"/>
      <c r="D1774" s="5"/>
      <c r="E1774" s="5"/>
      <c r="F1774" s="5"/>
    </row>
    <row r="1775" spans="1:6">
      <c r="A1775" s="5" t="str">
        <f ca="1">IFERROR(__xludf.DUMMYFUNCTION("""COMPUTED_VALUE"""),"20021115CAAML")</f>
        <v>20021115CAAML</v>
      </c>
      <c r="B1775" s="5" t="str">
        <f ca="1">IFERROR(__xludf.DUMMYFUNCTION("""COMPUTED_VALUE"""),"Wounded")</f>
        <v>Wounded</v>
      </c>
      <c r="C1775" s="5" t="str">
        <f ca="1">IFERROR(__xludf.DUMMYFUNCTION("""COMPUTED_VALUE"""),"Male")</f>
        <v>Male</v>
      </c>
      <c r="D1775" s="5" t="str">
        <f ca="1">IFERROR(__xludf.DUMMYFUNCTION("""COMPUTED_VALUE"""),"Student")</f>
        <v>Student</v>
      </c>
      <c r="E1775" s="5">
        <f ca="1">IFERROR(__xludf.DUMMYFUNCTION("""COMPUTED_VALUE"""),12)</f>
        <v>12</v>
      </c>
      <c r="F1775" s="5"/>
    </row>
    <row r="1776" spans="1:6">
      <c r="A1776" s="5" t="str">
        <f ca="1">IFERROR(__xludf.DUMMYFUNCTION("""COMPUTED_VALUE"""),"20021115CAAML")</f>
        <v>20021115CAAML</v>
      </c>
      <c r="B1776" s="5" t="str">
        <f ca="1">IFERROR(__xludf.DUMMYFUNCTION("""COMPUTED_VALUE"""),"Wounded")</f>
        <v>Wounded</v>
      </c>
      <c r="C1776" s="5" t="str">
        <f ca="1">IFERROR(__xludf.DUMMYFUNCTION("""COMPUTED_VALUE"""),"Male")</f>
        <v>Male</v>
      </c>
      <c r="D1776" s="5" t="str">
        <f ca="1">IFERROR(__xludf.DUMMYFUNCTION("""COMPUTED_VALUE"""),"No Relation")</f>
        <v>No Relation</v>
      </c>
      <c r="E1776" s="5">
        <f ca="1">IFERROR(__xludf.DUMMYFUNCTION("""COMPUTED_VALUE"""),21)</f>
        <v>21</v>
      </c>
      <c r="F1776" s="5"/>
    </row>
    <row r="1777" spans="1:6">
      <c r="A1777" s="5" t="str">
        <f ca="1">IFERROR(__xludf.DUMMYFUNCTION("""COMPUTED_VALUE"""),"20021107MOSTL")</f>
        <v>20021107MOSTL</v>
      </c>
      <c r="B1777" s="5" t="str">
        <f ca="1">IFERROR(__xludf.DUMMYFUNCTION("""COMPUTED_VALUE"""),"Wounded")</f>
        <v>Wounded</v>
      </c>
      <c r="C1777" s="5" t="str">
        <f ca="1">IFERROR(__xludf.DUMMYFUNCTION("""COMPUTED_VALUE"""),"Female")</f>
        <v>Female</v>
      </c>
      <c r="D1777" s="5" t="str">
        <f ca="1">IFERROR(__xludf.DUMMYFUNCTION("""COMPUTED_VALUE"""),"Parent")</f>
        <v>Parent</v>
      </c>
      <c r="E1777" s="5" t="str">
        <f ca="1">IFERROR(__xludf.DUMMYFUNCTION("""COMPUTED_VALUE"""),"Adult")</f>
        <v>Adult</v>
      </c>
      <c r="F1777" s="5"/>
    </row>
    <row r="1778" spans="1:6">
      <c r="A1778" s="5" t="str">
        <f ca="1">IFERROR(__xludf.DUMMYFUNCTION("""COMPUTED_VALUE"""),"20021107MOSTL")</f>
        <v>20021107MOSTL</v>
      </c>
      <c r="B1778" s="5" t="str">
        <f ca="1">IFERROR(__xludf.DUMMYFUNCTION("""COMPUTED_VALUE"""),"Fatal")</f>
        <v>Fatal</v>
      </c>
      <c r="C1778" s="5" t="str">
        <f ca="1">IFERROR(__xludf.DUMMYFUNCTION("""COMPUTED_VALUE"""),"Male")</f>
        <v>Male</v>
      </c>
      <c r="D1778" s="5" t="str">
        <f ca="1">IFERROR(__xludf.DUMMYFUNCTION("""COMPUTED_VALUE"""),"Student")</f>
        <v>Student</v>
      </c>
      <c r="E1778" s="5">
        <f ca="1">IFERROR(__xludf.DUMMYFUNCTION("""COMPUTED_VALUE"""),9)</f>
        <v>9</v>
      </c>
      <c r="F1778" s="5"/>
    </row>
    <row r="1779" spans="1:6">
      <c r="A1779" s="5" t="str">
        <f ca="1">IFERROR(__xludf.DUMMYFUNCTION("""COMPUTED_VALUE"""),"20021029NJLIJ")</f>
        <v>20021029NJLIJ</v>
      </c>
      <c r="B1779" s="5" t="str">
        <f ca="1">IFERROR(__xludf.DUMMYFUNCTION("""COMPUTED_VALUE"""),"Wounded")</f>
        <v>Wounded</v>
      </c>
      <c r="C1779" s="5" t="str">
        <f ca="1">IFERROR(__xludf.DUMMYFUNCTION("""COMPUTED_VALUE"""),"Male")</f>
        <v>Male</v>
      </c>
      <c r="D1779" s="5" t="str">
        <f ca="1">IFERROR(__xludf.DUMMYFUNCTION("""COMPUTED_VALUE"""),"Student")</f>
        <v>Student</v>
      </c>
      <c r="E1779" s="5">
        <f ca="1">IFERROR(__xludf.DUMMYFUNCTION("""COMPUTED_VALUE"""),15)</f>
        <v>15</v>
      </c>
      <c r="F1779" s="5"/>
    </row>
    <row r="1780" spans="1:6">
      <c r="A1780" s="5" t="str">
        <f ca="1">IFERROR(__xludf.DUMMYFUNCTION("""COMPUTED_VALUE"""),"20021007MDBEB")</f>
        <v>20021007MDBEB</v>
      </c>
      <c r="B1780" s="5" t="str">
        <f ca="1">IFERROR(__xludf.DUMMYFUNCTION("""COMPUTED_VALUE"""),"Wounded")</f>
        <v>Wounded</v>
      </c>
      <c r="C1780" s="5" t="str">
        <f ca="1">IFERROR(__xludf.DUMMYFUNCTION("""COMPUTED_VALUE"""),"Male")</f>
        <v>Male</v>
      </c>
      <c r="D1780" s="5" t="str">
        <f ca="1">IFERROR(__xludf.DUMMYFUNCTION("""COMPUTED_VALUE"""),"Student")</f>
        <v>Student</v>
      </c>
      <c r="E1780" s="5">
        <f ca="1">IFERROR(__xludf.DUMMYFUNCTION("""COMPUTED_VALUE"""),13)</f>
        <v>13</v>
      </c>
      <c r="F1780" s="5"/>
    </row>
    <row r="1781" spans="1:6">
      <c r="A1781" s="5" t="str">
        <f ca="1">IFERROR(__xludf.DUMMYFUNCTION("""COMPUTED_VALUE"""),"20021004TXPAS")</f>
        <v>20021004TXPAS</v>
      </c>
      <c r="B1781" s="5" t="str">
        <f ca="1">IFERROR(__xludf.DUMMYFUNCTION("""COMPUTED_VALUE"""),"None")</f>
        <v>None</v>
      </c>
      <c r="C1781" s="5" t="str">
        <f ca="1">IFERROR(__xludf.DUMMYFUNCTION("""COMPUTED_VALUE"""),"Female")</f>
        <v>Female</v>
      </c>
      <c r="D1781" s="5" t="str">
        <f ca="1">IFERROR(__xludf.DUMMYFUNCTION("""COMPUTED_VALUE"""),"Student")</f>
        <v>Student</v>
      </c>
      <c r="E1781" s="5">
        <f ca="1">IFERROR(__xludf.DUMMYFUNCTION("""COMPUTED_VALUE"""),13)</f>
        <v>13</v>
      </c>
      <c r="F1781" s="5"/>
    </row>
    <row r="1782" spans="1:6">
      <c r="A1782" s="5" t="str">
        <f ca="1">IFERROR(__xludf.DUMMYFUNCTION("""COMPUTED_VALUE"""),"20021004MTCMG")</f>
        <v>20021004MTCMG</v>
      </c>
      <c r="B1782" s="5" t="str">
        <f ca="1">IFERROR(__xludf.DUMMYFUNCTION("""COMPUTED_VALUE"""),"None")</f>
        <v>None</v>
      </c>
      <c r="C1782" s="5" t="str">
        <f ca="1">IFERROR(__xludf.DUMMYFUNCTION("""COMPUTED_VALUE"""),"Male")</f>
        <v>Male</v>
      </c>
      <c r="D1782" s="5" t="str">
        <f ca="1">IFERROR(__xludf.DUMMYFUNCTION("""COMPUTED_VALUE"""),"Student")</f>
        <v>Student</v>
      </c>
      <c r="E1782" s="5" t="str">
        <f ca="1">IFERROR(__xludf.DUMMYFUNCTION("""COMPUTED_VALUE"""),"Teen")</f>
        <v>Teen</v>
      </c>
      <c r="F1782" s="5"/>
    </row>
    <row r="1783" spans="1:6">
      <c r="A1783" s="5" t="str">
        <f ca="1">IFERROR(__xludf.DUMMYFUNCTION("""COMPUTED_VALUE"""),"20020426LAABN")</f>
        <v>20020426LAABN</v>
      </c>
      <c r="B1783" s="5" t="str">
        <f ca="1">IFERROR(__xludf.DUMMYFUNCTION("""COMPUTED_VALUE"""),"Fatal")</f>
        <v>Fatal</v>
      </c>
      <c r="C1783" s="5" t="str">
        <f ca="1">IFERROR(__xludf.DUMMYFUNCTION("""COMPUTED_VALUE"""),"Male")</f>
        <v>Male</v>
      </c>
      <c r="D1783" s="5" t="str">
        <f ca="1">IFERROR(__xludf.DUMMYFUNCTION("""COMPUTED_VALUE"""),"Security Guard")</f>
        <v>Security Guard</v>
      </c>
      <c r="E1783" s="5">
        <f ca="1">IFERROR(__xludf.DUMMYFUNCTION("""COMPUTED_VALUE"""),54)</f>
        <v>54</v>
      </c>
      <c r="F1783" s="5"/>
    </row>
    <row r="1784" spans="1:6">
      <c r="A1784" s="5" t="str">
        <f ca="1">IFERROR(__xludf.DUMMYFUNCTION("""COMPUTED_VALUE"""),"20020406MDLEB")</f>
        <v>20020406MDLEB</v>
      </c>
      <c r="B1784" s="5" t="str">
        <f ca="1">IFERROR(__xludf.DUMMYFUNCTION("""COMPUTED_VALUE"""),"Fatal")</f>
        <v>Fatal</v>
      </c>
      <c r="C1784" s="5" t="str">
        <f ca="1">IFERROR(__xludf.DUMMYFUNCTION("""COMPUTED_VALUE"""),"Male")</f>
        <v>Male</v>
      </c>
      <c r="D1784" s="5" t="str">
        <f ca="1">IFERROR(__xludf.DUMMYFUNCTION("""COMPUTED_VALUE"""),"No Relation")</f>
        <v>No Relation</v>
      </c>
      <c r="E1784" s="5">
        <f ca="1">IFERROR(__xludf.DUMMYFUNCTION("""COMPUTED_VALUE"""),14)</f>
        <v>14</v>
      </c>
      <c r="F1784" s="5" t="str">
        <f ca="1">IFERROR(__xludf.DUMMYFUNCTION("""COMPUTED_VALUE"""),"Black")</f>
        <v>Black</v>
      </c>
    </row>
    <row r="1785" spans="1:6">
      <c r="A1785" s="5" t="str">
        <f ca="1">IFERROR(__xludf.DUMMYFUNCTION("""COMPUTED_VALUE"""),"20020322CAJOC")</f>
        <v>20020322CAJOC</v>
      </c>
      <c r="B1785" s="5" t="str">
        <f ca="1">IFERROR(__xludf.DUMMYFUNCTION("""COMPUTED_VALUE"""),"None")</f>
        <v>None</v>
      </c>
      <c r="C1785" s="5" t="str">
        <f ca="1">IFERROR(__xludf.DUMMYFUNCTION("""COMPUTED_VALUE"""),"Female")</f>
        <v>Female</v>
      </c>
      <c r="D1785" s="5" t="str">
        <f ca="1">IFERROR(__xludf.DUMMYFUNCTION("""COMPUTED_VALUE"""),"Teacher")</f>
        <v>Teacher</v>
      </c>
      <c r="E1785" s="5" t="str">
        <f ca="1">IFERROR(__xludf.DUMMYFUNCTION("""COMPUTED_VALUE"""),"Adult")</f>
        <v>Adult</v>
      </c>
      <c r="F1785" s="5"/>
    </row>
    <row r="1786" spans="1:6">
      <c r="A1786" s="5" t="str">
        <f ca="1">IFERROR(__xludf.DUMMYFUNCTION("""COMPUTED_VALUE"""),"20020207ILROC")</f>
        <v>20020207ILROC</v>
      </c>
      <c r="B1786" s="5" t="str">
        <f ca="1">IFERROR(__xludf.DUMMYFUNCTION("""COMPUTED_VALUE"""),"Wounded")</f>
        <v>Wounded</v>
      </c>
      <c r="C1786" s="5" t="str">
        <f ca="1">IFERROR(__xludf.DUMMYFUNCTION("""COMPUTED_VALUE"""),"Male")</f>
        <v>Male</v>
      </c>
      <c r="D1786" s="5" t="str">
        <f ca="1">IFERROR(__xludf.DUMMYFUNCTION("""COMPUTED_VALUE"""),"Student")</f>
        <v>Student</v>
      </c>
      <c r="E1786" s="5" t="str">
        <f ca="1">IFERROR(__xludf.DUMMYFUNCTION("""COMPUTED_VALUE"""),"Teen")</f>
        <v>Teen</v>
      </c>
      <c r="F1786" s="5"/>
    </row>
    <row r="1787" spans="1:6">
      <c r="A1787" s="5" t="str">
        <f ca="1">IFERROR(__xludf.DUMMYFUNCTION("""COMPUTED_VALUE"""),"20020207ILROC")</f>
        <v>20020207ILROC</v>
      </c>
      <c r="B1787" s="5" t="str">
        <f ca="1">IFERROR(__xludf.DUMMYFUNCTION("""COMPUTED_VALUE"""),"Wounded")</f>
        <v>Wounded</v>
      </c>
      <c r="C1787" s="5" t="str">
        <f ca="1">IFERROR(__xludf.DUMMYFUNCTION("""COMPUTED_VALUE"""),"Male")</f>
        <v>Male</v>
      </c>
      <c r="D1787" s="5" t="str">
        <f ca="1">IFERROR(__xludf.DUMMYFUNCTION("""COMPUTED_VALUE"""),"Student")</f>
        <v>Student</v>
      </c>
      <c r="E1787" s="5" t="str">
        <f ca="1">IFERROR(__xludf.DUMMYFUNCTION("""COMPUTED_VALUE"""),"Teen")</f>
        <v>Teen</v>
      </c>
      <c r="F1787" s="5"/>
    </row>
    <row r="1788" spans="1:6">
      <c r="A1788" s="5" t="str">
        <f ca="1">IFERROR(__xludf.DUMMYFUNCTION("""COMPUTED_VALUE"""),"20020207ILROC")</f>
        <v>20020207ILROC</v>
      </c>
      <c r="B1788" s="5" t="str">
        <f ca="1">IFERROR(__xludf.DUMMYFUNCTION("""COMPUTED_VALUE"""),"Wounded")</f>
        <v>Wounded</v>
      </c>
      <c r="C1788" s="5" t="str">
        <f ca="1">IFERROR(__xludf.DUMMYFUNCTION("""COMPUTED_VALUE"""),"Female")</f>
        <v>Female</v>
      </c>
      <c r="D1788" s="5" t="str">
        <f ca="1">IFERROR(__xludf.DUMMYFUNCTION("""COMPUTED_VALUE"""),"Student")</f>
        <v>Student</v>
      </c>
      <c r="E1788" s="5" t="str">
        <f ca="1">IFERROR(__xludf.DUMMYFUNCTION("""COMPUTED_VALUE"""),"Teen")</f>
        <v>Teen</v>
      </c>
      <c r="F1788" s="5"/>
    </row>
    <row r="1789" spans="1:6">
      <c r="A1789" s="5" t="str">
        <f ca="1">IFERROR(__xludf.DUMMYFUNCTION("""COMPUTED_VALUE"""),"20020206CAGAL")</f>
        <v>20020206CAGAL</v>
      </c>
      <c r="B1789" s="5" t="str">
        <f ca="1">IFERROR(__xludf.DUMMYFUNCTION("""COMPUTED_VALUE"""),"Wounded")</f>
        <v>Wounded</v>
      </c>
      <c r="C1789" s="5" t="str">
        <f ca="1">IFERROR(__xludf.DUMMYFUNCTION("""COMPUTED_VALUE"""),"Male")</f>
        <v>Male</v>
      </c>
      <c r="D1789" s="5" t="str">
        <f ca="1">IFERROR(__xludf.DUMMYFUNCTION("""COMPUTED_VALUE"""),"Student")</f>
        <v>Student</v>
      </c>
      <c r="E1789" s="5">
        <f ca="1">IFERROR(__xludf.DUMMYFUNCTION("""COMPUTED_VALUE"""),19)</f>
        <v>19</v>
      </c>
      <c r="F1789" s="5"/>
    </row>
    <row r="1790" spans="1:6">
      <c r="A1790" s="5" t="str">
        <f ca="1">IFERROR(__xludf.DUMMYFUNCTION("""COMPUTED_VALUE"""),"20020206CAGAL")</f>
        <v>20020206CAGAL</v>
      </c>
      <c r="B1790" s="5" t="str">
        <f ca="1">IFERROR(__xludf.DUMMYFUNCTION("""COMPUTED_VALUE"""),"Wounded")</f>
        <v>Wounded</v>
      </c>
      <c r="C1790" s="5" t="str">
        <f ca="1">IFERROR(__xludf.DUMMYFUNCTION("""COMPUTED_VALUE"""),"Female")</f>
        <v>Female</v>
      </c>
      <c r="D1790" s="5" t="str">
        <f ca="1">IFERROR(__xludf.DUMMYFUNCTION("""COMPUTED_VALUE"""),"Student")</f>
        <v>Student</v>
      </c>
      <c r="E1790" s="5">
        <f ca="1">IFERROR(__xludf.DUMMYFUNCTION("""COMPUTED_VALUE"""),16)</f>
        <v>16</v>
      </c>
      <c r="F1790" s="5"/>
    </row>
    <row r="1791" spans="1:6">
      <c r="A1791" s="5" t="str">
        <f ca="1">IFERROR(__xludf.DUMMYFUNCTION("""COMPUTED_VALUE"""),"20020201TXBRB")</f>
        <v>20020201TXBRB</v>
      </c>
      <c r="B1791" s="5" t="str">
        <f ca="1">IFERROR(__xludf.DUMMYFUNCTION("""COMPUTED_VALUE"""),"Wounded")</f>
        <v>Wounded</v>
      </c>
      <c r="C1791" s="5" t="str">
        <f ca="1">IFERROR(__xludf.DUMMYFUNCTION("""COMPUTED_VALUE"""),"Female")</f>
        <v>Female</v>
      </c>
      <c r="D1791" s="5" t="str">
        <f ca="1">IFERROR(__xludf.DUMMYFUNCTION("""COMPUTED_VALUE"""),"Intimate Relationship")</f>
        <v>Intimate Relationship</v>
      </c>
      <c r="E1791" s="5">
        <f ca="1">IFERROR(__xludf.DUMMYFUNCTION("""COMPUTED_VALUE"""),34)</f>
        <v>34</v>
      </c>
      <c r="F1791" s="5"/>
    </row>
    <row r="1792" spans="1:6">
      <c r="A1792" s="5" t="str">
        <f ca="1">IFERROR(__xludf.DUMMYFUNCTION("""COMPUTED_VALUE"""),"20020201TXBRB")</f>
        <v>20020201TXBRB</v>
      </c>
      <c r="B1792" s="5" t="str">
        <f ca="1">IFERROR(__xludf.DUMMYFUNCTION("""COMPUTED_VALUE"""),"Wounded")</f>
        <v>Wounded</v>
      </c>
      <c r="C1792" s="5" t="str">
        <f ca="1">IFERROR(__xludf.DUMMYFUNCTION("""COMPUTED_VALUE"""),"Male")</f>
        <v>Male</v>
      </c>
      <c r="D1792" s="5" t="str">
        <f ca="1">IFERROR(__xludf.DUMMYFUNCTION("""COMPUTED_VALUE"""),"Other Staff")</f>
        <v>Other Staff</v>
      </c>
      <c r="E1792" s="5">
        <f ca="1">IFERROR(__xludf.DUMMYFUNCTION("""COMPUTED_VALUE"""),43)</f>
        <v>43</v>
      </c>
      <c r="F1792" s="5"/>
    </row>
    <row r="1793" spans="1:6">
      <c r="A1793" s="5" t="str">
        <f ca="1">IFERROR(__xludf.DUMMYFUNCTION("""COMPUTED_VALUE"""),"20020124PAOLO")</f>
        <v>20020124PAOLO</v>
      </c>
      <c r="B1793" s="5" t="str">
        <f ca="1">IFERROR(__xludf.DUMMYFUNCTION("""COMPUTED_VALUE"""),"None")</f>
        <v>None</v>
      </c>
      <c r="C1793" s="5"/>
      <c r="D1793" s="5"/>
      <c r="E1793" s="5"/>
      <c r="F1793" s="5"/>
    </row>
    <row r="1794" spans="1:6">
      <c r="A1794" s="5" t="str">
        <f ca="1">IFERROR(__xludf.DUMMYFUNCTION("""COMPUTED_VALUE"""),"20020115NYMAN")</f>
        <v>20020115NYMAN</v>
      </c>
      <c r="B1794" s="5" t="str">
        <f ca="1">IFERROR(__xludf.DUMMYFUNCTION("""COMPUTED_VALUE"""),"Wounded")</f>
        <v>Wounded</v>
      </c>
      <c r="C1794" s="5" t="str">
        <f ca="1">IFERROR(__xludf.DUMMYFUNCTION("""COMPUTED_VALUE"""),"Male")</f>
        <v>Male</v>
      </c>
      <c r="D1794" s="5" t="str">
        <f ca="1">IFERROR(__xludf.DUMMYFUNCTION("""COMPUTED_VALUE"""),"Student")</f>
        <v>Student</v>
      </c>
      <c r="E1794" s="5">
        <f ca="1">IFERROR(__xludf.DUMMYFUNCTION("""COMPUTED_VALUE"""),16)</f>
        <v>16</v>
      </c>
      <c r="F1794" s="5"/>
    </row>
    <row r="1795" spans="1:6">
      <c r="A1795" s="5" t="str">
        <f ca="1">IFERROR(__xludf.DUMMYFUNCTION("""COMPUTED_VALUE"""),"20020115NYMAN")</f>
        <v>20020115NYMAN</v>
      </c>
      <c r="B1795" s="5" t="str">
        <f ca="1">IFERROR(__xludf.DUMMYFUNCTION("""COMPUTED_VALUE"""),"Wounded")</f>
        <v>Wounded</v>
      </c>
      <c r="C1795" s="5" t="str">
        <f ca="1">IFERROR(__xludf.DUMMYFUNCTION("""COMPUTED_VALUE"""),"Male")</f>
        <v>Male</v>
      </c>
      <c r="D1795" s="5" t="str">
        <f ca="1">IFERROR(__xludf.DUMMYFUNCTION("""COMPUTED_VALUE"""),"Student")</f>
        <v>Student</v>
      </c>
      <c r="E1795" s="5">
        <f ca="1">IFERROR(__xludf.DUMMYFUNCTION("""COMPUTED_VALUE"""),17)</f>
        <v>17</v>
      </c>
      <c r="F1795" s="5"/>
    </row>
    <row r="1796" spans="1:6">
      <c r="A1796" s="5" t="str">
        <f ca="1">IFERROR(__xludf.DUMMYFUNCTION("""COMPUTED_VALUE"""),"20020111MSRAJ")</f>
        <v>20020111MSRAJ</v>
      </c>
      <c r="B1796" s="5" t="str">
        <f ca="1">IFERROR(__xludf.DUMMYFUNCTION("""COMPUTED_VALUE"""),"None")</f>
        <v>None</v>
      </c>
      <c r="C1796" s="5"/>
      <c r="D1796" s="5"/>
      <c r="E1796" s="5"/>
      <c r="F1796" s="5"/>
    </row>
    <row r="1797" spans="1:6">
      <c r="A1797" s="5" t="str">
        <f ca="1">IFERROR(__xludf.DUMMYFUNCTION("""COMPUTED_VALUE"""),"20011130TXFRF")</f>
        <v>20011130TXFRF</v>
      </c>
      <c r="B1797" s="5" t="str">
        <f ca="1">IFERROR(__xludf.DUMMYFUNCTION("""COMPUTED_VALUE"""),"None")</f>
        <v>None</v>
      </c>
      <c r="C1797" s="5"/>
      <c r="D1797" s="5"/>
      <c r="E1797" s="5"/>
      <c r="F1797" s="5"/>
    </row>
    <row r="1798" spans="1:6">
      <c r="A1798" s="5" t="str">
        <f ca="1">IFERROR(__xludf.DUMMYFUNCTION("""COMPUTED_VALUE"""),"20011112MICAC")</f>
        <v>20011112MICAC</v>
      </c>
      <c r="B1798" s="5" t="str">
        <f ca="1">IFERROR(__xludf.DUMMYFUNCTION("""COMPUTED_VALUE"""),"None")</f>
        <v>None</v>
      </c>
      <c r="C1798" s="5" t="str">
        <f ca="1">IFERROR(__xludf.DUMMYFUNCTION("""COMPUTED_VALUE"""),"Male")</f>
        <v>Male</v>
      </c>
      <c r="D1798" s="5" t="str">
        <f ca="1">IFERROR(__xludf.DUMMYFUNCTION("""COMPUTED_VALUE"""),"Student")</f>
        <v>Student</v>
      </c>
      <c r="E1798" s="5">
        <f ca="1">IFERROR(__xludf.DUMMYFUNCTION("""COMPUTED_VALUE"""),17)</f>
        <v>17</v>
      </c>
      <c r="F1798" s="5"/>
    </row>
    <row r="1799" spans="1:6">
      <c r="A1799" s="5" t="str">
        <f ca="1">IFERROR(__xludf.DUMMYFUNCTION("""COMPUTED_VALUE"""),"20011026MIBES")</f>
        <v>20011026MIBES</v>
      </c>
      <c r="B1799" s="5" t="str">
        <f ca="1">IFERROR(__xludf.DUMMYFUNCTION("""COMPUTED_VALUE"""),"Wounded")</f>
        <v>Wounded</v>
      </c>
      <c r="C1799" s="5" t="str">
        <f ca="1">IFERROR(__xludf.DUMMYFUNCTION("""COMPUTED_VALUE"""),"Male")</f>
        <v>Male</v>
      </c>
      <c r="D1799" s="5" t="str">
        <f ca="1">IFERROR(__xludf.DUMMYFUNCTION("""COMPUTED_VALUE"""),"Student")</f>
        <v>Student</v>
      </c>
      <c r="E1799" s="5">
        <f ca="1">IFERROR(__xludf.DUMMYFUNCTION("""COMPUTED_VALUE"""),17)</f>
        <v>17</v>
      </c>
      <c r="F1799" s="5"/>
    </row>
    <row r="1800" spans="1:6">
      <c r="A1800" s="5" t="str">
        <f ca="1">IFERROR(__xludf.DUMMYFUNCTION("""COMPUTED_VALUE"""),"20011026CARER")</f>
        <v>20011026CARER</v>
      </c>
      <c r="B1800" s="5" t="str">
        <f ca="1">IFERROR(__xludf.DUMMYFUNCTION("""COMPUTED_VALUE"""),"Wounded")</f>
        <v>Wounded</v>
      </c>
      <c r="C1800" s="5" t="str">
        <f ca="1">IFERROR(__xludf.DUMMYFUNCTION("""COMPUTED_VALUE"""),"Male")</f>
        <v>Male</v>
      </c>
      <c r="D1800" s="5" t="str">
        <f ca="1">IFERROR(__xludf.DUMMYFUNCTION("""COMPUTED_VALUE"""),"Student")</f>
        <v>Student</v>
      </c>
      <c r="E1800" s="5">
        <f ca="1">IFERROR(__xludf.DUMMYFUNCTION("""COMPUTED_VALUE"""),16)</f>
        <v>16</v>
      </c>
      <c r="F1800" s="5"/>
    </row>
    <row r="1801" spans="1:6">
      <c r="A1801" s="5" t="str">
        <f ca="1">IFERROR(__xludf.DUMMYFUNCTION("""COMPUTED_VALUE"""),"20011012UTTAT")</f>
        <v>20011012UTTAT</v>
      </c>
      <c r="B1801" s="5" t="str">
        <f ca="1">IFERROR(__xludf.DUMMYFUNCTION("""COMPUTED_VALUE"""),"None")</f>
        <v>None</v>
      </c>
      <c r="C1801" s="5" t="str">
        <f ca="1">IFERROR(__xludf.DUMMYFUNCTION("""COMPUTED_VALUE"""),"Male")</f>
        <v>Male</v>
      </c>
      <c r="D1801" s="5" t="str">
        <f ca="1">IFERROR(__xludf.DUMMYFUNCTION("""COMPUTED_VALUE"""),"Student")</f>
        <v>Student</v>
      </c>
      <c r="E1801" s="5">
        <f ca="1">IFERROR(__xludf.DUMMYFUNCTION("""COMPUTED_VALUE"""),17)</f>
        <v>17</v>
      </c>
      <c r="F1801" s="5"/>
    </row>
    <row r="1802" spans="1:6">
      <c r="A1802" s="5" t="str">
        <f ca="1">IFERROR(__xludf.DUMMYFUNCTION("""COMPUTED_VALUE"""),"20010921MDLAB")</f>
        <v>20010921MDLAB</v>
      </c>
      <c r="B1802" s="5" t="str">
        <f ca="1">IFERROR(__xludf.DUMMYFUNCTION("""COMPUTED_VALUE"""),"Wounded")</f>
        <v>Wounded</v>
      </c>
      <c r="C1802" s="5" t="str">
        <f ca="1">IFERROR(__xludf.DUMMYFUNCTION("""COMPUTED_VALUE"""),"Male")</f>
        <v>Male</v>
      </c>
      <c r="D1802" s="5" t="str">
        <f ca="1">IFERROR(__xludf.DUMMYFUNCTION("""COMPUTED_VALUE"""),"Student")</f>
        <v>Student</v>
      </c>
      <c r="E1802" s="5">
        <f ca="1">IFERROR(__xludf.DUMMYFUNCTION("""COMPUTED_VALUE"""),17)</f>
        <v>17</v>
      </c>
      <c r="F1802" s="5"/>
    </row>
    <row r="1803" spans="1:6">
      <c r="A1803" s="5" t="str">
        <f ca="1">IFERROR(__xludf.DUMMYFUNCTION("""COMPUTED_VALUE"""),"20010912KYLAC")</f>
        <v>20010912KYLAC</v>
      </c>
      <c r="B1803" s="5" t="str">
        <f ca="1">IFERROR(__xludf.DUMMYFUNCTION("""COMPUTED_VALUE"""),"Fatal")</f>
        <v>Fatal</v>
      </c>
      <c r="C1803" s="5" t="str">
        <f ca="1">IFERROR(__xludf.DUMMYFUNCTION("""COMPUTED_VALUE"""),"Female")</f>
        <v>Female</v>
      </c>
      <c r="D1803" s="5" t="str">
        <f ca="1">IFERROR(__xludf.DUMMYFUNCTION("""COMPUTED_VALUE"""),"Parent")</f>
        <v>Parent</v>
      </c>
      <c r="E1803" s="5">
        <f ca="1">IFERROR(__xludf.DUMMYFUNCTION("""COMPUTED_VALUE"""),29)</f>
        <v>29</v>
      </c>
      <c r="F1803" s="5" t="str">
        <f ca="1">IFERROR(__xludf.DUMMYFUNCTION("""COMPUTED_VALUE"""),"White")</f>
        <v>White</v>
      </c>
    </row>
    <row r="1804" spans="1:6">
      <c r="A1804" s="5" t="str">
        <f ca="1">IFERROR(__xludf.DUMMYFUNCTION("""COMPUTED_VALUE"""),"20010730CABEL")</f>
        <v>20010730CABEL</v>
      </c>
      <c r="B1804" s="5" t="str">
        <f ca="1">IFERROR(__xludf.DUMMYFUNCTION("""COMPUTED_VALUE"""),"Wounded")</f>
        <v>Wounded</v>
      </c>
      <c r="C1804" s="5" t="str">
        <f ca="1">IFERROR(__xludf.DUMMYFUNCTION("""COMPUTED_VALUE"""),"Male")</f>
        <v>Male</v>
      </c>
      <c r="D1804" s="5" t="str">
        <f ca="1">IFERROR(__xludf.DUMMYFUNCTION("""COMPUTED_VALUE"""),"No Relation")</f>
        <v>No Relation</v>
      </c>
      <c r="E1804" s="5">
        <f ca="1">IFERROR(__xludf.DUMMYFUNCTION("""COMPUTED_VALUE"""),33)</f>
        <v>33</v>
      </c>
      <c r="F1804" s="5"/>
    </row>
    <row r="1805" spans="1:6">
      <c r="A1805" s="5" t="str">
        <f ca="1">IFERROR(__xludf.DUMMYFUNCTION("""COMPUTED_VALUE"""),"20010607TXOUA")</f>
        <v>20010607TXOUA</v>
      </c>
      <c r="B1805" s="5" t="str">
        <f ca="1">IFERROR(__xludf.DUMMYFUNCTION("""COMPUTED_VALUE"""),"Fatal")</f>
        <v>Fatal</v>
      </c>
      <c r="C1805" s="5" t="str">
        <f ca="1">IFERROR(__xludf.DUMMYFUNCTION("""COMPUTED_VALUE"""),"Male")</f>
        <v>Male</v>
      </c>
      <c r="D1805" s="5" t="str">
        <f ca="1">IFERROR(__xludf.DUMMYFUNCTION("""COMPUTED_VALUE"""),"No Relation")</f>
        <v>No Relation</v>
      </c>
      <c r="E1805" s="5">
        <f ca="1">IFERROR(__xludf.DUMMYFUNCTION("""COMPUTED_VALUE"""),27)</f>
        <v>27</v>
      </c>
      <c r="F1805" s="5"/>
    </row>
    <row r="1806" spans="1:6">
      <c r="A1806" s="5" t="str">
        <f ca="1">IFERROR(__xludf.DUMMYFUNCTION("""COMPUTED_VALUE"""),"20010515TXENE")</f>
        <v>20010515TXENE</v>
      </c>
      <c r="B1806" s="5" t="str">
        <f ca="1">IFERROR(__xludf.DUMMYFUNCTION("""COMPUTED_VALUE"""),"None")</f>
        <v>None</v>
      </c>
      <c r="C1806" s="5" t="str">
        <f ca="1">IFERROR(__xludf.DUMMYFUNCTION("""COMPUTED_VALUE"""),"Male")</f>
        <v>Male</v>
      </c>
      <c r="D1806" s="5" t="str">
        <f ca="1">IFERROR(__xludf.DUMMYFUNCTION("""COMPUTED_VALUE"""),"Student")</f>
        <v>Student</v>
      </c>
      <c r="E1806" s="5">
        <f ca="1">IFERROR(__xludf.DUMMYFUNCTION("""COMPUTED_VALUE"""),16)</f>
        <v>16</v>
      </c>
      <c r="F1806" s="5"/>
    </row>
    <row r="1807" spans="1:6">
      <c r="A1807" s="5" t="str">
        <f ca="1">IFERROR(__xludf.DUMMYFUNCTION("""COMPUTED_VALUE"""),"20010425OHJOC")</f>
        <v>20010425OHJOC</v>
      </c>
      <c r="B1807" s="5" t="str">
        <f ca="1">IFERROR(__xludf.DUMMYFUNCTION("""COMPUTED_VALUE"""),"Fatal")</f>
        <v>Fatal</v>
      </c>
      <c r="C1807" s="5" t="str">
        <f ca="1">IFERROR(__xludf.DUMMYFUNCTION("""COMPUTED_VALUE"""),"Male")</f>
        <v>Male</v>
      </c>
      <c r="D1807" s="5" t="str">
        <f ca="1">IFERROR(__xludf.DUMMYFUNCTION("""COMPUTED_VALUE"""),"Other Staff")</f>
        <v>Other Staff</v>
      </c>
      <c r="E1807" s="5">
        <f ca="1">IFERROR(__xludf.DUMMYFUNCTION("""COMPUTED_VALUE"""),33)</f>
        <v>33</v>
      </c>
      <c r="F1807" s="5"/>
    </row>
    <row r="1808" spans="1:6">
      <c r="A1808" s="5" t="str">
        <f ca="1">IFERROR(__xludf.DUMMYFUNCTION("""COMPUTED_VALUE"""),"20010420LAMOM")</f>
        <v>20010420LAMOM</v>
      </c>
      <c r="B1808" s="5" t="str">
        <f ca="1">IFERROR(__xludf.DUMMYFUNCTION("""COMPUTED_VALUE"""),"None")</f>
        <v>None</v>
      </c>
      <c r="C1808" s="5"/>
      <c r="D1808" s="5"/>
      <c r="E1808" s="5"/>
      <c r="F1808" s="5"/>
    </row>
    <row r="1809" spans="1:6">
      <c r="A1809" s="5" t="str">
        <f ca="1">IFERROR(__xludf.DUMMYFUNCTION("""COMPUTED_VALUE"""),"20010410WAWAM")</f>
        <v>20010410WAWAM</v>
      </c>
      <c r="B1809" s="5" t="str">
        <f ca="1">IFERROR(__xludf.DUMMYFUNCTION("""COMPUTED_VALUE"""),"None")</f>
        <v>None</v>
      </c>
      <c r="C1809" s="5"/>
      <c r="D1809" s="5"/>
      <c r="E1809" s="5"/>
      <c r="F1809" s="5"/>
    </row>
    <row r="1810" spans="1:6">
      <c r="A1810" s="5" t="str">
        <f ca="1">IFERROR(__xludf.DUMMYFUNCTION("""COMPUTED_VALUE"""),"20010402TXKLH")</f>
        <v>20010402TXKLH</v>
      </c>
      <c r="B1810" s="5" t="str">
        <f ca="1">IFERROR(__xludf.DUMMYFUNCTION("""COMPUTED_VALUE"""),"None")</f>
        <v>None</v>
      </c>
      <c r="C1810" s="5" t="str">
        <f ca="1">IFERROR(__xludf.DUMMYFUNCTION("""COMPUTED_VALUE"""),"Female")</f>
        <v>Female</v>
      </c>
      <c r="D1810" s="5" t="str">
        <f ca="1">IFERROR(__xludf.DUMMYFUNCTION("""COMPUTED_VALUE"""),"Student")</f>
        <v>Student</v>
      </c>
      <c r="E1810" s="5">
        <f ca="1">IFERROR(__xludf.DUMMYFUNCTION("""COMPUTED_VALUE"""),13)</f>
        <v>13</v>
      </c>
      <c r="F1810" s="5"/>
    </row>
    <row r="1811" spans="1:6">
      <c r="A1811" s="5" t="str">
        <f ca="1">IFERROR(__xludf.DUMMYFUNCTION("""COMPUTED_VALUE"""),"20010330INLEG")</f>
        <v>20010330INLEG</v>
      </c>
      <c r="B1811" s="5" t="str">
        <f ca="1">IFERROR(__xludf.DUMMYFUNCTION("""COMPUTED_VALUE"""),"Fatal")</f>
        <v>Fatal</v>
      </c>
      <c r="C1811" s="5" t="str">
        <f ca="1">IFERROR(__xludf.DUMMYFUNCTION("""COMPUTED_VALUE"""),"Male")</f>
        <v>Male</v>
      </c>
      <c r="D1811" s="5" t="str">
        <f ca="1">IFERROR(__xludf.DUMMYFUNCTION("""COMPUTED_VALUE"""),"Student")</f>
        <v>Student</v>
      </c>
      <c r="E1811" s="5">
        <f ca="1">IFERROR(__xludf.DUMMYFUNCTION("""COMPUTED_VALUE"""),16)</f>
        <v>16</v>
      </c>
      <c r="F1811" s="5"/>
    </row>
    <row r="1812" spans="1:6">
      <c r="A1812" s="5" t="str">
        <f ca="1">IFERROR(__xludf.DUMMYFUNCTION("""COMPUTED_VALUE"""),"20010322CAGRE")</f>
        <v>20010322CAGRE</v>
      </c>
      <c r="B1812" s="5" t="str">
        <f ca="1">IFERROR(__xludf.DUMMYFUNCTION("""COMPUTED_VALUE"""),"Wounded")</f>
        <v>Wounded</v>
      </c>
      <c r="C1812" s="5" t="str">
        <f ca="1">IFERROR(__xludf.DUMMYFUNCTION("""COMPUTED_VALUE"""),"Male")</f>
        <v>Male</v>
      </c>
      <c r="D1812" s="5" t="str">
        <f ca="1">IFERROR(__xludf.DUMMYFUNCTION("""COMPUTED_VALUE"""),"Student")</f>
        <v>Student</v>
      </c>
      <c r="E1812" s="5">
        <f ca="1">IFERROR(__xludf.DUMMYFUNCTION("""COMPUTED_VALUE"""),15)</f>
        <v>15</v>
      </c>
      <c r="F1812" s="5"/>
    </row>
    <row r="1813" spans="1:6">
      <c r="A1813" s="5" t="str">
        <f ca="1">IFERROR(__xludf.DUMMYFUNCTION("""COMPUTED_VALUE"""),"20010322CAGRE")</f>
        <v>20010322CAGRE</v>
      </c>
      <c r="B1813" s="5" t="str">
        <f ca="1">IFERROR(__xludf.DUMMYFUNCTION("""COMPUTED_VALUE"""),"Wounded")</f>
        <v>Wounded</v>
      </c>
      <c r="C1813" s="5" t="str">
        <f ca="1">IFERROR(__xludf.DUMMYFUNCTION("""COMPUTED_VALUE"""),"Male")</f>
        <v>Male</v>
      </c>
      <c r="D1813" s="5" t="str">
        <f ca="1">IFERROR(__xludf.DUMMYFUNCTION("""COMPUTED_VALUE"""),"Student")</f>
        <v>Student</v>
      </c>
      <c r="E1813" s="5">
        <f ca="1">IFERROR(__xludf.DUMMYFUNCTION("""COMPUTED_VALUE"""),17)</f>
        <v>17</v>
      </c>
      <c r="F1813" s="5"/>
    </row>
    <row r="1814" spans="1:6">
      <c r="A1814" s="5" t="str">
        <f ca="1">IFERROR(__xludf.DUMMYFUNCTION("""COMPUTED_VALUE"""),"20010322CAGRE")</f>
        <v>20010322CAGRE</v>
      </c>
      <c r="B1814" s="5" t="str">
        <f ca="1">IFERROR(__xludf.DUMMYFUNCTION("""COMPUTED_VALUE"""),"Wounded")</f>
        <v>Wounded</v>
      </c>
      <c r="C1814" s="5" t="str">
        <f ca="1">IFERROR(__xludf.DUMMYFUNCTION("""COMPUTED_VALUE"""),"Female")</f>
        <v>Female</v>
      </c>
      <c r="D1814" s="5" t="str">
        <f ca="1">IFERROR(__xludf.DUMMYFUNCTION("""COMPUTED_VALUE"""),"Student")</f>
        <v>Student</v>
      </c>
      <c r="E1814" s="5">
        <f ca="1">IFERROR(__xludf.DUMMYFUNCTION("""COMPUTED_VALUE"""),15)</f>
        <v>15</v>
      </c>
      <c r="F1814" s="5"/>
    </row>
    <row r="1815" spans="1:6">
      <c r="A1815" s="5" t="str">
        <f ca="1">IFERROR(__xludf.DUMMYFUNCTION("""COMPUTED_VALUE"""),"20010322CAGRE")</f>
        <v>20010322CAGRE</v>
      </c>
      <c r="B1815" s="5" t="str">
        <f ca="1">IFERROR(__xludf.DUMMYFUNCTION("""COMPUTED_VALUE"""),"Wounded")</f>
        <v>Wounded</v>
      </c>
      <c r="C1815" s="5" t="str">
        <f ca="1">IFERROR(__xludf.DUMMYFUNCTION("""COMPUTED_VALUE"""),"Female")</f>
        <v>Female</v>
      </c>
      <c r="D1815" s="5" t="str">
        <f ca="1">IFERROR(__xludf.DUMMYFUNCTION("""COMPUTED_VALUE"""),"Teacher")</f>
        <v>Teacher</v>
      </c>
      <c r="E1815" s="5">
        <f ca="1">IFERROR(__xludf.DUMMYFUNCTION("""COMPUTED_VALUE"""),53)</f>
        <v>53</v>
      </c>
      <c r="F1815" s="5"/>
    </row>
    <row r="1816" spans="1:6">
      <c r="A1816" s="5" t="str">
        <f ca="1">IFERROR(__xludf.DUMMYFUNCTION("""COMPUTED_VALUE"""),"20010322CAGRE")</f>
        <v>20010322CAGRE</v>
      </c>
      <c r="B1816" s="5" t="str">
        <f ca="1">IFERROR(__xludf.DUMMYFUNCTION("""COMPUTED_VALUE"""),"Wounded")</f>
        <v>Wounded</v>
      </c>
      <c r="C1816" s="5" t="str">
        <f ca="1">IFERROR(__xludf.DUMMYFUNCTION("""COMPUTED_VALUE"""),"Female")</f>
        <v>Female</v>
      </c>
      <c r="D1816" s="5" t="str">
        <f ca="1">IFERROR(__xludf.DUMMYFUNCTION("""COMPUTED_VALUE"""),"Teacher")</f>
        <v>Teacher</v>
      </c>
      <c r="E1816" s="5">
        <f ca="1">IFERROR(__xludf.DUMMYFUNCTION("""COMPUTED_VALUE"""),47)</f>
        <v>47</v>
      </c>
      <c r="F1816" s="5"/>
    </row>
    <row r="1817" spans="1:6">
      <c r="A1817" s="5" t="str">
        <f ca="1">IFERROR(__xludf.DUMMYFUNCTION("""COMPUTED_VALUE"""),"20010307WAKEC")</f>
        <v>20010307WAKEC</v>
      </c>
      <c r="B1817" s="5" t="str">
        <f ca="1">IFERROR(__xludf.DUMMYFUNCTION("""COMPUTED_VALUE"""),"None")</f>
        <v>None</v>
      </c>
      <c r="C1817" s="5"/>
      <c r="D1817" s="5"/>
      <c r="E1817" s="5"/>
      <c r="F1817" s="5"/>
    </row>
    <row r="1818" spans="1:6">
      <c r="A1818" s="5" t="str">
        <f ca="1">IFERROR(__xludf.DUMMYFUNCTION("""COMPUTED_VALUE"""),"20010307PABIW")</f>
        <v>20010307PABIW</v>
      </c>
      <c r="B1818" s="5" t="str">
        <f ca="1">IFERROR(__xludf.DUMMYFUNCTION("""COMPUTED_VALUE"""),"Wounded")</f>
        <v>Wounded</v>
      </c>
      <c r="C1818" s="5" t="str">
        <f ca="1">IFERROR(__xludf.DUMMYFUNCTION("""COMPUTED_VALUE"""),"Female")</f>
        <v>Female</v>
      </c>
      <c r="D1818" s="5" t="str">
        <f ca="1">IFERROR(__xludf.DUMMYFUNCTION("""COMPUTED_VALUE"""),"Student")</f>
        <v>Student</v>
      </c>
      <c r="E1818" s="5">
        <f ca="1">IFERROR(__xludf.DUMMYFUNCTION("""COMPUTED_VALUE"""),13)</f>
        <v>13</v>
      </c>
      <c r="F1818" s="5" t="str">
        <f ca="1">IFERROR(__xludf.DUMMYFUNCTION("""COMPUTED_VALUE"""),"White")</f>
        <v>White</v>
      </c>
    </row>
    <row r="1819" spans="1:6">
      <c r="A1819" s="5" t="str">
        <f ca="1">IFERROR(__xludf.DUMMYFUNCTION("""COMPUTED_VALUE"""),"20010306MDLAL")</f>
        <v>20010306MDLAL</v>
      </c>
      <c r="B1819" s="5" t="str">
        <f ca="1">IFERROR(__xludf.DUMMYFUNCTION("""COMPUTED_VALUE"""),"Wounded")</f>
        <v>Wounded</v>
      </c>
      <c r="C1819" s="5" t="str">
        <f ca="1">IFERROR(__xludf.DUMMYFUNCTION("""COMPUTED_VALUE"""),"Male")</f>
        <v>Male</v>
      </c>
      <c r="D1819" s="5" t="str">
        <f ca="1">IFERROR(__xludf.DUMMYFUNCTION("""COMPUTED_VALUE"""),"Student")</f>
        <v>Student</v>
      </c>
      <c r="E1819" s="5">
        <f ca="1">IFERROR(__xludf.DUMMYFUNCTION("""COMPUTED_VALUE"""),17)</f>
        <v>17</v>
      </c>
      <c r="F1819" s="5"/>
    </row>
    <row r="1820" spans="1:6">
      <c r="A1820" s="5" t="str">
        <f ca="1">IFERROR(__xludf.DUMMYFUNCTION("""COMPUTED_VALUE"""),"20010305CASAS")</f>
        <v>20010305CASAS</v>
      </c>
      <c r="B1820" s="5" t="str">
        <f ca="1">IFERROR(__xludf.DUMMYFUNCTION("""COMPUTED_VALUE"""),"Fatal")</f>
        <v>Fatal</v>
      </c>
      <c r="C1820" s="5" t="str">
        <f ca="1">IFERROR(__xludf.DUMMYFUNCTION("""COMPUTED_VALUE"""),"Male")</f>
        <v>Male</v>
      </c>
      <c r="D1820" s="5" t="str">
        <f ca="1">IFERROR(__xludf.DUMMYFUNCTION("""COMPUTED_VALUE"""),"Student")</f>
        <v>Student</v>
      </c>
      <c r="E1820" s="5">
        <f ca="1">IFERROR(__xludf.DUMMYFUNCTION("""COMPUTED_VALUE"""),15)</f>
        <v>15</v>
      </c>
      <c r="F1820" s="5"/>
    </row>
    <row r="1821" spans="1:6">
      <c r="A1821" s="5" t="str">
        <f ca="1">IFERROR(__xludf.DUMMYFUNCTION("""COMPUTED_VALUE"""),"20010305CASAS")</f>
        <v>20010305CASAS</v>
      </c>
      <c r="B1821" s="5" t="str">
        <f ca="1">IFERROR(__xludf.DUMMYFUNCTION("""COMPUTED_VALUE"""),"Wounded")</f>
        <v>Wounded</v>
      </c>
      <c r="C1821" s="5" t="str">
        <f ca="1">IFERROR(__xludf.DUMMYFUNCTION("""COMPUTED_VALUE"""),"Male")</f>
        <v>Male</v>
      </c>
      <c r="D1821" s="5" t="str">
        <f ca="1">IFERROR(__xludf.DUMMYFUNCTION("""COMPUTED_VALUE"""),"Student")</f>
        <v>Student</v>
      </c>
      <c r="E1821" s="5" t="str">
        <f ca="1">IFERROR(__xludf.DUMMYFUNCTION("""COMPUTED_VALUE"""),"Teen")</f>
        <v>Teen</v>
      </c>
      <c r="F1821" s="5"/>
    </row>
    <row r="1822" spans="1:6">
      <c r="A1822" s="5" t="str">
        <f ca="1">IFERROR(__xludf.DUMMYFUNCTION("""COMPUTED_VALUE"""),"20010305CASAS")</f>
        <v>20010305CASAS</v>
      </c>
      <c r="B1822" s="5" t="str">
        <f ca="1">IFERROR(__xludf.DUMMYFUNCTION("""COMPUTED_VALUE"""),"Wounded")</f>
        <v>Wounded</v>
      </c>
      <c r="C1822" s="5" t="str">
        <f ca="1">IFERROR(__xludf.DUMMYFUNCTION("""COMPUTED_VALUE"""),"Female")</f>
        <v>Female</v>
      </c>
      <c r="D1822" s="5" t="str">
        <f ca="1">IFERROR(__xludf.DUMMYFUNCTION("""COMPUTED_VALUE"""),"Student")</f>
        <v>Student</v>
      </c>
      <c r="E1822" s="5">
        <f ca="1">IFERROR(__xludf.DUMMYFUNCTION("""COMPUTED_VALUE"""),16)</f>
        <v>16</v>
      </c>
      <c r="F1822" s="5"/>
    </row>
    <row r="1823" spans="1:6">
      <c r="A1823" s="5" t="str">
        <f ca="1">IFERROR(__xludf.DUMMYFUNCTION("""COMPUTED_VALUE"""),"20010305CASAS")</f>
        <v>20010305CASAS</v>
      </c>
      <c r="B1823" s="5" t="str">
        <f ca="1">IFERROR(__xludf.DUMMYFUNCTION("""COMPUTED_VALUE"""),"Wounded")</f>
        <v>Wounded</v>
      </c>
      <c r="C1823" s="5" t="str">
        <f ca="1">IFERROR(__xludf.DUMMYFUNCTION("""COMPUTED_VALUE"""),"Male")</f>
        <v>Male</v>
      </c>
      <c r="D1823" s="5" t="str">
        <f ca="1">IFERROR(__xludf.DUMMYFUNCTION("""COMPUTED_VALUE"""),"Student")</f>
        <v>Student</v>
      </c>
      <c r="E1823" s="5">
        <f ca="1">IFERROR(__xludf.DUMMYFUNCTION("""COMPUTED_VALUE"""),16)</f>
        <v>16</v>
      </c>
      <c r="F1823" s="5"/>
    </row>
    <row r="1824" spans="1:6">
      <c r="A1824" s="5" t="str">
        <f ca="1">IFERROR(__xludf.DUMMYFUNCTION("""COMPUTED_VALUE"""),"20010305CASAS")</f>
        <v>20010305CASAS</v>
      </c>
      <c r="B1824" s="5" t="str">
        <f ca="1">IFERROR(__xludf.DUMMYFUNCTION("""COMPUTED_VALUE"""),"Wounded")</f>
        <v>Wounded</v>
      </c>
      <c r="C1824" s="5" t="str">
        <f ca="1">IFERROR(__xludf.DUMMYFUNCTION("""COMPUTED_VALUE"""),"Male")</f>
        <v>Male</v>
      </c>
      <c r="D1824" s="5" t="str">
        <f ca="1">IFERROR(__xludf.DUMMYFUNCTION("""COMPUTED_VALUE"""),"Student")</f>
        <v>Student</v>
      </c>
      <c r="E1824" s="5" t="str">
        <f ca="1">IFERROR(__xludf.DUMMYFUNCTION("""COMPUTED_VALUE"""),"Teen")</f>
        <v>Teen</v>
      </c>
      <c r="F1824" s="5"/>
    </row>
    <row r="1825" spans="1:6">
      <c r="A1825" s="5" t="str">
        <f ca="1">IFERROR(__xludf.DUMMYFUNCTION("""COMPUTED_VALUE"""),"20010305CASAS")</f>
        <v>20010305CASAS</v>
      </c>
      <c r="B1825" s="5" t="str">
        <f ca="1">IFERROR(__xludf.DUMMYFUNCTION("""COMPUTED_VALUE"""),"Wounded")</f>
        <v>Wounded</v>
      </c>
      <c r="C1825" s="5" t="str">
        <f ca="1">IFERROR(__xludf.DUMMYFUNCTION("""COMPUTED_VALUE"""),"Female")</f>
        <v>Female</v>
      </c>
      <c r="D1825" s="5" t="str">
        <f ca="1">IFERROR(__xludf.DUMMYFUNCTION("""COMPUTED_VALUE"""),"Student")</f>
        <v>Student</v>
      </c>
      <c r="E1825" s="5">
        <f ca="1">IFERROR(__xludf.DUMMYFUNCTION("""COMPUTED_VALUE"""),15)</f>
        <v>15</v>
      </c>
      <c r="F1825" s="5"/>
    </row>
    <row r="1826" spans="1:6">
      <c r="A1826" s="5" t="str">
        <f ca="1">IFERROR(__xludf.DUMMYFUNCTION("""COMPUTED_VALUE"""),"20010305CASAS")</f>
        <v>20010305CASAS</v>
      </c>
      <c r="B1826" s="5" t="str">
        <f ca="1">IFERROR(__xludf.DUMMYFUNCTION("""COMPUTED_VALUE"""),"Wounded")</f>
        <v>Wounded</v>
      </c>
      <c r="C1826" s="5" t="str">
        <f ca="1">IFERROR(__xludf.DUMMYFUNCTION("""COMPUTED_VALUE"""),"Male")</f>
        <v>Male</v>
      </c>
      <c r="D1826" s="5" t="str">
        <f ca="1">IFERROR(__xludf.DUMMYFUNCTION("""COMPUTED_VALUE"""),"Student")</f>
        <v>Student</v>
      </c>
      <c r="E1826" s="5">
        <f ca="1">IFERROR(__xludf.DUMMYFUNCTION("""COMPUTED_VALUE"""),18)</f>
        <v>18</v>
      </c>
      <c r="F1826" s="5"/>
    </row>
    <row r="1827" spans="1:6">
      <c r="A1827" s="5" t="str">
        <f ca="1">IFERROR(__xludf.DUMMYFUNCTION("""COMPUTED_VALUE"""),"20010305CASAS")</f>
        <v>20010305CASAS</v>
      </c>
      <c r="B1827" s="5" t="str">
        <f ca="1">IFERROR(__xludf.DUMMYFUNCTION("""COMPUTED_VALUE"""),"Wounded")</f>
        <v>Wounded</v>
      </c>
      <c r="C1827" s="5" t="str">
        <f ca="1">IFERROR(__xludf.DUMMYFUNCTION("""COMPUTED_VALUE"""),"Male")</f>
        <v>Male</v>
      </c>
      <c r="D1827" s="5" t="str">
        <f ca="1">IFERROR(__xludf.DUMMYFUNCTION("""COMPUTED_VALUE"""),"Student")</f>
        <v>Student</v>
      </c>
      <c r="E1827" s="5">
        <f ca="1">IFERROR(__xludf.DUMMYFUNCTION("""COMPUTED_VALUE"""),18)</f>
        <v>18</v>
      </c>
      <c r="F1827" s="5"/>
    </row>
    <row r="1828" spans="1:6">
      <c r="A1828" s="5" t="str">
        <f ca="1">IFERROR(__xludf.DUMMYFUNCTION("""COMPUTED_VALUE"""),"20010305CASAS")</f>
        <v>20010305CASAS</v>
      </c>
      <c r="B1828" s="5" t="str">
        <f ca="1">IFERROR(__xludf.DUMMYFUNCTION("""COMPUTED_VALUE"""),"Wounded")</f>
        <v>Wounded</v>
      </c>
      <c r="C1828" s="5" t="str">
        <f ca="1">IFERROR(__xludf.DUMMYFUNCTION("""COMPUTED_VALUE"""),"Male")</f>
        <v>Male</v>
      </c>
      <c r="D1828" s="5" t="str">
        <f ca="1">IFERROR(__xludf.DUMMYFUNCTION("""COMPUTED_VALUE"""),"Student")</f>
        <v>Student</v>
      </c>
      <c r="E1828" s="5">
        <f ca="1">IFERROR(__xludf.DUMMYFUNCTION("""COMPUTED_VALUE"""),19)</f>
        <v>19</v>
      </c>
      <c r="F1828" s="5"/>
    </row>
    <row r="1829" spans="1:6">
      <c r="A1829" s="5" t="str">
        <f ca="1">IFERROR(__xludf.DUMMYFUNCTION("""COMPUTED_VALUE"""),"20010305CASAS")</f>
        <v>20010305CASAS</v>
      </c>
      <c r="B1829" s="5" t="str">
        <f ca="1">IFERROR(__xludf.DUMMYFUNCTION("""COMPUTED_VALUE"""),"Wounded")</f>
        <v>Wounded</v>
      </c>
      <c r="C1829" s="5" t="str">
        <f ca="1">IFERROR(__xludf.DUMMYFUNCTION("""COMPUTED_VALUE"""),"Female")</f>
        <v>Female</v>
      </c>
      <c r="D1829" s="5" t="str">
        <f ca="1">IFERROR(__xludf.DUMMYFUNCTION("""COMPUTED_VALUE"""),"Teacher")</f>
        <v>Teacher</v>
      </c>
      <c r="E1829" s="5">
        <f ca="1">IFERROR(__xludf.DUMMYFUNCTION("""COMPUTED_VALUE"""),33)</f>
        <v>33</v>
      </c>
      <c r="F1829" s="5"/>
    </row>
    <row r="1830" spans="1:6">
      <c r="A1830" s="5" t="str">
        <f ca="1">IFERROR(__xludf.DUMMYFUNCTION("""COMPUTED_VALUE"""),"20010305CASAS")</f>
        <v>20010305CASAS</v>
      </c>
      <c r="B1830" s="5" t="str">
        <f ca="1">IFERROR(__xludf.DUMMYFUNCTION("""COMPUTED_VALUE"""),"Fatal")</f>
        <v>Fatal</v>
      </c>
      <c r="C1830" s="5" t="str">
        <f ca="1">IFERROR(__xludf.DUMMYFUNCTION("""COMPUTED_VALUE"""),"Male")</f>
        <v>Male</v>
      </c>
      <c r="D1830" s="5" t="str">
        <f ca="1">IFERROR(__xludf.DUMMYFUNCTION("""COMPUTED_VALUE"""),"Student")</f>
        <v>Student</v>
      </c>
      <c r="E1830" s="5">
        <f ca="1">IFERROR(__xludf.DUMMYFUNCTION("""COMPUTED_VALUE"""),14)</f>
        <v>14</v>
      </c>
      <c r="F1830" s="5"/>
    </row>
    <row r="1831" spans="1:6">
      <c r="A1831" s="5" t="str">
        <f ca="1">IFERROR(__xludf.DUMMYFUNCTION("""COMPUTED_VALUE"""),"20010305CASAS")</f>
        <v>20010305CASAS</v>
      </c>
      <c r="B1831" s="5" t="str">
        <f ca="1">IFERROR(__xludf.DUMMYFUNCTION("""COMPUTED_VALUE"""),"Wounded")</f>
        <v>Wounded</v>
      </c>
      <c r="C1831" s="5" t="str">
        <f ca="1">IFERROR(__xludf.DUMMYFUNCTION("""COMPUTED_VALUE"""),"Male")</f>
        <v>Male</v>
      </c>
      <c r="D1831" s="5" t="str">
        <f ca="1">IFERROR(__xludf.DUMMYFUNCTION("""COMPUTED_VALUE"""),"Student")</f>
        <v>Student</v>
      </c>
      <c r="E1831" s="5">
        <f ca="1">IFERROR(__xludf.DUMMYFUNCTION("""COMPUTED_VALUE"""),16)</f>
        <v>16</v>
      </c>
      <c r="F1831" s="5"/>
    </row>
    <row r="1832" spans="1:6">
      <c r="A1832" s="5" t="str">
        <f ca="1">IFERROR(__xludf.DUMMYFUNCTION("""COMPUTED_VALUE"""),"20010305CASAS")</f>
        <v>20010305CASAS</v>
      </c>
      <c r="B1832" s="5" t="str">
        <f ca="1">IFERROR(__xludf.DUMMYFUNCTION("""COMPUTED_VALUE"""),"Wounded")</f>
        <v>Wounded</v>
      </c>
      <c r="C1832" s="5" t="str">
        <f ca="1">IFERROR(__xludf.DUMMYFUNCTION("""COMPUTED_VALUE"""),"Male")</f>
        <v>Male</v>
      </c>
      <c r="D1832" s="5" t="str">
        <f ca="1">IFERROR(__xludf.DUMMYFUNCTION("""COMPUTED_VALUE"""),"Other Staff")</f>
        <v>Other Staff</v>
      </c>
      <c r="E1832" s="5">
        <f ca="1">IFERROR(__xludf.DUMMYFUNCTION("""COMPUTED_VALUE"""),22)</f>
        <v>22</v>
      </c>
      <c r="F1832" s="5"/>
    </row>
    <row r="1833" spans="1:6">
      <c r="A1833" s="5" t="str">
        <f ca="1">IFERROR(__xludf.DUMMYFUNCTION("""COMPUTED_VALUE"""),"20010305CASAS")</f>
        <v>20010305CASAS</v>
      </c>
      <c r="B1833" s="5" t="str">
        <f ca="1">IFERROR(__xludf.DUMMYFUNCTION("""COMPUTED_VALUE"""),"Wounded")</f>
        <v>Wounded</v>
      </c>
      <c r="C1833" s="5" t="str">
        <f ca="1">IFERROR(__xludf.DUMMYFUNCTION("""COMPUTED_VALUE"""),"Female")</f>
        <v>Female</v>
      </c>
      <c r="D1833" s="5" t="str">
        <f ca="1">IFERROR(__xludf.DUMMYFUNCTION("""COMPUTED_VALUE"""),"Student")</f>
        <v>Student</v>
      </c>
      <c r="E1833" s="5" t="str">
        <f ca="1">IFERROR(__xludf.DUMMYFUNCTION("""COMPUTED_VALUE"""),"Teen")</f>
        <v>Teen</v>
      </c>
      <c r="F1833" s="5"/>
    </row>
    <row r="1834" spans="1:6">
      <c r="A1834" s="5" t="str">
        <f ca="1">IFERROR(__xludf.DUMMYFUNCTION("""COMPUTED_VALUE"""),"20010305CASAS")</f>
        <v>20010305CASAS</v>
      </c>
      <c r="B1834" s="5" t="str">
        <f ca="1">IFERROR(__xludf.DUMMYFUNCTION("""COMPUTED_VALUE"""),"Wounded")</f>
        <v>Wounded</v>
      </c>
      <c r="C1834" s="5" t="str">
        <f ca="1">IFERROR(__xludf.DUMMYFUNCTION("""COMPUTED_VALUE"""),"Male")</f>
        <v>Male</v>
      </c>
      <c r="D1834" s="5" t="str">
        <f ca="1">IFERROR(__xludf.DUMMYFUNCTION("""COMPUTED_VALUE"""),"Student")</f>
        <v>Student</v>
      </c>
      <c r="E1834" s="5">
        <f ca="1">IFERROR(__xludf.DUMMYFUNCTION("""COMPUTED_VALUE"""),17)</f>
        <v>17</v>
      </c>
      <c r="F1834" s="5"/>
    </row>
    <row r="1835" spans="1:6">
      <c r="A1835" s="5" t="str">
        <f ca="1">IFERROR(__xludf.DUMMYFUNCTION("""COMPUTED_VALUE"""),"20010302CAHOS")</f>
        <v>20010302CAHOS</v>
      </c>
      <c r="B1835" s="5" t="str">
        <f ca="1">IFERROR(__xludf.DUMMYFUNCTION("""COMPUTED_VALUE"""),"None")</f>
        <v>None</v>
      </c>
      <c r="C1835" s="5" t="str">
        <f ca="1">IFERROR(__xludf.DUMMYFUNCTION("""COMPUTED_VALUE"""),"Male")</f>
        <v>Male</v>
      </c>
      <c r="D1835" s="5" t="str">
        <f ca="1">IFERROR(__xludf.DUMMYFUNCTION("""COMPUTED_VALUE"""),"Student")</f>
        <v>Student</v>
      </c>
      <c r="E1835" s="5">
        <f ca="1">IFERROR(__xludf.DUMMYFUNCTION("""COMPUTED_VALUE"""),18)</f>
        <v>18</v>
      </c>
      <c r="F1835" s="5"/>
    </row>
    <row r="1836" spans="1:6">
      <c r="A1836" s="5" t="str">
        <f ca="1">IFERROR(__xludf.DUMMYFUNCTION("""COMPUTED_VALUE"""),"20010202MIOSD")</f>
        <v>20010202MIOSD</v>
      </c>
      <c r="B1836" s="5" t="str">
        <f ca="1">IFERROR(__xludf.DUMMYFUNCTION("""COMPUTED_VALUE"""),"Wounded")</f>
        <v>Wounded</v>
      </c>
      <c r="C1836" s="5"/>
      <c r="D1836" s="5" t="str">
        <f ca="1">IFERROR(__xludf.DUMMYFUNCTION("""COMPUTED_VALUE"""),"Teacher")</f>
        <v>Teacher</v>
      </c>
      <c r="E1836" s="5" t="str">
        <f ca="1">IFERROR(__xludf.DUMMYFUNCTION("""COMPUTED_VALUE"""),"Adult")</f>
        <v>Adult</v>
      </c>
      <c r="F1836" s="5"/>
    </row>
    <row r="1837" spans="1:6">
      <c r="A1837" s="5" t="str">
        <f ca="1">IFERROR(__xludf.DUMMYFUNCTION("""COMPUTED_VALUE"""),"20010202MIOSD")</f>
        <v>20010202MIOSD</v>
      </c>
      <c r="B1837" s="5" t="str">
        <f ca="1">IFERROR(__xludf.DUMMYFUNCTION("""COMPUTED_VALUE"""),"Wounded")</f>
        <v>Wounded</v>
      </c>
      <c r="C1837" s="5"/>
      <c r="D1837" s="5" t="str">
        <f ca="1">IFERROR(__xludf.DUMMYFUNCTION("""COMPUTED_VALUE"""),"Student")</f>
        <v>Student</v>
      </c>
      <c r="E1837" s="5" t="str">
        <f ca="1">IFERROR(__xludf.DUMMYFUNCTION("""COMPUTED_VALUE"""),"Teen")</f>
        <v>Teen</v>
      </c>
      <c r="F1837" s="5"/>
    </row>
    <row r="1838" spans="1:6">
      <c r="A1838" s="5" t="str">
        <f ca="1">IFERROR(__xludf.DUMMYFUNCTION("""COMPUTED_VALUE"""),"20010202MIOSD")</f>
        <v>20010202MIOSD</v>
      </c>
      <c r="B1838" s="5" t="str">
        <f ca="1">IFERROR(__xludf.DUMMYFUNCTION("""COMPUTED_VALUE"""),"Wounded")</f>
        <v>Wounded</v>
      </c>
      <c r="C1838" s="5"/>
      <c r="D1838" s="5" t="str">
        <f ca="1">IFERROR(__xludf.DUMMYFUNCTION("""COMPUTED_VALUE"""),"Student")</f>
        <v>Student</v>
      </c>
      <c r="E1838" s="5" t="str">
        <f ca="1">IFERROR(__xludf.DUMMYFUNCTION("""COMPUTED_VALUE"""),"Teen")</f>
        <v>Teen</v>
      </c>
      <c r="F1838" s="5"/>
    </row>
    <row r="1839" spans="1:6">
      <c r="A1839" s="5" t="str">
        <f ca="1">IFERROR(__xludf.DUMMYFUNCTION("""COMPUTED_VALUE"""),"20010117MDLAB")</f>
        <v>20010117MDLAB</v>
      </c>
      <c r="B1839" s="5" t="str">
        <f ca="1">IFERROR(__xludf.DUMMYFUNCTION("""COMPUTED_VALUE"""),"Fatal")</f>
        <v>Fatal</v>
      </c>
      <c r="C1839" s="5" t="str">
        <f ca="1">IFERROR(__xludf.DUMMYFUNCTION("""COMPUTED_VALUE"""),"Male")</f>
        <v>Male</v>
      </c>
      <c r="D1839" s="5" t="str">
        <f ca="1">IFERROR(__xludf.DUMMYFUNCTION("""COMPUTED_VALUE"""),"Student")</f>
        <v>Student</v>
      </c>
      <c r="E1839" s="5">
        <f ca="1">IFERROR(__xludf.DUMMYFUNCTION("""COMPUTED_VALUE"""),17)</f>
        <v>17</v>
      </c>
      <c r="F1839" s="5"/>
    </row>
    <row r="1840" spans="1:6">
      <c r="A1840" s="5" t="str">
        <f ca="1">IFERROR(__xludf.DUMMYFUNCTION("""COMPUTED_VALUE"""),"20010110CAHUO")</f>
        <v>20010110CAHUO</v>
      </c>
      <c r="B1840" s="5" t="str">
        <f ca="1">IFERROR(__xludf.DUMMYFUNCTION("""COMPUTED_VALUE"""),"None")</f>
        <v>None</v>
      </c>
      <c r="C1840" s="5" t="str">
        <f ca="1">IFERROR(__xludf.DUMMYFUNCTION("""COMPUTED_VALUE"""),"Female")</f>
        <v>Female</v>
      </c>
      <c r="D1840" s="5" t="str">
        <f ca="1">IFERROR(__xludf.DUMMYFUNCTION("""COMPUTED_VALUE"""),"Student")</f>
        <v>Student</v>
      </c>
      <c r="E1840" s="5">
        <f ca="1">IFERROR(__xludf.DUMMYFUNCTION("""COMPUTED_VALUE"""),17)</f>
        <v>17</v>
      </c>
      <c r="F1840" s="5"/>
    </row>
    <row r="1841" spans="1:6">
      <c r="A1841" s="5" t="str">
        <f ca="1">IFERROR(__xludf.DUMMYFUNCTION("""COMPUTED_VALUE"""),"20010103CABAS")</f>
        <v>20010103CABAS</v>
      </c>
      <c r="B1841" s="5" t="str">
        <f ca="1">IFERROR(__xludf.DUMMYFUNCTION("""COMPUTED_VALUE"""),"None")</f>
        <v>None</v>
      </c>
      <c r="C1841" s="5" t="str">
        <f ca="1">IFERROR(__xludf.DUMMYFUNCTION("""COMPUTED_VALUE"""),"Male")</f>
        <v>Male</v>
      </c>
      <c r="D1841" s="5" t="str">
        <f ca="1">IFERROR(__xludf.DUMMYFUNCTION("""COMPUTED_VALUE"""),"Student")</f>
        <v>Student</v>
      </c>
      <c r="E1841" s="5">
        <f ca="1">IFERROR(__xludf.DUMMYFUNCTION("""COMPUTED_VALUE"""),15)</f>
        <v>15</v>
      </c>
      <c r="F1841" s="5"/>
    </row>
    <row r="1842" spans="1:6">
      <c r="A1842" s="5" t="str">
        <f ca="1">IFERROR(__xludf.DUMMYFUNCTION("""COMPUTED_VALUE"""),"20001221FLNOM")</f>
        <v>20001221FLNOM</v>
      </c>
      <c r="B1842" s="5" t="str">
        <f ca="1">IFERROR(__xludf.DUMMYFUNCTION("""COMPUTED_VALUE"""),"Fatal")</f>
        <v>Fatal</v>
      </c>
      <c r="C1842" s="5" t="str">
        <f ca="1">IFERROR(__xludf.DUMMYFUNCTION("""COMPUTED_VALUE"""),"Male")</f>
        <v>Male</v>
      </c>
      <c r="D1842" s="5" t="str">
        <f ca="1">IFERROR(__xludf.DUMMYFUNCTION("""COMPUTED_VALUE"""),"No Relation")</f>
        <v>No Relation</v>
      </c>
      <c r="E1842" s="5">
        <f ca="1">IFERROR(__xludf.DUMMYFUNCTION("""COMPUTED_VALUE"""),32)</f>
        <v>32</v>
      </c>
      <c r="F1842" s="5"/>
    </row>
    <row r="1843" spans="1:6">
      <c r="A1843" s="5" t="str">
        <f ca="1">IFERROR(__xludf.DUMMYFUNCTION("""COMPUTED_VALUE"""),"20001207CARIR")</f>
        <v>20001207CARIR</v>
      </c>
      <c r="B1843" s="5" t="str">
        <f ca="1">IFERROR(__xludf.DUMMYFUNCTION("""COMPUTED_VALUE"""),"Fatal")</f>
        <v>Fatal</v>
      </c>
      <c r="C1843" s="5" t="str">
        <f ca="1">IFERROR(__xludf.DUMMYFUNCTION("""COMPUTED_VALUE"""),"Male")</f>
        <v>Male</v>
      </c>
      <c r="D1843" s="5" t="str">
        <f ca="1">IFERROR(__xludf.DUMMYFUNCTION("""COMPUTED_VALUE"""),"Student")</f>
        <v>Student</v>
      </c>
      <c r="E1843" s="5">
        <f ca="1">IFERROR(__xludf.DUMMYFUNCTION("""COMPUTED_VALUE"""),16)</f>
        <v>16</v>
      </c>
      <c r="F1843" s="5"/>
    </row>
    <row r="1844" spans="1:6">
      <c r="A1844" s="5" t="str">
        <f ca="1">IFERROR(__xludf.DUMMYFUNCTION("""COMPUTED_VALUE"""),"20001201CAJUS")</f>
        <v>20001201CAJUS</v>
      </c>
      <c r="B1844" s="5" t="str">
        <f ca="1">IFERROR(__xludf.DUMMYFUNCTION("""COMPUTED_VALUE"""),"None")</f>
        <v>None</v>
      </c>
      <c r="C1844" s="5" t="str">
        <f ca="1">IFERROR(__xludf.DUMMYFUNCTION("""COMPUTED_VALUE"""),"Male")</f>
        <v>Male</v>
      </c>
      <c r="D1844" s="5" t="str">
        <f ca="1">IFERROR(__xludf.DUMMYFUNCTION("""COMPUTED_VALUE"""),"Student")</f>
        <v>Student</v>
      </c>
      <c r="E1844" s="5">
        <f ca="1">IFERROR(__xludf.DUMMYFUNCTION("""COMPUTED_VALUE"""),15)</f>
        <v>15</v>
      </c>
      <c r="F1844" s="5"/>
    </row>
    <row r="1845" spans="1:6">
      <c r="A1845" s="5" t="str">
        <f ca="1">IFERROR(__xludf.DUMMYFUNCTION("""COMPUTED_VALUE"""),"20001201CAGRL")</f>
        <v>20001201CAGRL</v>
      </c>
      <c r="B1845" s="5" t="str">
        <f ca="1">IFERROR(__xludf.DUMMYFUNCTION("""COMPUTED_VALUE"""),"None")</f>
        <v>None</v>
      </c>
      <c r="C1845" s="5" t="str">
        <f ca="1">IFERROR(__xludf.DUMMYFUNCTION("""COMPUTED_VALUE"""),"Male")</f>
        <v>Male</v>
      </c>
      <c r="D1845" s="5" t="str">
        <f ca="1">IFERROR(__xludf.DUMMYFUNCTION("""COMPUTED_VALUE"""),"Student")</f>
        <v>Student</v>
      </c>
      <c r="E1845" s="5">
        <f ca="1">IFERROR(__xludf.DUMMYFUNCTION("""COMPUTED_VALUE"""),17)</f>
        <v>17</v>
      </c>
      <c r="F1845" s="5"/>
    </row>
    <row r="1846" spans="1:6">
      <c r="A1846" s="5" t="str">
        <f ca="1">IFERROR(__xludf.DUMMYFUNCTION("""COMPUTED_VALUE"""),"20001101TXNEC")</f>
        <v>20001101TXNEC</v>
      </c>
      <c r="B1846" s="5" t="str">
        <f ca="1">IFERROR(__xludf.DUMMYFUNCTION("""COMPUTED_VALUE"""),"None")</f>
        <v>None</v>
      </c>
      <c r="C1846" s="5"/>
      <c r="D1846" s="5"/>
      <c r="E1846" s="5"/>
      <c r="F1846" s="5"/>
    </row>
    <row r="1847" spans="1:6">
      <c r="A1847" s="5" t="str">
        <f ca="1">IFERROR(__xludf.DUMMYFUNCTION("""COMPUTED_VALUE"""),"20001024AZPIG")</f>
        <v>20001024AZPIG</v>
      </c>
      <c r="B1847" s="5" t="str">
        <f ca="1">IFERROR(__xludf.DUMMYFUNCTION("""COMPUTED_VALUE"""),"None")</f>
        <v>None</v>
      </c>
      <c r="C1847" s="5"/>
      <c r="D1847" s="5"/>
      <c r="E1847" s="5"/>
      <c r="F1847" s="5"/>
    </row>
    <row r="1848" spans="1:6">
      <c r="A1848" s="5" t="str">
        <f ca="1">IFERROR(__xludf.DUMMYFUNCTION("""COMPUTED_VALUE"""),"20001005MNMIM")</f>
        <v>20001005MNMIM</v>
      </c>
      <c r="B1848" s="5" t="str">
        <f ca="1">IFERROR(__xludf.DUMMYFUNCTION("""COMPUTED_VALUE"""),"Wounded")</f>
        <v>Wounded</v>
      </c>
      <c r="C1848" s="5" t="str">
        <f ca="1">IFERROR(__xludf.DUMMYFUNCTION("""COMPUTED_VALUE"""),"Male")</f>
        <v>Male</v>
      </c>
      <c r="D1848" s="5" t="str">
        <f ca="1">IFERROR(__xludf.DUMMYFUNCTION("""COMPUTED_VALUE"""),"No Relation")</f>
        <v>No Relation</v>
      </c>
      <c r="E1848" s="5">
        <f ca="1">IFERROR(__xludf.DUMMYFUNCTION("""COMPUTED_VALUE"""),17)</f>
        <v>17</v>
      </c>
      <c r="F1848" s="5"/>
    </row>
    <row r="1849" spans="1:6">
      <c r="A1849" s="5" t="str">
        <f ca="1">IFERROR(__xludf.DUMMYFUNCTION("""COMPUTED_VALUE"""),"20001005MNMIM")</f>
        <v>20001005MNMIM</v>
      </c>
      <c r="B1849" s="5" t="str">
        <f ca="1">IFERROR(__xludf.DUMMYFUNCTION("""COMPUTED_VALUE"""),"Wounded")</f>
        <v>Wounded</v>
      </c>
      <c r="C1849" s="5" t="str">
        <f ca="1">IFERROR(__xludf.DUMMYFUNCTION("""COMPUTED_VALUE"""),"Male")</f>
        <v>Male</v>
      </c>
      <c r="D1849" s="5" t="str">
        <f ca="1">IFERROR(__xludf.DUMMYFUNCTION("""COMPUTED_VALUE"""),"No Relation")</f>
        <v>No Relation</v>
      </c>
      <c r="E1849" s="5">
        <f ca="1">IFERROR(__xludf.DUMMYFUNCTION("""COMPUTED_VALUE"""),22)</f>
        <v>22</v>
      </c>
      <c r="F1849" s="5"/>
    </row>
    <row r="1850" spans="1:6">
      <c r="A1850" s="5" t="str">
        <f ca="1">IFERROR(__xludf.DUMMYFUNCTION("""COMPUTED_VALUE"""),"20000926LACAN")</f>
        <v>20000926LACAN</v>
      </c>
      <c r="B1850" s="5" t="str">
        <f ca="1">IFERROR(__xludf.DUMMYFUNCTION("""COMPUTED_VALUE"""),"Wounded")</f>
        <v>Wounded</v>
      </c>
      <c r="C1850" s="5" t="str">
        <f ca="1">IFERROR(__xludf.DUMMYFUNCTION("""COMPUTED_VALUE"""),"Male")</f>
        <v>Male</v>
      </c>
      <c r="D1850" s="5" t="str">
        <f ca="1">IFERROR(__xludf.DUMMYFUNCTION("""COMPUTED_VALUE"""),"Student")</f>
        <v>Student</v>
      </c>
      <c r="E1850" s="5">
        <f ca="1">IFERROR(__xludf.DUMMYFUNCTION("""COMPUTED_VALUE"""),15)</f>
        <v>15</v>
      </c>
      <c r="F1850" s="5"/>
    </row>
    <row r="1851" spans="1:6">
      <c r="A1851" s="5" t="str">
        <f ca="1">IFERROR(__xludf.DUMMYFUNCTION("""COMPUTED_VALUE"""),"20000926LACAN")</f>
        <v>20000926LACAN</v>
      </c>
      <c r="B1851" s="5" t="str">
        <f ca="1">IFERROR(__xludf.DUMMYFUNCTION("""COMPUTED_VALUE"""),"Wounded")</f>
        <v>Wounded</v>
      </c>
      <c r="C1851" s="5" t="str">
        <f ca="1">IFERROR(__xludf.DUMMYFUNCTION("""COMPUTED_VALUE"""),"Male")</f>
        <v>Male</v>
      </c>
      <c r="D1851" s="5" t="str">
        <f ca="1">IFERROR(__xludf.DUMMYFUNCTION("""COMPUTED_VALUE"""),"Student")</f>
        <v>Student</v>
      </c>
      <c r="E1851" s="5">
        <f ca="1">IFERROR(__xludf.DUMMYFUNCTION("""COMPUTED_VALUE"""),13)</f>
        <v>13</v>
      </c>
      <c r="F1851" s="5"/>
    </row>
    <row r="1852" spans="1:6">
      <c r="A1852" s="5" t="str">
        <f ca="1">IFERROR(__xludf.DUMMYFUNCTION("""COMPUTED_VALUE"""),"20000918OHMOM")</f>
        <v>20000918OHMOM</v>
      </c>
      <c r="B1852" s="5" t="str">
        <f ca="1">IFERROR(__xludf.DUMMYFUNCTION("""COMPUTED_VALUE"""),"None")</f>
        <v>None</v>
      </c>
      <c r="C1852" s="5"/>
      <c r="D1852" s="5"/>
      <c r="E1852" s="5"/>
      <c r="F1852" s="5"/>
    </row>
    <row r="1853" spans="1:6">
      <c r="A1853" s="5" t="str">
        <f ca="1">IFERROR(__xludf.DUMMYFUNCTION("""COMPUTED_VALUE"""),"20000907ILLOR")</f>
        <v>20000907ILLOR</v>
      </c>
      <c r="B1853" s="5" t="str">
        <f ca="1">IFERROR(__xludf.DUMMYFUNCTION("""COMPUTED_VALUE"""),"Fatal")</f>
        <v>Fatal</v>
      </c>
      <c r="C1853" s="5" t="str">
        <f ca="1">IFERROR(__xludf.DUMMYFUNCTION("""COMPUTED_VALUE"""),"Male")</f>
        <v>Male</v>
      </c>
      <c r="D1853" s="5" t="str">
        <f ca="1">IFERROR(__xludf.DUMMYFUNCTION("""COMPUTED_VALUE"""),"No Relation")</f>
        <v>No Relation</v>
      </c>
      <c r="E1853" s="5">
        <f ca="1">IFERROR(__xludf.DUMMYFUNCTION("""COMPUTED_VALUE"""),19)</f>
        <v>19</v>
      </c>
      <c r="F1853" s="5" t="str">
        <f ca="1">IFERROR(__xludf.DUMMYFUNCTION("""COMPUTED_VALUE"""),"Black")</f>
        <v>Black</v>
      </c>
    </row>
    <row r="1854" spans="1:6">
      <c r="A1854" s="5" t="str">
        <f ca="1">IFERROR(__xludf.DUMMYFUNCTION("""COMPUTED_VALUE"""),"20000905OHBIB")</f>
        <v>20000905OHBIB</v>
      </c>
      <c r="B1854" s="5" t="str">
        <f ca="1">IFERROR(__xludf.DUMMYFUNCTION("""COMPUTED_VALUE"""),"Fatal")</f>
        <v>Fatal</v>
      </c>
      <c r="C1854" s="5" t="str">
        <f ca="1">IFERROR(__xludf.DUMMYFUNCTION("""COMPUTED_VALUE"""),"Female")</f>
        <v>Female</v>
      </c>
      <c r="D1854" s="5" t="str">
        <f ca="1">IFERROR(__xludf.DUMMYFUNCTION("""COMPUTED_VALUE"""),"Other Staff")</f>
        <v>Other Staff</v>
      </c>
      <c r="E1854" s="5">
        <f ca="1">IFERROR(__xludf.DUMMYFUNCTION("""COMPUTED_VALUE"""),52)</f>
        <v>52</v>
      </c>
      <c r="F1854" s="5"/>
    </row>
    <row r="1855" spans="1:6">
      <c r="A1855" s="5" t="str">
        <f ca="1">IFERROR(__xludf.DUMMYFUNCTION("""COMPUTED_VALUE"""),"20000726OHTIC")</f>
        <v>20000726OHTIC</v>
      </c>
      <c r="B1855" s="5" t="str">
        <f ca="1">IFERROR(__xludf.DUMMYFUNCTION("""COMPUTED_VALUE"""),"Fatal")</f>
        <v>Fatal</v>
      </c>
      <c r="C1855" s="5" t="str">
        <f ca="1">IFERROR(__xludf.DUMMYFUNCTION("""COMPUTED_VALUE"""),"Male")</f>
        <v>Male</v>
      </c>
      <c r="D1855" s="5" t="str">
        <f ca="1">IFERROR(__xludf.DUMMYFUNCTION("""COMPUTED_VALUE"""),"Student")</f>
        <v>Student</v>
      </c>
      <c r="E1855" s="5">
        <f ca="1">IFERROR(__xludf.DUMMYFUNCTION("""COMPUTED_VALUE"""),17)</f>
        <v>17</v>
      </c>
      <c r="F1855" s="5"/>
    </row>
    <row r="1856" spans="1:6">
      <c r="A1856" s="5" t="str">
        <f ca="1">IFERROR(__xludf.DUMMYFUNCTION("""COMPUTED_VALUE"""),"20000717WADIR")</f>
        <v>20000717WADIR</v>
      </c>
      <c r="B1856" s="5" t="str">
        <f ca="1">IFERROR(__xludf.DUMMYFUNCTION("""COMPUTED_VALUE"""),"None")</f>
        <v>None</v>
      </c>
      <c r="C1856" s="5"/>
      <c r="D1856" s="5"/>
      <c r="E1856" s="5"/>
      <c r="F1856" s="5"/>
    </row>
    <row r="1857" spans="1:6">
      <c r="A1857" s="5" t="str">
        <f ca="1">IFERROR(__xludf.DUMMYFUNCTION("""COMPUTED_VALUE"""),"20000526FLLAL")</f>
        <v>20000526FLLAL</v>
      </c>
      <c r="B1857" s="5" t="str">
        <f ca="1">IFERROR(__xludf.DUMMYFUNCTION("""COMPUTED_VALUE"""),"Fatal")</f>
        <v>Fatal</v>
      </c>
      <c r="C1857" s="5" t="str">
        <f ca="1">IFERROR(__xludf.DUMMYFUNCTION("""COMPUTED_VALUE"""),"Male")</f>
        <v>Male</v>
      </c>
      <c r="D1857" s="5" t="str">
        <f ca="1">IFERROR(__xludf.DUMMYFUNCTION("""COMPUTED_VALUE"""),"Teacher")</f>
        <v>Teacher</v>
      </c>
      <c r="E1857" s="5">
        <f ca="1">IFERROR(__xludf.DUMMYFUNCTION("""COMPUTED_VALUE"""),35)</f>
        <v>35</v>
      </c>
      <c r="F1857" s="5" t="str">
        <f ca="1">IFERROR(__xludf.DUMMYFUNCTION("""COMPUTED_VALUE"""),"Hispanic")</f>
        <v>Hispanic</v>
      </c>
    </row>
    <row r="1858" spans="1:6">
      <c r="A1858" s="5" t="str">
        <f ca="1">IFERROR(__xludf.DUMMYFUNCTION("""COMPUTED_VALUE"""),"20000510AZCAS")</f>
        <v>20000510AZCAS</v>
      </c>
      <c r="B1858" s="5" t="str">
        <f ca="1">IFERROR(__xludf.DUMMYFUNCTION("""COMPUTED_VALUE"""),"Fatal")</f>
        <v>Fatal</v>
      </c>
      <c r="C1858" s="5" t="str">
        <f ca="1">IFERROR(__xludf.DUMMYFUNCTION("""COMPUTED_VALUE"""),"Female")</f>
        <v>Female</v>
      </c>
      <c r="D1858" s="5" t="str">
        <f ca="1">IFERROR(__xludf.DUMMYFUNCTION("""COMPUTED_VALUE"""),"Teacher")</f>
        <v>Teacher</v>
      </c>
      <c r="E1858" s="5">
        <f ca="1">IFERROR(__xludf.DUMMYFUNCTION("""COMPUTED_VALUE"""),36)</f>
        <v>36</v>
      </c>
      <c r="F1858" s="5"/>
    </row>
    <row r="1859" spans="1:6">
      <c r="A1859" s="5" t="str">
        <f ca="1">IFERROR(__xludf.DUMMYFUNCTION("""COMPUTED_VALUE"""),"20000502COTHD")</f>
        <v>20000502COTHD</v>
      </c>
      <c r="B1859" s="5" t="str">
        <f ca="1">IFERROR(__xludf.DUMMYFUNCTION("""COMPUTED_VALUE"""),"None")</f>
        <v>None</v>
      </c>
      <c r="C1859" s="5" t="str">
        <f ca="1">IFERROR(__xludf.DUMMYFUNCTION("""COMPUTED_VALUE"""),"Male")</f>
        <v>Male</v>
      </c>
      <c r="D1859" s="5" t="str">
        <f ca="1">IFERROR(__xludf.DUMMYFUNCTION("""COMPUTED_VALUE"""),"Student")</f>
        <v>Student</v>
      </c>
      <c r="E1859" s="5">
        <f ca="1">IFERROR(__xludf.DUMMYFUNCTION("""COMPUTED_VALUE"""),16)</f>
        <v>16</v>
      </c>
      <c r="F1859" s="5"/>
    </row>
    <row r="1860" spans="1:6">
      <c r="A1860" s="5" t="str">
        <f ca="1">IFERROR(__xludf.DUMMYFUNCTION("""COMPUTED_VALUE"""),"20000410AZLAT")</f>
        <v>20000410AZLAT</v>
      </c>
      <c r="B1860" s="5" t="str">
        <f ca="1">IFERROR(__xludf.DUMMYFUNCTION("""COMPUTED_VALUE"""),"None")</f>
        <v>None</v>
      </c>
      <c r="C1860" s="5" t="str">
        <f ca="1">IFERROR(__xludf.DUMMYFUNCTION("""COMPUTED_VALUE"""),"Female")</f>
        <v>Female</v>
      </c>
      <c r="D1860" s="5" t="str">
        <f ca="1">IFERROR(__xludf.DUMMYFUNCTION("""COMPUTED_VALUE"""),"Teacher")</f>
        <v>Teacher</v>
      </c>
      <c r="E1860" s="5">
        <f ca="1">IFERROR(__xludf.DUMMYFUNCTION("""COMPUTED_VALUE"""),35)</f>
        <v>35</v>
      </c>
      <c r="F1860" s="5"/>
    </row>
    <row r="1861" spans="1:6">
      <c r="A1861" s="5" t="str">
        <f ca="1">IFERROR(__xludf.DUMMYFUNCTION("""COMPUTED_VALUE"""),"20000406OKHUH")</f>
        <v>20000406OKHUH</v>
      </c>
      <c r="B1861" s="5" t="str">
        <f ca="1">IFERROR(__xludf.DUMMYFUNCTION("""COMPUTED_VALUE"""),"Wounded")</f>
        <v>Wounded</v>
      </c>
      <c r="C1861" s="5" t="str">
        <f ca="1">IFERROR(__xludf.DUMMYFUNCTION("""COMPUTED_VALUE"""),"Female")</f>
        <v>Female</v>
      </c>
      <c r="D1861" s="5" t="str">
        <f ca="1">IFERROR(__xludf.DUMMYFUNCTION("""COMPUTED_VALUE"""),"Parent")</f>
        <v>Parent</v>
      </c>
      <c r="E1861" s="5">
        <f ca="1">IFERROR(__xludf.DUMMYFUNCTION("""COMPUTED_VALUE"""),33)</f>
        <v>33</v>
      </c>
      <c r="F1861" s="5"/>
    </row>
    <row r="1862" spans="1:6">
      <c r="A1862" s="5" t="str">
        <f ca="1">IFERROR(__xludf.DUMMYFUNCTION("""COMPUTED_VALUE"""),"20000323OHMCL")</f>
        <v>20000323OHMCL</v>
      </c>
      <c r="B1862" s="5" t="str">
        <f ca="1">IFERROR(__xludf.DUMMYFUNCTION("""COMPUTED_VALUE"""),"None")</f>
        <v>None</v>
      </c>
      <c r="C1862" s="5"/>
      <c r="D1862" s="5"/>
      <c r="E1862" s="5"/>
      <c r="F1862" s="5"/>
    </row>
    <row r="1863" spans="1:6">
      <c r="A1863" s="5" t="str">
        <f ca="1">IFERROR(__xludf.DUMMYFUNCTION("""COMPUTED_VALUE"""),"20000310GABES")</f>
        <v>20000310GABES</v>
      </c>
      <c r="B1863" s="5" t="str">
        <f ca="1">IFERROR(__xludf.DUMMYFUNCTION("""COMPUTED_VALUE"""),"Wounded")</f>
        <v>Wounded</v>
      </c>
      <c r="C1863" s="5" t="str">
        <f ca="1">IFERROR(__xludf.DUMMYFUNCTION("""COMPUTED_VALUE"""),"Male")</f>
        <v>Male</v>
      </c>
      <c r="D1863" s="5" t="str">
        <f ca="1">IFERROR(__xludf.DUMMYFUNCTION("""COMPUTED_VALUE"""),"Student")</f>
        <v>Student</v>
      </c>
      <c r="E1863" s="5">
        <f ca="1">IFERROR(__xludf.DUMMYFUNCTION("""COMPUTED_VALUE"""),16)</f>
        <v>16</v>
      </c>
      <c r="F1863" s="5"/>
    </row>
    <row r="1864" spans="1:6">
      <c r="A1864" s="5" t="str">
        <f ca="1">IFERROR(__xludf.DUMMYFUNCTION("""COMPUTED_VALUE"""),"20000310GABES")</f>
        <v>20000310GABES</v>
      </c>
      <c r="B1864" s="5" t="str">
        <f ca="1">IFERROR(__xludf.DUMMYFUNCTION("""COMPUTED_VALUE"""),"Fatal")</f>
        <v>Fatal</v>
      </c>
      <c r="C1864" s="5" t="str">
        <f ca="1">IFERROR(__xludf.DUMMYFUNCTION("""COMPUTED_VALUE"""),"Female")</f>
        <v>Female</v>
      </c>
      <c r="D1864" s="5" t="str">
        <f ca="1">IFERROR(__xludf.DUMMYFUNCTION("""COMPUTED_VALUE"""),"Student")</f>
        <v>Student</v>
      </c>
      <c r="E1864" s="5">
        <f ca="1">IFERROR(__xludf.DUMMYFUNCTION("""COMPUTED_VALUE"""),19)</f>
        <v>19</v>
      </c>
      <c r="F1864" s="5"/>
    </row>
    <row r="1865" spans="1:6">
      <c r="A1865" s="5" t="str">
        <f ca="1">IFERROR(__xludf.DUMMYFUNCTION("""COMPUTED_VALUE"""),"20000310GABES")</f>
        <v>20000310GABES</v>
      </c>
      <c r="B1865" s="5" t="str">
        <f ca="1">IFERROR(__xludf.DUMMYFUNCTION("""COMPUTED_VALUE"""),"Fatal")</f>
        <v>Fatal</v>
      </c>
      <c r="C1865" s="5" t="str">
        <f ca="1">IFERROR(__xludf.DUMMYFUNCTION("""COMPUTED_VALUE"""),"Male")</f>
        <v>Male</v>
      </c>
      <c r="D1865" s="5" t="str">
        <f ca="1">IFERROR(__xludf.DUMMYFUNCTION("""COMPUTED_VALUE"""),"Student")</f>
        <v>Student</v>
      </c>
      <c r="E1865" s="5">
        <f ca="1">IFERROR(__xludf.DUMMYFUNCTION("""COMPUTED_VALUE"""),16)</f>
        <v>16</v>
      </c>
      <c r="F1865" s="5"/>
    </row>
    <row r="1866" spans="1:6">
      <c r="A1866" s="5" t="str">
        <f ca="1">IFERROR(__xludf.DUMMYFUNCTION("""COMPUTED_VALUE"""),"20000229MIBUF")</f>
        <v>20000229MIBUF</v>
      </c>
      <c r="B1866" s="5" t="str">
        <f ca="1">IFERROR(__xludf.DUMMYFUNCTION("""COMPUTED_VALUE"""),"Fatal")</f>
        <v>Fatal</v>
      </c>
      <c r="C1866" s="5" t="str">
        <f ca="1">IFERROR(__xludf.DUMMYFUNCTION("""COMPUTED_VALUE"""),"Female")</f>
        <v>Female</v>
      </c>
      <c r="D1866" s="5" t="str">
        <f ca="1">IFERROR(__xludf.DUMMYFUNCTION("""COMPUTED_VALUE"""),"Student")</f>
        <v>Student</v>
      </c>
      <c r="E1866" s="5">
        <f ca="1">IFERROR(__xludf.DUMMYFUNCTION("""COMPUTED_VALUE"""),6)</f>
        <v>6</v>
      </c>
      <c r="F1866" s="5"/>
    </row>
    <row r="1867" spans="1:6">
      <c r="A1867" s="5" t="str">
        <f ca="1">IFERROR(__xludf.DUMMYFUNCTION("""COMPUTED_VALUE"""),"20000214ILDUC")</f>
        <v>20000214ILDUC</v>
      </c>
      <c r="B1867" s="5" t="str">
        <f ca="1">IFERROR(__xludf.DUMMYFUNCTION("""COMPUTED_VALUE"""),"Wounded")</f>
        <v>Wounded</v>
      </c>
      <c r="C1867" s="5" t="str">
        <f ca="1">IFERROR(__xludf.DUMMYFUNCTION("""COMPUTED_VALUE"""),"Male")</f>
        <v>Male</v>
      </c>
      <c r="D1867" s="5" t="str">
        <f ca="1">IFERROR(__xludf.DUMMYFUNCTION("""COMPUTED_VALUE"""),"Student")</f>
        <v>Student</v>
      </c>
      <c r="E1867" s="5">
        <f ca="1">IFERROR(__xludf.DUMMYFUNCTION("""COMPUTED_VALUE"""),11)</f>
        <v>11</v>
      </c>
      <c r="F1867" s="5"/>
    </row>
    <row r="1868" spans="1:6">
      <c r="A1868" s="5" t="str">
        <f ca="1">IFERROR(__xludf.DUMMYFUNCTION("""COMPUTED_VALUE"""),"20000210PAPEY")</f>
        <v>20000210PAPEY</v>
      </c>
      <c r="B1868" s="5" t="str">
        <f ca="1">IFERROR(__xludf.DUMMYFUNCTION("""COMPUTED_VALUE"""),"None")</f>
        <v>None</v>
      </c>
      <c r="C1868" s="5" t="str">
        <f ca="1">IFERROR(__xludf.DUMMYFUNCTION("""COMPUTED_VALUE"""),"Male")</f>
        <v>Male</v>
      </c>
      <c r="D1868" s="5" t="str">
        <f ca="1">IFERROR(__xludf.DUMMYFUNCTION("""COMPUTED_VALUE"""),"Student")</f>
        <v>Student</v>
      </c>
      <c r="E1868" s="5">
        <f ca="1">IFERROR(__xludf.DUMMYFUNCTION("""COMPUTED_VALUE"""),14)</f>
        <v>14</v>
      </c>
      <c r="F1868" s="5"/>
    </row>
    <row r="1869" spans="1:6">
      <c r="A1869" s="5" t="str">
        <f ca="1">IFERROR(__xludf.DUMMYFUNCTION("""COMPUTED_VALUE"""),"20000126NESOO")</f>
        <v>20000126NESOO</v>
      </c>
      <c r="B1869" s="5" t="str">
        <f ca="1">IFERROR(__xludf.DUMMYFUNCTION("""COMPUTED_VALUE"""),"Wounded")</f>
        <v>Wounded</v>
      </c>
      <c r="C1869" s="5" t="str">
        <f ca="1">IFERROR(__xludf.DUMMYFUNCTION("""COMPUTED_VALUE"""),"Female")</f>
        <v>Female</v>
      </c>
      <c r="D1869" s="5" t="str">
        <f ca="1">IFERROR(__xludf.DUMMYFUNCTION("""COMPUTED_VALUE"""),"Student")</f>
        <v>Student</v>
      </c>
      <c r="E1869" s="5">
        <f ca="1">IFERROR(__xludf.DUMMYFUNCTION("""COMPUTED_VALUE"""),16)</f>
        <v>16</v>
      </c>
      <c r="F1869" s="5"/>
    </row>
    <row r="1870" spans="1:6">
      <c r="A1870" s="5" t="str">
        <f ca="1">IFERROR(__xludf.DUMMYFUNCTION("""COMPUTED_VALUE"""),"20000126CAALM")</f>
        <v>20000126CAALM</v>
      </c>
      <c r="B1870" s="5" t="str">
        <f ca="1">IFERROR(__xludf.DUMMYFUNCTION("""COMPUTED_VALUE"""),"None")</f>
        <v>None</v>
      </c>
      <c r="C1870" s="5" t="str">
        <f ca="1">IFERROR(__xludf.DUMMYFUNCTION("""COMPUTED_VALUE"""),"Male")</f>
        <v>Male</v>
      </c>
      <c r="D1870" s="5" t="str">
        <f ca="1">IFERROR(__xludf.DUMMYFUNCTION("""COMPUTED_VALUE"""),"No Relation")</f>
        <v>No Relation</v>
      </c>
      <c r="E1870" s="5">
        <f ca="1">IFERROR(__xludf.DUMMYFUNCTION("""COMPUTED_VALUE"""),17)</f>
        <v>17</v>
      </c>
      <c r="F1870" s="5"/>
    </row>
    <row r="1871" spans="1:6">
      <c r="A1871" s="5" t="str">
        <f ca="1">IFERROR(__xludf.DUMMYFUNCTION("""COMPUTED_VALUE"""),"20000120NCERA")</f>
        <v>20000120NCERA</v>
      </c>
      <c r="B1871" s="5" t="str">
        <f ca="1">IFERROR(__xludf.DUMMYFUNCTION("""COMPUTED_VALUE"""),"None")</f>
        <v>None</v>
      </c>
      <c r="C1871" s="5"/>
      <c r="D1871" s="5"/>
      <c r="E1871" s="5"/>
      <c r="F1871" s="5"/>
    </row>
    <row r="1872" spans="1:6">
      <c r="A1872" s="5" t="str">
        <f ca="1">IFERROR(__xludf.DUMMYFUNCTION("""COMPUTED_VALUE"""),"20000119FLRIN")</f>
        <v>20000119FLRIN</v>
      </c>
      <c r="B1872" s="5" t="str">
        <f ca="1">IFERROR(__xludf.DUMMYFUNCTION("""COMPUTED_VALUE"""),"Fatal")</f>
        <v>Fatal</v>
      </c>
      <c r="C1872" s="5" t="str">
        <f ca="1">IFERROR(__xludf.DUMMYFUNCTION("""COMPUTED_VALUE"""),"Male")</f>
        <v>Male</v>
      </c>
      <c r="D1872" s="5" t="str">
        <f ca="1">IFERROR(__xludf.DUMMYFUNCTION("""COMPUTED_VALUE"""),"Student")</f>
        <v>Student</v>
      </c>
      <c r="E1872" s="5">
        <f ca="1">IFERROR(__xludf.DUMMYFUNCTION("""COMPUTED_VALUE"""),16)</f>
        <v>16</v>
      </c>
      <c r="F1872" s="5"/>
    </row>
    <row r="1873" spans="1:6">
      <c r="A1873" s="5" t="str">
        <f ca="1">IFERROR(__xludf.DUMMYFUNCTION("""COMPUTED_VALUE"""),"20000113NMALA")</f>
        <v>20000113NMALA</v>
      </c>
      <c r="B1873" s="5" t="str">
        <f ca="1">IFERROR(__xludf.DUMMYFUNCTION("""COMPUTED_VALUE"""),"None")</f>
        <v>None</v>
      </c>
      <c r="C1873" s="5"/>
      <c r="D1873" s="5"/>
      <c r="E1873" s="5"/>
      <c r="F1873" s="5"/>
    </row>
    <row r="1874" spans="1:6">
      <c r="A1874" s="5" t="str">
        <f ca="1">IFERROR(__xludf.DUMMYFUNCTION("""COMPUTED_VALUE"""),"20000110AKBAA")</f>
        <v>20000110AKBAA</v>
      </c>
      <c r="B1874" s="5" t="str">
        <f ca="1">IFERROR(__xludf.DUMMYFUNCTION("""COMPUTED_VALUE"""),"None")</f>
        <v>None</v>
      </c>
      <c r="C1874" s="5" t="str">
        <f ca="1">IFERROR(__xludf.DUMMYFUNCTION("""COMPUTED_VALUE"""),"Male")</f>
        <v>Male</v>
      </c>
      <c r="D1874" s="5" t="str">
        <f ca="1">IFERROR(__xludf.DUMMYFUNCTION("""COMPUTED_VALUE"""),"Student")</f>
        <v>Student</v>
      </c>
      <c r="E1874" s="5">
        <f ca="1">IFERROR(__xludf.DUMMYFUNCTION("""COMPUTED_VALUE"""),16)</f>
        <v>16</v>
      </c>
      <c r="F1874" s="5"/>
    </row>
    <row r="1875" spans="1:6">
      <c r="A1875" s="5" t="str">
        <f ca="1">IFERROR(__xludf.DUMMYFUNCTION("""COMPUTED_VALUE"""),"19991206OKFOF")</f>
        <v>19991206OKFOF</v>
      </c>
      <c r="B1875" s="5" t="str">
        <f ca="1">IFERROR(__xludf.DUMMYFUNCTION("""COMPUTED_VALUE"""),"Wounded")</f>
        <v>Wounded</v>
      </c>
      <c r="C1875" s="5"/>
      <c r="D1875" s="5" t="str">
        <f ca="1">IFERROR(__xludf.DUMMYFUNCTION("""COMPUTED_VALUE"""),"Student")</f>
        <v>Student</v>
      </c>
      <c r="E1875" s="5">
        <f ca="1">IFERROR(__xludf.DUMMYFUNCTION("""COMPUTED_VALUE"""),12)</f>
        <v>12</v>
      </c>
      <c r="F1875" s="5"/>
    </row>
    <row r="1876" spans="1:6">
      <c r="A1876" s="5" t="str">
        <f ca="1">IFERROR(__xludf.DUMMYFUNCTION("""COMPUTED_VALUE"""),"19991206OKFOF")</f>
        <v>19991206OKFOF</v>
      </c>
      <c r="B1876" s="5" t="str">
        <f ca="1">IFERROR(__xludf.DUMMYFUNCTION("""COMPUTED_VALUE"""),"Wounded")</f>
        <v>Wounded</v>
      </c>
      <c r="C1876" s="5"/>
      <c r="D1876" s="5" t="str">
        <f ca="1">IFERROR(__xludf.DUMMYFUNCTION("""COMPUTED_VALUE"""),"Student")</f>
        <v>Student</v>
      </c>
      <c r="E1876" s="5">
        <f ca="1">IFERROR(__xludf.DUMMYFUNCTION("""COMPUTED_VALUE"""),13)</f>
        <v>13</v>
      </c>
      <c r="F1876" s="5"/>
    </row>
    <row r="1877" spans="1:6">
      <c r="A1877" s="5" t="str">
        <f ca="1">IFERROR(__xludf.DUMMYFUNCTION("""COMPUTED_VALUE"""),"19991206OKFOF")</f>
        <v>19991206OKFOF</v>
      </c>
      <c r="B1877" s="5" t="str">
        <f ca="1">IFERROR(__xludf.DUMMYFUNCTION("""COMPUTED_VALUE"""),"Wounded")</f>
        <v>Wounded</v>
      </c>
      <c r="C1877" s="5"/>
      <c r="D1877" s="5" t="str">
        <f ca="1">IFERROR(__xludf.DUMMYFUNCTION("""COMPUTED_VALUE"""),"Student")</f>
        <v>Student</v>
      </c>
      <c r="E1877" s="5">
        <f ca="1">IFERROR(__xludf.DUMMYFUNCTION("""COMPUTED_VALUE"""),13)</f>
        <v>13</v>
      </c>
      <c r="F1877" s="5"/>
    </row>
    <row r="1878" spans="1:6">
      <c r="A1878" s="5" t="str">
        <f ca="1">IFERROR(__xludf.DUMMYFUNCTION("""COMPUTED_VALUE"""),"19991206OKFOF")</f>
        <v>19991206OKFOF</v>
      </c>
      <c r="B1878" s="5" t="str">
        <f ca="1">IFERROR(__xludf.DUMMYFUNCTION("""COMPUTED_VALUE"""),"Wounded")</f>
        <v>Wounded</v>
      </c>
      <c r="C1878" s="5"/>
      <c r="D1878" s="5" t="str">
        <f ca="1">IFERROR(__xludf.DUMMYFUNCTION("""COMPUTED_VALUE"""),"Student")</f>
        <v>Student</v>
      </c>
      <c r="E1878" s="5">
        <f ca="1">IFERROR(__xludf.DUMMYFUNCTION("""COMPUTED_VALUE"""),13)</f>
        <v>13</v>
      </c>
      <c r="F1878" s="5"/>
    </row>
    <row r="1879" spans="1:6">
      <c r="A1879" s="5" t="str">
        <f ca="1">IFERROR(__xludf.DUMMYFUNCTION("""COMPUTED_VALUE"""),"19991206OKFOF")</f>
        <v>19991206OKFOF</v>
      </c>
      <c r="B1879" s="5" t="str">
        <f ca="1">IFERROR(__xludf.DUMMYFUNCTION("""COMPUTED_VALUE"""),"Wounded")</f>
        <v>Wounded</v>
      </c>
      <c r="C1879" s="5"/>
      <c r="D1879" s="5" t="str">
        <f ca="1">IFERROR(__xludf.DUMMYFUNCTION("""COMPUTED_VALUE"""),"Student")</f>
        <v>Student</v>
      </c>
      <c r="E1879" s="5" t="str">
        <f ca="1">IFERROR(__xludf.DUMMYFUNCTION("""COMPUTED_VALUE"""),"Teen")</f>
        <v>Teen</v>
      </c>
      <c r="F1879" s="5"/>
    </row>
    <row r="1880" spans="1:6">
      <c r="A1880" s="5" t="str">
        <f ca="1">IFERROR(__xludf.DUMMYFUNCTION("""COMPUTED_VALUE"""),"19991119NMDED")</f>
        <v>19991119NMDED</v>
      </c>
      <c r="B1880" s="5" t="str">
        <f ca="1">IFERROR(__xludf.DUMMYFUNCTION("""COMPUTED_VALUE"""),"Fatal")</f>
        <v>Fatal</v>
      </c>
      <c r="C1880" s="5" t="str">
        <f ca="1">IFERROR(__xludf.DUMMYFUNCTION("""COMPUTED_VALUE"""),"Male")</f>
        <v>Male</v>
      </c>
      <c r="D1880" s="5" t="str">
        <f ca="1">IFERROR(__xludf.DUMMYFUNCTION("""COMPUTED_VALUE"""),"Student")</f>
        <v>Student</v>
      </c>
      <c r="E1880" s="5">
        <f ca="1">IFERROR(__xludf.DUMMYFUNCTION("""COMPUTED_VALUE"""),13)</f>
        <v>13</v>
      </c>
      <c r="F1880" s="5"/>
    </row>
    <row r="1881" spans="1:6">
      <c r="A1881" s="5" t="str">
        <f ca="1">IFERROR(__xludf.DUMMYFUNCTION("""COMPUTED_VALUE"""),"19991117TXDID")</f>
        <v>19991117TXDID</v>
      </c>
      <c r="B1881" s="5" t="str">
        <f ca="1">IFERROR(__xludf.DUMMYFUNCTION("""COMPUTED_VALUE"""),"Wounded")</f>
        <v>Wounded</v>
      </c>
      <c r="C1881" s="5" t="str">
        <f ca="1">IFERROR(__xludf.DUMMYFUNCTION("""COMPUTED_VALUE"""),"Male")</f>
        <v>Male</v>
      </c>
      <c r="D1881" s="5" t="str">
        <f ca="1">IFERROR(__xludf.DUMMYFUNCTION("""COMPUTED_VALUE"""),"Student")</f>
        <v>Student</v>
      </c>
      <c r="E1881" s="5">
        <f ca="1">IFERROR(__xludf.DUMMYFUNCTION("""COMPUTED_VALUE"""),15)</f>
        <v>15</v>
      </c>
      <c r="F1881" s="5"/>
    </row>
    <row r="1882" spans="1:6">
      <c r="A1882" s="5" t="str">
        <f ca="1">IFERROR(__xludf.DUMMYFUNCTION("""COMPUTED_VALUE"""),"19991026WVGUB")</f>
        <v>19991026WVGUB</v>
      </c>
      <c r="B1882" s="5" t="str">
        <f ca="1">IFERROR(__xludf.DUMMYFUNCTION("""COMPUTED_VALUE"""),"Fatal")</f>
        <v>Fatal</v>
      </c>
      <c r="C1882" s="5" t="str">
        <f ca="1">IFERROR(__xludf.DUMMYFUNCTION("""COMPUTED_VALUE"""),"Male")</f>
        <v>Male</v>
      </c>
      <c r="D1882" s="5" t="str">
        <f ca="1">IFERROR(__xludf.DUMMYFUNCTION("""COMPUTED_VALUE"""),"Other Staff")</f>
        <v>Other Staff</v>
      </c>
      <c r="E1882" s="5">
        <f ca="1">IFERROR(__xludf.DUMMYFUNCTION("""COMPUTED_VALUE"""),57)</f>
        <v>57</v>
      </c>
      <c r="F1882" s="5"/>
    </row>
    <row r="1883" spans="1:6">
      <c r="A1883" s="5" t="str">
        <f ca="1">IFERROR(__xludf.DUMMYFUNCTION("""COMPUTED_VALUE"""),"19991026PAMAP")</f>
        <v>19991026PAMAP</v>
      </c>
      <c r="B1883" s="5" t="str">
        <f ca="1">IFERROR(__xludf.DUMMYFUNCTION("""COMPUTED_VALUE"""),"Fatal")</f>
        <v>Fatal</v>
      </c>
      <c r="C1883" s="5" t="str">
        <f ca="1">IFERROR(__xludf.DUMMYFUNCTION("""COMPUTED_VALUE"""),"Male")</f>
        <v>Male</v>
      </c>
      <c r="D1883" s="5" t="str">
        <f ca="1">IFERROR(__xludf.DUMMYFUNCTION("""COMPUTED_VALUE"""),"Student")</f>
        <v>Student</v>
      </c>
      <c r="E1883" s="5">
        <f ca="1">IFERROR(__xludf.DUMMYFUNCTION("""COMPUTED_VALUE"""),16)</f>
        <v>16</v>
      </c>
      <c r="F1883" s="5"/>
    </row>
    <row r="1884" spans="1:6">
      <c r="A1884" s="5" t="str">
        <f ca="1">IFERROR(__xludf.DUMMYFUNCTION("""COMPUTED_VALUE"""),"19991021CASAP")</f>
        <v>19991021CASAP</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IFERROR(__xludf.DUMMYFUNCTION("""COMPUTED_VALUE"""),17)</f>
        <v>17</v>
      </c>
      <c r="F1884" s="5"/>
    </row>
    <row r="1885" spans="1:6">
      <c r="A1885" s="5" t="str">
        <f ca="1">IFERROR(__xludf.DUMMYFUNCTION("""COMPUTED_VALUE"""),"19991011NVCLL")</f>
        <v>19991011NVCLL</v>
      </c>
      <c r="B1885" s="5" t="str">
        <f ca="1">IFERROR(__xludf.DUMMYFUNCTION("""COMPUTED_VALUE"""),"Wounded")</f>
        <v>Wounded</v>
      </c>
      <c r="C1885" s="5" t="str">
        <f ca="1">IFERROR(__xludf.DUMMYFUNCTION("""COMPUTED_VALUE"""),"Male")</f>
        <v>Male</v>
      </c>
      <c r="D1885" s="5" t="str">
        <f ca="1">IFERROR(__xludf.DUMMYFUNCTION("""COMPUTED_VALUE"""),"Student")</f>
        <v>Student</v>
      </c>
      <c r="E1885" s="5">
        <f ca="1">IFERROR(__xludf.DUMMYFUNCTION("""COMPUTED_VALUE"""),15)</f>
        <v>15</v>
      </c>
      <c r="F1885" s="5"/>
    </row>
    <row r="1886" spans="1:6">
      <c r="A1886" s="5" t="str">
        <f ca="1">IFERROR(__xludf.DUMMYFUNCTION("""COMPUTED_VALUE"""),"19991011NVCLL")</f>
        <v>19991011NVCLL</v>
      </c>
      <c r="B1886" s="5" t="str">
        <f ca="1">IFERROR(__xludf.DUMMYFUNCTION("""COMPUTED_VALUE"""),"Wounded")</f>
        <v>Wounded</v>
      </c>
      <c r="C1886" s="5" t="str">
        <f ca="1">IFERROR(__xludf.DUMMYFUNCTION("""COMPUTED_VALUE"""),"Male")</f>
        <v>Male</v>
      </c>
      <c r="D1886" s="5" t="str">
        <f ca="1">IFERROR(__xludf.DUMMYFUNCTION("""COMPUTED_VALUE"""),"Student")</f>
        <v>Student</v>
      </c>
      <c r="E1886" s="5">
        <f ca="1">IFERROR(__xludf.DUMMYFUNCTION("""COMPUTED_VALUE"""),16)</f>
        <v>16</v>
      </c>
      <c r="F1886" s="5"/>
    </row>
    <row r="1887" spans="1:6">
      <c r="A1887" s="5" t="str">
        <f ca="1">IFERROR(__xludf.DUMMYFUNCTION("""COMPUTED_VALUE"""),"19991004SDJOP")</f>
        <v>19991004SDJOP</v>
      </c>
      <c r="B1887" s="5" t="str">
        <f ca="1">IFERROR(__xludf.DUMMYFUNCTION("""COMPUTED_VALUE"""),"Wounded")</f>
        <v>Wounded</v>
      </c>
      <c r="C1887" s="5" t="str">
        <f ca="1">IFERROR(__xludf.DUMMYFUNCTION("""COMPUTED_VALUE"""),"Male")</f>
        <v>Male</v>
      </c>
      <c r="D1887" s="5" t="str">
        <f ca="1">IFERROR(__xludf.DUMMYFUNCTION("""COMPUTED_VALUE"""),"Principal/Vice-Principal")</f>
        <v>Principal/Vice-Principal</v>
      </c>
      <c r="E1887" s="5">
        <f ca="1">IFERROR(__xludf.DUMMYFUNCTION("""COMPUTED_VALUE"""),61)</f>
        <v>61</v>
      </c>
      <c r="F1887" s="5"/>
    </row>
    <row r="1888" spans="1:6">
      <c r="A1888" s="5" t="str">
        <f ca="1">IFERROR(__xludf.DUMMYFUNCTION("""COMPUTED_VALUE"""),"19990927FLEGT")</f>
        <v>19990927FLEGT</v>
      </c>
      <c r="B1888" s="5" t="str">
        <f ca="1">IFERROR(__xludf.DUMMYFUNCTION("""COMPUTED_VALUE"""),"Wounded")</f>
        <v>Wounded</v>
      </c>
      <c r="C1888" s="5" t="str">
        <f ca="1">IFERROR(__xludf.DUMMYFUNCTION("""COMPUTED_VALUE"""),"Female")</f>
        <v>Female</v>
      </c>
      <c r="D1888" s="5" t="str">
        <f ca="1">IFERROR(__xludf.DUMMYFUNCTION("""COMPUTED_VALUE"""),"Student")</f>
        <v>Student</v>
      </c>
      <c r="E1888" s="5">
        <f ca="1">IFERROR(__xludf.DUMMYFUNCTION("""COMPUTED_VALUE"""),10)</f>
        <v>10</v>
      </c>
      <c r="F1888" s="5"/>
    </row>
    <row r="1889" spans="1:6">
      <c r="A1889" s="5" t="str">
        <f ca="1">IFERROR(__xludf.DUMMYFUNCTION("""COMPUTED_VALUE"""),"19990909CASAS")</f>
        <v>19990909CASAS</v>
      </c>
      <c r="B1889" s="5" t="str">
        <f ca="1">IFERROR(__xludf.DUMMYFUNCTION("""COMPUTED_VALUE"""),"None")</f>
        <v>None</v>
      </c>
      <c r="C1889" s="5" t="str">
        <f ca="1">IFERROR(__xludf.DUMMYFUNCTION("""COMPUTED_VALUE"""),"Male")</f>
        <v>Male</v>
      </c>
      <c r="D1889" s="5" t="str">
        <f ca="1">IFERROR(__xludf.DUMMYFUNCTION("""COMPUTED_VALUE"""),"Student")</f>
        <v>Student</v>
      </c>
      <c r="E1889" s="5">
        <f ca="1">IFERROR(__xludf.DUMMYFUNCTION("""COMPUTED_VALUE"""),16)</f>
        <v>16</v>
      </c>
      <c r="F1889" s="5"/>
    </row>
    <row r="1890" spans="1:6">
      <c r="A1890" s="5" t="str">
        <f ca="1">IFERROR(__xludf.DUMMYFUNCTION("""COMPUTED_VALUE"""),"19990825GAJAM")</f>
        <v>19990825GAJAM</v>
      </c>
      <c r="B1890" s="5" t="str">
        <f ca="1">IFERROR(__xludf.DUMMYFUNCTION("""COMPUTED_VALUE"""),"None")</f>
        <v>None</v>
      </c>
      <c r="C1890" s="5" t="str">
        <f ca="1">IFERROR(__xludf.DUMMYFUNCTION("""COMPUTED_VALUE"""),"Female")</f>
        <v>Female</v>
      </c>
      <c r="D1890" s="5" t="str">
        <f ca="1">IFERROR(__xludf.DUMMYFUNCTION("""COMPUTED_VALUE"""),"Student")</f>
        <v>Student</v>
      </c>
      <c r="E1890" s="5">
        <f ca="1">IFERROR(__xludf.DUMMYFUNCTION("""COMPUTED_VALUE"""),16)</f>
        <v>16</v>
      </c>
      <c r="F1890" s="5"/>
    </row>
    <row r="1891" spans="1:6">
      <c r="A1891" s="5" t="str">
        <f ca="1">IFERROR(__xludf.DUMMYFUNCTION("""COMPUTED_VALUE"""),"19990520GAHEC")</f>
        <v>19990520GAHEC</v>
      </c>
      <c r="B1891" s="5" t="str">
        <f ca="1">IFERROR(__xludf.DUMMYFUNCTION("""COMPUTED_VALUE"""),"Wounded")</f>
        <v>Wounded</v>
      </c>
      <c r="C1891" s="5"/>
      <c r="D1891" s="5" t="str">
        <f ca="1">IFERROR(__xludf.DUMMYFUNCTION("""COMPUTED_VALUE"""),"Student")</f>
        <v>Student</v>
      </c>
      <c r="E1891" s="5">
        <f ca="1">IFERROR(__xludf.DUMMYFUNCTION("""COMPUTED_VALUE"""),16)</f>
        <v>16</v>
      </c>
      <c r="F1891" s="5"/>
    </row>
    <row r="1892" spans="1:6">
      <c r="A1892" s="5" t="str">
        <f ca="1">IFERROR(__xludf.DUMMYFUNCTION("""COMPUTED_VALUE"""),"19990520GAHEC")</f>
        <v>19990520GAHEC</v>
      </c>
      <c r="B1892" s="5" t="str">
        <f ca="1">IFERROR(__xludf.DUMMYFUNCTION("""COMPUTED_VALUE"""),"Wounded")</f>
        <v>Wounded</v>
      </c>
      <c r="C1892" s="5"/>
      <c r="D1892" s="5" t="str">
        <f ca="1">IFERROR(__xludf.DUMMYFUNCTION("""COMPUTED_VALUE"""),"Student")</f>
        <v>Student</v>
      </c>
      <c r="E1892" s="5">
        <f ca="1">IFERROR(__xludf.DUMMYFUNCTION("""COMPUTED_VALUE"""),17)</f>
        <v>17</v>
      </c>
      <c r="F1892" s="5"/>
    </row>
    <row r="1893" spans="1:6">
      <c r="A1893" s="5" t="str">
        <f ca="1">IFERROR(__xludf.DUMMYFUNCTION("""COMPUTED_VALUE"""),"19990520GAHEC")</f>
        <v>19990520GAHEC</v>
      </c>
      <c r="B1893" s="5" t="str">
        <f ca="1">IFERROR(__xludf.DUMMYFUNCTION("""COMPUTED_VALUE"""),"Wounded")</f>
        <v>Wounded</v>
      </c>
      <c r="C1893" s="5" t="str">
        <f ca="1">IFERROR(__xludf.DUMMYFUNCTION("""COMPUTED_VALUE"""),"Female")</f>
        <v>Female</v>
      </c>
      <c r="D1893" s="5" t="str">
        <f ca="1">IFERROR(__xludf.DUMMYFUNCTION("""COMPUTED_VALUE"""),"Student")</f>
        <v>Student</v>
      </c>
      <c r="E1893" s="5">
        <f ca="1">IFERROR(__xludf.DUMMYFUNCTION("""COMPUTED_VALUE"""),15)</f>
        <v>15</v>
      </c>
      <c r="F1893" s="5"/>
    </row>
    <row r="1894" spans="1:6">
      <c r="A1894" s="5" t="str">
        <f ca="1">IFERROR(__xludf.DUMMYFUNCTION("""COMPUTED_VALUE"""),"19990520GAHEC")</f>
        <v>19990520GAHEC</v>
      </c>
      <c r="B1894" s="5" t="str">
        <f ca="1">IFERROR(__xludf.DUMMYFUNCTION("""COMPUTED_VALUE"""),"Wounded")</f>
        <v>Wounded</v>
      </c>
      <c r="C1894" s="5"/>
      <c r="D1894" s="5" t="str">
        <f ca="1">IFERROR(__xludf.DUMMYFUNCTION("""COMPUTED_VALUE"""),"Student")</f>
        <v>Student</v>
      </c>
      <c r="E1894" s="5">
        <f ca="1">IFERROR(__xludf.DUMMYFUNCTION("""COMPUTED_VALUE"""),18)</f>
        <v>18</v>
      </c>
      <c r="F1894" s="5"/>
    </row>
    <row r="1895" spans="1:6">
      <c r="A1895" s="5" t="str">
        <f ca="1">IFERROR(__xludf.DUMMYFUNCTION("""COMPUTED_VALUE"""),"19990520GAHEC")</f>
        <v>19990520GAHEC</v>
      </c>
      <c r="B1895" s="5" t="str">
        <f ca="1">IFERROR(__xludf.DUMMYFUNCTION("""COMPUTED_VALUE"""),"Wounded")</f>
        <v>Wounded</v>
      </c>
      <c r="C1895" s="5"/>
      <c r="D1895" s="5" t="str">
        <f ca="1">IFERROR(__xludf.DUMMYFUNCTION("""COMPUTED_VALUE"""),"Student")</f>
        <v>Student</v>
      </c>
      <c r="E1895" s="5">
        <f ca="1">IFERROR(__xludf.DUMMYFUNCTION("""COMPUTED_VALUE"""),15)</f>
        <v>15</v>
      </c>
      <c r="F1895" s="5"/>
    </row>
    <row r="1896" spans="1:6">
      <c r="A1896" s="5" t="str">
        <f ca="1">IFERROR(__xludf.DUMMYFUNCTION("""COMPUTED_VALUE"""),"19990520GAHEC")</f>
        <v>19990520GAHEC</v>
      </c>
      <c r="B1896" s="5" t="str">
        <f ca="1">IFERROR(__xludf.DUMMYFUNCTION("""COMPUTED_VALUE"""),"Wounded")</f>
        <v>Wounded</v>
      </c>
      <c r="C1896" s="5"/>
      <c r="D1896" s="5" t="str">
        <f ca="1">IFERROR(__xludf.DUMMYFUNCTION("""COMPUTED_VALUE"""),"Student")</f>
        <v>Student</v>
      </c>
      <c r="E1896" s="5">
        <f ca="1">IFERROR(__xludf.DUMMYFUNCTION("""COMPUTED_VALUE"""),18)</f>
        <v>18</v>
      </c>
      <c r="F1896" s="5"/>
    </row>
    <row r="1897" spans="1:6">
      <c r="A1897" s="5" t="str">
        <f ca="1">IFERROR(__xludf.DUMMYFUNCTION("""COMPUTED_VALUE"""),"19990422LASCB")</f>
        <v>19990422LASCB</v>
      </c>
      <c r="B1897" s="5" t="str">
        <f ca="1">IFERROR(__xludf.DUMMYFUNCTION("""COMPUTED_VALUE"""),"Wounded")</f>
        <v>Wounded</v>
      </c>
      <c r="C1897" s="5" t="str">
        <f ca="1">IFERROR(__xludf.DUMMYFUNCTION("""COMPUTED_VALUE"""),"Female")</f>
        <v>Female</v>
      </c>
      <c r="D1897" s="5" t="str">
        <f ca="1">IFERROR(__xludf.DUMMYFUNCTION("""COMPUTED_VALUE"""),"Student")</f>
        <v>Student</v>
      </c>
      <c r="E1897" s="5">
        <f ca="1">IFERROR(__xludf.DUMMYFUNCTION("""COMPUTED_VALUE"""),14)</f>
        <v>14</v>
      </c>
      <c r="F1897" s="5"/>
    </row>
    <row r="1898" spans="1:6">
      <c r="A1898" s="5" t="str">
        <f ca="1">IFERROR(__xludf.DUMMYFUNCTION("""COMPUTED_VALUE"""),"19990422GAMAA")</f>
        <v>19990422GAMAA</v>
      </c>
      <c r="B1898" s="5" t="str">
        <f ca="1">IFERROR(__xludf.DUMMYFUNCTION("""COMPUTED_VALUE"""),"Fatal")</f>
        <v>Fatal</v>
      </c>
      <c r="C1898" s="5" t="str">
        <f ca="1">IFERROR(__xludf.DUMMYFUNCTION("""COMPUTED_VALUE"""),"Male")</f>
        <v>Male</v>
      </c>
      <c r="D1898" s="5" t="str">
        <f ca="1">IFERROR(__xludf.DUMMYFUNCTION("""COMPUTED_VALUE"""),"Student")</f>
        <v>Student</v>
      </c>
      <c r="E1898" s="5">
        <f ca="1">IFERROR(__xludf.DUMMYFUNCTION("""COMPUTED_VALUE"""),13)</f>
        <v>13</v>
      </c>
      <c r="F1898" s="5" t="str">
        <f ca="1">IFERROR(__xludf.DUMMYFUNCTION("""COMPUTED_VALUE"""),"Black")</f>
        <v>Black</v>
      </c>
    </row>
    <row r="1899" spans="1:6">
      <c r="A1899" s="5" t="str">
        <f ca="1">IFERROR(__xludf.DUMMYFUNCTION("""COMPUTED_VALUE"""),"19990420COCOL")</f>
        <v>19990420COCOL</v>
      </c>
      <c r="B1899" s="5" t="str">
        <f ca="1">IFERROR(__xludf.DUMMYFUNCTION("""COMPUTED_VALUE"""),"Wounded")</f>
        <v>Wounded</v>
      </c>
      <c r="C1899" s="5"/>
      <c r="D1899" s="5" t="str">
        <f ca="1">IFERROR(__xludf.DUMMYFUNCTION("""COMPUTED_VALUE"""),"Student")</f>
        <v>Student</v>
      </c>
      <c r="E1899" s="5">
        <f ca="1">IFERROR(__xludf.DUMMYFUNCTION("""COMPUTED_VALUE"""),17)</f>
        <v>17</v>
      </c>
      <c r="F1899" s="5"/>
    </row>
    <row r="1900" spans="1:6">
      <c r="A1900" s="5" t="str">
        <f ca="1">IFERROR(__xludf.DUMMYFUNCTION("""COMPUTED_VALUE"""),"19990420COCOL")</f>
        <v>19990420COCOL</v>
      </c>
      <c r="B1900" s="5" t="str">
        <f ca="1">IFERROR(__xludf.DUMMYFUNCTION("""COMPUTED_VALUE"""),"Wounded")</f>
        <v>Wounded</v>
      </c>
      <c r="C1900" s="5" t="str">
        <f ca="1">IFERROR(__xludf.DUMMYFUNCTION("""COMPUTED_VALUE"""),"Female")</f>
        <v>Female</v>
      </c>
      <c r="D1900" s="5" t="str">
        <f ca="1">IFERROR(__xludf.DUMMYFUNCTION("""COMPUTED_VALUE"""),"Student")</f>
        <v>Student</v>
      </c>
      <c r="E1900" s="5">
        <f ca="1">IFERROR(__xludf.DUMMYFUNCTION("""COMPUTED_VALUE"""),17)</f>
        <v>17</v>
      </c>
      <c r="F1900" s="5"/>
    </row>
    <row r="1901" spans="1:6">
      <c r="A1901" s="5" t="str">
        <f ca="1">IFERROR(__xludf.DUMMYFUNCTION("""COMPUTED_VALUE"""),"19990420COCOL")</f>
        <v>19990420COCOL</v>
      </c>
      <c r="B1901" s="5" t="str">
        <f ca="1">IFERROR(__xludf.DUMMYFUNCTION("""COMPUTED_VALUE"""),"Wounded")</f>
        <v>Wounded</v>
      </c>
      <c r="C1901" s="5"/>
      <c r="D1901" s="5" t="str">
        <f ca="1">IFERROR(__xludf.DUMMYFUNCTION("""COMPUTED_VALUE"""),"Student")</f>
        <v>Student</v>
      </c>
      <c r="E1901" s="5">
        <f ca="1">IFERROR(__xludf.DUMMYFUNCTION("""COMPUTED_VALUE"""),17)</f>
        <v>17</v>
      </c>
      <c r="F1901" s="5"/>
    </row>
    <row r="1902" spans="1:6">
      <c r="A1902" s="5" t="str">
        <f ca="1">IFERROR(__xludf.DUMMYFUNCTION("""COMPUTED_VALUE"""),"19990420COCOL")</f>
        <v>19990420COCOL</v>
      </c>
      <c r="B1902" s="5" t="str">
        <f ca="1">IFERROR(__xludf.DUMMYFUNCTION("""COMPUTED_VALUE"""),"Fatal")</f>
        <v>Fatal</v>
      </c>
      <c r="C1902" s="5" t="str">
        <f ca="1">IFERROR(__xludf.DUMMYFUNCTION("""COMPUTED_VALUE"""),"Female")</f>
        <v>Female</v>
      </c>
      <c r="D1902" s="5" t="str">
        <f ca="1">IFERROR(__xludf.DUMMYFUNCTION("""COMPUTED_VALUE"""),"Student")</f>
        <v>Student</v>
      </c>
      <c r="E1902" s="5">
        <f ca="1">IFERROR(__xludf.DUMMYFUNCTION("""COMPUTED_VALUE"""),18)</f>
        <v>18</v>
      </c>
      <c r="F1902" s="5" t="str">
        <f ca="1">IFERROR(__xludf.DUMMYFUNCTION("""COMPUTED_VALUE"""),"White")</f>
        <v>White</v>
      </c>
    </row>
    <row r="1903" spans="1:6">
      <c r="A1903" s="5" t="str">
        <f ca="1">IFERROR(__xludf.DUMMYFUNCTION("""COMPUTED_VALUE"""),"19990420COCOL")</f>
        <v>19990420COCOL</v>
      </c>
      <c r="B1903" s="5" t="str">
        <f ca="1">IFERROR(__xludf.DUMMYFUNCTION("""COMPUTED_VALUE"""),"Fatal")</f>
        <v>Fatal</v>
      </c>
      <c r="C1903" s="5" t="str">
        <f ca="1">IFERROR(__xludf.DUMMYFUNCTION("""COMPUTED_VALUE"""),"Male")</f>
        <v>Male</v>
      </c>
      <c r="D1903" s="5" t="str">
        <f ca="1">IFERROR(__xludf.DUMMYFUNCTION("""COMPUTED_VALUE"""),"Student")</f>
        <v>Student</v>
      </c>
      <c r="E1903" s="5">
        <f ca="1">IFERROR(__xludf.DUMMYFUNCTION("""COMPUTED_VALUE"""),17)</f>
        <v>17</v>
      </c>
      <c r="F1903" s="5" t="str">
        <f ca="1">IFERROR(__xludf.DUMMYFUNCTION("""COMPUTED_VALUE"""),"White")</f>
        <v>White</v>
      </c>
    </row>
    <row r="1904" spans="1:6">
      <c r="A1904" s="5" t="str">
        <f ca="1">IFERROR(__xludf.DUMMYFUNCTION("""COMPUTED_VALUE"""),"19990420COCOL")</f>
        <v>19990420COCOL</v>
      </c>
      <c r="B1904" s="5" t="str">
        <f ca="1">IFERROR(__xludf.DUMMYFUNCTION("""COMPUTED_VALUE"""),"Wounded")</f>
        <v>Wounded</v>
      </c>
      <c r="C1904" s="5"/>
      <c r="D1904" s="5" t="str">
        <f ca="1">IFERROR(__xludf.DUMMYFUNCTION("""COMPUTED_VALUE"""),"Student")</f>
        <v>Student</v>
      </c>
      <c r="E1904" s="5" t="str">
        <f ca="1">IFERROR(__xludf.DUMMYFUNCTION("""COMPUTED_VALUE"""),"Teen")</f>
        <v>Teen</v>
      </c>
      <c r="F1904" s="5"/>
    </row>
    <row r="1905" spans="1:6">
      <c r="A1905" s="5" t="str">
        <f ca="1">IFERROR(__xludf.DUMMYFUNCTION("""COMPUTED_VALUE"""),"19990420COCOL")</f>
        <v>19990420COCOL</v>
      </c>
      <c r="B1905" s="5" t="str">
        <f ca="1">IFERROR(__xludf.DUMMYFUNCTION("""COMPUTED_VALUE"""),"Wounded")</f>
        <v>Wounded</v>
      </c>
      <c r="C1905" s="5" t="str">
        <f ca="1">IFERROR(__xludf.DUMMYFUNCTION("""COMPUTED_VALUE"""),"Male")</f>
        <v>Male</v>
      </c>
      <c r="D1905" s="5" t="str">
        <f ca="1">IFERROR(__xludf.DUMMYFUNCTION("""COMPUTED_VALUE"""),"Student")</f>
        <v>Student</v>
      </c>
      <c r="E1905" s="5">
        <f ca="1">IFERROR(__xludf.DUMMYFUNCTION("""COMPUTED_VALUE"""),16)</f>
        <v>16</v>
      </c>
      <c r="F1905" s="5"/>
    </row>
    <row r="1906" spans="1:6">
      <c r="A1906" s="5" t="str">
        <f ca="1">IFERROR(__xludf.DUMMYFUNCTION("""COMPUTED_VALUE"""),"19990420COCOL")</f>
        <v>19990420COCOL</v>
      </c>
      <c r="B1906" s="5" t="str">
        <f ca="1">IFERROR(__xludf.DUMMYFUNCTION("""COMPUTED_VALUE"""),"Wounded")</f>
        <v>Wounded</v>
      </c>
      <c r="C1906" s="5" t="str">
        <f ca="1">IFERROR(__xludf.DUMMYFUNCTION("""COMPUTED_VALUE"""),"Female")</f>
        <v>Female</v>
      </c>
      <c r="D1906" s="5" t="str">
        <f ca="1">IFERROR(__xludf.DUMMYFUNCTION("""COMPUTED_VALUE"""),"Teacher")</f>
        <v>Teacher</v>
      </c>
      <c r="E1906" s="5">
        <f ca="1">IFERROR(__xludf.DUMMYFUNCTION("""COMPUTED_VALUE"""),35)</f>
        <v>35</v>
      </c>
      <c r="F1906" s="5"/>
    </row>
    <row r="1907" spans="1:6">
      <c r="A1907" s="5" t="str">
        <f ca="1">IFERROR(__xludf.DUMMYFUNCTION("""COMPUTED_VALUE"""),"19990420COCOL")</f>
        <v>19990420COCOL</v>
      </c>
      <c r="B1907" s="5" t="str">
        <f ca="1">IFERROR(__xludf.DUMMYFUNCTION("""COMPUTED_VALUE"""),"Wounded")</f>
        <v>Wounded</v>
      </c>
      <c r="C1907" s="5" t="str">
        <f ca="1">IFERROR(__xludf.DUMMYFUNCTION("""COMPUTED_VALUE"""),"Male")</f>
        <v>Male</v>
      </c>
      <c r="D1907" s="5" t="str">
        <f ca="1">IFERROR(__xludf.DUMMYFUNCTION("""COMPUTED_VALUE"""),"Student")</f>
        <v>Student</v>
      </c>
      <c r="E1907" s="5">
        <f ca="1">IFERROR(__xludf.DUMMYFUNCTION("""COMPUTED_VALUE"""),17)</f>
        <v>17</v>
      </c>
      <c r="F1907" s="5"/>
    </row>
    <row r="1908" spans="1:6">
      <c r="A1908" s="5" t="str">
        <f ca="1">IFERROR(__xludf.DUMMYFUNCTION("""COMPUTED_VALUE"""),"19990420COCOL")</f>
        <v>19990420COCOL</v>
      </c>
      <c r="B1908" s="5" t="str">
        <f ca="1">IFERROR(__xludf.DUMMYFUNCTION("""COMPUTED_VALUE"""),"Wounded")</f>
        <v>Wounded</v>
      </c>
      <c r="C1908" s="5"/>
      <c r="D1908" s="5" t="str">
        <f ca="1">IFERROR(__xludf.DUMMYFUNCTION("""COMPUTED_VALUE"""),"Student")</f>
        <v>Student</v>
      </c>
      <c r="E1908" s="5">
        <f ca="1">IFERROR(__xludf.DUMMYFUNCTION("""COMPUTED_VALUE"""),16)</f>
        <v>16</v>
      </c>
      <c r="F1908" s="5"/>
    </row>
    <row r="1909" spans="1:6">
      <c r="A1909" s="5" t="str">
        <f ca="1">IFERROR(__xludf.DUMMYFUNCTION("""COMPUTED_VALUE"""),"19990420COCOL")</f>
        <v>19990420COCOL</v>
      </c>
      <c r="B1909" s="5" t="str">
        <f ca="1">IFERROR(__xludf.DUMMYFUNCTION("""COMPUTED_VALUE"""),"Fatal")</f>
        <v>Fatal</v>
      </c>
      <c r="C1909" s="5" t="str">
        <f ca="1">IFERROR(__xludf.DUMMYFUNCTION("""COMPUTED_VALUE"""),"Male")</f>
        <v>Male</v>
      </c>
      <c r="D1909" s="5" t="str">
        <f ca="1">IFERROR(__xludf.DUMMYFUNCTION("""COMPUTED_VALUE"""),"Student")</f>
        <v>Student</v>
      </c>
      <c r="E1909" s="5">
        <f ca="1">IFERROR(__xludf.DUMMYFUNCTION("""COMPUTED_VALUE"""),16)</f>
        <v>16</v>
      </c>
      <c r="F1909" s="5" t="str">
        <f ca="1">IFERROR(__xludf.DUMMYFUNCTION("""COMPUTED_VALUE"""),"White")</f>
        <v>White</v>
      </c>
    </row>
    <row r="1910" spans="1:6">
      <c r="A1910" s="5" t="str">
        <f ca="1">IFERROR(__xludf.DUMMYFUNCTION("""COMPUTED_VALUE"""),"19990420COCOL")</f>
        <v>19990420COCOL</v>
      </c>
      <c r="B1910" s="5" t="str">
        <f ca="1">IFERROR(__xludf.DUMMYFUNCTION("""COMPUTED_VALUE"""),"Fatal")</f>
        <v>Fatal</v>
      </c>
      <c r="C1910" s="5" t="str">
        <f ca="1">IFERROR(__xludf.DUMMYFUNCTION("""COMPUTED_VALUE"""),"Male")</f>
        <v>Male</v>
      </c>
      <c r="D1910" s="5" t="str">
        <f ca="1">IFERROR(__xludf.DUMMYFUNCTION("""COMPUTED_VALUE"""),"Student")</f>
        <v>Student</v>
      </c>
      <c r="E1910" s="5">
        <f ca="1">IFERROR(__xludf.DUMMYFUNCTION("""COMPUTED_VALUE"""),15)</f>
        <v>15</v>
      </c>
      <c r="F1910" s="5" t="str">
        <f ca="1">IFERROR(__xludf.DUMMYFUNCTION("""COMPUTED_VALUE"""),"White")</f>
        <v>White</v>
      </c>
    </row>
    <row r="1911" spans="1:6">
      <c r="A1911" s="5" t="str">
        <f ca="1">IFERROR(__xludf.DUMMYFUNCTION("""COMPUTED_VALUE"""),"19990420COCOL")</f>
        <v>19990420COCOL</v>
      </c>
      <c r="B1911" s="5" t="str">
        <f ca="1">IFERROR(__xludf.DUMMYFUNCTION("""COMPUTED_VALUE"""),"Fatal")</f>
        <v>Fatal</v>
      </c>
      <c r="C1911" s="5" t="str">
        <f ca="1">IFERROR(__xludf.DUMMYFUNCTION("""COMPUTED_VALUE"""),"Male")</f>
        <v>Male</v>
      </c>
      <c r="D1911" s="5" t="str">
        <f ca="1">IFERROR(__xludf.DUMMYFUNCTION("""COMPUTED_VALUE"""),"Student")</f>
        <v>Student</v>
      </c>
      <c r="E1911" s="5">
        <f ca="1">IFERROR(__xludf.DUMMYFUNCTION("""COMPUTED_VALUE"""),15)</f>
        <v>15</v>
      </c>
      <c r="F1911" s="5" t="str">
        <f ca="1">IFERROR(__xludf.DUMMYFUNCTION("""COMPUTED_VALUE"""),"White")</f>
        <v>White</v>
      </c>
    </row>
    <row r="1912" spans="1:6">
      <c r="A1912" s="5" t="str">
        <f ca="1">IFERROR(__xludf.DUMMYFUNCTION("""COMPUTED_VALUE"""),"19990420COCOL")</f>
        <v>19990420COCOL</v>
      </c>
      <c r="B1912" s="5" t="str">
        <f ca="1">IFERROR(__xludf.DUMMYFUNCTION("""COMPUTED_VALUE"""),"Wounded")</f>
        <v>Wounded</v>
      </c>
      <c r="C1912" s="5"/>
      <c r="D1912" s="5" t="str">
        <f ca="1">IFERROR(__xludf.DUMMYFUNCTION("""COMPUTED_VALUE"""),"Student")</f>
        <v>Student</v>
      </c>
      <c r="E1912" s="5">
        <f ca="1">IFERROR(__xludf.DUMMYFUNCTION("""COMPUTED_VALUE"""),17)</f>
        <v>17</v>
      </c>
      <c r="F1912" s="5"/>
    </row>
    <row r="1913" spans="1:6">
      <c r="A1913" s="5" t="str">
        <f ca="1">IFERROR(__xludf.DUMMYFUNCTION("""COMPUTED_VALUE"""),"19990420COCOL")</f>
        <v>19990420COCOL</v>
      </c>
      <c r="B1913" s="5" t="str">
        <f ca="1">IFERROR(__xludf.DUMMYFUNCTION("""COMPUTED_VALUE"""),"Wounded")</f>
        <v>Wounded</v>
      </c>
      <c r="C1913" s="5" t="str">
        <f ca="1">IFERROR(__xludf.DUMMYFUNCTION("""COMPUTED_VALUE"""),"Female")</f>
        <v>Female</v>
      </c>
      <c r="D1913" s="5" t="str">
        <f ca="1">IFERROR(__xludf.DUMMYFUNCTION("""COMPUTED_VALUE"""),"Student")</f>
        <v>Student</v>
      </c>
      <c r="E1913" s="5">
        <f ca="1">IFERROR(__xludf.DUMMYFUNCTION("""COMPUTED_VALUE"""),17)</f>
        <v>17</v>
      </c>
      <c r="F1913" s="5"/>
    </row>
    <row r="1914" spans="1:6">
      <c r="A1914" s="5" t="str">
        <f ca="1">IFERROR(__xludf.DUMMYFUNCTION("""COMPUTED_VALUE"""),"19990420COCOL")</f>
        <v>19990420COCOL</v>
      </c>
      <c r="B1914" s="5" t="str">
        <f ca="1">IFERROR(__xludf.DUMMYFUNCTION("""COMPUTED_VALUE"""),"Wounded")</f>
        <v>Wounded</v>
      </c>
      <c r="C1914" s="5"/>
      <c r="D1914" s="5" t="str">
        <f ca="1">IFERROR(__xludf.DUMMYFUNCTION("""COMPUTED_VALUE"""),"Student")</f>
        <v>Student</v>
      </c>
      <c r="E1914" s="5">
        <f ca="1">IFERROR(__xludf.DUMMYFUNCTION("""COMPUTED_VALUE"""),16)</f>
        <v>16</v>
      </c>
      <c r="F1914" s="5"/>
    </row>
    <row r="1915" spans="1:6">
      <c r="A1915" s="5" t="str">
        <f ca="1">IFERROR(__xludf.DUMMYFUNCTION("""COMPUTED_VALUE"""),"19990420COCOL")</f>
        <v>19990420COCOL</v>
      </c>
      <c r="B1915" s="5" t="str">
        <f ca="1">IFERROR(__xludf.DUMMYFUNCTION("""COMPUTED_VALUE"""),"Wounded")</f>
        <v>Wounded</v>
      </c>
      <c r="C1915" s="5"/>
      <c r="D1915" s="5" t="str">
        <f ca="1">IFERROR(__xludf.DUMMYFUNCTION("""COMPUTED_VALUE"""),"Student")</f>
        <v>Student</v>
      </c>
      <c r="E1915" s="5">
        <f ca="1">IFERROR(__xludf.DUMMYFUNCTION("""COMPUTED_VALUE"""),18)</f>
        <v>18</v>
      </c>
      <c r="F1915" s="5"/>
    </row>
    <row r="1916" spans="1:6">
      <c r="A1916" s="5" t="str">
        <f ca="1">IFERROR(__xludf.DUMMYFUNCTION("""COMPUTED_VALUE"""),"19990420COCOL")</f>
        <v>19990420COCOL</v>
      </c>
      <c r="B1916" s="5" t="str">
        <f ca="1">IFERROR(__xludf.DUMMYFUNCTION("""COMPUTED_VALUE"""),"Wounded")</f>
        <v>Wounded</v>
      </c>
      <c r="C1916" s="5"/>
      <c r="D1916" s="5" t="str">
        <f ca="1">IFERROR(__xludf.DUMMYFUNCTION("""COMPUTED_VALUE"""),"Student")</f>
        <v>Student</v>
      </c>
      <c r="E1916" s="5">
        <f ca="1">IFERROR(__xludf.DUMMYFUNCTION("""COMPUTED_VALUE"""),18)</f>
        <v>18</v>
      </c>
      <c r="F1916" s="5"/>
    </row>
    <row r="1917" spans="1:6">
      <c r="A1917" s="5" t="str">
        <f ca="1">IFERROR(__xludf.DUMMYFUNCTION("""COMPUTED_VALUE"""),"19990420COCOL")</f>
        <v>19990420COCOL</v>
      </c>
      <c r="B1917" s="5" t="str">
        <f ca="1">IFERROR(__xludf.DUMMYFUNCTION("""COMPUTED_VALUE"""),"Fatal")</f>
        <v>Fatal</v>
      </c>
      <c r="C1917" s="5" t="str">
        <f ca="1">IFERROR(__xludf.DUMMYFUNCTION("""COMPUTED_VALUE"""),"Female")</f>
        <v>Female</v>
      </c>
      <c r="D1917" s="5" t="str">
        <f ca="1">IFERROR(__xludf.DUMMYFUNCTION("""COMPUTED_VALUE"""),"Student")</f>
        <v>Student</v>
      </c>
      <c r="E1917" s="5">
        <f ca="1">IFERROR(__xludf.DUMMYFUNCTION("""COMPUTED_VALUE"""),17)</f>
        <v>17</v>
      </c>
      <c r="F1917" s="5" t="str">
        <f ca="1">IFERROR(__xludf.DUMMYFUNCTION("""COMPUTED_VALUE"""),"White")</f>
        <v>White</v>
      </c>
    </row>
    <row r="1918" spans="1:6">
      <c r="A1918" s="5" t="str">
        <f ca="1">IFERROR(__xludf.DUMMYFUNCTION("""COMPUTED_VALUE"""),"19990420COCOL")</f>
        <v>19990420COCOL</v>
      </c>
      <c r="B1918" s="5" t="str">
        <f ca="1">IFERROR(__xludf.DUMMYFUNCTION("""COMPUTED_VALUE"""),"Fatal")</f>
        <v>Fatal</v>
      </c>
      <c r="C1918" s="5" t="str">
        <f ca="1">IFERROR(__xludf.DUMMYFUNCTION("""COMPUTED_VALUE"""),"Male")</f>
        <v>Male</v>
      </c>
      <c r="D1918" s="5" t="str">
        <f ca="1">IFERROR(__xludf.DUMMYFUNCTION("""COMPUTED_VALUE"""),"Student")</f>
        <v>Student</v>
      </c>
      <c r="E1918" s="5">
        <f ca="1">IFERROR(__xludf.DUMMYFUNCTION("""COMPUTED_VALUE"""),18)</f>
        <v>18</v>
      </c>
      <c r="F1918" s="5" t="str">
        <f ca="1">IFERROR(__xludf.DUMMYFUNCTION("""COMPUTED_VALUE"""),"Black")</f>
        <v>Black</v>
      </c>
    </row>
    <row r="1919" spans="1:6">
      <c r="A1919" s="5" t="str">
        <f ca="1">IFERROR(__xludf.DUMMYFUNCTION("""COMPUTED_VALUE"""),"19990420COCOL")</f>
        <v>19990420COCOL</v>
      </c>
      <c r="B1919" s="5" t="str">
        <f ca="1">IFERROR(__xludf.DUMMYFUNCTION("""COMPUTED_VALUE"""),"Wounded")</f>
        <v>Wounded</v>
      </c>
      <c r="C1919" s="5"/>
      <c r="D1919" s="5" t="str">
        <f ca="1">IFERROR(__xludf.DUMMYFUNCTION("""COMPUTED_VALUE"""),"Student")</f>
        <v>Student</v>
      </c>
      <c r="E1919" s="5" t="str">
        <f ca="1">IFERROR(__xludf.DUMMYFUNCTION("""COMPUTED_VALUE"""),"Teen")</f>
        <v>Teen</v>
      </c>
      <c r="F1919" s="5"/>
    </row>
    <row r="1920" spans="1:6">
      <c r="A1920" s="5" t="str">
        <f ca="1">IFERROR(__xludf.DUMMYFUNCTION("""COMPUTED_VALUE"""),"19990420COCOL")</f>
        <v>19990420COCOL</v>
      </c>
      <c r="B1920" s="5" t="str">
        <f ca="1">IFERROR(__xludf.DUMMYFUNCTION("""COMPUTED_VALUE"""),"Fatal")</f>
        <v>Fatal</v>
      </c>
      <c r="C1920" s="5" t="str">
        <f ca="1">IFERROR(__xludf.DUMMYFUNCTION("""COMPUTED_VALUE"""),"Male")</f>
        <v>Male</v>
      </c>
      <c r="D1920" s="5" t="str">
        <f ca="1">IFERROR(__xludf.DUMMYFUNCTION("""COMPUTED_VALUE"""),"Student")</f>
        <v>Student</v>
      </c>
      <c r="E1920" s="5">
        <f ca="1">IFERROR(__xludf.DUMMYFUNCTION("""COMPUTED_VALUE"""),14)</f>
        <v>14</v>
      </c>
      <c r="F1920" s="5" t="str">
        <f ca="1">IFERROR(__xludf.DUMMYFUNCTION("""COMPUTED_VALUE"""),"White")</f>
        <v>White</v>
      </c>
    </row>
    <row r="1921" spans="1:6">
      <c r="A1921" s="5" t="str">
        <f ca="1">IFERROR(__xludf.DUMMYFUNCTION("""COMPUTED_VALUE"""),"19990420COCOL")</f>
        <v>19990420COCOL</v>
      </c>
      <c r="B1921" s="5" t="str">
        <f ca="1">IFERROR(__xludf.DUMMYFUNCTION("""COMPUTED_VALUE"""),"Wounded")</f>
        <v>Wounded</v>
      </c>
      <c r="C1921" s="5"/>
      <c r="D1921" s="5" t="str">
        <f ca="1">IFERROR(__xludf.DUMMYFUNCTION("""COMPUTED_VALUE"""),"Student")</f>
        <v>Student</v>
      </c>
      <c r="E1921" s="5">
        <f ca="1">IFERROR(__xludf.DUMMYFUNCTION("""COMPUTED_VALUE"""),18)</f>
        <v>18</v>
      </c>
      <c r="F1921" s="5"/>
    </row>
    <row r="1922" spans="1:6">
      <c r="A1922" s="5" t="str">
        <f ca="1">IFERROR(__xludf.DUMMYFUNCTION("""COMPUTED_VALUE"""),"19990420COCOL")</f>
        <v>19990420COCOL</v>
      </c>
      <c r="B1922" s="5" t="str">
        <f ca="1">IFERROR(__xludf.DUMMYFUNCTION("""COMPUTED_VALUE"""),"Fatal")</f>
        <v>Fatal</v>
      </c>
      <c r="C1922" s="5" t="str">
        <f ca="1">IFERROR(__xludf.DUMMYFUNCTION("""COMPUTED_VALUE"""),"Female")</f>
        <v>Female</v>
      </c>
      <c r="D1922" s="5" t="str">
        <f ca="1">IFERROR(__xludf.DUMMYFUNCTION("""COMPUTED_VALUE"""),"Student")</f>
        <v>Student</v>
      </c>
      <c r="E1922" s="5">
        <f ca="1">IFERROR(__xludf.DUMMYFUNCTION("""COMPUTED_VALUE"""),17)</f>
        <v>17</v>
      </c>
      <c r="F1922" s="5" t="str">
        <f ca="1">IFERROR(__xludf.DUMMYFUNCTION("""COMPUTED_VALUE"""),"White")</f>
        <v>White</v>
      </c>
    </row>
    <row r="1923" spans="1:6">
      <c r="A1923" s="5" t="str">
        <f ca="1">IFERROR(__xludf.DUMMYFUNCTION("""COMPUTED_VALUE"""),"19990420COCOL")</f>
        <v>19990420COCOL</v>
      </c>
      <c r="B1923" s="5" t="str">
        <f ca="1">IFERROR(__xludf.DUMMYFUNCTION("""COMPUTED_VALUE"""),"Wounded")</f>
        <v>Wounded</v>
      </c>
      <c r="C1923" s="5" t="str">
        <f ca="1">IFERROR(__xludf.DUMMYFUNCTION("""COMPUTED_VALUE"""),"Male")</f>
        <v>Male</v>
      </c>
      <c r="D1923" s="5" t="str">
        <f ca="1">IFERROR(__xludf.DUMMYFUNCTION("""COMPUTED_VALUE"""),"Student")</f>
        <v>Student</v>
      </c>
      <c r="E1923" s="5">
        <f ca="1">IFERROR(__xludf.DUMMYFUNCTION("""COMPUTED_VALUE"""),16)</f>
        <v>16</v>
      </c>
      <c r="F1923" s="5"/>
    </row>
    <row r="1924" spans="1:6">
      <c r="A1924" s="5" t="str">
        <f ca="1">IFERROR(__xludf.DUMMYFUNCTION("""COMPUTED_VALUE"""),"19990420COCOL")</f>
        <v>19990420COCOL</v>
      </c>
      <c r="B1924" s="5" t="str">
        <f ca="1">IFERROR(__xludf.DUMMYFUNCTION("""COMPUTED_VALUE"""),"Wounded")</f>
        <v>Wounded</v>
      </c>
      <c r="C1924" s="5"/>
      <c r="D1924" s="5" t="str">
        <f ca="1">IFERROR(__xludf.DUMMYFUNCTION("""COMPUTED_VALUE"""),"Teacher")</f>
        <v>Teacher</v>
      </c>
      <c r="E1924" s="5">
        <f ca="1">IFERROR(__xludf.DUMMYFUNCTION("""COMPUTED_VALUE"""),45)</f>
        <v>45</v>
      </c>
      <c r="F1924" s="5"/>
    </row>
    <row r="1925" spans="1:6">
      <c r="A1925" s="5" t="str">
        <f ca="1">IFERROR(__xludf.DUMMYFUNCTION("""COMPUTED_VALUE"""),"19990420COCOL")</f>
        <v>19990420COCOL</v>
      </c>
      <c r="B1925" s="5" t="str">
        <f ca="1">IFERROR(__xludf.DUMMYFUNCTION("""COMPUTED_VALUE"""),"Fatal")</f>
        <v>Fatal</v>
      </c>
      <c r="C1925" s="5" t="str">
        <f ca="1">IFERROR(__xludf.DUMMYFUNCTION("""COMPUTED_VALUE"""),"Male")</f>
        <v>Male</v>
      </c>
      <c r="D1925" s="5" t="str">
        <f ca="1">IFERROR(__xludf.DUMMYFUNCTION("""COMPUTED_VALUE"""),"Teacher")</f>
        <v>Teacher</v>
      </c>
      <c r="E1925" s="5">
        <f ca="1">IFERROR(__xludf.DUMMYFUNCTION("""COMPUTED_VALUE"""),47)</f>
        <v>47</v>
      </c>
      <c r="F1925" s="5" t="str">
        <f ca="1">IFERROR(__xludf.DUMMYFUNCTION("""COMPUTED_VALUE"""),"White")</f>
        <v>White</v>
      </c>
    </row>
    <row r="1926" spans="1:6">
      <c r="A1926" s="5" t="str">
        <f ca="1">IFERROR(__xludf.DUMMYFUNCTION("""COMPUTED_VALUE"""),"19990420COCOL")</f>
        <v>19990420COCOL</v>
      </c>
      <c r="B1926" s="5" t="str">
        <f ca="1">IFERROR(__xludf.DUMMYFUNCTION("""COMPUTED_VALUE"""),"Fatal")</f>
        <v>Fatal</v>
      </c>
      <c r="C1926" s="5" t="str">
        <f ca="1">IFERROR(__xludf.DUMMYFUNCTION("""COMPUTED_VALUE"""),"Male")</f>
        <v>Male</v>
      </c>
      <c r="D1926" s="5" t="str">
        <f ca="1">IFERROR(__xludf.DUMMYFUNCTION("""COMPUTED_VALUE"""),"Student")</f>
        <v>Student</v>
      </c>
      <c r="E1926" s="5">
        <f ca="1">IFERROR(__xludf.DUMMYFUNCTION("""COMPUTED_VALUE"""),16)</f>
        <v>16</v>
      </c>
      <c r="F1926" s="5" t="str">
        <f ca="1">IFERROR(__xludf.DUMMYFUNCTION("""COMPUTED_VALUE"""),"White")</f>
        <v>White</v>
      </c>
    </row>
    <row r="1927" spans="1:6">
      <c r="A1927" s="5" t="str">
        <f ca="1">IFERROR(__xludf.DUMMYFUNCTION("""COMPUTED_VALUE"""),"19990420COCOL")</f>
        <v>19990420COCOL</v>
      </c>
      <c r="B1927" s="5" t="str">
        <f ca="1">IFERROR(__xludf.DUMMYFUNCTION("""COMPUTED_VALUE"""),"Wounded")</f>
        <v>Wounded</v>
      </c>
      <c r="C1927" s="5"/>
      <c r="D1927" s="5" t="str">
        <f ca="1">IFERROR(__xludf.DUMMYFUNCTION("""COMPUTED_VALUE"""),"Student")</f>
        <v>Student</v>
      </c>
      <c r="E1927" s="5">
        <f ca="1">IFERROR(__xludf.DUMMYFUNCTION("""COMPUTED_VALUE"""),18)</f>
        <v>18</v>
      </c>
      <c r="F1927" s="5"/>
    </row>
    <row r="1928" spans="1:6">
      <c r="A1928" s="5" t="str">
        <f ca="1">IFERROR(__xludf.DUMMYFUNCTION("""COMPUTED_VALUE"""),"19990420COCOL")</f>
        <v>19990420COCOL</v>
      </c>
      <c r="B1928" s="5" t="str">
        <f ca="1">IFERROR(__xludf.DUMMYFUNCTION("""COMPUTED_VALUE"""),"Wounded")</f>
        <v>Wounded</v>
      </c>
      <c r="C1928" s="5"/>
      <c r="D1928" s="5" t="str">
        <f ca="1">IFERROR(__xludf.DUMMYFUNCTION("""COMPUTED_VALUE"""),"Student")</f>
        <v>Student</v>
      </c>
      <c r="E1928" s="5">
        <f ca="1">IFERROR(__xludf.DUMMYFUNCTION("""COMPUTED_VALUE"""),17)</f>
        <v>17</v>
      </c>
      <c r="F1928" s="5"/>
    </row>
    <row r="1929" spans="1:6">
      <c r="A1929" s="5" t="str">
        <f ca="1">IFERROR(__xludf.DUMMYFUNCTION("""COMPUTED_VALUE"""),"19990420COCOL")</f>
        <v>19990420COCOL</v>
      </c>
      <c r="B1929" s="5" t="str">
        <f ca="1">IFERROR(__xludf.DUMMYFUNCTION("""COMPUTED_VALUE"""),"Wounded")</f>
        <v>Wounded</v>
      </c>
      <c r="C1929" s="5"/>
      <c r="D1929" s="5" t="str">
        <f ca="1">IFERROR(__xludf.DUMMYFUNCTION("""COMPUTED_VALUE"""),"Student")</f>
        <v>Student</v>
      </c>
      <c r="E1929" s="5">
        <f ca="1">IFERROR(__xludf.DUMMYFUNCTION("""COMPUTED_VALUE"""),16)</f>
        <v>16</v>
      </c>
      <c r="F1929" s="5"/>
    </row>
    <row r="1930" spans="1:6">
      <c r="A1930" s="5" t="str">
        <f ca="1">IFERROR(__xludf.DUMMYFUNCTION("""COMPUTED_VALUE"""),"19990420COCOL")</f>
        <v>19990420COCOL</v>
      </c>
      <c r="B1930" s="5" t="str">
        <f ca="1">IFERROR(__xludf.DUMMYFUNCTION("""COMPUTED_VALUE"""),"Wounded")</f>
        <v>Wounded</v>
      </c>
      <c r="C1930" s="5" t="str">
        <f ca="1">IFERROR(__xludf.DUMMYFUNCTION("""COMPUTED_VALUE"""),"Male")</f>
        <v>Male</v>
      </c>
      <c r="D1930" s="5" t="str">
        <f ca="1">IFERROR(__xludf.DUMMYFUNCTION("""COMPUTED_VALUE"""),"Student")</f>
        <v>Student</v>
      </c>
      <c r="E1930" s="5">
        <f ca="1">IFERROR(__xludf.DUMMYFUNCTION("""COMPUTED_VALUE"""),17)</f>
        <v>17</v>
      </c>
      <c r="F1930" s="5"/>
    </row>
    <row r="1931" spans="1:6">
      <c r="A1931" s="5" t="str">
        <f ca="1">IFERROR(__xludf.DUMMYFUNCTION("""COMPUTED_VALUE"""),"19990420COCOL")</f>
        <v>19990420COCOL</v>
      </c>
      <c r="B1931" s="5" t="str">
        <f ca="1">IFERROR(__xludf.DUMMYFUNCTION("""COMPUTED_VALUE"""),"Wounded")</f>
        <v>Wounded</v>
      </c>
      <c r="C1931" s="5" t="str">
        <f ca="1">IFERROR(__xludf.DUMMYFUNCTION("""COMPUTED_VALUE"""),"Male")</f>
        <v>Male</v>
      </c>
      <c r="D1931" s="5" t="str">
        <f ca="1">IFERROR(__xludf.DUMMYFUNCTION("""COMPUTED_VALUE"""),"Student")</f>
        <v>Student</v>
      </c>
      <c r="E1931" s="5">
        <f ca="1">IFERROR(__xludf.DUMMYFUNCTION("""COMPUTED_VALUE"""),15)</f>
        <v>15</v>
      </c>
      <c r="F1931" s="5"/>
    </row>
    <row r="1932" spans="1:6">
      <c r="A1932" s="5" t="str">
        <f ca="1">IFERROR(__xludf.DUMMYFUNCTION("""COMPUTED_VALUE"""),"19990420COCOL")</f>
        <v>19990420COCOL</v>
      </c>
      <c r="B1932" s="5" t="str">
        <f ca="1">IFERROR(__xludf.DUMMYFUNCTION("""COMPUTED_VALUE"""),"Fatal")</f>
        <v>Fatal</v>
      </c>
      <c r="C1932" s="5" t="str">
        <f ca="1">IFERROR(__xludf.DUMMYFUNCTION("""COMPUTED_VALUE"""),"Male")</f>
        <v>Male</v>
      </c>
      <c r="D1932" s="5" t="str">
        <f ca="1">IFERROR(__xludf.DUMMYFUNCTION("""COMPUTED_VALUE"""),"Student")</f>
        <v>Student</v>
      </c>
      <c r="E1932" s="5">
        <f ca="1">IFERROR(__xludf.DUMMYFUNCTION("""COMPUTED_VALUE"""),17)</f>
        <v>17</v>
      </c>
      <c r="F1932" s="5" t="str">
        <f ca="1">IFERROR(__xludf.DUMMYFUNCTION("""COMPUTED_VALUE"""),"White")</f>
        <v>White</v>
      </c>
    </row>
    <row r="1933" spans="1:6">
      <c r="A1933" s="5" t="str">
        <f ca="1">IFERROR(__xludf.DUMMYFUNCTION("""COMPUTED_VALUE"""),"19990420COCOL")</f>
        <v>19990420COCOL</v>
      </c>
      <c r="B1933" s="5" t="str">
        <f ca="1">IFERROR(__xludf.DUMMYFUNCTION("""COMPUTED_VALUE"""),"Fatal")</f>
        <v>Fatal</v>
      </c>
      <c r="C1933" s="5" t="str">
        <f ca="1">IFERROR(__xludf.DUMMYFUNCTION("""COMPUTED_VALUE"""),"Female")</f>
        <v>Female</v>
      </c>
      <c r="D1933" s="5" t="str">
        <f ca="1">IFERROR(__xludf.DUMMYFUNCTION("""COMPUTED_VALUE"""),"Student")</f>
        <v>Student</v>
      </c>
      <c r="E1933" s="5">
        <f ca="1">IFERROR(__xludf.DUMMYFUNCTION("""COMPUTED_VALUE"""),16)</f>
        <v>16</v>
      </c>
      <c r="F1933" s="5" t="str">
        <f ca="1">IFERROR(__xludf.DUMMYFUNCTION("""COMPUTED_VALUE"""),"White")</f>
        <v>White</v>
      </c>
    </row>
    <row r="1934" spans="1:6">
      <c r="A1934" s="5" t="str">
        <f ca="1">IFERROR(__xludf.DUMMYFUNCTION("""COMPUTED_VALUE"""),"19990420COCOL")</f>
        <v>19990420COCOL</v>
      </c>
      <c r="B1934" s="5" t="str">
        <f ca="1">IFERROR(__xludf.DUMMYFUNCTION("""COMPUTED_VALUE"""),"Wounded")</f>
        <v>Wounded</v>
      </c>
      <c r="C1934" s="5"/>
      <c r="D1934" s="5" t="str">
        <f ca="1">IFERROR(__xludf.DUMMYFUNCTION("""COMPUTED_VALUE"""),"Student")</f>
        <v>Student</v>
      </c>
      <c r="E1934" s="5" t="str">
        <f ca="1">IFERROR(__xludf.DUMMYFUNCTION("""COMPUTED_VALUE"""),"Teen")</f>
        <v>Teen</v>
      </c>
      <c r="F1934" s="5"/>
    </row>
    <row r="1935" spans="1:6">
      <c r="A1935" s="5" t="str">
        <f ca="1">IFERROR(__xludf.DUMMYFUNCTION("""COMPUTED_VALUE"""),"19990420COCOL")</f>
        <v>19990420COCOL</v>
      </c>
      <c r="B1935" s="5" t="str">
        <f ca="1">IFERROR(__xludf.DUMMYFUNCTION("""COMPUTED_VALUE"""),"Wounded")</f>
        <v>Wounded</v>
      </c>
      <c r="C1935" s="5" t="str">
        <f ca="1">IFERROR(__xludf.DUMMYFUNCTION("""COMPUTED_VALUE"""),"Male")</f>
        <v>Male</v>
      </c>
      <c r="D1935" s="5" t="str">
        <f ca="1">IFERROR(__xludf.DUMMYFUNCTION("""COMPUTED_VALUE"""),"Student")</f>
        <v>Student</v>
      </c>
      <c r="E1935" s="5">
        <f ca="1">IFERROR(__xludf.DUMMYFUNCTION("""COMPUTED_VALUE"""),15)</f>
        <v>15</v>
      </c>
      <c r="F1935" s="5"/>
    </row>
    <row r="1936" spans="1:6">
      <c r="A1936" s="5" t="str">
        <f ca="1">IFERROR(__xludf.DUMMYFUNCTION("""COMPUTED_VALUE"""),"19990416IDNON")</f>
        <v>19990416IDNON</v>
      </c>
      <c r="B1936" s="5" t="str">
        <f ca="1">IFERROR(__xludf.DUMMYFUNCTION("""COMPUTED_VALUE"""),"None")</f>
        <v>None</v>
      </c>
      <c r="C1936" s="5"/>
      <c r="D1936" s="5"/>
      <c r="E1936" s="5"/>
      <c r="F1936" s="5"/>
    </row>
    <row r="1937" spans="1:6">
      <c r="A1937" s="5" t="str">
        <f ca="1">IFERROR(__xludf.DUMMYFUNCTION("""COMPUTED_VALUE"""),"19990304ILNIS")</f>
        <v>19990304ILNIS</v>
      </c>
      <c r="B1937" s="5" t="str">
        <f ca="1">IFERROR(__xludf.DUMMYFUNCTION("""COMPUTED_VALUE"""),"Wounded")</f>
        <v>Wounded</v>
      </c>
      <c r="C1937" s="5" t="str">
        <f ca="1">IFERROR(__xludf.DUMMYFUNCTION("""COMPUTED_VALUE"""),"Male")</f>
        <v>Male</v>
      </c>
      <c r="D1937" s="5" t="str">
        <f ca="1">IFERROR(__xludf.DUMMYFUNCTION("""COMPUTED_VALUE"""),"Police Officer/SRO")</f>
        <v>Police Officer/SRO</v>
      </c>
      <c r="E1937" s="5">
        <f ca="1">IFERROR(__xludf.DUMMYFUNCTION("""COMPUTED_VALUE"""),57)</f>
        <v>57</v>
      </c>
      <c r="F1937" s="5"/>
    </row>
    <row r="1938" spans="1:6">
      <c r="A1938" s="5" t="str">
        <f ca="1">IFERROR(__xludf.DUMMYFUNCTION("""COMPUTED_VALUE"""),"19990211MSJEP")</f>
        <v>19990211MSJEP</v>
      </c>
      <c r="B1938" s="5" t="str">
        <f ca="1">IFERROR(__xludf.DUMMYFUNCTION("""COMPUTED_VALUE"""),"None")</f>
        <v>None</v>
      </c>
      <c r="C1938" s="5" t="str">
        <f ca="1">IFERROR(__xludf.DUMMYFUNCTION("""COMPUTED_VALUE"""),"Female")</f>
        <v>Female</v>
      </c>
      <c r="D1938" s="5" t="str">
        <f ca="1">IFERROR(__xludf.DUMMYFUNCTION("""COMPUTED_VALUE"""),"Teacher")</f>
        <v>Teacher</v>
      </c>
      <c r="E1938" s="5" t="str">
        <f ca="1">IFERROR(__xludf.DUMMYFUNCTION("""COMPUTED_VALUE"""),"Adult")</f>
        <v>Adult</v>
      </c>
      <c r="F1938" s="5"/>
    </row>
    <row r="1939" spans="1:6">
      <c r="A1939" s="5" t="str">
        <f ca="1">IFERROR(__xludf.DUMMYFUNCTION("""COMPUTED_VALUE"""),"19990211ILOME")</f>
        <v>19990211ILOME</v>
      </c>
      <c r="B1939" s="5" t="str">
        <f ca="1">IFERROR(__xludf.DUMMYFUNCTION("""COMPUTED_VALUE"""),"Fatal")</f>
        <v>Fatal</v>
      </c>
      <c r="C1939" s="5" t="str">
        <f ca="1">IFERROR(__xludf.DUMMYFUNCTION("""COMPUTED_VALUE"""),"Male")</f>
        <v>Male</v>
      </c>
      <c r="D1939" s="5" t="str">
        <f ca="1">IFERROR(__xludf.DUMMYFUNCTION("""COMPUTED_VALUE"""),"Student")</f>
        <v>Student</v>
      </c>
      <c r="E1939" s="5">
        <f ca="1">IFERROR(__xludf.DUMMYFUNCTION("""COMPUTED_VALUE"""),14)</f>
        <v>14</v>
      </c>
      <c r="F1939" s="5"/>
    </row>
    <row r="1940" spans="1:6">
      <c r="A1940" s="5" t="str">
        <f ca="1">IFERROR(__xludf.DUMMYFUNCTION("""COMPUTED_VALUE"""),"19990121TXRIN")</f>
        <v>19990121TXRIN</v>
      </c>
      <c r="B1940" s="5" t="str">
        <f ca="1">IFERROR(__xludf.DUMMYFUNCTION("""COMPUTED_VALUE"""),"None")</f>
        <v>None</v>
      </c>
      <c r="C1940" s="5" t="str">
        <f ca="1">IFERROR(__xludf.DUMMYFUNCTION("""COMPUTED_VALUE"""),"Male")</f>
        <v>Male</v>
      </c>
      <c r="D1940" s="5" t="str">
        <f ca="1">IFERROR(__xludf.DUMMYFUNCTION("""COMPUTED_VALUE"""),"Student")</f>
        <v>Student</v>
      </c>
      <c r="E1940" s="5">
        <f ca="1">IFERROR(__xludf.DUMMYFUNCTION("""COMPUTED_VALUE"""),15)</f>
        <v>15</v>
      </c>
      <c r="F1940" s="5"/>
    </row>
    <row r="1941" spans="1:6">
      <c r="A1941" s="5" t="str">
        <f ca="1">IFERROR(__xludf.DUMMYFUNCTION("""COMPUTED_VALUE"""),"19990114NYHAN")</f>
        <v>19990114NYHAN</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IFERROR(__xludf.DUMMYFUNCTION("""COMPUTED_VALUE"""),18)</f>
        <v>18</v>
      </c>
      <c r="F1941" s="5"/>
    </row>
    <row r="1942" spans="1:6">
      <c r="A1942" s="5" t="str">
        <f ca="1">IFERROR(__xludf.DUMMYFUNCTION("""COMPUTED_VALUE"""),"19990114NYHAN")</f>
        <v>19990114NYHAN</v>
      </c>
      <c r="B1942" s="5" t="str">
        <f ca="1">IFERROR(__xludf.DUMMYFUNCTION("""COMPUTED_VALUE"""),"Wounded")</f>
        <v>Wounded</v>
      </c>
      <c r="C1942" s="5" t="str">
        <f ca="1">IFERROR(__xludf.DUMMYFUNCTION("""COMPUTED_VALUE"""),"Male")</f>
        <v>Male</v>
      </c>
      <c r="D1942" s="5" t="str">
        <f ca="1">IFERROR(__xludf.DUMMYFUNCTION("""COMPUTED_VALUE"""),"Student")</f>
        <v>Student</v>
      </c>
      <c r="E1942" s="5">
        <f ca="1">IFERROR(__xludf.DUMMYFUNCTION("""COMPUTED_VALUE"""),16)</f>
        <v>16</v>
      </c>
      <c r="F1942" s="5"/>
    </row>
    <row r="1943" spans="1:6">
      <c r="A1943" s="5" t="str">
        <f ca="1">IFERROR(__xludf.DUMMYFUNCTION("""COMPUTED_VALUE"""),"19990108GACEC")</f>
        <v>19990108GACEC</v>
      </c>
      <c r="B1943" s="5" t="str">
        <f ca="1">IFERROR(__xludf.DUMMYFUNCTION("""COMPUTED_VALUE"""),"None")</f>
        <v>None</v>
      </c>
      <c r="C1943" s="5"/>
      <c r="D1943" s="5"/>
      <c r="E1943" s="5"/>
      <c r="F1943" s="5"/>
    </row>
    <row r="1944" spans="1:6">
      <c r="A1944" s="5" t="str">
        <f ca="1">IFERROR(__xludf.DUMMYFUNCTION("""COMPUTED_VALUE"""),"19981211INBEI")</f>
        <v>19981211INBEI</v>
      </c>
      <c r="B1944" s="5" t="str">
        <f ca="1">IFERROR(__xludf.DUMMYFUNCTION("""COMPUTED_VALUE"""),"Wounded")</f>
        <v>Wounded</v>
      </c>
      <c r="C1944" s="5" t="str">
        <f ca="1">IFERROR(__xludf.DUMMYFUNCTION("""COMPUTED_VALUE"""),"Male")</f>
        <v>Male</v>
      </c>
      <c r="D1944" s="5" t="str">
        <f ca="1">IFERROR(__xludf.DUMMYFUNCTION("""COMPUTED_VALUE"""),"Student")</f>
        <v>Student</v>
      </c>
      <c r="E1944" s="5" t="str">
        <f ca="1">IFERROR(__xludf.DUMMYFUNCTION("""COMPUTED_VALUE"""),"Child")</f>
        <v>Child</v>
      </c>
      <c r="F1944" s="5"/>
    </row>
    <row r="1945" spans="1:6">
      <c r="A1945" s="5" t="str">
        <f ca="1">IFERROR(__xludf.DUMMYFUNCTION("""COMPUTED_VALUE"""),"19981203INERG")</f>
        <v>19981203INERG</v>
      </c>
      <c r="B1945" s="5" t="str">
        <f ca="1">IFERROR(__xludf.DUMMYFUNCTION("""COMPUTED_VALUE"""),"Wounded")</f>
        <v>Wounded</v>
      </c>
      <c r="C1945" s="5" t="str">
        <f ca="1">IFERROR(__xludf.DUMMYFUNCTION("""COMPUTED_VALUE"""),"Female")</f>
        <v>Female</v>
      </c>
      <c r="D1945" s="5" t="str">
        <f ca="1">IFERROR(__xludf.DUMMYFUNCTION("""COMPUTED_VALUE"""),"Teacher")</f>
        <v>Teacher</v>
      </c>
      <c r="E1945" s="5">
        <f ca="1">IFERROR(__xludf.DUMMYFUNCTION("""COMPUTED_VALUE"""),29)</f>
        <v>29</v>
      </c>
      <c r="F1945" s="5"/>
    </row>
    <row r="1946" spans="1:6">
      <c r="A1946" s="5" t="str">
        <f ca="1">IFERROR(__xludf.DUMMYFUNCTION("""COMPUTED_VALUE"""),"19981130NYHAH")</f>
        <v>19981130NYHAH</v>
      </c>
      <c r="B1946" s="5" t="str">
        <f ca="1">IFERROR(__xludf.DUMMYFUNCTION("""COMPUTED_VALUE"""),"None")</f>
        <v>None</v>
      </c>
      <c r="C1946" s="5" t="str">
        <f ca="1">IFERROR(__xludf.DUMMYFUNCTION("""COMPUTED_VALUE"""),"Female")</f>
        <v>Female</v>
      </c>
      <c r="D1946" s="5" t="str">
        <f ca="1">IFERROR(__xludf.DUMMYFUNCTION("""COMPUTED_VALUE"""),"Student")</f>
        <v>Student</v>
      </c>
      <c r="E1946" s="5">
        <f ca="1">IFERROR(__xludf.DUMMYFUNCTION("""COMPUTED_VALUE"""),14)</f>
        <v>14</v>
      </c>
      <c r="F1946" s="5"/>
    </row>
    <row r="1947" spans="1:6">
      <c r="A1947" s="5" t="str">
        <f ca="1">IFERROR(__xludf.DUMMYFUNCTION("""COMPUTED_VALUE"""),"19981103PAMAP")</f>
        <v>19981103PAMAP</v>
      </c>
      <c r="B1947" s="5" t="str">
        <f ca="1">IFERROR(__xludf.DUMMYFUNCTION("""COMPUTED_VALUE"""),"Fatal")</f>
        <v>Fatal</v>
      </c>
      <c r="C1947" s="5" t="str">
        <f ca="1">IFERROR(__xludf.DUMMYFUNCTION("""COMPUTED_VALUE"""),"Male")</f>
        <v>Male</v>
      </c>
      <c r="D1947" s="5" t="str">
        <f ca="1">IFERROR(__xludf.DUMMYFUNCTION("""COMPUTED_VALUE"""),"Student")</f>
        <v>Student</v>
      </c>
      <c r="E1947" s="5">
        <f ca="1">IFERROR(__xludf.DUMMYFUNCTION("""COMPUTED_VALUE"""),16)</f>
        <v>16</v>
      </c>
      <c r="F1947" s="5"/>
    </row>
    <row r="1948" spans="1:6">
      <c r="A1948" s="5" t="str">
        <f ca="1">IFERROR(__xludf.DUMMYFUNCTION("""COMPUTED_VALUE"""),"19980930FLNOM")</f>
        <v>19980930FLNOM</v>
      </c>
      <c r="B1948" s="5" t="str">
        <f ca="1">IFERROR(__xludf.DUMMYFUNCTION("""COMPUTED_VALUE"""),"Wounded")</f>
        <v>Wounded</v>
      </c>
      <c r="C1948" s="5" t="str">
        <f ca="1">IFERROR(__xludf.DUMMYFUNCTION("""COMPUTED_VALUE"""),"Male")</f>
        <v>Male</v>
      </c>
      <c r="D1948" s="5" t="str">
        <f ca="1">IFERROR(__xludf.DUMMYFUNCTION("""COMPUTED_VALUE"""),"Teacher")</f>
        <v>Teacher</v>
      </c>
      <c r="E1948" s="5" t="str">
        <f ca="1">IFERROR(__xludf.DUMMYFUNCTION("""COMPUTED_VALUE"""),"Adult")</f>
        <v>Adult</v>
      </c>
      <c r="F1948" s="5"/>
    </row>
    <row r="1949" spans="1:6">
      <c r="A1949" s="5" t="str">
        <f ca="1">IFERROR(__xludf.DUMMYFUNCTION("""COMPUTED_VALUE"""),"19980930FLNOM")</f>
        <v>19980930FLNOM</v>
      </c>
      <c r="B1949" s="5" t="str">
        <f ca="1">IFERROR(__xludf.DUMMYFUNCTION("""COMPUTED_VALUE"""),"Wounded")</f>
        <v>Wounded</v>
      </c>
      <c r="C1949" s="5" t="str">
        <f ca="1">IFERROR(__xludf.DUMMYFUNCTION("""COMPUTED_VALUE"""),"Male")</f>
        <v>Male</v>
      </c>
      <c r="D1949" s="5" t="str">
        <f ca="1">IFERROR(__xludf.DUMMYFUNCTION("""COMPUTED_VALUE"""),"Student")</f>
        <v>Student</v>
      </c>
      <c r="E1949" s="5">
        <f ca="1">IFERROR(__xludf.DUMMYFUNCTION("""COMPUTED_VALUE"""),15)</f>
        <v>15</v>
      </c>
      <c r="F1949" s="5"/>
    </row>
    <row r="1950" spans="1:6">
      <c r="A1950" s="5" t="str">
        <f ca="1">IFERROR(__xludf.DUMMYFUNCTION("""COMPUTED_VALUE"""),"19980930FLNOM")</f>
        <v>19980930FLNOM</v>
      </c>
      <c r="B1950" s="5" t="str">
        <f ca="1">IFERROR(__xludf.DUMMYFUNCTION("""COMPUTED_VALUE"""),"Wounded")</f>
        <v>Wounded</v>
      </c>
      <c r="C1950" s="5" t="str">
        <f ca="1">IFERROR(__xludf.DUMMYFUNCTION("""COMPUTED_VALUE"""),"Male")</f>
        <v>Male</v>
      </c>
      <c r="D1950" s="5" t="str">
        <f ca="1">IFERROR(__xludf.DUMMYFUNCTION("""COMPUTED_VALUE"""),"Student")</f>
        <v>Student</v>
      </c>
      <c r="E1950" s="5">
        <f ca="1">IFERROR(__xludf.DUMMYFUNCTION("""COMPUTED_VALUE"""),17)</f>
        <v>17</v>
      </c>
      <c r="F1950" s="5"/>
    </row>
    <row r="1951" spans="1:6">
      <c r="A1951" s="5" t="str">
        <f ca="1">IFERROR(__xludf.DUMMYFUNCTION("""COMPUTED_VALUE"""),"19980930FLLEL")</f>
        <v>19980930FLLEL</v>
      </c>
      <c r="B1951" s="5" t="str">
        <f ca="1">IFERROR(__xludf.DUMMYFUNCTION("""COMPUTED_VALUE"""),"None")</f>
        <v>None</v>
      </c>
      <c r="C1951" s="5" t="str">
        <f ca="1">IFERROR(__xludf.DUMMYFUNCTION("""COMPUTED_VALUE"""),"Male")</f>
        <v>Male</v>
      </c>
      <c r="D1951" s="5" t="str">
        <f ca="1">IFERROR(__xludf.DUMMYFUNCTION("""COMPUTED_VALUE"""),"Student")</f>
        <v>Student</v>
      </c>
      <c r="E1951" s="5">
        <f ca="1">IFERROR(__xludf.DUMMYFUNCTION("""COMPUTED_VALUE"""),17)</f>
        <v>17</v>
      </c>
      <c r="F1951" s="5"/>
    </row>
    <row r="1952" spans="1:6">
      <c r="A1952" s="5" t="str">
        <f ca="1">IFERROR(__xludf.DUMMYFUNCTION("""COMPUTED_VALUE"""),"19980911CAHEG")</f>
        <v>19980911CAHEG</v>
      </c>
      <c r="B1952" s="5" t="str">
        <f ca="1">IFERROR(__xludf.DUMMYFUNCTION("""COMPUTED_VALUE"""),"Wounded")</f>
        <v>Wounded</v>
      </c>
      <c r="C1952" s="5" t="str">
        <f ca="1">IFERROR(__xludf.DUMMYFUNCTION("""COMPUTED_VALUE"""),"Male")</f>
        <v>Male</v>
      </c>
      <c r="D1952" s="5" t="str">
        <f ca="1">IFERROR(__xludf.DUMMYFUNCTION("""COMPUTED_VALUE"""),"Student")</f>
        <v>Student</v>
      </c>
      <c r="E1952" s="5">
        <f ca="1">IFERROR(__xludf.DUMMYFUNCTION("""COMPUTED_VALUE"""),15)</f>
        <v>15</v>
      </c>
      <c r="F1952" s="5"/>
    </row>
    <row r="1953" spans="1:6">
      <c r="A1953" s="5" t="str">
        <f ca="1">IFERROR(__xludf.DUMMYFUNCTION("""COMPUTED_VALUE"""),"19980615VAARR")</f>
        <v>19980615VAARR</v>
      </c>
      <c r="B1953" s="5" t="str">
        <f ca="1">IFERROR(__xludf.DUMMYFUNCTION("""COMPUTED_VALUE"""),"Wounded")</f>
        <v>Wounded</v>
      </c>
      <c r="C1953" s="5" t="str">
        <f ca="1">IFERROR(__xludf.DUMMYFUNCTION("""COMPUTED_VALUE"""),"Male")</f>
        <v>Male</v>
      </c>
      <c r="D1953" s="5" t="str">
        <f ca="1">IFERROR(__xludf.DUMMYFUNCTION("""COMPUTED_VALUE"""),"Teacher")</f>
        <v>Teacher</v>
      </c>
      <c r="E1953" s="5">
        <f ca="1">IFERROR(__xludf.DUMMYFUNCTION("""COMPUTED_VALUE"""),45)</f>
        <v>45</v>
      </c>
      <c r="F1953" s="5"/>
    </row>
    <row r="1954" spans="1:6">
      <c r="A1954" s="5" t="str">
        <f ca="1">IFERROR(__xludf.DUMMYFUNCTION("""COMPUTED_VALUE"""),"19980615VAARR")</f>
        <v>19980615VAARR</v>
      </c>
      <c r="B1954" s="5" t="str">
        <f ca="1">IFERROR(__xludf.DUMMYFUNCTION("""COMPUTED_VALUE"""),"Wounded")</f>
        <v>Wounded</v>
      </c>
      <c r="C1954" s="5" t="str">
        <f ca="1">IFERROR(__xludf.DUMMYFUNCTION("""COMPUTED_VALUE"""),"Female")</f>
        <v>Female</v>
      </c>
      <c r="D1954" s="5" t="str">
        <f ca="1">IFERROR(__xludf.DUMMYFUNCTION("""COMPUTED_VALUE"""),"Teacher")</f>
        <v>Teacher</v>
      </c>
      <c r="E1954" s="5">
        <f ca="1">IFERROR(__xludf.DUMMYFUNCTION("""COMPUTED_VALUE"""),74)</f>
        <v>74</v>
      </c>
      <c r="F1954" s="5"/>
    </row>
    <row r="1955" spans="1:6">
      <c r="A1955" s="5" t="str">
        <f ca="1">IFERROR(__xludf.DUMMYFUNCTION("""COMPUTED_VALUE"""),"19980529FLSTF")</f>
        <v>19980529FLSTF</v>
      </c>
      <c r="B1955" s="5" t="str">
        <f ca="1">IFERROR(__xludf.DUMMYFUNCTION("""COMPUTED_VALUE"""),"Fatal")</f>
        <v>Fatal</v>
      </c>
      <c r="C1955" s="5" t="str">
        <f ca="1">IFERROR(__xludf.DUMMYFUNCTION("""COMPUTED_VALUE"""),"Female")</f>
        <v>Female</v>
      </c>
      <c r="D1955" s="5" t="str">
        <f ca="1">IFERROR(__xludf.DUMMYFUNCTION("""COMPUTED_VALUE"""),"Teacher")</f>
        <v>Teacher</v>
      </c>
      <c r="E1955" s="5">
        <f ca="1">IFERROR(__xludf.DUMMYFUNCTION("""COMPUTED_VALUE"""),26)</f>
        <v>26</v>
      </c>
      <c r="F1955" s="5" t="str">
        <f ca="1">IFERROR(__xludf.DUMMYFUNCTION("""COMPUTED_VALUE"""),"White")</f>
        <v>White</v>
      </c>
    </row>
    <row r="1956" spans="1:6">
      <c r="A1956" s="5" t="str">
        <f ca="1">IFERROR(__xludf.DUMMYFUNCTION("""COMPUTED_VALUE"""),"19980527CAWAP")</f>
        <v>19980527CAWAP</v>
      </c>
      <c r="B1956" s="5" t="str">
        <f ca="1">IFERROR(__xludf.DUMMYFUNCTION("""COMPUTED_VALUE"""),"Fatal")</f>
        <v>Fatal</v>
      </c>
      <c r="C1956" s="5" t="str">
        <f ca="1">IFERROR(__xludf.DUMMYFUNCTION("""COMPUTED_VALUE"""),"Male")</f>
        <v>Male</v>
      </c>
      <c r="D1956" s="5"/>
      <c r="E1956" s="5">
        <f ca="1">IFERROR(__xludf.DUMMYFUNCTION("""COMPUTED_VALUE"""),14)</f>
        <v>14</v>
      </c>
      <c r="F1956" s="5"/>
    </row>
    <row r="1957" spans="1:6">
      <c r="A1957" s="5" t="str">
        <f ca="1">IFERROR(__xludf.DUMMYFUNCTION("""COMPUTED_VALUE"""),"19980527CAWAP")</f>
        <v>19980527CAWAP</v>
      </c>
      <c r="B1957" s="5" t="str">
        <f ca="1">IFERROR(__xludf.DUMMYFUNCTION("""COMPUTED_VALUE"""),"Fatal")</f>
        <v>Fatal</v>
      </c>
      <c r="C1957" s="5" t="str">
        <f ca="1">IFERROR(__xludf.DUMMYFUNCTION("""COMPUTED_VALUE"""),"Male")</f>
        <v>Male</v>
      </c>
      <c r="D1957" s="5"/>
      <c r="E1957" s="5">
        <f ca="1">IFERROR(__xludf.DUMMYFUNCTION("""COMPUTED_VALUE"""),20)</f>
        <v>20</v>
      </c>
      <c r="F1957" s="5"/>
    </row>
    <row r="1958" spans="1:6">
      <c r="A1958" s="5" t="str">
        <f ca="1">IFERROR(__xludf.DUMMYFUNCTION("""COMPUTED_VALUE"""),"19980521WAONO")</f>
        <v>19980521WAONO</v>
      </c>
      <c r="B1958" s="5" t="str">
        <f ca="1">IFERROR(__xludf.DUMMYFUNCTION("""COMPUTED_VALUE"""),"None")</f>
        <v>None</v>
      </c>
      <c r="C1958" s="5" t="str">
        <f ca="1">IFERROR(__xludf.DUMMYFUNCTION("""COMPUTED_VALUE"""),"Male")</f>
        <v>Male</v>
      </c>
      <c r="D1958" s="5" t="str">
        <f ca="1">IFERROR(__xludf.DUMMYFUNCTION("""COMPUTED_VALUE"""),"Student")</f>
        <v>Student</v>
      </c>
      <c r="E1958" s="5">
        <f ca="1">IFERROR(__xludf.DUMMYFUNCTION("""COMPUTED_VALUE"""),15)</f>
        <v>15</v>
      </c>
      <c r="F1958" s="5"/>
    </row>
    <row r="1959" spans="1:6">
      <c r="A1959" s="5" t="str">
        <f ca="1">IFERROR(__xludf.DUMMYFUNCTION("""COMPUTED_VALUE"""),"19980521ORTHS")</f>
        <v>19980521ORTHS</v>
      </c>
      <c r="B1959" s="5" t="str">
        <f ca="1">IFERROR(__xludf.DUMMYFUNCTION("""COMPUTED_VALUE"""),"Wounded")</f>
        <v>Wounded</v>
      </c>
      <c r="C1959" s="5"/>
      <c r="D1959" s="5" t="str">
        <f ca="1">IFERROR(__xludf.DUMMYFUNCTION("""COMPUTED_VALUE"""),"Student")</f>
        <v>Student</v>
      </c>
      <c r="E1959" s="5">
        <f ca="1">IFERROR(__xludf.DUMMYFUNCTION("""COMPUTED_VALUE"""),16)</f>
        <v>16</v>
      </c>
      <c r="F1959" s="5"/>
    </row>
    <row r="1960" spans="1:6">
      <c r="A1960" s="5" t="str">
        <f ca="1">IFERROR(__xludf.DUMMYFUNCTION("""COMPUTED_VALUE"""),"19980521ORTHS")</f>
        <v>19980521ORTHS</v>
      </c>
      <c r="B1960" s="5" t="str">
        <f ca="1">IFERROR(__xludf.DUMMYFUNCTION("""COMPUTED_VALUE"""),"Wounded")</f>
        <v>Wounded</v>
      </c>
      <c r="C1960" s="5"/>
      <c r="D1960" s="5" t="str">
        <f ca="1">IFERROR(__xludf.DUMMYFUNCTION("""COMPUTED_VALUE"""),"Student")</f>
        <v>Student</v>
      </c>
      <c r="E1960" s="5">
        <f ca="1">IFERROR(__xludf.DUMMYFUNCTION("""COMPUTED_VALUE"""),18)</f>
        <v>18</v>
      </c>
      <c r="F1960" s="5"/>
    </row>
    <row r="1961" spans="1:6">
      <c r="A1961" s="5" t="str">
        <f ca="1">IFERROR(__xludf.DUMMYFUNCTION("""COMPUTED_VALUE"""),"19980521ORTHS")</f>
        <v>19980521ORTHS</v>
      </c>
      <c r="B1961" s="5" t="str">
        <f ca="1">IFERROR(__xludf.DUMMYFUNCTION("""COMPUTED_VALUE"""),"Wounded")</f>
        <v>Wounded</v>
      </c>
      <c r="C1961" s="5"/>
      <c r="D1961" s="5" t="str">
        <f ca="1">IFERROR(__xludf.DUMMYFUNCTION("""COMPUTED_VALUE"""),"Student")</f>
        <v>Student</v>
      </c>
      <c r="E1961" s="5">
        <f ca="1">IFERROR(__xludf.DUMMYFUNCTION("""COMPUTED_VALUE"""),17)</f>
        <v>17</v>
      </c>
      <c r="F1961" s="5"/>
    </row>
    <row r="1962" spans="1:6">
      <c r="A1962" s="5" t="str">
        <f ca="1">IFERROR(__xludf.DUMMYFUNCTION("""COMPUTED_VALUE"""),"19980521ORTHS")</f>
        <v>19980521ORTHS</v>
      </c>
      <c r="B1962" s="5" t="str">
        <f ca="1">IFERROR(__xludf.DUMMYFUNCTION("""COMPUTED_VALUE"""),"Wounded")</f>
        <v>Wounded</v>
      </c>
      <c r="C1962" s="5"/>
      <c r="D1962" s="5" t="str">
        <f ca="1">IFERROR(__xludf.DUMMYFUNCTION("""COMPUTED_VALUE"""),"Student")</f>
        <v>Student</v>
      </c>
      <c r="E1962" s="5" t="str">
        <f ca="1">IFERROR(__xludf.DUMMYFUNCTION("""COMPUTED_VALUE"""),"Teen")</f>
        <v>Teen</v>
      </c>
      <c r="F1962" s="5"/>
    </row>
    <row r="1963" spans="1:6">
      <c r="A1963" s="5" t="str">
        <f ca="1">IFERROR(__xludf.DUMMYFUNCTION("""COMPUTED_VALUE"""),"19980521ORTHS")</f>
        <v>19980521ORTHS</v>
      </c>
      <c r="B1963" s="5" t="str">
        <f ca="1">IFERROR(__xludf.DUMMYFUNCTION("""COMPUTED_VALUE"""),"Wounded")</f>
        <v>Wounded</v>
      </c>
      <c r="C1963" s="5"/>
      <c r="D1963" s="5" t="str">
        <f ca="1">IFERROR(__xludf.DUMMYFUNCTION("""COMPUTED_VALUE"""),"Student")</f>
        <v>Student</v>
      </c>
      <c r="E1963" s="5">
        <f ca="1">IFERROR(__xludf.DUMMYFUNCTION("""COMPUTED_VALUE"""),18)</f>
        <v>18</v>
      </c>
      <c r="F1963" s="5"/>
    </row>
    <row r="1964" spans="1:6">
      <c r="A1964" s="5" t="str">
        <f ca="1">IFERROR(__xludf.DUMMYFUNCTION("""COMPUTED_VALUE"""),"19980521ORTHS")</f>
        <v>19980521ORTHS</v>
      </c>
      <c r="B1964" s="5" t="str">
        <f ca="1">IFERROR(__xludf.DUMMYFUNCTION("""COMPUTED_VALUE"""),"Wounded")</f>
        <v>Wounded</v>
      </c>
      <c r="C1964" s="5"/>
      <c r="D1964" s="5" t="str">
        <f ca="1">IFERROR(__xludf.DUMMYFUNCTION("""COMPUTED_VALUE"""),"Student")</f>
        <v>Student</v>
      </c>
      <c r="E1964" s="5">
        <f ca="1">IFERROR(__xludf.DUMMYFUNCTION("""COMPUTED_VALUE"""),17)</f>
        <v>17</v>
      </c>
      <c r="F1964" s="5"/>
    </row>
    <row r="1965" spans="1:6">
      <c r="A1965" s="5" t="str">
        <f ca="1">IFERROR(__xludf.DUMMYFUNCTION("""COMPUTED_VALUE"""),"19980521ORTHS")</f>
        <v>19980521ORTHS</v>
      </c>
      <c r="B1965" s="5" t="str">
        <f ca="1">IFERROR(__xludf.DUMMYFUNCTION("""COMPUTED_VALUE"""),"Wounded")</f>
        <v>Wounded</v>
      </c>
      <c r="C1965" s="5"/>
      <c r="D1965" s="5" t="str">
        <f ca="1">IFERROR(__xludf.DUMMYFUNCTION("""COMPUTED_VALUE"""),"Student")</f>
        <v>Student</v>
      </c>
      <c r="E1965" s="5">
        <f ca="1">IFERROR(__xludf.DUMMYFUNCTION("""COMPUTED_VALUE"""),15)</f>
        <v>15</v>
      </c>
      <c r="F1965" s="5"/>
    </row>
    <row r="1966" spans="1:6">
      <c r="A1966" s="5" t="str">
        <f ca="1">IFERROR(__xludf.DUMMYFUNCTION("""COMPUTED_VALUE"""),"19980521ORTHS")</f>
        <v>19980521ORTHS</v>
      </c>
      <c r="B1966" s="5" t="str">
        <f ca="1">IFERROR(__xludf.DUMMYFUNCTION("""COMPUTED_VALUE"""),"Wounded")</f>
        <v>Wounded</v>
      </c>
      <c r="C1966" s="5"/>
      <c r="D1966" s="5" t="str">
        <f ca="1">IFERROR(__xludf.DUMMYFUNCTION("""COMPUTED_VALUE"""),"Student")</f>
        <v>Student</v>
      </c>
      <c r="E1966" s="5">
        <f ca="1">IFERROR(__xludf.DUMMYFUNCTION("""COMPUTED_VALUE"""),17)</f>
        <v>17</v>
      </c>
      <c r="F1966" s="5"/>
    </row>
    <row r="1967" spans="1:6">
      <c r="A1967" s="5" t="str">
        <f ca="1">IFERROR(__xludf.DUMMYFUNCTION("""COMPUTED_VALUE"""),"19980521ORTHS")</f>
        <v>19980521ORTHS</v>
      </c>
      <c r="B1967" s="5" t="str">
        <f ca="1">IFERROR(__xludf.DUMMYFUNCTION("""COMPUTED_VALUE"""),"Wounded")</f>
        <v>Wounded</v>
      </c>
      <c r="C1967" s="5"/>
      <c r="D1967" s="5" t="str">
        <f ca="1">IFERROR(__xludf.DUMMYFUNCTION("""COMPUTED_VALUE"""),"Student")</f>
        <v>Student</v>
      </c>
      <c r="E1967" s="5" t="str">
        <f ca="1">IFERROR(__xludf.DUMMYFUNCTION("""COMPUTED_VALUE"""),"Teen")</f>
        <v>Teen</v>
      </c>
      <c r="F1967" s="5"/>
    </row>
    <row r="1968" spans="1:6">
      <c r="A1968" s="5" t="str">
        <f ca="1">IFERROR(__xludf.DUMMYFUNCTION("""COMPUTED_VALUE"""),"19980521ORTHS")</f>
        <v>19980521ORTHS</v>
      </c>
      <c r="B1968" s="5" t="str">
        <f ca="1">IFERROR(__xludf.DUMMYFUNCTION("""COMPUTED_VALUE"""),"Wounded")</f>
        <v>Wounded</v>
      </c>
      <c r="C1968" s="5"/>
      <c r="D1968" s="5" t="str">
        <f ca="1">IFERROR(__xludf.DUMMYFUNCTION("""COMPUTED_VALUE"""),"Student")</f>
        <v>Student</v>
      </c>
      <c r="E1968" s="5">
        <f ca="1">IFERROR(__xludf.DUMMYFUNCTION("""COMPUTED_VALUE"""),14)</f>
        <v>14</v>
      </c>
      <c r="F1968" s="5"/>
    </row>
    <row r="1969" spans="1:6">
      <c r="A1969" s="5" t="str">
        <f ca="1">IFERROR(__xludf.DUMMYFUNCTION("""COMPUTED_VALUE"""),"19980521ORTHS")</f>
        <v>19980521ORTHS</v>
      </c>
      <c r="B1969" s="5" t="str">
        <f ca="1">IFERROR(__xludf.DUMMYFUNCTION("""COMPUTED_VALUE"""),"Wounded")</f>
        <v>Wounded</v>
      </c>
      <c r="C1969" s="5"/>
      <c r="D1969" s="5" t="str">
        <f ca="1">IFERROR(__xludf.DUMMYFUNCTION("""COMPUTED_VALUE"""),"Student")</f>
        <v>Student</v>
      </c>
      <c r="E1969" s="5">
        <f ca="1">IFERROR(__xludf.DUMMYFUNCTION("""COMPUTED_VALUE"""),17)</f>
        <v>17</v>
      </c>
      <c r="F1969" s="5"/>
    </row>
    <row r="1970" spans="1:6">
      <c r="A1970" s="5" t="str">
        <f ca="1">IFERROR(__xludf.DUMMYFUNCTION("""COMPUTED_VALUE"""),"19980521ORTHS")</f>
        <v>19980521ORTHS</v>
      </c>
      <c r="B1970" s="5" t="str">
        <f ca="1">IFERROR(__xludf.DUMMYFUNCTION("""COMPUTED_VALUE"""),"Wounded")</f>
        <v>Wounded</v>
      </c>
      <c r="C1970" s="5"/>
      <c r="D1970" s="5" t="str">
        <f ca="1">IFERROR(__xludf.DUMMYFUNCTION("""COMPUTED_VALUE"""),"Student")</f>
        <v>Student</v>
      </c>
      <c r="E1970" s="5">
        <f ca="1">IFERROR(__xludf.DUMMYFUNCTION("""COMPUTED_VALUE"""),15)</f>
        <v>15</v>
      </c>
      <c r="F1970" s="5"/>
    </row>
    <row r="1971" spans="1:6">
      <c r="A1971" s="5" t="str">
        <f ca="1">IFERROR(__xludf.DUMMYFUNCTION("""COMPUTED_VALUE"""),"19980521ORTHS")</f>
        <v>19980521ORTHS</v>
      </c>
      <c r="B1971" s="5" t="str">
        <f ca="1">IFERROR(__xludf.DUMMYFUNCTION("""COMPUTED_VALUE"""),"Wounded")</f>
        <v>Wounded</v>
      </c>
      <c r="C1971" s="5"/>
      <c r="D1971" s="5" t="str">
        <f ca="1">IFERROR(__xludf.DUMMYFUNCTION("""COMPUTED_VALUE"""),"Student")</f>
        <v>Student</v>
      </c>
      <c r="E1971" s="5">
        <f ca="1">IFERROR(__xludf.DUMMYFUNCTION("""COMPUTED_VALUE"""),16)</f>
        <v>16</v>
      </c>
      <c r="F1971" s="5"/>
    </row>
    <row r="1972" spans="1:6">
      <c r="A1972" s="5" t="str">
        <f ca="1">IFERROR(__xludf.DUMMYFUNCTION("""COMPUTED_VALUE"""),"19980521ORTHS")</f>
        <v>19980521ORTHS</v>
      </c>
      <c r="B1972" s="5" t="str">
        <f ca="1">IFERROR(__xludf.DUMMYFUNCTION("""COMPUTED_VALUE"""),"Wounded")</f>
        <v>Wounded</v>
      </c>
      <c r="C1972" s="5"/>
      <c r="D1972" s="5" t="str">
        <f ca="1">IFERROR(__xludf.DUMMYFUNCTION("""COMPUTED_VALUE"""),"Student")</f>
        <v>Student</v>
      </c>
      <c r="E1972" s="5" t="str">
        <f ca="1">IFERROR(__xludf.DUMMYFUNCTION("""COMPUTED_VALUE"""),"Teen")</f>
        <v>Teen</v>
      </c>
      <c r="F1972" s="5"/>
    </row>
    <row r="1973" spans="1:6">
      <c r="A1973" s="5" t="str">
        <f ca="1">IFERROR(__xludf.DUMMYFUNCTION("""COMPUTED_VALUE"""),"19980521ORTHS")</f>
        <v>19980521ORTHS</v>
      </c>
      <c r="B1973" s="5" t="str">
        <f ca="1">IFERROR(__xludf.DUMMYFUNCTION("""COMPUTED_VALUE"""),"Wounded")</f>
        <v>Wounded</v>
      </c>
      <c r="C1973" s="5"/>
      <c r="D1973" s="5" t="str">
        <f ca="1">IFERROR(__xludf.DUMMYFUNCTION("""COMPUTED_VALUE"""),"Student")</f>
        <v>Student</v>
      </c>
      <c r="E1973" s="5">
        <f ca="1">IFERROR(__xludf.DUMMYFUNCTION("""COMPUTED_VALUE"""),16)</f>
        <v>16</v>
      </c>
      <c r="F1973" s="5"/>
    </row>
    <row r="1974" spans="1:6">
      <c r="A1974" s="5" t="str">
        <f ca="1">IFERROR(__xludf.DUMMYFUNCTION("""COMPUTED_VALUE"""),"19980521ORTHS")</f>
        <v>19980521ORTHS</v>
      </c>
      <c r="B1974" s="5" t="str">
        <f ca="1">IFERROR(__xludf.DUMMYFUNCTION("""COMPUTED_VALUE"""),"Wounded")</f>
        <v>Wounded</v>
      </c>
      <c r="C1974" s="5"/>
      <c r="D1974" s="5" t="str">
        <f ca="1">IFERROR(__xludf.DUMMYFUNCTION("""COMPUTED_VALUE"""),"Student")</f>
        <v>Student</v>
      </c>
      <c r="E1974" s="5">
        <f ca="1">IFERROR(__xludf.DUMMYFUNCTION("""COMPUTED_VALUE"""),17)</f>
        <v>17</v>
      </c>
      <c r="F1974" s="5"/>
    </row>
    <row r="1975" spans="1:6">
      <c r="A1975" s="5" t="str">
        <f ca="1">IFERROR(__xludf.DUMMYFUNCTION("""COMPUTED_VALUE"""),"19980521ORTHS")</f>
        <v>19980521ORTHS</v>
      </c>
      <c r="B1975" s="5" t="str">
        <f ca="1">IFERROR(__xludf.DUMMYFUNCTION("""COMPUTED_VALUE"""),"Wounded")</f>
        <v>Wounded</v>
      </c>
      <c r="C1975" s="5"/>
      <c r="D1975" s="5" t="str">
        <f ca="1">IFERROR(__xludf.DUMMYFUNCTION("""COMPUTED_VALUE"""),"Student")</f>
        <v>Student</v>
      </c>
      <c r="E1975" s="5">
        <f ca="1">IFERROR(__xludf.DUMMYFUNCTION("""COMPUTED_VALUE"""),17)</f>
        <v>17</v>
      </c>
      <c r="F1975" s="5"/>
    </row>
    <row r="1976" spans="1:6">
      <c r="A1976" s="5" t="str">
        <f ca="1">IFERROR(__xludf.DUMMYFUNCTION("""COMPUTED_VALUE"""),"19980521ORTHS")</f>
        <v>19980521ORTHS</v>
      </c>
      <c r="B1976" s="5" t="str">
        <f ca="1">IFERROR(__xludf.DUMMYFUNCTION("""COMPUTED_VALUE"""),"Wounded")</f>
        <v>Wounded</v>
      </c>
      <c r="C1976" s="5"/>
      <c r="D1976" s="5" t="str">
        <f ca="1">IFERROR(__xludf.DUMMYFUNCTION("""COMPUTED_VALUE"""),"Student")</f>
        <v>Student</v>
      </c>
      <c r="E1976" s="5">
        <f ca="1">IFERROR(__xludf.DUMMYFUNCTION("""COMPUTED_VALUE"""),17)</f>
        <v>17</v>
      </c>
      <c r="F1976" s="5"/>
    </row>
    <row r="1977" spans="1:6">
      <c r="A1977" s="5" t="str">
        <f ca="1">IFERROR(__xludf.DUMMYFUNCTION("""COMPUTED_VALUE"""),"19980521ORTHS")</f>
        <v>19980521ORTHS</v>
      </c>
      <c r="B1977" s="5" t="str">
        <f ca="1">IFERROR(__xludf.DUMMYFUNCTION("""COMPUTED_VALUE"""),"Wounded")</f>
        <v>Wounded</v>
      </c>
      <c r="C1977" s="5"/>
      <c r="D1977" s="5" t="str">
        <f ca="1">IFERROR(__xludf.DUMMYFUNCTION("""COMPUTED_VALUE"""),"Student")</f>
        <v>Student</v>
      </c>
      <c r="E1977" s="5">
        <f ca="1">IFERROR(__xludf.DUMMYFUNCTION("""COMPUTED_VALUE"""),17)</f>
        <v>17</v>
      </c>
      <c r="F1977" s="5"/>
    </row>
    <row r="1978" spans="1:6">
      <c r="A1978" s="5" t="str">
        <f ca="1">IFERROR(__xludf.DUMMYFUNCTION("""COMPUTED_VALUE"""),"19980521ORTHS")</f>
        <v>19980521ORTHS</v>
      </c>
      <c r="B1978" s="5" t="str">
        <f ca="1">IFERROR(__xludf.DUMMYFUNCTION("""COMPUTED_VALUE"""),"Wounded")</f>
        <v>Wounded</v>
      </c>
      <c r="C1978" s="5"/>
      <c r="D1978" s="5" t="str">
        <f ca="1">IFERROR(__xludf.DUMMYFUNCTION("""COMPUTED_VALUE"""),"Student")</f>
        <v>Student</v>
      </c>
      <c r="E1978" s="5">
        <f ca="1">IFERROR(__xludf.DUMMYFUNCTION("""COMPUTED_VALUE"""),16)</f>
        <v>16</v>
      </c>
      <c r="F1978" s="5"/>
    </row>
    <row r="1979" spans="1:6">
      <c r="A1979" s="5" t="str">
        <f ca="1">IFERROR(__xludf.DUMMYFUNCTION("""COMPUTED_VALUE"""),"19980521ORTHS")</f>
        <v>19980521ORTHS</v>
      </c>
      <c r="B1979" s="5" t="str">
        <f ca="1">IFERROR(__xludf.DUMMYFUNCTION("""COMPUTED_VALUE"""),"Fatal")</f>
        <v>Fatal</v>
      </c>
      <c r="C1979" s="5" t="str">
        <f ca="1">IFERROR(__xludf.DUMMYFUNCTION("""COMPUTED_VALUE"""),"Male")</f>
        <v>Male</v>
      </c>
      <c r="D1979" s="5" t="str">
        <f ca="1">IFERROR(__xludf.DUMMYFUNCTION("""COMPUTED_VALUE"""),"Student")</f>
        <v>Student</v>
      </c>
      <c r="E1979" s="5">
        <f ca="1">IFERROR(__xludf.DUMMYFUNCTION("""COMPUTED_VALUE"""),17)</f>
        <v>17</v>
      </c>
      <c r="F1979" s="5"/>
    </row>
    <row r="1980" spans="1:6">
      <c r="A1980" s="5" t="str">
        <f ca="1">IFERROR(__xludf.DUMMYFUNCTION("""COMPUTED_VALUE"""),"19980521ORTHS")</f>
        <v>19980521ORTHS</v>
      </c>
      <c r="B1980" s="5" t="str">
        <f ca="1">IFERROR(__xludf.DUMMYFUNCTION("""COMPUTED_VALUE"""),"Wounded")</f>
        <v>Wounded</v>
      </c>
      <c r="C1980" s="5"/>
      <c r="D1980" s="5" t="str">
        <f ca="1">IFERROR(__xludf.DUMMYFUNCTION("""COMPUTED_VALUE"""),"Student")</f>
        <v>Student</v>
      </c>
      <c r="E1980" s="5">
        <f ca="1">IFERROR(__xludf.DUMMYFUNCTION("""COMPUTED_VALUE"""),15)</f>
        <v>15</v>
      </c>
      <c r="F1980" s="5"/>
    </row>
    <row r="1981" spans="1:6">
      <c r="A1981" s="5" t="str">
        <f ca="1">IFERROR(__xludf.DUMMYFUNCTION("""COMPUTED_VALUE"""),"19980521ORTHS")</f>
        <v>19980521ORTHS</v>
      </c>
      <c r="B1981" s="5" t="str">
        <f ca="1">IFERROR(__xludf.DUMMYFUNCTION("""COMPUTED_VALUE"""),"Fatal")</f>
        <v>Fatal</v>
      </c>
      <c r="C1981" s="5" t="str">
        <f ca="1">IFERROR(__xludf.DUMMYFUNCTION("""COMPUTED_VALUE"""),"Male")</f>
        <v>Male</v>
      </c>
      <c r="D1981" s="5" t="str">
        <f ca="1">IFERROR(__xludf.DUMMYFUNCTION("""COMPUTED_VALUE"""),"Student")</f>
        <v>Student</v>
      </c>
      <c r="E1981" s="5" t="str">
        <f ca="1">IFERROR(__xludf.DUMMYFUNCTION("""COMPUTED_VALUE"""),"Teen")</f>
        <v>Teen</v>
      </c>
      <c r="F1981" s="5"/>
    </row>
    <row r="1982" spans="1:6">
      <c r="A1982" s="5" t="str">
        <f ca="1">IFERROR(__xludf.DUMMYFUNCTION("""COMPUTED_VALUE"""),"19980521ORTHS")</f>
        <v>19980521ORTHS</v>
      </c>
      <c r="B1982" s="5" t="str">
        <f ca="1">IFERROR(__xludf.DUMMYFUNCTION("""COMPUTED_VALUE"""),"Wounded")</f>
        <v>Wounded</v>
      </c>
      <c r="C1982" s="5"/>
      <c r="D1982" s="5" t="str">
        <f ca="1">IFERROR(__xludf.DUMMYFUNCTION("""COMPUTED_VALUE"""),"Student")</f>
        <v>Student</v>
      </c>
      <c r="E1982" s="5">
        <f ca="1">IFERROR(__xludf.DUMMYFUNCTION("""COMPUTED_VALUE"""),16)</f>
        <v>16</v>
      </c>
      <c r="F1982" s="5"/>
    </row>
    <row r="1983" spans="1:6">
      <c r="A1983" s="5" t="str">
        <f ca="1">IFERROR(__xludf.DUMMYFUNCTION("""COMPUTED_VALUE"""),"19980521ORTHS")</f>
        <v>19980521ORTHS</v>
      </c>
      <c r="B1983" s="5" t="str">
        <f ca="1">IFERROR(__xludf.DUMMYFUNCTION("""COMPUTED_VALUE"""),"Wounded")</f>
        <v>Wounded</v>
      </c>
      <c r="C1983" s="5"/>
      <c r="D1983" s="5" t="str">
        <f ca="1">IFERROR(__xludf.DUMMYFUNCTION("""COMPUTED_VALUE"""),"Student")</f>
        <v>Student</v>
      </c>
      <c r="E1983" s="5">
        <f ca="1">IFERROR(__xludf.DUMMYFUNCTION("""COMPUTED_VALUE"""),17)</f>
        <v>17</v>
      </c>
      <c r="F1983" s="5"/>
    </row>
    <row r="1984" spans="1:6">
      <c r="A1984" s="5" t="str">
        <f ca="1">IFERROR(__xludf.DUMMYFUNCTION("""COMPUTED_VALUE"""),"19980521ORTHS")</f>
        <v>19980521ORTHS</v>
      </c>
      <c r="B1984" s="5" t="str">
        <f ca="1">IFERROR(__xludf.DUMMYFUNCTION("""COMPUTED_VALUE"""),"Wounded")</f>
        <v>Wounded</v>
      </c>
      <c r="C1984" s="5"/>
      <c r="D1984" s="5" t="str">
        <f ca="1">IFERROR(__xludf.DUMMYFUNCTION("""COMPUTED_VALUE"""),"Student")</f>
        <v>Student</v>
      </c>
      <c r="E1984" s="5">
        <f ca="1">IFERROR(__xludf.DUMMYFUNCTION("""COMPUTED_VALUE"""),17)</f>
        <v>17</v>
      </c>
      <c r="F1984" s="5"/>
    </row>
    <row r="1985" spans="1:6">
      <c r="A1985" s="5" t="str">
        <f ca="1">IFERROR(__xludf.DUMMYFUNCTION("""COMPUTED_VALUE"""),"19980521ORTHS")</f>
        <v>19980521ORTHS</v>
      </c>
      <c r="B1985" s="5" t="str">
        <f ca="1">IFERROR(__xludf.DUMMYFUNCTION("""COMPUTED_VALUE"""),"Wounded")</f>
        <v>Wounded</v>
      </c>
      <c r="C1985" s="5"/>
      <c r="D1985" s="5" t="str">
        <f ca="1">IFERROR(__xludf.DUMMYFUNCTION("""COMPUTED_VALUE"""),"Student")</f>
        <v>Student</v>
      </c>
      <c r="E1985" s="5">
        <f ca="1">IFERROR(__xludf.DUMMYFUNCTION("""COMPUTED_VALUE"""),17)</f>
        <v>17</v>
      </c>
      <c r="F1985" s="5"/>
    </row>
    <row r="1986" spans="1:6">
      <c r="A1986" s="5" t="str">
        <f ca="1">IFERROR(__xludf.DUMMYFUNCTION("""COMPUTED_VALUE"""),"19980521CARIR")</f>
        <v>19980521CARIR</v>
      </c>
      <c r="B1986" s="5" t="str">
        <f ca="1">IFERROR(__xludf.DUMMYFUNCTION("""COMPUTED_VALUE"""),"None")</f>
        <v>None</v>
      </c>
      <c r="C1986" s="5" t="str">
        <f ca="1">IFERROR(__xludf.DUMMYFUNCTION("""COMPUTED_VALUE"""),"Male")</f>
        <v>Male</v>
      </c>
      <c r="D1986" s="5" t="str">
        <f ca="1">IFERROR(__xludf.DUMMYFUNCTION("""COMPUTED_VALUE"""),"Student")</f>
        <v>Student</v>
      </c>
      <c r="E1986" s="5">
        <f ca="1">IFERROR(__xludf.DUMMYFUNCTION("""COMPUTED_VALUE"""),15)</f>
        <v>15</v>
      </c>
      <c r="F1986" s="5"/>
    </row>
    <row r="1987" spans="1:6">
      <c r="A1987" s="5" t="str">
        <f ca="1">IFERROR(__xludf.DUMMYFUNCTION("""COMPUTED_VALUE"""),"19980519TNLIF")</f>
        <v>19980519TNLIF</v>
      </c>
      <c r="B1987" s="5" t="str">
        <f ca="1">IFERROR(__xludf.DUMMYFUNCTION("""COMPUTED_VALUE"""),"Fatal")</f>
        <v>Fatal</v>
      </c>
      <c r="C1987" s="5" t="str">
        <f ca="1">IFERROR(__xludf.DUMMYFUNCTION("""COMPUTED_VALUE"""),"Male")</f>
        <v>Male</v>
      </c>
      <c r="D1987" s="5" t="str">
        <f ca="1">IFERROR(__xludf.DUMMYFUNCTION("""COMPUTED_VALUE"""),"Student")</f>
        <v>Student</v>
      </c>
      <c r="E1987" s="5">
        <f ca="1">IFERROR(__xludf.DUMMYFUNCTION("""COMPUTED_VALUE"""),18)</f>
        <v>18</v>
      </c>
      <c r="F1987" s="5"/>
    </row>
    <row r="1988" spans="1:6">
      <c r="A1988" s="5" t="str">
        <f ca="1">IFERROR(__xludf.DUMMYFUNCTION("""COMPUTED_VALUE"""),"19980501NYPUB")</f>
        <v>19980501NYPUB</v>
      </c>
      <c r="B1988" s="5" t="str">
        <f ca="1">IFERROR(__xludf.DUMMYFUNCTION("""COMPUTED_VALUE"""),"Fatal")</f>
        <v>Fatal</v>
      </c>
      <c r="C1988" s="5" t="str">
        <f ca="1">IFERROR(__xludf.DUMMYFUNCTION("""COMPUTED_VALUE"""),"Female")</f>
        <v>Female</v>
      </c>
      <c r="D1988" s="5" t="str">
        <f ca="1">IFERROR(__xludf.DUMMYFUNCTION("""COMPUTED_VALUE"""),"Other Staff")</f>
        <v>Other Staff</v>
      </c>
      <c r="E1988" s="5">
        <f ca="1">IFERROR(__xludf.DUMMYFUNCTION("""COMPUTED_VALUE"""),30)</f>
        <v>30</v>
      </c>
      <c r="F1988" s="5"/>
    </row>
    <row r="1989" spans="1:6">
      <c r="A1989" s="5" t="str">
        <f ca="1">IFERROR(__xludf.DUMMYFUNCTION("""COMPUTED_VALUE"""),"19980501NYPUB")</f>
        <v>19980501NYPUB</v>
      </c>
      <c r="B1989" s="5" t="str">
        <f ca="1">IFERROR(__xludf.DUMMYFUNCTION("""COMPUTED_VALUE"""),"Wounded")</f>
        <v>Wounded</v>
      </c>
      <c r="C1989" s="5" t="str">
        <f ca="1">IFERROR(__xludf.DUMMYFUNCTION("""COMPUTED_VALUE"""),"Female")</f>
        <v>Female</v>
      </c>
      <c r="D1989" s="5" t="str">
        <f ca="1">IFERROR(__xludf.DUMMYFUNCTION("""COMPUTED_VALUE"""),"Teacher")</f>
        <v>Teacher</v>
      </c>
      <c r="E1989" s="5">
        <f ca="1">IFERROR(__xludf.DUMMYFUNCTION("""COMPUTED_VALUE"""),30)</f>
        <v>30</v>
      </c>
      <c r="F1989" s="5"/>
    </row>
    <row r="1990" spans="1:6">
      <c r="A1990" s="5" t="str">
        <f ca="1">IFERROR(__xludf.DUMMYFUNCTION("""COMPUTED_VALUE"""),"19980501FLNOM")</f>
        <v>19980501FLNOM</v>
      </c>
      <c r="B1990" s="5" t="str">
        <f ca="1">IFERROR(__xludf.DUMMYFUNCTION("""COMPUTED_VALUE"""),"Wounded")</f>
        <v>Wounded</v>
      </c>
      <c r="C1990" s="5" t="str">
        <f ca="1">IFERROR(__xludf.DUMMYFUNCTION("""COMPUTED_VALUE"""),"Male")</f>
        <v>Male</v>
      </c>
      <c r="D1990" s="5" t="str">
        <f ca="1">IFERROR(__xludf.DUMMYFUNCTION("""COMPUTED_VALUE"""),"Student")</f>
        <v>Student</v>
      </c>
      <c r="E1990" s="5">
        <f ca="1">IFERROR(__xludf.DUMMYFUNCTION("""COMPUTED_VALUE"""),17)</f>
        <v>17</v>
      </c>
      <c r="F1990" s="5"/>
    </row>
    <row r="1991" spans="1:6">
      <c r="A1991" s="5" t="str">
        <f ca="1">IFERROR(__xludf.DUMMYFUNCTION("""COMPUTED_VALUE"""),"19980428WIPAP")</f>
        <v>19980428WIPAP</v>
      </c>
      <c r="B1991" s="5" t="str">
        <f ca="1">IFERROR(__xludf.DUMMYFUNCTION("""COMPUTED_VALUE"""),"Wounded")</f>
        <v>Wounded</v>
      </c>
      <c r="C1991" s="5" t="str">
        <f ca="1">IFERROR(__xludf.DUMMYFUNCTION("""COMPUTED_VALUE"""),"Male")</f>
        <v>Male</v>
      </c>
      <c r="D1991" s="5" t="str">
        <f ca="1">IFERROR(__xludf.DUMMYFUNCTION("""COMPUTED_VALUE"""),"Other Staff")</f>
        <v>Other Staff</v>
      </c>
      <c r="E1991" s="5">
        <f ca="1">IFERROR(__xludf.DUMMYFUNCTION("""COMPUTED_VALUE"""),40)</f>
        <v>40</v>
      </c>
      <c r="F1991" s="5"/>
    </row>
    <row r="1992" spans="1:6">
      <c r="A1992" s="5" t="str">
        <f ca="1">IFERROR(__xludf.DUMMYFUNCTION("""COMPUTED_VALUE"""),"19980428CAPHP")</f>
        <v>19980428CAPHP</v>
      </c>
      <c r="B1992" s="5" t="str">
        <f ca="1">IFERROR(__xludf.DUMMYFUNCTION("""COMPUTED_VALUE"""),"Wounded")</f>
        <v>Wounded</v>
      </c>
      <c r="C1992" s="5" t="str">
        <f ca="1">IFERROR(__xludf.DUMMYFUNCTION("""COMPUTED_VALUE"""),"Male")</f>
        <v>Male</v>
      </c>
      <c r="D1992" s="5" t="str">
        <f ca="1">IFERROR(__xludf.DUMMYFUNCTION("""COMPUTED_VALUE"""),"No Relation")</f>
        <v>No Relation</v>
      </c>
      <c r="E1992" s="5">
        <f ca="1">IFERROR(__xludf.DUMMYFUNCTION("""COMPUTED_VALUE"""),14)</f>
        <v>14</v>
      </c>
      <c r="F1992" s="5"/>
    </row>
    <row r="1993" spans="1:6">
      <c r="A1993" s="5" t="str">
        <f ca="1">IFERROR(__xludf.DUMMYFUNCTION("""COMPUTED_VALUE"""),"19980428CAPHP")</f>
        <v>19980428CAPHP</v>
      </c>
      <c r="B1993" s="5" t="str">
        <f ca="1">IFERROR(__xludf.DUMMYFUNCTION("""COMPUTED_VALUE"""),"Wounded")</f>
        <v>Wounded</v>
      </c>
      <c r="C1993" s="5" t="str">
        <f ca="1">IFERROR(__xludf.DUMMYFUNCTION("""COMPUTED_VALUE"""),"Male")</f>
        <v>Male</v>
      </c>
      <c r="D1993" s="5" t="str">
        <f ca="1">IFERROR(__xludf.DUMMYFUNCTION("""COMPUTED_VALUE"""),"No Relation")</f>
        <v>No Relation</v>
      </c>
      <c r="E1993" s="5">
        <f ca="1">IFERROR(__xludf.DUMMYFUNCTION("""COMPUTED_VALUE"""),15)</f>
        <v>15</v>
      </c>
      <c r="F1993" s="5"/>
    </row>
    <row r="1994" spans="1:6">
      <c r="A1994" s="5" t="str">
        <f ca="1">IFERROR(__xludf.DUMMYFUNCTION("""COMPUTED_VALUE"""),"19980428CAPHP")</f>
        <v>19980428CAPHP</v>
      </c>
      <c r="B1994" s="5" t="str">
        <f ca="1">IFERROR(__xludf.DUMMYFUNCTION("""COMPUTED_VALUE"""),"Fatal")</f>
        <v>Fatal</v>
      </c>
      <c r="C1994" s="5" t="str">
        <f ca="1">IFERROR(__xludf.DUMMYFUNCTION("""COMPUTED_VALUE"""),"Male")</f>
        <v>Male</v>
      </c>
      <c r="D1994" s="5" t="str">
        <f ca="1">IFERROR(__xludf.DUMMYFUNCTION("""COMPUTED_VALUE"""),"No Relation")</f>
        <v>No Relation</v>
      </c>
      <c r="E1994" s="5">
        <f ca="1">IFERROR(__xludf.DUMMYFUNCTION("""COMPUTED_VALUE"""),17)</f>
        <v>17</v>
      </c>
      <c r="F1994" s="5"/>
    </row>
    <row r="1995" spans="1:6">
      <c r="A1995" s="5" t="str">
        <f ca="1">IFERROR(__xludf.DUMMYFUNCTION("""COMPUTED_VALUE"""),"19980424PAPAE")</f>
        <v>19980424PAPAE</v>
      </c>
      <c r="B1995" s="5" t="str">
        <f ca="1">IFERROR(__xludf.DUMMYFUNCTION("""COMPUTED_VALUE"""),"Wounded")</f>
        <v>Wounded</v>
      </c>
      <c r="C1995" s="5" t="str">
        <f ca="1">IFERROR(__xludf.DUMMYFUNCTION("""COMPUTED_VALUE"""),"Male")</f>
        <v>Male</v>
      </c>
      <c r="D1995" s="5" t="str">
        <f ca="1">IFERROR(__xludf.DUMMYFUNCTION("""COMPUTED_VALUE"""),"Student")</f>
        <v>Student</v>
      </c>
      <c r="E1995" s="5" t="str">
        <f ca="1">IFERROR(__xludf.DUMMYFUNCTION("""COMPUTED_VALUE"""),"Teen")</f>
        <v>Teen</v>
      </c>
      <c r="F1995" s="5"/>
    </row>
    <row r="1996" spans="1:6">
      <c r="A1996" s="5" t="str">
        <f ca="1">IFERROR(__xludf.DUMMYFUNCTION("""COMPUTED_VALUE"""),"19980424PAPAE")</f>
        <v>19980424PAPAE</v>
      </c>
      <c r="B1996" s="5" t="str">
        <f ca="1">IFERROR(__xludf.DUMMYFUNCTION("""COMPUTED_VALUE"""),"Fatal")</f>
        <v>Fatal</v>
      </c>
      <c r="C1996" s="5" t="str">
        <f ca="1">IFERROR(__xludf.DUMMYFUNCTION("""COMPUTED_VALUE"""),"Male")</f>
        <v>Male</v>
      </c>
      <c r="D1996" s="5" t="str">
        <f ca="1">IFERROR(__xludf.DUMMYFUNCTION("""COMPUTED_VALUE"""),"Teacher")</f>
        <v>Teacher</v>
      </c>
      <c r="E1996" s="5">
        <f ca="1">IFERROR(__xludf.DUMMYFUNCTION("""COMPUTED_VALUE"""),48)</f>
        <v>48</v>
      </c>
      <c r="F1996" s="5"/>
    </row>
    <row r="1997" spans="1:6">
      <c r="A1997" s="5" t="str">
        <f ca="1">IFERROR(__xludf.DUMMYFUNCTION("""COMPUTED_VALUE"""),"19980424PAPAE")</f>
        <v>19980424PAPAE</v>
      </c>
      <c r="B1997" s="5" t="str">
        <f ca="1">IFERROR(__xludf.DUMMYFUNCTION("""COMPUTED_VALUE"""),"Wounded")</f>
        <v>Wounded</v>
      </c>
      <c r="C1997" s="5" t="str">
        <f ca="1">IFERROR(__xludf.DUMMYFUNCTION("""COMPUTED_VALUE"""),"Male")</f>
        <v>Male</v>
      </c>
      <c r="D1997" s="5" t="str">
        <f ca="1">IFERROR(__xludf.DUMMYFUNCTION("""COMPUTED_VALUE"""),"Student")</f>
        <v>Student</v>
      </c>
      <c r="E1997" s="5">
        <f ca="1">IFERROR(__xludf.DUMMYFUNCTION("""COMPUTED_VALUE"""),14)</f>
        <v>14</v>
      </c>
      <c r="F1997" s="5"/>
    </row>
    <row r="1998" spans="1:6">
      <c r="A1998" s="5" t="str">
        <f ca="1">IFERROR(__xludf.DUMMYFUNCTION("""COMPUTED_VALUE"""),"19980424PAPAE")</f>
        <v>19980424PAPAE</v>
      </c>
      <c r="B1998" s="5" t="str">
        <f ca="1">IFERROR(__xludf.DUMMYFUNCTION("""COMPUTED_VALUE"""),"Wounded")</f>
        <v>Wounded</v>
      </c>
      <c r="C1998" s="5" t="str">
        <f ca="1">IFERROR(__xludf.DUMMYFUNCTION("""COMPUTED_VALUE"""),"Male")</f>
        <v>Male</v>
      </c>
      <c r="D1998" s="5" t="str">
        <f ca="1">IFERROR(__xludf.DUMMYFUNCTION("""COMPUTED_VALUE"""),"Student")</f>
        <v>Student</v>
      </c>
      <c r="E1998" s="5">
        <f ca="1">IFERROR(__xludf.DUMMYFUNCTION("""COMPUTED_VALUE"""),14)</f>
        <v>14</v>
      </c>
      <c r="F1998" s="5"/>
    </row>
    <row r="1999" spans="1:6">
      <c r="A1999" s="5" t="str">
        <f ca="1">IFERROR(__xludf.DUMMYFUNCTION("""COMPUTED_VALUE"""),"19980423CACUL")</f>
        <v>19980423CACUL</v>
      </c>
      <c r="B1999" s="5" t="str">
        <f ca="1">IFERROR(__xludf.DUMMYFUNCTION("""COMPUTED_VALUE"""),"Wounded")</f>
        <v>Wounded</v>
      </c>
      <c r="C1999" s="5" t="str">
        <f ca="1">IFERROR(__xludf.DUMMYFUNCTION("""COMPUTED_VALUE"""),"Male")</f>
        <v>Male</v>
      </c>
      <c r="D1999" s="5" t="str">
        <f ca="1">IFERROR(__xludf.DUMMYFUNCTION("""COMPUTED_VALUE"""),"Student")</f>
        <v>Student</v>
      </c>
      <c r="E1999" s="5" t="str">
        <f ca="1">IFERROR(__xludf.DUMMYFUNCTION("""COMPUTED_VALUE"""),"Teen")</f>
        <v>Teen</v>
      </c>
      <c r="F1999" s="5"/>
    </row>
    <row r="2000" spans="1:6">
      <c r="A2000" s="5" t="str">
        <f ca="1">IFERROR(__xludf.DUMMYFUNCTION("""COMPUTED_VALUE"""),"19980423CACUL")</f>
        <v>19980423CACUL</v>
      </c>
      <c r="B2000" s="5" t="str">
        <f ca="1">IFERROR(__xludf.DUMMYFUNCTION("""COMPUTED_VALUE"""),"Wounded")</f>
        <v>Wounded</v>
      </c>
      <c r="C2000" s="5" t="str">
        <f ca="1">IFERROR(__xludf.DUMMYFUNCTION("""COMPUTED_VALUE"""),"Male")</f>
        <v>Male</v>
      </c>
      <c r="D2000" s="5" t="str">
        <f ca="1">IFERROR(__xludf.DUMMYFUNCTION("""COMPUTED_VALUE"""),"Student")</f>
        <v>Student</v>
      </c>
      <c r="E2000" s="5" t="str">
        <f ca="1">IFERROR(__xludf.DUMMYFUNCTION("""COMPUTED_VALUE"""),"Teen")</f>
        <v>Teen</v>
      </c>
      <c r="F2000" s="5"/>
    </row>
    <row r="2001" spans="1:6">
      <c r="A2001" s="5" t="str">
        <f ca="1">IFERROR(__xludf.DUMMYFUNCTION("""COMPUTED_VALUE"""),"19980331WIOAO")</f>
        <v>19980331WIOAO</v>
      </c>
      <c r="B2001" s="5" t="str">
        <f ca="1">IFERROR(__xludf.DUMMYFUNCTION("""COMPUTED_VALUE"""),"None")</f>
        <v>None</v>
      </c>
      <c r="C2001" s="5"/>
      <c r="D2001" s="5"/>
      <c r="E2001" s="5"/>
      <c r="F2001" s="5"/>
    </row>
    <row r="2002" spans="1:6">
      <c r="A2002" s="5" t="str">
        <f ca="1">IFERROR(__xludf.DUMMYFUNCTION("""COMPUTED_VALUE"""),"19980330NCGRC")</f>
        <v>19980330NCGRC</v>
      </c>
      <c r="B2002" s="5" t="str">
        <f ca="1">IFERROR(__xludf.DUMMYFUNCTION("""COMPUTED_VALUE"""),"None")</f>
        <v>None</v>
      </c>
      <c r="C2002" s="5" t="str">
        <f ca="1">IFERROR(__xludf.DUMMYFUNCTION("""COMPUTED_VALUE"""),"Female")</f>
        <v>Female</v>
      </c>
      <c r="D2002" s="5" t="str">
        <f ca="1">IFERROR(__xludf.DUMMYFUNCTION("""COMPUTED_VALUE"""),"Student")</f>
        <v>Student</v>
      </c>
      <c r="E2002" s="5">
        <f ca="1">IFERROR(__xludf.DUMMYFUNCTION("""COMPUTED_VALUE"""),13)</f>
        <v>13</v>
      </c>
      <c r="F2002" s="5"/>
    </row>
    <row r="2003" spans="1:6">
      <c r="A2003" s="5" t="str">
        <f ca="1">IFERROR(__xludf.DUMMYFUNCTION("""COMPUTED_VALUE"""),"19980325MICOC")</f>
        <v>19980325MICOC</v>
      </c>
      <c r="B2003" s="5" t="str">
        <f ca="1">IFERROR(__xludf.DUMMYFUNCTION("""COMPUTED_VALUE"""),"None")</f>
        <v>None</v>
      </c>
      <c r="C2003" s="5" t="str">
        <f ca="1">IFERROR(__xludf.DUMMYFUNCTION("""COMPUTED_VALUE"""),"Male")</f>
        <v>Male</v>
      </c>
      <c r="D2003" s="5" t="str">
        <f ca="1">IFERROR(__xludf.DUMMYFUNCTION("""COMPUTED_VALUE"""),"Student")</f>
        <v>Student</v>
      </c>
      <c r="E2003" s="5">
        <f ca="1">IFERROR(__xludf.DUMMYFUNCTION("""COMPUTED_VALUE"""),18)</f>
        <v>18</v>
      </c>
      <c r="F2003" s="5"/>
    </row>
    <row r="2004" spans="1:6">
      <c r="A2004" s="5" t="str">
        <f ca="1">IFERROR(__xludf.DUMMYFUNCTION("""COMPUTED_VALUE"""),"19980325CAFED")</f>
        <v>19980325CAFED</v>
      </c>
      <c r="B2004" s="5" t="str">
        <f ca="1">IFERROR(__xludf.DUMMYFUNCTION("""COMPUTED_VALUE"""),"None")</f>
        <v>None</v>
      </c>
      <c r="C2004" s="5" t="str">
        <f ca="1">IFERROR(__xludf.DUMMYFUNCTION("""COMPUTED_VALUE"""),"Male")</f>
        <v>Male</v>
      </c>
      <c r="D2004" s="5" t="str">
        <f ca="1">IFERROR(__xludf.DUMMYFUNCTION("""COMPUTED_VALUE"""),"Principal/Vice-Principal")</f>
        <v>Principal/Vice-Principal</v>
      </c>
      <c r="E2004" s="5" t="str">
        <f ca="1">IFERROR(__xludf.DUMMYFUNCTION("""COMPUTED_VALUE"""),"Adult")</f>
        <v>Adult</v>
      </c>
      <c r="F2004" s="5"/>
    </row>
    <row r="2005" spans="1:6">
      <c r="A2005" s="5" t="str">
        <f ca="1">IFERROR(__xludf.DUMMYFUNCTION("""COMPUTED_VALUE"""),"19980324ARWEJ")</f>
        <v>19980324ARWEJ</v>
      </c>
      <c r="B2005" s="5" t="str">
        <f ca="1">IFERROR(__xludf.DUMMYFUNCTION("""COMPUTED_VALUE"""),"Wounded")</f>
        <v>Wounded</v>
      </c>
      <c r="C2005" s="5"/>
      <c r="D2005" s="5" t="str">
        <f ca="1">IFERROR(__xludf.DUMMYFUNCTION("""COMPUTED_VALUE"""),"Student")</f>
        <v>Student</v>
      </c>
      <c r="E2005" s="5">
        <f ca="1">IFERROR(__xludf.DUMMYFUNCTION("""COMPUTED_VALUE"""),12)</f>
        <v>12</v>
      </c>
      <c r="F2005" s="5"/>
    </row>
    <row r="2006" spans="1:6">
      <c r="A2006" s="5" t="str">
        <f ca="1">IFERROR(__xludf.DUMMYFUNCTION("""COMPUTED_VALUE"""),"19980324ARWEJ")</f>
        <v>19980324ARWEJ</v>
      </c>
      <c r="B2006" s="5" t="str">
        <f ca="1">IFERROR(__xludf.DUMMYFUNCTION("""COMPUTED_VALUE"""),"Fatal")</f>
        <v>Fatal</v>
      </c>
      <c r="C2006" s="5" t="str">
        <f ca="1">IFERROR(__xludf.DUMMYFUNCTION("""COMPUTED_VALUE"""),"Female")</f>
        <v>Female</v>
      </c>
      <c r="D2006" s="5" t="str">
        <f ca="1">IFERROR(__xludf.DUMMYFUNCTION("""COMPUTED_VALUE"""),"Student")</f>
        <v>Student</v>
      </c>
      <c r="E2006" s="5">
        <f ca="1">IFERROR(__xludf.DUMMYFUNCTION("""COMPUTED_VALUE"""),11)</f>
        <v>11</v>
      </c>
      <c r="F2006" s="5"/>
    </row>
    <row r="2007" spans="1:6">
      <c r="A2007" s="5" t="str">
        <f ca="1">IFERROR(__xludf.DUMMYFUNCTION("""COMPUTED_VALUE"""),"19980324ARWEJ")</f>
        <v>19980324ARWEJ</v>
      </c>
      <c r="B2007" s="5" t="str">
        <f ca="1">IFERROR(__xludf.DUMMYFUNCTION("""COMPUTED_VALUE"""),"Wounded")</f>
        <v>Wounded</v>
      </c>
      <c r="C2007" s="5"/>
      <c r="D2007" s="5" t="str">
        <f ca="1">IFERROR(__xludf.DUMMYFUNCTION("""COMPUTED_VALUE"""),"Student")</f>
        <v>Student</v>
      </c>
      <c r="E2007" s="5">
        <f ca="1">IFERROR(__xludf.DUMMYFUNCTION("""COMPUTED_VALUE"""),13)</f>
        <v>13</v>
      </c>
      <c r="F2007" s="5"/>
    </row>
    <row r="2008" spans="1:6">
      <c r="A2008" s="5" t="str">
        <f ca="1">IFERROR(__xludf.DUMMYFUNCTION("""COMPUTED_VALUE"""),"19980324ARWEJ")</f>
        <v>19980324ARWEJ</v>
      </c>
      <c r="B2008" s="5" t="str">
        <f ca="1">IFERROR(__xludf.DUMMYFUNCTION("""COMPUTED_VALUE"""),"Fatal")</f>
        <v>Fatal</v>
      </c>
      <c r="C2008" s="5" t="str">
        <f ca="1">IFERROR(__xludf.DUMMYFUNCTION("""COMPUTED_VALUE"""),"Female")</f>
        <v>Female</v>
      </c>
      <c r="D2008" s="5" t="str">
        <f ca="1">IFERROR(__xludf.DUMMYFUNCTION("""COMPUTED_VALUE"""),"Teacher")</f>
        <v>Teacher</v>
      </c>
      <c r="E2008" s="5">
        <f ca="1">IFERROR(__xludf.DUMMYFUNCTION("""COMPUTED_VALUE"""),32)</f>
        <v>32</v>
      </c>
      <c r="F2008" s="5"/>
    </row>
    <row r="2009" spans="1:6">
      <c r="A2009" s="5" t="str">
        <f ca="1">IFERROR(__xludf.DUMMYFUNCTION("""COMPUTED_VALUE"""),"19980324ARWEJ")</f>
        <v>19980324ARWEJ</v>
      </c>
      <c r="B2009" s="5" t="str">
        <f ca="1">IFERROR(__xludf.DUMMYFUNCTION("""COMPUTED_VALUE"""),"Wounded")</f>
        <v>Wounded</v>
      </c>
      <c r="C2009" s="5"/>
      <c r="D2009" s="5" t="str">
        <f ca="1">IFERROR(__xludf.DUMMYFUNCTION("""COMPUTED_VALUE"""),"Student")</f>
        <v>Student</v>
      </c>
      <c r="E2009" s="5">
        <f ca="1">IFERROR(__xludf.DUMMYFUNCTION("""COMPUTED_VALUE"""),11)</f>
        <v>11</v>
      </c>
      <c r="F2009" s="5"/>
    </row>
    <row r="2010" spans="1:6">
      <c r="A2010" s="5" t="str">
        <f ca="1">IFERROR(__xludf.DUMMYFUNCTION("""COMPUTED_VALUE"""),"19980324ARWEJ")</f>
        <v>19980324ARWEJ</v>
      </c>
      <c r="B2010" s="5" t="str">
        <f ca="1">IFERROR(__xludf.DUMMYFUNCTION("""COMPUTED_VALUE"""),"Fatal")</f>
        <v>Fatal</v>
      </c>
      <c r="C2010" s="5" t="str">
        <f ca="1">IFERROR(__xludf.DUMMYFUNCTION("""COMPUTED_VALUE"""),"Female")</f>
        <v>Female</v>
      </c>
      <c r="D2010" s="5" t="str">
        <f ca="1">IFERROR(__xludf.DUMMYFUNCTION("""COMPUTED_VALUE"""),"Student")</f>
        <v>Student</v>
      </c>
      <c r="E2010" s="5">
        <f ca="1">IFERROR(__xludf.DUMMYFUNCTION("""COMPUTED_VALUE"""),12)</f>
        <v>12</v>
      </c>
      <c r="F2010" s="5"/>
    </row>
    <row r="2011" spans="1:6">
      <c r="A2011" s="5" t="str">
        <f ca="1">IFERROR(__xludf.DUMMYFUNCTION("""COMPUTED_VALUE"""),"19980324ARWEJ")</f>
        <v>19980324ARWEJ</v>
      </c>
      <c r="B2011" s="5" t="str">
        <f ca="1">IFERROR(__xludf.DUMMYFUNCTION("""COMPUTED_VALUE"""),"Wounded")</f>
        <v>Wounded</v>
      </c>
      <c r="C2011" s="5"/>
      <c r="D2011" s="5" t="str">
        <f ca="1">IFERROR(__xludf.DUMMYFUNCTION("""COMPUTED_VALUE"""),"Student")</f>
        <v>Student</v>
      </c>
      <c r="E2011" s="5">
        <f ca="1">IFERROR(__xludf.DUMMYFUNCTION("""COMPUTED_VALUE"""),13)</f>
        <v>13</v>
      </c>
      <c r="F2011" s="5"/>
    </row>
    <row r="2012" spans="1:6">
      <c r="A2012" s="5" t="str">
        <f ca="1">IFERROR(__xludf.DUMMYFUNCTION("""COMPUTED_VALUE"""),"19980324ARWEJ")</f>
        <v>19980324ARWEJ</v>
      </c>
      <c r="B2012" s="5" t="str">
        <f ca="1">IFERROR(__xludf.DUMMYFUNCTION("""COMPUTED_VALUE"""),"Wounded")</f>
        <v>Wounded</v>
      </c>
      <c r="C2012" s="5"/>
      <c r="D2012" s="5" t="str">
        <f ca="1">IFERROR(__xludf.DUMMYFUNCTION("""COMPUTED_VALUE"""),"Teacher")</f>
        <v>Teacher</v>
      </c>
      <c r="E2012" s="5">
        <f ca="1">IFERROR(__xludf.DUMMYFUNCTION("""COMPUTED_VALUE"""),42)</f>
        <v>42</v>
      </c>
      <c r="F2012" s="5"/>
    </row>
    <row r="2013" spans="1:6">
      <c r="A2013" s="5" t="str">
        <f ca="1">IFERROR(__xludf.DUMMYFUNCTION("""COMPUTED_VALUE"""),"19980324ARWEJ")</f>
        <v>19980324ARWEJ</v>
      </c>
      <c r="B2013" s="5" t="str">
        <f ca="1">IFERROR(__xludf.DUMMYFUNCTION("""COMPUTED_VALUE"""),"Wounded")</f>
        <v>Wounded</v>
      </c>
      <c r="C2013" s="5"/>
      <c r="D2013" s="5" t="str">
        <f ca="1">IFERROR(__xludf.DUMMYFUNCTION("""COMPUTED_VALUE"""),"Student")</f>
        <v>Student</v>
      </c>
      <c r="E2013" s="5">
        <f ca="1">IFERROR(__xludf.DUMMYFUNCTION("""COMPUTED_VALUE"""),11)</f>
        <v>11</v>
      </c>
      <c r="F2013" s="5"/>
    </row>
    <row r="2014" spans="1:6">
      <c r="A2014" s="5" t="str">
        <f ca="1">IFERROR(__xludf.DUMMYFUNCTION("""COMPUTED_VALUE"""),"19980324ARWEJ")</f>
        <v>19980324ARWEJ</v>
      </c>
      <c r="B2014" s="5" t="str">
        <f ca="1">IFERROR(__xludf.DUMMYFUNCTION("""COMPUTED_VALUE"""),"Wounded")</f>
        <v>Wounded</v>
      </c>
      <c r="C2014" s="5"/>
      <c r="D2014" s="5" t="str">
        <f ca="1">IFERROR(__xludf.DUMMYFUNCTION("""COMPUTED_VALUE"""),"Student")</f>
        <v>Student</v>
      </c>
      <c r="E2014" s="5">
        <f ca="1">IFERROR(__xludf.DUMMYFUNCTION("""COMPUTED_VALUE"""),13)</f>
        <v>13</v>
      </c>
      <c r="F2014" s="5"/>
    </row>
    <row r="2015" spans="1:6">
      <c r="A2015" s="5" t="str">
        <f ca="1">IFERROR(__xludf.DUMMYFUNCTION("""COMPUTED_VALUE"""),"19980324ARWEJ")</f>
        <v>19980324ARWEJ</v>
      </c>
      <c r="B2015" s="5" t="str">
        <f ca="1">IFERROR(__xludf.DUMMYFUNCTION("""COMPUTED_VALUE"""),"Fatal")</f>
        <v>Fatal</v>
      </c>
      <c r="C2015" s="5" t="str">
        <f ca="1">IFERROR(__xludf.DUMMYFUNCTION("""COMPUTED_VALUE"""),"Female")</f>
        <v>Female</v>
      </c>
      <c r="D2015" s="5" t="str">
        <f ca="1">IFERROR(__xludf.DUMMYFUNCTION("""COMPUTED_VALUE"""),"Student")</f>
        <v>Student</v>
      </c>
      <c r="E2015" s="5">
        <f ca="1">IFERROR(__xludf.DUMMYFUNCTION("""COMPUTED_VALUE"""),12)</f>
        <v>12</v>
      </c>
      <c r="F2015" s="5"/>
    </row>
    <row r="2016" spans="1:6">
      <c r="A2016" s="5" t="str">
        <f ca="1">IFERROR(__xludf.DUMMYFUNCTION("""COMPUTED_VALUE"""),"19980324ARWEJ")</f>
        <v>19980324ARWEJ</v>
      </c>
      <c r="B2016" s="5" t="str">
        <f ca="1">IFERROR(__xludf.DUMMYFUNCTION("""COMPUTED_VALUE"""),"Wounded")</f>
        <v>Wounded</v>
      </c>
      <c r="C2016" s="5"/>
      <c r="D2016" s="5" t="str">
        <f ca="1">IFERROR(__xludf.DUMMYFUNCTION("""COMPUTED_VALUE"""),"Student")</f>
        <v>Student</v>
      </c>
      <c r="E2016" s="5">
        <f ca="1">IFERROR(__xludf.DUMMYFUNCTION("""COMPUTED_VALUE"""),12)</f>
        <v>12</v>
      </c>
      <c r="F2016" s="5"/>
    </row>
    <row r="2017" spans="1:6">
      <c r="A2017" s="5" t="str">
        <f ca="1">IFERROR(__xludf.DUMMYFUNCTION("""COMPUTED_VALUE"""),"19980324ARWEJ")</f>
        <v>19980324ARWEJ</v>
      </c>
      <c r="B2017" s="5" t="str">
        <f ca="1">IFERROR(__xludf.DUMMYFUNCTION("""COMPUTED_VALUE"""),"Wounded")</f>
        <v>Wounded</v>
      </c>
      <c r="C2017" s="5"/>
      <c r="D2017" s="5" t="str">
        <f ca="1">IFERROR(__xludf.DUMMYFUNCTION("""COMPUTED_VALUE"""),"Student")</f>
        <v>Student</v>
      </c>
      <c r="E2017" s="5">
        <f ca="1">IFERROR(__xludf.DUMMYFUNCTION("""COMPUTED_VALUE"""),12)</f>
        <v>12</v>
      </c>
      <c r="F2017" s="5"/>
    </row>
    <row r="2018" spans="1:6">
      <c r="A2018" s="5" t="str">
        <f ca="1">IFERROR(__xludf.DUMMYFUNCTION("""COMPUTED_VALUE"""),"19980324ARWEJ")</f>
        <v>19980324ARWEJ</v>
      </c>
      <c r="B2018" s="5" t="str">
        <f ca="1">IFERROR(__xludf.DUMMYFUNCTION("""COMPUTED_VALUE"""),"Fatal")</f>
        <v>Fatal</v>
      </c>
      <c r="C2018" s="5" t="str">
        <f ca="1">IFERROR(__xludf.DUMMYFUNCTION("""COMPUTED_VALUE"""),"Female")</f>
        <v>Female</v>
      </c>
      <c r="D2018" s="5" t="str">
        <f ca="1">IFERROR(__xludf.DUMMYFUNCTION("""COMPUTED_VALUE"""),"Student")</f>
        <v>Student</v>
      </c>
      <c r="E2018" s="5">
        <f ca="1">IFERROR(__xludf.DUMMYFUNCTION("""COMPUTED_VALUE"""),12)</f>
        <v>12</v>
      </c>
      <c r="F2018" s="5"/>
    </row>
    <row r="2019" spans="1:6">
      <c r="A2019" s="5" t="str">
        <f ca="1">IFERROR(__xludf.DUMMYFUNCTION("""COMPUTED_VALUE"""),"19980324ARWEJ")</f>
        <v>19980324ARWEJ</v>
      </c>
      <c r="B2019" s="5" t="str">
        <f ca="1">IFERROR(__xludf.DUMMYFUNCTION("""COMPUTED_VALUE"""),"Wounded")</f>
        <v>Wounded</v>
      </c>
      <c r="C2019" s="5"/>
      <c r="D2019" s="5" t="str">
        <f ca="1">IFERROR(__xludf.DUMMYFUNCTION("""COMPUTED_VALUE"""),"Student")</f>
        <v>Student</v>
      </c>
      <c r="E2019" s="5">
        <f ca="1">IFERROR(__xludf.DUMMYFUNCTION("""COMPUTED_VALUE"""),13)</f>
        <v>13</v>
      </c>
      <c r="F2019" s="5"/>
    </row>
    <row r="2020" spans="1:6">
      <c r="A2020" s="5" t="str">
        <f ca="1">IFERROR(__xludf.DUMMYFUNCTION("""COMPUTED_VALUE"""),"19980227VAMAF")</f>
        <v>19980227VAMAF</v>
      </c>
      <c r="B2020" s="5" t="str">
        <f ca="1">IFERROR(__xludf.DUMMYFUNCTION("""COMPUTED_VALUE"""),"Fatal")</f>
        <v>Fatal</v>
      </c>
      <c r="C2020" s="5" t="str">
        <f ca="1">IFERROR(__xludf.DUMMYFUNCTION("""COMPUTED_VALUE"""),"Male")</f>
        <v>Male</v>
      </c>
      <c r="D2020" s="5" t="str">
        <f ca="1">IFERROR(__xludf.DUMMYFUNCTION("""COMPUTED_VALUE"""),"Student")</f>
        <v>Student</v>
      </c>
      <c r="E2020" s="5">
        <f ca="1">IFERROR(__xludf.DUMMYFUNCTION("""COMPUTED_VALUE"""),17)</f>
        <v>17</v>
      </c>
      <c r="F2020" s="5"/>
    </row>
    <row r="2021" spans="1:6">
      <c r="A2021" s="5" t="str">
        <f ca="1">IFERROR(__xludf.DUMMYFUNCTION("""COMPUTED_VALUE"""),"19980225MIRER")</f>
        <v>19980225MIRER</v>
      </c>
      <c r="B2021" s="5" t="str">
        <f ca="1">IFERROR(__xludf.DUMMYFUNCTION("""COMPUTED_VALUE"""),"None")</f>
        <v>None</v>
      </c>
      <c r="C2021" s="5" t="str">
        <f ca="1">IFERROR(__xludf.DUMMYFUNCTION("""COMPUTED_VALUE"""),"Male")</f>
        <v>Male</v>
      </c>
      <c r="D2021" s="5" t="str">
        <f ca="1">IFERROR(__xludf.DUMMYFUNCTION("""COMPUTED_VALUE"""),"Student")</f>
        <v>Student</v>
      </c>
      <c r="E2021" s="5">
        <f ca="1">IFERROR(__xludf.DUMMYFUNCTION("""COMPUTED_VALUE"""),14)</f>
        <v>14</v>
      </c>
      <c r="F2021" s="5"/>
    </row>
    <row r="2022" spans="1:6">
      <c r="A2022" s="5" t="str">
        <f ca="1">IFERROR(__xludf.DUMMYFUNCTION("""COMPUTED_VALUE"""),"19980212NJHOH")</f>
        <v>19980212NJHOH</v>
      </c>
      <c r="B2022" s="5" t="str">
        <f ca="1">IFERROR(__xludf.DUMMYFUNCTION("""COMPUTED_VALUE"""),"Fatal")</f>
        <v>Fatal</v>
      </c>
      <c r="C2022" s="5" t="str">
        <f ca="1">IFERROR(__xludf.DUMMYFUNCTION("""COMPUTED_VALUE"""),"Male")</f>
        <v>Male</v>
      </c>
      <c r="D2022" s="5" t="str">
        <f ca="1">IFERROR(__xludf.DUMMYFUNCTION("""COMPUTED_VALUE"""),"Teacher")</f>
        <v>Teacher</v>
      </c>
      <c r="E2022" s="5">
        <f ca="1">IFERROR(__xludf.DUMMYFUNCTION("""COMPUTED_VALUE"""),48)</f>
        <v>48</v>
      </c>
      <c r="F2022" s="5"/>
    </row>
    <row r="2023" spans="1:6">
      <c r="A2023" s="5" t="str">
        <f ca="1">IFERROR(__xludf.DUMMYFUNCTION("""COMPUTED_VALUE"""),"19971215ARSTS")</f>
        <v>19971215ARSTS</v>
      </c>
      <c r="B2023" s="5" t="str">
        <f ca="1">IFERROR(__xludf.DUMMYFUNCTION("""COMPUTED_VALUE"""),"Wounded")</f>
        <v>Wounded</v>
      </c>
      <c r="C2023" s="5" t="str">
        <f ca="1">IFERROR(__xludf.DUMMYFUNCTION("""COMPUTED_VALUE"""),"Male")</f>
        <v>Male</v>
      </c>
      <c r="D2023" s="5" t="str">
        <f ca="1">IFERROR(__xludf.DUMMYFUNCTION("""COMPUTED_VALUE"""),"Student")</f>
        <v>Student</v>
      </c>
      <c r="E2023" s="5">
        <f ca="1">IFERROR(__xludf.DUMMYFUNCTION("""COMPUTED_VALUE"""),15)</f>
        <v>15</v>
      </c>
      <c r="F2023" s="5"/>
    </row>
    <row r="2024" spans="1:6">
      <c r="A2024" s="5" t="str">
        <f ca="1">IFERROR(__xludf.DUMMYFUNCTION("""COMPUTED_VALUE"""),"19971215ARSTS")</f>
        <v>19971215ARSTS</v>
      </c>
      <c r="B2024" s="5" t="str">
        <f ca="1">IFERROR(__xludf.DUMMYFUNCTION("""COMPUTED_VALUE"""),"Wounded")</f>
        <v>Wounded</v>
      </c>
      <c r="C2024" s="5" t="str">
        <f ca="1">IFERROR(__xludf.DUMMYFUNCTION("""COMPUTED_VALUE"""),"Female")</f>
        <v>Female</v>
      </c>
      <c r="D2024" s="5" t="str">
        <f ca="1">IFERROR(__xludf.DUMMYFUNCTION("""COMPUTED_VALUE"""),"Student")</f>
        <v>Student</v>
      </c>
      <c r="E2024" s="5">
        <f ca="1">IFERROR(__xludf.DUMMYFUNCTION("""COMPUTED_VALUE"""),17)</f>
        <v>17</v>
      </c>
      <c r="F2024" s="5"/>
    </row>
    <row r="2025" spans="1:6">
      <c r="A2025" s="5" t="str">
        <f ca="1">IFERROR(__xludf.DUMMYFUNCTION("""COMPUTED_VALUE"""),"19971201KYHEW")</f>
        <v>19971201KYHEW</v>
      </c>
      <c r="B2025" s="5" t="str">
        <f ca="1">IFERROR(__xludf.DUMMYFUNCTION("""COMPUTED_VALUE"""),"Wounded")</f>
        <v>Wounded</v>
      </c>
      <c r="C2025" s="5" t="str">
        <f ca="1">IFERROR(__xludf.DUMMYFUNCTION("""COMPUTED_VALUE"""),"Female")</f>
        <v>Female</v>
      </c>
      <c r="D2025" s="5" t="str">
        <f ca="1">IFERROR(__xludf.DUMMYFUNCTION("""COMPUTED_VALUE"""),"Student")</f>
        <v>Student</v>
      </c>
      <c r="E2025" s="5">
        <f ca="1">IFERROR(__xludf.DUMMYFUNCTION("""COMPUTED_VALUE"""),17)</f>
        <v>17</v>
      </c>
      <c r="F2025" s="5"/>
    </row>
    <row r="2026" spans="1:6">
      <c r="A2026" s="5" t="str">
        <f ca="1">IFERROR(__xludf.DUMMYFUNCTION("""COMPUTED_VALUE"""),"19971201KYHEW")</f>
        <v>19971201KYHEW</v>
      </c>
      <c r="B2026" s="5" t="str">
        <f ca="1">IFERROR(__xludf.DUMMYFUNCTION("""COMPUTED_VALUE"""),"Fatal")</f>
        <v>Fatal</v>
      </c>
      <c r="C2026" s="5" t="str">
        <f ca="1">IFERROR(__xludf.DUMMYFUNCTION("""COMPUTED_VALUE"""),"Female")</f>
        <v>Female</v>
      </c>
      <c r="D2026" s="5" t="str">
        <f ca="1">IFERROR(__xludf.DUMMYFUNCTION("""COMPUTED_VALUE"""),"Student")</f>
        <v>Student</v>
      </c>
      <c r="E2026" s="5">
        <f ca="1">IFERROR(__xludf.DUMMYFUNCTION("""COMPUTED_VALUE"""),14)</f>
        <v>14</v>
      </c>
      <c r="F2026" s="5"/>
    </row>
    <row r="2027" spans="1:6">
      <c r="A2027" s="5" t="str">
        <f ca="1">IFERROR(__xludf.DUMMYFUNCTION("""COMPUTED_VALUE"""),"19971201KYHEW")</f>
        <v>19971201KYHEW</v>
      </c>
      <c r="B2027" s="5" t="str">
        <f ca="1">IFERROR(__xludf.DUMMYFUNCTION("""COMPUTED_VALUE"""),"Wounded")</f>
        <v>Wounded</v>
      </c>
      <c r="C2027" s="5" t="str">
        <f ca="1">IFERROR(__xludf.DUMMYFUNCTION("""COMPUTED_VALUE"""),"Female")</f>
        <v>Female</v>
      </c>
      <c r="D2027" s="5" t="str">
        <f ca="1">IFERROR(__xludf.DUMMYFUNCTION("""COMPUTED_VALUE"""),"Student")</f>
        <v>Student</v>
      </c>
      <c r="E2027" s="5">
        <f ca="1">IFERROR(__xludf.DUMMYFUNCTION("""COMPUTED_VALUE"""),16)</f>
        <v>16</v>
      </c>
      <c r="F2027" s="5"/>
    </row>
    <row r="2028" spans="1:6">
      <c r="A2028" s="5" t="str">
        <f ca="1">IFERROR(__xludf.DUMMYFUNCTION("""COMPUTED_VALUE"""),"19971201KYHEW")</f>
        <v>19971201KYHEW</v>
      </c>
      <c r="B2028" s="5" t="str">
        <f ca="1">IFERROR(__xludf.DUMMYFUNCTION("""COMPUTED_VALUE"""),"Fatal")</f>
        <v>Fatal</v>
      </c>
      <c r="C2028" s="5" t="str">
        <f ca="1">IFERROR(__xludf.DUMMYFUNCTION("""COMPUTED_VALUE"""),"Female")</f>
        <v>Female</v>
      </c>
      <c r="D2028" s="5" t="str">
        <f ca="1">IFERROR(__xludf.DUMMYFUNCTION("""COMPUTED_VALUE"""),"Student")</f>
        <v>Student</v>
      </c>
      <c r="E2028" s="5">
        <f ca="1">IFERROR(__xludf.DUMMYFUNCTION("""COMPUTED_VALUE"""),17)</f>
        <v>17</v>
      </c>
      <c r="F2028" s="5"/>
    </row>
    <row r="2029" spans="1:6">
      <c r="A2029" s="5" t="str">
        <f ca="1">IFERROR(__xludf.DUMMYFUNCTION("""COMPUTED_VALUE"""),"19971201KYHEW")</f>
        <v>19971201KYHEW</v>
      </c>
      <c r="B2029" s="5" t="str">
        <f ca="1">IFERROR(__xludf.DUMMYFUNCTION("""COMPUTED_VALUE"""),"Wounded")</f>
        <v>Wounded</v>
      </c>
      <c r="C2029" s="5" t="str">
        <f ca="1">IFERROR(__xludf.DUMMYFUNCTION("""COMPUTED_VALUE"""),"Female")</f>
        <v>Female</v>
      </c>
      <c r="D2029" s="5" t="str">
        <f ca="1">IFERROR(__xludf.DUMMYFUNCTION("""COMPUTED_VALUE"""),"Student")</f>
        <v>Student</v>
      </c>
      <c r="E2029" s="5">
        <f ca="1">IFERROR(__xludf.DUMMYFUNCTION("""COMPUTED_VALUE"""),14)</f>
        <v>14</v>
      </c>
      <c r="F2029" s="5"/>
    </row>
    <row r="2030" spans="1:6">
      <c r="A2030" s="5" t="str">
        <f ca="1">IFERROR(__xludf.DUMMYFUNCTION("""COMPUTED_VALUE"""),"19971201KYHEW")</f>
        <v>19971201KYHEW</v>
      </c>
      <c r="B2030" s="5" t="str">
        <f ca="1">IFERROR(__xludf.DUMMYFUNCTION("""COMPUTED_VALUE"""),"Fatal")</f>
        <v>Fatal</v>
      </c>
      <c r="C2030" s="5" t="str">
        <f ca="1">IFERROR(__xludf.DUMMYFUNCTION("""COMPUTED_VALUE"""),"Female")</f>
        <v>Female</v>
      </c>
      <c r="D2030" s="5" t="str">
        <f ca="1">IFERROR(__xludf.DUMMYFUNCTION("""COMPUTED_VALUE"""),"Student")</f>
        <v>Student</v>
      </c>
      <c r="E2030" s="5">
        <f ca="1">IFERROR(__xludf.DUMMYFUNCTION("""COMPUTED_VALUE"""),15)</f>
        <v>15</v>
      </c>
      <c r="F2030" s="5"/>
    </row>
    <row r="2031" spans="1:6">
      <c r="A2031" s="5" t="str">
        <f ca="1">IFERROR(__xludf.DUMMYFUNCTION("""COMPUTED_VALUE"""),"19971201KYHEW")</f>
        <v>19971201KYHEW</v>
      </c>
      <c r="B2031" s="5" t="str">
        <f ca="1">IFERROR(__xludf.DUMMYFUNCTION("""COMPUTED_VALUE"""),"Wounded")</f>
        <v>Wounded</v>
      </c>
      <c r="C2031" s="5" t="str">
        <f ca="1">IFERROR(__xludf.DUMMYFUNCTION("""COMPUTED_VALUE"""),"Male")</f>
        <v>Male</v>
      </c>
      <c r="D2031" s="5" t="str">
        <f ca="1">IFERROR(__xludf.DUMMYFUNCTION("""COMPUTED_VALUE"""),"Student")</f>
        <v>Student</v>
      </c>
      <c r="E2031" s="5">
        <f ca="1">IFERROR(__xludf.DUMMYFUNCTION("""COMPUTED_VALUE"""),15)</f>
        <v>15</v>
      </c>
      <c r="F2031" s="5"/>
    </row>
    <row r="2032" spans="1:6">
      <c r="A2032" s="5" t="str">
        <f ca="1">IFERROR(__xludf.DUMMYFUNCTION("""COMPUTED_VALUE"""),"19971201KYHEW")</f>
        <v>19971201KYHEW</v>
      </c>
      <c r="B2032" s="5" t="str">
        <f ca="1">IFERROR(__xludf.DUMMYFUNCTION("""COMPUTED_VALUE"""),"Wounded")</f>
        <v>Wounded</v>
      </c>
      <c r="C2032" s="5" t="str">
        <f ca="1">IFERROR(__xludf.DUMMYFUNCTION("""COMPUTED_VALUE"""),"Female")</f>
        <v>Female</v>
      </c>
      <c r="D2032" s="5" t="str">
        <f ca="1">IFERROR(__xludf.DUMMYFUNCTION("""COMPUTED_VALUE"""),"Student")</f>
        <v>Student</v>
      </c>
      <c r="E2032" s="5">
        <f ca="1">IFERROR(__xludf.DUMMYFUNCTION("""COMPUTED_VALUE"""),16)</f>
        <v>16</v>
      </c>
      <c r="F2032" s="5"/>
    </row>
    <row r="2033" spans="1:6">
      <c r="A2033" s="5" t="str">
        <f ca="1">IFERROR(__xludf.DUMMYFUNCTION("""COMPUTED_VALUE"""),"19971113CACRS")</f>
        <v>19971113CACRS</v>
      </c>
      <c r="B2033" s="5" t="str">
        <f ca="1">IFERROR(__xludf.DUMMYFUNCTION("""COMPUTED_VALUE"""),"Fatal")</f>
        <v>Fatal</v>
      </c>
      <c r="C2033" s="5" t="str">
        <f ca="1">IFERROR(__xludf.DUMMYFUNCTION("""COMPUTED_VALUE"""),"Male")</f>
        <v>Male</v>
      </c>
      <c r="D2033" s="5" t="str">
        <f ca="1">IFERROR(__xludf.DUMMYFUNCTION("""COMPUTED_VALUE"""),"Parent")</f>
        <v>Parent</v>
      </c>
      <c r="E2033" s="5">
        <f ca="1">IFERROR(__xludf.DUMMYFUNCTION("""COMPUTED_VALUE"""),47)</f>
        <v>47</v>
      </c>
      <c r="F2033" s="5"/>
    </row>
    <row r="2034" spans="1:6">
      <c r="A2034" s="5" t="str">
        <f ca="1">IFERROR(__xludf.DUMMYFUNCTION("""COMPUTED_VALUE"""),"19971107FLRIJ")</f>
        <v>19971107FLRIJ</v>
      </c>
      <c r="B2034" s="5" t="str">
        <f ca="1">IFERROR(__xludf.DUMMYFUNCTION("""COMPUTED_VALUE"""),"Fatal")</f>
        <v>Fatal</v>
      </c>
      <c r="C2034" s="5" t="str">
        <f ca="1">IFERROR(__xludf.DUMMYFUNCTION("""COMPUTED_VALUE"""),"Male")</f>
        <v>Male</v>
      </c>
      <c r="D2034" s="5" t="str">
        <f ca="1">IFERROR(__xludf.DUMMYFUNCTION("""COMPUTED_VALUE"""),"Student")</f>
        <v>Student</v>
      </c>
      <c r="E2034" s="5">
        <f ca="1">IFERROR(__xludf.DUMMYFUNCTION("""COMPUTED_VALUE"""),14)</f>
        <v>14</v>
      </c>
      <c r="F2034" s="5"/>
    </row>
    <row r="2035" spans="1:6">
      <c r="A2035" s="5" t="str">
        <f ca="1">IFERROR(__xludf.DUMMYFUNCTION("""COMPUTED_VALUE"""),"19971107FLRIJ")</f>
        <v>19971107FLRIJ</v>
      </c>
      <c r="B2035" s="5" t="str">
        <f ca="1">IFERROR(__xludf.DUMMYFUNCTION("""COMPUTED_VALUE"""),"Wounded")</f>
        <v>Wounded</v>
      </c>
      <c r="C2035" s="5" t="str">
        <f ca="1">IFERROR(__xludf.DUMMYFUNCTION("""COMPUTED_VALUE"""),"Male")</f>
        <v>Male</v>
      </c>
      <c r="D2035" s="5" t="str">
        <f ca="1">IFERROR(__xludf.DUMMYFUNCTION("""COMPUTED_VALUE"""),"Student")</f>
        <v>Student</v>
      </c>
      <c r="E2035" s="5">
        <f ca="1">IFERROR(__xludf.DUMMYFUNCTION("""COMPUTED_VALUE"""),17)</f>
        <v>17</v>
      </c>
      <c r="F2035" s="5"/>
    </row>
    <row r="2036" spans="1:6">
      <c r="A2036" s="5" t="str">
        <f ca="1">IFERROR(__xludf.DUMMYFUNCTION("""COMPUTED_VALUE"""),"19971022CAJON")</f>
        <v>19971022CAJON</v>
      </c>
      <c r="B2036" s="5" t="str">
        <f ca="1">IFERROR(__xludf.DUMMYFUNCTION("""COMPUTED_VALUE"""),"Fatal")</f>
        <v>Fatal</v>
      </c>
      <c r="C2036" s="5" t="str">
        <f ca="1">IFERROR(__xludf.DUMMYFUNCTION("""COMPUTED_VALUE"""),"Female")</f>
        <v>Female</v>
      </c>
      <c r="D2036" s="5" t="str">
        <f ca="1">IFERROR(__xludf.DUMMYFUNCTION("""COMPUTED_VALUE"""),"Student")</f>
        <v>Student</v>
      </c>
      <c r="E2036" s="5">
        <f ca="1">IFERROR(__xludf.DUMMYFUNCTION("""COMPUTED_VALUE"""),16)</f>
        <v>16</v>
      </c>
      <c r="F2036" s="5"/>
    </row>
    <row r="2037" spans="1:6">
      <c r="A2037" s="5" t="str">
        <f ca="1">IFERROR(__xludf.DUMMYFUNCTION("""COMPUTED_VALUE"""),"19971020CAMCO")</f>
        <v>19971020CAMCO</v>
      </c>
      <c r="B2037" s="5" t="str">
        <f ca="1">IFERROR(__xludf.DUMMYFUNCTION("""COMPUTED_VALUE"""),"Fatal")</f>
        <v>Fatal</v>
      </c>
      <c r="C2037" s="5" t="str">
        <f ca="1">IFERROR(__xludf.DUMMYFUNCTION("""COMPUTED_VALUE"""),"Female")</f>
        <v>Female</v>
      </c>
      <c r="D2037" s="5" t="str">
        <f ca="1">IFERROR(__xludf.DUMMYFUNCTION("""COMPUTED_VALUE"""),"Student")</f>
        <v>Student</v>
      </c>
      <c r="E2037" s="5">
        <f ca="1">IFERROR(__xludf.DUMMYFUNCTION("""COMPUTED_VALUE"""),16)</f>
        <v>16</v>
      </c>
      <c r="F2037" s="5"/>
    </row>
    <row r="2038" spans="1:6">
      <c r="A2038" s="5" t="str">
        <f ca="1">IFERROR(__xludf.DUMMYFUNCTION("""COMPUTED_VALUE"""),"19971020CAMCO")</f>
        <v>19971020CAMCO</v>
      </c>
      <c r="B2038" s="5" t="str">
        <f ca="1">IFERROR(__xludf.DUMMYFUNCTION("""COMPUTED_VALUE"""),"Wounded")</f>
        <v>Wounded</v>
      </c>
      <c r="C2038" s="5" t="str">
        <f ca="1">IFERROR(__xludf.DUMMYFUNCTION("""COMPUTED_VALUE"""),"Female")</f>
        <v>Female</v>
      </c>
      <c r="D2038" s="5" t="str">
        <f ca="1">IFERROR(__xludf.DUMMYFUNCTION("""COMPUTED_VALUE"""),"Student")</f>
        <v>Student</v>
      </c>
      <c r="E2038" s="5">
        <f ca="1">IFERROR(__xludf.DUMMYFUNCTION("""COMPUTED_VALUE"""),16)</f>
        <v>16</v>
      </c>
      <c r="F2038" s="5"/>
    </row>
    <row r="2039" spans="1:6">
      <c r="A2039" s="5" t="str">
        <f ca="1">IFERROR(__xludf.DUMMYFUNCTION("""COMPUTED_VALUE"""),"19971020CAMCO")</f>
        <v>19971020CAMCO</v>
      </c>
      <c r="B2039" s="5" t="str">
        <f ca="1">IFERROR(__xludf.DUMMYFUNCTION("""COMPUTED_VALUE"""),"Wounded")</f>
        <v>Wounded</v>
      </c>
      <c r="C2039" s="5" t="str">
        <f ca="1">IFERROR(__xludf.DUMMYFUNCTION("""COMPUTED_VALUE"""),"Male")</f>
        <v>Male</v>
      </c>
      <c r="D2039" s="5"/>
      <c r="E2039" s="5">
        <f ca="1">IFERROR(__xludf.DUMMYFUNCTION("""COMPUTED_VALUE"""),22)</f>
        <v>22</v>
      </c>
      <c r="F2039" s="5"/>
    </row>
    <row r="2040" spans="1:6">
      <c r="A2040" s="5" t="str">
        <f ca="1">IFERROR(__xludf.DUMMYFUNCTION("""COMPUTED_VALUE"""),"19971015FLLIP")</f>
        <v>19971015FLLIP</v>
      </c>
      <c r="B2040" s="5" t="str">
        <f ca="1">IFERROR(__xludf.DUMMYFUNCTION("""COMPUTED_VALUE"""),"Wounded")</f>
        <v>Wounded</v>
      </c>
      <c r="C2040" s="5" t="str">
        <f ca="1">IFERROR(__xludf.DUMMYFUNCTION("""COMPUTED_VALUE"""),"Male")</f>
        <v>Male</v>
      </c>
      <c r="D2040" s="5" t="str">
        <f ca="1">IFERROR(__xludf.DUMMYFUNCTION("""COMPUTED_VALUE"""),"Student")</f>
        <v>Student</v>
      </c>
      <c r="E2040" s="5">
        <f ca="1">IFERROR(__xludf.DUMMYFUNCTION("""COMPUTED_VALUE"""),13)</f>
        <v>13</v>
      </c>
      <c r="F2040" s="5"/>
    </row>
    <row r="2041" spans="1:6">
      <c r="A2041" s="5" t="str">
        <f ca="1">IFERROR(__xludf.DUMMYFUNCTION("""COMPUTED_VALUE"""),"19971014TXLAG")</f>
        <v>19971014TXLAG</v>
      </c>
      <c r="B2041" s="5" t="str">
        <f ca="1">IFERROR(__xludf.DUMMYFUNCTION("""COMPUTED_VALUE"""),"None")</f>
        <v>None</v>
      </c>
      <c r="C2041" s="5" t="str">
        <f ca="1">IFERROR(__xludf.DUMMYFUNCTION("""COMPUTED_VALUE"""),"Male")</f>
        <v>Male</v>
      </c>
      <c r="D2041" s="5" t="str">
        <f ca="1">IFERROR(__xludf.DUMMYFUNCTION("""COMPUTED_VALUE"""),"Student")</f>
        <v>Student</v>
      </c>
      <c r="E2041" s="5">
        <f ca="1">IFERROR(__xludf.DUMMYFUNCTION("""COMPUTED_VALUE"""),19)</f>
        <v>19</v>
      </c>
      <c r="F2041" s="5"/>
    </row>
    <row r="2042" spans="1:6">
      <c r="A2042" s="5" t="str">
        <f ca="1">IFERROR(__xludf.DUMMYFUNCTION("""COMPUTED_VALUE"""),"19971010INWAG")</f>
        <v>19971010INWAG</v>
      </c>
      <c r="B2042" s="5" t="str">
        <f ca="1">IFERROR(__xludf.DUMMYFUNCTION("""COMPUTED_VALUE"""),"Fatal")</f>
        <v>Fatal</v>
      </c>
      <c r="C2042" s="5" t="str">
        <f ca="1">IFERROR(__xludf.DUMMYFUNCTION("""COMPUTED_VALUE"""),"Female")</f>
        <v>Female</v>
      </c>
      <c r="D2042" s="5" t="str">
        <f ca="1">IFERROR(__xludf.DUMMYFUNCTION("""COMPUTED_VALUE"""),"Student")</f>
        <v>Student</v>
      </c>
      <c r="E2042" s="5" t="str">
        <f ca="1">IFERROR(__xludf.DUMMYFUNCTION("""COMPUTED_VALUE"""),"Teen")</f>
        <v>Teen</v>
      </c>
      <c r="F2042" s="5"/>
    </row>
    <row r="2043" spans="1:6">
      <c r="A2043" s="5" t="str">
        <f ca="1">IFERROR(__xludf.DUMMYFUNCTION("""COMPUTED_VALUE"""),"19971010INWAG")</f>
        <v>19971010INWAG</v>
      </c>
      <c r="B2043" s="5" t="str">
        <f ca="1">IFERROR(__xludf.DUMMYFUNCTION("""COMPUTED_VALUE"""),"Wounded")</f>
        <v>Wounded</v>
      </c>
      <c r="C2043" s="5" t="str">
        <f ca="1">IFERROR(__xludf.DUMMYFUNCTION("""COMPUTED_VALUE"""),"Female")</f>
        <v>Female</v>
      </c>
      <c r="D2043" s="5" t="str">
        <f ca="1">IFERROR(__xludf.DUMMYFUNCTION("""COMPUTED_VALUE"""),"Student")</f>
        <v>Student</v>
      </c>
      <c r="E2043" s="5">
        <f ca="1">IFERROR(__xludf.DUMMYFUNCTION("""COMPUTED_VALUE"""),16)</f>
        <v>16</v>
      </c>
      <c r="F2043" s="5"/>
    </row>
    <row r="2044" spans="1:6">
      <c r="A2044" s="5" t="str">
        <f ca="1">IFERROR(__xludf.DUMMYFUNCTION("""COMPUTED_VALUE"""),"19971010INWAG")</f>
        <v>19971010INWAG</v>
      </c>
      <c r="B2044" s="5" t="str">
        <f ca="1">IFERROR(__xludf.DUMMYFUNCTION("""COMPUTED_VALUE"""),"Wounded")</f>
        <v>Wounded</v>
      </c>
      <c r="C2044" s="5" t="str">
        <f ca="1">IFERROR(__xludf.DUMMYFUNCTION("""COMPUTED_VALUE"""),"Male")</f>
        <v>Male</v>
      </c>
      <c r="D2044" s="5" t="str">
        <f ca="1">IFERROR(__xludf.DUMMYFUNCTION("""COMPUTED_VALUE"""),"Student")</f>
        <v>Student</v>
      </c>
      <c r="E2044" s="5">
        <f ca="1">IFERROR(__xludf.DUMMYFUNCTION("""COMPUTED_VALUE"""),19)</f>
        <v>19</v>
      </c>
      <c r="F2044" s="5"/>
    </row>
    <row r="2045" spans="1:6">
      <c r="A2045" s="5" t="str">
        <f ca="1">IFERROR(__xludf.DUMMYFUNCTION("""COMPUTED_VALUE"""),"19971005OKMOO")</f>
        <v>19971005OKMOO</v>
      </c>
      <c r="B2045" s="5" t="str">
        <f ca="1">IFERROR(__xludf.DUMMYFUNCTION("""COMPUTED_VALUE"""),"Wounded")</f>
        <v>Wounded</v>
      </c>
      <c r="C2045" s="5" t="str">
        <f ca="1">IFERROR(__xludf.DUMMYFUNCTION("""COMPUTED_VALUE"""),"Male")</f>
        <v>Male</v>
      </c>
      <c r="D2045" s="5" t="str">
        <f ca="1">IFERROR(__xludf.DUMMYFUNCTION("""COMPUTED_VALUE"""),"Unknown")</f>
        <v>Unknown</v>
      </c>
      <c r="E2045" s="5">
        <f ca="1">IFERROR(__xludf.DUMMYFUNCTION("""COMPUTED_VALUE"""),17)</f>
        <v>17</v>
      </c>
      <c r="F2045" s="5"/>
    </row>
    <row r="2046" spans="1:6">
      <c r="A2046" s="5" t="str">
        <f ca="1">IFERROR(__xludf.DUMMYFUNCTION("""COMPUTED_VALUE"""),"19971001MSPEP")</f>
        <v>19971001MSPEP</v>
      </c>
      <c r="B2046" s="5" t="str">
        <f ca="1">IFERROR(__xludf.DUMMYFUNCTION("""COMPUTED_VALUE"""),"Wounded")</f>
        <v>Wounded</v>
      </c>
      <c r="C2046" s="5"/>
      <c r="D2046" s="5" t="str">
        <f ca="1">IFERROR(__xludf.DUMMYFUNCTION("""COMPUTED_VALUE"""),"Student")</f>
        <v>Student</v>
      </c>
      <c r="E2046" s="5" t="str">
        <f ca="1">IFERROR(__xludf.DUMMYFUNCTION("""COMPUTED_VALUE"""),"Teen")</f>
        <v>Teen</v>
      </c>
      <c r="F2046" s="5"/>
    </row>
    <row r="2047" spans="1:6">
      <c r="A2047" s="5" t="str">
        <f ca="1">IFERROR(__xludf.DUMMYFUNCTION("""COMPUTED_VALUE"""),"19971001MSPEP")</f>
        <v>19971001MSPEP</v>
      </c>
      <c r="B2047" s="5" t="str">
        <f ca="1">IFERROR(__xludf.DUMMYFUNCTION("""COMPUTED_VALUE"""),"Fatal")</f>
        <v>Fatal</v>
      </c>
      <c r="C2047" s="5" t="str">
        <f ca="1">IFERROR(__xludf.DUMMYFUNCTION("""COMPUTED_VALUE"""),"Female")</f>
        <v>Female</v>
      </c>
      <c r="D2047" s="5" t="str">
        <f ca="1">IFERROR(__xludf.DUMMYFUNCTION("""COMPUTED_VALUE"""),"Student")</f>
        <v>Student</v>
      </c>
      <c r="E2047" s="5">
        <f ca="1">IFERROR(__xludf.DUMMYFUNCTION("""COMPUTED_VALUE"""),16)</f>
        <v>16</v>
      </c>
      <c r="F2047" s="5"/>
    </row>
    <row r="2048" spans="1:6">
      <c r="A2048" s="5" t="str">
        <f ca="1">IFERROR(__xludf.DUMMYFUNCTION("""COMPUTED_VALUE"""),"19971001MSPEP")</f>
        <v>19971001MSPEP</v>
      </c>
      <c r="B2048" s="5" t="str">
        <f ca="1">IFERROR(__xludf.DUMMYFUNCTION("""COMPUTED_VALUE"""),"Wounded")</f>
        <v>Wounded</v>
      </c>
      <c r="C2048" s="5"/>
      <c r="D2048" s="5" t="str">
        <f ca="1">IFERROR(__xludf.DUMMYFUNCTION("""COMPUTED_VALUE"""),"Student")</f>
        <v>Student</v>
      </c>
      <c r="E2048" s="5" t="str">
        <f ca="1">IFERROR(__xludf.DUMMYFUNCTION("""COMPUTED_VALUE"""),"Teen")</f>
        <v>Teen</v>
      </c>
      <c r="F2048" s="5"/>
    </row>
    <row r="2049" spans="1:6">
      <c r="A2049" s="5" t="str">
        <f ca="1">IFERROR(__xludf.DUMMYFUNCTION("""COMPUTED_VALUE"""),"19971001MSPEP")</f>
        <v>19971001MSPEP</v>
      </c>
      <c r="B2049" s="5" t="str">
        <f ca="1">IFERROR(__xludf.DUMMYFUNCTION("""COMPUTED_VALUE"""),"Fatal")</f>
        <v>Fatal</v>
      </c>
      <c r="C2049" s="5" t="str">
        <f ca="1">IFERROR(__xludf.DUMMYFUNCTION("""COMPUTED_VALUE"""),"Female")</f>
        <v>Female</v>
      </c>
      <c r="D2049" s="5" t="str">
        <f ca="1">IFERROR(__xludf.DUMMYFUNCTION("""COMPUTED_VALUE"""),"Student")</f>
        <v>Student</v>
      </c>
      <c r="E2049" s="5">
        <f ca="1">IFERROR(__xludf.DUMMYFUNCTION("""COMPUTED_VALUE"""),17)</f>
        <v>17</v>
      </c>
      <c r="F2049" s="5"/>
    </row>
    <row r="2050" spans="1:6">
      <c r="A2050" s="5" t="str">
        <f ca="1">IFERROR(__xludf.DUMMYFUNCTION("""COMPUTED_VALUE"""),"19971001MSPEP")</f>
        <v>19971001MSPEP</v>
      </c>
      <c r="B2050" s="5" t="str">
        <f ca="1">IFERROR(__xludf.DUMMYFUNCTION("""COMPUTED_VALUE"""),"Wounded")</f>
        <v>Wounded</v>
      </c>
      <c r="C2050" s="5"/>
      <c r="D2050" s="5" t="str">
        <f ca="1">IFERROR(__xludf.DUMMYFUNCTION("""COMPUTED_VALUE"""),"Student")</f>
        <v>Student</v>
      </c>
      <c r="E2050" s="5" t="str">
        <f ca="1">IFERROR(__xludf.DUMMYFUNCTION("""COMPUTED_VALUE"""),"Teen")</f>
        <v>Teen</v>
      </c>
      <c r="F2050" s="5"/>
    </row>
    <row r="2051" spans="1:6">
      <c r="A2051" s="5" t="str">
        <f ca="1">IFERROR(__xludf.DUMMYFUNCTION("""COMPUTED_VALUE"""),"19971001MSPEP")</f>
        <v>19971001MSPEP</v>
      </c>
      <c r="B2051" s="5" t="str">
        <f ca="1">IFERROR(__xludf.DUMMYFUNCTION("""COMPUTED_VALUE"""),"Wounded")</f>
        <v>Wounded</v>
      </c>
      <c r="C2051" s="5"/>
      <c r="D2051" s="5" t="str">
        <f ca="1">IFERROR(__xludf.DUMMYFUNCTION("""COMPUTED_VALUE"""),"Student")</f>
        <v>Student</v>
      </c>
      <c r="E2051" s="5" t="str">
        <f ca="1">IFERROR(__xludf.DUMMYFUNCTION("""COMPUTED_VALUE"""),"Teen")</f>
        <v>Teen</v>
      </c>
      <c r="F2051" s="5"/>
    </row>
    <row r="2052" spans="1:6">
      <c r="A2052" s="5" t="str">
        <f ca="1">IFERROR(__xludf.DUMMYFUNCTION("""COMPUTED_VALUE"""),"19971001MSPEP")</f>
        <v>19971001MSPEP</v>
      </c>
      <c r="B2052" s="5" t="str">
        <f ca="1">IFERROR(__xludf.DUMMYFUNCTION("""COMPUTED_VALUE"""),"Wounded")</f>
        <v>Wounded</v>
      </c>
      <c r="C2052" s="5"/>
      <c r="D2052" s="5" t="str">
        <f ca="1">IFERROR(__xludf.DUMMYFUNCTION("""COMPUTED_VALUE"""),"Student")</f>
        <v>Student</v>
      </c>
      <c r="E2052" s="5" t="str">
        <f ca="1">IFERROR(__xludf.DUMMYFUNCTION("""COMPUTED_VALUE"""),"Teen")</f>
        <v>Teen</v>
      </c>
      <c r="F2052" s="5"/>
    </row>
    <row r="2053" spans="1:6">
      <c r="A2053" s="5" t="str">
        <f ca="1">IFERROR(__xludf.DUMMYFUNCTION("""COMPUTED_VALUE"""),"19971001MSPEP")</f>
        <v>19971001MSPEP</v>
      </c>
      <c r="B2053" s="5" t="str">
        <f ca="1">IFERROR(__xludf.DUMMYFUNCTION("""COMPUTED_VALUE"""),"Wounded")</f>
        <v>Wounded</v>
      </c>
      <c r="C2053" s="5"/>
      <c r="D2053" s="5" t="str">
        <f ca="1">IFERROR(__xludf.DUMMYFUNCTION("""COMPUTED_VALUE"""),"Student")</f>
        <v>Student</v>
      </c>
      <c r="E2053" s="5" t="str">
        <f ca="1">IFERROR(__xludf.DUMMYFUNCTION("""COMPUTED_VALUE"""),"Teen")</f>
        <v>Teen</v>
      </c>
      <c r="F2053" s="5"/>
    </row>
    <row r="2054" spans="1:6">
      <c r="A2054" s="5" t="str">
        <f ca="1">IFERROR(__xludf.DUMMYFUNCTION("""COMPUTED_VALUE"""),"19971001MSPEP")</f>
        <v>19971001MSPEP</v>
      </c>
      <c r="B2054" s="5" t="str">
        <f ca="1">IFERROR(__xludf.DUMMYFUNCTION("""COMPUTED_VALUE"""),"Wounded")</f>
        <v>Wounded</v>
      </c>
      <c r="C2054" s="5"/>
      <c r="D2054" s="5" t="str">
        <f ca="1">IFERROR(__xludf.DUMMYFUNCTION("""COMPUTED_VALUE"""),"Student")</f>
        <v>Student</v>
      </c>
      <c r="E2054" s="5" t="str">
        <f ca="1">IFERROR(__xludf.DUMMYFUNCTION("""COMPUTED_VALUE"""),"Teen")</f>
        <v>Teen</v>
      </c>
      <c r="F2054" s="5"/>
    </row>
    <row r="2055" spans="1:6">
      <c r="A2055" s="5" t="str">
        <f ca="1">IFERROR(__xludf.DUMMYFUNCTION("""COMPUTED_VALUE"""),"19970624ALJEM")</f>
        <v>19970624ALJEM</v>
      </c>
      <c r="B2055" s="5" t="str">
        <f ca="1">IFERROR(__xludf.DUMMYFUNCTION("""COMPUTED_VALUE"""),"Fatal")</f>
        <v>Fatal</v>
      </c>
      <c r="C2055" s="5" t="str">
        <f ca="1">IFERROR(__xludf.DUMMYFUNCTION("""COMPUTED_VALUE"""),"Male")</f>
        <v>Male</v>
      </c>
      <c r="D2055" s="5" t="str">
        <f ca="1">IFERROR(__xludf.DUMMYFUNCTION("""COMPUTED_VALUE"""),"Student")</f>
        <v>Student</v>
      </c>
      <c r="E2055" s="5">
        <f ca="1">IFERROR(__xludf.DUMMYFUNCTION("""COMPUTED_VALUE"""),18)</f>
        <v>18</v>
      </c>
      <c r="F2055" s="5"/>
    </row>
    <row r="2056" spans="1:6">
      <c r="A2056" s="5" t="str">
        <f ca="1">IFERROR(__xludf.DUMMYFUNCTION("""COMPUTED_VALUE"""),"19970520OHDUD")</f>
        <v>19970520OHDUD</v>
      </c>
      <c r="B2056" s="5" t="str">
        <f ca="1">IFERROR(__xludf.DUMMYFUNCTION("""COMPUTED_VALUE"""),"Wounded")</f>
        <v>Wounded</v>
      </c>
      <c r="C2056" s="5" t="str">
        <f ca="1">IFERROR(__xludf.DUMMYFUNCTION("""COMPUTED_VALUE"""),"Male")</f>
        <v>Male</v>
      </c>
      <c r="D2056" s="5" t="str">
        <f ca="1">IFERROR(__xludf.DUMMYFUNCTION("""COMPUTED_VALUE"""),"Student")</f>
        <v>Student</v>
      </c>
      <c r="E2056" s="5">
        <f ca="1">IFERROR(__xludf.DUMMYFUNCTION("""COMPUTED_VALUE"""),16)</f>
        <v>16</v>
      </c>
      <c r="F2056" s="5"/>
    </row>
    <row r="2057" spans="1:6">
      <c r="A2057" s="5" t="str">
        <f ca="1">IFERROR(__xludf.DUMMYFUNCTION("""COMPUTED_VALUE"""),"19970513FLNOM")</f>
        <v>19970513FLNOM</v>
      </c>
      <c r="B2057" s="5" t="str">
        <f ca="1">IFERROR(__xludf.DUMMYFUNCTION("""COMPUTED_VALUE"""),"Wounded")</f>
        <v>Wounded</v>
      </c>
      <c r="C2057" s="5" t="str">
        <f ca="1">IFERROR(__xludf.DUMMYFUNCTION("""COMPUTED_VALUE"""),"Male")</f>
        <v>Male</v>
      </c>
      <c r="D2057" s="5" t="str">
        <f ca="1">IFERROR(__xludf.DUMMYFUNCTION("""COMPUTED_VALUE"""),"Student")</f>
        <v>Student</v>
      </c>
      <c r="E2057" s="5">
        <f ca="1">IFERROR(__xludf.DUMMYFUNCTION("""COMPUTED_VALUE"""),14)</f>
        <v>14</v>
      </c>
      <c r="F2057" s="5"/>
    </row>
    <row r="2058" spans="1:6">
      <c r="A2058" s="5" t="str">
        <f ca="1">IFERROR(__xludf.DUMMYFUNCTION("""COMPUTED_VALUE"""),"19970430NYCIN")</f>
        <v>19970430NYCIN</v>
      </c>
      <c r="B2058" s="5" t="str">
        <f ca="1">IFERROR(__xludf.DUMMYFUNCTION("""COMPUTED_VALUE"""),"Fatal")</f>
        <v>Fatal</v>
      </c>
      <c r="C2058" s="5" t="str">
        <f ca="1">IFERROR(__xludf.DUMMYFUNCTION("""COMPUTED_VALUE"""),"Male")</f>
        <v>Male</v>
      </c>
      <c r="D2058" s="5" t="str">
        <f ca="1">IFERROR(__xludf.DUMMYFUNCTION("""COMPUTED_VALUE"""),"Student")</f>
        <v>Student</v>
      </c>
      <c r="E2058" s="5">
        <f ca="1">IFERROR(__xludf.DUMMYFUNCTION("""COMPUTED_VALUE"""),19)</f>
        <v>19</v>
      </c>
      <c r="F2058" s="5"/>
    </row>
    <row r="2059" spans="1:6">
      <c r="A2059" s="5" t="str">
        <f ca="1">IFERROR(__xludf.DUMMYFUNCTION("""COMPUTED_VALUE"""),"19970428CAJOL")</f>
        <v>19970428CAJOL</v>
      </c>
      <c r="B2059" s="5" t="str">
        <f ca="1">IFERROR(__xludf.DUMMYFUNCTION("""COMPUTED_VALUE"""),"Fatal")</f>
        <v>Fatal</v>
      </c>
      <c r="C2059" s="5" t="str">
        <f ca="1">IFERROR(__xludf.DUMMYFUNCTION("""COMPUTED_VALUE"""),"Male")</f>
        <v>Male</v>
      </c>
      <c r="D2059" s="5" t="str">
        <f ca="1">IFERROR(__xludf.DUMMYFUNCTION("""COMPUTED_VALUE"""),"Student")</f>
        <v>Student</v>
      </c>
      <c r="E2059" s="5">
        <f ca="1">IFERROR(__xludf.DUMMYFUNCTION("""COMPUTED_VALUE"""),17)</f>
        <v>17</v>
      </c>
      <c r="F2059" s="5"/>
    </row>
    <row r="2060" spans="1:6">
      <c r="A2060" s="5" t="str">
        <f ca="1">IFERROR(__xludf.DUMMYFUNCTION("""COMPUTED_VALUE"""),"19970403CAMAM")</f>
        <v>19970403CAMAM</v>
      </c>
      <c r="B2060" s="5" t="str">
        <f ca="1">IFERROR(__xludf.DUMMYFUNCTION("""COMPUTED_VALUE"""),"Fatal")</f>
        <v>Fatal</v>
      </c>
      <c r="C2060" s="5" t="str">
        <f ca="1">IFERROR(__xludf.DUMMYFUNCTION("""COMPUTED_VALUE"""),"Male")</f>
        <v>Male</v>
      </c>
      <c r="D2060" s="5" t="str">
        <f ca="1">IFERROR(__xludf.DUMMYFUNCTION("""COMPUTED_VALUE"""),"Student")</f>
        <v>Student</v>
      </c>
      <c r="E2060" s="5">
        <f ca="1">IFERROR(__xludf.DUMMYFUNCTION("""COMPUTED_VALUE"""),14)</f>
        <v>14</v>
      </c>
      <c r="F2060" s="5"/>
    </row>
    <row r="2061" spans="1:6">
      <c r="A2061" s="5" t="str">
        <f ca="1">IFERROR(__xludf.DUMMYFUNCTION("""COMPUTED_VALUE"""),"19970317MIPED")</f>
        <v>19970317MIPED</v>
      </c>
      <c r="B2061" s="5" t="str">
        <f ca="1">IFERROR(__xludf.DUMMYFUNCTION("""COMPUTED_VALUE"""),"Fatal")</f>
        <v>Fatal</v>
      </c>
      <c r="C2061" s="5" t="str">
        <f ca="1">IFERROR(__xludf.DUMMYFUNCTION("""COMPUTED_VALUE"""),"Male")</f>
        <v>Male</v>
      </c>
      <c r="D2061" s="5" t="str">
        <f ca="1">IFERROR(__xludf.DUMMYFUNCTION("""COMPUTED_VALUE"""),"Student")</f>
        <v>Student</v>
      </c>
      <c r="E2061" s="5">
        <f ca="1">IFERROR(__xludf.DUMMYFUNCTION("""COMPUTED_VALUE"""),16)</f>
        <v>16</v>
      </c>
      <c r="F2061" s="5"/>
    </row>
    <row r="2062" spans="1:6">
      <c r="A2062" s="5" t="str">
        <f ca="1">IFERROR(__xludf.DUMMYFUNCTION("""COMPUTED_VALUE"""),"19970221NVRAL")</f>
        <v>19970221NVRAL</v>
      </c>
      <c r="B2062" s="5" t="str">
        <f ca="1">IFERROR(__xludf.DUMMYFUNCTION("""COMPUTED_VALUE"""),"Wounded")</f>
        <v>Wounded</v>
      </c>
      <c r="C2062" s="5" t="str">
        <f ca="1">IFERROR(__xludf.DUMMYFUNCTION("""COMPUTED_VALUE"""),"Male")</f>
        <v>Male</v>
      </c>
      <c r="D2062" s="5" t="str">
        <f ca="1">IFERROR(__xludf.DUMMYFUNCTION("""COMPUTED_VALUE"""),"Student")</f>
        <v>Student</v>
      </c>
      <c r="E2062" s="5">
        <f ca="1">IFERROR(__xludf.DUMMYFUNCTION("""COMPUTED_VALUE"""),16)</f>
        <v>16</v>
      </c>
      <c r="F2062" s="5" t="str">
        <f ca="1">IFERROR(__xludf.DUMMYFUNCTION("""COMPUTED_VALUE"""),"Hispanic")</f>
        <v>Hispanic</v>
      </c>
    </row>
    <row r="2063" spans="1:6">
      <c r="A2063" s="5" t="str">
        <f ca="1">IFERROR(__xludf.DUMMYFUNCTION("""COMPUTED_VALUE"""),"19970220FLFIJ")</f>
        <v>19970220FLFIJ</v>
      </c>
      <c r="B2063" s="5" t="str">
        <f ca="1">IFERROR(__xludf.DUMMYFUNCTION("""COMPUTED_VALUE"""),"None")</f>
        <v>None</v>
      </c>
      <c r="C2063" s="5" t="str">
        <f ca="1">IFERROR(__xludf.DUMMYFUNCTION("""COMPUTED_VALUE"""),"Female")</f>
        <v>Female</v>
      </c>
      <c r="D2063" s="5" t="str">
        <f ca="1">IFERROR(__xludf.DUMMYFUNCTION("""COMPUTED_VALUE"""),"Student")</f>
        <v>Student</v>
      </c>
      <c r="E2063" s="5">
        <f ca="1">IFERROR(__xludf.DUMMYFUNCTION("""COMPUTED_VALUE"""),17)</f>
        <v>17</v>
      </c>
      <c r="F2063" s="5"/>
    </row>
    <row r="2064" spans="1:6">
      <c r="A2064" s="5" t="str">
        <f ca="1">IFERROR(__xludf.DUMMYFUNCTION("""COMPUTED_VALUE"""),"19970219AKBEB")</f>
        <v>19970219AKBEB</v>
      </c>
      <c r="B2064" s="5" t="str">
        <f ca="1">IFERROR(__xludf.DUMMYFUNCTION("""COMPUTED_VALUE"""),"Fatal")</f>
        <v>Fatal</v>
      </c>
      <c r="C2064" s="5" t="str">
        <f ca="1">IFERROR(__xludf.DUMMYFUNCTION("""COMPUTED_VALUE"""),"Male")</f>
        <v>Male</v>
      </c>
      <c r="D2064" s="5" t="str">
        <f ca="1">IFERROR(__xludf.DUMMYFUNCTION("""COMPUTED_VALUE"""),"Other Staff")</f>
        <v>Other Staff</v>
      </c>
      <c r="E2064" s="5">
        <f ca="1">IFERROR(__xludf.DUMMYFUNCTION("""COMPUTED_VALUE"""),50)</f>
        <v>50</v>
      </c>
      <c r="F2064" s="5"/>
    </row>
    <row r="2065" spans="1:6">
      <c r="A2065" s="5" t="str">
        <f ca="1">IFERROR(__xludf.DUMMYFUNCTION("""COMPUTED_VALUE"""),"19970219AKBEB")</f>
        <v>19970219AKBEB</v>
      </c>
      <c r="B2065" s="5" t="str">
        <f ca="1">IFERROR(__xludf.DUMMYFUNCTION("""COMPUTED_VALUE"""),"Wounded")</f>
        <v>Wounded</v>
      </c>
      <c r="C2065" s="5" t="str">
        <f ca="1">IFERROR(__xludf.DUMMYFUNCTION("""COMPUTED_VALUE"""),"Male")</f>
        <v>Male</v>
      </c>
      <c r="D2065" s="5" t="str">
        <f ca="1">IFERROR(__xludf.DUMMYFUNCTION("""COMPUTED_VALUE"""),"Student")</f>
        <v>Student</v>
      </c>
      <c r="E2065" s="5">
        <f ca="1">IFERROR(__xludf.DUMMYFUNCTION("""COMPUTED_VALUE"""),14)</f>
        <v>14</v>
      </c>
      <c r="F2065" s="5"/>
    </row>
    <row r="2066" spans="1:6">
      <c r="A2066" s="5" t="str">
        <f ca="1">IFERROR(__xludf.DUMMYFUNCTION("""COMPUTED_VALUE"""),"19970219AKBEB")</f>
        <v>19970219AKBEB</v>
      </c>
      <c r="B2066" s="5" t="str">
        <f ca="1">IFERROR(__xludf.DUMMYFUNCTION("""COMPUTED_VALUE"""),"Fatal")</f>
        <v>Fatal</v>
      </c>
      <c r="C2066" s="5" t="str">
        <f ca="1">IFERROR(__xludf.DUMMYFUNCTION("""COMPUTED_VALUE"""),"Male")</f>
        <v>Male</v>
      </c>
      <c r="D2066" s="5" t="str">
        <f ca="1">IFERROR(__xludf.DUMMYFUNCTION("""COMPUTED_VALUE"""),"Student")</f>
        <v>Student</v>
      </c>
      <c r="E2066" s="5">
        <f ca="1">IFERROR(__xludf.DUMMYFUNCTION("""COMPUTED_VALUE"""),15)</f>
        <v>15</v>
      </c>
      <c r="F2066" s="5"/>
    </row>
    <row r="2067" spans="1:6">
      <c r="A2067" s="5" t="str">
        <f ca="1">IFERROR(__xludf.DUMMYFUNCTION("""COMPUTED_VALUE"""),"19970219AKBEB")</f>
        <v>19970219AKBEB</v>
      </c>
      <c r="B2067" s="5" t="str">
        <f ca="1">IFERROR(__xludf.DUMMYFUNCTION("""COMPUTED_VALUE"""),"Wounded")</f>
        <v>Wounded</v>
      </c>
      <c r="C2067" s="5" t="str">
        <f ca="1">IFERROR(__xludf.DUMMYFUNCTION("""COMPUTED_VALUE"""),"Male")</f>
        <v>Male</v>
      </c>
      <c r="D2067" s="5" t="str">
        <f ca="1">IFERROR(__xludf.DUMMYFUNCTION("""COMPUTED_VALUE"""),"Student")</f>
        <v>Student</v>
      </c>
      <c r="E2067" s="5">
        <f ca="1">IFERROR(__xludf.DUMMYFUNCTION("""COMPUTED_VALUE"""),16)</f>
        <v>16</v>
      </c>
      <c r="F2067" s="5"/>
    </row>
    <row r="2068" spans="1:6">
      <c r="A2068" s="5" t="str">
        <f ca="1">IFERROR(__xludf.DUMMYFUNCTION("""COMPUTED_VALUE"""),"19970213NYSAB")</f>
        <v>19970213NYSAB</v>
      </c>
      <c r="B2068" s="5" t="str">
        <f ca="1">IFERROR(__xludf.DUMMYFUNCTION("""COMPUTED_VALUE"""),"Wounded")</f>
        <v>Wounded</v>
      </c>
      <c r="C2068" s="5" t="str">
        <f ca="1">IFERROR(__xludf.DUMMYFUNCTION("""COMPUTED_VALUE"""),"Male")</f>
        <v>Male</v>
      </c>
      <c r="D2068" s="5" t="str">
        <f ca="1">IFERROR(__xludf.DUMMYFUNCTION("""COMPUTED_VALUE"""),"Student")</f>
        <v>Student</v>
      </c>
      <c r="E2068" s="5">
        <f ca="1">IFERROR(__xludf.DUMMYFUNCTION("""COMPUTED_VALUE"""),16)</f>
        <v>16</v>
      </c>
      <c r="F2068" s="5"/>
    </row>
    <row r="2069" spans="1:6">
      <c r="A2069" s="5" t="str">
        <f ca="1">IFERROR(__xludf.DUMMYFUNCTION("""COMPUTED_VALUE"""),"19970213NYMOB")</f>
        <v>19970213NYMOB</v>
      </c>
      <c r="B2069" s="5" t="str">
        <f ca="1">IFERROR(__xludf.DUMMYFUNCTION("""COMPUTED_VALUE"""),"Wounded")</f>
        <v>Wounded</v>
      </c>
      <c r="C2069" s="5" t="str">
        <f ca="1">IFERROR(__xludf.DUMMYFUNCTION("""COMPUTED_VALUE"""),"Male")</f>
        <v>Male</v>
      </c>
      <c r="D2069" s="5" t="str">
        <f ca="1">IFERROR(__xludf.DUMMYFUNCTION("""COMPUTED_VALUE"""),"Student")</f>
        <v>Student</v>
      </c>
      <c r="E2069" s="5">
        <f ca="1">IFERROR(__xludf.DUMMYFUNCTION("""COMPUTED_VALUE"""),17)</f>
        <v>17</v>
      </c>
      <c r="F2069" s="5"/>
    </row>
    <row r="2070" spans="1:6">
      <c r="A2070" s="5" t="str">
        <f ca="1">IFERROR(__xludf.DUMMYFUNCTION("""COMPUTED_VALUE"""),"19970206MSWIJ")</f>
        <v>19970206MSWIJ</v>
      </c>
      <c r="B2070" s="5" t="str">
        <f ca="1">IFERROR(__xludf.DUMMYFUNCTION("""COMPUTED_VALUE"""),"Wounded")</f>
        <v>Wounded</v>
      </c>
      <c r="C2070" s="5" t="str">
        <f ca="1">IFERROR(__xludf.DUMMYFUNCTION("""COMPUTED_VALUE"""),"Male")</f>
        <v>Male</v>
      </c>
      <c r="D2070" s="5" t="str">
        <f ca="1">IFERROR(__xludf.DUMMYFUNCTION("""COMPUTED_VALUE"""),"Student")</f>
        <v>Student</v>
      </c>
      <c r="E2070" s="5">
        <f ca="1">IFERROR(__xludf.DUMMYFUNCTION("""COMPUTED_VALUE"""),17)</f>
        <v>17</v>
      </c>
      <c r="F2070" s="5" t="str">
        <f ca="1">IFERROR(__xludf.DUMMYFUNCTION("""COMPUTED_VALUE"""),"Black")</f>
        <v>Black</v>
      </c>
    </row>
    <row r="2071" spans="1:6">
      <c r="A2071" s="5" t="str">
        <f ca="1">IFERROR(__xludf.DUMMYFUNCTION("""COMPUTED_VALUE"""),"19970127FLCOW")</f>
        <v>19970127FLCOW</v>
      </c>
      <c r="B2071" s="5" t="str">
        <f ca="1">IFERROR(__xludf.DUMMYFUNCTION("""COMPUTED_VALUE"""),"Fatal")</f>
        <v>Fatal</v>
      </c>
      <c r="C2071" s="5" t="str">
        <f ca="1">IFERROR(__xludf.DUMMYFUNCTION("""COMPUTED_VALUE"""),"Male")</f>
        <v>Male</v>
      </c>
      <c r="D2071" s="5" t="str">
        <f ca="1">IFERROR(__xludf.DUMMYFUNCTION("""COMPUTED_VALUE"""),"Student")</f>
        <v>Student</v>
      </c>
      <c r="E2071" s="5">
        <f ca="1">IFERROR(__xludf.DUMMYFUNCTION("""COMPUTED_VALUE"""),14)</f>
        <v>14</v>
      </c>
      <c r="F2071" s="5"/>
    </row>
    <row r="2072" spans="1:6">
      <c r="A2072" s="5" t="str">
        <f ca="1">IFERROR(__xludf.DUMMYFUNCTION("""COMPUTED_VALUE"""),"19970108NYCRN")</f>
        <v>19970108NYCRN</v>
      </c>
      <c r="B2072" s="5" t="str">
        <f ca="1">IFERROR(__xludf.DUMMYFUNCTION("""COMPUTED_VALUE"""),"Wounded")</f>
        <v>Wounded</v>
      </c>
      <c r="C2072" s="5" t="str">
        <f ca="1">IFERROR(__xludf.DUMMYFUNCTION("""COMPUTED_VALUE"""),"Male")</f>
        <v>Male</v>
      </c>
      <c r="D2072" s="5" t="str">
        <f ca="1">IFERROR(__xludf.DUMMYFUNCTION("""COMPUTED_VALUE"""),"Student")</f>
        <v>Student</v>
      </c>
      <c r="E2072" s="5">
        <f ca="1">IFERROR(__xludf.DUMMYFUNCTION("""COMPUTED_VALUE"""),15)</f>
        <v>15</v>
      </c>
      <c r="F2072" s="5"/>
    </row>
    <row r="2073" spans="1:6">
      <c r="A2073" s="5" t="str">
        <f ca="1">IFERROR(__xludf.DUMMYFUNCTION("""COMPUTED_VALUE"""),"19970108NYCRN")</f>
        <v>19970108NYCRN</v>
      </c>
      <c r="B2073" s="5" t="str">
        <f ca="1">IFERROR(__xludf.DUMMYFUNCTION("""COMPUTED_VALUE"""),"Wounded")</f>
        <v>Wounded</v>
      </c>
      <c r="C2073" s="5" t="str">
        <f ca="1">IFERROR(__xludf.DUMMYFUNCTION("""COMPUTED_VALUE"""),"Male")</f>
        <v>Male</v>
      </c>
      <c r="D2073" s="5" t="str">
        <f ca="1">IFERROR(__xludf.DUMMYFUNCTION("""COMPUTED_VALUE"""),"Student")</f>
        <v>Student</v>
      </c>
      <c r="E2073" s="5">
        <f ca="1">IFERROR(__xludf.DUMMYFUNCTION("""COMPUTED_VALUE"""),15)</f>
        <v>15</v>
      </c>
      <c r="F2073" s="5"/>
    </row>
    <row r="2074" spans="1:6">
      <c r="A2074" s="5" t="str">
        <f ca="1">IFERROR(__xludf.DUMMYFUNCTION("""COMPUTED_VALUE"""),"19970108NYCRN")</f>
        <v>19970108NYCRN</v>
      </c>
      <c r="B2074" s="5" t="str">
        <f ca="1">IFERROR(__xludf.DUMMYFUNCTION("""COMPUTED_VALUE"""),"Wounded")</f>
        <v>Wounded</v>
      </c>
      <c r="C2074" s="5" t="str">
        <f ca="1">IFERROR(__xludf.DUMMYFUNCTION("""COMPUTED_VALUE"""),"Male")</f>
        <v>Male</v>
      </c>
      <c r="D2074" s="5" t="str">
        <f ca="1">IFERROR(__xludf.DUMMYFUNCTION("""COMPUTED_VALUE"""),"Student")</f>
        <v>Student</v>
      </c>
      <c r="E2074" s="5">
        <f ca="1">IFERROR(__xludf.DUMMYFUNCTION("""COMPUTED_VALUE"""),16)</f>
        <v>16</v>
      </c>
      <c r="F2074" s="5"/>
    </row>
    <row r="2075" spans="1:6">
      <c r="A2075" s="5" t="str">
        <f ca="1">IFERROR(__xludf.DUMMYFUNCTION("""COMPUTED_VALUE"""),"19970108NYCRN")</f>
        <v>19970108NYCRN</v>
      </c>
      <c r="B2075" s="5" t="str">
        <f ca="1">IFERROR(__xludf.DUMMYFUNCTION("""COMPUTED_VALUE"""),"Fatal")</f>
        <v>Fatal</v>
      </c>
      <c r="C2075" s="5" t="str">
        <f ca="1">IFERROR(__xludf.DUMMYFUNCTION("""COMPUTED_VALUE"""),"Male")</f>
        <v>Male</v>
      </c>
      <c r="D2075" s="5" t="str">
        <f ca="1">IFERROR(__xludf.DUMMYFUNCTION("""COMPUTED_VALUE"""),"Student")</f>
        <v>Student</v>
      </c>
      <c r="E2075" s="5">
        <f ca="1">IFERROR(__xludf.DUMMYFUNCTION("""COMPUTED_VALUE"""),18)</f>
        <v>18</v>
      </c>
      <c r="F2075" s="5"/>
    </row>
    <row r="2076" spans="1:6">
      <c r="A2076" s="5" t="str">
        <f ca="1">IFERROR(__xludf.DUMMYFUNCTION("""COMPUTED_VALUE"""),"19961127CAHIS")</f>
        <v>19961127CAHIS</v>
      </c>
      <c r="B2076" s="5" t="str">
        <f ca="1">IFERROR(__xludf.DUMMYFUNCTION("""COMPUTED_VALUE"""),"Fatal")</f>
        <v>Fatal</v>
      </c>
      <c r="C2076" s="5" t="str">
        <f ca="1">IFERROR(__xludf.DUMMYFUNCTION("""COMPUTED_VALUE"""),"Male")</f>
        <v>Male</v>
      </c>
      <c r="D2076" s="5" t="str">
        <f ca="1">IFERROR(__xludf.DUMMYFUNCTION("""COMPUTED_VALUE"""),"Student")</f>
        <v>Student</v>
      </c>
      <c r="E2076" s="5">
        <f ca="1">IFERROR(__xludf.DUMMYFUNCTION("""COMPUTED_VALUE"""),19)</f>
        <v>19</v>
      </c>
      <c r="F2076" s="5"/>
    </row>
    <row r="2077" spans="1:6">
      <c r="A2077" s="5" t="str">
        <f ca="1">IFERROR(__xludf.DUMMYFUNCTION("""COMPUTED_VALUE"""),"19961014MOSUS")</f>
        <v>19961014MOSUS</v>
      </c>
      <c r="B2077" s="5" t="str">
        <f ca="1">IFERROR(__xludf.DUMMYFUNCTION("""COMPUTED_VALUE"""),"Fatal")</f>
        <v>Fatal</v>
      </c>
      <c r="C2077" s="5" t="str">
        <f ca="1">IFERROR(__xludf.DUMMYFUNCTION("""COMPUTED_VALUE"""),"Male")</f>
        <v>Male</v>
      </c>
      <c r="D2077" s="5" t="str">
        <f ca="1">IFERROR(__xludf.DUMMYFUNCTION("""COMPUTED_VALUE"""),"Student")</f>
        <v>Student</v>
      </c>
      <c r="E2077" s="5">
        <f ca="1">IFERROR(__xludf.DUMMYFUNCTION("""COMPUTED_VALUE"""),17)</f>
        <v>17</v>
      </c>
      <c r="F2077" s="5"/>
    </row>
    <row r="2078" spans="1:6">
      <c r="A2078" s="5" t="str">
        <f ca="1">IFERROR(__xludf.DUMMYFUNCTION("""COMPUTED_VALUE"""),"19961009ARJAS")</f>
        <v>19961009ARJAS</v>
      </c>
      <c r="B2078" s="5" t="str">
        <f ca="1">IFERROR(__xludf.DUMMYFUNCTION("""COMPUTED_VALUE"""),"Fatal")</f>
        <v>Fatal</v>
      </c>
      <c r="C2078" s="5" t="str">
        <f ca="1">IFERROR(__xludf.DUMMYFUNCTION("""COMPUTED_VALUE"""),"Male")</f>
        <v>Male</v>
      </c>
      <c r="D2078" s="5" t="str">
        <f ca="1">IFERROR(__xludf.DUMMYFUNCTION("""COMPUTED_VALUE"""),"Student")</f>
        <v>Student</v>
      </c>
      <c r="E2078" s="5">
        <f ca="1">IFERROR(__xludf.DUMMYFUNCTION("""COMPUTED_VALUE"""),20)</f>
        <v>20</v>
      </c>
      <c r="F2078" s="5"/>
    </row>
    <row r="2079" spans="1:6">
      <c r="A2079" s="5" t="str">
        <f ca="1">IFERROR(__xludf.DUMMYFUNCTION("""COMPUTED_VALUE"""),"19961004CASTP")</f>
        <v>19961004CASTP</v>
      </c>
      <c r="B2079" s="5" t="str">
        <f ca="1">IFERROR(__xludf.DUMMYFUNCTION("""COMPUTED_VALUE"""),"Fatal")</f>
        <v>Fatal</v>
      </c>
      <c r="C2079" s="5" t="str">
        <f ca="1">IFERROR(__xludf.DUMMYFUNCTION("""COMPUTED_VALUE"""),"Male")</f>
        <v>Male</v>
      </c>
      <c r="D2079" s="5" t="str">
        <f ca="1">IFERROR(__xludf.DUMMYFUNCTION("""COMPUTED_VALUE"""),"Student")</f>
        <v>Student</v>
      </c>
      <c r="E2079" s="5">
        <f ca="1">IFERROR(__xludf.DUMMYFUNCTION("""COMPUTED_VALUE"""),18)</f>
        <v>18</v>
      </c>
      <c r="F2079" s="5"/>
    </row>
    <row r="2080" spans="1:6">
      <c r="A2080" s="5" t="str">
        <f ca="1">IFERROR(__xludf.DUMMYFUNCTION("""COMPUTED_VALUE"""),"19961004CASTP")</f>
        <v>19961004CASTP</v>
      </c>
      <c r="B2080" s="5" t="str">
        <f ca="1">IFERROR(__xludf.DUMMYFUNCTION("""COMPUTED_VALUE"""),"Wounded")</f>
        <v>Wounded</v>
      </c>
      <c r="C2080" s="5" t="str">
        <f ca="1">IFERROR(__xludf.DUMMYFUNCTION("""COMPUTED_VALUE"""),"Male")</f>
        <v>Male</v>
      </c>
      <c r="D2080" s="5" t="str">
        <f ca="1">IFERROR(__xludf.DUMMYFUNCTION("""COMPUTED_VALUE"""),"Unknown")</f>
        <v>Unknown</v>
      </c>
      <c r="E2080" s="5" t="str">
        <f ca="1">IFERROR(__xludf.DUMMYFUNCTION("""COMPUTED_VALUE"""),"Teen")</f>
        <v>Teen</v>
      </c>
      <c r="F2080" s="5"/>
    </row>
    <row r="2081" spans="1:6">
      <c r="A2081" s="5" t="str">
        <f ca="1">IFERROR(__xludf.DUMMYFUNCTION("""COMPUTED_VALUE"""),"19961002PASMP")</f>
        <v>19961002PASMP</v>
      </c>
      <c r="B2081" s="5" t="str">
        <f ca="1">IFERROR(__xludf.DUMMYFUNCTION("""COMPUTED_VALUE"""),"Fatal")</f>
        <v>Fatal</v>
      </c>
      <c r="C2081" s="5" t="str">
        <f ca="1">IFERROR(__xludf.DUMMYFUNCTION("""COMPUTED_VALUE"""),"Female")</f>
        <v>Female</v>
      </c>
      <c r="D2081" s="5" t="str">
        <f ca="1">IFERROR(__xludf.DUMMYFUNCTION("""COMPUTED_VALUE"""),"Relative")</f>
        <v>Relative</v>
      </c>
      <c r="E2081" s="5">
        <f ca="1">IFERROR(__xludf.DUMMYFUNCTION("""COMPUTED_VALUE"""),19)</f>
        <v>19</v>
      </c>
      <c r="F2081" s="5"/>
    </row>
    <row r="2082" spans="1:6">
      <c r="A2082" s="5" t="str">
        <f ca="1">IFERROR(__xludf.DUMMYFUNCTION("""COMPUTED_VALUE"""),"19961002PASMP")</f>
        <v>19961002PASMP</v>
      </c>
      <c r="B2082" s="5" t="str">
        <f ca="1">IFERROR(__xludf.DUMMYFUNCTION("""COMPUTED_VALUE"""),"Fatal")</f>
        <v>Fatal</v>
      </c>
      <c r="C2082" s="5" t="str">
        <f ca="1">IFERROR(__xludf.DUMMYFUNCTION("""COMPUTED_VALUE"""),"Female")</f>
        <v>Female</v>
      </c>
      <c r="D2082" s="5" t="str">
        <f ca="1">IFERROR(__xludf.DUMMYFUNCTION("""COMPUTED_VALUE"""),"Parent")</f>
        <v>Parent</v>
      </c>
      <c r="E2082" s="5">
        <f ca="1">IFERROR(__xludf.DUMMYFUNCTION("""COMPUTED_VALUE"""),26)</f>
        <v>26</v>
      </c>
      <c r="F2082" s="5"/>
    </row>
    <row r="2083" spans="1:6">
      <c r="A2083" s="5" t="str">
        <f ca="1">IFERROR(__xludf.DUMMYFUNCTION("""COMPUTED_VALUE"""),"19960925GADED")</f>
        <v>19960925GADED</v>
      </c>
      <c r="B2083" s="5" t="str">
        <f ca="1">IFERROR(__xludf.DUMMYFUNCTION("""COMPUTED_VALUE"""),"Fatal")</f>
        <v>Fatal</v>
      </c>
      <c r="C2083" s="5" t="str">
        <f ca="1">IFERROR(__xludf.DUMMYFUNCTION("""COMPUTED_VALUE"""),"Male")</f>
        <v>Male</v>
      </c>
      <c r="D2083" s="5" t="str">
        <f ca="1">IFERROR(__xludf.DUMMYFUNCTION("""COMPUTED_VALUE"""),"Teacher")</f>
        <v>Teacher</v>
      </c>
      <c r="E2083" s="5">
        <f ca="1">IFERROR(__xludf.DUMMYFUNCTION("""COMPUTED_VALUE"""),49)</f>
        <v>49</v>
      </c>
      <c r="F2083" s="5"/>
    </row>
    <row r="2084" spans="1:6">
      <c r="A2084" s="5" t="str">
        <f ca="1">IFERROR(__xludf.DUMMYFUNCTION("""COMPUTED_VALUE"""),"19960726CAJOL")</f>
        <v>19960726CAJOL</v>
      </c>
      <c r="B2084" s="5" t="str">
        <f ca="1">IFERROR(__xludf.DUMMYFUNCTION("""COMPUTED_VALUE"""),"Wounded")</f>
        <v>Wounded</v>
      </c>
      <c r="C2084" s="5" t="str">
        <f ca="1">IFERROR(__xludf.DUMMYFUNCTION("""COMPUTED_VALUE"""),"Male")</f>
        <v>Male</v>
      </c>
      <c r="D2084" s="5" t="str">
        <f ca="1">IFERROR(__xludf.DUMMYFUNCTION("""COMPUTED_VALUE"""),"Student")</f>
        <v>Student</v>
      </c>
      <c r="E2084" s="5">
        <f ca="1">IFERROR(__xludf.DUMMYFUNCTION("""COMPUTED_VALUE"""),16)</f>
        <v>16</v>
      </c>
      <c r="F2084" s="5" t="str">
        <f ca="1">IFERROR(__xludf.DUMMYFUNCTION("""COMPUTED_VALUE"""),"Hispanic")</f>
        <v>Hispanic</v>
      </c>
    </row>
    <row r="2085" spans="1:6">
      <c r="A2085" s="5" t="str">
        <f ca="1">IFERROR(__xludf.DUMMYFUNCTION("""COMPUTED_VALUE"""),"19960726CAJOL")</f>
        <v>19960726CAJOL</v>
      </c>
      <c r="B2085" s="5" t="str">
        <f ca="1">IFERROR(__xludf.DUMMYFUNCTION("""COMPUTED_VALUE"""),"Wounded")</f>
        <v>Wounded</v>
      </c>
      <c r="C2085" s="5" t="str">
        <f ca="1">IFERROR(__xludf.DUMMYFUNCTION("""COMPUTED_VALUE"""),"Female")</f>
        <v>Female</v>
      </c>
      <c r="D2085" s="5" t="str">
        <f ca="1">IFERROR(__xludf.DUMMYFUNCTION("""COMPUTED_VALUE"""),"Student")</f>
        <v>Student</v>
      </c>
      <c r="E2085" s="5">
        <f ca="1">IFERROR(__xludf.DUMMYFUNCTION("""COMPUTED_VALUE"""),17)</f>
        <v>17</v>
      </c>
      <c r="F2085" s="5" t="str">
        <f ca="1">IFERROR(__xludf.DUMMYFUNCTION("""COMPUTED_VALUE"""),"Hispanic")</f>
        <v>Hispanic</v>
      </c>
    </row>
    <row r="2086" spans="1:6">
      <c r="A2086" s="5" t="str">
        <f ca="1">IFERROR(__xludf.DUMMYFUNCTION("""COMPUTED_VALUE"""),"19960604CAWEH")</f>
        <v>19960604CAWEH</v>
      </c>
      <c r="B2086" s="5" t="str">
        <f ca="1">IFERROR(__xludf.DUMMYFUNCTION("""COMPUTED_VALUE"""),"None")</f>
        <v>None</v>
      </c>
      <c r="C2086" s="5" t="str">
        <f ca="1">IFERROR(__xludf.DUMMYFUNCTION("""COMPUTED_VALUE"""),"Male")</f>
        <v>Male</v>
      </c>
      <c r="D2086" s="5" t="str">
        <f ca="1">IFERROR(__xludf.DUMMYFUNCTION("""COMPUTED_VALUE"""),"Student")</f>
        <v>Student</v>
      </c>
      <c r="E2086" s="5">
        <f ca="1">IFERROR(__xludf.DUMMYFUNCTION("""COMPUTED_VALUE"""),16)</f>
        <v>16</v>
      </c>
      <c r="F2086" s="5"/>
    </row>
    <row r="2087" spans="1:6">
      <c r="A2087" s="5" t="str">
        <f ca="1">IFERROR(__xludf.DUMMYFUNCTION("""COMPUTED_VALUE"""),"19960522CACOC")</f>
        <v>19960522CACOC</v>
      </c>
      <c r="B2087" s="5" t="str">
        <f ca="1">IFERROR(__xludf.DUMMYFUNCTION("""COMPUTED_VALUE"""),"Fatal")</f>
        <v>Fatal</v>
      </c>
      <c r="C2087" s="5" t="str">
        <f ca="1">IFERROR(__xludf.DUMMYFUNCTION("""COMPUTED_VALUE"""),"Male")</f>
        <v>Male</v>
      </c>
      <c r="D2087" s="5" t="str">
        <f ca="1">IFERROR(__xludf.DUMMYFUNCTION("""COMPUTED_VALUE"""),"Student")</f>
        <v>Student</v>
      </c>
      <c r="E2087" s="5">
        <f ca="1">IFERROR(__xludf.DUMMYFUNCTION("""COMPUTED_VALUE"""),14)</f>
        <v>14</v>
      </c>
      <c r="F2087" s="5"/>
    </row>
    <row r="2088" spans="1:6">
      <c r="A2088" s="5" t="str">
        <f ca="1">IFERROR(__xludf.DUMMYFUNCTION("""COMPUTED_VALUE"""),"19960514UTBIT")</f>
        <v>19960514UTBIT</v>
      </c>
      <c r="B2088" s="5" t="str">
        <f ca="1">IFERROR(__xludf.DUMMYFUNCTION("""COMPUTED_VALUE"""),"Wounded")</f>
        <v>Wounded</v>
      </c>
      <c r="C2088" s="5" t="str">
        <f ca="1">IFERROR(__xludf.DUMMYFUNCTION("""COMPUTED_VALUE"""),"Female")</f>
        <v>Female</v>
      </c>
      <c r="D2088" s="5" t="str">
        <f ca="1">IFERROR(__xludf.DUMMYFUNCTION("""COMPUTED_VALUE"""),"Bus Driver")</f>
        <v>Bus Driver</v>
      </c>
      <c r="E2088" s="5" t="str">
        <f ca="1">IFERROR(__xludf.DUMMYFUNCTION("""COMPUTED_VALUE"""),"Adult")</f>
        <v>Adult</v>
      </c>
      <c r="F2088" s="5"/>
    </row>
    <row r="2089" spans="1:6">
      <c r="A2089" s="5" t="str">
        <f ca="1">IFERROR(__xludf.DUMMYFUNCTION("""COMPUTED_VALUE"""),"19960415DCMCW")</f>
        <v>19960415DCMCW</v>
      </c>
      <c r="B2089" s="5" t="str">
        <f ca="1">IFERROR(__xludf.DUMMYFUNCTION("""COMPUTED_VALUE"""),"Fatal")</f>
        <v>Fatal</v>
      </c>
      <c r="C2089" s="5" t="str">
        <f ca="1">IFERROR(__xludf.DUMMYFUNCTION("""COMPUTED_VALUE"""),"Male")</f>
        <v>Male</v>
      </c>
      <c r="D2089" s="5" t="str">
        <f ca="1">IFERROR(__xludf.DUMMYFUNCTION("""COMPUTED_VALUE"""),"Former Student")</f>
        <v>Former Student</v>
      </c>
      <c r="E2089" s="5">
        <f ca="1">IFERROR(__xludf.DUMMYFUNCTION("""COMPUTED_VALUE"""),23)</f>
        <v>23</v>
      </c>
      <c r="F2089" s="5"/>
    </row>
    <row r="2090" spans="1:6">
      <c r="A2090" s="5" t="str">
        <f ca="1">IFERROR(__xludf.DUMMYFUNCTION("""COMPUTED_VALUE"""),"19960411ALTAT")</f>
        <v>19960411ALTAT</v>
      </c>
      <c r="B2090" s="5" t="str">
        <f ca="1">IFERROR(__xludf.DUMMYFUNCTION("""COMPUTED_VALUE"""),"Fatal")</f>
        <v>Fatal</v>
      </c>
      <c r="C2090" s="5" t="str">
        <f ca="1">IFERROR(__xludf.DUMMYFUNCTION("""COMPUTED_VALUE"""),"Male")</f>
        <v>Male</v>
      </c>
      <c r="D2090" s="5" t="str">
        <f ca="1">IFERROR(__xludf.DUMMYFUNCTION("""COMPUTED_VALUE"""),"Student")</f>
        <v>Student</v>
      </c>
      <c r="E2090" s="5">
        <f ca="1">IFERROR(__xludf.DUMMYFUNCTION("""COMPUTED_VALUE"""),18)</f>
        <v>18</v>
      </c>
      <c r="F2090" s="5"/>
    </row>
    <row r="2091" spans="1:6">
      <c r="A2091" s="5" t="str">
        <f ca="1">IFERROR(__xludf.DUMMYFUNCTION("""COMPUTED_VALUE"""),"19960319NVSWL")</f>
        <v>19960319NVSWL</v>
      </c>
      <c r="B2091" s="5" t="str">
        <f ca="1">IFERROR(__xludf.DUMMYFUNCTION("""COMPUTED_VALUE"""),"Minor Injuries")</f>
        <v>Minor Injuries</v>
      </c>
      <c r="C2091" s="5" t="str">
        <f ca="1">IFERROR(__xludf.DUMMYFUNCTION("""COMPUTED_VALUE"""),"Male")</f>
        <v>Male</v>
      </c>
      <c r="D2091" s="5" t="str">
        <f ca="1">IFERROR(__xludf.DUMMYFUNCTION("""COMPUTED_VALUE"""),"Student")</f>
        <v>Student</v>
      </c>
      <c r="E2091" s="5" t="str">
        <f ca="1">IFERROR(__xludf.DUMMYFUNCTION("""COMPUTED_VALUE"""),"Teen")</f>
        <v>Teen</v>
      </c>
      <c r="F2091" s="5"/>
    </row>
    <row r="2092" spans="1:6">
      <c r="A2092" s="5" t="str">
        <f ca="1">IFERROR(__xludf.DUMMYFUNCTION("""COMPUTED_VALUE"""),"19960319NVSWL")</f>
        <v>19960319NVSWL</v>
      </c>
      <c r="B2092" s="5" t="str">
        <f ca="1">IFERROR(__xludf.DUMMYFUNCTION("""COMPUTED_VALUE"""),"Minor Injuries")</f>
        <v>Minor Injuries</v>
      </c>
      <c r="C2092" s="5" t="str">
        <f ca="1">IFERROR(__xludf.DUMMYFUNCTION("""COMPUTED_VALUE"""),"Male")</f>
        <v>Male</v>
      </c>
      <c r="D2092" s="5" t="str">
        <f ca="1">IFERROR(__xludf.DUMMYFUNCTION("""COMPUTED_VALUE"""),"Student")</f>
        <v>Student</v>
      </c>
      <c r="E2092" s="5" t="str">
        <f ca="1">IFERROR(__xludf.DUMMYFUNCTION("""COMPUTED_VALUE"""),"Teen")</f>
        <v>Teen</v>
      </c>
      <c r="F2092" s="5"/>
    </row>
    <row r="2093" spans="1:6">
      <c r="A2093" s="5" t="str">
        <f ca="1">IFERROR(__xludf.DUMMYFUNCTION("""COMPUTED_VALUE"""),"19960311NCNON")</f>
        <v>19960311NCNON</v>
      </c>
      <c r="B2093" s="5" t="str">
        <f ca="1">IFERROR(__xludf.DUMMYFUNCTION("""COMPUTED_VALUE"""),"None")</f>
        <v>None</v>
      </c>
      <c r="C2093" s="5" t="str">
        <f ca="1">IFERROR(__xludf.DUMMYFUNCTION("""COMPUTED_VALUE"""),"Male")</f>
        <v>Male</v>
      </c>
      <c r="D2093" s="5" t="str">
        <f ca="1">IFERROR(__xludf.DUMMYFUNCTION("""COMPUTED_VALUE"""),"Student")</f>
        <v>Student</v>
      </c>
      <c r="E2093" s="5">
        <f ca="1">IFERROR(__xludf.DUMMYFUNCTION("""COMPUTED_VALUE"""),15)</f>
        <v>15</v>
      </c>
      <c r="F2093" s="5" t="str">
        <f ca="1">IFERROR(__xludf.DUMMYFUNCTION("""COMPUTED_VALUE"""),"White")</f>
        <v>White</v>
      </c>
    </row>
    <row r="2094" spans="1:6">
      <c r="A2094" s="5" t="str">
        <f ca="1">IFERROR(__xludf.DUMMYFUNCTION("""COMPUTED_VALUE"""),"19960229MOBES")</f>
        <v>19960229MOBES</v>
      </c>
      <c r="B2094" s="5" t="str">
        <f ca="1">IFERROR(__xludf.DUMMYFUNCTION("""COMPUTED_VALUE"""),"Fatal")</f>
        <v>Fatal</v>
      </c>
      <c r="C2094" s="5" t="str">
        <f ca="1">IFERROR(__xludf.DUMMYFUNCTION("""COMPUTED_VALUE"""),"Female")</f>
        <v>Female</v>
      </c>
      <c r="D2094" s="5" t="str">
        <f ca="1">IFERROR(__xludf.DUMMYFUNCTION("""COMPUTED_VALUE"""),"Relative")</f>
        <v>Relative</v>
      </c>
      <c r="E2094" s="5">
        <f ca="1">IFERROR(__xludf.DUMMYFUNCTION("""COMPUTED_VALUE"""),1)</f>
        <v>1</v>
      </c>
      <c r="F2094" s="5" t="str">
        <f ca="1">IFERROR(__xludf.DUMMYFUNCTION("""COMPUTED_VALUE"""),"Black")</f>
        <v>Black</v>
      </c>
    </row>
    <row r="2095" spans="1:6">
      <c r="A2095" s="5" t="str">
        <f ca="1">IFERROR(__xludf.DUMMYFUNCTION("""COMPUTED_VALUE"""),"19960229MOBES")</f>
        <v>19960229MOBES</v>
      </c>
      <c r="B2095" s="5" t="str">
        <f ca="1">IFERROR(__xludf.DUMMYFUNCTION("""COMPUTED_VALUE"""),"Fatal")</f>
        <v>Fatal</v>
      </c>
      <c r="C2095" s="5" t="str">
        <f ca="1">IFERROR(__xludf.DUMMYFUNCTION("""COMPUTED_VALUE"""),"Female")</f>
        <v>Female</v>
      </c>
      <c r="D2095" s="5" t="str">
        <f ca="1">IFERROR(__xludf.DUMMYFUNCTION("""COMPUTED_VALUE"""),"Student")</f>
        <v>Student</v>
      </c>
      <c r="E2095" s="5">
        <f ca="1">IFERROR(__xludf.DUMMYFUNCTION("""COMPUTED_VALUE"""),15)</f>
        <v>15</v>
      </c>
      <c r="F2095" s="5" t="str">
        <f ca="1">IFERROR(__xludf.DUMMYFUNCTION("""COMPUTED_VALUE"""),"Black")</f>
        <v>Black</v>
      </c>
    </row>
    <row r="2096" spans="1:6">
      <c r="A2096" s="5" t="str">
        <f ca="1">IFERROR(__xludf.DUMMYFUNCTION("""COMPUTED_VALUE"""),"19960229MOBES")</f>
        <v>19960229MOBES</v>
      </c>
      <c r="B2096" s="5" t="str">
        <f ca="1">IFERROR(__xludf.DUMMYFUNCTION("""COMPUTED_VALUE"""),"Wounded")</f>
        <v>Wounded</v>
      </c>
      <c r="C2096" s="5" t="str">
        <f ca="1">IFERROR(__xludf.DUMMYFUNCTION("""COMPUTED_VALUE"""),"Male")</f>
        <v>Male</v>
      </c>
      <c r="D2096" s="5" t="str">
        <f ca="1">IFERROR(__xludf.DUMMYFUNCTION("""COMPUTED_VALUE"""),"Bus Driver")</f>
        <v>Bus Driver</v>
      </c>
      <c r="E2096" s="5">
        <f ca="1">IFERROR(__xludf.DUMMYFUNCTION("""COMPUTED_VALUE"""),60)</f>
        <v>60</v>
      </c>
      <c r="F2096" s="5" t="str">
        <f ca="1">IFERROR(__xludf.DUMMYFUNCTION("""COMPUTED_VALUE"""),"Black")</f>
        <v>Black</v>
      </c>
    </row>
    <row r="2097" spans="1:6">
      <c r="A2097" s="5" t="str">
        <f ca="1">IFERROR(__xludf.DUMMYFUNCTION("""COMPUTED_VALUE"""),"19960222GAJES")</f>
        <v>19960222GAJES</v>
      </c>
      <c r="B2097" s="5" t="str">
        <f ca="1">IFERROR(__xludf.DUMMYFUNCTION("""COMPUTED_VALUE"""),"Fatal")</f>
        <v>Fatal</v>
      </c>
      <c r="C2097" s="5" t="str">
        <f ca="1">IFERROR(__xludf.DUMMYFUNCTION("""COMPUTED_VALUE"""),"Male")</f>
        <v>Male</v>
      </c>
      <c r="D2097" s="5" t="str">
        <f ca="1">IFERROR(__xludf.DUMMYFUNCTION("""COMPUTED_VALUE"""),"Student")</f>
        <v>Student</v>
      </c>
      <c r="E2097" s="5">
        <f ca="1">IFERROR(__xludf.DUMMYFUNCTION("""COMPUTED_VALUE"""),17)</f>
        <v>17</v>
      </c>
      <c r="F2097" s="5" t="str">
        <f ca="1">IFERROR(__xludf.DUMMYFUNCTION("""COMPUTED_VALUE"""),"Black")</f>
        <v>Black</v>
      </c>
    </row>
    <row r="2098" spans="1:6">
      <c r="A2098" s="5" t="str">
        <f ca="1">IFERROR(__xludf.DUMMYFUNCTION("""COMPUTED_VALUE"""),"19960208CAMIM")</f>
        <v>19960208CAMIM</v>
      </c>
      <c r="B2098" s="5" t="str">
        <f ca="1">IFERROR(__xludf.DUMMYFUNCTION("""COMPUTED_VALUE"""),"Wounded")</f>
        <v>Wounded</v>
      </c>
      <c r="C2098" s="5" t="str">
        <f ca="1">IFERROR(__xludf.DUMMYFUNCTION("""COMPUTED_VALUE"""),"Male")</f>
        <v>Male</v>
      </c>
      <c r="D2098" s="5" t="str">
        <f ca="1">IFERROR(__xludf.DUMMYFUNCTION("""COMPUTED_VALUE"""),"Student")</f>
        <v>Student</v>
      </c>
      <c r="E2098" s="5">
        <f ca="1">IFERROR(__xludf.DUMMYFUNCTION("""COMPUTED_VALUE"""),14)</f>
        <v>14</v>
      </c>
      <c r="F2098" s="5"/>
    </row>
    <row r="2099" spans="1:6">
      <c r="A2099" s="5" t="str">
        <f ca="1">IFERROR(__xludf.DUMMYFUNCTION("""COMPUTED_VALUE"""),"19960202WAFRM")</f>
        <v>19960202WAFRM</v>
      </c>
      <c r="B2099" s="5" t="str">
        <f ca="1">IFERROR(__xludf.DUMMYFUNCTION("""COMPUTED_VALUE"""),"Fatal")</f>
        <v>Fatal</v>
      </c>
      <c r="C2099" s="5" t="str">
        <f ca="1">IFERROR(__xludf.DUMMYFUNCTION("""COMPUTED_VALUE"""),"Male")</f>
        <v>Male</v>
      </c>
      <c r="D2099" s="5" t="str">
        <f ca="1">IFERROR(__xludf.DUMMYFUNCTION("""COMPUTED_VALUE"""),"Student")</f>
        <v>Student</v>
      </c>
      <c r="E2099" s="5">
        <f ca="1">IFERROR(__xludf.DUMMYFUNCTION("""COMPUTED_VALUE"""),14)</f>
        <v>14</v>
      </c>
      <c r="F2099" s="5"/>
    </row>
    <row r="2100" spans="1:6">
      <c r="A2100" s="5" t="str">
        <f ca="1">IFERROR(__xludf.DUMMYFUNCTION("""COMPUTED_VALUE"""),"19960202WAFRM")</f>
        <v>19960202WAFRM</v>
      </c>
      <c r="B2100" s="5" t="str">
        <f ca="1">IFERROR(__xludf.DUMMYFUNCTION("""COMPUTED_VALUE"""),"Fatal")</f>
        <v>Fatal</v>
      </c>
      <c r="C2100" s="5" t="str">
        <f ca="1">IFERROR(__xludf.DUMMYFUNCTION("""COMPUTED_VALUE"""),"Female")</f>
        <v>Female</v>
      </c>
      <c r="D2100" s="5" t="str">
        <f ca="1">IFERROR(__xludf.DUMMYFUNCTION("""COMPUTED_VALUE"""),"Teacher")</f>
        <v>Teacher</v>
      </c>
      <c r="E2100" s="5">
        <f ca="1">IFERROR(__xludf.DUMMYFUNCTION("""COMPUTED_VALUE"""),49)</f>
        <v>49</v>
      </c>
      <c r="F2100" s="5"/>
    </row>
    <row r="2101" spans="1:6">
      <c r="A2101" s="5" t="str">
        <f ca="1">IFERROR(__xludf.DUMMYFUNCTION("""COMPUTED_VALUE"""),"19960202WAFRM")</f>
        <v>19960202WAFRM</v>
      </c>
      <c r="B2101" s="5" t="str">
        <f ca="1">IFERROR(__xludf.DUMMYFUNCTION("""COMPUTED_VALUE"""),"Fatal")</f>
        <v>Fatal</v>
      </c>
      <c r="C2101" s="5" t="str">
        <f ca="1">IFERROR(__xludf.DUMMYFUNCTION("""COMPUTED_VALUE"""),"Male")</f>
        <v>Male</v>
      </c>
      <c r="D2101" s="5" t="str">
        <f ca="1">IFERROR(__xludf.DUMMYFUNCTION("""COMPUTED_VALUE"""),"Student")</f>
        <v>Student</v>
      </c>
      <c r="E2101" s="5">
        <f ca="1">IFERROR(__xludf.DUMMYFUNCTION("""COMPUTED_VALUE"""),14)</f>
        <v>14</v>
      </c>
      <c r="F2101" s="5"/>
    </row>
    <row r="2102" spans="1:6">
      <c r="A2102" s="5" t="str">
        <f ca="1">IFERROR(__xludf.DUMMYFUNCTION("""COMPUTED_VALUE"""),"19960202WAFRM")</f>
        <v>19960202WAFRM</v>
      </c>
      <c r="B2102" s="5" t="str">
        <f ca="1">IFERROR(__xludf.DUMMYFUNCTION("""COMPUTED_VALUE"""),"Wounded")</f>
        <v>Wounded</v>
      </c>
      <c r="C2102" s="5" t="str">
        <f ca="1">IFERROR(__xludf.DUMMYFUNCTION("""COMPUTED_VALUE"""),"Female")</f>
        <v>Female</v>
      </c>
      <c r="D2102" s="5" t="str">
        <f ca="1">IFERROR(__xludf.DUMMYFUNCTION("""COMPUTED_VALUE"""),"Student")</f>
        <v>Student</v>
      </c>
      <c r="E2102" s="5">
        <f ca="1">IFERROR(__xludf.DUMMYFUNCTION("""COMPUTED_VALUE"""),13)</f>
        <v>13</v>
      </c>
      <c r="F2102" s="5"/>
    </row>
    <row r="2103" spans="1:6">
      <c r="A2103" s="5" t="str">
        <f ca="1">IFERROR(__xludf.DUMMYFUNCTION("""COMPUTED_VALUE"""),"19960126TNEAM")</f>
        <v>19960126TNEAM</v>
      </c>
      <c r="B2103" s="5" t="str">
        <f ca="1">IFERROR(__xludf.DUMMYFUNCTION("""COMPUTED_VALUE"""),"Fatal")</f>
        <v>Fatal</v>
      </c>
      <c r="C2103" s="5" t="str">
        <f ca="1">IFERROR(__xludf.DUMMYFUNCTION("""COMPUTED_VALUE"""),"Male")</f>
        <v>Male</v>
      </c>
      <c r="D2103" s="5" t="str">
        <f ca="1">IFERROR(__xludf.DUMMYFUNCTION("""COMPUTED_VALUE"""),"Student")</f>
        <v>Student</v>
      </c>
      <c r="E2103" s="5">
        <f ca="1">IFERROR(__xludf.DUMMYFUNCTION("""COMPUTED_VALUE"""),15)</f>
        <v>15</v>
      </c>
      <c r="F2103" s="5" t="str">
        <f ca="1">IFERROR(__xludf.DUMMYFUNCTION("""COMPUTED_VALUE"""),"Black")</f>
        <v>Black</v>
      </c>
    </row>
    <row r="2104" spans="1:6">
      <c r="A2104" s="5" t="str">
        <f ca="1">IFERROR(__xludf.DUMMYFUNCTION("""COMPUTED_VALUE"""),"19960119DCWIW")</f>
        <v>19960119DCWIW</v>
      </c>
      <c r="B2104" s="5" t="str">
        <f ca="1">IFERROR(__xludf.DUMMYFUNCTION("""COMPUTED_VALUE"""),"Fatal")</f>
        <v>Fatal</v>
      </c>
      <c r="C2104" s="5" t="str">
        <f ca="1">IFERROR(__xludf.DUMMYFUNCTION("""COMPUTED_VALUE"""),"Male")</f>
        <v>Male</v>
      </c>
      <c r="D2104" s="5" t="str">
        <f ca="1">IFERROR(__xludf.DUMMYFUNCTION("""COMPUTED_VALUE"""),"Relative")</f>
        <v>Relative</v>
      </c>
      <c r="E2104" s="5">
        <f ca="1">IFERROR(__xludf.DUMMYFUNCTION("""COMPUTED_VALUE"""),14)</f>
        <v>14</v>
      </c>
      <c r="F2104" s="5" t="str">
        <f ca="1">IFERROR(__xludf.DUMMYFUNCTION("""COMPUTED_VALUE"""),"Black")</f>
        <v>Black</v>
      </c>
    </row>
    <row r="2105" spans="1:6">
      <c r="A2105" s="5" t="str">
        <f ca="1">IFERROR(__xludf.DUMMYFUNCTION("""COMPUTED_VALUE"""),"19960102PAGIG")</f>
        <v>19960102PAGIG</v>
      </c>
      <c r="B2105" s="5" t="str">
        <f ca="1">IFERROR(__xludf.DUMMYFUNCTION("""COMPUTED_VALUE"""),"None")</f>
        <v>None</v>
      </c>
      <c r="C2105" s="5" t="str">
        <f ca="1">IFERROR(__xludf.DUMMYFUNCTION("""COMPUTED_VALUE"""),"Male")</f>
        <v>Male</v>
      </c>
      <c r="D2105" s="5" t="str">
        <f ca="1">IFERROR(__xludf.DUMMYFUNCTION("""COMPUTED_VALUE"""),"Student")</f>
        <v>Student</v>
      </c>
      <c r="E2105" s="5">
        <f ca="1">IFERROR(__xludf.DUMMYFUNCTION("""COMPUTED_VALUE"""),16)</f>
        <v>16</v>
      </c>
      <c r="F2105" s="5"/>
    </row>
    <row r="2106" spans="1:6">
      <c r="A2106" s="5" t="str">
        <f ca="1">IFERROR(__xludf.DUMMYFUNCTION("""COMPUTED_VALUE"""),"19951128NYTHN")</f>
        <v>19951128NYTHN</v>
      </c>
      <c r="B2106" s="5" t="str">
        <f ca="1">IFERROR(__xludf.DUMMYFUNCTION("""COMPUTED_VALUE"""),"Fatal")</f>
        <v>Fatal</v>
      </c>
      <c r="C2106" s="5" t="str">
        <f ca="1">IFERROR(__xludf.DUMMYFUNCTION("""COMPUTED_VALUE"""),"Male")</f>
        <v>Male</v>
      </c>
      <c r="D2106" s="5" t="str">
        <f ca="1">IFERROR(__xludf.DUMMYFUNCTION("""COMPUTED_VALUE"""),"Student")</f>
        <v>Student</v>
      </c>
      <c r="E2106" s="5">
        <f ca="1">IFERROR(__xludf.DUMMYFUNCTION("""COMPUTED_VALUE"""),17)</f>
        <v>17</v>
      </c>
      <c r="F2106" s="5"/>
    </row>
    <row r="2107" spans="1:6">
      <c r="A2107" s="5" t="str">
        <f ca="1">IFERROR(__xludf.DUMMYFUNCTION("""COMPUTED_VALUE"""),"19951115TNRIL")</f>
        <v>19951115TNRIL</v>
      </c>
      <c r="B2107" s="5" t="str">
        <f ca="1">IFERROR(__xludf.DUMMYFUNCTION("""COMPUTED_VALUE"""),"Wounded")</f>
        <v>Wounded</v>
      </c>
      <c r="C2107" s="5" t="str">
        <f ca="1">IFERROR(__xludf.DUMMYFUNCTION("""COMPUTED_VALUE"""),"Female")</f>
        <v>Female</v>
      </c>
      <c r="D2107" s="5" t="str">
        <f ca="1">IFERROR(__xludf.DUMMYFUNCTION("""COMPUTED_VALUE"""),"Teacher")</f>
        <v>Teacher</v>
      </c>
      <c r="E2107" s="5">
        <f ca="1">IFERROR(__xludf.DUMMYFUNCTION("""COMPUTED_VALUE"""),49)</f>
        <v>49</v>
      </c>
      <c r="F2107" s="5"/>
    </row>
    <row r="2108" spans="1:6">
      <c r="A2108" s="5" t="str">
        <f ca="1">IFERROR(__xludf.DUMMYFUNCTION("""COMPUTED_VALUE"""),"19951115TNRIL")</f>
        <v>19951115TNRIL</v>
      </c>
      <c r="B2108" s="5" t="str">
        <f ca="1">IFERROR(__xludf.DUMMYFUNCTION("""COMPUTED_VALUE"""),"Fatal")</f>
        <v>Fatal</v>
      </c>
      <c r="C2108" s="5" t="str">
        <f ca="1">IFERROR(__xludf.DUMMYFUNCTION("""COMPUTED_VALUE"""),"Female")</f>
        <v>Female</v>
      </c>
      <c r="D2108" s="5" t="str">
        <f ca="1">IFERROR(__xludf.DUMMYFUNCTION("""COMPUTED_VALUE"""),"Teacher")</f>
        <v>Teacher</v>
      </c>
      <c r="E2108" s="5">
        <f ca="1">IFERROR(__xludf.DUMMYFUNCTION("""COMPUTED_VALUE"""),58)</f>
        <v>58</v>
      </c>
      <c r="F2108" s="5"/>
    </row>
    <row r="2109" spans="1:6">
      <c r="A2109" s="5" t="str">
        <f ca="1">IFERROR(__xludf.DUMMYFUNCTION("""COMPUTED_VALUE"""),"19951115TNRIL")</f>
        <v>19951115TNRIL</v>
      </c>
      <c r="B2109" s="5" t="str">
        <f ca="1">IFERROR(__xludf.DUMMYFUNCTION("""COMPUTED_VALUE"""),"Fatal")</f>
        <v>Fatal</v>
      </c>
      <c r="C2109" s="5" t="str">
        <f ca="1">IFERROR(__xludf.DUMMYFUNCTION("""COMPUTED_VALUE"""),"Female")</f>
        <v>Female</v>
      </c>
      <c r="D2109" s="5" t="str">
        <f ca="1">IFERROR(__xludf.DUMMYFUNCTION("""COMPUTED_VALUE"""),"Student")</f>
        <v>Student</v>
      </c>
      <c r="E2109" s="5">
        <f ca="1">IFERROR(__xludf.DUMMYFUNCTION("""COMPUTED_VALUE"""),16)</f>
        <v>16</v>
      </c>
      <c r="F2109" s="5"/>
    </row>
    <row r="2110" spans="1:6">
      <c r="A2110" s="5" t="str">
        <f ca="1">IFERROR(__xludf.DUMMYFUNCTION("""COMPUTED_VALUE"""),"19951102FLBLM")</f>
        <v>19951102FLBLM</v>
      </c>
      <c r="B2110" s="5" t="str">
        <f ca="1">IFERROR(__xludf.DUMMYFUNCTION("""COMPUTED_VALUE"""),"Minor Injuries")</f>
        <v>Minor Injuries</v>
      </c>
      <c r="C2110" s="5"/>
      <c r="D2110" s="5" t="str">
        <f ca="1">IFERROR(__xludf.DUMMYFUNCTION("""COMPUTED_VALUE"""),"Student")</f>
        <v>Student</v>
      </c>
      <c r="E2110" s="5" t="str">
        <f ca="1">IFERROR(__xludf.DUMMYFUNCTION("""COMPUTED_VALUE"""),"Child")</f>
        <v>Child</v>
      </c>
      <c r="F2110" s="5"/>
    </row>
    <row r="2111" spans="1:6">
      <c r="A2111" s="5" t="str">
        <f ca="1">IFERROR(__xludf.DUMMYFUNCTION("""COMPUTED_VALUE"""),"19951030VAJOR")</f>
        <v>19951030VAJOR</v>
      </c>
      <c r="B2111" s="5" t="str">
        <f ca="1">IFERROR(__xludf.DUMMYFUNCTION("""COMPUTED_VALUE"""),"Wounded")</f>
        <v>Wounded</v>
      </c>
      <c r="C2111" s="5" t="str">
        <f ca="1">IFERROR(__xludf.DUMMYFUNCTION("""COMPUTED_VALUE"""),"Male")</f>
        <v>Male</v>
      </c>
      <c r="D2111" s="5" t="str">
        <f ca="1">IFERROR(__xludf.DUMMYFUNCTION("""COMPUTED_VALUE"""),"Student")</f>
        <v>Student</v>
      </c>
      <c r="E2111" s="5" t="str">
        <f ca="1">IFERROR(__xludf.DUMMYFUNCTION("""COMPUTED_VALUE"""),"Teen")</f>
        <v>Teen</v>
      </c>
      <c r="F2111" s="5"/>
    </row>
    <row r="2112" spans="1:6">
      <c r="A2112" s="5" t="str">
        <f ca="1">IFERROR(__xludf.DUMMYFUNCTION("""COMPUTED_VALUE"""),"19951030VAJOR")</f>
        <v>19951030VAJOR</v>
      </c>
      <c r="B2112" s="5" t="str">
        <f ca="1">IFERROR(__xludf.DUMMYFUNCTION("""COMPUTED_VALUE"""),"Wounded")</f>
        <v>Wounded</v>
      </c>
      <c r="C2112" s="5" t="str">
        <f ca="1">IFERROR(__xludf.DUMMYFUNCTION("""COMPUTED_VALUE"""),"Female")</f>
        <v>Female</v>
      </c>
      <c r="D2112" s="5" t="str">
        <f ca="1">IFERROR(__xludf.DUMMYFUNCTION("""COMPUTED_VALUE"""),"Student")</f>
        <v>Student</v>
      </c>
      <c r="E2112" s="5">
        <f ca="1">IFERROR(__xludf.DUMMYFUNCTION("""COMPUTED_VALUE"""),16)</f>
        <v>16</v>
      </c>
      <c r="F2112" s="5"/>
    </row>
    <row r="2113" spans="1:6">
      <c r="A2113" s="5" t="str">
        <f ca="1">IFERROR(__xludf.DUMMYFUNCTION("""COMPUTED_VALUE"""),"19951030VAJOR")</f>
        <v>19951030VAJOR</v>
      </c>
      <c r="B2113" s="5" t="str">
        <f ca="1">IFERROR(__xludf.DUMMYFUNCTION("""COMPUTED_VALUE"""),"Wounded")</f>
        <v>Wounded</v>
      </c>
      <c r="C2113" s="5" t="str">
        <f ca="1">IFERROR(__xludf.DUMMYFUNCTION("""COMPUTED_VALUE"""),"Female")</f>
        <v>Female</v>
      </c>
      <c r="D2113" s="5" t="str">
        <f ca="1">IFERROR(__xludf.DUMMYFUNCTION("""COMPUTED_VALUE"""),"Student")</f>
        <v>Student</v>
      </c>
      <c r="E2113" s="5">
        <f ca="1">IFERROR(__xludf.DUMMYFUNCTION("""COMPUTED_VALUE"""),16)</f>
        <v>16</v>
      </c>
      <c r="F2113" s="5"/>
    </row>
    <row r="2114" spans="1:6">
      <c r="A2114" s="5" t="str">
        <f ca="1">IFERROR(__xludf.DUMMYFUNCTION("""COMPUTED_VALUE"""),"19951030VAJOR")</f>
        <v>19951030VAJOR</v>
      </c>
      <c r="B2114" s="5" t="str">
        <f ca="1">IFERROR(__xludf.DUMMYFUNCTION("""COMPUTED_VALUE"""),"Wounded")</f>
        <v>Wounded</v>
      </c>
      <c r="C2114" s="5" t="str">
        <f ca="1">IFERROR(__xludf.DUMMYFUNCTION("""COMPUTED_VALUE"""),"Female")</f>
        <v>Female</v>
      </c>
      <c r="D2114" s="5" t="str">
        <f ca="1">IFERROR(__xludf.DUMMYFUNCTION("""COMPUTED_VALUE"""),"Student")</f>
        <v>Student</v>
      </c>
      <c r="E2114" s="5">
        <f ca="1">IFERROR(__xludf.DUMMYFUNCTION("""COMPUTED_VALUE"""),17)</f>
        <v>17</v>
      </c>
      <c r="F2114" s="5"/>
    </row>
    <row r="2115" spans="1:6">
      <c r="A2115" s="5" t="str">
        <f ca="1">IFERROR(__xludf.DUMMYFUNCTION("""COMPUTED_VALUE"""),"19951023FLLAC")</f>
        <v>19951023FLLAC</v>
      </c>
      <c r="B2115" s="5" t="str">
        <f ca="1">IFERROR(__xludf.DUMMYFUNCTION("""COMPUTED_VALUE"""),"None")</f>
        <v>None</v>
      </c>
      <c r="C2115" s="5" t="str">
        <f ca="1">IFERROR(__xludf.DUMMYFUNCTION("""COMPUTED_VALUE"""),"Female")</f>
        <v>Female</v>
      </c>
      <c r="D2115" s="5" t="str">
        <f ca="1">IFERROR(__xludf.DUMMYFUNCTION("""COMPUTED_VALUE"""),"Student")</f>
        <v>Student</v>
      </c>
      <c r="E2115" s="5">
        <f ca="1">IFERROR(__xludf.DUMMYFUNCTION("""COMPUTED_VALUE"""),16)</f>
        <v>16</v>
      </c>
      <c r="F2115" s="5"/>
    </row>
    <row r="2116" spans="1:6">
      <c r="A2116" s="5" t="str">
        <f ca="1">IFERROR(__xludf.DUMMYFUNCTION("""COMPUTED_VALUE"""),"19951012SCBLB")</f>
        <v>19951012SCBLB</v>
      </c>
      <c r="B2116" s="5" t="str">
        <f ca="1">IFERROR(__xludf.DUMMYFUNCTION("""COMPUTED_VALUE"""),"Wounded")</f>
        <v>Wounded</v>
      </c>
      <c r="C2116" s="5" t="str">
        <f ca="1">IFERROR(__xludf.DUMMYFUNCTION("""COMPUTED_VALUE"""),"Male")</f>
        <v>Male</v>
      </c>
      <c r="D2116" s="5" t="str">
        <f ca="1">IFERROR(__xludf.DUMMYFUNCTION("""COMPUTED_VALUE"""),"Teacher")</f>
        <v>Teacher</v>
      </c>
      <c r="E2116" s="5" t="str">
        <f ca="1">IFERROR(__xludf.DUMMYFUNCTION("""COMPUTED_VALUE"""),"Adult")</f>
        <v>Adult</v>
      </c>
      <c r="F2116" s="5"/>
    </row>
    <row r="2117" spans="1:6">
      <c r="A2117" s="5" t="str">
        <f ca="1">IFERROR(__xludf.DUMMYFUNCTION("""COMPUTED_VALUE"""),"19951012SCBLB")</f>
        <v>19951012SCBLB</v>
      </c>
      <c r="B2117" s="5" t="str">
        <f ca="1">IFERROR(__xludf.DUMMYFUNCTION("""COMPUTED_VALUE"""),"Fatal")</f>
        <v>Fatal</v>
      </c>
      <c r="C2117" s="5" t="str">
        <f ca="1">IFERROR(__xludf.DUMMYFUNCTION("""COMPUTED_VALUE"""),"Male")</f>
        <v>Male</v>
      </c>
      <c r="D2117" s="5" t="str">
        <f ca="1">IFERROR(__xludf.DUMMYFUNCTION("""COMPUTED_VALUE"""),"Teacher")</f>
        <v>Teacher</v>
      </c>
      <c r="E2117" s="5" t="str">
        <f ca="1">IFERROR(__xludf.DUMMYFUNCTION("""COMPUTED_VALUE"""),"Adult")</f>
        <v>Adult</v>
      </c>
      <c r="F2117" s="5"/>
    </row>
    <row r="2118" spans="1:6">
      <c r="A2118" s="5" t="str">
        <f ca="1">IFERROR(__xludf.DUMMYFUNCTION("""COMPUTED_VALUE"""),"19950929FLTAT")</f>
        <v>19950929FLTAT</v>
      </c>
      <c r="B2118" s="5" t="str">
        <f ca="1">IFERROR(__xludf.DUMMYFUNCTION("""COMPUTED_VALUE"""),"Fatal")</f>
        <v>Fatal</v>
      </c>
      <c r="C2118" s="5" t="str">
        <f ca="1">IFERROR(__xludf.DUMMYFUNCTION("""COMPUTED_VALUE"""),"Male")</f>
        <v>Male</v>
      </c>
      <c r="D2118" s="5" t="str">
        <f ca="1">IFERROR(__xludf.DUMMYFUNCTION("""COMPUTED_VALUE"""),"Student")</f>
        <v>Student</v>
      </c>
      <c r="E2118" s="5">
        <f ca="1">IFERROR(__xludf.DUMMYFUNCTION("""COMPUTED_VALUE"""),13)</f>
        <v>13</v>
      </c>
      <c r="F2118" s="5" t="str">
        <f ca="1">IFERROR(__xludf.DUMMYFUNCTION("""COMPUTED_VALUE"""),"Black")</f>
        <v>Black</v>
      </c>
    </row>
    <row r="2119" spans="1:6">
      <c r="A2119" s="5" t="str">
        <f ca="1">IFERROR(__xludf.DUMMYFUNCTION("""COMPUTED_VALUE"""),"19950927ALBLP")</f>
        <v>19950927ALBLP</v>
      </c>
      <c r="B2119" s="5" t="str">
        <f ca="1">IFERROR(__xludf.DUMMYFUNCTION("""COMPUTED_VALUE"""),"Wounded")</f>
        <v>Wounded</v>
      </c>
      <c r="C2119" s="5" t="str">
        <f ca="1">IFERROR(__xludf.DUMMYFUNCTION("""COMPUTED_VALUE"""),"Male")</f>
        <v>Male</v>
      </c>
      <c r="D2119" s="5" t="str">
        <f ca="1">IFERROR(__xludf.DUMMYFUNCTION("""COMPUTED_VALUE"""),"Student")</f>
        <v>Student</v>
      </c>
      <c r="E2119" s="5">
        <f ca="1">IFERROR(__xludf.DUMMYFUNCTION("""COMPUTED_VALUE"""),18)</f>
        <v>18</v>
      </c>
      <c r="F2119" s="5"/>
    </row>
    <row r="2120" spans="1:6">
      <c r="A2120" s="5" t="str">
        <f ca="1">IFERROR(__xludf.DUMMYFUNCTION("""COMPUTED_VALUE"""),"19950915KYGEW")</f>
        <v>19950915KYGEW</v>
      </c>
      <c r="B2120" s="5" t="str">
        <f ca="1">IFERROR(__xludf.DUMMYFUNCTION("""COMPUTED_VALUE"""),"None")</f>
        <v>None</v>
      </c>
      <c r="C2120" s="5"/>
      <c r="D2120" s="5" t="str">
        <f ca="1">IFERROR(__xludf.DUMMYFUNCTION("""COMPUTED_VALUE"""),"Student")</f>
        <v>Student</v>
      </c>
      <c r="E2120" s="5" t="str">
        <f ca="1">IFERROR(__xludf.DUMMYFUNCTION("""COMPUTED_VALUE"""),"Teen")</f>
        <v>Teen</v>
      </c>
      <c r="F2120" s="5"/>
    </row>
    <row r="2121" spans="1:6">
      <c r="A2121" s="5" t="str">
        <f ca="1">IFERROR(__xludf.DUMMYFUNCTION("""COMPUTED_VALUE"""),"19950914KSOLO")</f>
        <v>19950914KSOLO</v>
      </c>
      <c r="B2121" s="5" t="str">
        <f ca="1">IFERROR(__xludf.DUMMYFUNCTION("""COMPUTED_VALUE"""),"Wounded")</f>
        <v>Wounded</v>
      </c>
      <c r="C2121" s="5" t="str">
        <f ca="1">IFERROR(__xludf.DUMMYFUNCTION("""COMPUTED_VALUE"""),"Male")</f>
        <v>Male</v>
      </c>
      <c r="D2121" s="5" t="str">
        <f ca="1">IFERROR(__xludf.DUMMYFUNCTION("""COMPUTED_VALUE"""),"Student")</f>
        <v>Student</v>
      </c>
      <c r="E2121" s="5" t="str">
        <f ca="1">IFERROR(__xludf.DUMMYFUNCTION("""COMPUTED_VALUE"""),"Teen")</f>
        <v>Teen</v>
      </c>
      <c r="F2121" s="5"/>
    </row>
    <row r="2122" spans="1:6">
      <c r="A2122" s="5" t="str">
        <f ca="1">IFERROR(__xludf.DUMMYFUNCTION("""COMPUTED_VALUE"""),"19950914KSOLO")</f>
        <v>19950914KSOLO</v>
      </c>
      <c r="B2122" s="5" t="str">
        <f ca="1">IFERROR(__xludf.DUMMYFUNCTION("""COMPUTED_VALUE"""),"Fatal")</f>
        <v>Fatal</v>
      </c>
      <c r="C2122" s="5" t="str">
        <f ca="1">IFERROR(__xludf.DUMMYFUNCTION("""COMPUTED_VALUE"""),"Male")</f>
        <v>Male</v>
      </c>
      <c r="D2122" s="5" t="str">
        <f ca="1">IFERROR(__xludf.DUMMYFUNCTION("""COMPUTED_VALUE"""),"Student")</f>
        <v>Student</v>
      </c>
      <c r="E2122" s="5" t="str">
        <f ca="1">IFERROR(__xludf.DUMMYFUNCTION("""COMPUTED_VALUE"""),"Teen")</f>
        <v>Teen</v>
      </c>
      <c r="F2122" s="5"/>
    </row>
    <row r="2123" spans="1:6">
      <c r="A2123" s="5" t="str">
        <f ca="1">IFERROR(__xludf.DUMMYFUNCTION("""COMPUTED_VALUE"""),"19950914KSOLO")</f>
        <v>19950914KSOLO</v>
      </c>
      <c r="B2123" s="5" t="str">
        <f ca="1">IFERROR(__xludf.DUMMYFUNCTION("""COMPUTED_VALUE"""),"Fatal")</f>
        <v>Fatal</v>
      </c>
      <c r="C2123" s="5" t="str">
        <f ca="1">IFERROR(__xludf.DUMMYFUNCTION("""COMPUTED_VALUE"""),"Male")</f>
        <v>Male</v>
      </c>
      <c r="D2123" s="5" t="str">
        <f ca="1">IFERROR(__xludf.DUMMYFUNCTION("""COMPUTED_VALUE"""),"Former Student")</f>
        <v>Former Student</v>
      </c>
      <c r="E2123" s="5" t="str">
        <f ca="1">IFERROR(__xludf.DUMMYFUNCTION("""COMPUTED_VALUE"""),"Teen")</f>
        <v>Teen</v>
      </c>
      <c r="F2123" s="5"/>
    </row>
    <row r="2124" spans="1:6">
      <c r="A2124" s="5" t="str">
        <f ca="1">IFERROR(__xludf.DUMMYFUNCTION("""COMPUTED_VALUE"""),"19950914KSOLO")</f>
        <v>19950914KSOLO</v>
      </c>
      <c r="B2124" s="5" t="str">
        <f ca="1">IFERROR(__xludf.DUMMYFUNCTION("""COMPUTED_VALUE"""),"Wounded")</f>
        <v>Wounded</v>
      </c>
      <c r="C2124" s="5" t="str">
        <f ca="1">IFERROR(__xludf.DUMMYFUNCTION("""COMPUTED_VALUE"""),"Male")</f>
        <v>Male</v>
      </c>
      <c r="D2124" s="5" t="str">
        <f ca="1">IFERROR(__xludf.DUMMYFUNCTION("""COMPUTED_VALUE"""),"Student")</f>
        <v>Student</v>
      </c>
      <c r="E2124" s="5" t="str">
        <f ca="1">IFERROR(__xludf.DUMMYFUNCTION("""COMPUTED_VALUE"""),"Teen")</f>
        <v>Teen</v>
      </c>
      <c r="F2124" s="5"/>
    </row>
    <row r="2125" spans="1:6">
      <c r="A2125" s="5" t="str">
        <f ca="1">IFERROR(__xludf.DUMMYFUNCTION("""COMPUTED_VALUE"""),"19950914KSOLO")</f>
        <v>19950914KSOLO</v>
      </c>
      <c r="B2125" s="5" t="str">
        <f ca="1">IFERROR(__xludf.DUMMYFUNCTION("""COMPUTED_VALUE"""),"Wounded")</f>
        <v>Wounded</v>
      </c>
      <c r="C2125" s="5" t="str">
        <f ca="1">IFERROR(__xludf.DUMMYFUNCTION("""COMPUTED_VALUE"""),"Male")</f>
        <v>Male</v>
      </c>
      <c r="D2125" s="5" t="str">
        <f ca="1">IFERROR(__xludf.DUMMYFUNCTION("""COMPUTED_VALUE"""),"Student")</f>
        <v>Student</v>
      </c>
      <c r="E2125" s="5" t="str">
        <f ca="1">IFERROR(__xludf.DUMMYFUNCTION("""COMPUTED_VALUE"""),"Teen")</f>
        <v>Teen</v>
      </c>
      <c r="F2125" s="5"/>
    </row>
    <row r="2126" spans="1:6">
      <c r="A2126" s="5" t="str">
        <f ca="1">IFERROR(__xludf.DUMMYFUNCTION("""COMPUTED_VALUE"""),"19950914KSOLO")</f>
        <v>19950914KSOLO</v>
      </c>
      <c r="B2126" s="5" t="str">
        <f ca="1">IFERROR(__xludf.DUMMYFUNCTION("""COMPUTED_VALUE"""),"Wounded")</f>
        <v>Wounded</v>
      </c>
      <c r="C2126" s="5" t="str">
        <f ca="1">IFERROR(__xludf.DUMMYFUNCTION("""COMPUTED_VALUE"""),"Male")</f>
        <v>Male</v>
      </c>
      <c r="D2126" s="5" t="str">
        <f ca="1">IFERROR(__xludf.DUMMYFUNCTION("""COMPUTED_VALUE"""),"Student")</f>
        <v>Student</v>
      </c>
      <c r="E2126" s="5" t="str">
        <f ca="1">IFERROR(__xludf.DUMMYFUNCTION("""COMPUTED_VALUE"""),"Teen")</f>
        <v>Teen</v>
      </c>
      <c r="F2126" s="5"/>
    </row>
    <row r="2127" spans="1:6">
      <c r="A2127" s="5" t="str">
        <f ca="1">IFERROR(__xludf.DUMMYFUNCTION("""COMPUTED_VALUE"""),"19950912TNCYM")</f>
        <v>19950912TNCYM</v>
      </c>
      <c r="B2127" s="5" t="str">
        <f ca="1">IFERROR(__xludf.DUMMYFUNCTION("""COMPUTED_VALUE"""),"Fatal")</f>
        <v>Fatal</v>
      </c>
      <c r="C2127" s="5" t="str">
        <f ca="1">IFERROR(__xludf.DUMMYFUNCTION("""COMPUTED_VALUE"""),"Male")</f>
        <v>Male</v>
      </c>
      <c r="D2127" s="5" t="str">
        <f ca="1">IFERROR(__xludf.DUMMYFUNCTION("""COMPUTED_VALUE"""),"Student")</f>
        <v>Student</v>
      </c>
      <c r="E2127" s="5">
        <f ca="1">IFERROR(__xludf.DUMMYFUNCTION("""COMPUTED_VALUE"""),15)</f>
        <v>15</v>
      </c>
      <c r="F2127" s="5"/>
    </row>
    <row r="2128" spans="1:6">
      <c r="A2128" s="5" t="str">
        <f ca="1">IFERROR(__xludf.DUMMYFUNCTION("""COMPUTED_VALUE"""),"19950829TXMEL")</f>
        <v>19950829TXMEL</v>
      </c>
      <c r="B2128" s="5" t="str">
        <f ca="1">IFERROR(__xludf.DUMMYFUNCTION("""COMPUTED_VALUE"""),"Fatal")</f>
        <v>Fatal</v>
      </c>
      <c r="C2128" s="5" t="str">
        <f ca="1">IFERROR(__xludf.DUMMYFUNCTION("""COMPUTED_VALUE"""),"Female")</f>
        <v>Female</v>
      </c>
      <c r="D2128" s="5" t="str">
        <f ca="1">IFERROR(__xludf.DUMMYFUNCTION("""COMPUTED_VALUE"""),"Student")</f>
        <v>Student</v>
      </c>
      <c r="E2128" s="5">
        <f ca="1">IFERROR(__xludf.DUMMYFUNCTION("""COMPUTED_VALUE"""),12)</f>
        <v>12</v>
      </c>
      <c r="F2128" s="5"/>
    </row>
    <row r="2129" spans="1:6">
      <c r="A2129" s="5" t="str">
        <f ca="1">IFERROR(__xludf.DUMMYFUNCTION("""COMPUTED_VALUE"""),"19950614FLLAL")</f>
        <v>19950614FLLAL</v>
      </c>
      <c r="B2129" s="5" t="str">
        <f ca="1">IFERROR(__xludf.DUMMYFUNCTION("""COMPUTED_VALUE"""),"Wounded")</f>
        <v>Wounded</v>
      </c>
      <c r="C2129" s="5" t="str">
        <f ca="1">IFERROR(__xludf.DUMMYFUNCTION("""COMPUTED_VALUE"""),"Male")</f>
        <v>Male</v>
      </c>
      <c r="D2129" s="5" t="str">
        <f ca="1">IFERROR(__xludf.DUMMYFUNCTION("""COMPUTED_VALUE"""),"Former Student")</f>
        <v>Former Student</v>
      </c>
      <c r="E2129" s="5" t="str">
        <f ca="1">IFERROR(__xludf.DUMMYFUNCTION("""COMPUTED_VALUE"""),"Teen")</f>
        <v>Teen</v>
      </c>
      <c r="F2129" s="5"/>
    </row>
    <row r="2130" spans="1:6">
      <c r="A2130" s="5" t="str">
        <f ca="1">IFERROR(__xludf.DUMMYFUNCTION("""COMPUTED_VALUE"""),"19950614FLLAL")</f>
        <v>19950614FLLAL</v>
      </c>
      <c r="B2130" s="5" t="str">
        <f ca="1">IFERROR(__xludf.DUMMYFUNCTION("""COMPUTED_VALUE"""),"Wounded")</f>
        <v>Wounded</v>
      </c>
      <c r="C2130" s="5" t="str">
        <f ca="1">IFERROR(__xludf.DUMMYFUNCTION("""COMPUTED_VALUE"""),"Female")</f>
        <v>Female</v>
      </c>
      <c r="D2130" s="5" t="str">
        <f ca="1">IFERROR(__xludf.DUMMYFUNCTION("""COMPUTED_VALUE"""),"Student")</f>
        <v>Student</v>
      </c>
      <c r="E2130" s="5" t="str">
        <f ca="1">IFERROR(__xludf.DUMMYFUNCTION("""COMPUTED_VALUE"""),"Teen")</f>
        <v>Teen</v>
      </c>
      <c r="F2130" s="5"/>
    </row>
    <row r="2131" spans="1:6">
      <c r="A2131" s="5" t="str">
        <f ca="1">IFERROR(__xludf.DUMMYFUNCTION("""COMPUTED_VALUE"""),"19950327MIRED")</f>
        <v>19950327MIRED</v>
      </c>
      <c r="B2131" s="5" t="str">
        <f ca="1">IFERROR(__xludf.DUMMYFUNCTION("""COMPUTED_VALUE"""),"Wounded")</f>
        <v>Wounded</v>
      </c>
      <c r="C2131" s="5" t="str">
        <f ca="1">IFERROR(__xludf.DUMMYFUNCTION("""COMPUTED_VALUE"""),"Female")</f>
        <v>Female</v>
      </c>
      <c r="D2131" s="5" t="str">
        <f ca="1">IFERROR(__xludf.DUMMYFUNCTION("""COMPUTED_VALUE"""),"Student")</f>
        <v>Student</v>
      </c>
      <c r="E2131" s="5">
        <f ca="1">IFERROR(__xludf.DUMMYFUNCTION("""COMPUTED_VALUE"""),15)</f>
        <v>15</v>
      </c>
      <c r="F2131" s="5"/>
    </row>
    <row r="2132" spans="1:6">
      <c r="A2132" s="5" t="str">
        <f ca="1">IFERROR(__xludf.DUMMYFUNCTION("""COMPUTED_VALUE"""),"19950303MIPED")</f>
        <v>19950303MIPED</v>
      </c>
      <c r="B2132" s="5" t="str">
        <f ca="1">IFERROR(__xludf.DUMMYFUNCTION("""COMPUTED_VALUE"""),"Wounded")</f>
        <v>Wounded</v>
      </c>
      <c r="C2132" s="5" t="str">
        <f ca="1">IFERROR(__xludf.DUMMYFUNCTION("""COMPUTED_VALUE"""),"Male")</f>
        <v>Male</v>
      </c>
      <c r="D2132" s="5" t="str">
        <f ca="1">IFERROR(__xludf.DUMMYFUNCTION("""COMPUTED_VALUE"""),"Student")</f>
        <v>Student</v>
      </c>
      <c r="E2132" s="5">
        <f ca="1">IFERROR(__xludf.DUMMYFUNCTION("""COMPUTED_VALUE"""),16)</f>
        <v>16</v>
      </c>
      <c r="F2132" s="5"/>
    </row>
    <row r="2133" spans="1:6">
      <c r="A2133" s="5" t="str">
        <f ca="1">IFERROR(__xludf.DUMMYFUNCTION("""COMPUTED_VALUE"""),"19950208NECHS")</f>
        <v>19950208NECHS</v>
      </c>
      <c r="B2133" s="5" t="str">
        <f ca="1">IFERROR(__xludf.DUMMYFUNCTION("""COMPUTED_VALUE"""),"Wounded")</f>
        <v>Wounded</v>
      </c>
      <c r="C2133" s="5" t="str">
        <f ca="1">IFERROR(__xludf.DUMMYFUNCTION("""COMPUTED_VALUE"""),"Male")</f>
        <v>Male</v>
      </c>
      <c r="D2133" s="5" t="str">
        <f ca="1">IFERROR(__xludf.DUMMYFUNCTION("""COMPUTED_VALUE"""),"Teacher")</f>
        <v>Teacher</v>
      </c>
      <c r="E2133" s="5">
        <f ca="1">IFERROR(__xludf.DUMMYFUNCTION("""COMPUTED_VALUE"""),35)</f>
        <v>35</v>
      </c>
      <c r="F2133" s="5"/>
    </row>
    <row r="2134" spans="1:6">
      <c r="A2134" s="5" t="str">
        <f ca="1">IFERROR(__xludf.DUMMYFUNCTION("""COMPUTED_VALUE"""),"19950202CAJOL")</f>
        <v>19950202CAJOL</v>
      </c>
      <c r="B2134" s="5" t="str">
        <f ca="1">IFERROR(__xludf.DUMMYFUNCTION("""COMPUTED_VALUE"""),"Fatal")</f>
        <v>Fatal</v>
      </c>
      <c r="C2134" s="5" t="str">
        <f ca="1">IFERROR(__xludf.DUMMYFUNCTION("""COMPUTED_VALUE"""),"Male")</f>
        <v>Male</v>
      </c>
      <c r="D2134" s="5" t="str">
        <f ca="1">IFERROR(__xludf.DUMMYFUNCTION("""COMPUTED_VALUE"""),"Student")</f>
        <v>Student</v>
      </c>
      <c r="E2134" s="5" t="str">
        <f ca="1">IFERROR(__xludf.DUMMYFUNCTION("""COMPUTED_VALUE"""),"Teen")</f>
        <v>Teen</v>
      </c>
      <c r="F2134" s="5"/>
    </row>
    <row r="2135" spans="1:6">
      <c r="A2135" s="5" t="str">
        <f ca="1">IFERROR(__xludf.DUMMYFUNCTION("""COMPUTED_VALUE"""),"19950202CAJOL")</f>
        <v>19950202CAJOL</v>
      </c>
      <c r="B2135" s="5" t="str">
        <f ca="1">IFERROR(__xludf.DUMMYFUNCTION("""COMPUTED_VALUE"""),"Wounded")</f>
        <v>Wounded</v>
      </c>
      <c r="C2135" s="5" t="str">
        <f ca="1">IFERROR(__xludf.DUMMYFUNCTION("""COMPUTED_VALUE"""),"Male")</f>
        <v>Male</v>
      </c>
      <c r="D2135" s="5" t="str">
        <f ca="1">IFERROR(__xludf.DUMMYFUNCTION("""COMPUTED_VALUE"""),"Student")</f>
        <v>Student</v>
      </c>
      <c r="E2135" s="5" t="str">
        <f ca="1">IFERROR(__xludf.DUMMYFUNCTION("""COMPUTED_VALUE"""),"Teen")</f>
        <v>Teen</v>
      </c>
      <c r="F2135" s="5"/>
    </row>
    <row r="2136" spans="1:6">
      <c r="A2136" s="5" t="str">
        <f ca="1">IFERROR(__xludf.DUMMYFUNCTION("""COMPUTED_VALUE"""),"19950124DCSPW")</f>
        <v>19950124DCSPW</v>
      </c>
      <c r="B2136" s="5" t="str">
        <f ca="1">IFERROR(__xludf.DUMMYFUNCTION("""COMPUTED_VALUE"""),"Wounded")</f>
        <v>Wounded</v>
      </c>
      <c r="C2136" s="5" t="str">
        <f ca="1">IFERROR(__xludf.DUMMYFUNCTION("""COMPUTED_VALUE"""),"Male")</f>
        <v>Male</v>
      </c>
      <c r="D2136" s="5" t="str">
        <f ca="1">IFERROR(__xludf.DUMMYFUNCTION("""COMPUTED_VALUE"""),"Student")</f>
        <v>Student</v>
      </c>
      <c r="E2136" s="5">
        <f ca="1">IFERROR(__xludf.DUMMYFUNCTION("""COMPUTED_VALUE"""),16)</f>
        <v>16</v>
      </c>
      <c r="F2136" s="5"/>
    </row>
    <row r="2137" spans="1:6">
      <c r="A2137" s="5" t="str">
        <f ca="1">IFERROR(__xludf.DUMMYFUNCTION("""COMPUTED_VALUE"""),"19950123CASAR")</f>
        <v>19950123CASAR</v>
      </c>
      <c r="B2137" s="5" t="str">
        <f ca="1">IFERROR(__xludf.DUMMYFUNCTION("""COMPUTED_VALUE"""),"Fatal")</f>
        <v>Fatal</v>
      </c>
      <c r="C2137" s="5" t="str">
        <f ca="1">IFERROR(__xludf.DUMMYFUNCTION("""COMPUTED_VALUE"""),"Male")</f>
        <v>Male</v>
      </c>
      <c r="D2137" s="5" t="str">
        <f ca="1">IFERROR(__xludf.DUMMYFUNCTION("""COMPUTED_VALUE"""),"Principal/Vice-Principal")</f>
        <v>Principal/Vice-Principal</v>
      </c>
      <c r="E2137" s="5" t="str">
        <f ca="1">IFERROR(__xludf.DUMMYFUNCTION("""COMPUTED_VALUE"""),"Adult")</f>
        <v>Adult</v>
      </c>
      <c r="F2137" s="5"/>
    </row>
    <row r="2138" spans="1:6">
      <c r="A2138" s="5" t="str">
        <f ca="1">IFERROR(__xludf.DUMMYFUNCTION("""COMPUTED_VALUE"""),"19950112WAGAS")</f>
        <v>19950112WAGAS</v>
      </c>
      <c r="B2138" s="5" t="str">
        <f ca="1">IFERROR(__xludf.DUMMYFUNCTION("""COMPUTED_VALUE"""),"Wounded")</f>
        <v>Wounded</v>
      </c>
      <c r="C2138" s="5" t="str">
        <f ca="1">IFERROR(__xludf.DUMMYFUNCTION("""COMPUTED_VALUE"""),"Male")</f>
        <v>Male</v>
      </c>
      <c r="D2138" s="5" t="str">
        <f ca="1">IFERROR(__xludf.DUMMYFUNCTION("""COMPUTED_VALUE"""),"Student")</f>
        <v>Student</v>
      </c>
      <c r="E2138" s="5" t="str">
        <f ca="1">IFERROR(__xludf.DUMMYFUNCTION("""COMPUTED_VALUE"""),"Teen")</f>
        <v>Teen</v>
      </c>
      <c r="F2138" s="5"/>
    </row>
    <row r="2139" spans="1:6">
      <c r="A2139" s="5" t="str">
        <f ca="1">IFERROR(__xludf.DUMMYFUNCTION("""COMPUTED_VALUE"""),"19950112WAGAS")</f>
        <v>19950112WAGAS</v>
      </c>
      <c r="B2139" s="5" t="str">
        <f ca="1">IFERROR(__xludf.DUMMYFUNCTION("""COMPUTED_VALUE"""),"Wounded")</f>
        <v>Wounded</v>
      </c>
      <c r="C2139" s="5" t="str">
        <f ca="1">IFERROR(__xludf.DUMMYFUNCTION("""COMPUTED_VALUE"""),"Female")</f>
        <v>Female</v>
      </c>
      <c r="D2139" s="5" t="str">
        <f ca="1">IFERROR(__xludf.DUMMYFUNCTION("""COMPUTED_VALUE"""),"Student")</f>
        <v>Student</v>
      </c>
      <c r="E2139" s="5" t="str">
        <f ca="1">IFERROR(__xludf.DUMMYFUNCTION("""COMPUTED_VALUE"""),"Teen")</f>
        <v>Teen</v>
      </c>
      <c r="F2139" s="5"/>
    </row>
    <row r="2140" spans="1:6">
      <c r="A2140" s="5" t="str">
        <f ca="1">IFERROR(__xludf.DUMMYFUNCTION("""COMPUTED_VALUE"""),"19950110FLPAP")</f>
        <v>19950110FLPAP</v>
      </c>
      <c r="B2140" s="5" t="str">
        <f ca="1">IFERROR(__xludf.DUMMYFUNCTION("""COMPUTED_VALUE"""),"None")</f>
        <v>None</v>
      </c>
      <c r="C2140" s="5" t="str">
        <f ca="1">IFERROR(__xludf.DUMMYFUNCTION("""COMPUTED_VALUE"""),"Male")</f>
        <v>Male</v>
      </c>
      <c r="D2140" s="5" t="str">
        <f ca="1">IFERROR(__xludf.DUMMYFUNCTION("""COMPUTED_VALUE"""),"Student")</f>
        <v>Student</v>
      </c>
      <c r="E2140" s="5" t="str">
        <f ca="1">IFERROR(__xludf.DUMMYFUNCTION("""COMPUTED_VALUE"""),"Teen")</f>
        <v>Teen</v>
      </c>
      <c r="F2140" s="5"/>
    </row>
    <row r="2141" spans="1:6">
      <c r="A2141" s="5" t="str">
        <f ca="1">IFERROR(__xludf.DUMMYFUNCTION("""COMPUTED_VALUE"""),"19950105DCCAW")</f>
        <v>19950105DCCAW</v>
      </c>
      <c r="B2141" s="5" t="str">
        <f ca="1">IFERROR(__xludf.DUMMYFUNCTION("""COMPUTED_VALUE"""),"Fatal")</f>
        <v>Fatal</v>
      </c>
      <c r="C2141" s="5" t="str">
        <f ca="1">IFERROR(__xludf.DUMMYFUNCTION("""COMPUTED_VALUE"""),"Male")</f>
        <v>Male</v>
      </c>
      <c r="D2141" s="5" t="str">
        <f ca="1">IFERROR(__xludf.DUMMYFUNCTION("""COMPUTED_VALUE"""),"Student")</f>
        <v>Student</v>
      </c>
      <c r="E2141" s="5" t="str">
        <f ca="1">IFERROR(__xludf.DUMMYFUNCTION("""COMPUTED_VALUE"""),"Teen")</f>
        <v>Teen</v>
      </c>
      <c r="F2141" s="5"/>
    </row>
    <row r="2142" spans="1:6">
      <c r="A2142" s="5" t="str">
        <f ca="1">IFERROR(__xludf.DUMMYFUNCTION("""COMPUTED_VALUE"""),"19941115WASTT")</f>
        <v>19941115WASTT</v>
      </c>
      <c r="B2142" s="5" t="str">
        <f ca="1">IFERROR(__xludf.DUMMYFUNCTION("""COMPUTED_VALUE"""),"None")</f>
        <v>None</v>
      </c>
      <c r="C2142" s="5" t="str">
        <f ca="1">IFERROR(__xludf.DUMMYFUNCTION("""COMPUTED_VALUE"""),"Male")</f>
        <v>Male</v>
      </c>
      <c r="D2142" s="5" t="str">
        <f ca="1">IFERROR(__xludf.DUMMYFUNCTION("""COMPUTED_VALUE"""),"Student")</f>
        <v>Student</v>
      </c>
      <c r="E2142" s="5" t="str">
        <f ca="1">IFERROR(__xludf.DUMMYFUNCTION("""COMPUTED_VALUE"""),"Teen")</f>
        <v>Teen</v>
      </c>
      <c r="F2142" s="5"/>
    </row>
    <row r="2143" spans="1:6">
      <c r="A2143" s="5" t="str">
        <f ca="1">IFERROR(__xludf.DUMMYFUNCTION("""COMPUTED_VALUE"""),"19941108IAWEM")</f>
        <v>19941108IAWEM</v>
      </c>
      <c r="B2143" s="5" t="str">
        <f ca="1">IFERROR(__xludf.DUMMYFUNCTION("""COMPUTED_VALUE"""),"Wounded")</f>
        <v>Wounded</v>
      </c>
      <c r="C2143" s="5" t="str">
        <f ca="1">IFERROR(__xludf.DUMMYFUNCTION("""COMPUTED_VALUE"""),"Female")</f>
        <v>Female</v>
      </c>
      <c r="D2143" s="5" t="str">
        <f ca="1">IFERROR(__xludf.DUMMYFUNCTION("""COMPUTED_VALUE"""),"Other Staff")</f>
        <v>Other Staff</v>
      </c>
      <c r="E2143" s="5" t="str">
        <f ca="1">IFERROR(__xludf.DUMMYFUNCTION("""COMPUTED_VALUE"""),"Adult")</f>
        <v>Adult</v>
      </c>
      <c r="F2143" s="5"/>
    </row>
    <row r="2144" spans="1:6">
      <c r="A2144" s="5" t="str">
        <f ca="1">IFERROR(__xludf.DUMMYFUNCTION("""COMPUTED_VALUE"""),"19941107OHWIW")</f>
        <v>19941107OHWIW</v>
      </c>
      <c r="B2144" s="5" t="str">
        <f ca="1">IFERROR(__xludf.DUMMYFUNCTION("""COMPUTED_VALUE"""),"Wounded")</f>
        <v>Wounded</v>
      </c>
      <c r="C2144" s="5" t="str">
        <f ca="1">IFERROR(__xludf.DUMMYFUNCTION("""COMPUTED_VALUE"""),"Male")</f>
        <v>Male</v>
      </c>
      <c r="D2144" s="5" t="str">
        <f ca="1">IFERROR(__xludf.DUMMYFUNCTION("""COMPUTED_VALUE"""),"Teacher")</f>
        <v>Teacher</v>
      </c>
      <c r="E2144" s="5" t="str">
        <f ca="1">IFERROR(__xludf.DUMMYFUNCTION("""COMPUTED_VALUE"""),"Adult")</f>
        <v>Adult</v>
      </c>
      <c r="F2144" s="5"/>
    </row>
    <row r="2145" spans="1:6">
      <c r="A2145" s="5" t="str">
        <f ca="1">IFERROR(__xludf.DUMMYFUNCTION("""COMPUTED_VALUE"""),"19941107OHWIW")</f>
        <v>19941107OHWIW</v>
      </c>
      <c r="B2145" s="5" t="str">
        <f ca="1">IFERROR(__xludf.DUMMYFUNCTION("""COMPUTED_VALUE"""),"Wounded")</f>
        <v>Wounded</v>
      </c>
      <c r="C2145" s="5" t="str">
        <f ca="1">IFERROR(__xludf.DUMMYFUNCTION("""COMPUTED_VALUE"""),"Male")</f>
        <v>Male</v>
      </c>
      <c r="D2145" s="5" t="str">
        <f ca="1">IFERROR(__xludf.DUMMYFUNCTION("""COMPUTED_VALUE"""),"Police Officer/SRO")</f>
        <v>Police Officer/SRO</v>
      </c>
      <c r="E2145" s="5" t="str">
        <f ca="1">IFERROR(__xludf.DUMMYFUNCTION("""COMPUTED_VALUE"""),"Adult")</f>
        <v>Adult</v>
      </c>
      <c r="F2145" s="5"/>
    </row>
    <row r="2146" spans="1:6">
      <c r="A2146" s="5" t="str">
        <f ca="1">IFERROR(__xludf.DUMMYFUNCTION("""COMPUTED_VALUE"""),"19941107OHWIW")</f>
        <v>19941107OHWIW</v>
      </c>
      <c r="B2146" s="5" t="str">
        <f ca="1">IFERROR(__xludf.DUMMYFUNCTION("""COMPUTED_VALUE"""),"Fatal")</f>
        <v>Fatal</v>
      </c>
      <c r="C2146" s="5" t="str">
        <f ca="1">IFERROR(__xludf.DUMMYFUNCTION("""COMPUTED_VALUE"""),"Male")</f>
        <v>Male</v>
      </c>
      <c r="D2146" s="5" t="str">
        <f ca="1">IFERROR(__xludf.DUMMYFUNCTION("""COMPUTED_VALUE"""),"Other Staff")</f>
        <v>Other Staff</v>
      </c>
      <c r="E2146" s="5" t="str">
        <f ca="1">IFERROR(__xludf.DUMMYFUNCTION("""COMPUTED_VALUE"""),"Adult")</f>
        <v>Adult</v>
      </c>
      <c r="F2146" s="5"/>
    </row>
    <row r="2147" spans="1:6">
      <c r="A2147" s="5" t="str">
        <f ca="1">IFERROR(__xludf.DUMMYFUNCTION("""COMPUTED_VALUE"""),"19941107OHWIW")</f>
        <v>19941107OHWIW</v>
      </c>
      <c r="B2147" s="5" t="str">
        <f ca="1">IFERROR(__xludf.DUMMYFUNCTION("""COMPUTED_VALUE"""),"Wounded")</f>
        <v>Wounded</v>
      </c>
      <c r="C2147" s="5" t="str">
        <f ca="1">IFERROR(__xludf.DUMMYFUNCTION("""COMPUTED_VALUE"""),"Male")</f>
        <v>Male</v>
      </c>
      <c r="D2147" s="5" t="str">
        <f ca="1">IFERROR(__xludf.DUMMYFUNCTION("""COMPUTED_VALUE"""),"Principal/Vice-Principal")</f>
        <v>Principal/Vice-Principal</v>
      </c>
      <c r="E2147" s="5" t="str">
        <f ca="1">IFERROR(__xludf.DUMMYFUNCTION("""COMPUTED_VALUE"""),"Adult")</f>
        <v>Adult</v>
      </c>
      <c r="F2147" s="5"/>
    </row>
    <row r="2148" spans="1:6">
      <c r="A2148" s="5" t="str">
        <f ca="1">IFERROR(__xludf.DUMMYFUNCTION("""COMPUTED_VALUE"""),"19941107OHWIW")</f>
        <v>19941107OHWIW</v>
      </c>
      <c r="B2148" s="5" t="str">
        <f ca="1">IFERROR(__xludf.DUMMYFUNCTION("""COMPUTED_VALUE"""),"Wounded")</f>
        <v>Wounded</v>
      </c>
      <c r="C2148" s="5" t="str">
        <f ca="1">IFERROR(__xludf.DUMMYFUNCTION("""COMPUTED_VALUE"""),"Male")</f>
        <v>Male</v>
      </c>
      <c r="D2148" s="5" t="str">
        <f ca="1">IFERROR(__xludf.DUMMYFUNCTION("""COMPUTED_VALUE"""),"Teacher")</f>
        <v>Teacher</v>
      </c>
      <c r="E2148" s="5" t="str">
        <f ca="1">IFERROR(__xludf.DUMMYFUNCTION("""COMPUTED_VALUE"""),"Adult")</f>
        <v>Adult</v>
      </c>
      <c r="F2148" s="5"/>
    </row>
    <row r="2149" spans="1:6">
      <c r="A2149" s="5" t="str">
        <f ca="1">IFERROR(__xludf.DUMMYFUNCTION("""COMPUTED_VALUE"""),"19941105CATHS")</f>
        <v>19941105CATHS</v>
      </c>
      <c r="B2149" s="5" t="str">
        <f ca="1">IFERROR(__xludf.DUMMYFUNCTION("""COMPUTED_VALUE"""),"Fatal")</f>
        <v>Fatal</v>
      </c>
      <c r="C2149" s="5" t="str">
        <f ca="1">IFERROR(__xludf.DUMMYFUNCTION("""COMPUTED_VALUE"""),"Female")</f>
        <v>Female</v>
      </c>
      <c r="D2149" s="5" t="str">
        <f ca="1">IFERROR(__xludf.DUMMYFUNCTION("""COMPUTED_VALUE"""),"No Relation")</f>
        <v>No Relation</v>
      </c>
      <c r="E2149" s="5" t="str">
        <f ca="1">IFERROR(__xludf.DUMMYFUNCTION("""COMPUTED_VALUE"""),"Teen")</f>
        <v>Teen</v>
      </c>
      <c r="F2149" s="5"/>
    </row>
    <row r="2150" spans="1:6">
      <c r="A2150" s="5" t="str">
        <f ca="1">IFERROR(__xludf.DUMMYFUNCTION("""COMPUTED_VALUE"""),"19941031CAALA")</f>
        <v>19941031CAALA</v>
      </c>
      <c r="B2150" s="5" t="str">
        <f ca="1">IFERROR(__xludf.DUMMYFUNCTION("""COMPUTED_VALUE"""),"None")</f>
        <v>None</v>
      </c>
      <c r="C2150" s="5" t="str">
        <f ca="1">IFERROR(__xludf.DUMMYFUNCTION("""COMPUTED_VALUE"""),"Male")</f>
        <v>Male</v>
      </c>
      <c r="D2150" s="5" t="str">
        <f ca="1">IFERROR(__xludf.DUMMYFUNCTION("""COMPUTED_VALUE"""),"Student")</f>
        <v>Student</v>
      </c>
      <c r="E2150" s="5" t="str">
        <f ca="1">IFERROR(__xludf.DUMMYFUNCTION("""COMPUTED_VALUE"""),"Teen")</f>
        <v>Teen</v>
      </c>
      <c r="F2150" s="5"/>
    </row>
    <row r="2151" spans="1:6">
      <c r="A2151" s="5" t="str">
        <f ca="1">IFERROR(__xludf.DUMMYFUNCTION("""COMPUTED_VALUE"""),"19941017ILHUC")</f>
        <v>19941017ILHUC</v>
      </c>
      <c r="B2151" s="5" t="str">
        <f ca="1">IFERROR(__xludf.DUMMYFUNCTION("""COMPUTED_VALUE"""),"Wounded")</f>
        <v>Wounded</v>
      </c>
      <c r="C2151" s="5" t="str">
        <f ca="1">IFERROR(__xludf.DUMMYFUNCTION("""COMPUTED_VALUE"""),"Female")</f>
        <v>Female</v>
      </c>
      <c r="D2151" s="5" t="str">
        <f ca="1">IFERROR(__xludf.DUMMYFUNCTION("""COMPUTED_VALUE"""),"Student")</f>
        <v>Student</v>
      </c>
      <c r="E2151" s="5">
        <f ca="1">IFERROR(__xludf.DUMMYFUNCTION("""COMPUTED_VALUE"""),16)</f>
        <v>16</v>
      </c>
      <c r="F2151" s="5"/>
    </row>
    <row r="2152" spans="1:6">
      <c r="A2152" s="5" t="str">
        <f ca="1">IFERROR(__xludf.DUMMYFUNCTION("""COMPUTED_VALUE"""),"19941012NCGRG")</f>
        <v>19941012NCGRG</v>
      </c>
      <c r="B2152" s="5" t="str">
        <f ca="1">IFERROR(__xludf.DUMMYFUNCTION("""COMPUTED_VALUE"""),"Wounded")</f>
        <v>Wounded</v>
      </c>
      <c r="C2152" s="5" t="str">
        <f ca="1">IFERROR(__xludf.DUMMYFUNCTION("""COMPUTED_VALUE"""),"Male")</f>
        <v>Male</v>
      </c>
      <c r="D2152" s="5" t="str">
        <f ca="1">IFERROR(__xludf.DUMMYFUNCTION("""COMPUTED_VALUE"""),"Principal/Vice-Principal")</f>
        <v>Principal/Vice-Principal</v>
      </c>
      <c r="E2152" s="5" t="str">
        <f ca="1">IFERROR(__xludf.DUMMYFUNCTION("""COMPUTED_VALUE"""),"Adult")</f>
        <v>Adult</v>
      </c>
      <c r="F2152" s="5"/>
    </row>
    <row r="2153" spans="1:6">
      <c r="A2153" s="5" t="str">
        <f ca="1">IFERROR(__xludf.DUMMYFUNCTION("""COMPUTED_VALUE"""),"19940922ORLEL")</f>
        <v>19940922ORLEL</v>
      </c>
      <c r="B2153" s="5" t="str">
        <f ca="1">IFERROR(__xludf.DUMMYFUNCTION("""COMPUTED_VALUE"""),"Wounded")</f>
        <v>Wounded</v>
      </c>
      <c r="C2153" s="5" t="str">
        <f ca="1">IFERROR(__xludf.DUMMYFUNCTION("""COMPUTED_VALUE"""),"Male")</f>
        <v>Male</v>
      </c>
      <c r="D2153" s="5" t="str">
        <f ca="1">IFERROR(__xludf.DUMMYFUNCTION("""COMPUTED_VALUE"""),"Student")</f>
        <v>Student</v>
      </c>
      <c r="E2153" s="5">
        <f ca="1">IFERROR(__xludf.DUMMYFUNCTION("""COMPUTED_VALUE"""),15)</f>
        <v>15</v>
      </c>
      <c r="F2153" s="5"/>
    </row>
    <row r="2154" spans="1:6">
      <c r="A2154" s="5" t="str">
        <f ca="1">IFERROR(__xludf.DUMMYFUNCTION("""COMPUTED_VALUE"""),"19940919CALOL")</f>
        <v>19940919CALOL</v>
      </c>
      <c r="B2154" s="5" t="str">
        <f ca="1">IFERROR(__xludf.DUMMYFUNCTION("""COMPUTED_VALUE"""),"Wounded")</f>
        <v>Wounded</v>
      </c>
      <c r="C2154" s="5" t="str">
        <f ca="1">IFERROR(__xludf.DUMMYFUNCTION("""COMPUTED_VALUE"""),"Female")</f>
        <v>Female</v>
      </c>
      <c r="D2154" s="5" t="str">
        <f ca="1">IFERROR(__xludf.DUMMYFUNCTION("""COMPUTED_VALUE"""),"Student")</f>
        <v>Student</v>
      </c>
      <c r="E2154" s="5">
        <f ca="1">IFERROR(__xludf.DUMMYFUNCTION("""COMPUTED_VALUE"""),16)</f>
        <v>16</v>
      </c>
      <c r="F2154" s="5"/>
    </row>
    <row r="2155" spans="1:6">
      <c r="A2155" s="5" t="str">
        <f ca="1">IFERROR(__xludf.DUMMYFUNCTION("""COMPUTED_VALUE"""),"19940919CALOL")</f>
        <v>19940919CALOL</v>
      </c>
      <c r="B2155" s="5" t="str">
        <f ca="1">IFERROR(__xludf.DUMMYFUNCTION("""COMPUTED_VALUE"""),"Wounded")</f>
        <v>Wounded</v>
      </c>
      <c r="C2155" s="5" t="str">
        <f ca="1">IFERROR(__xludf.DUMMYFUNCTION("""COMPUTED_VALUE"""),"Male")</f>
        <v>Male</v>
      </c>
      <c r="D2155" s="5" t="str">
        <f ca="1">IFERROR(__xludf.DUMMYFUNCTION("""COMPUTED_VALUE"""),"Student")</f>
        <v>Student</v>
      </c>
      <c r="E2155" s="5">
        <f ca="1">IFERROR(__xludf.DUMMYFUNCTION("""COMPUTED_VALUE"""),16)</f>
        <v>16</v>
      </c>
      <c r="F2155" s="5"/>
    </row>
    <row r="2156" spans="1:6">
      <c r="A2156" s="5" t="str">
        <f ca="1">IFERROR(__xludf.DUMMYFUNCTION("""COMPUTED_VALUE"""),"19940919CALOL")</f>
        <v>19940919CALOL</v>
      </c>
      <c r="B2156" s="5" t="str">
        <f ca="1">IFERROR(__xludf.DUMMYFUNCTION("""COMPUTED_VALUE"""),"Wounded")</f>
        <v>Wounded</v>
      </c>
      <c r="C2156" s="5" t="str">
        <f ca="1">IFERROR(__xludf.DUMMYFUNCTION("""COMPUTED_VALUE"""),"Male")</f>
        <v>Male</v>
      </c>
      <c r="D2156" s="5" t="str">
        <f ca="1">IFERROR(__xludf.DUMMYFUNCTION("""COMPUTED_VALUE"""),"Student")</f>
        <v>Student</v>
      </c>
      <c r="E2156" s="5">
        <f ca="1">IFERROR(__xludf.DUMMYFUNCTION("""COMPUTED_VALUE"""),16)</f>
        <v>16</v>
      </c>
      <c r="F2156" s="5"/>
    </row>
    <row r="2157" spans="1:6">
      <c r="A2157" s="5" t="str">
        <f ca="1">IFERROR(__xludf.DUMMYFUNCTION("""COMPUTED_VALUE"""),"19940908NYSWA")</f>
        <v>19940908NYSWA</v>
      </c>
      <c r="B2157" s="5" t="str">
        <f ca="1">IFERROR(__xludf.DUMMYFUNCTION("""COMPUTED_VALUE"""),"Wounded")</f>
        <v>Wounded</v>
      </c>
      <c r="C2157" s="5" t="str">
        <f ca="1">IFERROR(__xludf.DUMMYFUNCTION("""COMPUTED_VALUE"""),"Male")</f>
        <v>Male</v>
      </c>
      <c r="D2157" s="5" t="str">
        <f ca="1">IFERROR(__xludf.DUMMYFUNCTION("""COMPUTED_VALUE"""),"Student")</f>
        <v>Student</v>
      </c>
      <c r="E2157" s="5">
        <f ca="1">IFERROR(__xludf.DUMMYFUNCTION("""COMPUTED_VALUE"""),16)</f>
        <v>16</v>
      </c>
      <c r="F2157" s="5"/>
    </row>
    <row r="2158" spans="1:6">
      <c r="A2158" s="5" t="str">
        <f ca="1">IFERROR(__xludf.DUMMYFUNCTION("""COMPUTED_VALUE"""),"19940907CAHOL")</f>
        <v>19940907CAHOL</v>
      </c>
      <c r="B2158" s="5" t="str">
        <f ca="1">IFERROR(__xludf.DUMMYFUNCTION("""COMPUTED_VALUE"""),"Fatal")</f>
        <v>Fatal</v>
      </c>
      <c r="C2158" s="5" t="str">
        <f ca="1">IFERROR(__xludf.DUMMYFUNCTION("""COMPUTED_VALUE"""),"Male")</f>
        <v>Male</v>
      </c>
      <c r="D2158" s="5" t="str">
        <f ca="1">IFERROR(__xludf.DUMMYFUNCTION("""COMPUTED_VALUE"""),"Student")</f>
        <v>Student</v>
      </c>
      <c r="E2158" s="5">
        <f ca="1">IFERROR(__xludf.DUMMYFUNCTION("""COMPUTED_VALUE"""),17)</f>
        <v>17</v>
      </c>
      <c r="F2158" s="5"/>
    </row>
    <row r="2159" spans="1:6">
      <c r="A2159" s="5" t="str">
        <f ca="1">IFERROR(__xludf.DUMMYFUNCTION("""COMPUTED_VALUE"""),"19940725IAOTO")</f>
        <v>19940725IAOTO</v>
      </c>
      <c r="B2159" s="5" t="str">
        <f ca="1">IFERROR(__xludf.DUMMYFUNCTION("""COMPUTED_VALUE"""),"Fatal")</f>
        <v>Fatal</v>
      </c>
      <c r="C2159" s="5" t="str">
        <f ca="1">IFERROR(__xludf.DUMMYFUNCTION("""COMPUTED_VALUE"""),"Male")</f>
        <v>Male</v>
      </c>
      <c r="D2159" s="5" t="str">
        <f ca="1">IFERROR(__xludf.DUMMYFUNCTION("""COMPUTED_VALUE"""),"Student")</f>
        <v>Student</v>
      </c>
      <c r="E2159" s="5">
        <f ca="1">IFERROR(__xludf.DUMMYFUNCTION("""COMPUTED_VALUE"""),15)</f>
        <v>15</v>
      </c>
      <c r="F2159" s="5"/>
    </row>
    <row r="2160" spans="1:6">
      <c r="A2160" s="5" t="str">
        <f ca="1">IFERROR(__xludf.DUMMYFUNCTION("""COMPUTED_VALUE"""),"19940724PAMAM")</f>
        <v>19940724PAMAM</v>
      </c>
      <c r="B2160" s="5" t="str">
        <f ca="1">IFERROR(__xludf.DUMMYFUNCTION("""COMPUTED_VALUE"""),"Fatal")</f>
        <v>Fatal</v>
      </c>
      <c r="C2160" s="5" t="str">
        <f ca="1">IFERROR(__xludf.DUMMYFUNCTION("""COMPUTED_VALUE"""),"Male")</f>
        <v>Male</v>
      </c>
      <c r="D2160" s="5" t="str">
        <f ca="1">IFERROR(__xludf.DUMMYFUNCTION("""COMPUTED_VALUE"""),"No Relation")</f>
        <v>No Relation</v>
      </c>
      <c r="E2160" s="5">
        <f ca="1">IFERROR(__xludf.DUMMYFUNCTION("""COMPUTED_VALUE"""),23)</f>
        <v>23</v>
      </c>
      <c r="F2160" s="5"/>
    </row>
    <row r="2161" spans="1:6">
      <c r="A2161" s="5" t="str">
        <f ca="1">IFERROR(__xludf.DUMMYFUNCTION("""COMPUTED_VALUE"""),"19940526KYLAU")</f>
        <v>19940526KYLAU</v>
      </c>
      <c r="B2161" s="5" t="str">
        <f ca="1">IFERROR(__xludf.DUMMYFUNCTION("""COMPUTED_VALUE"""),"None")</f>
        <v>None</v>
      </c>
      <c r="C2161" s="5"/>
      <c r="D2161" s="5"/>
      <c r="E2161" s="5"/>
      <c r="F2161" s="5"/>
    </row>
    <row r="2162" spans="1:6">
      <c r="A2162" s="5" t="str">
        <f ca="1">IFERROR(__xludf.DUMMYFUNCTION("""COMPUTED_VALUE"""),"19940525NJLAW")</f>
        <v>19940525NJLAW</v>
      </c>
      <c r="B2162" s="5" t="str">
        <f ca="1">IFERROR(__xludf.DUMMYFUNCTION("""COMPUTED_VALUE"""),"None")</f>
        <v>None</v>
      </c>
      <c r="C2162" s="5" t="str">
        <f ca="1">IFERROR(__xludf.DUMMYFUNCTION("""COMPUTED_VALUE"""),"Female")</f>
        <v>Female</v>
      </c>
      <c r="D2162" s="5" t="str">
        <f ca="1">IFERROR(__xludf.DUMMYFUNCTION("""COMPUTED_VALUE"""),"Student")</f>
        <v>Student</v>
      </c>
      <c r="E2162" s="5">
        <f ca="1">IFERROR(__xludf.DUMMYFUNCTION("""COMPUTED_VALUE"""),17)</f>
        <v>17</v>
      </c>
      <c r="F2162" s="5"/>
    </row>
    <row r="2163" spans="1:6">
      <c r="A2163" s="5" t="str">
        <f ca="1">IFERROR(__xludf.DUMMYFUNCTION("""COMPUTED_VALUE"""),"19940525INLAS")</f>
        <v>19940525INLAS</v>
      </c>
      <c r="B2163" s="5" t="str">
        <f ca="1">IFERROR(__xludf.DUMMYFUNCTION("""COMPUTED_VALUE"""),"Wounded")</f>
        <v>Wounded</v>
      </c>
      <c r="C2163" s="5" t="str">
        <f ca="1">IFERROR(__xludf.DUMMYFUNCTION("""COMPUTED_VALUE"""),"Male")</f>
        <v>Male</v>
      </c>
      <c r="D2163" s="5" t="str">
        <f ca="1">IFERROR(__xludf.DUMMYFUNCTION("""COMPUTED_VALUE"""),"Student")</f>
        <v>Student</v>
      </c>
      <c r="E2163" s="5">
        <f ca="1">IFERROR(__xludf.DUMMYFUNCTION("""COMPUTED_VALUE"""),15)</f>
        <v>15</v>
      </c>
      <c r="F2163" s="5"/>
    </row>
    <row r="2164" spans="1:6">
      <c r="A2164" s="5" t="str">
        <f ca="1">IFERROR(__xludf.DUMMYFUNCTION("""COMPUTED_VALUE"""),"19940502FLNON")</f>
        <v>19940502FLNON</v>
      </c>
      <c r="B2164" s="5" t="str">
        <f ca="1">IFERROR(__xludf.DUMMYFUNCTION("""COMPUTED_VALUE"""),"Fatal")</f>
        <v>Fatal</v>
      </c>
      <c r="C2164" s="5" t="str">
        <f ca="1">IFERROR(__xludf.DUMMYFUNCTION("""COMPUTED_VALUE"""),"Female")</f>
        <v>Female</v>
      </c>
      <c r="D2164" s="5" t="str">
        <f ca="1">IFERROR(__xludf.DUMMYFUNCTION("""COMPUTED_VALUE"""),"Student")</f>
        <v>Student</v>
      </c>
      <c r="E2164" s="5">
        <f ca="1">IFERROR(__xludf.DUMMYFUNCTION("""COMPUTED_VALUE"""),18)</f>
        <v>18</v>
      </c>
      <c r="F2164" s="5"/>
    </row>
    <row r="2165" spans="1:6">
      <c r="A2165" s="5" t="str">
        <f ca="1">IFERROR(__xludf.DUMMYFUNCTION("""COMPUTED_VALUE"""),"19940421TNJTN")</f>
        <v>19940421TNJTN</v>
      </c>
      <c r="B2165" s="5" t="str">
        <f ca="1">IFERROR(__xludf.DUMMYFUNCTION("""COMPUTED_VALUE"""),"Fatal")</f>
        <v>Fatal</v>
      </c>
      <c r="C2165" s="5" t="str">
        <f ca="1">IFERROR(__xludf.DUMMYFUNCTION("""COMPUTED_VALUE"""),"Male")</f>
        <v>Male</v>
      </c>
      <c r="D2165" s="5" t="str">
        <f ca="1">IFERROR(__xludf.DUMMYFUNCTION("""COMPUTED_VALUE"""),"Student")</f>
        <v>Student</v>
      </c>
      <c r="E2165" s="5">
        <f ca="1">IFERROR(__xludf.DUMMYFUNCTION("""COMPUTED_VALUE"""),13)</f>
        <v>13</v>
      </c>
      <c r="F2165" s="5" t="str">
        <f ca="1">IFERROR(__xludf.DUMMYFUNCTION("""COMPUTED_VALUE"""),"Black")</f>
        <v>Black</v>
      </c>
    </row>
    <row r="2166" spans="1:6">
      <c r="A2166" s="5" t="str">
        <f ca="1">IFERROR(__xludf.DUMMYFUNCTION("""COMPUTED_VALUE"""),"19940420INDIS")</f>
        <v>19940420INDIS</v>
      </c>
      <c r="B2166" s="5" t="str">
        <f ca="1">IFERROR(__xludf.DUMMYFUNCTION("""COMPUTED_VALUE"""),"Wounded")</f>
        <v>Wounded</v>
      </c>
      <c r="C2166" s="5" t="str">
        <f ca="1">IFERROR(__xludf.DUMMYFUNCTION("""COMPUTED_VALUE"""),"Male")</f>
        <v>Male</v>
      </c>
      <c r="D2166" s="5" t="str">
        <f ca="1">IFERROR(__xludf.DUMMYFUNCTION("""COMPUTED_VALUE"""),"Student")</f>
        <v>Student</v>
      </c>
      <c r="E2166" s="5">
        <f ca="1">IFERROR(__xludf.DUMMYFUNCTION("""COMPUTED_VALUE"""),14)</f>
        <v>14</v>
      </c>
      <c r="F2166" s="5" t="str">
        <f ca="1">IFERROR(__xludf.DUMMYFUNCTION("""COMPUTED_VALUE"""),"Black")</f>
        <v>Black</v>
      </c>
    </row>
    <row r="2167" spans="1:6">
      <c r="A2167" s="5" t="str">
        <f ca="1">IFERROR(__xludf.DUMMYFUNCTION("""COMPUTED_VALUE"""),"19940419DCELW")</f>
        <v>19940419DCELW</v>
      </c>
      <c r="B2167" s="5" t="str">
        <f ca="1">IFERROR(__xludf.DUMMYFUNCTION("""COMPUTED_VALUE"""),"Fatal")</f>
        <v>Fatal</v>
      </c>
      <c r="C2167" s="5" t="str">
        <f ca="1">IFERROR(__xludf.DUMMYFUNCTION("""COMPUTED_VALUE"""),"Male")</f>
        <v>Male</v>
      </c>
      <c r="D2167" s="5" t="str">
        <f ca="1">IFERROR(__xludf.DUMMYFUNCTION("""COMPUTED_VALUE"""),"No Relation")</f>
        <v>No Relation</v>
      </c>
      <c r="E2167" s="5">
        <f ca="1">IFERROR(__xludf.DUMMYFUNCTION("""COMPUTED_VALUE"""),21)</f>
        <v>21</v>
      </c>
      <c r="F2167" s="5"/>
    </row>
    <row r="2168" spans="1:6">
      <c r="A2168" s="5" t="str">
        <f ca="1">IFERROR(__xludf.DUMMYFUNCTION("""COMPUTED_VALUE"""),"19940413CA49L")</f>
        <v>19940413CA49L</v>
      </c>
      <c r="B2168" s="5" t="str">
        <f ca="1">IFERROR(__xludf.DUMMYFUNCTION("""COMPUTED_VALUE"""),"None")</f>
        <v>None</v>
      </c>
      <c r="C2168" s="5" t="str">
        <f ca="1">IFERROR(__xludf.DUMMYFUNCTION("""COMPUTED_VALUE"""),"Male")</f>
        <v>Male</v>
      </c>
      <c r="D2168" s="5" t="str">
        <f ca="1">IFERROR(__xludf.DUMMYFUNCTION("""COMPUTED_VALUE"""),"Student")</f>
        <v>Student</v>
      </c>
      <c r="E2168" s="5">
        <f ca="1">IFERROR(__xludf.DUMMYFUNCTION("""COMPUTED_VALUE"""),10)</f>
        <v>10</v>
      </c>
      <c r="F2168" s="5"/>
    </row>
    <row r="2169" spans="1:6">
      <c r="A2169" s="5" t="str">
        <f ca="1">IFERROR(__xludf.DUMMYFUNCTION("""COMPUTED_VALUE"""),"19940412MTMAB")</f>
        <v>19940412MTMAB</v>
      </c>
      <c r="B2169" s="5" t="str">
        <f ca="1">IFERROR(__xludf.DUMMYFUNCTION("""COMPUTED_VALUE"""),"Fatal")</f>
        <v>Fatal</v>
      </c>
      <c r="C2169" s="5" t="str">
        <f ca="1">IFERROR(__xludf.DUMMYFUNCTION("""COMPUTED_VALUE"""),"Male")</f>
        <v>Male</v>
      </c>
      <c r="D2169" s="5" t="str">
        <f ca="1">IFERROR(__xludf.DUMMYFUNCTION("""COMPUTED_VALUE"""),"Student")</f>
        <v>Student</v>
      </c>
      <c r="E2169" s="5">
        <f ca="1">IFERROR(__xludf.DUMMYFUNCTION("""COMPUTED_VALUE"""),11)</f>
        <v>11</v>
      </c>
      <c r="F2169" s="5" t="str">
        <f ca="1">IFERROR(__xludf.DUMMYFUNCTION("""COMPUTED_VALUE"""),"White")</f>
        <v>White</v>
      </c>
    </row>
    <row r="2170" spans="1:6">
      <c r="A2170" s="5" t="str">
        <f ca="1">IFERROR(__xludf.DUMMYFUNCTION("""COMPUTED_VALUE"""),"19940408MDLAU")</f>
        <v>19940408MDLAU</v>
      </c>
      <c r="B2170" s="5" t="str">
        <f ca="1">IFERROR(__xludf.DUMMYFUNCTION("""COMPUTED_VALUE"""),"Wounded")</f>
        <v>Wounded</v>
      </c>
      <c r="C2170" s="5" t="str">
        <f ca="1">IFERROR(__xludf.DUMMYFUNCTION("""COMPUTED_VALUE"""),"Male")</f>
        <v>Male</v>
      </c>
      <c r="D2170" s="5" t="str">
        <f ca="1">IFERROR(__xludf.DUMMYFUNCTION("""COMPUTED_VALUE"""),"Teacher")</f>
        <v>Teacher</v>
      </c>
      <c r="E2170" s="5">
        <f ca="1">IFERROR(__xludf.DUMMYFUNCTION("""COMPUTED_VALUE"""),45)</f>
        <v>45</v>
      </c>
      <c r="F2170" s="5"/>
    </row>
    <row r="2171" spans="1:6">
      <c r="A2171" s="5" t="str">
        <f ca="1">IFERROR(__xludf.DUMMYFUNCTION("""COMPUTED_VALUE"""),"19940405TXMCA")</f>
        <v>19940405TXMCA</v>
      </c>
      <c r="B2171" s="5" t="str">
        <f ca="1">IFERROR(__xludf.DUMMYFUNCTION("""COMPUTED_VALUE"""),"Wounded")</f>
        <v>Wounded</v>
      </c>
      <c r="C2171" s="5" t="str">
        <f ca="1">IFERROR(__xludf.DUMMYFUNCTION("""COMPUTED_VALUE"""),"Female")</f>
        <v>Female</v>
      </c>
      <c r="D2171" s="5" t="str">
        <f ca="1">IFERROR(__xludf.DUMMYFUNCTION("""COMPUTED_VALUE"""),"Student")</f>
        <v>Student</v>
      </c>
      <c r="E2171" s="5">
        <f ca="1">IFERROR(__xludf.DUMMYFUNCTION("""COMPUTED_VALUE"""),18)</f>
        <v>18</v>
      </c>
      <c r="F2171" s="5"/>
    </row>
    <row r="2172" spans="1:6">
      <c r="A2172" s="5" t="str">
        <f ca="1">IFERROR(__xludf.DUMMYFUNCTION("""COMPUTED_VALUE"""),"19940405TXMCA")</f>
        <v>19940405TXMCA</v>
      </c>
      <c r="B2172" s="5" t="str">
        <f ca="1">IFERROR(__xludf.DUMMYFUNCTION("""COMPUTED_VALUE"""),"Wounded")</f>
        <v>Wounded</v>
      </c>
      <c r="C2172" s="5" t="str">
        <f ca="1">IFERROR(__xludf.DUMMYFUNCTION("""COMPUTED_VALUE"""),"Female")</f>
        <v>Female</v>
      </c>
      <c r="D2172" s="5" t="str">
        <f ca="1">IFERROR(__xludf.DUMMYFUNCTION("""COMPUTED_VALUE"""),"Student")</f>
        <v>Student</v>
      </c>
      <c r="E2172" s="5">
        <f ca="1">IFERROR(__xludf.DUMMYFUNCTION("""COMPUTED_VALUE"""),17)</f>
        <v>17</v>
      </c>
      <c r="F2172" s="5"/>
    </row>
    <row r="2173" spans="1:6">
      <c r="A2173" s="5" t="str">
        <f ca="1">IFERROR(__xludf.DUMMYFUNCTION("""COMPUTED_VALUE"""),"19940325GAETC")</f>
        <v>19940325GAETC</v>
      </c>
      <c r="B2173" s="5" t="str">
        <f ca="1">IFERROR(__xludf.DUMMYFUNCTION("""COMPUTED_VALUE"""),"None")</f>
        <v>None</v>
      </c>
      <c r="C2173" s="5" t="str">
        <f ca="1">IFERROR(__xludf.DUMMYFUNCTION("""COMPUTED_VALUE"""),"Male")</f>
        <v>Male</v>
      </c>
      <c r="D2173" s="5" t="str">
        <f ca="1">IFERROR(__xludf.DUMMYFUNCTION("""COMPUTED_VALUE"""),"Student")</f>
        <v>Student</v>
      </c>
      <c r="E2173" s="5">
        <f ca="1">IFERROR(__xludf.DUMMYFUNCTION("""COMPUTED_VALUE"""),15)</f>
        <v>15</v>
      </c>
      <c r="F2173" s="5"/>
    </row>
    <row r="2174" spans="1:6">
      <c r="A2174" s="5" t="str">
        <f ca="1">IFERROR(__xludf.DUMMYFUNCTION("""COMPUTED_VALUE"""),"19940323WABAS")</f>
        <v>19940323WABAS</v>
      </c>
      <c r="B2174" s="5" t="str">
        <f ca="1">IFERROR(__xludf.DUMMYFUNCTION("""COMPUTED_VALUE"""),"Fatal")</f>
        <v>Fatal</v>
      </c>
      <c r="C2174" s="5" t="str">
        <f ca="1">IFERROR(__xludf.DUMMYFUNCTION("""COMPUTED_VALUE"""),"Male")</f>
        <v>Male</v>
      </c>
      <c r="D2174" s="5" t="str">
        <f ca="1">IFERROR(__xludf.DUMMYFUNCTION("""COMPUTED_VALUE"""),"Student")</f>
        <v>Student</v>
      </c>
      <c r="E2174" s="5">
        <f ca="1">IFERROR(__xludf.DUMMYFUNCTION("""COMPUTED_VALUE"""),16)</f>
        <v>16</v>
      </c>
      <c r="F2174" s="5"/>
    </row>
    <row r="2175" spans="1:6">
      <c r="A2175" s="5" t="str">
        <f ca="1">IFERROR(__xludf.DUMMYFUNCTION("""COMPUTED_VALUE"""),"19940323WABAS")</f>
        <v>19940323WABAS</v>
      </c>
      <c r="B2175" s="5" t="str">
        <f ca="1">IFERROR(__xludf.DUMMYFUNCTION("""COMPUTED_VALUE"""),"Wounded")</f>
        <v>Wounded</v>
      </c>
      <c r="C2175" s="5" t="str">
        <f ca="1">IFERROR(__xludf.DUMMYFUNCTION("""COMPUTED_VALUE"""),"Female")</f>
        <v>Female</v>
      </c>
      <c r="D2175" s="5" t="str">
        <f ca="1">IFERROR(__xludf.DUMMYFUNCTION("""COMPUTED_VALUE"""),"Student")</f>
        <v>Student</v>
      </c>
      <c r="E2175" s="5" t="str">
        <f ca="1">IFERROR(__xludf.DUMMYFUNCTION("""COMPUTED_VALUE"""),"Teen")</f>
        <v>Teen</v>
      </c>
      <c r="F2175" s="5"/>
    </row>
    <row r="2176" spans="1:6">
      <c r="A2176" s="5" t="str">
        <f ca="1">IFERROR(__xludf.DUMMYFUNCTION("""COMPUTED_VALUE"""),"19940315SCGOC")</f>
        <v>19940315SCGOC</v>
      </c>
      <c r="B2176" s="5" t="str">
        <f ca="1">IFERROR(__xludf.DUMMYFUNCTION("""COMPUTED_VALUE"""),"Fatal")</f>
        <v>Fatal</v>
      </c>
      <c r="C2176" s="5" t="str">
        <f ca="1">IFERROR(__xludf.DUMMYFUNCTION("""COMPUTED_VALUE"""),"Male")</f>
        <v>Male</v>
      </c>
      <c r="D2176" s="5" t="str">
        <f ca="1">IFERROR(__xludf.DUMMYFUNCTION("""COMPUTED_VALUE"""),"Student")</f>
        <v>Student</v>
      </c>
      <c r="E2176" s="5">
        <f ca="1">IFERROR(__xludf.DUMMYFUNCTION("""COMPUTED_VALUE"""),18)</f>
        <v>18</v>
      </c>
      <c r="F2176" s="5"/>
    </row>
    <row r="2177" spans="1:6">
      <c r="A2177" s="5" t="str">
        <f ca="1">IFERROR(__xludf.DUMMYFUNCTION("""COMPUTED_VALUE"""),"19940309DCEAW")</f>
        <v>19940309DCEAW</v>
      </c>
      <c r="B2177" s="5" t="str">
        <f ca="1">IFERROR(__xludf.DUMMYFUNCTION("""COMPUTED_VALUE"""),"Fatal")</f>
        <v>Fatal</v>
      </c>
      <c r="C2177" s="5" t="str">
        <f ca="1">IFERROR(__xludf.DUMMYFUNCTION("""COMPUTED_VALUE"""),"Male")</f>
        <v>Male</v>
      </c>
      <c r="D2177" s="5" t="str">
        <f ca="1">IFERROR(__xludf.DUMMYFUNCTION("""COMPUTED_VALUE"""),"Student")</f>
        <v>Student</v>
      </c>
      <c r="E2177" s="5">
        <f ca="1">IFERROR(__xludf.DUMMYFUNCTION("""COMPUTED_VALUE"""),17)</f>
        <v>17</v>
      </c>
      <c r="F2177" s="5"/>
    </row>
    <row r="2178" spans="1:6">
      <c r="A2178" s="5" t="str">
        <f ca="1">IFERROR(__xludf.DUMMYFUNCTION("""COMPUTED_VALUE"""),"19940303ALENB")</f>
        <v>19940303ALENB</v>
      </c>
      <c r="B2178" s="5" t="str">
        <f ca="1">IFERROR(__xludf.DUMMYFUNCTION("""COMPUTED_VALUE"""),"Wounded")</f>
        <v>Wounded</v>
      </c>
      <c r="C2178" s="5" t="str">
        <f ca="1">IFERROR(__xludf.DUMMYFUNCTION("""COMPUTED_VALUE"""),"Male")</f>
        <v>Male</v>
      </c>
      <c r="D2178" s="5" t="str">
        <f ca="1">IFERROR(__xludf.DUMMYFUNCTION("""COMPUTED_VALUE"""),"Student")</f>
        <v>Student</v>
      </c>
      <c r="E2178" s="5">
        <f ca="1">IFERROR(__xludf.DUMMYFUNCTION("""COMPUTED_VALUE"""),15)</f>
        <v>15</v>
      </c>
      <c r="F2178" s="5"/>
    </row>
    <row r="2179" spans="1:6">
      <c r="A2179" s="5" t="str">
        <f ca="1">IFERROR(__xludf.DUMMYFUNCTION("""COMPUTED_VALUE"""),"19940301MOKEB")</f>
        <v>19940301MOKEB</v>
      </c>
      <c r="B2179" s="5" t="str">
        <f ca="1">IFERROR(__xludf.DUMMYFUNCTION("""COMPUTED_VALUE"""),"Fatal")</f>
        <v>Fatal</v>
      </c>
      <c r="C2179" s="5" t="str">
        <f ca="1">IFERROR(__xludf.DUMMYFUNCTION("""COMPUTED_VALUE"""),"Male")</f>
        <v>Male</v>
      </c>
      <c r="D2179" s="5" t="str">
        <f ca="1">IFERROR(__xludf.DUMMYFUNCTION("""COMPUTED_VALUE"""),"Other Staff")</f>
        <v>Other Staff</v>
      </c>
      <c r="E2179" s="5">
        <f ca="1">IFERROR(__xludf.DUMMYFUNCTION("""COMPUTED_VALUE"""),58)</f>
        <v>58</v>
      </c>
      <c r="F2179" s="5"/>
    </row>
    <row r="2180" spans="1:6">
      <c r="A2180" s="5" t="str">
        <f ca="1">IFERROR(__xludf.DUMMYFUNCTION("""COMPUTED_VALUE"""),"19940301MOKEB")</f>
        <v>19940301MOKEB</v>
      </c>
      <c r="B2180" s="5" t="str">
        <f ca="1">IFERROR(__xludf.DUMMYFUNCTION("""COMPUTED_VALUE"""),"Fatal")</f>
        <v>Fatal</v>
      </c>
      <c r="C2180" s="5" t="str">
        <f ca="1">IFERROR(__xludf.DUMMYFUNCTION("""COMPUTED_VALUE"""),"Male")</f>
        <v>Male</v>
      </c>
      <c r="D2180" s="5" t="str">
        <f ca="1">IFERROR(__xludf.DUMMYFUNCTION("""COMPUTED_VALUE"""),"Other Staff")</f>
        <v>Other Staff</v>
      </c>
      <c r="E2180" s="5">
        <f ca="1">IFERROR(__xludf.DUMMYFUNCTION("""COMPUTED_VALUE"""),33)</f>
        <v>33</v>
      </c>
      <c r="F2180" s="5"/>
    </row>
    <row r="2181" spans="1:6">
      <c r="A2181" s="5" t="str">
        <f ca="1">IFERROR(__xludf.DUMMYFUNCTION("""COMPUTED_VALUE"""),"19940218SCSPS")</f>
        <v>19940218SCSPS</v>
      </c>
      <c r="B2181" s="5" t="str">
        <f ca="1">IFERROR(__xludf.DUMMYFUNCTION("""COMPUTED_VALUE"""),"Wounded")</f>
        <v>Wounded</v>
      </c>
      <c r="C2181" s="5" t="str">
        <f ca="1">IFERROR(__xludf.DUMMYFUNCTION("""COMPUTED_VALUE"""),"Male")</f>
        <v>Male</v>
      </c>
      <c r="D2181" s="5" t="str">
        <f ca="1">IFERROR(__xludf.DUMMYFUNCTION("""COMPUTED_VALUE"""),"No Relation")</f>
        <v>No Relation</v>
      </c>
      <c r="E2181" s="5">
        <f ca="1">IFERROR(__xludf.DUMMYFUNCTION("""COMPUTED_VALUE"""),24)</f>
        <v>24</v>
      </c>
      <c r="F2181" s="5"/>
    </row>
    <row r="2182" spans="1:6">
      <c r="A2182" s="5" t="str">
        <f ca="1">IFERROR(__xludf.DUMMYFUNCTION("""COMPUTED_VALUE"""),"19940208MIOSD")</f>
        <v>19940208MIOSD</v>
      </c>
      <c r="B2182" s="5" t="str">
        <f ca="1">IFERROR(__xludf.DUMMYFUNCTION("""COMPUTED_VALUE"""),"Fatal")</f>
        <v>Fatal</v>
      </c>
      <c r="C2182" s="5" t="str">
        <f ca="1">IFERROR(__xludf.DUMMYFUNCTION("""COMPUTED_VALUE"""),"Male")</f>
        <v>Male</v>
      </c>
      <c r="D2182" s="5" t="str">
        <f ca="1">IFERROR(__xludf.DUMMYFUNCTION("""COMPUTED_VALUE"""),"Student")</f>
        <v>Student</v>
      </c>
      <c r="E2182" s="5">
        <f ca="1">IFERROR(__xludf.DUMMYFUNCTION("""COMPUTED_VALUE"""),19)</f>
        <v>19</v>
      </c>
      <c r="F2182" s="5"/>
    </row>
    <row r="2183" spans="1:6">
      <c r="A2183" s="5" t="str">
        <f ca="1">IFERROR(__xludf.DUMMYFUNCTION("""COMPUTED_VALUE"""),"19940131WAWHS")</f>
        <v>19940131WAWHS</v>
      </c>
      <c r="B2183" s="5" t="str">
        <f ca="1">IFERROR(__xludf.DUMMYFUNCTION("""COMPUTED_VALUE"""),"Fatal")</f>
        <v>Fatal</v>
      </c>
      <c r="C2183" s="5" t="str">
        <f ca="1">IFERROR(__xludf.DUMMYFUNCTION("""COMPUTED_VALUE"""),"Male")</f>
        <v>Male</v>
      </c>
      <c r="D2183" s="5" t="str">
        <f ca="1">IFERROR(__xludf.DUMMYFUNCTION("""COMPUTED_VALUE"""),"Teacher")</f>
        <v>Teacher</v>
      </c>
      <c r="E2183" s="5">
        <f ca="1">IFERROR(__xludf.DUMMYFUNCTION("""COMPUTED_VALUE"""),45)</f>
        <v>45</v>
      </c>
      <c r="F2183" s="5"/>
    </row>
    <row r="2184" spans="1:6">
      <c r="A2184" s="5" t="str">
        <f ca="1">IFERROR(__xludf.DUMMYFUNCTION("""COMPUTED_VALUE"""),"19940127CAWAS")</f>
        <v>19940127CAWAS</v>
      </c>
      <c r="B2184" s="5" t="str">
        <f ca="1">IFERROR(__xludf.DUMMYFUNCTION("""COMPUTED_VALUE"""),"Fatal")</f>
        <v>Fatal</v>
      </c>
      <c r="C2184" s="5" t="str">
        <f ca="1">IFERROR(__xludf.DUMMYFUNCTION("""COMPUTED_VALUE"""),"Male")</f>
        <v>Male</v>
      </c>
      <c r="D2184" s="5" t="str">
        <f ca="1">IFERROR(__xludf.DUMMYFUNCTION("""COMPUTED_VALUE"""),"Parent")</f>
        <v>Parent</v>
      </c>
      <c r="E2184" s="5">
        <f ca="1">IFERROR(__xludf.DUMMYFUNCTION("""COMPUTED_VALUE"""),22)</f>
        <v>22</v>
      </c>
      <c r="F2184" s="5" t="str">
        <f ca="1">IFERROR(__xludf.DUMMYFUNCTION("""COMPUTED_VALUE"""),"Hispanic")</f>
        <v>Hispanic</v>
      </c>
    </row>
    <row r="2185" spans="1:6">
      <c r="A2185" s="5" t="str">
        <f ca="1">IFERROR(__xludf.DUMMYFUNCTION("""COMPUTED_VALUE"""),"19940126DCPAW")</f>
        <v>19940126DCPAW</v>
      </c>
      <c r="B2185" s="5" t="str">
        <f ca="1">IFERROR(__xludf.DUMMYFUNCTION("""COMPUTED_VALUE"""),"None")</f>
        <v>None</v>
      </c>
      <c r="C2185" s="5"/>
      <c r="D2185" s="5"/>
      <c r="E2185" s="5"/>
      <c r="F2185" s="5"/>
    </row>
    <row r="2186" spans="1:6">
      <c r="A2186" s="5" t="str">
        <f ca="1">IFERROR(__xludf.DUMMYFUNCTION("""COMPUTED_VALUE"""),"19940126DCELW")</f>
        <v>19940126DCELW</v>
      </c>
      <c r="B2186" s="5" t="str">
        <f ca="1">IFERROR(__xludf.DUMMYFUNCTION("""COMPUTED_VALUE"""),"None")</f>
        <v>None</v>
      </c>
      <c r="C2186" s="5"/>
      <c r="D2186" s="5"/>
      <c r="E2186" s="5"/>
      <c r="F2186" s="5"/>
    </row>
    <row r="2187" spans="1:6">
      <c r="A2187" s="5" t="str">
        <f ca="1">IFERROR(__xludf.DUMMYFUNCTION("""COMPUTED_VALUE"""),"19940124SCEAC")</f>
        <v>19940124SCEAC</v>
      </c>
      <c r="B2187" s="5" t="str">
        <f ca="1">IFERROR(__xludf.DUMMYFUNCTION("""COMPUTED_VALUE"""),"Fatal")</f>
        <v>Fatal</v>
      </c>
      <c r="C2187" s="5" t="str">
        <f ca="1">IFERROR(__xludf.DUMMYFUNCTION("""COMPUTED_VALUE"""),"Male")</f>
        <v>Male</v>
      </c>
      <c r="D2187" s="5" t="str">
        <f ca="1">IFERROR(__xludf.DUMMYFUNCTION("""COMPUTED_VALUE"""),"Student")</f>
        <v>Student</v>
      </c>
      <c r="E2187" s="5">
        <f ca="1">IFERROR(__xludf.DUMMYFUNCTION("""COMPUTED_VALUE"""),17)</f>
        <v>17</v>
      </c>
      <c r="F2187" s="5"/>
    </row>
    <row r="2188" spans="1:6">
      <c r="A2188" s="5" t="str">
        <f ca="1">IFERROR(__xludf.DUMMYFUNCTION("""COMPUTED_VALUE"""),"19940121TXKEK")</f>
        <v>19940121TXKEK</v>
      </c>
      <c r="B2188" s="5" t="str">
        <f ca="1">IFERROR(__xludf.DUMMYFUNCTION("""COMPUTED_VALUE"""),"None")</f>
        <v>None</v>
      </c>
      <c r="C2188" s="5" t="str">
        <f ca="1">IFERROR(__xludf.DUMMYFUNCTION("""COMPUTED_VALUE"""),"Male")</f>
        <v>Male</v>
      </c>
      <c r="D2188" s="5" t="str">
        <f ca="1">IFERROR(__xludf.DUMMYFUNCTION("""COMPUTED_VALUE"""),"Student")</f>
        <v>Student</v>
      </c>
      <c r="E2188" s="5">
        <f ca="1">IFERROR(__xludf.DUMMYFUNCTION("""COMPUTED_VALUE"""),17)</f>
        <v>17</v>
      </c>
      <c r="F2188" s="5"/>
    </row>
    <row r="2189" spans="1:6">
      <c r="A2189" s="5" t="str">
        <f ca="1">IFERROR(__xludf.DUMMYFUNCTION("""COMPUTED_VALUE"""),"19940120CALOH")</f>
        <v>19940120CALOH</v>
      </c>
      <c r="B2189" s="5" t="str">
        <f ca="1">IFERROR(__xludf.DUMMYFUNCTION("""COMPUTED_VALUE"""),"Fatal")</f>
        <v>Fatal</v>
      </c>
      <c r="C2189" s="5" t="str">
        <f ca="1">IFERROR(__xludf.DUMMYFUNCTION("""COMPUTED_VALUE"""),"Male")</f>
        <v>Male</v>
      </c>
      <c r="D2189" s="5" t="str">
        <f ca="1">IFERROR(__xludf.DUMMYFUNCTION("""COMPUTED_VALUE"""),"Student")</f>
        <v>Student</v>
      </c>
      <c r="E2189" s="5">
        <f ca="1">IFERROR(__xludf.DUMMYFUNCTION("""COMPUTED_VALUE"""),17)</f>
        <v>17</v>
      </c>
      <c r="F2189" s="5"/>
    </row>
    <row r="2190" spans="1:6">
      <c r="A2190" s="5" t="str">
        <f ca="1">IFERROR(__xludf.DUMMYFUNCTION("""COMPUTED_VALUE"""),"19931217MICHC")</f>
        <v>19931217MICHC</v>
      </c>
      <c r="B2190" s="5" t="str">
        <f ca="1">IFERROR(__xludf.DUMMYFUNCTION("""COMPUTED_VALUE"""),"Fatal")</f>
        <v>Fatal</v>
      </c>
      <c r="C2190" s="5" t="str">
        <f ca="1">IFERROR(__xludf.DUMMYFUNCTION("""COMPUTED_VALUE"""),"Male")</f>
        <v>Male</v>
      </c>
      <c r="D2190" s="5" t="str">
        <f ca="1">IFERROR(__xludf.DUMMYFUNCTION("""COMPUTED_VALUE"""),"Other Staff")</f>
        <v>Other Staff</v>
      </c>
      <c r="E2190" s="5" t="str">
        <f ca="1">IFERROR(__xludf.DUMMYFUNCTION("""COMPUTED_VALUE"""),"Adult")</f>
        <v>Adult</v>
      </c>
      <c r="F2190" s="5"/>
    </row>
    <row r="2191" spans="1:6">
      <c r="A2191" s="5" t="str">
        <f ca="1">IFERROR(__xludf.DUMMYFUNCTION("""COMPUTED_VALUE"""),"19931217MICHC")</f>
        <v>19931217MICHC</v>
      </c>
      <c r="B2191" s="5" t="str">
        <f ca="1">IFERROR(__xludf.DUMMYFUNCTION("""COMPUTED_VALUE"""),"Wounded")</f>
        <v>Wounded</v>
      </c>
      <c r="C2191" s="5" t="str">
        <f ca="1">IFERROR(__xludf.DUMMYFUNCTION("""COMPUTED_VALUE"""),"Male")</f>
        <v>Male</v>
      </c>
      <c r="D2191" s="5" t="str">
        <f ca="1">IFERROR(__xludf.DUMMYFUNCTION("""COMPUTED_VALUE"""),"Teacher")</f>
        <v>Teacher</v>
      </c>
      <c r="E2191" s="5" t="str">
        <f ca="1">IFERROR(__xludf.DUMMYFUNCTION("""COMPUTED_VALUE"""),"Adult")</f>
        <v>Adult</v>
      </c>
      <c r="F2191" s="5"/>
    </row>
    <row r="2192" spans="1:6">
      <c r="A2192" s="5" t="str">
        <f ca="1">IFERROR(__xludf.DUMMYFUNCTION("""COMPUTED_VALUE"""),"19931217MICHC")</f>
        <v>19931217MICHC</v>
      </c>
      <c r="B2192" s="5" t="str">
        <f ca="1">IFERROR(__xludf.DUMMYFUNCTION("""COMPUTED_VALUE"""),"Wounded")</f>
        <v>Wounded</v>
      </c>
      <c r="C2192" s="5" t="str">
        <f ca="1">IFERROR(__xludf.DUMMYFUNCTION("""COMPUTED_VALUE"""),"Male")</f>
        <v>Male</v>
      </c>
      <c r="D2192" s="5" t="str">
        <f ca="1">IFERROR(__xludf.DUMMYFUNCTION("""COMPUTED_VALUE"""),"Teacher")</f>
        <v>Teacher</v>
      </c>
      <c r="E2192" s="5" t="str">
        <f ca="1">IFERROR(__xludf.DUMMYFUNCTION("""COMPUTED_VALUE"""),"Adult")</f>
        <v>Adult</v>
      </c>
      <c r="F2192" s="5"/>
    </row>
    <row r="2193" spans="1:6">
      <c r="A2193" s="5" t="str">
        <f ca="1">IFERROR(__xludf.DUMMYFUNCTION("""COMPUTED_VALUE"""),"19931215CACHS")</f>
        <v>19931215CACHS</v>
      </c>
      <c r="B2193" s="5" t="str">
        <f ca="1">IFERROR(__xludf.DUMMYFUNCTION("""COMPUTED_VALUE"""),"Fatal")</f>
        <v>Fatal</v>
      </c>
      <c r="C2193" s="5" t="str">
        <f ca="1">IFERROR(__xludf.DUMMYFUNCTION("""COMPUTED_VALUE"""),"Male")</f>
        <v>Male</v>
      </c>
      <c r="D2193" s="5" t="str">
        <f ca="1">IFERROR(__xludf.DUMMYFUNCTION("""COMPUTED_VALUE"""),"Student")</f>
        <v>Student</v>
      </c>
      <c r="E2193" s="5">
        <f ca="1">IFERROR(__xludf.DUMMYFUNCTION("""COMPUTED_VALUE"""),17)</f>
        <v>17</v>
      </c>
      <c r="F2193" s="5"/>
    </row>
    <row r="2194" spans="1:6">
      <c r="A2194" s="5" t="str">
        <f ca="1">IFERROR(__xludf.DUMMYFUNCTION("""COMPUTED_VALUE"""),"19931208GABES")</f>
        <v>19931208GABES</v>
      </c>
      <c r="B2194" s="5" t="str">
        <f ca="1">IFERROR(__xludf.DUMMYFUNCTION("""COMPUTED_VALUE"""),"Fatal")</f>
        <v>Fatal</v>
      </c>
      <c r="C2194" s="5" t="str">
        <f ca="1">IFERROR(__xludf.DUMMYFUNCTION("""COMPUTED_VALUE"""),"Male")</f>
        <v>Male</v>
      </c>
      <c r="D2194" s="5" t="str">
        <f ca="1">IFERROR(__xludf.DUMMYFUNCTION("""COMPUTED_VALUE"""),"Student")</f>
        <v>Student</v>
      </c>
      <c r="E2194" s="5">
        <f ca="1">IFERROR(__xludf.DUMMYFUNCTION("""COMPUTED_VALUE"""),15)</f>
        <v>15</v>
      </c>
      <c r="F2194" s="5"/>
    </row>
    <row r="2195" spans="1:6">
      <c r="A2195" s="5" t="str">
        <f ca="1">IFERROR(__xludf.DUMMYFUNCTION("""COMPUTED_VALUE"""),"19931202CTNEN")</f>
        <v>19931202CTNEN</v>
      </c>
      <c r="B2195" s="5" t="str">
        <f ca="1">IFERROR(__xludf.DUMMYFUNCTION("""COMPUTED_VALUE"""),"Fatal")</f>
        <v>Fatal</v>
      </c>
      <c r="C2195" s="5" t="str">
        <f ca="1">IFERROR(__xludf.DUMMYFUNCTION("""COMPUTED_VALUE"""),"Male")</f>
        <v>Male</v>
      </c>
      <c r="D2195" s="5" t="str">
        <f ca="1">IFERROR(__xludf.DUMMYFUNCTION("""COMPUTED_VALUE"""),"Student")</f>
        <v>Student</v>
      </c>
      <c r="E2195" s="5">
        <f ca="1">IFERROR(__xludf.DUMMYFUNCTION("""COMPUTED_VALUE"""),18)</f>
        <v>18</v>
      </c>
      <c r="F2195" s="5" t="str">
        <f ca="1">IFERROR(__xludf.DUMMYFUNCTION("""COMPUTED_VALUE"""),"White")</f>
        <v>White</v>
      </c>
    </row>
    <row r="2196" spans="1:6">
      <c r="A2196" s="5" t="str">
        <f ca="1">IFERROR(__xludf.DUMMYFUNCTION("""COMPUTED_VALUE"""),"19931201WIWAW")</f>
        <v>19931201WIWAW</v>
      </c>
      <c r="B2196" s="5" t="str">
        <f ca="1">IFERROR(__xludf.DUMMYFUNCTION("""COMPUTED_VALUE"""),"Fatal")</f>
        <v>Fatal</v>
      </c>
      <c r="C2196" s="5" t="str">
        <f ca="1">IFERROR(__xludf.DUMMYFUNCTION("""COMPUTED_VALUE"""),"Male")</f>
        <v>Male</v>
      </c>
      <c r="D2196" s="5" t="str">
        <f ca="1">IFERROR(__xludf.DUMMYFUNCTION("""COMPUTED_VALUE"""),"Teacher")</f>
        <v>Teacher</v>
      </c>
      <c r="E2196" s="5">
        <f ca="1">IFERROR(__xludf.DUMMYFUNCTION("""COMPUTED_VALUE"""),46)</f>
        <v>46</v>
      </c>
      <c r="F2196" s="5"/>
    </row>
    <row r="2197" spans="1:6">
      <c r="A2197" s="5" t="str">
        <f ca="1">IFERROR(__xludf.DUMMYFUNCTION("""COMPUTED_VALUE"""),"19931111ILRIS")</f>
        <v>19931111ILRIS</v>
      </c>
      <c r="B2197" s="5" t="str">
        <f ca="1">IFERROR(__xludf.DUMMYFUNCTION("""COMPUTED_VALUE"""),"Fatal")</f>
        <v>Fatal</v>
      </c>
      <c r="C2197" s="5" t="str">
        <f ca="1">IFERROR(__xludf.DUMMYFUNCTION("""COMPUTED_VALUE"""),"Male")</f>
        <v>Male</v>
      </c>
      <c r="D2197" s="5" t="str">
        <f ca="1">IFERROR(__xludf.DUMMYFUNCTION("""COMPUTED_VALUE"""),"No Relation")</f>
        <v>No Relation</v>
      </c>
      <c r="E2197" s="5">
        <f ca="1">IFERROR(__xludf.DUMMYFUNCTION("""COMPUTED_VALUE"""),14)</f>
        <v>14</v>
      </c>
      <c r="F2197" s="5"/>
    </row>
    <row r="2198" spans="1:6">
      <c r="A2198" s="5" t="str">
        <f ca="1">IFERROR(__xludf.DUMMYFUNCTION("""COMPUTED_VALUE"""),"19931104MSBAB")</f>
        <v>19931104MSBAB</v>
      </c>
      <c r="B2198" s="5" t="str">
        <f ca="1">IFERROR(__xludf.DUMMYFUNCTION("""COMPUTED_VALUE"""),"Fatal")</f>
        <v>Fatal</v>
      </c>
      <c r="C2198" s="5" t="str">
        <f ca="1">IFERROR(__xludf.DUMMYFUNCTION("""COMPUTED_VALUE"""),"Male")</f>
        <v>Male</v>
      </c>
      <c r="D2198" s="5" t="str">
        <f ca="1">IFERROR(__xludf.DUMMYFUNCTION("""COMPUTED_VALUE"""),"Student")</f>
        <v>Student</v>
      </c>
      <c r="E2198" s="5">
        <f ca="1">IFERROR(__xludf.DUMMYFUNCTION("""COMPUTED_VALUE"""),16)</f>
        <v>16</v>
      </c>
      <c r="F2198" s="5"/>
    </row>
    <row r="2199" spans="1:6">
      <c r="A2199" s="5" t="str">
        <f ca="1">IFERROR(__xludf.DUMMYFUNCTION("""COMPUTED_VALUE"""),"19931104FLTEJ")</f>
        <v>19931104FLTEJ</v>
      </c>
      <c r="B2199" s="5" t="str">
        <f ca="1">IFERROR(__xludf.DUMMYFUNCTION("""COMPUTED_VALUE"""),"Fatal")</f>
        <v>Fatal</v>
      </c>
      <c r="C2199" s="5" t="str">
        <f ca="1">IFERROR(__xludf.DUMMYFUNCTION("""COMPUTED_VALUE"""),"Male")</f>
        <v>Male</v>
      </c>
      <c r="D2199" s="5" t="str">
        <f ca="1">IFERROR(__xludf.DUMMYFUNCTION("""COMPUTED_VALUE"""),"Student")</f>
        <v>Student</v>
      </c>
      <c r="E2199" s="5">
        <f ca="1">IFERROR(__xludf.DUMMYFUNCTION("""COMPUTED_VALUE"""),14)</f>
        <v>14</v>
      </c>
      <c r="F2199" s="5"/>
    </row>
    <row r="2200" spans="1:6">
      <c r="A2200" s="5" t="str">
        <f ca="1">IFERROR(__xludf.DUMMYFUNCTION("""COMPUTED_VALUE"""),"19931104CTNEN")</f>
        <v>19931104CTNEN</v>
      </c>
      <c r="B2200" s="5" t="str">
        <f ca="1">IFERROR(__xludf.DUMMYFUNCTION("""COMPUTED_VALUE"""),"Fatal")</f>
        <v>Fatal</v>
      </c>
      <c r="C2200" s="5" t="str">
        <f ca="1">IFERROR(__xludf.DUMMYFUNCTION("""COMPUTED_VALUE"""),"Male")</f>
        <v>Male</v>
      </c>
      <c r="D2200" s="5" t="str">
        <f ca="1">IFERROR(__xludf.DUMMYFUNCTION("""COMPUTED_VALUE"""),"Student")</f>
        <v>Student</v>
      </c>
      <c r="E2200" s="5">
        <f ca="1">IFERROR(__xludf.DUMMYFUNCTION("""COMPUTED_VALUE"""),18)</f>
        <v>18</v>
      </c>
      <c r="F2200" s="5"/>
    </row>
    <row r="2201" spans="1:6">
      <c r="A2201" s="5" t="str">
        <f ca="1">IFERROR(__xludf.DUMMYFUNCTION("""COMPUTED_VALUE"""),"19931101ILSUC")</f>
        <v>19931101ILSUC</v>
      </c>
      <c r="B2201" s="5" t="str">
        <f ca="1">IFERROR(__xludf.DUMMYFUNCTION("""COMPUTED_VALUE"""),"Fatal")</f>
        <v>Fatal</v>
      </c>
      <c r="C2201" s="5" t="str">
        <f ca="1">IFERROR(__xludf.DUMMYFUNCTION("""COMPUTED_VALUE"""),"Male")</f>
        <v>Male</v>
      </c>
      <c r="D2201" s="5" t="str">
        <f ca="1">IFERROR(__xludf.DUMMYFUNCTION("""COMPUTED_VALUE"""),"Student")</f>
        <v>Student</v>
      </c>
      <c r="E2201" s="5">
        <f ca="1">IFERROR(__xludf.DUMMYFUNCTION("""COMPUTED_VALUE"""),15)</f>
        <v>15</v>
      </c>
      <c r="F2201" s="5"/>
    </row>
    <row r="2202" spans="1:6">
      <c r="A2202" s="5" t="str">
        <f ca="1">IFERROR(__xludf.DUMMYFUNCTION("""COMPUTED_VALUE"""),"19931018DCJHW")</f>
        <v>19931018DCJHW</v>
      </c>
      <c r="B2202" s="5" t="str">
        <f ca="1">IFERROR(__xludf.DUMMYFUNCTION("""COMPUTED_VALUE"""),"Wounded")</f>
        <v>Wounded</v>
      </c>
      <c r="C2202" s="5" t="str">
        <f ca="1">IFERROR(__xludf.DUMMYFUNCTION("""COMPUTED_VALUE"""),"Male")</f>
        <v>Male</v>
      </c>
      <c r="D2202" s="5" t="str">
        <f ca="1">IFERROR(__xludf.DUMMYFUNCTION("""COMPUTED_VALUE"""),"Student")</f>
        <v>Student</v>
      </c>
      <c r="E2202" s="5">
        <f ca="1">IFERROR(__xludf.DUMMYFUNCTION("""COMPUTED_VALUE"""),13)</f>
        <v>13</v>
      </c>
      <c r="F2202" s="5"/>
    </row>
    <row r="2203" spans="1:6">
      <c r="A2203" s="5" t="str">
        <f ca="1">IFERROR(__xludf.DUMMYFUNCTION("""COMPUTED_VALUE"""),"19931012DEDON")</f>
        <v>19931012DEDON</v>
      </c>
      <c r="B2203" s="5" t="str">
        <f ca="1">IFERROR(__xludf.DUMMYFUNCTION("""COMPUTED_VALUE"""),"None")</f>
        <v>None</v>
      </c>
      <c r="C2203" s="5" t="str">
        <f ca="1">IFERROR(__xludf.DUMMYFUNCTION("""COMPUTED_VALUE"""),"Female")</f>
        <v>Female</v>
      </c>
      <c r="D2203" s="5" t="str">
        <f ca="1">IFERROR(__xludf.DUMMYFUNCTION("""COMPUTED_VALUE"""),"Student")</f>
        <v>Student</v>
      </c>
      <c r="E2203" s="5">
        <f ca="1">IFERROR(__xludf.DUMMYFUNCTION("""COMPUTED_VALUE"""),16)</f>
        <v>16</v>
      </c>
      <c r="F2203" s="5"/>
    </row>
    <row r="2204" spans="1:6">
      <c r="A2204" s="5" t="str">
        <f ca="1">IFERROR(__xludf.DUMMYFUNCTION("""COMPUTED_VALUE"""),"19930928MSCOG")</f>
        <v>19930928MSCOG</v>
      </c>
      <c r="B2204" s="5" t="str">
        <f ca="1">IFERROR(__xludf.DUMMYFUNCTION("""COMPUTED_VALUE"""),"Fatal")</f>
        <v>Fatal</v>
      </c>
      <c r="C2204" s="5" t="str">
        <f ca="1">IFERROR(__xludf.DUMMYFUNCTION("""COMPUTED_VALUE"""),"Male")</f>
        <v>Male</v>
      </c>
      <c r="D2204" s="5" t="str">
        <f ca="1">IFERROR(__xludf.DUMMYFUNCTION("""COMPUTED_VALUE"""),"Student")</f>
        <v>Student</v>
      </c>
      <c r="E2204" s="5" t="str">
        <f ca="1">IFERROR(__xludf.DUMMYFUNCTION("""COMPUTED_VALUE"""),"Teen")</f>
        <v>Teen</v>
      </c>
      <c r="F2204" s="5"/>
    </row>
    <row r="2205" spans="1:6">
      <c r="A2205" s="5" t="str">
        <f ca="1">IFERROR(__xludf.DUMMYFUNCTION("""COMPUTED_VALUE"""),"19930925DCWEW")</f>
        <v>19930925DCWEW</v>
      </c>
      <c r="B2205" s="5" t="str">
        <f ca="1">IFERROR(__xludf.DUMMYFUNCTION("""COMPUTED_VALUE"""),"Fatal")</f>
        <v>Fatal</v>
      </c>
      <c r="C2205" s="5" t="str">
        <f ca="1">IFERROR(__xludf.DUMMYFUNCTION("""COMPUTED_VALUE"""),"Female")</f>
        <v>Female</v>
      </c>
      <c r="D2205" s="5" t="str">
        <f ca="1">IFERROR(__xludf.DUMMYFUNCTION("""COMPUTED_VALUE"""),"No Relation")</f>
        <v>No Relation</v>
      </c>
      <c r="E2205" s="5">
        <f ca="1">IFERROR(__xludf.DUMMYFUNCTION("""COMPUTED_VALUE"""),4)</f>
        <v>4</v>
      </c>
      <c r="F2205" s="5"/>
    </row>
    <row r="2206" spans="1:6">
      <c r="A2206" s="5" t="str">
        <f ca="1">IFERROR(__xludf.DUMMYFUNCTION("""COMPUTED_VALUE"""),"19930925DCWEW")</f>
        <v>19930925DCWEW</v>
      </c>
      <c r="B2206" s="5" t="str">
        <f ca="1">IFERROR(__xludf.DUMMYFUNCTION("""COMPUTED_VALUE"""),"Fatal")</f>
        <v>Fatal</v>
      </c>
      <c r="C2206" s="5" t="str">
        <f ca="1">IFERROR(__xludf.DUMMYFUNCTION("""COMPUTED_VALUE"""),"Male")</f>
        <v>Male</v>
      </c>
      <c r="D2206" s="5" t="str">
        <f ca="1">IFERROR(__xludf.DUMMYFUNCTION("""COMPUTED_VALUE"""),"No Relation")</f>
        <v>No Relation</v>
      </c>
      <c r="E2206" s="5">
        <f ca="1">IFERROR(__xludf.DUMMYFUNCTION("""COMPUTED_VALUE"""),23)</f>
        <v>23</v>
      </c>
      <c r="F2206" s="5"/>
    </row>
    <row r="2207" spans="1:6">
      <c r="A2207" s="5" t="str">
        <f ca="1">IFERROR(__xludf.DUMMYFUNCTION("""COMPUTED_VALUE"""),"19930917WYCES")</f>
        <v>19930917WYCES</v>
      </c>
      <c r="B2207" s="5" t="str">
        <f ca="1">IFERROR(__xludf.DUMMYFUNCTION("""COMPUTED_VALUE"""),"Minor Injuries")</f>
        <v>Minor Injuries</v>
      </c>
      <c r="C2207" s="5" t="str">
        <f ca="1">IFERROR(__xludf.DUMMYFUNCTION("""COMPUTED_VALUE"""),"Male")</f>
        <v>Male</v>
      </c>
      <c r="D2207" s="5" t="str">
        <f ca="1">IFERROR(__xludf.DUMMYFUNCTION("""COMPUTED_VALUE"""),"Student")</f>
        <v>Student</v>
      </c>
      <c r="E2207" s="5" t="str">
        <f ca="1">IFERROR(__xludf.DUMMYFUNCTION("""COMPUTED_VALUE"""),"Teen")</f>
        <v>Teen</v>
      </c>
      <c r="F2207" s="5"/>
    </row>
    <row r="2208" spans="1:6">
      <c r="A2208" s="5" t="str">
        <f ca="1">IFERROR(__xludf.DUMMYFUNCTION("""COMPUTED_VALUE"""),"19930917WYCES")</f>
        <v>19930917WYCES</v>
      </c>
      <c r="B2208" s="5" t="str">
        <f ca="1">IFERROR(__xludf.DUMMYFUNCTION("""COMPUTED_VALUE"""),"Minor Injuries")</f>
        <v>Minor Injuries</v>
      </c>
      <c r="C2208" s="5" t="str">
        <f ca="1">IFERROR(__xludf.DUMMYFUNCTION("""COMPUTED_VALUE"""),"Male")</f>
        <v>Male</v>
      </c>
      <c r="D2208" s="5" t="str">
        <f ca="1">IFERROR(__xludf.DUMMYFUNCTION("""COMPUTED_VALUE"""),"Student")</f>
        <v>Student</v>
      </c>
      <c r="E2208" s="5" t="str">
        <f ca="1">IFERROR(__xludf.DUMMYFUNCTION("""COMPUTED_VALUE"""),"Teen")</f>
        <v>Teen</v>
      </c>
      <c r="F2208" s="5"/>
    </row>
    <row r="2209" spans="1:6">
      <c r="A2209" s="5" t="str">
        <f ca="1">IFERROR(__xludf.DUMMYFUNCTION("""COMPUTED_VALUE"""),"19930917WYCES")</f>
        <v>19930917WYCES</v>
      </c>
      <c r="B2209" s="5" t="str">
        <f ca="1">IFERROR(__xludf.DUMMYFUNCTION("""COMPUTED_VALUE"""),"Minor Injuries")</f>
        <v>Minor Injuries</v>
      </c>
      <c r="C2209" s="5" t="str">
        <f ca="1">IFERROR(__xludf.DUMMYFUNCTION("""COMPUTED_VALUE"""),"Male")</f>
        <v>Male</v>
      </c>
      <c r="D2209" s="5" t="str">
        <f ca="1">IFERROR(__xludf.DUMMYFUNCTION("""COMPUTED_VALUE"""),"Student")</f>
        <v>Student</v>
      </c>
      <c r="E2209" s="5" t="str">
        <f ca="1">IFERROR(__xludf.DUMMYFUNCTION("""COMPUTED_VALUE"""),"Teen")</f>
        <v>Teen</v>
      </c>
      <c r="F2209" s="5"/>
    </row>
    <row r="2210" spans="1:6">
      <c r="A2210" s="5" t="str">
        <f ca="1">IFERROR(__xludf.DUMMYFUNCTION("""COMPUTED_VALUE"""),"19930917WYCES")</f>
        <v>19930917WYCES</v>
      </c>
      <c r="B2210" s="5" t="str">
        <f ca="1">IFERROR(__xludf.DUMMYFUNCTION("""COMPUTED_VALUE"""),"Minor Injuries")</f>
        <v>Minor Injuries</v>
      </c>
      <c r="C2210" s="5" t="str">
        <f ca="1">IFERROR(__xludf.DUMMYFUNCTION("""COMPUTED_VALUE"""),"Female")</f>
        <v>Female</v>
      </c>
      <c r="D2210" s="5" t="str">
        <f ca="1">IFERROR(__xludf.DUMMYFUNCTION("""COMPUTED_VALUE"""),"Student")</f>
        <v>Student</v>
      </c>
      <c r="E2210" s="5" t="str">
        <f ca="1">IFERROR(__xludf.DUMMYFUNCTION("""COMPUTED_VALUE"""),"Teen")</f>
        <v>Teen</v>
      </c>
      <c r="F2210" s="5"/>
    </row>
    <row r="2211" spans="1:6">
      <c r="A2211" s="5" t="str">
        <f ca="1">IFERROR(__xludf.DUMMYFUNCTION("""COMPUTED_VALUE"""),"19930917ILDOD")</f>
        <v>19930917ILDOD</v>
      </c>
      <c r="B2211" s="5" t="str">
        <f ca="1">IFERROR(__xludf.DUMMYFUNCTION("""COMPUTED_VALUE"""),"Fatal")</f>
        <v>Fatal</v>
      </c>
      <c r="C2211" s="5" t="str">
        <f ca="1">IFERROR(__xludf.DUMMYFUNCTION("""COMPUTED_VALUE"""),"Male")</f>
        <v>Male</v>
      </c>
      <c r="D2211" s="5" t="str">
        <f ca="1">IFERROR(__xludf.DUMMYFUNCTION("""COMPUTED_VALUE"""),"Nonstudent Using Athletic Facilities/Attending Game")</f>
        <v>Nonstudent Using Athletic Facilities/Attending Game</v>
      </c>
      <c r="E2211" s="5" t="str">
        <f ca="1">IFERROR(__xludf.DUMMYFUNCTION("""COMPUTED_VALUE"""),"Teen")</f>
        <v>Teen</v>
      </c>
      <c r="F2211" s="5"/>
    </row>
    <row r="2212" spans="1:6">
      <c r="A2212" s="5" t="str">
        <f ca="1">IFERROR(__xludf.DUMMYFUNCTION("""COMPUTED_VALUE"""),"19930916ILROC")</f>
        <v>19930916ILROC</v>
      </c>
      <c r="B2212" s="5" t="str">
        <f ca="1">IFERROR(__xludf.DUMMYFUNCTION("""COMPUTED_VALUE"""),"Fatal")</f>
        <v>Fatal</v>
      </c>
      <c r="C2212" s="5"/>
      <c r="D2212" s="5"/>
      <c r="E2212" s="5" t="str">
        <f ca="1">IFERROR(__xludf.DUMMYFUNCTION("""COMPUTED_VALUE"""),"Teen")</f>
        <v>Teen</v>
      </c>
      <c r="F2212" s="5"/>
    </row>
    <row r="2213" spans="1:6">
      <c r="A2213" s="5" t="str">
        <f ca="1">IFERROR(__xludf.DUMMYFUNCTION("""COMPUTED_VALUE"""),"19930902TXROD")</f>
        <v>19930902TXROD</v>
      </c>
      <c r="B2213" s="5" t="str">
        <f ca="1">IFERROR(__xludf.DUMMYFUNCTION("""COMPUTED_VALUE"""),"Fatal")</f>
        <v>Fatal</v>
      </c>
      <c r="C2213" s="5" t="str">
        <f ca="1">IFERROR(__xludf.DUMMYFUNCTION("""COMPUTED_VALUE"""),"Male")</f>
        <v>Male</v>
      </c>
      <c r="D2213" s="5" t="str">
        <f ca="1">IFERROR(__xludf.DUMMYFUNCTION("""COMPUTED_VALUE"""),"Student")</f>
        <v>Student</v>
      </c>
      <c r="E2213" s="5">
        <f ca="1">IFERROR(__xludf.DUMMYFUNCTION("""COMPUTED_VALUE"""),15)</f>
        <v>15</v>
      </c>
      <c r="F2213" s="5" t="str">
        <f ca="1">IFERROR(__xludf.DUMMYFUNCTION("""COMPUTED_VALUE"""),"Black")</f>
        <v>Black</v>
      </c>
    </row>
    <row r="2214" spans="1:6">
      <c r="A2214" s="5" t="str">
        <f ca="1">IFERROR(__xludf.DUMMYFUNCTION("""COMPUTED_VALUE"""),"19930901KSJUJ")</f>
        <v>19930901KSJUJ</v>
      </c>
      <c r="B2214" s="5" t="str">
        <f ca="1">IFERROR(__xludf.DUMMYFUNCTION("""COMPUTED_VALUE"""),"Wounded")</f>
        <v>Wounded</v>
      </c>
      <c r="C2214" s="5" t="str">
        <f ca="1">IFERROR(__xludf.DUMMYFUNCTION("""COMPUTED_VALUE"""),"Female")</f>
        <v>Female</v>
      </c>
      <c r="D2214" s="5" t="str">
        <f ca="1">IFERROR(__xludf.DUMMYFUNCTION("""COMPUTED_VALUE"""),"Student")</f>
        <v>Student</v>
      </c>
      <c r="E2214" s="5">
        <f ca="1">IFERROR(__xludf.DUMMYFUNCTION("""COMPUTED_VALUE"""),14)</f>
        <v>14</v>
      </c>
      <c r="F2214" s="5"/>
    </row>
    <row r="2215" spans="1:6">
      <c r="A2215" s="5" t="str">
        <f ca="1">IFERROR(__xludf.DUMMYFUNCTION("""COMPUTED_VALUE"""),"19930831GAHAA")</f>
        <v>19930831GAHAA</v>
      </c>
      <c r="B2215" s="5" t="str">
        <f ca="1">IFERROR(__xludf.DUMMYFUNCTION("""COMPUTED_VALUE"""),"Fatal")</f>
        <v>Fatal</v>
      </c>
      <c r="C2215" s="5" t="str">
        <f ca="1">IFERROR(__xludf.DUMMYFUNCTION("""COMPUTED_VALUE"""),"Male")</f>
        <v>Male</v>
      </c>
      <c r="D2215" s="5" t="str">
        <f ca="1">IFERROR(__xludf.DUMMYFUNCTION("""COMPUTED_VALUE"""),"Student")</f>
        <v>Student</v>
      </c>
      <c r="E2215" s="5">
        <f ca="1">IFERROR(__xludf.DUMMYFUNCTION("""COMPUTED_VALUE"""),15)</f>
        <v>15</v>
      </c>
      <c r="F2215" s="5" t="str">
        <f ca="1">IFERROR(__xludf.DUMMYFUNCTION("""COMPUTED_VALUE"""),"Black")</f>
        <v>Black</v>
      </c>
    </row>
    <row r="2216" spans="1:6">
      <c r="A2216" s="5" t="str">
        <f ca="1">IFERROR(__xludf.DUMMYFUNCTION("""COMPUTED_VALUE"""),"19930803NYTHN")</f>
        <v>19930803NYTHN</v>
      </c>
      <c r="B2216" s="5" t="str">
        <f ca="1">IFERROR(__xludf.DUMMYFUNCTION("""COMPUTED_VALUE"""),"Wounded")</f>
        <v>Wounded</v>
      </c>
      <c r="C2216" s="5" t="str">
        <f ca="1">IFERROR(__xludf.DUMMYFUNCTION("""COMPUTED_VALUE"""),"Male")</f>
        <v>Male</v>
      </c>
      <c r="D2216" s="5" t="str">
        <f ca="1">IFERROR(__xludf.DUMMYFUNCTION("""COMPUTED_VALUE"""),"Student")</f>
        <v>Student</v>
      </c>
      <c r="E2216" s="5">
        <f ca="1">IFERROR(__xludf.DUMMYFUNCTION("""COMPUTED_VALUE"""),18)</f>
        <v>18</v>
      </c>
      <c r="F2216" s="5"/>
    </row>
    <row r="2217" spans="1:6">
      <c r="A2217" s="5" t="str">
        <f ca="1">IFERROR(__xludf.DUMMYFUNCTION("""COMPUTED_VALUE"""),"19930707CADOL")</f>
        <v>19930707CADOL</v>
      </c>
      <c r="B2217" s="5" t="str">
        <f ca="1">IFERROR(__xludf.DUMMYFUNCTION("""COMPUTED_VALUE"""),"Fatal")</f>
        <v>Fatal</v>
      </c>
      <c r="C2217" s="5" t="str">
        <f ca="1">IFERROR(__xludf.DUMMYFUNCTION("""COMPUTED_VALUE"""),"Male")</f>
        <v>Male</v>
      </c>
      <c r="D2217" s="5" t="str">
        <f ca="1">IFERROR(__xludf.DUMMYFUNCTION("""COMPUTED_VALUE"""),"Student")</f>
        <v>Student</v>
      </c>
      <c r="E2217" s="5">
        <f ca="1">IFERROR(__xludf.DUMMYFUNCTION("""COMPUTED_VALUE"""),15)</f>
        <v>15</v>
      </c>
      <c r="F2217" s="5"/>
    </row>
    <row r="2218" spans="1:6">
      <c r="A2218" s="5" t="str">
        <f ca="1">IFERROR(__xludf.DUMMYFUNCTION("""COMPUTED_VALUE"""),"19930527LAFRN")</f>
        <v>19930527LAFRN</v>
      </c>
      <c r="B2218" s="5" t="str">
        <f ca="1">IFERROR(__xludf.DUMMYFUNCTION("""COMPUTED_VALUE"""),"Fatal")</f>
        <v>Fatal</v>
      </c>
      <c r="C2218" s="5" t="str">
        <f ca="1">IFERROR(__xludf.DUMMYFUNCTION("""COMPUTED_VALUE"""),"Male")</f>
        <v>Male</v>
      </c>
      <c r="D2218" s="5" t="str">
        <f ca="1">IFERROR(__xludf.DUMMYFUNCTION("""COMPUTED_VALUE"""),"Former Student")</f>
        <v>Former Student</v>
      </c>
      <c r="E2218" s="5">
        <f ca="1">IFERROR(__xludf.DUMMYFUNCTION("""COMPUTED_VALUE"""),15)</f>
        <v>15</v>
      </c>
      <c r="F2218" s="5" t="str">
        <f ca="1">IFERROR(__xludf.DUMMYFUNCTION("""COMPUTED_VALUE"""),"Black")</f>
        <v>Black</v>
      </c>
    </row>
    <row r="2219" spans="1:6">
      <c r="A2219" s="5" t="str">
        <f ca="1">IFERROR(__xludf.DUMMYFUNCTION("""COMPUTED_VALUE"""),"19930524PAUPP")</f>
        <v>19930524PAUPP</v>
      </c>
      <c r="B2219" s="5" t="str">
        <f ca="1">IFERROR(__xludf.DUMMYFUNCTION("""COMPUTED_VALUE"""),"Fatal")</f>
        <v>Fatal</v>
      </c>
      <c r="C2219" s="5" t="str">
        <f ca="1">IFERROR(__xludf.DUMMYFUNCTION("""COMPUTED_VALUE"""),"Male")</f>
        <v>Male</v>
      </c>
      <c r="D2219" s="5" t="str">
        <f ca="1">IFERROR(__xludf.DUMMYFUNCTION("""COMPUTED_VALUE"""),"Student")</f>
        <v>Student</v>
      </c>
      <c r="E2219" s="5">
        <f ca="1">IFERROR(__xludf.DUMMYFUNCTION("""COMPUTED_VALUE"""),16)</f>
        <v>16</v>
      </c>
      <c r="F2219" s="5"/>
    </row>
    <row r="2220" spans="1:6">
      <c r="A2220" s="5" t="str">
        <f ca="1">IFERROR(__xludf.DUMMYFUNCTION("""COMPUTED_VALUE"""),"19930514TXNII")</f>
        <v>19930514TXNII</v>
      </c>
      <c r="B2220" s="5" t="str">
        <f ca="1">IFERROR(__xludf.DUMMYFUNCTION("""COMPUTED_VALUE"""),"Fatal")</f>
        <v>Fatal</v>
      </c>
      <c r="C2220" s="5" t="str">
        <f ca="1">IFERROR(__xludf.DUMMYFUNCTION("""COMPUTED_VALUE"""),"Male")</f>
        <v>Male</v>
      </c>
      <c r="D2220" s="5" t="str">
        <f ca="1">IFERROR(__xludf.DUMMYFUNCTION("""COMPUTED_VALUE"""),"Student")</f>
        <v>Student</v>
      </c>
      <c r="E2220" s="5">
        <f ca="1">IFERROR(__xludf.DUMMYFUNCTION("""COMPUTED_VALUE"""),17)</f>
        <v>17</v>
      </c>
      <c r="F2220" s="5"/>
    </row>
    <row r="2221" spans="1:6">
      <c r="A2221" s="5" t="str">
        <f ca="1">IFERROR(__xludf.DUMMYFUNCTION("""COMPUTED_VALUE"""),"19930416WAMOT")</f>
        <v>19930416WAMOT</v>
      </c>
      <c r="B2221" s="5" t="str">
        <f ca="1">IFERROR(__xludf.DUMMYFUNCTION("""COMPUTED_VALUE"""),"None")</f>
        <v>None</v>
      </c>
      <c r="C2221" s="5" t="str">
        <f ca="1">IFERROR(__xludf.DUMMYFUNCTION("""COMPUTED_VALUE"""),"Female")</f>
        <v>Female</v>
      </c>
      <c r="D2221" s="5" t="str">
        <f ca="1">IFERROR(__xludf.DUMMYFUNCTION("""COMPUTED_VALUE"""),"No Relation")</f>
        <v>No Relation</v>
      </c>
      <c r="E2221" s="5">
        <f ca="1">IFERROR(__xludf.DUMMYFUNCTION("""COMPUTED_VALUE"""),33)</f>
        <v>33</v>
      </c>
      <c r="F2221" s="5"/>
    </row>
    <row r="2222" spans="1:6">
      <c r="A2222" s="5" t="str">
        <f ca="1">IFERROR(__xludf.DUMMYFUNCTION("""COMPUTED_VALUE"""),"19930416CAGRS")</f>
        <v>19930416CAGRS</v>
      </c>
      <c r="B2222" s="5" t="str">
        <f ca="1">IFERROR(__xludf.DUMMYFUNCTION("""COMPUTED_VALUE"""),"Fatal")</f>
        <v>Fatal</v>
      </c>
      <c r="C2222" s="5" t="str">
        <f ca="1">IFERROR(__xludf.DUMMYFUNCTION("""COMPUTED_VALUE"""),"Male")</f>
        <v>Male</v>
      </c>
      <c r="D2222" s="5" t="str">
        <f ca="1">IFERROR(__xludf.DUMMYFUNCTION("""COMPUTED_VALUE"""),"Other Staff")</f>
        <v>Other Staff</v>
      </c>
      <c r="E2222" s="5">
        <f ca="1">IFERROR(__xludf.DUMMYFUNCTION("""COMPUTED_VALUE"""),43)</f>
        <v>43</v>
      </c>
      <c r="F2222" s="5"/>
    </row>
    <row r="2223" spans="1:6">
      <c r="A2223" s="5" t="str">
        <f ca="1">IFERROR(__xludf.DUMMYFUNCTION("""COMPUTED_VALUE"""),"19930415MAFOA")</f>
        <v>19930415MAFOA</v>
      </c>
      <c r="B2223" s="5" t="str">
        <f ca="1">IFERROR(__xludf.DUMMYFUNCTION("""COMPUTED_VALUE"""),"Fatal")</f>
        <v>Fatal</v>
      </c>
      <c r="C2223" s="5" t="str">
        <f ca="1">IFERROR(__xludf.DUMMYFUNCTION("""COMPUTED_VALUE"""),"Female")</f>
        <v>Female</v>
      </c>
      <c r="D2223" s="5" t="str">
        <f ca="1">IFERROR(__xludf.DUMMYFUNCTION("""COMPUTED_VALUE"""),"Other Staff")</f>
        <v>Other Staff</v>
      </c>
      <c r="E2223" s="5">
        <f ca="1">IFERROR(__xludf.DUMMYFUNCTION("""COMPUTED_VALUE"""),52)</f>
        <v>52</v>
      </c>
      <c r="F2223" s="5"/>
    </row>
    <row r="2224" spans="1:6">
      <c r="A2224" s="5" t="str">
        <f ca="1">IFERROR(__xludf.DUMMYFUNCTION("""COMPUTED_VALUE"""),"19930403CAGRS")</f>
        <v>19930403CAGRS</v>
      </c>
      <c r="B2224" s="5" t="str">
        <f ca="1">IFERROR(__xludf.DUMMYFUNCTION("""COMPUTED_VALUE"""),"Fatal")</f>
        <v>Fatal</v>
      </c>
      <c r="C2224" s="5" t="str">
        <f ca="1">IFERROR(__xludf.DUMMYFUNCTION("""COMPUTED_VALUE"""),"Male")</f>
        <v>Male</v>
      </c>
      <c r="D2224" s="5" t="str">
        <f ca="1">IFERROR(__xludf.DUMMYFUNCTION("""COMPUTED_VALUE"""),"Student")</f>
        <v>Student</v>
      </c>
      <c r="E2224" s="5">
        <f ca="1">IFERROR(__xludf.DUMMYFUNCTION("""COMPUTED_VALUE"""),16)</f>
        <v>16</v>
      </c>
      <c r="F2224" s="5"/>
    </row>
    <row r="2225" spans="1:6">
      <c r="A2225" s="5" t="str">
        <f ca="1">IFERROR(__xludf.DUMMYFUNCTION("""COMPUTED_VALUE"""),"19930403CAGRS")</f>
        <v>19930403CAGRS</v>
      </c>
      <c r="B2225" s="5" t="str">
        <f ca="1">IFERROR(__xludf.DUMMYFUNCTION("""COMPUTED_VALUE"""),"Wounded")</f>
        <v>Wounded</v>
      </c>
      <c r="C2225" s="5" t="str">
        <f ca="1">IFERROR(__xludf.DUMMYFUNCTION("""COMPUTED_VALUE"""),"Male")</f>
        <v>Male</v>
      </c>
      <c r="D2225" s="5" t="str">
        <f ca="1">IFERROR(__xludf.DUMMYFUNCTION("""COMPUTED_VALUE"""),"Student")</f>
        <v>Student</v>
      </c>
      <c r="E2225" s="5">
        <f ca="1">IFERROR(__xludf.DUMMYFUNCTION("""COMPUTED_VALUE"""),18)</f>
        <v>18</v>
      </c>
      <c r="F2225" s="5"/>
    </row>
    <row r="2226" spans="1:6">
      <c r="A2226" s="5" t="str">
        <f ca="1">IFERROR(__xludf.DUMMYFUNCTION("""COMPUTED_VALUE"""),"19930325MOSUS")</f>
        <v>19930325MOSUS</v>
      </c>
      <c r="B2226" s="5" t="str">
        <f ca="1">IFERROR(__xludf.DUMMYFUNCTION("""COMPUTED_VALUE"""),"Fatal")</f>
        <v>Fatal</v>
      </c>
      <c r="C2226" s="5" t="str">
        <f ca="1">IFERROR(__xludf.DUMMYFUNCTION("""COMPUTED_VALUE"""),"Male")</f>
        <v>Male</v>
      </c>
      <c r="D2226" s="5" t="str">
        <f ca="1">IFERROR(__xludf.DUMMYFUNCTION("""COMPUTED_VALUE"""),"Student")</f>
        <v>Student</v>
      </c>
      <c r="E2226" s="5">
        <f ca="1">IFERROR(__xludf.DUMMYFUNCTION("""COMPUTED_VALUE"""),17)</f>
        <v>17</v>
      </c>
      <c r="F2226" s="5"/>
    </row>
    <row r="2227" spans="1:6">
      <c r="A2227" s="5" t="str">
        <f ca="1">IFERROR(__xludf.DUMMYFUNCTION("""COMPUTED_VALUE"""),"19930318GAHAH")</f>
        <v>19930318GAHAH</v>
      </c>
      <c r="B2227" s="5" t="str">
        <f ca="1">IFERROR(__xludf.DUMMYFUNCTION("""COMPUTED_VALUE"""),"Wounded")</f>
        <v>Wounded</v>
      </c>
      <c r="C2227" s="5" t="str">
        <f ca="1">IFERROR(__xludf.DUMMYFUNCTION("""COMPUTED_VALUE"""),"Male")</f>
        <v>Male</v>
      </c>
      <c r="D2227" s="5" t="str">
        <f ca="1">IFERROR(__xludf.DUMMYFUNCTION("""COMPUTED_VALUE"""),"Student")</f>
        <v>Student</v>
      </c>
      <c r="E2227" s="5">
        <f ca="1">IFERROR(__xludf.DUMMYFUNCTION("""COMPUTED_VALUE"""),15)</f>
        <v>15</v>
      </c>
      <c r="F2227" s="5"/>
    </row>
    <row r="2228" spans="1:6">
      <c r="A2228" s="5" t="str">
        <f ca="1">IFERROR(__xludf.DUMMYFUNCTION("""COMPUTED_VALUE"""),"19930318GAHAH")</f>
        <v>19930318GAHAH</v>
      </c>
      <c r="B2228" s="5" t="str">
        <f ca="1">IFERROR(__xludf.DUMMYFUNCTION("""COMPUTED_VALUE"""),"Fatal")</f>
        <v>Fatal</v>
      </c>
      <c r="C2228" s="5" t="str">
        <f ca="1">IFERROR(__xludf.DUMMYFUNCTION("""COMPUTED_VALUE"""),"Male")</f>
        <v>Male</v>
      </c>
      <c r="D2228" s="5" t="str">
        <f ca="1">IFERROR(__xludf.DUMMYFUNCTION("""COMPUTED_VALUE"""),"Student")</f>
        <v>Student</v>
      </c>
      <c r="E2228" s="5">
        <f ca="1">IFERROR(__xludf.DUMMYFUNCTION("""COMPUTED_VALUE"""),17)</f>
        <v>17</v>
      </c>
      <c r="F2228" s="5"/>
    </row>
    <row r="2229" spans="1:6">
      <c r="A2229" s="5" t="str">
        <f ca="1">IFERROR(__xludf.DUMMYFUNCTION("""COMPUTED_VALUE"""),"19930308VADOD")</f>
        <v>19930308VADOD</v>
      </c>
      <c r="B2229" s="5" t="str">
        <f ca="1">IFERROR(__xludf.DUMMYFUNCTION("""COMPUTED_VALUE"""),"Fatal")</f>
        <v>Fatal</v>
      </c>
      <c r="C2229" s="5" t="str">
        <f ca="1">IFERROR(__xludf.DUMMYFUNCTION("""COMPUTED_VALUE"""),"Female")</f>
        <v>Female</v>
      </c>
      <c r="D2229" s="5" t="str">
        <f ca="1">IFERROR(__xludf.DUMMYFUNCTION("""COMPUTED_VALUE"""),"Teacher")</f>
        <v>Teacher</v>
      </c>
      <c r="E2229" s="5">
        <f ca="1">IFERROR(__xludf.DUMMYFUNCTION("""COMPUTED_VALUE"""),45)</f>
        <v>45</v>
      </c>
      <c r="F2229" s="5" t="str">
        <f ca="1">IFERROR(__xludf.DUMMYFUNCTION("""COMPUTED_VALUE"""),"White")</f>
        <v>White</v>
      </c>
    </row>
    <row r="2230" spans="1:6">
      <c r="A2230" s="5" t="str">
        <f ca="1">IFERROR(__xludf.DUMMYFUNCTION("""COMPUTED_VALUE"""),"19930226MAGLG")</f>
        <v>19930226MAGLG</v>
      </c>
      <c r="B2230" s="5" t="str">
        <f ca="1">IFERROR(__xludf.DUMMYFUNCTION("""COMPUTED_VALUE"""),"None")</f>
        <v>None</v>
      </c>
      <c r="C2230" s="5" t="str">
        <f ca="1">IFERROR(__xludf.DUMMYFUNCTION("""COMPUTED_VALUE"""),"Male")</f>
        <v>Male</v>
      </c>
      <c r="D2230" s="5" t="str">
        <f ca="1">IFERROR(__xludf.DUMMYFUNCTION("""COMPUTED_VALUE"""),"Student")</f>
        <v>Student</v>
      </c>
      <c r="E2230" s="5">
        <f ca="1">IFERROR(__xludf.DUMMYFUNCTION("""COMPUTED_VALUE"""),15)</f>
        <v>15</v>
      </c>
      <c r="F2230" s="5"/>
    </row>
    <row r="2231" spans="1:6">
      <c r="A2231" s="5" t="str">
        <f ca="1">IFERROR(__xludf.DUMMYFUNCTION("""COMPUTED_VALUE"""),"19930222CAREL")</f>
        <v>19930222CAREL</v>
      </c>
      <c r="B2231" s="5" t="str">
        <f ca="1">IFERROR(__xludf.DUMMYFUNCTION("""COMPUTED_VALUE"""),"Fatal")</f>
        <v>Fatal</v>
      </c>
      <c r="C2231" s="5" t="str">
        <f ca="1">IFERROR(__xludf.DUMMYFUNCTION("""COMPUTED_VALUE"""),"Male")</f>
        <v>Male</v>
      </c>
      <c r="D2231" s="5" t="str">
        <f ca="1">IFERROR(__xludf.DUMMYFUNCTION("""COMPUTED_VALUE"""),"Student")</f>
        <v>Student</v>
      </c>
      <c r="E2231" s="5">
        <f ca="1">IFERROR(__xludf.DUMMYFUNCTION("""COMPUTED_VALUE"""),17)</f>
        <v>17</v>
      </c>
      <c r="F2231" s="5"/>
    </row>
    <row r="2232" spans="1:6">
      <c r="A2232" s="5" t="str">
        <f ca="1">IFERROR(__xludf.DUMMYFUNCTION("""COMPUTED_VALUE"""),"19930208MNMIM")</f>
        <v>19930208MNMIM</v>
      </c>
      <c r="B2232" s="5" t="str">
        <f ca="1">IFERROR(__xludf.DUMMYFUNCTION("""COMPUTED_VALUE"""),"None")</f>
        <v>None</v>
      </c>
      <c r="C2232" s="5" t="str">
        <f ca="1">IFERROR(__xludf.DUMMYFUNCTION("""COMPUTED_VALUE"""),"Male")</f>
        <v>Male</v>
      </c>
      <c r="D2232" s="5" t="str">
        <f ca="1">IFERROR(__xludf.DUMMYFUNCTION("""COMPUTED_VALUE"""),"Student")</f>
        <v>Student</v>
      </c>
      <c r="E2232" s="5">
        <f ca="1">IFERROR(__xludf.DUMMYFUNCTION("""COMPUTED_VALUE"""),14)</f>
        <v>14</v>
      </c>
      <c r="F2232" s="5"/>
    </row>
    <row r="2233" spans="1:6">
      <c r="A2233" s="5" t="str">
        <f ca="1">IFERROR(__xludf.DUMMYFUNCTION("""COMPUTED_VALUE"""),"19930208DCWAW")</f>
        <v>19930208DCWAW</v>
      </c>
      <c r="B2233" s="5" t="str">
        <f ca="1">IFERROR(__xludf.DUMMYFUNCTION("""COMPUTED_VALUE"""),"Fatal")</f>
        <v>Fatal</v>
      </c>
      <c r="C2233" s="5" t="str">
        <f ca="1">IFERROR(__xludf.DUMMYFUNCTION("""COMPUTED_VALUE"""),"Male")</f>
        <v>Male</v>
      </c>
      <c r="D2233" s="5" t="str">
        <f ca="1">IFERROR(__xludf.DUMMYFUNCTION("""COMPUTED_VALUE"""),"Student")</f>
        <v>Student</v>
      </c>
      <c r="E2233" s="5">
        <f ca="1">IFERROR(__xludf.DUMMYFUNCTION("""COMPUTED_VALUE"""),21)</f>
        <v>21</v>
      </c>
      <c r="F2233" s="5"/>
    </row>
    <row r="2234" spans="1:6">
      <c r="A2234" s="5" t="str">
        <f ca="1">IFERROR(__xludf.DUMMYFUNCTION("""COMPUTED_VALUE"""),"19930204GACLA")</f>
        <v>19930204GACLA</v>
      </c>
      <c r="B2234" s="5" t="str">
        <f ca="1">IFERROR(__xludf.DUMMYFUNCTION("""COMPUTED_VALUE"""),"Fatal")</f>
        <v>Fatal</v>
      </c>
      <c r="C2234" s="5" t="str">
        <f ca="1">IFERROR(__xludf.DUMMYFUNCTION("""COMPUTED_VALUE"""),"Male")</f>
        <v>Male</v>
      </c>
      <c r="D2234" s="5" t="str">
        <f ca="1">IFERROR(__xludf.DUMMYFUNCTION("""COMPUTED_VALUE"""),"Student")</f>
        <v>Student</v>
      </c>
      <c r="E2234" s="5" t="str">
        <f ca="1">IFERROR(__xludf.DUMMYFUNCTION("""COMPUTED_VALUE"""),"Teen")</f>
        <v>Teen</v>
      </c>
      <c r="F2234" s="5"/>
    </row>
    <row r="2235" spans="1:6">
      <c r="A2235" s="5" t="str">
        <f ca="1">IFERROR(__xludf.DUMMYFUNCTION("""COMPUTED_VALUE"""),"19930203SCLEL")</f>
        <v>19930203SCLEL</v>
      </c>
      <c r="B2235" s="5" t="str">
        <f ca="1">IFERROR(__xludf.DUMMYFUNCTION("""COMPUTED_VALUE"""),"Wounded")</f>
        <v>Wounded</v>
      </c>
      <c r="C2235" s="5" t="str">
        <f ca="1">IFERROR(__xludf.DUMMYFUNCTION("""COMPUTED_VALUE"""),"Male")</f>
        <v>Male</v>
      </c>
      <c r="D2235" s="5" t="str">
        <f ca="1">IFERROR(__xludf.DUMMYFUNCTION("""COMPUTED_VALUE"""),"Student")</f>
        <v>Student</v>
      </c>
      <c r="E2235" s="5">
        <f ca="1">IFERROR(__xludf.DUMMYFUNCTION("""COMPUTED_VALUE"""),17)</f>
        <v>17</v>
      </c>
      <c r="F2235" s="5"/>
    </row>
    <row r="2236" spans="1:6">
      <c r="A2236" s="5" t="str">
        <f ca="1">IFERROR(__xludf.DUMMYFUNCTION("""COMPUTED_VALUE"""),"19930203SCGAC")</f>
        <v>19930203SCGAC</v>
      </c>
      <c r="B2236" s="5" t="str">
        <f ca="1">IFERROR(__xludf.DUMMYFUNCTION("""COMPUTED_VALUE"""),"Wounded")</f>
        <v>Wounded</v>
      </c>
      <c r="C2236" s="5" t="str">
        <f ca="1">IFERROR(__xludf.DUMMYFUNCTION("""COMPUTED_VALUE"""),"Male")</f>
        <v>Male</v>
      </c>
      <c r="D2236" s="5" t="str">
        <f ca="1">IFERROR(__xludf.DUMMYFUNCTION("""COMPUTED_VALUE"""),"Student")</f>
        <v>Student</v>
      </c>
      <c r="E2236" s="5">
        <f ca="1">IFERROR(__xludf.DUMMYFUNCTION("""COMPUTED_VALUE"""),20)</f>
        <v>20</v>
      </c>
      <c r="F2236" s="5"/>
    </row>
    <row r="2237" spans="1:6">
      <c r="A2237" s="5" t="str">
        <f ca="1">IFERROR(__xludf.DUMMYFUNCTION("""COMPUTED_VALUE"""),"19930201WARER")</f>
        <v>19930201WARER</v>
      </c>
      <c r="B2237" s="5" t="str">
        <f ca="1">IFERROR(__xludf.DUMMYFUNCTION("""COMPUTED_VALUE"""),"None")</f>
        <v>None</v>
      </c>
      <c r="C2237" s="5" t="str">
        <f ca="1">IFERROR(__xludf.DUMMYFUNCTION("""COMPUTED_VALUE"""),"Male")</f>
        <v>Male</v>
      </c>
      <c r="D2237" s="5" t="str">
        <f ca="1">IFERROR(__xludf.DUMMYFUNCTION("""COMPUTED_VALUE"""),"Student")</f>
        <v>Student</v>
      </c>
      <c r="E2237" s="5">
        <f ca="1">IFERROR(__xludf.DUMMYFUNCTION("""COMPUTED_VALUE"""),14)</f>
        <v>14</v>
      </c>
      <c r="F2237" s="5"/>
    </row>
    <row r="2238" spans="1:6">
      <c r="A2238" s="5" t="str">
        <f ca="1">IFERROR(__xludf.DUMMYFUNCTION("""COMPUTED_VALUE"""),"19930201NYAMA")</f>
        <v>19930201NYAMA</v>
      </c>
      <c r="B2238" s="5" t="str">
        <f ca="1">IFERROR(__xludf.DUMMYFUNCTION("""COMPUTED_VALUE"""),"Fatal")</f>
        <v>Fatal</v>
      </c>
      <c r="C2238" s="5" t="str">
        <f ca="1">IFERROR(__xludf.DUMMYFUNCTION("""COMPUTED_VALUE"""),"Male")</f>
        <v>Male</v>
      </c>
      <c r="D2238" s="5" t="str">
        <f ca="1">IFERROR(__xludf.DUMMYFUNCTION("""COMPUTED_VALUE"""),"Nonstudent")</f>
        <v>Nonstudent</v>
      </c>
      <c r="E2238" s="5">
        <f ca="1">IFERROR(__xludf.DUMMYFUNCTION("""COMPUTED_VALUE"""),17)</f>
        <v>17</v>
      </c>
      <c r="F2238" s="5"/>
    </row>
    <row r="2239" spans="1:6">
      <c r="A2239" s="5" t="str">
        <f ca="1">IFERROR(__xludf.DUMMYFUNCTION("""COMPUTED_VALUE"""),"19930201NYAMA")</f>
        <v>19930201NYAMA</v>
      </c>
      <c r="B2239" s="5" t="str">
        <f ca="1">IFERROR(__xludf.DUMMYFUNCTION("""COMPUTED_VALUE"""),"Wounded")</f>
        <v>Wounded</v>
      </c>
      <c r="C2239" s="5" t="str">
        <f ca="1">IFERROR(__xludf.DUMMYFUNCTION("""COMPUTED_VALUE"""),"Male")</f>
        <v>Male</v>
      </c>
      <c r="D2239" s="5" t="str">
        <f ca="1">IFERROR(__xludf.DUMMYFUNCTION("""COMPUTED_VALUE"""),"Nonstudent")</f>
        <v>Nonstudent</v>
      </c>
      <c r="E2239" s="5">
        <f ca="1">IFERROR(__xludf.DUMMYFUNCTION("""COMPUTED_VALUE"""),17)</f>
        <v>17</v>
      </c>
      <c r="F2239" s="5"/>
    </row>
    <row r="2240" spans="1:6">
      <c r="A2240" s="5" t="str">
        <f ca="1">IFERROR(__xludf.DUMMYFUNCTION("""COMPUTED_VALUE"""),"19930121CAFAL")</f>
        <v>19930121CAFAL</v>
      </c>
      <c r="B2240" s="5" t="str">
        <f ca="1">IFERROR(__xludf.DUMMYFUNCTION("""COMPUTED_VALUE"""),"Fatal")</f>
        <v>Fatal</v>
      </c>
      <c r="C2240" s="5" t="str">
        <f ca="1">IFERROR(__xludf.DUMMYFUNCTION("""COMPUTED_VALUE"""),"Male")</f>
        <v>Male</v>
      </c>
      <c r="D2240" s="5" t="str">
        <f ca="1">IFERROR(__xludf.DUMMYFUNCTION("""COMPUTED_VALUE"""),"Student")</f>
        <v>Student</v>
      </c>
      <c r="E2240" s="5">
        <f ca="1">IFERROR(__xludf.DUMMYFUNCTION("""COMPUTED_VALUE"""),17)</f>
        <v>17</v>
      </c>
      <c r="F2240" s="5"/>
    </row>
    <row r="2241" spans="1:6">
      <c r="A2241" s="5" t="str">
        <f ca="1">IFERROR(__xludf.DUMMYFUNCTION("""COMPUTED_VALUE"""),"19930121CAFAL")</f>
        <v>19930121CAFAL</v>
      </c>
      <c r="B2241" s="5" t="str">
        <f ca="1">IFERROR(__xludf.DUMMYFUNCTION("""COMPUTED_VALUE"""),"Wounded")</f>
        <v>Wounded</v>
      </c>
      <c r="C2241" s="5" t="str">
        <f ca="1">IFERROR(__xludf.DUMMYFUNCTION("""COMPUTED_VALUE"""),"Male")</f>
        <v>Male</v>
      </c>
      <c r="D2241" s="5" t="str">
        <f ca="1">IFERROR(__xludf.DUMMYFUNCTION("""COMPUTED_VALUE"""),"Student")</f>
        <v>Student</v>
      </c>
      <c r="E2241" s="5">
        <f ca="1">IFERROR(__xludf.DUMMYFUNCTION("""COMPUTED_VALUE"""),16)</f>
        <v>16</v>
      </c>
      <c r="F2241" s="5"/>
    </row>
    <row r="2242" spans="1:6">
      <c r="A2242" s="5" t="str">
        <f ca="1">IFERROR(__xludf.DUMMYFUNCTION("""COMPUTED_VALUE"""),"19930118KYEAG")</f>
        <v>19930118KYEAG</v>
      </c>
      <c r="B2242" s="5" t="str">
        <f ca="1">IFERROR(__xludf.DUMMYFUNCTION("""COMPUTED_VALUE"""),"Fatal")</f>
        <v>Fatal</v>
      </c>
      <c r="C2242" s="5" t="str">
        <f ca="1">IFERROR(__xludf.DUMMYFUNCTION("""COMPUTED_VALUE"""),"Male")</f>
        <v>Male</v>
      </c>
      <c r="D2242" s="5" t="str">
        <f ca="1">IFERROR(__xludf.DUMMYFUNCTION("""COMPUTED_VALUE"""),"Teacher")</f>
        <v>Teacher</v>
      </c>
      <c r="E2242" s="5">
        <f ca="1">IFERROR(__xludf.DUMMYFUNCTION("""COMPUTED_VALUE"""),48)</f>
        <v>48</v>
      </c>
      <c r="F2242" s="5"/>
    </row>
    <row r="2243" spans="1:6">
      <c r="A2243" s="5" t="str">
        <f ca="1">IFERROR(__xludf.DUMMYFUNCTION("""COMPUTED_VALUE"""),"19930118KYEAG")</f>
        <v>19930118KYEAG</v>
      </c>
      <c r="B2243" s="5" t="str">
        <f ca="1">IFERROR(__xludf.DUMMYFUNCTION("""COMPUTED_VALUE"""),"Fatal")</f>
        <v>Fatal</v>
      </c>
      <c r="C2243" s="5" t="str">
        <f ca="1">IFERROR(__xludf.DUMMYFUNCTION("""COMPUTED_VALUE"""),"Female")</f>
        <v>Female</v>
      </c>
      <c r="D2243" s="5" t="str">
        <f ca="1">IFERROR(__xludf.DUMMYFUNCTION("""COMPUTED_VALUE"""),"Teacher")</f>
        <v>Teacher</v>
      </c>
      <c r="E2243" s="5">
        <f ca="1">IFERROR(__xludf.DUMMYFUNCTION("""COMPUTED_VALUE"""),51)</f>
        <v>51</v>
      </c>
      <c r="F2243" s="5"/>
    </row>
    <row r="2244" spans="1:6">
      <c r="A2244" s="5" t="str">
        <f ca="1">IFERROR(__xludf.DUMMYFUNCTION("""COMPUTED_VALUE"""),"19930112FLNOM")</f>
        <v>19930112FLNOM</v>
      </c>
      <c r="B2244" s="5" t="str">
        <f ca="1">IFERROR(__xludf.DUMMYFUNCTION("""COMPUTED_VALUE"""),"Fatal")</f>
        <v>Fatal</v>
      </c>
      <c r="C2244" s="5" t="str">
        <f ca="1">IFERROR(__xludf.DUMMYFUNCTION("""COMPUTED_VALUE"""),"Male")</f>
        <v>Male</v>
      </c>
      <c r="D2244" s="5" t="str">
        <f ca="1">IFERROR(__xludf.DUMMYFUNCTION("""COMPUTED_VALUE"""),"Student")</f>
        <v>Student</v>
      </c>
      <c r="E2244" s="5">
        <f ca="1">IFERROR(__xludf.DUMMYFUNCTION("""COMPUTED_VALUE"""),18)</f>
        <v>18</v>
      </c>
      <c r="F2244" s="5" t="str">
        <f ca="1">IFERROR(__xludf.DUMMYFUNCTION("""COMPUTED_VALUE"""),"Black")</f>
        <v>Black</v>
      </c>
    </row>
    <row r="2245" spans="1:6">
      <c r="A2245" s="5" t="str">
        <f ca="1">IFERROR(__xludf.DUMMYFUNCTION("""COMPUTED_VALUE"""),"19930108PACRM")</f>
        <v>19930108PACRM</v>
      </c>
      <c r="B2245" s="5" t="str">
        <f ca="1">IFERROR(__xludf.DUMMYFUNCTION("""COMPUTED_VALUE"""),"Wounded")</f>
        <v>Wounded</v>
      </c>
      <c r="C2245" s="5" t="str">
        <f ca="1">IFERROR(__xludf.DUMMYFUNCTION("""COMPUTED_VALUE"""),"Male")</f>
        <v>Male</v>
      </c>
      <c r="D2245" s="5" t="str">
        <f ca="1">IFERROR(__xludf.DUMMYFUNCTION("""COMPUTED_VALUE"""),"Student")</f>
        <v>Student</v>
      </c>
      <c r="E2245" s="5">
        <f ca="1">IFERROR(__xludf.DUMMYFUNCTION("""COMPUTED_VALUE"""),15)</f>
        <v>15</v>
      </c>
      <c r="F2245" s="5"/>
    </row>
    <row r="2246" spans="1:6">
      <c r="A2246" s="5" t="str">
        <f ca="1">IFERROR(__xludf.DUMMYFUNCTION("""COMPUTED_VALUE"""),"19930105NYBRB")</f>
        <v>19930105NYBRB</v>
      </c>
      <c r="B2246" s="5" t="str">
        <f ca="1">IFERROR(__xludf.DUMMYFUNCTION("""COMPUTED_VALUE"""),"Wounded")</f>
        <v>Wounded</v>
      </c>
      <c r="C2246" s="5" t="str">
        <f ca="1">IFERROR(__xludf.DUMMYFUNCTION("""COMPUTED_VALUE"""),"Male")</f>
        <v>Male</v>
      </c>
      <c r="D2246" s="5" t="str">
        <f ca="1">IFERROR(__xludf.DUMMYFUNCTION("""COMPUTED_VALUE"""),"Former Student")</f>
        <v>Former Student</v>
      </c>
      <c r="E2246" s="5">
        <f ca="1">IFERROR(__xludf.DUMMYFUNCTION("""COMPUTED_VALUE"""),19)</f>
        <v>19</v>
      </c>
      <c r="F2246" s="5"/>
    </row>
    <row r="2247" spans="1:6">
      <c r="A2247" s="5" t="str">
        <f ca="1">IFERROR(__xludf.DUMMYFUNCTION("""COMPUTED_VALUE"""),"19921214NYWAW")</f>
        <v>19921214NYWAW</v>
      </c>
      <c r="B2247" s="5" t="str">
        <f ca="1">IFERROR(__xludf.DUMMYFUNCTION("""COMPUTED_VALUE"""),"Wounded")</f>
        <v>Wounded</v>
      </c>
      <c r="C2247" s="5" t="str">
        <f ca="1">IFERROR(__xludf.DUMMYFUNCTION("""COMPUTED_VALUE"""),"Female")</f>
        <v>Female</v>
      </c>
      <c r="D2247" s="5" t="str">
        <f ca="1">IFERROR(__xludf.DUMMYFUNCTION("""COMPUTED_VALUE"""),"Teacher")</f>
        <v>Teacher</v>
      </c>
      <c r="E2247" s="5">
        <f ca="1">IFERROR(__xludf.DUMMYFUNCTION("""COMPUTED_VALUE"""),49)</f>
        <v>49</v>
      </c>
      <c r="F2247" s="5"/>
    </row>
    <row r="2248" spans="1:6">
      <c r="A2248" s="5" t="str">
        <f ca="1">IFERROR(__xludf.DUMMYFUNCTION("""COMPUTED_VALUE"""),"19921203ILWOC")</f>
        <v>19921203ILWOC</v>
      </c>
      <c r="B2248" s="5" t="str">
        <f ca="1">IFERROR(__xludf.DUMMYFUNCTION("""COMPUTED_VALUE"""),"Fatal")</f>
        <v>Fatal</v>
      </c>
      <c r="C2248" s="5" t="str">
        <f ca="1">IFERROR(__xludf.DUMMYFUNCTION("""COMPUTED_VALUE"""),"Male")</f>
        <v>Male</v>
      </c>
      <c r="D2248" s="5" t="str">
        <f ca="1">IFERROR(__xludf.DUMMYFUNCTION("""COMPUTED_VALUE"""),"No Relation")</f>
        <v>No Relation</v>
      </c>
      <c r="E2248" s="5">
        <f ca="1">IFERROR(__xludf.DUMMYFUNCTION("""COMPUTED_VALUE"""),19)</f>
        <v>19</v>
      </c>
      <c r="F2248" s="5"/>
    </row>
    <row r="2249" spans="1:6">
      <c r="A2249" s="5" t="str">
        <f ca="1">IFERROR(__xludf.DUMMYFUNCTION("""COMPUTED_VALUE"""),"19921203ILWOC")</f>
        <v>19921203ILWOC</v>
      </c>
      <c r="B2249" s="5" t="str">
        <f ca="1">IFERROR(__xludf.DUMMYFUNCTION("""COMPUTED_VALUE"""),"Wounded")</f>
        <v>Wounded</v>
      </c>
      <c r="C2249" s="5" t="str">
        <f ca="1">IFERROR(__xludf.DUMMYFUNCTION("""COMPUTED_VALUE"""),"Male")</f>
        <v>Male</v>
      </c>
      <c r="D2249" s="5" t="str">
        <f ca="1">IFERROR(__xludf.DUMMYFUNCTION("""COMPUTED_VALUE"""),"No Relation")</f>
        <v>No Relation</v>
      </c>
      <c r="E2249" s="5">
        <f ca="1">IFERROR(__xludf.DUMMYFUNCTION("""COMPUTED_VALUE"""),25)</f>
        <v>25</v>
      </c>
      <c r="F2249" s="5"/>
    </row>
    <row r="2250" spans="1:6">
      <c r="A2250" s="5" t="str">
        <f ca="1">IFERROR(__xludf.DUMMYFUNCTION("""COMPUTED_VALUE"""),"19921130ILORC")</f>
        <v>19921130ILORC</v>
      </c>
      <c r="B2250" s="5" t="str">
        <f ca="1">IFERROR(__xludf.DUMMYFUNCTION("""COMPUTED_VALUE"""),"Wounded")</f>
        <v>Wounded</v>
      </c>
      <c r="C2250" s="5" t="str">
        <f ca="1">IFERROR(__xludf.DUMMYFUNCTION("""COMPUTED_VALUE"""),"Male")</f>
        <v>Male</v>
      </c>
      <c r="D2250" s="5" t="str">
        <f ca="1">IFERROR(__xludf.DUMMYFUNCTION("""COMPUTED_VALUE"""),"Student")</f>
        <v>Student</v>
      </c>
      <c r="E2250" s="5">
        <f ca="1">IFERROR(__xludf.DUMMYFUNCTION("""COMPUTED_VALUE"""),16)</f>
        <v>16</v>
      </c>
      <c r="F2250" s="5"/>
    </row>
    <row r="2251" spans="1:6">
      <c r="A2251" s="5" t="str">
        <f ca="1">IFERROR(__xludf.DUMMYFUNCTION("""COMPUTED_VALUE"""),"19921124ALROM")</f>
        <v>19921124ALROM</v>
      </c>
      <c r="B2251" s="5" t="str">
        <f ca="1">IFERROR(__xludf.DUMMYFUNCTION("""COMPUTED_VALUE"""),"Wounded")</f>
        <v>Wounded</v>
      </c>
      <c r="C2251" s="5" t="str">
        <f ca="1">IFERROR(__xludf.DUMMYFUNCTION("""COMPUTED_VALUE"""),"Female")</f>
        <v>Female</v>
      </c>
      <c r="D2251" s="5" t="str">
        <f ca="1">IFERROR(__xludf.DUMMYFUNCTION("""COMPUTED_VALUE"""),"Student")</f>
        <v>Student</v>
      </c>
      <c r="E2251" s="5">
        <f ca="1">IFERROR(__xludf.DUMMYFUNCTION("""COMPUTED_VALUE"""),18)</f>
        <v>18</v>
      </c>
      <c r="F2251" s="5"/>
    </row>
    <row r="2252" spans="1:6">
      <c r="A2252" s="5" t="str">
        <f ca="1">IFERROR(__xludf.DUMMYFUNCTION("""COMPUTED_VALUE"""),"19921120ILTIC")</f>
        <v>19921120ILTIC</v>
      </c>
      <c r="B2252" s="5" t="str">
        <f ca="1">IFERROR(__xludf.DUMMYFUNCTION("""COMPUTED_VALUE"""),"Fatal")</f>
        <v>Fatal</v>
      </c>
      <c r="C2252" s="5" t="str">
        <f ca="1">IFERROR(__xludf.DUMMYFUNCTION("""COMPUTED_VALUE"""),"Male")</f>
        <v>Male</v>
      </c>
      <c r="D2252" s="5" t="str">
        <f ca="1">IFERROR(__xludf.DUMMYFUNCTION("""COMPUTED_VALUE"""),"Student")</f>
        <v>Student</v>
      </c>
      <c r="E2252" s="5">
        <f ca="1">IFERROR(__xludf.DUMMYFUNCTION("""COMPUTED_VALUE"""),15)</f>
        <v>15</v>
      </c>
      <c r="F2252" s="5"/>
    </row>
    <row r="2253" spans="1:6">
      <c r="A2253" s="5" t="str">
        <f ca="1">IFERROR(__xludf.DUMMYFUNCTION("""COMPUTED_VALUE"""),"19921120ILTIC")</f>
        <v>19921120ILTIC</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IFERROR(__xludf.DUMMYFUNCTION("""COMPUTED_VALUE"""),17)</f>
        <v>17</v>
      </c>
      <c r="F2253" s="5"/>
    </row>
    <row r="2254" spans="1:6">
      <c r="A2254" s="5" t="str">
        <f ca="1">IFERROR(__xludf.DUMMYFUNCTION("""COMPUTED_VALUE"""),"19921120ILTIC")</f>
        <v>19921120ILTIC</v>
      </c>
      <c r="B2254" s="5" t="str">
        <f ca="1">IFERROR(__xludf.DUMMYFUNCTION("""COMPUTED_VALUE"""),"Wounded")</f>
        <v>Wounded</v>
      </c>
      <c r="C2254" s="5" t="str">
        <f ca="1">IFERROR(__xludf.DUMMYFUNCTION("""COMPUTED_VALUE"""),"Male")</f>
        <v>Male</v>
      </c>
      <c r="D2254" s="5" t="str">
        <f ca="1">IFERROR(__xludf.DUMMYFUNCTION("""COMPUTED_VALUE"""),"Student")</f>
        <v>Student</v>
      </c>
      <c r="E2254" s="5">
        <f ca="1">IFERROR(__xludf.DUMMYFUNCTION("""COMPUTED_VALUE"""),15)</f>
        <v>15</v>
      </c>
      <c r="F2254" s="5"/>
    </row>
    <row r="2255" spans="1:6">
      <c r="A2255" s="5" t="str">
        <f ca="1">IFERROR(__xludf.DUMMYFUNCTION("""COMPUTED_VALUE"""),"19921116ALFAB")</f>
        <v>19921116ALFAB</v>
      </c>
      <c r="B2255" s="5" t="str">
        <f ca="1">IFERROR(__xludf.DUMMYFUNCTION("""COMPUTED_VALUE"""),"Fatal")</f>
        <v>Fatal</v>
      </c>
      <c r="C2255" s="5" t="str">
        <f ca="1">IFERROR(__xludf.DUMMYFUNCTION("""COMPUTED_VALUE"""),"Male")</f>
        <v>Male</v>
      </c>
      <c r="D2255" s="5" t="str">
        <f ca="1">IFERROR(__xludf.DUMMYFUNCTION("""COMPUTED_VALUE"""),"Student")</f>
        <v>Student</v>
      </c>
      <c r="E2255" s="5">
        <f ca="1">IFERROR(__xludf.DUMMYFUNCTION("""COMPUTED_VALUE"""),16)</f>
        <v>16</v>
      </c>
      <c r="F2255" s="5"/>
    </row>
    <row r="2256" spans="1:6">
      <c r="A2256" s="5" t="str">
        <f ca="1">IFERROR(__xludf.DUMMYFUNCTION("""COMPUTED_VALUE"""),"19921113TXLAC")</f>
        <v>19921113TXLAC</v>
      </c>
      <c r="B2256" s="5" t="str">
        <f ca="1">IFERROR(__xludf.DUMMYFUNCTION("""COMPUTED_VALUE"""),"Fatal")</f>
        <v>Fatal</v>
      </c>
      <c r="C2256" s="5" t="str">
        <f ca="1">IFERROR(__xludf.DUMMYFUNCTION("""COMPUTED_VALUE"""),"Female")</f>
        <v>Female</v>
      </c>
      <c r="D2256" s="5" t="str">
        <f ca="1">IFERROR(__xludf.DUMMYFUNCTION("""COMPUTED_VALUE"""),"Teacher")</f>
        <v>Teacher</v>
      </c>
      <c r="E2256" s="5">
        <f ca="1">IFERROR(__xludf.DUMMYFUNCTION("""COMPUTED_VALUE"""),39)</f>
        <v>39</v>
      </c>
      <c r="F2256" s="5"/>
    </row>
    <row r="2257" spans="1:6">
      <c r="A2257" s="5" t="str">
        <f ca="1">IFERROR(__xludf.DUMMYFUNCTION("""COMPUTED_VALUE"""),"19921110ILSHC")</f>
        <v>19921110ILSHC</v>
      </c>
      <c r="B2257" s="5" t="str">
        <f ca="1">IFERROR(__xludf.DUMMYFUNCTION("""COMPUTED_VALUE"""),"None")</f>
        <v>None</v>
      </c>
      <c r="C2257" s="5" t="str">
        <f ca="1">IFERROR(__xludf.DUMMYFUNCTION("""COMPUTED_VALUE"""),"Male")</f>
        <v>Male</v>
      </c>
      <c r="D2257" s="5" t="str">
        <f ca="1">IFERROR(__xludf.DUMMYFUNCTION("""COMPUTED_VALUE"""),"Student")</f>
        <v>Student</v>
      </c>
      <c r="E2257" s="5">
        <f ca="1">IFERROR(__xludf.DUMMYFUNCTION("""COMPUTED_VALUE"""),13)</f>
        <v>13</v>
      </c>
      <c r="F2257" s="5"/>
    </row>
    <row r="2258" spans="1:6">
      <c r="A2258" s="5" t="str">
        <f ca="1">IFERROR(__xludf.DUMMYFUNCTION("""COMPUTED_VALUE"""),"19921104MIMUD")</f>
        <v>19921104MIMUD</v>
      </c>
      <c r="B2258" s="5" t="str">
        <f ca="1">IFERROR(__xludf.DUMMYFUNCTION("""COMPUTED_VALUE"""),"Wounded")</f>
        <v>Wounded</v>
      </c>
      <c r="C2258" s="5" t="str">
        <f ca="1">IFERROR(__xludf.DUMMYFUNCTION("""COMPUTED_VALUE"""),"Male")</f>
        <v>Male</v>
      </c>
      <c r="D2258" s="5" t="str">
        <f ca="1">IFERROR(__xludf.DUMMYFUNCTION("""COMPUTED_VALUE"""),"No Relation")</f>
        <v>No Relation</v>
      </c>
      <c r="E2258" s="5" t="str">
        <f ca="1">IFERROR(__xludf.DUMMYFUNCTION("""COMPUTED_VALUE"""),"Teen")</f>
        <v>Teen</v>
      </c>
      <c r="F2258" s="5"/>
    </row>
    <row r="2259" spans="1:6">
      <c r="A2259" s="5" t="str">
        <f ca="1">IFERROR(__xludf.DUMMYFUNCTION("""COMPUTED_VALUE"""),"19921104MIMUD")</f>
        <v>19921104MIMUD</v>
      </c>
      <c r="B2259" s="5" t="str">
        <f ca="1">IFERROR(__xludf.DUMMYFUNCTION("""COMPUTED_VALUE"""),"Wounded")</f>
        <v>Wounded</v>
      </c>
      <c r="C2259" s="5" t="str">
        <f ca="1">IFERROR(__xludf.DUMMYFUNCTION("""COMPUTED_VALUE"""),"Male")</f>
        <v>Male</v>
      </c>
      <c r="D2259" s="5" t="str">
        <f ca="1">IFERROR(__xludf.DUMMYFUNCTION("""COMPUTED_VALUE"""),"No Relation")</f>
        <v>No Relation</v>
      </c>
      <c r="E2259" s="5" t="str">
        <f ca="1">IFERROR(__xludf.DUMMYFUNCTION("""COMPUTED_VALUE"""),"Teen")</f>
        <v>Teen</v>
      </c>
      <c r="F2259" s="5"/>
    </row>
    <row r="2260" spans="1:6">
      <c r="A2260" s="5" t="str">
        <f ca="1">IFERROR(__xludf.DUMMYFUNCTION("""COMPUTED_VALUE"""),"19921104MIMUD")</f>
        <v>19921104MIMUD</v>
      </c>
      <c r="B2260" s="5" t="str">
        <f ca="1">IFERROR(__xludf.DUMMYFUNCTION("""COMPUTED_VALUE"""),"Wounded")</f>
        <v>Wounded</v>
      </c>
      <c r="C2260" s="5" t="str">
        <f ca="1">IFERROR(__xludf.DUMMYFUNCTION("""COMPUTED_VALUE"""),"Male")</f>
        <v>Male</v>
      </c>
      <c r="D2260" s="5" t="str">
        <f ca="1">IFERROR(__xludf.DUMMYFUNCTION("""COMPUTED_VALUE"""),"No Relation")</f>
        <v>No Relation</v>
      </c>
      <c r="E2260" s="5" t="str">
        <f ca="1">IFERROR(__xludf.DUMMYFUNCTION("""COMPUTED_VALUE"""),"Teen")</f>
        <v>Teen</v>
      </c>
      <c r="F2260" s="5"/>
    </row>
    <row r="2261" spans="1:6">
      <c r="A2261" s="5" t="str">
        <f ca="1">IFERROR(__xludf.DUMMYFUNCTION("""COMPUTED_VALUE"""),"19921104MIMAD")</f>
        <v>19921104MIMAD</v>
      </c>
      <c r="B2261" s="5" t="str">
        <f ca="1">IFERROR(__xludf.DUMMYFUNCTION("""COMPUTED_VALUE"""),"Wounded")</f>
        <v>Wounded</v>
      </c>
      <c r="C2261" s="5" t="str">
        <f ca="1">IFERROR(__xludf.DUMMYFUNCTION("""COMPUTED_VALUE"""),"Male")</f>
        <v>Male</v>
      </c>
      <c r="D2261" s="5" t="str">
        <f ca="1">IFERROR(__xludf.DUMMYFUNCTION("""COMPUTED_VALUE"""),"Student")</f>
        <v>Student</v>
      </c>
      <c r="E2261" s="5">
        <f ca="1">IFERROR(__xludf.DUMMYFUNCTION("""COMPUTED_VALUE"""),16)</f>
        <v>16</v>
      </c>
      <c r="F2261" s="5"/>
    </row>
    <row r="2262" spans="1:6">
      <c r="A2262" s="5" t="str">
        <f ca="1">IFERROR(__xludf.DUMMYFUNCTION("""COMPUTED_VALUE"""),"19921104MIFID")</f>
        <v>19921104MIFID</v>
      </c>
      <c r="B2262" s="5" t="str">
        <f ca="1">IFERROR(__xludf.DUMMYFUNCTION("""COMPUTED_VALUE"""),"Minor Injuries")</f>
        <v>Minor Injuries</v>
      </c>
      <c r="C2262" s="5"/>
      <c r="D2262" s="5" t="str">
        <f ca="1">IFERROR(__xludf.DUMMYFUNCTION("""COMPUTED_VALUE"""),"Student")</f>
        <v>Student</v>
      </c>
      <c r="E2262" s="5" t="str">
        <f ca="1">IFERROR(__xludf.DUMMYFUNCTION("""COMPUTED_VALUE"""),"Teen")</f>
        <v>Teen</v>
      </c>
      <c r="F2262" s="5"/>
    </row>
    <row r="2263" spans="1:6">
      <c r="A2263" s="5" t="str">
        <f ca="1">IFERROR(__xludf.DUMMYFUNCTION("""COMPUTED_VALUE"""),"19921104MIFID")</f>
        <v>19921104MIFID</v>
      </c>
      <c r="B2263" s="5" t="str">
        <f ca="1">IFERROR(__xludf.DUMMYFUNCTION("""COMPUTED_VALUE"""),"Minor Injuries")</f>
        <v>Minor Injuries</v>
      </c>
      <c r="C2263" s="5"/>
      <c r="D2263" s="5" t="str">
        <f ca="1">IFERROR(__xludf.DUMMYFUNCTION("""COMPUTED_VALUE"""),"Student")</f>
        <v>Student</v>
      </c>
      <c r="E2263" s="5" t="str">
        <f ca="1">IFERROR(__xludf.DUMMYFUNCTION("""COMPUTED_VALUE"""),"Teen")</f>
        <v>Teen</v>
      </c>
      <c r="F2263" s="5"/>
    </row>
    <row r="2264" spans="1:6">
      <c r="A2264" s="5" t="str">
        <f ca="1">IFERROR(__xludf.DUMMYFUNCTION("""COMPUTED_VALUE"""),"19921104MIFID")</f>
        <v>19921104MIFID</v>
      </c>
      <c r="B2264" s="5" t="str">
        <f ca="1">IFERROR(__xludf.DUMMYFUNCTION("""COMPUTED_VALUE"""),"Minor Injuries")</f>
        <v>Minor Injuries</v>
      </c>
      <c r="C2264" s="5"/>
      <c r="D2264" s="5" t="str">
        <f ca="1">IFERROR(__xludf.DUMMYFUNCTION("""COMPUTED_VALUE"""),"Student")</f>
        <v>Student</v>
      </c>
      <c r="E2264" s="5" t="str">
        <f ca="1">IFERROR(__xludf.DUMMYFUNCTION("""COMPUTED_VALUE"""),"Teen")</f>
        <v>Teen</v>
      </c>
      <c r="F2264" s="5"/>
    </row>
    <row r="2265" spans="1:6">
      <c r="A2265" s="5" t="str">
        <f ca="1">IFERROR(__xludf.DUMMYFUNCTION("""COMPUTED_VALUE"""),"19921104MIFID")</f>
        <v>19921104MIFID</v>
      </c>
      <c r="B2265" s="5" t="str">
        <f ca="1">IFERROR(__xludf.DUMMYFUNCTION("""COMPUTED_VALUE"""),"Minor Injuries")</f>
        <v>Minor Injuries</v>
      </c>
      <c r="C2265" s="5"/>
      <c r="D2265" s="5" t="str">
        <f ca="1">IFERROR(__xludf.DUMMYFUNCTION("""COMPUTED_VALUE"""),"Student")</f>
        <v>Student</v>
      </c>
      <c r="E2265" s="5" t="str">
        <f ca="1">IFERROR(__xludf.DUMMYFUNCTION("""COMPUTED_VALUE"""),"Teen")</f>
        <v>Teen</v>
      </c>
      <c r="F2265" s="5"/>
    </row>
    <row r="2266" spans="1:6">
      <c r="A2266" s="5" t="str">
        <f ca="1">IFERROR(__xludf.DUMMYFUNCTION("""COMPUTED_VALUE"""),"19921104MIFID")</f>
        <v>19921104MIFID</v>
      </c>
      <c r="B2266" s="5" t="str">
        <f ca="1">IFERROR(__xludf.DUMMYFUNCTION("""COMPUTED_VALUE"""),"Minor Injuries")</f>
        <v>Minor Injuries</v>
      </c>
      <c r="C2266" s="5"/>
      <c r="D2266" s="5" t="str">
        <f ca="1">IFERROR(__xludf.DUMMYFUNCTION("""COMPUTED_VALUE"""),"Student")</f>
        <v>Student</v>
      </c>
      <c r="E2266" s="5" t="str">
        <f ca="1">IFERROR(__xludf.DUMMYFUNCTION("""COMPUTED_VALUE"""),"Teen")</f>
        <v>Teen</v>
      </c>
      <c r="F2266" s="5"/>
    </row>
    <row r="2267" spans="1:6">
      <c r="A2267" s="5" t="str">
        <f ca="1">IFERROR(__xludf.DUMMYFUNCTION("""COMPUTED_VALUE"""),"19921104MIFID")</f>
        <v>19921104MIFID</v>
      </c>
      <c r="B2267" s="5" t="str">
        <f ca="1">IFERROR(__xludf.DUMMYFUNCTION("""COMPUTED_VALUE"""),"Minor Injuries")</f>
        <v>Minor Injuries</v>
      </c>
      <c r="C2267" s="5"/>
      <c r="D2267" s="5" t="str">
        <f ca="1">IFERROR(__xludf.DUMMYFUNCTION("""COMPUTED_VALUE"""),"Student")</f>
        <v>Student</v>
      </c>
      <c r="E2267" s="5" t="str">
        <f ca="1">IFERROR(__xludf.DUMMYFUNCTION("""COMPUTED_VALUE"""),"Teen")</f>
        <v>Teen</v>
      </c>
      <c r="F2267" s="5"/>
    </row>
    <row r="2268" spans="1:6">
      <c r="A2268" s="5" t="str">
        <f ca="1">IFERROR(__xludf.DUMMYFUNCTION("""COMPUTED_VALUE"""),"19921104MIFID")</f>
        <v>19921104MIFID</v>
      </c>
      <c r="B2268" s="5" t="str">
        <f ca="1">IFERROR(__xludf.DUMMYFUNCTION("""COMPUTED_VALUE"""),"Minor Injuries")</f>
        <v>Minor Injuries</v>
      </c>
      <c r="C2268" s="5"/>
      <c r="D2268" s="5" t="str">
        <f ca="1">IFERROR(__xludf.DUMMYFUNCTION("""COMPUTED_VALUE"""),"Student")</f>
        <v>Student</v>
      </c>
      <c r="E2268" s="5" t="str">
        <f ca="1">IFERROR(__xludf.DUMMYFUNCTION("""COMPUTED_VALUE"""),"Teen")</f>
        <v>Teen</v>
      </c>
      <c r="F2268" s="5"/>
    </row>
    <row r="2269" spans="1:6">
      <c r="A2269" s="5" t="str">
        <f ca="1">IFERROR(__xludf.DUMMYFUNCTION("""COMPUTED_VALUE"""),"19921019NYEVB")</f>
        <v>19921019NYEVB</v>
      </c>
      <c r="B2269" s="5" t="str">
        <f ca="1">IFERROR(__xludf.DUMMYFUNCTION("""COMPUTED_VALUE"""),"Wounded")</f>
        <v>Wounded</v>
      </c>
      <c r="C2269" s="5" t="str">
        <f ca="1">IFERROR(__xludf.DUMMYFUNCTION("""COMPUTED_VALUE"""),"Female")</f>
        <v>Female</v>
      </c>
      <c r="D2269" s="5" t="str">
        <f ca="1">IFERROR(__xludf.DUMMYFUNCTION("""COMPUTED_VALUE"""),"Student")</f>
        <v>Student</v>
      </c>
      <c r="E2269" s="5">
        <f ca="1">IFERROR(__xludf.DUMMYFUNCTION("""COMPUTED_VALUE"""),14)</f>
        <v>14</v>
      </c>
      <c r="F2269" s="5"/>
    </row>
    <row r="2270" spans="1:6">
      <c r="A2270" s="5" t="str">
        <f ca="1">IFERROR(__xludf.DUMMYFUNCTION("""COMPUTED_VALUE"""),"19921019NYEVB")</f>
        <v>19921019NYEVB</v>
      </c>
      <c r="B2270" s="5" t="str">
        <f ca="1">IFERROR(__xludf.DUMMYFUNCTION("""COMPUTED_VALUE"""),"Wounded")</f>
        <v>Wounded</v>
      </c>
      <c r="C2270" s="5" t="str">
        <f ca="1">IFERROR(__xludf.DUMMYFUNCTION("""COMPUTED_VALUE"""),"Female")</f>
        <v>Female</v>
      </c>
      <c r="D2270" s="5" t="str">
        <f ca="1">IFERROR(__xludf.DUMMYFUNCTION("""COMPUTED_VALUE"""),"Student")</f>
        <v>Student</v>
      </c>
      <c r="E2270" s="5">
        <f ca="1">IFERROR(__xludf.DUMMYFUNCTION("""COMPUTED_VALUE"""),14)</f>
        <v>14</v>
      </c>
      <c r="F2270" s="5"/>
    </row>
    <row r="2271" spans="1:6">
      <c r="A2271" s="5" t="str">
        <f ca="1">IFERROR(__xludf.DUMMYFUNCTION("""COMPUTED_VALUE"""),"19921019NYEVB")</f>
        <v>19921019NYEVB</v>
      </c>
      <c r="B2271" s="5" t="str">
        <f ca="1">IFERROR(__xludf.DUMMYFUNCTION("""COMPUTED_VALUE"""),"Wounded")</f>
        <v>Wounded</v>
      </c>
      <c r="C2271" s="5" t="str">
        <f ca="1">IFERROR(__xludf.DUMMYFUNCTION("""COMPUTED_VALUE"""),"Male")</f>
        <v>Male</v>
      </c>
      <c r="D2271" s="5" t="str">
        <f ca="1">IFERROR(__xludf.DUMMYFUNCTION("""COMPUTED_VALUE"""),"Student")</f>
        <v>Student</v>
      </c>
      <c r="E2271" s="5">
        <f ca="1">IFERROR(__xludf.DUMMYFUNCTION("""COMPUTED_VALUE"""),16)</f>
        <v>16</v>
      </c>
      <c r="F2271" s="5"/>
    </row>
    <row r="2272" spans="1:6">
      <c r="A2272" s="5" t="str">
        <f ca="1">IFERROR(__xludf.DUMMYFUNCTION("""COMPUTED_VALUE"""),"19921013AZDET")</f>
        <v>19921013AZDET</v>
      </c>
      <c r="B2272" s="5" t="str">
        <f ca="1">IFERROR(__xludf.DUMMYFUNCTION("""COMPUTED_VALUE"""),"Fatal")</f>
        <v>Fatal</v>
      </c>
      <c r="C2272" s="5" t="str">
        <f ca="1">IFERROR(__xludf.DUMMYFUNCTION("""COMPUTED_VALUE"""),"Male")</f>
        <v>Male</v>
      </c>
      <c r="D2272" s="5" t="str">
        <f ca="1">IFERROR(__xludf.DUMMYFUNCTION("""COMPUTED_VALUE"""),"Student")</f>
        <v>Student</v>
      </c>
      <c r="E2272" s="5">
        <f ca="1">IFERROR(__xludf.DUMMYFUNCTION("""COMPUTED_VALUE"""),16)</f>
        <v>16</v>
      </c>
      <c r="F2272" s="5"/>
    </row>
    <row r="2273" spans="1:6">
      <c r="A2273" s="5" t="str">
        <f ca="1">IFERROR(__xludf.DUMMYFUNCTION("""COMPUTED_VALUE"""),"19920930TXHOH")</f>
        <v>19920930TXHOH</v>
      </c>
      <c r="B2273" s="5" t="str">
        <f ca="1">IFERROR(__xludf.DUMMYFUNCTION("""COMPUTED_VALUE"""),"Fatal")</f>
        <v>Fatal</v>
      </c>
      <c r="C2273" s="5" t="str">
        <f ca="1">IFERROR(__xludf.DUMMYFUNCTION("""COMPUTED_VALUE"""),"Male")</f>
        <v>Male</v>
      </c>
      <c r="D2273" s="5" t="str">
        <f ca="1">IFERROR(__xludf.DUMMYFUNCTION("""COMPUTED_VALUE"""),"Gang Member")</f>
        <v>Gang Member</v>
      </c>
      <c r="E2273" s="5"/>
      <c r="F2273" s="5"/>
    </row>
    <row r="2274" spans="1:6">
      <c r="A2274" s="5" t="str">
        <f ca="1">IFERROR(__xludf.DUMMYFUNCTION("""COMPUTED_VALUE"""),"19920930TXHOH")</f>
        <v>19920930TXHOH</v>
      </c>
      <c r="B2274" s="5" t="str">
        <f ca="1">IFERROR(__xludf.DUMMYFUNCTION("""COMPUTED_VALUE"""),"Wounded")</f>
        <v>Wounded</v>
      </c>
      <c r="C2274" s="5" t="str">
        <f ca="1">IFERROR(__xludf.DUMMYFUNCTION("""COMPUTED_VALUE"""),"Male")</f>
        <v>Male</v>
      </c>
      <c r="D2274" s="5" t="str">
        <f ca="1">IFERROR(__xludf.DUMMYFUNCTION("""COMPUTED_VALUE"""),"Gang Member")</f>
        <v>Gang Member</v>
      </c>
      <c r="E2274" s="5"/>
      <c r="F2274" s="5"/>
    </row>
    <row r="2275" spans="1:6">
      <c r="A2275" s="5" t="str">
        <f ca="1">IFERROR(__xludf.DUMMYFUNCTION("""COMPUTED_VALUE"""),"19920930CAPAL")</f>
        <v>19920930CAPAL</v>
      </c>
      <c r="B2275" s="5" t="str">
        <f ca="1">IFERROR(__xludf.DUMMYFUNCTION("""COMPUTED_VALUE"""),"Fatal")</f>
        <v>Fatal</v>
      </c>
      <c r="C2275" s="5" t="str">
        <f ca="1">IFERROR(__xludf.DUMMYFUNCTION("""COMPUTED_VALUE"""),"Female")</f>
        <v>Female</v>
      </c>
      <c r="D2275" s="5" t="str">
        <f ca="1">IFERROR(__xludf.DUMMYFUNCTION("""COMPUTED_VALUE"""),"Student")</f>
        <v>Student</v>
      </c>
      <c r="E2275" s="5">
        <f ca="1">IFERROR(__xludf.DUMMYFUNCTION("""COMPUTED_VALUE"""),16)</f>
        <v>16</v>
      </c>
      <c r="F2275" s="5" t="str">
        <f ca="1">IFERROR(__xludf.DUMMYFUNCTION("""COMPUTED_VALUE"""),"Black")</f>
        <v>Black</v>
      </c>
    </row>
    <row r="2276" spans="1:6">
      <c r="A2276" s="5" t="str">
        <f ca="1">IFERROR(__xludf.DUMMYFUNCTION("""COMPUTED_VALUE"""),"19920928CAHIS")</f>
        <v>19920928CAHIS</v>
      </c>
      <c r="B2276" s="5" t="str">
        <f ca="1">IFERROR(__xludf.DUMMYFUNCTION("""COMPUTED_VALUE"""),"Wounded")</f>
        <v>Wounded</v>
      </c>
      <c r="C2276" s="5" t="str">
        <f ca="1">IFERROR(__xludf.DUMMYFUNCTION("""COMPUTED_VALUE"""),"Male")</f>
        <v>Male</v>
      </c>
      <c r="D2276" s="5" t="str">
        <f ca="1">IFERROR(__xludf.DUMMYFUNCTION("""COMPUTED_VALUE"""),"Student")</f>
        <v>Student</v>
      </c>
      <c r="E2276" s="5">
        <f ca="1">IFERROR(__xludf.DUMMYFUNCTION("""COMPUTED_VALUE"""),16)</f>
        <v>16</v>
      </c>
      <c r="F2276" s="5"/>
    </row>
    <row r="2277" spans="1:6">
      <c r="A2277" s="5" t="str">
        <f ca="1">IFERROR(__xludf.DUMMYFUNCTION("""COMPUTED_VALUE"""),"19920928CAHIS")</f>
        <v>19920928CAHIS</v>
      </c>
      <c r="B2277" s="5" t="str">
        <f ca="1">IFERROR(__xludf.DUMMYFUNCTION("""COMPUTED_VALUE"""),"Wounded")</f>
        <v>Wounded</v>
      </c>
      <c r="C2277" s="5" t="str">
        <f ca="1">IFERROR(__xludf.DUMMYFUNCTION("""COMPUTED_VALUE"""),"Male")</f>
        <v>Male</v>
      </c>
      <c r="D2277" s="5" t="str">
        <f ca="1">IFERROR(__xludf.DUMMYFUNCTION("""COMPUTED_VALUE"""),"Student")</f>
        <v>Student</v>
      </c>
      <c r="E2277" s="5">
        <f ca="1">IFERROR(__xludf.DUMMYFUNCTION("""COMPUTED_VALUE"""),18)</f>
        <v>18</v>
      </c>
      <c r="F2277" s="5"/>
    </row>
    <row r="2278" spans="1:6">
      <c r="A2278" s="5" t="str">
        <f ca="1">IFERROR(__xludf.DUMMYFUNCTION("""COMPUTED_VALUE"""),"19920911TXPAA")</f>
        <v>19920911TXPAA</v>
      </c>
      <c r="B2278" s="5" t="str">
        <f ca="1">IFERROR(__xludf.DUMMYFUNCTION("""COMPUTED_VALUE"""),"Wounded")</f>
        <v>Wounded</v>
      </c>
      <c r="C2278" s="5" t="str">
        <f ca="1">IFERROR(__xludf.DUMMYFUNCTION("""COMPUTED_VALUE"""),"Male")</f>
        <v>Male</v>
      </c>
      <c r="D2278" s="5" t="str">
        <f ca="1">IFERROR(__xludf.DUMMYFUNCTION("""COMPUTED_VALUE"""),"Student")</f>
        <v>Student</v>
      </c>
      <c r="E2278" s="5" t="str">
        <f ca="1">IFERROR(__xludf.DUMMYFUNCTION("""COMPUTED_VALUE"""),"Teen")</f>
        <v>Teen</v>
      </c>
      <c r="F2278" s="5"/>
    </row>
    <row r="2279" spans="1:6">
      <c r="A2279" s="5" t="str">
        <f ca="1">IFERROR(__xludf.DUMMYFUNCTION("""COMPUTED_VALUE"""),"19920911TXPAA")</f>
        <v>19920911TXPAA</v>
      </c>
      <c r="B2279" s="5" t="str">
        <f ca="1">IFERROR(__xludf.DUMMYFUNCTION("""COMPUTED_VALUE"""),"Wounded")</f>
        <v>Wounded</v>
      </c>
      <c r="C2279" s="5" t="str">
        <f ca="1">IFERROR(__xludf.DUMMYFUNCTION("""COMPUTED_VALUE"""),"Male")</f>
        <v>Male</v>
      </c>
      <c r="D2279" s="5" t="str">
        <f ca="1">IFERROR(__xludf.DUMMYFUNCTION("""COMPUTED_VALUE"""),"Student")</f>
        <v>Student</v>
      </c>
      <c r="E2279" s="5" t="str">
        <f ca="1">IFERROR(__xludf.DUMMYFUNCTION("""COMPUTED_VALUE"""),"Teen")</f>
        <v>Teen</v>
      </c>
      <c r="F2279" s="5"/>
    </row>
    <row r="2280" spans="1:6">
      <c r="A2280" s="5" t="str">
        <f ca="1">IFERROR(__xludf.DUMMYFUNCTION("""COMPUTED_VALUE"""),"19920911TXPAA")</f>
        <v>19920911TXPAA</v>
      </c>
      <c r="B2280" s="5" t="str">
        <f ca="1">IFERROR(__xludf.DUMMYFUNCTION("""COMPUTED_VALUE"""),"Wounded")</f>
        <v>Wounded</v>
      </c>
      <c r="C2280" s="5" t="str">
        <f ca="1">IFERROR(__xludf.DUMMYFUNCTION("""COMPUTED_VALUE"""),"Male")</f>
        <v>Male</v>
      </c>
      <c r="D2280" s="5" t="str">
        <f ca="1">IFERROR(__xludf.DUMMYFUNCTION("""COMPUTED_VALUE"""),"Student")</f>
        <v>Student</v>
      </c>
      <c r="E2280" s="5" t="str">
        <f ca="1">IFERROR(__xludf.DUMMYFUNCTION("""COMPUTED_VALUE"""),"Teen")</f>
        <v>Teen</v>
      </c>
      <c r="F2280" s="5"/>
    </row>
    <row r="2281" spans="1:6">
      <c r="A2281" s="5" t="str">
        <f ca="1">IFERROR(__xludf.DUMMYFUNCTION("""COMPUTED_VALUE"""),"19920911TXPAA")</f>
        <v>19920911TXPAA</v>
      </c>
      <c r="B2281" s="5" t="str">
        <f ca="1">IFERROR(__xludf.DUMMYFUNCTION("""COMPUTED_VALUE"""),"Wounded")</f>
        <v>Wounded</v>
      </c>
      <c r="C2281" s="5" t="str">
        <f ca="1">IFERROR(__xludf.DUMMYFUNCTION("""COMPUTED_VALUE"""),"Male")</f>
        <v>Male</v>
      </c>
      <c r="D2281" s="5" t="str">
        <f ca="1">IFERROR(__xludf.DUMMYFUNCTION("""COMPUTED_VALUE"""),"Student")</f>
        <v>Student</v>
      </c>
      <c r="E2281" s="5" t="str">
        <f ca="1">IFERROR(__xludf.DUMMYFUNCTION("""COMPUTED_VALUE"""),"Teen")</f>
        <v>Teen</v>
      </c>
      <c r="F2281" s="5"/>
    </row>
    <row r="2282" spans="1:6">
      <c r="A2282" s="5" t="str">
        <f ca="1">IFERROR(__xludf.DUMMYFUNCTION("""COMPUTED_VALUE"""),"19920911TXPAA")</f>
        <v>19920911TXPAA</v>
      </c>
      <c r="B2282" s="5" t="str">
        <f ca="1">IFERROR(__xludf.DUMMYFUNCTION("""COMPUTED_VALUE"""),"Wounded")</f>
        <v>Wounded</v>
      </c>
      <c r="C2282" s="5" t="str">
        <f ca="1">IFERROR(__xludf.DUMMYFUNCTION("""COMPUTED_VALUE"""),"Male")</f>
        <v>Male</v>
      </c>
      <c r="D2282" s="5" t="str">
        <f ca="1">IFERROR(__xludf.DUMMYFUNCTION("""COMPUTED_VALUE"""),"Student")</f>
        <v>Student</v>
      </c>
      <c r="E2282" s="5" t="str">
        <f ca="1">IFERROR(__xludf.DUMMYFUNCTION("""COMPUTED_VALUE"""),"Teen")</f>
        <v>Teen</v>
      </c>
      <c r="F2282" s="5"/>
    </row>
    <row r="2283" spans="1:6">
      <c r="A2283" s="5" t="str">
        <f ca="1">IFERROR(__xludf.DUMMYFUNCTION("""COMPUTED_VALUE"""),"19920911TXPAA")</f>
        <v>19920911TXPAA</v>
      </c>
      <c r="B2283" s="5" t="str">
        <f ca="1">IFERROR(__xludf.DUMMYFUNCTION("""COMPUTED_VALUE"""),"Wounded")</f>
        <v>Wounded</v>
      </c>
      <c r="C2283" s="5" t="str">
        <f ca="1">IFERROR(__xludf.DUMMYFUNCTION("""COMPUTED_VALUE"""),"Male")</f>
        <v>Male</v>
      </c>
      <c r="D2283" s="5" t="str">
        <f ca="1">IFERROR(__xludf.DUMMYFUNCTION("""COMPUTED_VALUE"""),"Student")</f>
        <v>Student</v>
      </c>
      <c r="E2283" s="5" t="str">
        <f ca="1">IFERROR(__xludf.DUMMYFUNCTION("""COMPUTED_VALUE"""),"Teen")</f>
        <v>Teen</v>
      </c>
      <c r="F2283" s="5"/>
    </row>
    <row r="2284" spans="1:6">
      <c r="A2284" s="5" t="str">
        <f ca="1">IFERROR(__xludf.DUMMYFUNCTION("""COMPUTED_VALUE"""),"19920911TXPAA")</f>
        <v>19920911TXPAA</v>
      </c>
      <c r="B2284" s="5" t="str">
        <f ca="1">IFERROR(__xludf.DUMMYFUNCTION("""COMPUTED_VALUE"""),"Wounded")</f>
        <v>Wounded</v>
      </c>
      <c r="C2284" s="5" t="str">
        <f ca="1">IFERROR(__xludf.DUMMYFUNCTION("""COMPUTED_VALUE"""),"Male")</f>
        <v>Male</v>
      </c>
      <c r="D2284" s="5" t="str">
        <f ca="1">IFERROR(__xludf.DUMMYFUNCTION("""COMPUTED_VALUE"""),"Student")</f>
        <v>Student</v>
      </c>
      <c r="E2284" s="5" t="str">
        <f ca="1">IFERROR(__xludf.DUMMYFUNCTION("""COMPUTED_VALUE"""),"Teen")</f>
        <v>Teen</v>
      </c>
      <c r="F2284" s="5"/>
    </row>
    <row r="2285" spans="1:6">
      <c r="A2285" s="5" t="str">
        <f ca="1">IFERROR(__xludf.DUMMYFUNCTION("""COMPUTED_VALUE"""),"19920606CAMEM")</f>
        <v>19920606CAMEM</v>
      </c>
      <c r="B2285" s="5" t="str">
        <f ca="1">IFERROR(__xludf.DUMMYFUNCTION("""COMPUTED_VALUE"""),"Wounded")</f>
        <v>Wounded</v>
      </c>
      <c r="C2285" s="5" t="str">
        <f ca="1">IFERROR(__xludf.DUMMYFUNCTION("""COMPUTED_VALUE"""),"Male")</f>
        <v>Male</v>
      </c>
      <c r="D2285" s="5" t="str">
        <f ca="1">IFERROR(__xludf.DUMMYFUNCTION("""COMPUTED_VALUE"""),"Former Student")</f>
        <v>Former Student</v>
      </c>
      <c r="E2285" s="5">
        <f ca="1">IFERROR(__xludf.DUMMYFUNCTION("""COMPUTED_VALUE"""),23)</f>
        <v>23</v>
      </c>
      <c r="F2285" s="5"/>
    </row>
    <row r="2286" spans="1:6">
      <c r="A2286" s="5" t="str">
        <f ca="1">IFERROR(__xludf.DUMMYFUNCTION("""COMPUTED_VALUE"""),"19920530DCARW")</f>
        <v>19920530DCARW</v>
      </c>
      <c r="B2286" s="5" t="str">
        <f ca="1">IFERROR(__xludf.DUMMYFUNCTION("""COMPUTED_VALUE"""),"Wounded")</f>
        <v>Wounded</v>
      </c>
      <c r="C2286" s="5" t="str">
        <f ca="1">IFERROR(__xludf.DUMMYFUNCTION("""COMPUTED_VALUE"""),"Male")</f>
        <v>Male</v>
      </c>
      <c r="D2286" s="5" t="str">
        <f ca="1">IFERROR(__xludf.DUMMYFUNCTION("""COMPUTED_VALUE"""),"Student")</f>
        <v>Student</v>
      </c>
      <c r="E2286" s="5">
        <f ca="1">IFERROR(__xludf.DUMMYFUNCTION("""COMPUTED_VALUE"""),18)</f>
        <v>18</v>
      </c>
      <c r="F2286" s="5"/>
    </row>
    <row r="2287" spans="1:6">
      <c r="A2287" s="5" t="str">
        <f ca="1">IFERROR(__xludf.DUMMYFUNCTION("""COMPUTED_VALUE"""),"19920530DCARW")</f>
        <v>19920530DCARW</v>
      </c>
      <c r="B2287" s="5" t="str">
        <f ca="1">IFERROR(__xludf.DUMMYFUNCTION("""COMPUTED_VALUE"""),"Wounded")</f>
        <v>Wounded</v>
      </c>
      <c r="C2287" s="5" t="str">
        <f ca="1">IFERROR(__xludf.DUMMYFUNCTION("""COMPUTED_VALUE"""),"Male")</f>
        <v>Male</v>
      </c>
      <c r="D2287" s="5" t="str">
        <f ca="1">IFERROR(__xludf.DUMMYFUNCTION("""COMPUTED_VALUE"""),"Student")</f>
        <v>Student</v>
      </c>
      <c r="E2287" s="5">
        <f ca="1">IFERROR(__xludf.DUMMYFUNCTION("""COMPUTED_VALUE"""),15)</f>
        <v>15</v>
      </c>
      <c r="F2287" s="5"/>
    </row>
    <row r="2288" spans="1:6">
      <c r="A2288" s="5" t="str">
        <f ca="1">IFERROR(__xludf.DUMMYFUNCTION("""COMPUTED_VALUE"""),"19920530DCARW")</f>
        <v>19920530DCARW</v>
      </c>
      <c r="B2288" s="5" t="str">
        <f ca="1">IFERROR(__xludf.DUMMYFUNCTION("""COMPUTED_VALUE"""),"Wounded")</f>
        <v>Wounded</v>
      </c>
      <c r="C2288" s="5"/>
      <c r="D2288" s="5" t="str">
        <f ca="1">IFERROR(__xludf.DUMMYFUNCTION("""COMPUTED_VALUE"""),"Student")</f>
        <v>Student</v>
      </c>
      <c r="E2288" s="5" t="str">
        <f ca="1">IFERROR(__xludf.DUMMYFUNCTION("""COMPUTED_VALUE"""),"Teen")</f>
        <v>Teen</v>
      </c>
      <c r="F2288" s="5"/>
    </row>
    <row r="2289" spans="1:6">
      <c r="A2289" s="5" t="str">
        <f ca="1">IFERROR(__xludf.DUMMYFUNCTION("""COMPUTED_VALUE"""),"19920530DCARW")</f>
        <v>19920530DCARW</v>
      </c>
      <c r="B2289" s="5" t="str">
        <f ca="1">IFERROR(__xludf.DUMMYFUNCTION("""COMPUTED_VALUE"""),"Wounded")</f>
        <v>Wounded</v>
      </c>
      <c r="C2289" s="5"/>
      <c r="D2289" s="5" t="str">
        <f ca="1">IFERROR(__xludf.DUMMYFUNCTION("""COMPUTED_VALUE"""),"Student")</f>
        <v>Student</v>
      </c>
      <c r="E2289" s="5" t="str">
        <f ca="1">IFERROR(__xludf.DUMMYFUNCTION("""COMPUTED_VALUE"""),"Teen")</f>
        <v>Teen</v>
      </c>
      <c r="F2289" s="5"/>
    </row>
    <row r="2290" spans="1:6">
      <c r="A2290" s="5" t="str">
        <f ca="1">IFERROR(__xludf.DUMMYFUNCTION("""COMPUTED_VALUE"""),"19920530DCARW")</f>
        <v>19920530DCARW</v>
      </c>
      <c r="B2290" s="5" t="str">
        <f ca="1">IFERROR(__xludf.DUMMYFUNCTION("""COMPUTED_VALUE"""),"Fatal")</f>
        <v>Fatal</v>
      </c>
      <c r="C2290" s="5" t="str">
        <f ca="1">IFERROR(__xludf.DUMMYFUNCTION("""COMPUTED_VALUE"""),"Male")</f>
        <v>Male</v>
      </c>
      <c r="D2290" s="5" t="str">
        <f ca="1">IFERROR(__xludf.DUMMYFUNCTION("""COMPUTED_VALUE"""),"Rival School Student")</f>
        <v>Rival School Student</v>
      </c>
      <c r="E2290" s="5" t="str">
        <f ca="1">IFERROR(__xludf.DUMMYFUNCTION("""COMPUTED_VALUE"""),"Teen")</f>
        <v>Teen</v>
      </c>
      <c r="F2290" s="5"/>
    </row>
    <row r="2291" spans="1:6">
      <c r="A2291" s="5" t="str">
        <f ca="1">IFERROR(__xludf.DUMMYFUNCTION("""COMPUTED_VALUE"""),"19920529CAVEL")</f>
        <v>19920529CAVEL</v>
      </c>
      <c r="B2291" s="5" t="str">
        <f ca="1">IFERROR(__xludf.DUMMYFUNCTION("""COMPUTED_VALUE"""),"Wounded")</f>
        <v>Wounded</v>
      </c>
      <c r="C2291" s="5" t="str">
        <f ca="1">IFERROR(__xludf.DUMMYFUNCTION("""COMPUTED_VALUE"""),"Male")</f>
        <v>Male</v>
      </c>
      <c r="D2291" s="5" t="str">
        <f ca="1">IFERROR(__xludf.DUMMYFUNCTION("""COMPUTED_VALUE"""),"Student")</f>
        <v>Student</v>
      </c>
      <c r="E2291" s="5" t="str">
        <f ca="1">IFERROR(__xludf.DUMMYFUNCTION("""COMPUTED_VALUE"""),"Teen")</f>
        <v>Teen</v>
      </c>
      <c r="F2291" s="5"/>
    </row>
    <row r="2292" spans="1:6">
      <c r="A2292" s="5" t="str">
        <f ca="1">IFERROR(__xludf.DUMMYFUNCTION("""COMPUTED_VALUE"""),"19920529CAVEL")</f>
        <v>19920529CAVEL</v>
      </c>
      <c r="B2292" s="5" t="str">
        <f ca="1">IFERROR(__xludf.DUMMYFUNCTION("""COMPUTED_VALUE"""),"Wounded")</f>
        <v>Wounded</v>
      </c>
      <c r="C2292" s="5" t="str">
        <f ca="1">IFERROR(__xludf.DUMMYFUNCTION("""COMPUTED_VALUE"""),"Male")</f>
        <v>Male</v>
      </c>
      <c r="D2292" s="5" t="str">
        <f ca="1">IFERROR(__xludf.DUMMYFUNCTION("""COMPUTED_VALUE"""),"Student")</f>
        <v>Student</v>
      </c>
      <c r="E2292" s="5" t="str">
        <f ca="1">IFERROR(__xludf.DUMMYFUNCTION("""COMPUTED_VALUE"""),"Teen")</f>
        <v>Teen</v>
      </c>
      <c r="F2292" s="5"/>
    </row>
    <row r="2293" spans="1:6">
      <c r="A2293" s="5" t="str">
        <f ca="1">IFERROR(__xludf.DUMMYFUNCTION("""COMPUTED_VALUE"""),"19920529CAVEL")</f>
        <v>19920529CAVEL</v>
      </c>
      <c r="B2293" s="5" t="str">
        <f ca="1">IFERROR(__xludf.DUMMYFUNCTION("""COMPUTED_VALUE"""),"Wounded")</f>
        <v>Wounded</v>
      </c>
      <c r="C2293" s="5" t="str">
        <f ca="1">IFERROR(__xludf.DUMMYFUNCTION("""COMPUTED_VALUE"""),"Male")</f>
        <v>Male</v>
      </c>
      <c r="D2293" s="5" t="str">
        <f ca="1">IFERROR(__xludf.DUMMYFUNCTION("""COMPUTED_VALUE"""),"Student")</f>
        <v>Student</v>
      </c>
      <c r="E2293" s="5" t="str">
        <f ca="1">IFERROR(__xludf.DUMMYFUNCTION("""COMPUTED_VALUE"""),"Teen")</f>
        <v>Teen</v>
      </c>
      <c r="F2293" s="5"/>
    </row>
    <row r="2294" spans="1:6">
      <c r="A2294" s="5" t="str">
        <f ca="1">IFERROR(__xludf.DUMMYFUNCTION("""COMPUTED_VALUE"""),"19920514TXHUH")</f>
        <v>19920514TXHUH</v>
      </c>
      <c r="B2294" s="5" t="str">
        <f ca="1">IFERROR(__xludf.DUMMYFUNCTION("""COMPUTED_VALUE"""),"Wounded")</f>
        <v>Wounded</v>
      </c>
      <c r="C2294" s="5" t="str">
        <f ca="1">IFERROR(__xludf.DUMMYFUNCTION("""COMPUTED_VALUE"""),"Male")</f>
        <v>Male</v>
      </c>
      <c r="D2294" s="5" t="str">
        <f ca="1">IFERROR(__xludf.DUMMYFUNCTION("""COMPUTED_VALUE"""),"Student")</f>
        <v>Student</v>
      </c>
      <c r="E2294" s="5" t="str">
        <f ca="1">IFERROR(__xludf.DUMMYFUNCTION("""COMPUTED_VALUE"""),"Teen")</f>
        <v>Teen</v>
      </c>
      <c r="F2294" s="5"/>
    </row>
    <row r="2295" spans="1:6">
      <c r="A2295" s="5" t="str">
        <f ca="1">IFERROR(__xludf.DUMMYFUNCTION("""COMPUTED_VALUE"""),"19920514CASIN")</f>
        <v>19920514CASIN</v>
      </c>
      <c r="B2295" s="5" t="str">
        <f ca="1">IFERROR(__xludf.DUMMYFUNCTION("""COMPUTED_VALUE"""),"Wounded")</f>
        <v>Wounded</v>
      </c>
      <c r="C2295" s="5" t="str">
        <f ca="1">IFERROR(__xludf.DUMMYFUNCTION("""COMPUTED_VALUE"""),"Male")</f>
        <v>Male</v>
      </c>
      <c r="D2295" s="5" t="str">
        <f ca="1">IFERROR(__xludf.DUMMYFUNCTION("""COMPUTED_VALUE"""),"Student")</f>
        <v>Student</v>
      </c>
      <c r="E2295" s="5" t="str">
        <f ca="1">IFERROR(__xludf.DUMMYFUNCTION("""COMPUTED_VALUE"""),"Teen")</f>
        <v>Teen</v>
      </c>
      <c r="F2295" s="5"/>
    </row>
    <row r="2296" spans="1:6">
      <c r="A2296" s="5" t="str">
        <f ca="1">IFERROR(__xludf.DUMMYFUNCTION("""COMPUTED_VALUE"""),"19920514CASIN")</f>
        <v>19920514CASIN</v>
      </c>
      <c r="B2296" s="5" t="str">
        <f ca="1">IFERROR(__xludf.DUMMYFUNCTION("""COMPUTED_VALUE"""),"Wounded")</f>
        <v>Wounded</v>
      </c>
      <c r="C2296" s="5" t="str">
        <f ca="1">IFERROR(__xludf.DUMMYFUNCTION("""COMPUTED_VALUE"""),"Male")</f>
        <v>Male</v>
      </c>
      <c r="D2296" s="5" t="str">
        <f ca="1">IFERROR(__xludf.DUMMYFUNCTION("""COMPUTED_VALUE"""),"Student")</f>
        <v>Student</v>
      </c>
      <c r="E2296" s="5" t="str">
        <f ca="1">IFERROR(__xludf.DUMMYFUNCTION("""COMPUTED_VALUE"""),"Teen")</f>
        <v>Teen</v>
      </c>
      <c r="F2296" s="5"/>
    </row>
    <row r="2297" spans="1:6">
      <c r="A2297" s="5" t="str">
        <f ca="1">IFERROR(__xludf.DUMMYFUNCTION("""COMPUTED_VALUE"""),"19920501CALIO")</f>
        <v>19920501CALIO</v>
      </c>
      <c r="B2297" s="5" t="str">
        <f ca="1">IFERROR(__xludf.DUMMYFUNCTION("""COMPUTED_VALUE"""),"Wounded")</f>
        <v>Wounded</v>
      </c>
      <c r="C2297" s="5"/>
      <c r="D2297" s="5" t="str">
        <f ca="1">IFERROR(__xludf.DUMMYFUNCTION("""COMPUTED_VALUE"""),"Student")</f>
        <v>Student</v>
      </c>
      <c r="E2297" s="5" t="str">
        <f ca="1">IFERROR(__xludf.DUMMYFUNCTION("""COMPUTED_VALUE"""),"Teen")</f>
        <v>Teen</v>
      </c>
      <c r="F2297" s="5"/>
    </row>
    <row r="2298" spans="1:6">
      <c r="A2298" s="5" t="str">
        <f ca="1">IFERROR(__xludf.DUMMYFUNCTION("""COMPUTED_VALUE"""),"19920501CALIO")</f>
        <v>19920501CALIO</v>
      </c>
      <c r="B2298" s="5" t="str">
        <f ca="1">IFERROR(__xludf.DUMMYFUNCTION("""COMPUTED_VALUE"""),"Wounded")</f>
        <v>Wounded</v>
      </c>
      <c r="C2298" s="5"/>
      <c r="D2298" s="5" t="str">
        <f ca="1">IFERROR(__xludf.DUMMYFUNCTION("""COMPUTED_VALUE"""),"Student")</f>
        <v>Student</v>
      </c>
      <c r="E2298" s="5" t="str">
        <f ca="1">IFERROR(__xludf.DUMMYFUNCTION("""COMPUTED_VALUE"""),"Teen")</f>
        <v>Teen</v>
      </c>
      <c r="F2298" s="5"/>
    </row>
    <row r="2299" spans="1:6">
      <c r="A2299" s="5" t="str">
        <f ca="1">IFERROR(__xludf.DUMMYFUNCTION("""COMPUTED_VALUE"""),"19920501CALIO")</f>
        <v>19920501CALIO</v>
      </c>
      <c r="B2299" s="5" t="str">
        <f ca="1">IFERROR(__xludf.DUMMYFUNCTION("""COMPUTED_VALUE"""),"Wounded")</f>
        <v>Wounded</v>
      </c>
      <c r="C2299" s="5"/>
      <c r="D2299" s="5" t="str">
        <f ca="1">IFERROR(__xludf.DUMMYFUNCTION("""COMPUTED_VALUE"""),"Student")</f>
        <v>Student</v>
      </c>
      <c r="E2299" s="5" t="str">
        <f ca="1">IFERROR(__xludf.DUMMYFUNCTION("""COMPUTED_VALUE"""),"Teen")</f>
        <v>Teen</v>
      </c>
      <c r="F2299" s="5"/>
    </row>
    <row r="2300" spans="1:6">
      <c r="A2300" s="5" t="str">
        <f ca="1">IFERROR(__xludf.DUMMYFUNCTION("""COMPUTED_VALUE"""),"19920501CALIO")</f>
        <v>19920501CALIO</v>
      </c>
      <c r="B2300" s="5" t="str">
        <f ca="1">IFERROR(__xludf.DUMMYFUNCTION("""COMPUTED_VALUE"""),"Wounded")</f>
        <v>Wounded</v>
      </c>
      <c r="C2300" s="5"/>
      <c r="D2300" s="5" t="str">
        <f ca="1">IFERROR(__xludf.DUMMYFUNCTION("""COMPUTED_VALUE"""),"Student")</f>
        <v>Student</v>
      </c>
      <c r="E2300" s="5" t="str">
        <f ca="1">IFERROR(__xludf.DUMMYFUNCTION("""COMPUTED_VALUE"""),"Teen")</f>
        <v>Teen</v>
      </c>
      <c r="F2300" s="5"/>
    </row>
    <row r="2301" spans="1:6">
      <c r="A2301" s="5" t="str">
        <f ca="1">IFERROR(__xludf.DUMMYFUNCTION("""COMPUTED_VALUE"""),"19920501CALIO")</f>
        <v>19920501CALIO</v>
      </c>
      <c r="B2301" s="5" t="str">
        <f ca="1">IFERROR(__xludf.DUMMYFUNCTION("""COMPUTED_VALUE"""),"Wounded")</f>
        <v>Wounded</v>
      </c>
      <c r="C2301" s="5"/>
      <c r="D2301" s="5" t="str">
        <f ca="1">IFERROR(__xludf.DUMMYFUNCTION("""COMPUTED_VALUE"""),"Teacher")</f>
        <v>Teacher</v>
      </c>
      <c r="E2301" s="5" t="str">
        <f ca="1">IFERROR(__xludf.DUMMYFUNCTION("""COMPUTED_VALUE"""),"Adult")</f>
        <v>Adult</v>
      </c>
      <c r="F2301" s="5"/>
    </row>
    <row r="2302" spans="1:6">
      <c r="A2302" s="5" t="str">
        <f ca="1">IFERROR(__xludf.DUMMYFUNCTION("""COMPUTED_VALUE"""),"19920501CALIO")</f>
        <v>19920501CALIO</v>
      </c>
      <c r="B2302" s="5" t="str">
        <f ca="1">IFERROR(__xludf.DUMMYFUNCTION("""COMPUTED_VALUE"""),"Fatal")</f>
        <v>Fatal</v>
      </c>
      <c r="C2302" s="5" t="str">
        <f ca="1">IFERROR(__xludf.DUMMYFUNCTION("""COMPUTED_VALUE"""),"Male")</f>
        <v>Male</v>
      </c>
      <c r="D2302" s="5" t="str">
        <f ca="1">IFERROR(__xludf.DUMMYFUNCTION("""COMPUTED_VALUE"""),"Teacher")</f>
        <v>Teacher</v>
      </c>
      <c r="E2302" s="5" t="str">
        <f ca="1">IFERROR(__xludf.DUMMYFUNCTION("""COMPUTED_VALUE"""),"Adult")</f>
        <v>Adult</v>
      </c>
      <c r="F2302" s="5"/>
    </row>
    <row r="2303" spans="1:6">
      <c r="A2303" s="5" t="str">
        <f ca="1">IFERROR(__xludf.DUMMYFUNCTION("""COMPUTED_VALUE"""),"19920501CALIO")</f>
        <v>19920501CALIO</v>
      </c>
      <c r="B2303" s="5" t="str">
        <f ca="1">IFERROR(__xludf.DUMMYFUNCTION("""COMPUTED_VALUE"""),"Wounded")</f>
        <v>Wounded</v>
      </c>
      <c r="C2303" s="5"/>
      <c r="D2303" s="5" t="str">
        <f ca="1">IFERROR(__xludf.DUMMYFUNCTION("""COMPUTED_VALUE"""),"Student")</f>
        <v>Student</v>
      </c>
      <c r="E2303" s="5" t="str">
        <f ca="1">IFERROR(__xludf.DUMMYFUNCTION("""COMPUTED_VALUE"""),"Teen")</f>
        <v>Teen</v>
      </c>
      <c r="F2303" s="5"/>
    </row>
    <row r="2304" spans="1:6">
      <c r="A2304" s="5" t="str">
        <f ca="1">IFERROR(__xludf.DUMMYFUNCTION("""COMPUTED_VALUE"""),"19920501CALIO")</f>
        <v>19920501CALIO</v>
      </c>
      <c r="B2304" s="5" t="str">
        <f ca="1">IFERROR(__xludf.DUMMYFUNCTION("""COMPUTED_VALUE"""),"Fatal")</f>
        <v>Fatal</v>
      </c>
      <c r="C2304" s="5" t="str">
        <f ca="1">IFERROR(__xludf.DUMMYFUNCTION("""COMPUTED_VALUE"""),"Male")</f>
        <v>Male</v>
      </c>
      <c r="D2304" s="5" t="str">
        <f ca="1">IFERROR(__xludf.DUMMYFUNCTION("""COMPUTED_VALUE"""),"Student")</f>
        <v>Student</v>
      </c>
      <c r="E2304" s="5">
        <f ca="1">IFERROR(__xludf.DUMMYFUNCTION("""COMPUTED_VALUE"""),16)</f>
        <v>16</v>
      </c>
      <c r="F2304" s="5"/>
    </row>
    <row r="2305" spans="1:6">
      <c r="A2305" s="5" t="str">
        <f ca="1">IFERROR(__xludf.DUMMYFUNCTION("""COMPUTED_VALUE"""),"19920501CALIO")</f>
        <v>19920501CALIO</v>
      </c>
      <c r="B2305" s="5" t="str">
        <f ca="1">IFERROR(__xludf.DUMMYFUNCTION("""COMPUTED_VALUE"""),"Wounded")</f>
        <v>Wounded</v>
      </c>
      <c r="C2305" s="5"/>
      <c r="D2305" s="5" t="str">
        <f ca="1">IFERROR(__xludf.DUMMYFUNCTION("""COMPUTED_VALUE"""),"Student")</f>
        <v>Student</v>
      </c>
      <c r="E2305" s="5" t="str">
        <f ca="1">IFERROR(__xludf.DUMMYFUNCTION("""COMPUTED_VALUE"""),"Teen")</f>
        <v>Teen</v>
      </c>
      <c r="F2305" s="5"/>
    </row>
    <row r="2306" spans="1:6">
      <c r="A2306" s="5" t="str">
        <f ca="1">IFERROR(__xludf.DUMMYFUNCTION("""COMPUTED_VALUE"""),"19920501CALIO")</f>
        <v>19920501CALIO</v>
      </c>
      <c r="B2306" s="5" t="str">
        <f ca="1">IFERROR(__xludf.DUMMYFUNCTION("""COMPUTED_VALUE"""),"Wounded")</f>
        <v>Wounded</v>
      </c>
      <c r="C2306" s="5"/>
      <c r="D2306" s="5" t="str">
        <f ca="1">IFERROR(__xludf.DUMMYFUNCTION("""COMPUTED_VALUE"""),"Student")</f>
        <v>Student</v>
      </c>
      <c r="E2306" s="5" t="str">
        <f ca="1">IFERROR(__xludf.DUMMYFUNCTION("""COMPUTED_VALUE"""),"Teen")</f>
        <v>Teen</v>
      </c>
      <c r="F2306" s="5"/>
    </row>
    <row r="2307" spans="1:6">
      <c r="A2307" s="5" t="str">
        <f ca="1">IFERROR(__xludf.DUMMYFUNCTION("""COMPUTED_VALUE"""),"19920501CALIO")</f>
        <v>19920501CALIO</v>
      </c>
      <c r="B2307" s="5" t="str">
        <f ca="1">IFERROR(__xludf.DUMMYFUNCTION("""COMPUTED_VALUE"""),"Fatal")</f>
        <v>Fatal</v>
      </c>
      <c r="C2307" s="5" t="str">
        <f ca="1">IFERROR(__xludf.DUMMYFUNCTION("""COMPUTED_VALUE"""),"Male")</f>
        <v>Male</v>
      </c>
      <c r="D2307" s="5" t="str">
        <f ca="1">IFERROR(__xludf.DUMMYFUNCTION("""COMPUTED_VALUE"""),"Student")</f>
        <v>Student</v>
      </c>
      <c r="E2307" s="5">
        <f ca="1">IFERROR(__xludf.DUMMYFUNCTION("""COMPUTED_VALUE"""),17)</f>
        <v>17</v>
      </c>
      <c r="F2307" s="5"/>
    </row>
    <row r="2308" spans="1:6">
      <c r="A2308" s="5" t="str">
        <f ca="1">IFERROR(__xludf.DUMMYFUNCTION("""COMPUTED_VALUE"""),"19920501CALIO")</f>
        <v>19920501CALIO</v>
      </c>
      <c r="B2308" s="5" t="str">
        <f ca="1">IFERROR(__xludf.DUMMYFUNCTION("""COMPUTED_VALUE"""),"Wounded")</f>
        <v>Wounded</v>
      </c>
      <c r="C2308" s="5"/>
      <c r="D2308" s="5" t="str">
        <f ca="1">IFERROR(__xludf.DUMMYFUNCTION("""COMPUTED_VALUE"""),"Student")</f>
        <v>Student</v>
      </c>
      <c r="E2308" s="5" t="str">
        <f ca="1">IFERROR(__xludf.DUMMYFUNCTION("""COMPUTED_VALUE"""),"Teen")</f>
        <v>Teen</v>
      </c>
      <c r="F2308" s="5"/>
    </row>
    <row r="2309" spans="1:6">
      <c r="A2309" s="5" t="str">
        <f ca="1">IFERROR(__xludf.DUMMYFUNCTION("""COMPUTED_VALUE"""),"19920501CALIO")</f>
        <v>19920501CALIO</v>
      </c>
      <c r="B2309" s="5" t="str">
        <f ca="1">IFERROR(__xludf.DUMMYFUNCTION("""COMPUTED_VALUE"""),"Wounded")</f>
        <v>Wounded</v>
      </c>
      <c r="C2309" s="5"/>
      <c r="D2309" s="5" t="str">
        <f ca="1">IFERROR(__xludf.DUMMYFUNCTION("""COMPUTED_VALUE"""),"Student")</f>
        <v>Student</v>
      </c>
      <c r="E2309" s="5" t="str">
        <f ca="1">IFERROR(__xludf.DUMMYFUNCTION("""COMPUTED_VALUE"""),"Teen")</f>
        <v>Teen</v>
      </c>
      <c r="F2309" s="5"/>
    </row>
    <row r="2310" spans="1:6">
      <c r="A2310" s="5" t="str">
        <f ca="1">IFERROR(__xludf.DUMMYFUNCTION("""COMPUTED_VALUE"""),"19920501CALIO")</f>
        <v>19920501CALIO</v>
      </c>
      <c r="B2310" s="5" t="str">
        <f ca="1">IFERROR(__xludf.DUMMYFUNCTION("""COMPUTED_VALUE"""),"Fatal")</f>
        <v>Fatal</v>
      </c>
      <c r="C2310" s="5" t="str">
        <f ca="1">IFERROR(__xludf.DUMMYFUNCTION("""COMPUTED_VALUE"""),"Male")</f>
        <v>Male</v>
      </c>
      <c r="D2310" s="5" t="str">
        <f ca="1">IFERROR(__xludf.DUMMYFUNCTION("""COMPUTED_VALUE"""),"Student")</f>
        <v>Student</v>
      </c>
      <c r="E2310" s="5" t="str">
        <f ca="1">IFERROR(__xludf.DUMMYFUNCTION("""COMPUTED_VALUE"""),"Teen")</f>
        <v>Teen</v>
      </c>
      <c r="F2310" s="5"/>
    </row>
    <row r="2311" spans="1:6">
      <c r="A2311" s="5" t="str">
        <f ca="1">IFERROR(__xludf.DUMMYFUNCTION("""COMPUTED_VALUE"""),"19920417TXLID")</f>
        <v>19920417TXLID</v>
      </c>
      <c r="B2311" s="5" t="str">
        <f ca="1">IFERROR(__xludf.DUMMYFUNCTION("""COMPUTED_VALUE"""),"Fatal")</f>
        <v>Fatal</v>
      </c>
      <c r="C2311" s="5" t="str">
        <f ca="1">IFERROR(__xludf.DUMMYFUNCTION("""COMPUTED_VALUE"""),"Male")</f>
        <v>Male</v>
      </c>
      <c r="D2311" s="5" t="str">
        <f ca="1">IFERROR(__xludf.DUMMYFUNCTION("""COMPUTED_VALUE"""),"Former Student")</f>
        <v>Former Student</v>
      </c>
      <c r="E2311" s="5" t="str">
        <f ca="1">IFERROR(__xludf.DUMMYFUNCTION("""COMPUTED_VALUE"""),"Adult")</f>
        <v>Adult</v>
      </c>
      <c r="F2311" s="5"/>
    </row>
    <row r="2312" spans="1:6">
      <c r="A2312" s="5" t="str">
        <f ca="1">IFERROR(__xludf.DUMMYFUNCTION("""COMPUTED_VALUE"""),"19920409FLFOF")</f>
        <v>19920409FLFOF</v>
      </c>
      <c r="B2312" s="5" t="str">
        <f ca="1">IFERROR(__xludf.DUMMYFUNCTION("""COMPUTED_VALUE"""),"Wounded")</f>
        <v>Wounded</v>
      </c>
      <c r="C2312" s="5" t="str">
        <f ca="1">IFERROR(__xludf.DUMMYFUNCTION("""COMPUTED_VALUE"""),"Male")</f>
        <v>Male</v>
      </c>
      <c r="D2312" s="5" t="str">
        <f ca="1">IFERROR(__xludf.DUMMYFUNCTION("""COMPUTED_VALUE"""),"Student")</f>
        <v>Student</v>
      </c>
      <c r="E2312" s="5">
        <f ca="1">IFERROR(__xludf.DUMMYFUNCTION("""COMPUTED_VALUE"""),18)</f>
        <v>18</v>
      </c>
      <c r="F2312" s="5"/>
    </row>
    <row r="2313" spans="1:6">
      <c r="A2313" s="5" t="str">
        <f ca="1">IFERROR(__xludf.DUMMYFUNCTION("""COMPUTED_VALUE"""),"19920331LAOPA")</f>
        <v>19920331LAOPA</v>
      </c>
      <c r="B2313" s="5" t="str">
        <f ca="1">IFERROR(__xludf.DUMMYFUNCTION("""COMPUTED_VALUE"""),"Fatal")</f>
        <v>Fatal</v>
      </c>
      <c r="C2313" s="5" t="str">
        <f ca="1">IFERROR(__xludf.DUMMYFUNCTION("""COMPUTED_VALUE"""),"Male")</f>
        <v>Male</v>
      </c>
      <c r="D2313" s="5" t="str">
        <f ca="1">IFERROR(__xludf.DUMMYFUNCTION("""COMPUTED_VALUE"""),"Student")</f>
        <v>Student</v>
      </c>
      <c r="E2313" s="5" t="str">
        <f ca="1">IFERROR(__xludf.DUMMYFUNCTION("""COMPUTED_VALUE"""),"Teen")</f>
        <v>Teen</v>
      </c>
      <c r="F2313" s="5"/>
    </row>
    <row r="2314" spans="1:6">
      <c r="A2314" s="5" t="str">
        <f ca="1">IFERROR(__xludf.DUMMYFUNCTION("""COMPUTED_VALUE"""),"19920305OHHAO")</f>
        <v>19920305OHHAO</v>
      </c>
      <c r="B2314" s="5" t="str">
        <f ca="1">IFERROR(__xludf.DUMMYFUNCTION("""COMPUTED_VALUE"""),"Wounded")</f>
        <v>Wounded</v>
      </c>
      <c r="C2314" s="5" t="str">
        <f ca="1">IFERROR(__xludf.DUMMYFUNCTION("""COMPUTED_VALUE"""),"Male")</f>
        <v>Male</v>
      </c>
      <c r="D2314" s="5" t="str">
        <f ca="1">IFERROR(__xludf.DUMMYFUNCTION("""COMPUTED_VALUE"""),"Student")</f>
        <v>Student</v>
      </c>
      <c r="E2314" s="5" t="str">
        <f ca="1">IFERROR(__xludf.DUMMYFUNCTION("""COMPUTED_VALUE"""),"Teen")</f>
        <v>Teen</v>
      </c>
      <c r="F2314" s="5"/>
    </row>
    <row r="2315" spans="1:6">
      <c r="A2315" s="5" t="str">
        <f ca="1">IFERROR(__xludf.DUMMYFUNCTION("""COMPUTED_VALUE"""),"19920226NYTHB")</f>
        <v>19920226NYTHB</v>
      </c>
      <c r="B2315" s="5" t="str">
        <f ca="1">IFERROR(__xludf.DUMMYFUNCTION("""COMPUTED_VALUE"""),"Fatal")</f>
        <v>Fatal</v>
      </c>
      <c r="C2315" s="5" t="str">
        <f ca="1">IFERROR(__xludf.DUMMYFUNCTION("""COMPUTED_VALUE"""),"Male")</f>
        <v>Male</v>
      </c>
      <c r="D2315" s="5" t="str">
        <f ca="1">IFERROR(__xludf.DUMMYFUNCTION("""COMPUTED_VALUE"""),"Student")</f>
        <v>Student</v>
      </c>
      <c r="E2315" s="5">
        <f ca="1">IFERROR(__xludf.DUMMYFUNCTION("""COMPUTED_VALUE"""),16)</f>
        <v>16</v>
      </c>
      <c r="F2315" s="5"/>
    </row>
    <row r="2316" spans="1:6">
      <c r="A2316" s="5" t="str">
        <f ca="1">IFERROR(__xludf.DUMMYFUNCTION("""COMPUTED_VALUE"""),"19920226NYTHB")</f>
        <v>19920226NYTHB</v>
      </c>
      <c r="B2316" s="5" t="str">
        <f ca="1">IFERROR(__xludf.DUMMYFUNCTION("""COMPUTED_VALUE"""),"Fatal")</f>
        <v>Fatal</v>
      </c>
      <c r="C2316" s="5" t="str">
        <f ca="1">IFERROR(__xludf.DUMMYFUNCTION("""COMPUTED_VALUE"""),"Male")</f>
        <v>Male</v>
      </c>
      <c r="D2316" s="5" t="str">
        <f ca="1">IFERROR(__xludf.DUMMYFUNCTION("""COMPUTED_VALUE"""),"Student")</f>
        <v>Student</v>
      </c>
      <c r="E2316" s="5">
        <f ca="1">IFERROR(__xludf.DUMMYFUNCTION("""COMPUTED_VALUE"""),17)</f>
        <v>17</v>
      </c>
      <c r="F2316" s="5"/>
    </row>
    <row r="2317" spans="1:6">
      <c r="A2317" s="5" t="str">
        <f ca="1">IFERROR(__xludf.DUMMYFUNCTION("""COMPUTED_VALUE"""),"19920207VABON")</f>
        <v>19920207VABON</v>
      </c>
      <c r="B2317" s="5" t="str">
        <f ca="1">IFERROR(__xludf.DUMMYFUNCTION("""COMPUTED_VALUE"""),"Fatal")</f>
        <v>Fatal</v>
      </c>
      <c r="C2317" s="5" t="str">
        <f ca="1">IFERROR(__xludf.DUMMYFUNCTION("""COMPUTED_VALUE"""),"Male")</f>
        <v>Male</v>
      </c>
      <c r="D2317" s="5" t="str">
        <f ca="1">IFERROR(__xludf.DUMMYFUNCTION("""COMPUTED_VALUE"""),"Student")</f>
        <v>Student</v>
      </c>
      <c r="E2317" s="5">
        <f ca="1">IFERROR(__xludf.DUMMYFUNCTION("""COMPUTED_VALUE"""),19)</f>
        <v>19</v>
      </c>
      <c r="F2317" s="5"/>
    </row>
    <row r="2318" spans="1:6">
      <c r="A2318" s="5" t="str">
        <f ca="1">IFERROR(__xludf.DUMMYFUNCTION("""COMPUTED_VALUE"""),"19920207VABON")</f>
        <v>19920207VABON</v>
      </c>
      <c r="B2318" s="5" t="str">
        <f ca="1">IFERROR(__xludf.DUMMYFUNCTION("""COMPUTED_VALUE"""),"Wounded")</f>
        <v>Wounded</v>
      </c>
      <c r="C2318" s="5" t="str">
        <f ca="1">IFERROR(__xludf.DUMMYFUNCTION("""COMPUTED_VALUE"""),"Male")</f>
        <v>Male</v>
      </c>
      <c r="D2318" s="5" t="str">
        <f ca="1">IFERROR(__xludf.DUMMYFUNCTION("""COMPUTED_VALUE"""),"Student")</f>
        <v>Student</v>
      </c>
      <c r="E2318" s="5">
        <f ca="1">IFERROR(__xludf.DUMMYFUNCTION("""COMPUTED_VALUE"""),18)</f>
        <v>18</v>
      </c>
      <c r="F2318" s="5"/>
    </row>
    <row r="2319" spans="1:6">
      <c r="A2319" s="5" t="str">
        <f ca="1">IFERROR(__xludf.DUMMYFUNCTION("""COMPUTED_VALUE"""),"19920206OKDOO")</f>
        <v>19920206OKDOO</v>
      </c>
      <c r="B2319" s="5" t="str">
        <f ca="1">IFERROR(__xludf.DUMMYFUNCTION("""COMPUTED_VALUE"""),"Fatal")</f>
        <v>Fatal</v>
      </c>
      <c r="C2319" s="5" t="str">
        <f ca="1">IFERROR(__xludf.DUMMYFUNCTION("""COMPUTED_VALUE"""),"Male")</f>
        <v>Male</v>
      </c>
      <c r="D2319" s="5" t="str">
        <f ca="1">IFERROR(__xludf.DUMMYFUNCTION("""COMPUTED_VALUE"""),"Student")</f>
        <v>Student</v>
      </c>
      <c r="E2319" s="5" t="str">
        <f ca="1">IFERROR(__xludf.DUMMYFUNCTION("""COMPUTED_VALUE"""),"Teen")</f>
        <v>Teen</v>
      </c>
      <c r="F2319" s="5"/>
    </row>
    <row r="2320" spans="1:6">
      <c r="A2320" s="5" t="str">
        <f ca="1">IFERROR(__xludf.DUMMYFUNCTION("""COMPUTED_VALUE"""),"19920131LAFRG")</f>
        <v>19920131LAFRG</v>
      </c>
      <c r="B2320" s="5" t="str">
        <f ca="1">IFERROR(__xludf.DUMMYFUNCTION("""COMPUTED_VALUE"""),"Wounded")</f>
        <v>Wounded</v>
      </c>
      <c r="C2320" s="5" t="str">
        <f ca="1">IFERROR(__xludf.DUMMYFUNCTION("""COMPUTED_VALUE"""),"Male")</f>
        <v>Male</v>
      </c>
      <c r="D2320" s="5" t="str">
        <f ca="1">IFERROR(__xludf.DUMMYFUNCTION("""COMPUTED_VALUE"""),"Student")</f>
        <v>Student</v>
      </c>
      <c r="E2320" s="5">
        <f ca="1">IFERROR(__xludf.DUMMYFUNCTION("""COMPUTED_VALUE"""),13)</f>
        <v>13</v>
      </c>
      <c r="F2320" s="5"/>
    </row>
    <row r="2321" spans="1:6">
      <c r="A2321" s="5" t="str">
        <f ca="1">IFERROR(__xludf.DUMMYFUNCTION("""COMPUTED_VALUE"""),"19920128LAFRG")</f>
        <v>19920128LAFRG</v>
      </c>
      <c r="B2321" s="5" t="str">
        <f ca="1">IFERROR(__xludf.DUMMYFUNCTION("""COMPUTED_VALUE"""),"Wounded")</f>
        <v>Wounded</v>
      </c>
      <c r="C2321" s="5" t="str">
        <f ca="1">IFERROR(__xludf.DUMMYFUNCTION("""COMPUTED_VALUE"""),"Male")</f>
        <v>Male</v>
      </c>
      <c r="D2321" s="5" t="str">
        <f ca="1">IFERROR(__xludf.DUMMYFUNCTION("""COMPUTED_VALUE"""),"Student")</f>
        <v>Student</v>
      </c>
      <c r="E2321" s="5">
        <f ca="1">IFERROR(__xludf.DUMMYFUNCTION("""COMPUTED_VALUE"""),14)</f>
        <v>14</v>
      </c>
      <c r="F2321" s="5"/>
    </row>
    <row r="2322" spans="1:6">
      <c r="A2322" s="5" t="str">
        <f ca="1">IFERROR(__xludf.DUMMYFUNCTION("""COMPUTED_VALUE"""),"19920117SCGRG")</f>
        <v>19920117SCGRG</v>
      </c>
      <c r="B2322" s="5" t="str">
        <f ca="1">IFERROR(__xludf.DUMMYFUNCTION("""COMPUTED_VALUE"""),"Wounded")</f>
        <v>Wounded</v>
      </c>
      <c r="C2322" s="5" t="str">
        <f ca="1">IFERROR(__xludf.DUMMYFUNCTION("""COMPUTED_VALUE"""),"Male")</f>
        <v>Male</v>
      </c>
      <c r="D2322" s="5" t="str">
        <f ca="1">IFERROR(__xludf.DUMMYFUNCTION("""COMPUTED_VALUE"""),"Student")</f>
        <v>Student</v>
      </c>
      <c r="E2322" s="5">
        <f ca="1">IFERROR(__xludf.DUMMYFUNCTION("""COMPUTED_VALUE"""),18)</f>
        <v>18</v>
      </c>
      <c r="F2322" s="5"/>
    </row>
    <row r="2323" spans="1:6">
      <c r="A2323" s="5" t="str">
        <f ca="1">IFERROR(__xludf.DUMMYFUNCTION("""COMPUTED_VALUE"""),"19911226NCWHW")</f>
        <v>19911226NCWHW</v>
      </c>
      <c r="B2323" s="5" t="str">
        <f ca="1">IFERROR(__xludf.DUMMYFUNCTION("""COMPUTED_VALUE"""),"Wounded")</f>
        <v>Wounded</v>
      </c>
      <c r="C2323" s="5" t="str">
        <f ca="1">IFERROR(__xludf.DUMMYFUNCTION("""COMPUTED_VALUE"""),"Male")</f>
        <v>Male</v>
      </c>
      <c r="D2323" s="5" t="str">
        <f ca="1">IFERROR(__xludf.DUMMYFUNCTION("""COMPUTED_VALUE"""),"Nonstudent Using Athletic Facilities/Attending Game")</f>
        <v>Nonstudent Using Athletic Facilities/Attending Game</v>
      </c>
      <c r="E2323" s="5" t="str">
        <f ca="1">IFERROR(__xludf.DUMMYFUNCTION("""COMPUTED_VALUE"""),"Adult")</f>
        <v>Adult</v>
      </c>
      <c r="F2323" s="5"/>
    </row>
    <row r="2324" spans="1:6">
      <c r="A2324" s="5" t="str">
        <f ca="1">IFERROR(__xludf.DUMMYFUNCTION("""COMPUTED_VALUE"""),"19911226NCWHW")</f>
        <v>19911226NCWHW</v>
      </c>
      <c r="B2324" s="5" t="str">
        <f ca="1">IFERROR(__xludf.DUMMYFUNCTION("""COMPUTED_VALUE"""),"Wounded")</f>
        <v>Wounded</v>
      </c>
      <c r="C2324" s="5" t="str">
        <f ca="1">IFERROR(__xludf.DUMMYFUNCTION("""COMPUTED_VALUE"""),"Male")</f>
        <v>Male</v>
      </c>
      <c r="D2324" s="5" t="str">
        <f ca="1">IFERROR(__xludf.DUMMYFUNCTION("""COMPUTED_VALUE"""),"Nonstudent Using Athletic Facilities/Attending Game")</f>
        <v>Nonstudent Using Athletic Facilities/Attending Game</v>
      </c>
      <c r="E2324" s="5" t="str">
        <f ca="1">IFERROR(__xludf.DUMMYFUNCTION("""COMPUTED_VALUE"""),"Adult")</f>
        <v>Adult</v>
      </c>
      <c r="F2324" s="5"/>
    </row>
    <row r="2325" spans="1:6">
      <c r="A2325" s="5" t="str">
        <f ca="1">IFERROR(__xludf.DUMMYFUNCTION("""COMPUTED_VALUE"""),"19911125NYTHB")</f>
        <v>19911125NYTHB</v>
      </c>
      <c r="B2325" s="5" t="str">
        <f ca="1">IFERROR(__xludf.DUMMYFUNCTION("""COMPUTED_VALUE"""),"Fatal")</f>
        <v>Fatal</v>
      </c>
      <c r="C2325" s="5" t="str">
        <f ca="1">IFERROR(__xludf.DUMMYFUNCTION("""COMPUTED_VALUE"""),"Male")</f>
        <v>Male</v>
      </c>
      <c r="D2325" s="5" t="str">
        <f ca="1">IFERROR(__xludf.DUMMYFUNCTION("""COMPUTED_VALUE"""),"Student")</f>
        <v>Student</v>
      </c>
      <c r="E2325" s="5">
        <f ca="1">IFERROR(__xludf.DUMMYFUNCTION("""COMPUTED_VALUE"""),16)</f>
        <v>16</v>
      </c>
      <c r="F2325" s="5"/>
    </row>
    <row r="2326" spans="1:6">
      <c r="A2326" s="5" t="str">
        <f ca="1">IFERROR(__xludf.DUMMYFUNCTION("""COMPUTED_VALUE"""),"19911125NYTHB")</f>
        <v>19911125NYTHB</v>
      </c>
      <c r="B2326" s="5" t="str">
        <f ca="1">IFERROR(__xludf.DUMMYFUNCTION("""COMPUTED_VALUE"""),"Wounded")</f>
        <v>Wounded</v>
      </c>
      <c r="C2326" s="5" t="str">
        <f ca="1">IFERROR(__xludf.DUMMYFUNCTION("""COMPUTED_VALUE"""),"Male")</f>
        <v>Male</v>
      </c>
      <c r="D2326" s="5" t="str">
        <f ca="1">IFERROR(__xludf.DUMMYFUNCTION("""COMPUTED_VALUE"""),"Teacher")</f>
        <v>Teacher</v>
      </c>
      <c r="E2326" s="5">
        <f ca="1">IFERROR(__xludf.DUMMYFUNCTION("""COMPUTED_VALUE"""),48)</f>
        <v>48</v>
      </c>
      <c r="F2326" s="5"/>
    </row>
    <row r="2327" spans="1:6">
      <c r="A2327" s="5" t="str">
        <f ca="1">IFERROR(__xludf.DUMMYFUNCTION("""COMPUTED_VALUE"""),"19911114TXMIH")</f>
        <v>19911114TXMIH</v>
      </c>
      <c r="B2327" s="5" t="str">
        <f ca="1">IFERROR(__xludf.DUMMYFUNCTION("""COMPUTED_VALUE"""),"Wounded")</f>
        <v>Wounded</v>
      </c>
      <c r="C2327" s="5" t="str">
        <f ca="1">IFERROR(__xludf.DUMMYFUNCTION("""COMPUTED_VALUE"""),"Male")</f>
        <v>Male</v>
      </c>
      <c r="D2327" s="5" t="str">
        <f ca="1">IFERROR(__xludf.DUMMYFUNCTION("""COMPUTED_VALUE"""),"Student")</f>
        <v>Student</v>
      </c>
      <c r="E2327" s="5">
        <f ca="1">IFERROR(__xludf.DUMMYFUNCTION("""COMPUTED_VALUE"""),18)</f>
        <v>18</v>
      </c>
      <c r="F2327" s="5"/>
    </row>
    <row r="2328" spans="1:6">
      <c r="A2328" s="5" t="str">
        <f ca="1">IFERROR(__xludf.DUMMYFUNCTION("""COMPUTED_VALUE"""),"19911111TXYSE")</f>
        <v>19911111TXYSE</v>
      </c>
      <c r="B2328" s="5" t="str">
        <f ca="1">IFERROR(__xludf.DUMMYFUNCTION("""COMPUTED_VALUE"""),"Fatal")</f>
        <v>Fatal</v>
      </c>
      <c r="C2328" s="5" t="str">
        <f ca="1">IFERROR(__xludf.DUMMYFUNCTION("""COMPUTED_VALUE"""),"Male")</f>
        <v>Male</v>
      </c>
      <c r="D2328" s="5" t="str">
        <f ca="1">IFERROR(__xludf.DUMMYFUNCTION("""COMPUTED_VALUE"""),"Student")</f>
        <v>Student</v>
      </c>
      <c r="E2328" s="5">
        <f ca="1">IFERROR(__xludf.DUMMYFUNCTION("""COMPUTED_VALUE"""),15)</f>
        <v>15</v>
      </c>
      <c r="F2328" s="5"/>
    </row>
    <row r="2329" spans="1:6">
      <c r="A2329" s="5" t="str">
        <f ca="1">IFERROR(__xludf.DUMMYFUNCTION("""COMPUTED_VALUE"""),"19911111TXYSE")</f>
        <v>19911111TXYSE</v>
      </c>
      <c r="B2329" s="5" t="str">
        <f ca="1">IFERROR(__xludf.DUMMYFUNCTION("""COMPUTED_VALUE"""),"Wounded")</f>
        <v>Wounded</v>
      </c>
      <c r="C2329" s="5" t="str">
        <f ca="1">IFERROR(__xludf.DUMMYFUNCTION("""COMPUTED_VALUE"""),"Male")</f>
        <v>Male</v>
      </c>
      <c r="D2329" s="5" t="str">
        <f ca="1">IFERROR(__xludf.DUMMYFUNCTION("""COMPUTED_VALUE"""),"Student")</f>
        <v>Student</v>
      </c>
      <c r="E2329" s="5">
        <f ca="1">IFERROR(__xludf.DUMMYFUNCTION("""COMPUTED_VALUE"""),18)</f>
        <v>18</v>
      </c>
      <c r="F2329" s="5"/>
    </row>
    <row r="2330" spans="1:6">
      <c r="A2330" s="5" t="str">
        <f ca="1">IFERROR(__xludf.DUMMYFUNCTION("""COMPUTED_VALUE"""),"19911106LAWAN")</f>
        <v>19911106LAWAN</v>
      </c>
      <c r="B2330" s="5" t="str">
        <f ca="1">IFERROR(__xludf.DUMMYFUNCTION("""COMPUTED_VALUE"""),"Fatal")</f>
        <v>Fatal</v>
      </c>
      <c r="C2330" s="5" t="str">
        <f ca="1">IFERROR(__xludf.DUMMYFUNCTION("""COMPUTED_VALUE"""),"Male")</f>
        <v>Male</v>
      </c>
      <c r="D2330" s="5" t="str">
        <f ca="1">IFERROR(__xludf.DUMMYFUNCTION("""COMPUTED_VALUE"""),"Student")</f>
        <v>Student</v>
      </c>
      <c r="E2330" s="5" t="str">
        <f ca="1">IFERROR(__xludf.DUMMYFUNCTION("""COMPUTED_VALUE"""),"Teen")</f>
        <v>Teen</v>
      </c>
      <c r="F2330" s="5"/>
    </row>
    <row r="2331" spans="1:6">
      <c r="A2331" s="5" t="str">
        <f ca="1">IFERROR(__xludf.DUMMYFUNCTION("""COMPUTED_VALUE"""),"19911106LAWAN")</f>
        <v>19911106LAWAN</v>
      </c>
      <c r="B2331" s="5" t="str">
        <f ca="1">IFERROR(__xludf.DUMMYFUNCTION("""COMPUTED_VALUE"""),"Wounded")</f>
        <v>Wounded</v>
      </c>
      <c r="C2331" s="5" t="str">
        <f ca="1">IFERROR(__xludf.DUMMYFUNCTION("""COMPUTED_VALUE"""),"Male")</f>
        <v>Male</v>
      </c>
      <c r="D2331" s="5" t="str">
        <f ca="1">IFERROR(__xludf.DUMMYFUNCTION("""COMPUTED_VALUE"""),"Student")</f>
        <v>Student</v>
      </c>
      <c r="E2331" s="5" t="str">
        <f ca="1">IFERROR(__xludf.DUMMYFUNCTION("""COMPUTED_VALUE"""),"Teen")</f>
        <v>Teen</v>
      </c>
      <c r="F2331" s="5"/>
    </row>
    <row r="2332" spans="1:6">
      <c r="A2332" s="5" t="str">
        <f ca="1">IFERROR(__xludf.DUMMYFUNCTION("""COMPUTED_VALUE"""),"19911023TXOAD")</f>
        <v>19911023TXOAD</v>
      </c>
      <c r="B2332" s="5" t="str">
        <f ca="1">IFERROR(__xludf.DUMMYFUNCTION("""COMPUTED_VALUE"""),"Fatal")</f>
        <v>Fatal</v>
      </c>
      <c r="C2332" s="5" t="str">
        <f ca="1">IFERROR(__xludf.DUMMYFUNCTION("""COMPUTED_VALUE"""),"Male")</f>
        <v>Male</v>
      </c>
      <c r="D2332" s="5" t="str">
        <f ca="1">IFERROR(__xludf.DUMMYFUNCTION("""COMPUTED_VALUE"""),"Student")</f>
        <v>Student</v>
      </c>
      <c r="E2332" s="5" t="str">
        <f ca="1">IFERROR(__xludf.DUMMYFUNCTION("""COMPUTED_VALUE"""),"Teen")</f>
        <v>Teen</v>
      </c>
      <c r="F2332" s="5"/>
    </row>
    <row r="2333" spans="1:6">
      <c r="A2333" s="5" t="str">
        <f ca="1">IFERROR(__xludf.DUMMYFUNCTION("""COMPUTED_VALUE"""),"19911015TXGEP")</f>
        <v>19911015TXGEP</v>
      </c>
      <c r="B2333" s="5" t="str">
        <f ca="1">IFERROR(__xludf.DUMMYFUNCTION("""COMPUTED_VALUE"""),"Wounded")</f>
        <v>Wounded</v>
      </c>
      <c r="C2333" s="5" t="str">
        <f ca="1">IFERROR(__xludf.DUMMYFUNCTION("""COMPUTED_VALUE"""),"Male")</f>
        <v>Male</v>
      </c>
      <c r="D2333" s="5" t="str">
        <f ca="1">IFERROR(__xludf.DUMMYFUNCTION("""COMPUTED_VALUE"""),"Student")</f>
        <v>Student</v>
      </c>
      <c r="E2333" s="5" t="str">
        <f ca="1">IFERROR(__xludf.DUMMYFUNCTION("""COMPUTED_VALUE"""),"Teen")</f>
        <v>Teen</v>
      </c>
      <c r="F2333" s="5"/>
    </row>
    <row r="2334" spans="1:6">
      <c r="A2334" s="5" t="str">
        <f ca="1">IFERROR(__xludf.DUMMYFUNCTION("""COMPUTED_VALUE"""),"19911015SCWOW")</f>
        <v>19911015SCWOW</v>
      </c>
      <c r="B2334" s="5" t="str">
        <f ca="1">IFERROR(__xludf.DUMMYFUNCTION("""COMPUTED_VALUE"""),"None")</f>
        <v>None</v>
      </c>
      <c r="C2334" s="5"/>
      <c r="D2334" s="5"/>
      <c r="E2334" s="5"/>
      <c r="F2334" s="5"/>
    </row>
    <row r="2335" spans="1:6">
      <c r="A2335" s="5" t="str">
        <f ca="1">IFERROR(__xludf.DUMMYFUNCTION("""COMPUTED_VALUE"""),"19911015NHMOS")</f>
        <v>19911015NHMOS</v>
      </c>
      <c r="B2335" s="5" t="str">
        <f ca="1">IFERROR(__xludf.DUMMYFUNCTION("""COMPUTED_VALUE"""),"Wounded")</f>
        <v>Wounded</v>
      </c>
      <c r="C2335" s="5"/>
      <c r="D2335" s="5" t="str">
        <f ca="1">IFERROR(__xludf.DUMMYFUNCTION("""COMPUTED_VALUE"""),"Student")</f>
        <v>Student</v>
      </c>
      <c r="E2335" s="5" t="str">
        <f ca="1">IFERROR(__xludf.DUMMYFUNCTION("""COMPUTED_VALUE"""),"Teen")</f>
        <v>Teen</v>
      </c>
      <c r="F2335" s="5"/>
    </row>
    <row r="2336" spans="1:6">
      <c r="A2336" s="5" t="str">
        <f ca="1">IFERROR(__xludf.DUMMYFUNCTION("""COMPUTED_VALUE"""),"19911015NHMOS")</f>
        <v>19911015NHMOS</v>
      </c>
      <c r="B2336" s="5" t="str">
        <f ca="1">IFERROR(__xludf.DUMMYFUNCTION("""COMPUTED_VALUE"""),"Wounded")</f>
        <v>Wounded</v>
      </c>
      <c r="C2336" s="5"/>
      <c r="D2336" s="5" t="str">
        <f ca="1">IFERROR(__xludf.DUMMYFUNCTION("""COMPUTED_VALUE"""),"Student")</f>
        <v>Student</v>
      </c>
      <c r="E2336" s="5" t="str">
        <f ca="1">IFERROR(__xludf.DUMMYFUNCTION("""COMPUTED_VALUE"""),"Teen")</f>
        <v>Teen</v>
      </c>
      <c r="F2336" s="5"/>
    </row>
    <row r="2337" spans="1:6">
      <c r="A2337" s="5" t="str">
        <f ca="1">IFERROR(__xludf.DUMMYFUNCTION("""COMPUTED_VALUE"""),"19911011MAMAR")</f>
        <v>19911011MAMAR</v>
      </c>
      <c r="B2337" s="5" t="str">
        <f ca="1">IFERROR(__xludf.DUMMYFUNCTION("""COMPUTED_VALUE"""),"Wounded")</f>
        <v>Wounded</v>
      </c>
      <c r="C2337" s="5" t="str">
        <f ca="1">IFERROR(__xludf.DUMMYFUNCTION("""COMPUTED_VALUE"""),"Male")</f>
        <v>Male</v>
      </c>
      <c r="D2337" s="5" t="str">
        <f ca="1">IFERROR(__xludf.DUMMYFUNCTION("""COMPUTED_VALUE"""),"Nonstudent")</f>
        <v>Nonstudent</v>
      </c>
      <c r="E2337" s="5">
        <f ca="1">IFERROR(__xludf.DUMMYFUNCTION("""COMPUTED_VALUE"""),17)</f>
        <v>17</v>
      </c>
      <c r="F2337" s="5" t="str">
        <f ca="1">IFERROR(__xludf.DUMMYFUNCTION("""COMPUTED_VALUE"""),"Black")</f>
        <v>Black</v>
      </c>
    </row>
    <row r="2338" spans="1:6">
      <c r="A2338" s="5" t="str">
        <f ca="1">IFERROR(__xludf.DUMMYFUNCTION("""COMPUTED_VALUE"""),"19911009NYJAB")</f>
        <v>19911009NYJAB</v>
      </c>
      <c r="B2338" s="5" t="str">
        <f ca="1">IFERROR(__xludf.DUMMYFUNCTION("""COMPUTED_VALUE"""),"Fatal")</f>
        <v>Fatal</v>
      </c>
      <c r="C2338" s="5" t="str">
        <f ca="1">IFERROR(__xludf.DUMMYFUNCTION("""COMPUTED_VALUE"""),"Male")</f>
        <v>Male</v>
      </c>
      <c r="D2338" s="5" t="str">
        <f ca="1">IFERROR(__xludf.DUMMYFUNCTION("""COMPUTED_VALUE"""),"Student")</f>
        <v>Student</v>
      </c>
      <c r="E2338" s="5" t="str">
        <f ca="1">IFERROR(__xludf.DUMMYFUNCTION("""COMPUTED_VALUE"""),"Teen")</f>
        <v>Teen</v>
      </c>
      <c r="F2338" s="5" t="str">
        <f ca="1">IFERROR(__xludf.DUMMYFUNCTION("""COMPUTED_VALUE"""),"Black")</f>
        <v>Black</v>
      </c>
    </row>
    <row r="2339" spans="1:6">
      <c r="A2339" s="5" t="str">
        <f ca="1">IFERROR(__xludf.DUMMYFUNCTION("""COMPUTED_VALUE"""),"19911004CAROL")</f>
        <v>19911004CAROL</v>
      </c>
      <c r="B2339" s="5" t="str">
        <f ca="1">IFERROR(__xludf.DUMMYFUNCTION("""COMPUTED_VALUE"""),"None")</f>
        <v>None</v>
      </c>
      <c r="C2339" s="5"/>
      <c r="D2339" s="5"/>
      <c r="E2339" s="5"/>
      <c r="F2339" s="5"/>
    </row>
    <row r="2340" spans="1:6">
      <c r="A2340" s="5" t="str">
        <f ca="1">IFERROR(__xludf.DUMMYFUNCTION("""COMPUTED_VALUE"""),"19911004CADOL")</f>
        <v>19911004CADOL</v>
      </c>
      <c r="B2340" s="5" t="str">
        <f ca="1">IFERROR(__xludf.DUMMYFUNCTION("""COMPUTED_VALUE"""),"Wounded")</f>
        <v>Wounded</v>
      </c>
      <c r="C2340" s="5" t="str">
        <f ca="1">IFERROR(__xludf.DUMMYFUNCTION("""COMPUTED_VALUE"""),"Male")</f>
        <v>Male</v>
      </c>
      <c r="D2340" s="5" t="str">
        <f ca="1">IFERROR(__xludf.DUMMYFUNCTION("""COMPUTED_VALUE"""),"Student")</f>
        <v>Student</v>
      </c>
      <c r="E2340" s="5" t="str">
        <f ca="1">IFERROR(__xludf.DUMMYFUNCTION("""COMPUTED_VALUE"""),"Teen")</f>
        <v>Teen</v>
      </c>
      <c r="F2340" s="5"/>
    </row>
    <row r="2341" spans="1:6">
      <c r="A2341" s="5" t="str">
        <f ca="1">IFERROR(__xludf.DUMMYFUNCTION("""COMPUTED_VALUE"""),"19911004CADOL")</f>
        <v>19911004CADOL</v>
      </c>
      <c r="B2341" s="5" t="str">
        <f ca="1">IFERROR(__xludf.DUMMYFUNCTION("""COMPUTED_VALUE"""),"Wounded")</f>
        <v>Wounded</v>
      </c>
      <c r="C2341" s="5" t="str">
        <f ca="1">IFERROR(__xludf.DUMMYFUNCTION("""COMPUTED_VALUE"""),"Male")</f>
        <v>Male</v>
      </c>
      <c r="D2341" s="5" t="str">
        <f ca="1">IFERROR(__xludf.DUMMYFUNCTION("""COMPUTED_VALUE"""),"Student")</f>
        <v>Student</v>
      </c>
      <c r="E2341" s="5" t="str">
        <f ca="1">IFERROR(__xludf.DUMMYFUNCTION("""COMPUTED_VALUE"""),"Teen")</f>
        <v>Teen</v>
      </c>
      <c r="F2341" s="5"/>
    </row>
    <row r="2342" spans="1:6">
      <c r="A2342" s="5" t="str">
        <f ca="1">IFERROR(__xludf.DUMMYFUNCTION("""COMPUTED_VALUE"""),"19911002TXSPH")</f>
        <v>19911002TXSPH</v>
      </c>
      <c r="B2342" s="5" t="str">
        <f ca="1">IFERROR(__xludf.DUMMYFUNCTION("""COMPUTED_VALUE"""),"Wounded")</f>
        <v>Wounded</v>
      </c>
      <c r="C2342" s="5" t="str">
        <f ca="1">IFERROR(__xludf.DUMMYFUNCTION("""COMPUTED_VALUE"""),"Male")</f>
        <v>Male</v>
      </c>
      <c r="D2342" s="5" t="str">
        <f ca="1">IFERROR(__xludf.DUMMYFUNCTION("""COMPUTED_VALUE"""),"Student")</f>
        <v>Student</v>
      </c>
      <c r="E2342" s="5" t="str">
        <f ca="1">IFERROR(__xludf.DUMMYFUNCTION("""COMPUTED_VALUE"""),"Teen")</f>
        <v>Teen</v>
      </c>
      <c r="F2342" s="5"/>
    </row>
    <row r="2343" spans="1:6">
      <c r="A2343" s="5" t="str">
        <f ca="1">IFERROR(__xludf.DUMMYFUNCTION("""COMPUTED_VALUE"""),"19910918TXCRC")</f>
        <v>19910918TXCRC</v>
      </c>
      <c r="B2343" s="5" t="str">
        <f ca="1">IFERROR(__xludf.DUMMYFUNCTION("""COMPUTED_VALUE"""),"Fatal")</f>
        <v>Fatal</v>
      </c>
      <c r="C2343" s="5" t="str">
        <f ca="1">IFERROR(__xludf.DUMMYFUNCTION("""COMPUTED_VALUE"""),"Male")</f>
        <v>Male</v>
      </c>
      <c r="D2343" s="5" t="str">
        <f ca="1">IFERROR(__xludf.DUMMYFUNCTION("""COMPUTED_VALUE"""),"Student")</f>
        <v>Student</v>
      </c>
      <c r="E2343" s="5">
        <f ca="1">IFERROR(__xludf.DUMMYFUNCTION("""COMPUTED_VALUE"""),17)</f>
        <v>17</v>
      </c>
      <c r="F2343" s="5"/>
    </row>
    <row r="2344" spans="1:6">
      <c r="A2344" s="5" t="str">
        <f ca="1">IFERROR(__xludf.DUMMYFUNCTION("""COMPUTED_VALUE"""),"19910917ILWOC")</f>
        <v>19910917ILWOC</v>
      </c>
      <c r="B2344" s="5" t="str">
        <f ca="1">IFERROR(__xludf.DUMMYFUNCTION("""COMPUTED_VALUE"""),"Wounded")</f>
        <v>Wounded</v>
      </c>
      <c r="C2344" s="5" t="str">
        <f ca="1">IFERROR(__xludf.DUMMYFUNCTION("""COMPUTED_VALUE"""),"Male")</f>
        <v>Male</v>
      </c>
      <c r="D2344" s="5" t="str">
        <f ca="1">IFERROR(__xludf.DUMMYFUNCTION("""COMPUTED_VALUE"""),"Student")</f>
        <v>Student</v>
      </c>
      <c r="E2344" s="5" t="str">
        <f ca="1">IFERROR(__xludf.DUMMYFUNCTION("""COMPUTED_VALUE"""),"Teen")</f>
        <v>Teen</v>
      </c>
      <c r="F2344" s="5"/>
    </row>
    <row r="2345" spans="1:6">
      <c r="A2345" s="5" t="str">
        <f ca="1">IFERROR(__xludf.DUMMYFUNCTION("""COMPUTED_VALUE"""),"19910913TXMAH")</f>
        <v>19910913TXMAH</v>
      </c>
      <c r="B2345" s="5" t="str">
        <f ca="1">IFERROR(__xludf.DUMMYFUNCTION("""COMPUTED_VALUE"""),"Fatal")</f>
        <v>Fatal</v>
      </c>
      <c r="C2345" s="5" t="str">
        <f ca="1">IFERROR(__xludf.DUMMYFUNCTION("""COMPUTED_VALUE"""),"Male")</f>
        <v>Male</v>
      </c>
      <c r="D2345" s="5" t="str">
        <f ca="1">IFERROR(__xludf.DUMMYFUNCTION("""COMPUTED_VALUE"""),"Student")</f>
        <v>Student</v>
      </c>
      <c r="E2345" s="5" t="str">
        <f ca="1">IFERROR(__xludf.DUMMYFUNCTION("""COMPUTED_VALUE"""),"Teen")</f>
        <v>Teen</v>
      </c>
      <c r="F2345" s="5"/>
    </row>
    <row r="2346" spans="1:6">
      <c r="A2346" s="5" t="str">
        <f ca="1">IFERROR(__xludf.DUMMYFUNCTION("""COMPUTED_VALUE"""),"19910730CAENC")</f>
        <v>19910730CAENC</v>
      </c>
      <c r="B2346" s="5" t="str">
        <f ca="1">IFERROR(__xludf.DUMMYFUNCTION("""COMPUTED_VALUE"""),"Wounded")</f>
        <v>Wounded</v>
      </c>
      <c r="C2346" s="5" t="str">
        <f ca="1">IFERROR(__xludf.DUMMYFUNCTION("""COMPUTED_VALUE"""),"Male")</f>
        <v>Male</v>
      </c>
      <c r="D2346" s="5" t="str">
        <f ca="1">IFERROR(__xludf.DUMMYFUNCTION("""COMPUTED_VALUE"""),"Student")</f>
        <v>Student</v>
      </c>
      <c r="E2346" s="5" t="str">
        <f ca="1">IFERROR(__xludf.DUMMYFUNCTION("""COMPUTED_VALUE"""),"Teen")</f>
        <v>Teen</v>
      </c>
      <c r="F2346" s="5"/>
    </row>
    <row r="2347" spans="1:6">
      <c r="A2347" s="5" t="str">
        <f ca="1">IFERROR(__xludf.DUMMYFUNCTION("""COMPUTED_VALUE"""),"19910722CAWEL")</f>
        <v>19910722CAWEL</v>
      </c>
      <c r="B2347" s="5" t="str">
        <f ca="1">IFERROR(__xludf.DUMMYFUNCTION("""COMPUTED_VALUE"""),"Wounded")</f>
        <v>Wounded</v>
      </c>
      <c r="C2347" s="5" t="str">
        <f ca="1">IFERROR(__xludf.DUMMYFUNCTION("""COMPUTED_VALUE"""),"Male")</f>
        <v>Male</v>
      </c>
      <c r="D2347" s="5" t="str">
        <f ca="1">IFERROR(__xludf.DUMMYFUNCTION("""COMPUTED_VALUE"""),"Student")</f>
        <v>Student</v>
      </c>
      <c r="E2347" s="5" t="str">
        <f ca="1">IFERROR(__xludf.DUMMYFUNCTION("""COMPUTED_VALUE"""),"Teen")</f>
        <v>Teen</v>
      </c>
      <c r="F2347" s="5"/>
    </row>
    <row r="2348" spans="1:6">
      <c r="A2348" s="5" t="str">
        <f ca="1">IFERROR(__xludf.DUMMYFUNCTION("""COMPUTED_VALUE"""),"19910521FLSCP")</f>
        <v>19910521FLSCP</v>
      </c>
      <c r="B2348" s="5" t="str">
        <f ca="1">IFERROR(__xludf.DUMMYFUNCTION("""COMPUTED_VALUE"""),"Wounded")</f>
        <v>Wounded</v>
      </c>
      <c r="C2348" s="5" t="str">
        <f ca="1">IFERROR(__xludf.DUMMYFUNCTION("""COMPUTED_VALUE"""),"Male")</f>
        <v>Male</v>
      </c>
      <c r="D2348" s="5" t="str">
        <f ca="1">IFERROR(__xludf.DUMMYFUNCTION("""COMPUTED_VALUE"""),"Student")</f>
        <v>Student</v>
      </c>
      <c r="E2348" s="5" t="str">
        <f ca="1">IFERROR(__xludf.DUMMYFUNCTION("""COMPUTED_VALUE"""),"Teen")</f>
        <v>Teen</v>
      </c>
      <c r="F2348" s="5"/>
    </row>
    <row r="2349" spans="1:6">
      <c r="A2349" s="5" t="str">
        <f ca="1">IFERROR(__xludf.DUMMYFUNCTION("""COMPUTED_VALUE"""),"19910521FLSCP")</f>
        <v>19910521FLSCP</v>
      </c>
      <c r="B2349" s="5" t="str">
        <f ca="1">IFERROR(__xludf.DUMMYFUNCTION("""COMPUTED_VALUE"""),"Fatal")</f>
        <v>Fatal</v>
      </c>
      <c r="C2349" s="5" t="str">
        <f ca="1">IFERROR(__xludf.DUMMYFUNCTION("""COMPUTED_VALUE"""),"Female")</f>
        <v>Female</v>
      </c>
      <c r="D2349" s="5" t="str">
        <f ca="1">IFERROR(__xludf.DUMMYFUNCTION("""COMPUTED_VALUE"""),"Student")</f>
        <v>Student</v>
      </c>
      <c r="E2349" s="5">
        <f ca="1">IFERROR(__xludf.DUMMYFUNCTION("""COMPUTED_VALUE"""),15)</f>
        <v>15</v>
      </c>
      <c r="F2349" s="5"/>
    </row>
    <row r="2350" spans="1:6">
      <c r="A2350" s="5" t="str">
        <f ca="1">IFERROR(__xludf.DUMMYFUNCTION("""COMPUTED_VALUE"""),"19910521FLSCP")</f>
        <v>19910521FLSCP</v>
      </c>
      <c r="B2350" s="5" t="str">
        <f ca="1">IFERROR(__xludf.DUMMYFUNCTION("""COMPUTED_VALUE"""),"Wounded")</f>
        <v>Wounded</v>
      </c>
      <c r="C2350" s="5" t="str">
        <f ca="1">IFERROR(__xludf.DUMMYFUNCTION("""COMPUTED_VALUE"""),"Male")</f>
        <v>Male</v>
      </c>
      <c r="D2350" s="5" t="str">
        <f ca="1">IFERROR(__xludf.DUMMYFUNCTION("""COMPUTED_VALUE"""),"Student")</f>
        <v>Student</v>
      </c>
      <c r="E2350" s="5" t="str">
        <f ca="1">IFERROR(__xludf.DUMMYFUNCTION("""COMPUTED_VALUE"""),"Teen")</f>
        <v>Teen</v>
      </c>
      <c r="F2350" s="5"/>
    </row>
    <row r="2351" spans="1:6">
      <c r="A2351" s="5" t="str">
        <f ca="1">IFERROR(__xludf.DUMMYFUNCTION("""COMPUTED_VALUE"""),"19910521CAROS")</f>
        <v>19910521CAROS</v>
      </c>
      <c r="B2351" s="5" t="str">
        <f ca="1">IFERROR(__xludf.DUMMYFUNCTION("""COMPUTED_VALUE"""),"Fatal")</f>
        <v>Fatal</v>
      </c>
      <c r="C2351" s="5" t="str">
        <f ca="1">IFERROR(__xludf.DUMMYFUNCTION("""COMPUTED_VALUE"""),"Male")</f>
        <v>Male</v>
      </c>
      <c r="D2351" s="5" t="str">
        <f ca="1">IFERROR(__xludf.DUMMYFUNCTION("""COMPUTED_VALUE"""),"Student")</f>
        <v>Student</v>
      </c>
      <c r="E2351" s="5" t="str">
        <f ca="1">IFERROR(__xludf.DUMMYFUNCTION("""COMPUTED_VALUE"""),"Teen")</f>
        <v>Teen</v>
      </c>
      <c r="F2351" s="5"/>
    </row>
    <row r="2352" spans="1:6">
      <c r="A2352" s="5" t="str">
        <f ca="1">IFERROR(__xludf.DUMMYFUNCTION("""COMPUTED_VALUE"""),"19910516KSCOK")</f>
        <v>19910516KSCOK</v>
      </c>
      <c r="B2352" s="5" t="str">
        <f ca="1">IFERROR(__xludf.DUMMYFUNCTION("""COMPUTED_VALUE"""),"Wounded")</f>
        <v>Wounded</v>
      </c>
      <c r="C2352" s="5" t="str">
        <f ca="1">IFERROR(__xludf.DUMMYFUNCTION("""COMPUTED_VALUE"""),"Male")</f>
        <v>Male</v>
      </c>
      <c r="D2352" s="5" t="str">
        <f ca="1">IFERROR(__xludf.DUMMYFUNCTION("""COMPUTED_VALUE"""),"Student")</f>
        <v>Student</v>
      </c>
      <c r="E2352" s="5">
        <f ca="1">IFERROR(__xludf.DUMMYFUNCTION("""COMPUTED_VALUE"""),13)</f>
        <v>13</v>
      </c>
      <c r="F2352" s="5"/>
    </row>
    <row r="2353" spans="1:6">
      <c r="A2353" s="5" t="str">
        <f ca="1">IFERROR(__xludf.DUMMYFUNCTION("""COMPUTED_VALUE"""),"19910516KSCOK")</f>
        <v>19910516KSCOK</v>
      </c>
      <c r="B2353" s="5" t="str">
        <f ca="1">IFERROR(__xludf.DUMMYFUNCTION("""COMPUTED_VALUE"""),"Wounded")</f>
        <v>Wounded</v>
      </c>
      <c r="C2353" s="5" t="str">
        <f ca="1">IFERROR(__xludf.DUMMYFUNCTION("""COMPUTED_VALUE"""),"Female")</f>
        <v>Female</v>
      </c>
      <c r="D2353" s="5" t="str">
        <f ca="1">IFERROR(__xludf.DUMMYFUNCTION("""COMPUTED_VALUE"""),"Student")</f>
        <v>Student</v>
      </c>
      <c r="E2353" s="5">
        <f ca="1">IFERROR(__xludf.DUMMYFUNCTION("""COMPUTED_VALUE"""),13)</f>
        <v>13</v>
      </c>
      <c r="F2353" s="5"/>
    </row>
    <row r="2354" spans="1:6">
      <c r="A2354" s="5" t="str">
        <f ca="1">IFERROR(__xludf.DUMMYFUNCTION("""COMPUTED_VALUE"""),"19910510OHFRC")</f>
        <v>19910510OHFRC</v>
      </c>
      <c r="B2354" s="5" t="str">
        <f ca="1">IFERROR(__xludf.DUMMYFUNCTION("""COMPUTED_VALUE"""),"Fatal")</f>
        <v>Fatal</v>
      </c>
      <c r="C2354" s="5" t="str">
        <f ca="1">IFERROR(__xludf.DUMMYFUNCTION("""COMPUTED_VALUE"""),"Male")</f>
        <v>Male</v>
      </c>
      <c r="D2354" s="5" t="str">
        <f ca="1">IFERROR(__xludf.DUMMYFUNCTION("""COMPUTED_VALUE"""),"Student")</f>
        <v>Student</v>
      </c>
      <c r="E2354" s="5">
        <f ca="1">IFERROR(__xludf.DUMMYFUNCTION("""COMPUTED_VALUE"""),18)</f>
        <v>18</v>
      </c>
      <c r="F2354" s="5"/>
    </row>
    <row r="2355" spans="1:6">
      <c r="A2355" s="5" t="str">
        <f ca="1">IFERROR(__xludf.DUMMYFUNCTION("""COMPUTED_VALUE"""),"19910423MSHUB")</f>
        <v>19910423MSHUB</v>
      </c>
      <c r="B2355" s="5" t="str">
        <f ca="1">IFERROR(__xludf.DUMMYFUNCTION("""COMPUTED_VALUE"""),"Wounded")</f>
        <v>Wounded</v>
      </c>
      <c r="C2355" s="5" t="str">
        <f ca="1">IFERROR(__xludf.DUMMYFUNCTION("""COMPUTED_VALUE"""),"Male")</f>
        <v>Male</v>
      </c>
      <c r="D2355" s="5" t="str">
        <f ca="1">IFERROR(__xludf.DUMMYFUNCTION("""COMPUTED_VALUE"""),"Student")</f>
        <v>Student</v>
      </c>
      <c r="E2355" s="5">
        <f ca="1">IFERROR(__xludf.DUMMYFUNCTION("""COMPUTED_VALUE"""),16)</f>
        <v>16</v>
      </c>
      <c r="F2355" s="5"/>
    </row>
    <row r="2356" spans="1:6">
      <c r="A2356" s="5" t="str">
        <f ca="1">IFERROR(__xludf.DUMMYFUNCTION("""COMPUTED_VALUE"""),"19910423CARAC")</f>
        <v>19910423CARAC</v>
      </c>
      <c r="B2356" s="5" t="str">
        <f ca="1">IFERROR(__xludf.DUMMYFUNCTION("""COMPUTED_VALUE"""),"Fatal")</f>
        <v>Fatal</v>
      </c>
      <c r="C2356" s="5" t="str">
        <f ca="1">IFERROR(__xludf.DUMMYFUNCTION("""COMPUTED_VALUE"""),"Male")</f>
        <v>Male</v>
      </c>
      <c r="D2356" s="5" t="str">
        <f ca="1">IFERROR(__xludf.DUMMYFUNCTION("""COMPUTED_VALUE"""),"Student")</f>
        <v>Student</v>
      </c>
      <c r="E2356" s="5">
        <f ca="1">IFERROR(__xludf.DUMMYFUNCTION("""COMPUTED_VALUE"""),11)</f>
        <v>11</v>
      </c>
      <c r="F2356" s="5"/>
    </row>
    <row r="2357" spans="1:6">
      <c r="A2357" s="5" t="str">
        <f ca="1">IFERROR(__xludf.DUMMYFUNCTION("""COMPUTED_VALUE"""),"19910411SCNOR")</f>
        <v>19910411SCNOR</v>
      </c>
      <c r="B2357" s="5" t="str">
        <f ca="1">IFERROR(__xludf.DUMMYFUNCTION("""COMPUTED_VALUE"""),"None")</f>
        <v>None</v>
      </c>
      <c r="C2357" s="5" t="str">
        <f ca="1">IFERROR(__xludf.DUMMYFUNCTION("""COMPUTED_VALUE"""),"Female")</f>
        <v>Female</v>
      </c>
      <c r="D2357" s="5" t="str">
        <f ca="1">IFERROR(__xludf.DUMMYFUNCTION("""COMPUTED_VALUE"""),"Student")</f>
        <v>Student</v>
      </c>
      <c r="E2357" s="5" t="str">
        <f ca="1">IFERROR(__xludf.DUMMYFUNCTION("""COMPUTED_VALUE"""),"Teen")</f>
        <v>Teen</v>
      </c>
      <c r="F2357" s="5"/>
    </row>
    <row r="2358" spans="1:6">
      <c r="A2358" s="5" t="str">
        <f ca="1">IFERROR(__xludf.DUMMYFUNCTION("""COMPUTED_VALUE"""),"19910325NCGAC")</f>
        <v>19910325NCGAC</v>
      </c>
      <c r="B2358" s="5" t="str">
        <f ca="1">IFERROR(__xludf.DUMMYFUNCTION("""COMPUTED_VALUE"""),"Fatal")</f>
        <v>Fatal</v>
      </c>
      <c r="C2358" s="5" t="str">
        <f ca="1">IFERROR(__xludf.DUMMYFUNCTION("""COMPUTED_VALUE"""),"Male")</f>
        <v>Male</v>
      </c>
      <c r="D2358" s="5" t="str">
        <f ca="1">IFERROR(__xludf.DUMMYFUNCTION("""COMPUTED_VALUE"""),"Former Student")</f>
        <v>Former Student</v>
      </c>
      <c r="E2358" s="5">
        <f ca="1">IFERROR(__xludf.DUMMYFUNCTION("""COMPUTED_VALUE"""),21)</f>
        <v>21</v>
      </c>
      <c r="F2358" s="5"/>
    </row>
    <row r="2359" spans="1:6">
      <c r="A2359" s="5" t="str">
        <f ca="1">IFERROR(__xludf.DUMMYFUNCTION("""COMPUTED_VALUE"""),"19910314SCWOP")</f>
        <v>19910314SCWOP</v>
      </c>
      <c r="B2359" s="5" t="str">
        <f ca="1">IFERROR(__xludf.DUMMYFUNCTION("""COMPUTED_VALUE"""),"Wounded")</f>
        <v>Wounded</v>
      </c>
      <c r="C2359" s="5" t="str">
        <f ca="1">IFERROR(__xludf.DUMMYFUNCTION("""COMPUTED_VALUE"""),"Female")</f>
        <v>Female</v>
      </c>
      <c r="D2359" s="5" t="str">
        <f ca="1">IFERROR(__xludf.DUMMYFUNCTION("""COMPUTED_VALUE"""),"Nonstudent Using Athletic Facilities/Attending Game")</f>
        <v>Nonstudent Using Athletic Facilities/Attending Game</v>
      </c>
      <c r="E2359" s="5">
        <f ca="1">IFERROR(__xludf.DUMMYFUNCTION("""COMPUTED_VALUE"""),20)</f>
        <v>20</v>
      </c>
      <c r="F2359" s="5"/>
    </row>
    <row r="2360" spans="1:6">
      <c r="A2360" s="5" t="str">
        <f ca="1">IFERROR(__xludf.DUMMYFUNCTION("""COMPUTED_VALUE"""),"19910314SCWOP")</f>
        <v>19910314SCWOP</v>
      </c>
      <c r="B2360" s="5" t="str">
        <f ca="1">IFERROR(__xludf.DUMMYFUNCTION("""COMPUTED_VALUE"""),"Wounded")</f>
        <v>Wounded</v>
      </c>
      <c r="C2360" s="5" t="str">
        <f ca="1">IFERROR(__xludf.DUMMYFUNCTION("""COMPUTED_VALUE"""),"Male")</f>
        <v>Male</v>
      </c>
      <c r="D2360" s="5" t="str">
        <f ca="1">IFERROR(__xludf.DUMMYFUNCTION("""COMPUTED_VALUE"""),"Nonstudent Using Athletic Facilities/Attending Game")</f>
        <v>Nonstudent Using Athletic Facilities/Attending Game</v>
      </c>
      <c r="E2360" s="5">
        <f ca="1">IFERROR(__xludf.DUMMYFUNCTION("""COMPUTED_VALUE"""),20)</f>
        <v>20</v>
      </c>
      <c r="F2360" s="5"/>
    </row>
    <row r="2361" spans="1:6">
      <c r="A2361" s="5" t="str">
        <f ca="1">IFERROR(__xludf.DUMMYFUNCTION("""COMPUTED_VALUE"""),"19910314SCWOP")</f>
        <v>19910314SCWOP</v>
      </c>
      <c r="B2361" s="5" t="str">
        <f ca="1">IFERROR(__xludf.DUMMYFUNCTION("""COMPUTED_VALUE"""),"Wounded")</f>
        <v>Wounded</v>
      </c>
      <c r="C2361" s="5" t="str">
        <f ca="1">IFERROR(__xludf.DUMMYFUNCTION("""COMPUTED_VALUE"""),"Female")</f>
        <v>Female</v>
      </c>
      <c r="D2361" s="5" t="str">
        <f ca="1">IFERROR(__xludf.DUMMYFUNCTION("""COMPUTED_VALUE"""),"Nonstudent Using Athletic Facilities/Attending Game")</f>
        <v>Nonstudent Using Athletic Facilities/Attending Game</v>
      </c>
      <c r="E2361" s="5">
        <f ca="1">IFERROR(__xludf.DUMMYFUNCTION("""COMPUTED_VALUE"""),11)</f>
        <v>11</v>
      </c>
      <c r="F2361" s="5"/>
    </row>
    <row r="2362" spans="1:6">
      <c r="A2362" s="5" t="str">
        <f ca="1">IFERROR(__xludf.DUMMYFUNCTION("""COMPUTED_VALUE"""),"19910314SCWOP")</f>
        <v>19910314SCWOP</v>
      </c>
      <c r="B2362" s="5" t="str">
        <f ca="1">IFERROR(__xludf.DUMMYFUNCTION("""COMPUTED_VALUE"""),"Wounded")</f>
        <v>Wounded</v>
      </c>
      <c r="C2362" s="5" t="str">
        <f ca="1">IFERROR(__xludf.DUMMYFUNCTION("""COMPUTED_VALUE"""),"Male")</f>
        <v>Male</v>
      </c>
      <c r="D2362" s="5" t="str">
        <f ca="1">IFERROR(__xludf.DUMMYFUNCTION("""COMPUTED_VALUE"""),"Nonstudent Using Athletic Facilities/Attending Game")</f>
        <v>Nonstudent Using Athletic Facilities/Attending Game</v>
      </c>
      <c r="E2362" s="5">
        <f ca="1">IFERROR(__xludf.DUMMYFUNCTION("""COMPUTED_VALUE"""),20)</f>
        <v>20</v>
      </c>
      <c r="F2362" s="5"/>
    </row>
    <row r="2363" spans="1:6">
      <c r="A2363" s="5" t="str">
        <f ca="1">IFERROR(__xludf.DUMMYFUNCTION("""COMPUTED_VALUE"""),"19910313ALSES")</f>
        <v>19910313ALSES</v>
      </c>
      <c r="B2363" s="5" t="str">
        <f ca="1">IFERROR(__xludf.DUMMYFUNCTION("""COMPUTED_VALUE"""),"Wounded")</f>
        <v>Wounded</v>
      </c>
      <c r="C2363" s="5" t="str">
        <f ca="1">IFERROR(__xludf.DUMMYFUNCTION("""COMPUTED_VALUE"""),"Male")</f>
        <v>Male</v>
      </c>
      <c r="D2363" s="5" t="str">
        <f ca="1">IFERROR(__xludf.DUMMYFUNCTION("""COMPUTED_VALUE"""),"Student")</f>
        <v>Student</v>
      </c>
      <c r="E2363" s="5">
        <f ca="1">IFERROR(__xludf.DUMMYFUNCTION("""COMPUTED_VALUE"""),18)</f>
        <v>18</v>
      </c>
      <c r="F2363" s="5"/>
    </row>
    <row r="2364" spans="1:6">
      <c r="A2364" s="5" t="str">
        <f ca="1">IFERROR(__xludf.DUMMYFUNCTION("""COMPUTED_VALUE"""),"19910313ALSES")</f>
        <v>19910313ALSES</v>
      </c>
      <c r="B2364" s="5" t="str">
        <f ca="1">IFERROR(__xludf.DUMMYFUNCTION("""COMPUTED_VALUE"""),"Wounded")</f>
        <v>Wounded</v>
      </c>
      <c r="C2364" s="5" t="str">
        <f ca="1">IFERROR(__xludf.DUMMYFUNCTION("""COMPUTED_VALUE"""),"Male")</f>
        <v>Male</v>
      </c>
      <c r="D2364" s="5" t="str">
        <f ca="1">IFERROR(__xludf.DUMMYFUNCTION("""COMPUTED_VALUE"""),"Student")</f>
        <v>Student</v>
      </c>
      <c r="E2364" s="5">
        <f ca="1">IFERROR(__xludf.DUMMYFUNCTION("""COMPUTED_VALUE"""),17)</f>
        <v>17</v>
      </c>
      <c r="F2364" s="5"/>
    </row>
    <row r="2365" spans="1:6">
      <c r="A2365" s="5" t="str">
        <f ca="1">IFERROR(__xludf.DUMMYFUNCTION("""COMPUTED_VALUE"""),"19910219LABON")</f>
        <v>19910219LABON</v>
      </c>
      <c r="B2365" s="5" t="str">
        <f ca="1">IFERROR(__xludf.DUMMYFUNCTION("""COMPUTED_VALUE"""),"Fatal")</f>
        <v>Fatal</v>
      </c>
      <c r="C2365" s="5" t="str">
        <f ca="1">IFERROR(__xludf.DUMMYFUNCTION("""COMPUTED_VALUE"""),"Male")</f>
        <v>Male</v>
      </c>
      <c r="D2365" s="5" t="str">
        <f ca="1">IFERROR(__xludf.DUMMYFUNCTION("""COMPUTED_VALUE"""),"Student")</f>
        <v>Student</v>
      </c>
      <c r="E2365" s="5">
        <f ca="1">IFERROR(__xludf.DUMMYFUNCTION("""COMPUTED_VALUE"""),15)</f>
        <v>15</v>
      </c>
      <c r="F2365" s="5" t="str">
        <f ca="1">IFERROR(__xludf.DUMMYFUNCTION("""COMPUTED_VALUE"""),"Black")</f>
        <v>Black</v>
      </c>
    </row>
    <row r="2366" spans="1:6">
      <c r="A2366" s="5" t="str">
        <f ca="1">IFERROR(__xludf.DUMMYFUNCTION("""COMPUTED_VALUE"""),"19910219LABON")</f>
        <v>19910219LABON</v>
      </c>
      <c r="B2366" s="5" t="str">
        <f ca="1">IFERROR(__xludf.DUMMYFUNCTION("""COMPUTED_VALUE"""),"Wounded")</f>
        <v>Wounded</v>
      </c>
      <c r="C2366" s="5" t="str">
        <f ca="1">IFERROR(__xludf.DUMMYFUNCTION("""COMPUTED_VALUE"""),"Female")</f>
        <v>Female</v>
      </c>
      <c r="D2366" s="5" t="str">
        <f ca="1">IFERROR(__xludf.DUMMYFUNCTION("""COMPUTED_VALUE"""),"Student")</f>
        <v>Student</v>
      </c>
      <c r="E2366" s="5">
        <f ca="1">IFERROR(__xludf.DUMMYFUNCTION("""COMPUTED_VALUE"""),18)</f>
        <v>18</v>
      </c>
      <c r="F2366" s="5" t="str">
        <f ca="1">IFERROR(__xludf.DUMMYFUNCTION("""COMPUTED_VALUE"""),"Black")</f>
        <v>Black</v>
      </c>
    </row>
    <row r="2367" spans="1:6">
      <c r="A2367" s="5" t="str">
        <f ca="1">IFERROR(__xludf.DUMMYFUNCTION("""COMPUTED_VALUE"""),"19910117TXHOD")</f>
        <v>19910117TXHOD</v>
      </c>
      <c r="B2367" s="5" t="str">
        <f ca="1">IFERROR(__xludf.DUMMYFUNCTION("""COMPUTED_VALUE"""),"Wounded")</f>
        <v>Wounded</v>
      </c>
      <c r="C2367" s="5" t="str">
        <f ca="1">IFERROR(__xludf.DUMMYFUNCTION("""COMPUTED_VALUE"""),"Female")</f>
        <v>Female</v>
      </c>
      <c r="D2367" s="5" t="str">
        <f ca="1">IFERROR(__xludf.DUMMYFUNCTION("""COMPUTED_VALUE"""),"Student")</f>
        <v>Student</v>
      </c>
      <c r="E2367" s="5">
        <f ca="1">IFERROR(__xludf.DUMMYFUNCTION("""COMPUTED_VALUE"""),15)</f>
        <v>15</v>
      </c>
      <c r="F2367" s="5"/>
    </row>
    <row r="2368" spans="1:6">
      <c r="A2368" s="5" t="str">
        <f ca="1">IFERROR(__xludf.DUMMYFUNCTION("""COMPUTED_VALUE"""),"19910108TXRIR")</f>
        <v>19910108TXRIR</v>
      </c>
      <c r="B2368" s="5" t="str">
        <f ca="1">IFERROR(__xludf.DUMMYFUNCTION("""COMPUTED_VALUE"""),"None")</f>
        <v>None</v>
      </c>
      <c r="C2368" s="5" t="str">
        <f ca="1">IFERROR(__xludf.DUMMYFUNCTION("""COMPUTED_VALUE"""),"Male")</f>
        <v>Male</v>
      </c>
      <c r="D2368" s="5" t="str">
        <f ca="1">IFERROR(__xludf.DUMMYFUNCTION("""COMPUTED_VALUE"""),"Student")</f>
        <v>Student</v>
      </c>
      <c r="E2368" s="5">
        <f ca="1">IFERROR(__xludf.DUMMYFUNCTION("""COMPUTED_VALUE"""),16)</f>
        <v>16</v>
      </c>
      <c r="F2368" s="5" t="str">
        <f ca="1">IFERROR(__xludf.DUMMYFUNCTION("""COMPUTED_VALUE"""),"White")</f>
        <v>White</v>
      </c>
    </row>
    <row r="2369" spans="1:6">
      <c r="A2369" s="5" t="str">
        <f ca="1">IFERROR(__xludf.DUMMYFUNCTION("""COMPUTED_VALUE"""),"19901213LASAS")</f>
        <v>19901213LASAS</v>
      </c>
      <c r="B2369" s="5" t="str">
        <f ca="1">IFERROR(__xludf.DUMMYFUNCTION("""COMPUTED_VALUE"""),"None")</f>
        <v>None</v>
      </c>
      <c r="C2369" s="5"/>
      <c r="D2369" s="5"/>
      <c r="E2369" s="5"/>
      <c r="F2369" s="5"/>
    </row>
    <row r="2370" spans="1:6">
      <c r="A2370" s="5" t="str">
        <f ca="1">IFERROR(__xludf.DUMMYFUNCTION("""COMPUTED_VALUE"""),"19901110TXJUD")</f>
        <v>19901110TXJUD</v>
      </c>
      <c r="B2370" s="5" t="str">
        <f ca="1">IFERROR(__xludf.DUMMYFUNCTION("""COMPUTED_VALUE"""),"Wounded")</f>
        <v>Wounded</v>
      </c>
      <c r="C2370" s="5" t="str">
        <f ca="1">IFERROR(__xludf.DUMMYFUNCTION("""COMPUTED_VALUE"""),"Male")</f>
        <v>Male</v>
      </c>
      <c r="D2370" s="5" t="str">
        <f ca="1">IFERROR(__xludf.DUMMYFUNCTION("""COMPUTED_VALUE"""),"Nonstudent Using Athletic Facilities/Attending Game")</f>
        <v>Nonstudent Using Athletic Facilities/Attending Game</v>
      </c>
      <c r="E2370" s="5">
        <f ca="1">IFERROR(__xludf.DUMMYFUNCTION("""COMPUTED_VALUE"""),19)</f>
        <v>19</v>
      </c>
      <c r="F2370" s="5"/>
    </row>
    <row r="2371" spans="1:6">
      <c r="A2371" s="5" t="str">
        <f ca="1">IFERROR(__xludf.DUMMYFUNCTION("""COMPUTED_VALUE"""),"19901030TXNAG")</f>
        <v>19901030TXNAG</v>
      </c>
      <c r="B2371" s="5" t="str">
        <f ca="1">IFERROR(__xludf.DUMMYFUNCTION("""COMPUTED_VALUE"""),"Wounded")</f>
        <v>Wounded</v>
      </c>
      <c r="C2371" s="5" t="str">
        <f ca="1">IFERROR(__xludf.DUMMYFUNCTION("""COMPUTED_VALUE"""),"Male")</f>
        <v>Male</v>
      </c>
      <c r="D2371" s="5" t="str">
        <f ca="1">IFERROR(__xludf.DUMMYFUNCTION("""COMPUTED_VALUE"""),"Principal/Vice-Principal")</f>
        <v>Principal/Vice-Principal</v>
      </c>
      <c r="E2371" s="5" t="str">
        <f ca="1">IFERROR(__xludf.DUMMYFUNCTION("""COMPUTED_VALUE"""),"Adult")</f>
        <v>Adult</v>
      </c>
      <c r="F2371" s="5"/>
    </row>
    <row r="2372" spans="1:6">
      <c r="A2372" s="5" t="str">
        <f ca="1">IFERROR(__xludf.DUMMYFUNCTION("""COMPUTED_VALUE"""),"19901029INCHC")</f>
        <v>19901029INCHC</v>
      </c>
      <c r="B2372" s="5" t="str">
        <f ca="1">IFERROR(__xludf.DUMMYFUNCTION("""COMPUTED_VALUE"""),"None")</f>
        <v>None</v>
      </c>
      <c r="C2372" s="5"/>
      <c r="D2372" s="5"/>
      <c r="E2372" s="5"/>
      <c r="F2372" s="5"/>
    </row>
    <row r="2373" spans="1:6">
      <c r="A2373" s="5" t="str">
        <f ca="1">IFERROR(__xludf.DUMMYFUNCTION("""COMPUTED_VALUE"""),"19901002TXWHD")</f>
        <v>19901002TXWHD</v>
      </c>
      <c r="B2373" s="5" t="str">
        <f ca="1">IFERROR(__xludf.DUMMYFUNCTION("""COMPUTED_VALUE"""),"Wounded")</f>
        <v>Wounded</v>
      </c>
      <c r="C2373" s="5" t="str">
        <f ca="1">IFERROR(__xludf.DUMMYFUNCTION("""COMPUTED_VALUE"""),"Female")</f>
        <v>Female</v>
      </c>
      <c r="D2373" s="5" t="str">
        <f ca="1">IFERROR(__xludf.DUMMYFUNCTION("""COMPUTED_VALUE"""),"Student")</f>
        <v>Student</v>
      </c>
      <c r="E2373" s="5" t="str">
        <f ca="1">IFERROR(__xludf.DUMMYFUNCTION("""COMPUTED_VALUE"""),"Teen")</f>
        <v>Teen</v>
      </c>
      <c r="F2373" s="5" t="str">
        <f ca="1">IFERROR(__xludf.DUMMYFUNCTION("""COMPUTED_VALUE"""),"Hispanic")</f>
        <v>Hispanic</v>
      </c>
    </row>
    <row r="2374" spans="1:6">
      <c r="A2374" s="5" t="str">
        <f ca="1">IFERROR(__xludf.DUMMYFUNCTION("""COMPUTED_VALUE"""),"19900922ALLEB")</f>
        <v>19900922ALLEB</v>
      </c>
      <c r="B2374" s="5" t="str">
        <f ca="1">IFERROR(__xludf.DUMMYFUNCTION("""COMPUTED_VALUE"""),"Wounded")</f>
        <v>Wounded</v>
      </c>
      <c r="C2374" s="5" t="str">
        <f ca="1">IFERROR(__xludf.DUMMYFUNCTION("""COMPUTED_VALUE"""),"Male")</f>
        <v>Male</v>
      </c>
      <c r="D2374" s="5" t="str">
        <f ca="1">IFERROR(__xludf.DUMMYFUNCTION("""COMPUTED_VALUE"""),"No Relation")</f>
        <v>No Relation</v>
      </c>
      <c r="E2374" s="5">
        <f ca="1">IFERROR(__xludf.DUMMYFUNCTION("""COMPUTED_VALUE"""),16)</f>
        <v>16</v>
      </c>
      <c r="F2374" s="5"/>
    </row>
    <row r="2375" spans="1:6">
      <c r="A2375" s="5" t="str">
        <f ca="1">IFERROR(__xludf.DUMMYFUNCTION("""COMPUTED_VALUE"""),"19900922ALLEB")</f>
        <v>19900922ALLEB</v>
      </c>
      <c r="B2375" s="5" t="str">
        <f ca="1">IFERROR(__xludf.DUMMYFUNCTION("""COMPUTED_VALUE"""),"Wounded")</f>
        <v>Wounded</v>
      </c>
      <c r="C2375" s="5" t="str">
        <f ca="1">IFERROR(__xludf.DUMMYFUNCTION("""COMPUTED_VALUE"""),"Male")</f>
        <v>Male</v>
      </c>
      <c r="D2375" s="5" t="str">
        <f ca="1">IFERROR(__xludf.DUMMYFUNCTION("""COMPUTED_VALUE"""),"No Relation")</f>
        <v>No Relation</v>
      </c>
      <c r="E2375" s="5">
        <f ca="1">IFERROR(__xludf.DUMMYFUNCTION("""COMPUTED_VALUE"""),19)</f>
        <v>19</v>
      </c>
      <c r="F2375" s="5"/>
    </row>
    <row r="2376" spans="1:6">
      <c r="A2376" s="5" t="str">
        <f ca="1">IFERROR(__xludf.DUMMYFUNCTION("""COMPUTED_VALUE"""),"19900911TXSAS")</f>
        <v>19900911TXSAS</v>
      </c>
      <c r="B2376" s="5" t="str">
        <f ca="1">IFERROR(__xludf.DUMMYFUNCTION("""COMPUTED_VALUE"""),"Wounded")</f>
        <v>Wounded</v>
      </c>
      <c r="C2376" s="5" t="str">
        <f ca="1">IFERROR(__xludf.DUMMYFUNCTION("""COMPUTED_VALUE"""),"Male")</f>
        <v>Male</v>
      </c>
      <c r="D2376" s="5" t="str">
        <f ca="1">IFERROR(__xludf.DUMMYFUNCTION("""COMPUTED_VALUE"""),"Student")</f>
        <v>Student</v>
      </c>
      <c r="E2376" s="5" t="str">
        <f ca="1">IFERROR(__xludf.DUMMYFUNCTION("""COMPUTED_VALUE"""),"Teen")</f>
        <v>Teen</v>
      </c>
      <c r="F2376" s="5"/>
    </row>
    <row r="2377" spans="1:6">
      <c r="A2377" s="5" t="str">
        <f ca="1">IFERROR(__xludf.DUMMYFUNCTION("""COMPUTED_VALUE"""),"19900911TXSAS")</f>
        <v>19900911TXSAS</v>
      </c>
      <c r="B2377" s="5" t="str">
        <f ca="1">IFERROR(__xludf.DUMMYFUNCTION("""COMPUTED_VALUE"""),"Wounded")</f>
        <v>Wounded</v>
      </c>
      <c r="C2377" s="5" t="str">
        <f ca="1">IFERROR(__xludf.DUMMYFUNCTION("""COMPUTED_VALUE"""),"Male")</f>
        <v>Male</v>
      </c>
      <c r="D2377" s="5" t="str">
        <f ca="1">IFERROR(__xludf.DUMMYFUNCTION("""COMPUTED_VALUE"""),"Student")</f>
        <v>Student</v>
      </c>
      <c r="E2377" s="5" t="str">
        <f ca="1">IFERROR(__xludf.DUMMYFUNCTION("""COMPUTED_VALUE"""),"Teen")</f>
        <v>Teen</v>
      </c>
      <c r="F2377" s="5"/>
    </row>
    <row r="2378" spans="1:6">
      <c r="A2378" s="5" t="str">
        <f ca="1">IFERROR(__xludf.DUMMYFUNCTION("""COMPUTED_VALUE"""),"19900911TXSAS")</f>
        <v>19900911TXSAS</v>
      </c>
      <c r="B2378" s="5" t="str">
        <f ca="1">IFERROR(__xludf.DUMMYFUNCTION("""COMPUTED_VALUE"""),"Wounded")</f>
        <v>Wounded</v>
      </c>
      <c r="C2378" s="5" t="str">
        <f ca="1">IFERROR(__xludf.DUMMYFUNCTION("""COMPUTED_VALUE"""),"Male")</f>
        <v>Male</v>
      </c>
      <c r="D2378" s="5" t="str">
        <f ca="1">IFERROR(__xludf.DUMMYFUNCTION("""COMPUTED_VALUE"""),"Student")</f>
        <v>Student</v>
      </c>
      <c r="E2378" s="5" t="str">
        <f ca="1">IFERROR(__xludf.DUMMYFUNCTION("""COMPUTED_VALUE"""),"Teen")</f>
        <v>Teen</v>
      </c>
      <c r="F2378" s="5"/>
    </row>
    <row r="2379" spans="1:6">
      <c r="A2379" s="5" t="str">
        <f ca="1">IFERROR(__xludf.DUMMYFUNCTION("""COMPUTED_VALUE"""),"19900827TXWHD")</f>
        <v>19900827TXWHD</v>
      </c>
      <c r="B2379" s="5" t="str">
        <f ca="1">IFERROR(__xludf.DUMMYFUNCTION("""COMPUTED_VALUE"""),"None")</f>
        <v>None</v>
      </c>
      <c r="C2379" s="5"/>
      <c r="D2379" s="5" t="str">
        <f ca="1">IFERROR(__xludf.DUMMYFUNCTION("""COMPUTED_VALUE"""),"Student")</f>
        <v>Student</v>
      </c>
      <c r="E2379" s="5" t="str">
        <f ca="1">IFERROR(__xludf.DUMMYFUNCTION("""COMPUTED_VALUE"""),"Teen")</f>
        <v>Teen</v>
      </c>
      <c r="F2379" s="5"/>
    </row>
    <row r="2380" spans="1:6">
      <c r="A2380" s="5" t="str">
        <f ca="1">IFERROR(__xludf.DUMMYFUNCTION("""COMPUTED_VALUE"""),"19900827NVELL")</f>
        <v>19900827NVELL</v>
      </c>
      <c r="B2380" s="5" t="str">
        <f ca="1">IFERROR(__xludf.DUMMYFUNCTION("""COMPUTED_VALUE"""),"Fatal")</f>
        <v>Fatal</v>
      </c>
      <c r="C2380" s="5" t="str">
        <f ca="1">IFERROR(__xludf.DUMMYFUNCTION("""COMPUTED_VALUE"""),"Male")</f>
        <v>Male</v>
      </c>
      <c r="D2380" s="5" t="str">
        <f ca="1">IFERROR(__xludf.DUMMYFUNCTION("""COMPUTED_VALUE"""),"Student")</f>
        <v>Student</v>
      </c>
      <c r="E2380" s="5" t="str">
        <f ca="1">IFERROR(__xludf.DUMMYFUNCTION("""COMPUTED_VALUE"""),"Teen")</f>
        <v>Teen</v>
      </c>
      <c r="F2380" s="5"/>
    </row>
    <row r="2381" spans="1:6">
      <c r="A2381" s="5" t="str">
        <f ca="1">IFERROR(__xludf.DUMMYFUNCTION("""COMPUTED_VALUE"""),"19900824NCMYC")</f>
        <v>19900824NCMYC</v>
      </c>
      <c r="B2381" s="5" t="str">
        <f ca="1">IFERROR(__xludf.DUMMYFUNCTION("""COMPUTED_VALUE"""),"Fatal")</f>
        <v>Fatal</v>
      </c>
      <c r="C2381" s="5" t="str">
        <f ca="1">IFERROR(__xludf.DUMMYFUNCTION("""COMPUTED_VALUE"""),"Male")</f>
        <v>Male</v>
      </c>
      <c r="D2381" s="5" t="str">
        <f ca="1">IFERROR(__xludf.DUMMYFUNCTION("""COMPUTED_VALUE"""),"Student")</f>
        <v>Student</v>
      </c>
      <c r="E2381" s="5" t="str">
        <f ca="1">IFERROR(__xludf.DUMMYFUNCTION("""COMPUTED_VALUE"""),"Teen")</f>
        <v>Teen</v>
      </c>
      <c r="F2381" s="5"/>
    </row>
    <row r="2382" spans="1:6">
      <c r="A2382" s="5" t="str">
        <f ca="1">IFERROR(__xludf.DUMMYFUNCTION("""COMPUTED_VALUE"""),"19900531TXSUF")</f>
        <v>19900531TXSUF</v>
      </c>
      <c r="B2382" s="5" t="str">
        <f ca="1">IFERROR(__xludf.DUMMYFUNCTION("""COMPUTED_VALUE"""),"Wounded")</f>
        <v>Wounded</v>
      </c>
      <c r="C2382" s="5" t="str">
        <f ca="1">IFERROR(__xludf.DUMMYFUNCTION("""COMPUTED_VALUE"""),"Male")</f>
        <v>Male</v>
      </c>
      <c r="D2382" s="5" t="str">
        <f ca="1">IFERROR(__xludf.DUMMYFUNCTION("""COMPUTED_VALUE"""),"Student")</f>
        <v>Student</v>
      </c>
      <c r="E2382" s="5" t="str">
        <f ca="1">IFERROR(__xludf.DUMMYFUNCTION("""COMPUTED_VALUE"""),"Teen")</f>
        <v>Teen</v>
      </c>
      <c r="F2382" s="5"/>
    </row>
    <row r="2383" spans="1:6">
      <c r="A2383" s="5" t="str">
        <f ca="1">IFERROR(__xludf.DUMMYFUNCTION("""COMPUTED_VALUE"""),"19900531TXSUF")</f>
        <v>19900531TXSUF</v>
      </c>
      <c r="B2383" s="5" t="str">
        <f ca="1">IFERROR(__xludf.DUMMYFUNCTION("""COMPUTED_VALUE"""),"Wounded")</f>
        <v>Wounded</v>
      </c>
      <c r="C2383" s="5" t="str">
        <f ca="1">IFERROR(__xludf.DUMMYFUNCTION("""COMPUTED_VALUE"""),"Male")</f>
        <v>Male</v>
      </c>
      <c r="D2383" s="5" t="str">
        <f ca="1">IFERROR(__xludf.DUMMYFUNCTION("""COMPUTED_VALUE"""),"Student")</f>
        <v>Student</v>
      </c>
      <c r="E2383" s="5" t="str">
        <f ca="1">IFERROR(__xludf.DUMMYFUNCTION("""COMPUTED_VALUE"""),"Teen")</f>
        <v>Teen</v>
      </c>
      <c r="F2383" s="5"/>
    </row>
    <row r="2384" spans="1:6">
      <c r="A2384" s="5" t="str">
        <f ca="1">IFERROR(__xludf.DUMMYFUNCTION("""COMPUTED_VALUE"""),"19900520TNHIC")</f>
        <v>19900520TNHIC</v>
      </c>
      <c r="B2384" s="5" t="str">
        <f ca="1">IFERROR(__xludf.DUMMYFUNCTION("""COMPUTED_VALUE"""),"Fatal")</f>
        <v>Fatal</v>
      </c>
      <c r="C2384" s="5" t="str">
        <f ca="1">IFERROR(__xludf.DUMMYFUNCTION("""COMPUTED_VALUE"""),"Male")</f>
        <v>Male</v>
      </c>
      <c r="D2384" s="5" t="str">
        <f ca="1">IFERROR(__xludf.DUMMYFUNCTION("""COMPUTED_VALUE"""),"Principal/Vice-Principal")</f>
        <v>Principal/Vice-Principal</v>
      </c>
      <c r="E2384" s="5" t="str">
        <f ca="1">IFERROR(__xludf.DUMMYFUNCTION("""COMPUTED_VALUE"""),"Adult")</f>
        <v>Adult</v>
      </c>
      <c r="F2384" s="5"/>
    </row>
    <row r="2385" spans="1:6">
      <c r="A2385" s="5" t="str">
        <f ca="1">IFERROR(__xludf.DUMMYFUNCTION("""COMPUTED_VALUE"""),"19900504CAMOE")</f>
        <v>19900504CAMOE</v>
      </c>
      <c r="B2385" s="5" t="str">
        <f ca="1">IFERROR(__xludf.DUMMYFUNCTION("""COMPUTED_VALUE"""),"Fatal")</f>
        <v>Fatal</v>
      </c>
      <c r="C2385" s="5" t="str">
        <f ca="1">IFERROR(__xludf.DUMMYFUNCTION("""COMPUTED_VALUE"""),"Male")</f>
        <v>Male</v>
      </c>
      <c r="D2385" s="5" t="str">
        <f ca="1">IFERROR(__xludf.DUMMYFUNCTION("""COMPUTED_VALUE"""),"Student")</f>
        <v>Student</v>
      </c>
      <c r="E2385" s="5">
        <f ca="1">IFERROR(__xludf.DUMMYFUNCTION("""COMPUTED_VALUE"""),15)</f>
        <v>15</v>
      </c>
      <c r="F2385" s="5" t="str">
        <f ca="1">IFERROR(__xludf.DUMMYFUNCTION("""COMPUTED_VALUE"""),"White")</f>
        <v>White</v>
      </c>
    </row>
    <row r="2386" spans="1:6">
      <c r="A2386" s="5" t="str">
        <f ca="1">IFERROR(__xludf.DUMMYFUNCTION("""COMPUTED_VALUE"""),"19900504CAMOE")</f>
        <v>19900504CAMOE</v>
      </c>
      <c r="B2386" s="5" t="str">
        <f ca="1">IFERROR(__xludf.DUMMYFUNCTION("""COMPUTED_VALUE"""),"Wounded")</f>
        <v>Wounded</v>
      </c>
      <c r="C2386" s="5" t="str">
        <f ca="1">IFERROR(__xludf.DUMMYFUNCTION("""COMPUTED_VALUE"""),"Male")</f>
        <v>Male</v>
      </c>
      <c r="D2386" s="5" t="str">
        <f ca="1">IFERROR(__xludf.DUMMYFUNCTION("""COMPUTED_VALUE"""),"Student")</f>
        <v>Student</v>
      </c>
      <c r="E2386" s="5">
        <f ca="1">IFERROR(__xludf.DUMMYFUNCTION("""COMPUTED_VALUE"""),15)</f>
        <v>15</v>
      </c>
      <c r="F2386" s="5" t="str">
        <f ca="1">IFERROR(__xludf.DUMMYFUNCTION("""COMPUTED_VALUE"""),"Black")</f>
        <v>Black</v>
      </c>
    </row>
    <row r="2387" spans="1:6">
      <c r="A2387" s="5" t="str">
        <f ca="1">IFERROR(__xludf.DUMMYFUNCTION("""COMPUTED_VALUE"""),"19900403TXSKD")</f>
        <v>19900403TXSKD</v>
      </c>
      <c r="B2387" s="5" t="str">
        <f ca="1">IFERROR(__xludf.DUMMYFUNCTION("""COMPUTED_VALUE"""),"Wounded")</f>
        <v>Wounded</v>
      </c>
      <c r="C2387" s="5" t="str">
        <f ca="1">IFERROR(__xludf.DUMMYFUNCTION("""COMPUTED_VALUE"""),"Male")</f>
        <v>Male</v>
      </c>
      <c r="D2387" s="5" t="str">
        <f ca="1">IFERROR(__xludf.DUMMYFUNCTION("""COMPUTED_VALUE"""),"Student")</f>
        <v>Student</v>
      </c>
      <c r="E2387" s="5">
        <f ca="1">IFERROR(__xludf.DUMMYFUNCTION("""COMPUTED_VALUE"""),16)</f>
        <v>16</v>
      </c>
      <c r="F2387" s="5"/>
    </row>
    <row r="2388" spans="1:6">
      <c r="A2388" s="5" t="str">
        <f ca="1">IFERROR(__xludf.DUMMYFUNCTION("""COMPUTED_VALUE"""),"19900327NYNEB")</f>
        <v>19900327NYNEB</v>
      </c>
      <c r="B2388" s="5" t="str">
        <f ca="1">IFERROR(__xludf.DUMMYFUNCTION("""COMPUTED_VALUE"""),"Wounded")</f>
        <v>Wounded</v>
      </c>
      <c r="C2388" s="5" t="str">
        <f ca="1">IFERROR(__xludf.DUMMYFUNCTION("""COMPUTED_VALUE"""),"Male")</f>
        <v>Male</v>
      </c>
      <c r="D2388" s="5" t="str">
        <f ca="1">IFERROR(__xludf.DUMMYFUNCTION("""COMPUTED_VALUE"""),"Student")</f>
        <v>Student</v>
      </c>
      <c r="E2388" s="5" t="str">
        <f ca="1">IFERROR(__xludf.DUMMYFUNCTION("""COMPUTED_VALUE"""),"Teen")</f>
        <v>Teen</v>
      </c>
      <c r="F2388" s="5"/>
    </row>
    <row r="2389" spans="1:6">
      <c r="A2389" s="5" t="str">
        <f ca="1">IFERROR(__xludf.DUMMYFUNCTION("""COMPUTED_VALUE"""),"19900220OHTAC")</f>
        <v>19900220OHTAC</v>
      </c>
      <c r="B2389" s="5" t="str">
        <f ca="1">IFERROR(__xludf.DUMMYFUNCTION("""COMPUTED_VALUE"""),"Fatal")</f>
        <v>Fatal</v>
      </c>
      <c r="C2389" s="5" t="str">
        <f ca="1">IFERROR(__xludf.DUMMYFUNCTION("""COMPUTED_VALUE"""),"Male")</f>
        <v>Male</v>
      </c>
      <c r="D2389" s="5" t="str">
        <f ca="1">IFERROR(__xludf.DUMMYFUNCTION("""COMPUTED_VALUE"""),"Former Student")</f>
        <v>Former Student</v>
      </c>
      <c r="E2389" s="5">
        <f ca="1">IFERROR(__xludf.DUMMYFUNCTION("""COMPUTED_VALUE"""),18)</f>
        <v>18</v>
      </c>
      <c r="F2389" s="5"/>
    </row>
    <row r="2390" spans="1:6">
      <c r="A2390" s="5" t="str">
        <f ca="1">IFERROR(__xludf.DUMMYFUNCTION("""COMPUTED_VALUE"""),"19900116RICEP")</f>
        <v>19900116RICEP</v>
      </c>
      <c r="B2390" s="5" t="str">
        <f ca="1">IFERROR(__xludf.DUMMYFUNCTION("""COMPUTED_VALUE"""),"Wounded")</f>
        <v>Wounded</v>
      </c>
      <c r="C2390" s="5" t="str">
        <f ca="1">IFERROR(__xludf.DUMMYFUNCTION("""COMPUTED_VALUE"""),"Male")</f>
        <v>Male</v>
      </c>
      <c r="D2390" s="5" t="str">
        <f ca="1">IFERROR(__xludf.DUMMYFUNCTION("""COMPUTED_VALUE"""),"Student")</f>
        <v>Student</v>
      </c>
      <c r="E2390" s="5" t="str">
        <f ca="1">IFERROR(__xludf.DUMMYFUNCTION("""COMPUTED_VALUE"""),"Teen")</f>
        <v>Teen</v>
      </c>
      <c r="F2390" s="5"/>
    </row>
    <row r="2391" spans="1:6">
      <c r="A2391" s="5" t="str">
        <f ca="1">IFERROR(__xludf.DUMMYFUNCTION("""COMPUTED_VALUE"""),"19900116RICEP")</f>
        <v>19900116RICEP</v>
      </c>
      <c r="B2391" s="5" t="str">
        <f ca="1">IFERROR(__xludf.DUMMYFUNCTION("""COMPUTED_VALUE"""),"Wounded")</f>
        <v>Wounded</v>
      </c>
      <c r="C2391" s="5" t="str">
        <f ca="1">IFERROR(__xludf.DUMMYFUNCTION("""COMPUTED_VALUE"""),"Female")</f>
        <v>Female</v>
      </c>
      <c r="D2391" s="5" t="str">
        <f ca="1">IFERROR(__xludf.DUMMYFUNCTION("""COMPUTED_VALUE"""),"Student")</f>
        <v>Student</v>
      </c>
      <c r="E2391" s="5" t="str">
        <f ca="1">IFERROR(__xludf.DUMMYFUNCTION("""COMPUTED_VALUE"""),"Teen")</f>
        <v>Teen</v>
      </c>
      <c r="F2391" s="5"/>
    </row>
    <row r="2392" spans="1:6">
      <c r="A2392" s="5" t="str">
        <f ca="1">IFERROR(__xludf.DUMMYFUNCTION("""COMPUTED_VALUE"""),"19891212SCCHC")</f>
        <v>19891212SCCHC</v>
      </c>
      <c r="B2392" s="5" t="str">
        <f ca="1">IFERROR(__xludf.DUMMYFUNCTION("""COMPUTED_VALUE"""),"Wounded")</f>
        <v>Wounded</v>
      </c>
      <c r="C2392" s="5" t="str">
        <f ca="1">IFERROR(__xludf.DUMMYFUNCTION("""COMPUTED_VALUE"""),"Male")</f>
        <v>Male</v>
      </c>
      <c r="D2392" s="5" t="str">
        <f ca="1">IFERROR(__xludf.DUMMYFUNCTION("""COMPUTED_VALUE"""),"Student")</f>
        <v>Student</v>
      </c>
      <c r="E2392" s="5">
        <f ca="1">IFERROR(__xludf.DUMMYFUNCTION("""COMPUTED_VALUE"""),15)</f>
        <v>15</v>
      </c>
      <c r="F2392" s="5"/>
    </row>
    <row r="2393" spans="1:6">
      <c r="A2393" s="5" t="str">
        <f ca="1">IFERROR(__xludf.DUMMYFUNCTION("""COMPUTED_VALUE"""),"19891205TXWWD")</f>
        <v>19891205TXWWD</v>
      </c>
      <c r="B2393" s="5" t="str">
        <f ca="1">IFERROR(__xludf.DUMMYFUNCTION("""COMPUTED_VALUE"""),"Wounded")</f>
        <v>Wounded</v>
      </c>
      <c r="C2393" s="5" t="str">
        <f ca="1">IFERROR(__xludf.DUMMYFUNCTION("""COMPUTED_VALUE"""),"Male")</f>
        <v>Male</v>
      </c>
      <c r="D2393" s="5" t="str">
        <f ca="1">IFERROR(__xludf.DUMMYFUNCTION("""COMPUTED_VALUE"""),"Teacher")</f>
        <v>Teacher</v>
      </c>
      <c r="E2393" s="5">
        <f ca="1">IFERROR(__xludf.DUMMYFUNCTION("""COMPUTED_VALUE"""),50)</f>
        <v>50</v>
      </c>
      <c r="F2393" s="5"/>
    </row>
    <row r="2394" spans="1:6">
      <c r="A2394" s="5" t="str">
        <f ca="1">IFERROR(__xludf.DUMMYFUNCTION("""COMPUTED_VALUE"""),"19891205PASEM")</f>
        <v>19891205PASEM</v>
      </c>
      <c r="B2394" s="5" t="str">
        <f ca="1">IFERROR(__xludf.DUMMYFUNCTION("""COMPUTED_VALUE"""),"Wounded")</f>
        <v>Wounded</v>
      </c>
      <c r="C2394" s="5" t="str">
        <f ca="1">IFERROR(__xludf.DUMMYFUNCTION("""COMPUTED_VALUE"""),"Male")</f>
        <v>Male</v>
      </c>
      <c r="D2394" s="5" t="str">
        <f ca="1">IFERROR(__xludf.DUMMYFUNCTION("""COMPUTED_VALUE"""),"Student")</f>
        <v>Student</v>
      </c>
      <c r="E2394" s="5" t="str">
        <f ca="1">IFERROR(__xludf.DUMMYFUNCTION("""COMPUTED_VALUE"""),"Teen")</f>
        <v>Teen</v>
      </c>
      <c r="F2394" s="5"/>
    </row>
    <row r="2395" spans="1:6">
      <c r="A2395" s="5" t="str">
        <f ca="1">IFERROR(__xludf.DUMMYFUNCTION("""COMPUTED_VALUE"""),"19891204LACAS")</f>
        <v>19891204LACAS</v>
      </c>
      <c r="B2395" s="5" t="str">
        <f ca="1">IFERROR(__xludf.DUMMYFUNCTION("""COMPUTED_VALUE"""),"Wounded")</f>
        <v>Wounded</v>
      </c>
      <c r="C2395" s="5" t="str">
        <f ca="1">IFERROR(__xludf.DUMMYFUNCTION("""COMPUTED_VALUE"""),"Male")</f>
        <v>Male</v>
      </c>
      <c r="D2395" s="5" t="str">
        <f ca="1">IFERROR(__xludf.DUMMYFUNCTION("""COMPUTED_VALUE"""),"Student")</f>
        <v>Student</v>
      </c>
      <c r="E2395" s="5" t="str">
        <f ca="1">IFERROR(__xludf.DUMMYFUNCTION("""COMPUTED_VALUE"""),"Teen")</f>
        <v>Teen</v>
      </c>
      <c r="F2395" s="5"/>
    </row>
    <row r="2396" spans="1:6">
      <c r="A2396" s="5" t="str">
        <f ca="1">IFERROR(__xludf.DUMMYFUNCTION("""COMPUTED_VALUE"""),"19891122CACHO")</f>
        <v>19891122CACHO</v>
      </c>
      <c r="B2396" s="5" t="str">
        <f ca="1">IFERROR(__xludf.DUMMYFUNCTION("""COMPUTED_VALUE"""),"Fatal")</f>
        <v>Fatal</v>
      </c>
      <c r="C2396" s="5" t="str">
        <f ca="1">IFERROR(__xludf.DUMMYFUNCTION("""COMPUTED_VALUE"""),"Male")</f>
        <v>Male</v>
      </c>
      <c r="D2396" s="5" t="str">
        <f ca="1">IFERROR(__xludf.DUMMYFUNCTION("""COMPUTED_VALUE"""),"Gang Member")</f>
        <v>Gang Member</v>
      </c>
      <c r="E2396" s="5">
        <f ca="1">IFERROR(__xludf.DUMMYFUNCTION("""COMPUTED_VALUE"""),20)</f>
        <v>20</v>
      </c>
      <c r="F2396" s="5" t="str">
        <f ca="1">IFERROR(__xludf.DUMMYFUNCTION("""COMPUTED_VALUE"""),"Hispanic")</f>
        <v>Hispanic</v>
      </c>
    </row>
    <row r="2397" spans="1:6">
      <c r="A2397" s="5" t="str">
        <f ca="1">IFERROR(__xludf.DUMMYFUNCTION("""COMPUTED_VALUE"""),"19891115TXWOA")</f>
        <v>19891115TXWOA</v>
      </c>
      <c r="B2397" s="5" t="str">
        <f ca="1">IFERROR(__xludf.DUMMYFUNCTION("""COMPUTED_VALUE"""),"Wounded")</f>
        <v>Wounded</v>
      </c>
      <c r="C2397" s="5" t="str">
        <f ca="1">IFERROR(__xludf.DUMMYFUNCTION("""COMPUTED_VALUE"""),"Male")</f>
        <v>Male</v>
      </c>
      <c r="D2397" s="5" t="str">
        <f ca="1">IFERROR(__xludf.DUMMYFUNCTION("""COMPUTED_VALUE"""),"Principal/Vice-Principal")</f>
        <v>Principal/Vice-Principal</v>
      </c>
      <c r="E2397" s="5">
        <f ca="1">IFERROR(__xludf.DUMMYFUNCTION("""COMPUTED_VALUE"""),44)</f>
        <v>44</v>
      </c>
      <c r="F2397" s="5"/>
    </row>
    <row r="2398" spans="1:6">
      <c r="A2398" s="5" t="str">
        <f ca="1">IFERROR(__xludf.DUMMYFUNCTION("""COMPUTED_VALUE"""),"19891113NYALN")</f>
        <v>19891113NYALN</v>
      </c>
      <c r="B2398" s="5" t="str">
        <f ca="1">IFERROR(__xludf.DUMMYFUNCTION("""COMPUTED_VALUE"""),"Fatal")</f>
        <v>Fatal</v>
      </c>
      <c r="C2398" s="5" t="str">
        <f ca="1">IFERROR(__xludf.DUMMYFUNCTION("""COMPUTED_VALUE"""),"Male")</f>
        <v>Male</v>
      </c>
      <c r="D2398" s="5" t="str">
        <f ca="1">IFERROR(__xludf.DUMMYFUNCTION("""COMPUTED_VALUE"""),"Student")</f>
        <v>Student</v>
      </c>
      <c r="E2398" s="5">
        <f ca="1">IFERROR(__xludf.DUMMYFUNCTION("""COMPUTED_VALUE"""),17)</f>
        <v>17</v>
      </c>
      <c r="F2398" s="5"/>
    </row>
    <row r="2399" spans="1:6">
      <c r="A2399" s="5" t="str">
        <f ca="1">IFERROR(__xludf.DUMMYFUNCTION("""COMPUTED_VALUE"""),"19891031TXOLD")</f>
        <v>19891031TXOLD</v>
      </c>
      <c r="B2399" s="5" t="str">
        <f ca="1">IFERROR(__xludf.DUMMYFUNCTION("""COMPUTED_VALUE"""),"Wounded")</f>
        <v>Wounded</v>
      </c>
      <c r="C2399" s="5" t="str">
        <f ca="1">IFERROR(__xludf.DUMMYFUNCTION("""COMPUTED_VALUE"""),"Male")</f>
        <v>Male</v>
      </c>
      <c r="D2399" s="5" t="str">
        <f ca="1">IFERROR(__xludf.DUMMYFUNCTION("""COMPUTED_VALUE"""),"Student")</f>
        <v>Student</v>
      </c>
      <c r="E2399" s="5">
        <f ca="1">IFERROR(__xludf.DUMMYFUNCTION("""COMPUTED_VALUE"""),14)</f>
        <v>14</v>
      </c>
      <c r="F2399" s="5"/>
    </row>
    <row r="2400" spans="1:6">
      <c r="A2400" s="5" t="str">
        <f ca="1">IFERROR(__xludf.DUMMYFUNCTION("""COMPUTED_VALUE"""),"19891005CALOA")</f>
        <v>19891005CALOA</v>
      </c>
      <c r="B2400" s="5" t="str">
        <f ca="1">IFERROR(__xludf.DUMMYFUNCTION("""COMPUTED_VALUE"""),"Wounded")</f>
        <v>Wounded</v>
      </c>
      <c r="C2400" s="5" t="str">
        <f ca="1">IFERROR(__xludf.DUMMYFUNCTION("""COMPUTED_VALUE"""),"Male")</f>
        <v>Male</v>
      </c>
      <c r="D2400" s="5" t="str">
        <f ca="1">IFERROR(__xludf.DUMMYFUNCTION("""COMPUTED_VALUE"""),"Student")</f>
        <v>Student</v>
      </c>
      <c r="E2400" s="5">
        <f ca="1">IFERROR(__xludf.DUMMYFUNCTION("""COMPUTED_VALUE"""),14)</f>
        <v>14</v>
      </c>
      <c r="F2400" s="5"/>
    </row>
    <row r="2401" spans="1:6">
      <c r="A2401" s="5" t="str">
        <f ca="1">IFERROR(__xludf.DUMMYFUNCTION("""COMPUTED_VALUE"""),"19890918KYJAM")</f>
        <v>19890918KYJAM</v>
      </c>
      <c r="B2401" s="5" t="str">
        <f ca="1">IFERROR(__xludf.DUMMYFUNCTION("""COMPUTED_VALUE"""),"None")</f>
        <v>None</v>
      </c>
      <c r="C2401" s="5"/>
      <c r="D2401" s="5"/>
      <c r="E2401" s="5"/>
      <c r="F2401" s="5"/>
    </row>
    <row r="2402" spans="1:6">
      <c r="A2402" s="5" t="str">
        <f ca="1">IFERROR(__xludf.DUMMYFUNCTION("""COMPUTED_VALUE"""),"19890911AZDYE")</f>
        <v>19890911AZDYE</v>
      </c>
      <c r="B2402" s="5" t="str">
        <f ca="1">IFERROR(__xludf.DUMMYFUNCTION("""COMPUTED_VALUE"""),"Fatal")</f>
        <v>Fatal</v>
      </c>
      <c r="C2402" s="5" t="str">
        <f ca="1">IFERROR(__xludf.DUMMYFUNCTION("""COMPUTED_VALUE"""),"Male")</f>
        <v>Male</v>
      </c>
      <c r="D2402" s="5" t="str">
        <f ca="1">IFERROR(__xludf.DUMMYFUNCTION("""COMPUTED_VALUE"""),"Student")</f>
        <v>Student</v>
      </c>
      <c r="E2402" s="5">
        <f ca="1">IFERROR(__xludf.DUMMYFUNCTION("""COMPUTED_VALUE"""),15)</f>
        <v>15</v>
      </c>
      <c r="F2402" s="5" t="str">
        <f ca="1">IFERROR(__xludf.DUMMYFUNCTION("""COMPUTED_VALUE"""),"White")</f>
        <v>White</v>
      </c>
    </row>
    <row r="2403" spans="1:6">
      <c r="A2403" s="5" t="str">
        <f ca="1">IFERROR(__xludf.DUMMYFUNCTION("""COMPUTED_VALUE"""),"19890901VASAV")</f>
        <v>19890901VASAV</v>
      </c>
      <c r="B2403" s="5" t="str">
        <f ca="1">IFERROR(__xludf.DUMMYFUNCTION("""COMPUTED_VALUE"""),"Wounded")</f>
        <v>Wounded</v>
      </c>
      <c r="C2403" s="5" t="str">
        <f ca="1">IFERROR(__xludf.DUMMYFUNCTION("""COMPUTED_VALUE"""),"Male")</f>
        <v>Male</v>
      </c>
      <c r="D2403" s="5" t="str">
        <f ca="1">IFERROR(__xludf.DUMMYFUNCTION("""COMPUTED_VALUE"""),"Student")</f>
        <v>Student</v>
      </c>
      <c r="E2403" s="5">
        <f ca="1">IFERROR(__xludf.DUMMYFUNCTION("""COMPUTED_VALUE"""),15)</f>
        <v>15</v>
      </c>
      <c r="F2403" s="5"/>
    </row>
    <row r="2404" spans="1:6">
      <c r="A2404" s="5" t="str">
        <f ca="1">IFERROR(__xludf.DUMMYFUNCTION("""COMPUTED_VALUE"""),"19890901VASAV")</f>
        <v>19890901VASAV</v>
      </c>
      <c r="B2404" s="5" t="str">
        <f ca="1">IFERROR(__xludf.DUMMYFUNCTION("""COMPUTED_VALUE"""),"Wounded")</f>
        <v>Wounded</v>
      </c>
      <c r="C2404" s="5" t="str">
        <f ca="1">IFERROR(__xludf.DUMMYFUNCTION("""COMPUTED_VALUE"""),"Male")</f>
        <v>Male</v>
      </c>
      <c r="D2404" s="5" t="str">
        <f ca="1">IFERROR(__xludf.DUMMYFUNCTION("""COMPUTED_VALUE"""),"Student")</f>
        <v>Student</v>
      </c>
      <c r="E2404" s="5">
        <f ca="1">IFERROR(__xludf.DUMMYFUNCTION("""COMPUTED_VALUE"""),17)</f>
        <v>17</v>
      </c>
      <c r="F2404" s="5"/>
    </row>
    <row r="2405" spans="1:6">
      <c r="A2405" s="5" t="str">
        <f ca="1">IFERROR(__xludf.DUMMYFUNCTION("""COMPUTED_VALUE"""),"19890426TXAMD")</f>
        <v>19890426TXAMD</v>
      </c>
      <c r="B2405" s="5" t="str">
        <f ca="1">IFERROR(__xludf.DUMMYFUNCTION("""COMPUTED_VALUE"""),"Wounded")</f>
        <v>Wounded</v>
      </c>
      <c r="C2405" s="5" t="str">
        <f ca="1">IFERROR(__xludf.DUMMYFUNCTION("""COMPUTED_VALUE"""),"Male")</f>
        <v>Male</v>
      </c>
      <c r="D2405" s="5" t="str">
        <f ca="1">IFERROR(__xludf.DUMMYFUNCTION("""COMPUTED_VALUE"""),"Student")</f>
        <v>Student</v>
      </c>
      <c r="E2405" s="5">
        <f ca="1">IFERROR(__xludf.DUMMYFUNCTION("""COMPUTED_VALUE"""),16)</f>
        <v>16</v>
      </c>
      <c r="F2405" s="5"/>
    </row>
    <row r="2406" spans="1:6">
      <c r="A2406" s="5" t="str">
        <f ca="1">IFERROR(__xludf.DUMMYFUNCTION("""COMPUTED_VALUE"""),"19890303INWIG")</f>
        <v>19890303INWIG</v>
      </c>
      <c r="B2406" s="5" t="str">
        <f ca="1">IFERROR(__xludf.DUMMYFUNCTION("""COMPUTED_VALUE"""),"Fatal")</f>
        <v>Fatal</v>
      </c>
      <c r="C2406" s="5" t="str">
        <f ca="1">IFERROR(__xludf.DUMMYFUNCTION("""COMPUTED_VALUE"""),"Male")</f>
        <v>Male</v>
      </c>
      <c r="D2406" s="5" t="str">
        <f ca="1">IFERROR(__xludf.DUMMYFUNCTION("""COMPUTED_VALUE"""),"Student")</f>
        <v>Student</v>
      </c>
      <c r="E2406" s="5">
        <f ca="1">IFERROR(__xludf.DUMMYFUNCTION("""COMPUTED_VALUE"""),17)</f>
        <v>17</v>
      </c>
      <c r="F2406" s="5" t="str">
        <f ca="1">IFERROR(__xludf.DUMMYFUNCTION("""COMPUTED_VALUE"""),"Black")</f>
        <v>Black</v>
      </c>
    </row>
    <row r="2407" spans="1:6">
      <c r="A2407" s="5" t="str">
        <f ca="1">IFERROR(__xludf.DUMMYFUNCTION("""COMPUTED_VALUE"""),"19890210UTTHK")</f>
        <v>19890210UTTHK</v>
      </c>
      <c r="B2407" s="5" t="str">
        <f ca="1">IFERROR(__xludf.DUMMYFUNCTION("""COMPUTED_VALUE"""),"None")</f>
        <v>None</v>
      </c>
      <c r="C2407" s="5" t="str">
        <f ca="1">IFERROR(__xludf.DUMMYFUNCTION("""COMPUTED_VALUE"""),"Male")</f>
        <v>Male</v>
      </c>
      <c r="D2407" s="5" t="str">
        <f ca="1">IFERROR(__xludf.DUMMYFUNCTION("""COMPUTED_VALUE"""),"Principal/Vice-Principal")</f>
        <v>Principal/Vice-Principal</v>
      </c>
      <c r="E2407" s="5" t="str">
        <f ca="1">IFERROR(__xludf.DUMMYFUNCTION("""COMPUTED_VALUE"""),"Adult")</f>
        <v>Adult</v>
      </c>
      <c r="F2407" s="5"/>
    </row>
    <row r="2408" spans="1:6">
      <c r="A2408" s="5" t="str">
        <f ca="1">IFERROR(__xludf.DUMMYFUNCTION("""COMPUTED_VALUE"""),"19890209IDRIR")</f>
        <v>19890209IDRIR</v>
      </c>
      <c r="B2408" s="5" t="str">
        <f ca="1">IFERROR(__xludf.DUMMYFUNCTION("""COMPUTED_VALUE"""),"None")</f>
        <v>None</v>
      </c>
      <c r="C2408" s="5"/>
      <c r="D2408" s="5" t="str">
        <f ca="1">IFERROR(__xludf.DUMMYFUNCTION("""COMPUTED_VALUE"""),"Student")</f>
        <v>Student</v>
      </c>
      <c r="E2408" s="5" t="str">
        <f ca="1">IFERROR(__xludf.DUMMYFUNCTION("""COMPUTED_VALUE"""),"Teen")</f>
        <v>Teen</v>
      </c>
      <c r="F2408" s="5"/>
    </row>
    <row r="2409" spans="1:6">
      <c r="A2409" s="5" t="str">
        <f ca="1">IFERROR(__xludf.DUMMYFUNCTION("""COMPUTED_VALUE"""),"19890209IDRIR")</f>
        <v>19890209IDRIR</v>
      </c>
      <c r="B2409" s="5" t="str">
        <f ca="1">IFERROR(__xludf.DUMMYFUNCTION("""COMPUTED_VALUE"""),"None")</f>
        <v>None</v>
      </c>
      <c r="C2409" s="5"/>
      <c r="D2409" s="5" t="str">
        <f ca="1">IFERROR(__xludf.DUMMYFUNCTION("""COMPUTED_VALUE"""),"Teacher")</f>
        <v>Teacher</v>
      </c>
      <c r="E2409" s="5" t="str">
        <f ca="1">IFERROR(__xludf.DUMMYFUNCTION("""COMPUTED_VALUE"""),"Adult")</f>
        <v>Adult</v>
      </c>
      <c r="F2409" s="5"/>
    </row>
    <row r="2410" spans="1:6">
      <c r="A2410" s="5" t="str">
        <f ca="1">IFERROR(__xludf.DUMMYFUNCTION("""COMPUTED_VALUE"""),"19890209IDRIR")</f>
        <v>19890209IDRIR</v>
      </c>
      <c r="B2410" s="5" t="str">
        <f ca="1">IFERROR(__xludf.DUMMYFUNCTION("""COMPUTED_VALUE"""),"None")</f>
        <v>None</v>
      </c>
      <c r="C2410" s="5" t="str">
        <f ca="1">IFERROR(__xludf.DUMMYFUNCTION("""COMPUTED_VALUE"""),"Female")</f>
        <v>Female</v>
      </c>
      <c r="D2410" s="5" t="str">
        <f ca="1">IFERROR(__xludf.DUMMYFUNCTION("""COMPUTED_VALUE"""),"Student")</f>
        <v>Student</v>
      </c>
      <c r="E2410" s="5">
        <f ca="1">IFERROR(__xludf.DUMMYFUNCTION("""COMPUTED_VALUE"""),14)</f>
        <v>14</v>
      </c>
      <c r="F2410" s="5"/>
    </row>
    <row r="2411" spans="1:6">
      <c r="A2411" s="5" t="str">
        <f ca="1">IFERROR(__xludf.DUMMYFUNCTION("""COMPUTED_VALUE"""),"19890126DCWOW")</f>
        <v>19890126DCWOW</v>
      </c>
      <c r="B2411" s="5" t="str">
        <f ca="1">IFERROR(__xludf.DUMMYFUNCTION("""COMPUTED_VALUE"""),"Wounded")</f>
        <v>Wounded</v>
      </c>
      <c r="C2411" s="5" t="str">
        <f ca="1">IFERROR(__xludf.DUMMYFUNCTION("""COMPUTED_VALUE"""),"Male")</f>
        <v>Male</v>
      </c>
      <c r="D2411" s="5" t="str">
        <f ca="1">IFERROR(__xludf.DUMMYFUNCTION("""COMPUTED_VALUE"""),"Student")</f>
        <v>Student</v>
      </c>
      <c r="E2411" s="5" t="str">
        <f ca="1">IFERROR(__xludf.DUMMYFUNCTION("""COMPUTED_VALUE"""),"Teen")</f>
        <v>Teen</v>
      </c>
      <c r="F2411" s="5"/>
    </row>
    <row r="2412" spans="1:6">
      <c r="A2412" s="5" t="str">
        <f ca="1">IFERROR(__xludf.DUMMYFUNCTION("""COMPUTED_VALUE"""),"19890126DCWOW")</f>
        <v>19890126DCWOW</v>
      </c>
      <c r="B2412" s="5" t="str">
        <f ca="1">IFERROR(__xludf.DUMMYFUNCTION("""COMPUTED_VALUE"""),"Wounded")</f>
        <v>Wounded</v>
      </c>
      <c r="C2412" s="5" t="str">
        <f ca="1">IFERROR(__xludf.DUMMYFUNCTION("""COMPUTED_VALUE"""),"Male")</f>
        <v>Male</v>
      </c>
      <c r="D2412" s="5" t="str">
        <f ca="1">IFERROR(__xludf.DUMMYFUNCTION("""COMPUTED_VALUE"""),"Student")</f>
        <v>Student</v>
      </c>
      <c r="E2412" s="5" t="str">
        <f ca="1">IFERROR(__xludf.DUMMYFUNCTION("""COMPUTED_VALUE"""),"Teen")</f>
        <v>Teen</v>
      </c>
      <c r="F2412" s="5"/>
    </row>
    <row r="2413" spans="1:6">
      <c r="A2413" s="5" t="str">
        <f ca="1">IFERROR(__xludf.DUMMYFUNCTION("""COMPUTED_VALUE"""),"19890126DCWOW")</f>
        <v>19890126DCWOW</v>
      </c>
      <c r="B2413" s="5" t="str">
        <f ca="1">IFERROR(__xludf.DUMMYFUNCTION("""COMPUTED_VALUE"""),"Wounded")</f>
        <v>Wounded</v>
      </c>
      <c r="C2413" s="5" t="str">
        <f ca="1">IFERROR(__xludf.DUMMYFUNCTION("""COMPUTED_VALUE"""),"Male")</f>
        <v>Male</v>
      </c>
      <c r="D2413" s="5" t="str">
        <f ca="1">IFERROR(__xludf.DUMMYFUNCTION("""COMPUTED_VALUE"""),"Student")</f>
        <v>Student</v>
      </c>
      <c r="E2413" s="5" t="str">
        <f ca="1">IFERROR(__xludf.DUMMYFUNCTION("""COMPUTED_VALUE"""),"Teen")</f>
        <v>Teen</v>
      </c>
      <c r="F2413" s="5"/>
    </row>
    <row r="2414" spans="1:6">
      <c r="A2414" s="5" t="str">
        <f ca="1">IFERROR(__xludf.DUMMYFUNCTION("""COMPUTED_VALUE"""),"19890126DCWOW")</f>
        <v>19890126DCWOW</v>
      </c>
      <c r="B2414" s="5" t="str">
        <f ca="1">IFERROR(__xludf.DUMMYFUNCTION("""COMPUTED_VALUE"""),"Wounded")</f>
        <v>Wounded</v>
      </c>
      <c r="C2414" s="5" t="str">
        <f ca="1">IFERROR(__xludf.DUMMYFUNCTION("""COMPUTED_VALUE"""),"Male")</f>
        <v>Male</v>
      </c>
      <c r="D2414" s="5" t="str">
        <f ca="1">IFERROR(__xludf.DUMMYFUNCTION("""COMPUTED_VALUE"""),"Student")</f>
        <v>Student</v>
      </c>
      <c r="E2414" s="5" t="str">
        <f ca="1">IFERROR(__xludf.DUMMYFUNCTION("""COMPUTED_VALUE"""),"Teen")</f>
        <v>Teen</v>
      </c>
      <c r="F2414" s="5"/>
    </row>
    <row r="2415" spans="1:6">
      <c r="A2415" s="5" t="str">
        <f ca="1">IFERROR(__xludf.DUMMYFUNCTION("""COMPUTED_VALUE"""),"19890117CACLS")</f>
        <v>19890117CACLS</v>
      </c>
      <c r="B2415" s="5" t="str">
        <f ca="1">IFERROR(__xludf.DUMMYFUNCTION("""COMPUTED_VALUE"""),"Wounded")</f>
        <v>Wounded</v>
      </c>
      <c r="C2415" s="5"/>
      <c r="D2415" s="5" t="str">
        <f ca="1">IFERROR(__xludf.DUMMYFUNCTION("""COMPUTED_VALUE"""),"Student")</f>
        <v>Student</v>
      </c>
      <c r="E2415" s="5" t="str">
        <f ca="1">IFERROR(__xludf.DUMMYFUNCTION("""COMPUTED_VALUE"""),"Child")</f>
        <v>Child</v>
      </c>
      <c r="F2415" s="5"/>
    </row>
    <row r="2416" spans="1:6">
      <c r="A2416" s="5" t="str">
        <f ca="1">IFERROR(__xludf.DUMMYFUNCTION("""COMPUTED_VALUE"""),"19890117CACLS")</f>
        <v>19890117CACLS</v>
      </c>
      <c r="B2416" s="5" t="str">
        <f ca="1">IFERROR(__xludf.DUMMYFUNCTION("""COMPUTED_VALUE"""),"Fatal")</f>
        <v>Fatal</v>
      </c>
      <c r="C2416" s="5" t="str">
        <f ca="1">IFERROR(__xludf.DUMMYFUNCTION("""COMPUTED_VALUE"""),"Male")</f>
        <v>Male</v>
      </c>
      <c r="D2416" s="5" t="str">
        <f ca="1">IFERROR(__xludf.DUMMYFUNCTION("""COMPUTED_VALUE"""),"Student")</f>
        <v>Student</v>
      </c>
      <c r="E2416" s="5">
        <f ca="1">IFERROR(__xludf.DUMMYFUNCTION("""COMPUTED_VALUE"""),9)</f>
        <v>9</v>
      </c>
      <c r="F2416" s="5" t="str">
        <f ca="1">IFERROR(__xludf.DUMMYFUNCTION("""COMPUTED_VALUE"""),"Asian")</f>
        <v>Asian</v>
      </c>
    </row>
    <row r="2417" spans="1:6">
      <c r="A2417" s="5" t="str">
        <f ca="1">IFERROR(__xludf.DUMMYFUNCTION("""COMPUTED_VALUE"""),"19890117CACLS")</f>
        <v>19890117CACLS</v>
      </c>
      <c r="B2417" s="5" t="str">
        <f ca="1">IFERROR(__xludf.DUMMYFUNCTION("""COMPUTED_VALUE"""),"Wounded")</f>
        <v>Wounded</v>
      </c>
      <c r="C2417" s="5"/>
      <c r="D2417" s="5" t="str">
        <f ca="1">IFERROR(__xludf.DUMMYFUNCTION("""COMPUTED_VALUE"""),"Student")</f>
        <v>Student</v>
      </c>
      <c r="E2417" s="5" t="str">
        <f ca="1">IFERROR(__xludf.DUMMYFUNCTION("""COMPUTED_VALUE"""),"Child")</f>
        <v>Child</v>
      </c>
      <c r="F2417" s="5"/>
    </row>
    <row r="2418" spans="1:6">
      <c r="A2418" s="5" t="str">
        <f ca="1">IFERROR(__xludf.DUMMYFUNCTION("""COMPUTED_VALUE"""),"19890117CACLS")</f>
        <v>19890117CACLS</v>
      </c>
      <c r="B2418" s="5" t="str">
        <f ca="1">IFERROR(__xludf.DUMMYFUNCTION("""COMPUTED_VALUE"""),"Wounded")</f>
        <v>Wounded</v>
      </c>
      <c r="C2418" s="5"/>
      <c r="D2418" s="5" t="str">
        <f ca="1">IFERROR(__xludf.DUMMYFUNCTION("""COMPUTED_VALUE"""),"Student")</f>
        <v>Student</v>
      </c>
      <c r="E2418" s="5" t="str">
        <f ca="1">IFERROR(__xludf.DUMMYFUNCTION("""COMPUTED_VALUE"""),"Child")</f>
        <v>Child</v>
      </c>
      <c r="F2418" s="5"/>
    </row>
    <row r="2419" spans="1:6">
      <c r="A2419" s="5" t="str">
        <f ca="1">IFERROR(__xludf.DUMMYFUNCTION("""COMPUTED_VALUE"""),"19890117CACLS")</f>
        <v>19890117CACLS</v>
      </c>
      <c r="B2419" s="5" t="str">
        <f ca="1">IFERROR(__xludf.DUMMYFUNCTION("""COMPUTED_VALUE"""),"Wounded")</f>
        <v>Wounded</v>
      </c>
      <c r="C2419" s="5"/>
      <c r="D2419" s="5" t="str">
        <f ca="1">IFERROR(__xludf.DUMMYFUNCTION("""COMPUTED_VALUE"""),"Student")</f>
        <v>Student</v>
      </c>
      <c r="E2419" s="5" t="str">
        <f ca="1">IFERROR(__xludf.DUMMYFUNCTION("""COMPUTED_VALUE"""),"Child")</f>
        <v>Child</v>
      </c>
      <c r="F2419" s="5"/>
    </row>
    <row r="2420" spans="1:6">
      <c r="A2420" s="5" t="str">
        <f ca="1">IFERROR(__xludf.DUMMYFUNCTION("""COMPUTED_VALUE"""),"19890117CACLS")</f>
        <v>19890117CACLS</v>
      </c>
      <c r="B2420" s="5" t="str">
        <f ca="1">IFERROR(__xludf.DUMMYFUNCTION("""COMPUTED_VALUE"""),"Wounded")</f>
        <v>Wounded</v>
      </c>
      <c r="C2420" s="5"/>
      <c r="D2420" s="5" t="str">
        <f ca="1">IFERROR(__xludf.DUMMYFUNCTION("""COMPUTED_VALUE"""),"Student")</f>
        <v>Student</v>
      </c>
      <c r="E2420" s="5" t="str">
        <f ca="1">IFERROR(__xludf.DUMMYFUNCTION("""COMPUTED_VALUE"""),"Child")</f>
        <v>Child</v>
      </c>
      <c r="F2420" s="5"/>
    </row>
    <row r="2421" spans="1:6">
      <c r="A2421" s="5" t="str">
        <f ca="1">IFERROR(__xludf.DUMMYFUNCTION("""COMPUTED_VALUE"""),"19890117CACLS")</f>
        <v>19890117CACLS</v>
      </c>
      <c r="B2421" s="5" t="str">
        <f ca="1">IFERROR(__xludf.DUMMYFUNCTION("""COMPUTED_VALUE"""),"Wounded")</f>
        <v>Wounded</v>
      </c>
      <c r="C2421" s="5" t="str">
        <f ca="1">IFERROR(__xludf.DUMMYFUNCTION("""COMPUTED_VALUE"""),"Male")</f>
        <v>Male</v>
      </c>
      <c r="D2421" s="5" t="str">
        <f ca="1">IFERROR(__xludf.DUMMYFUNCTION("""COMPUTED_VALUE"""),"Student")</f>
        <v>Student</v>
      </c>
      <c r="E2421" s="5">
        <f ca="1">IFERROR(__xludf.DUMMYFUNCTION("""COMPUTED_VALUE"""),6)</f>
        <v>6</v>
      </c>
      <c r="F2421" s="5" t="str">
        <f ca="1">IFERROR(__xludf.DUMMYFUNCTION("""COMPUTED_VALUE"""),"White")</f>
        <v>White</v>
      </c>
    </row>
    <row r="2422" spans="1:6">
      <c r="A2422" s="5" t="str">
        <f ca="1">IFERROR(__xludf.DUMMYFUNCTION("""COMPUTED_VALUE"""),"19890117CACLS")</f>
        <v>19890117CACLS</v>
      </c>
      <c r="B2422" s="5" t="str">
        <f ca="1">IFERROR(__xludf.DUMMYFUNCTION("""COMPUTED_VALUE"""),"Wounded")</f>
        <v>Wounded</v>
      </c>
      <c r="C2422" s="5"/>
      <c r="D2422" s="5" t="str">
        <f ca="1">IFERROR(__xludf.DUMMYFUNCTION("""COMPUTED_VALUE"""),"Student")</f>
        <v>Student</v>
      </c>
      <c r="E2422" s="5" t="str">
        <f ca="1">IFERROR(__xludf.DUMMYFUNCTION("""COMPUTED_VALUE"""),"Child")</f>
        <v>Child</v>
      </c>
      <c r="F2422" s="5"/>
    </row>
    <row r="2423" spans="1:6">
      <c r="A2423" s="5" t="str">
        <f ca="1">IFERROR(__xludf.DUMMYFUNCTION("""COMPUTED_VALUE"""),"19890117CACLS")</f>
        <v>19890117CACLS</v>
      </c>
      <c r="B2423" s="5" t="str">
        <f ca="1">IFERROR(__xludf.DUMMYFUNCTION("""COMPUTED_VALUE"""),"Wounded")</f>
        <v>Wounded</v>
      </c>
      <c r="C2423" s="5"/>
      <c r="D2423" s="5" t="str">
        <f ca="1">IFERROR(__xludf.DUMMYFUNCTION("""COMPUTED_VALUE"""),"Student")</f>
        <v>Student</v>
      </c>
      <c r="E2423" s="5" t="str">
        <f ca="1">IFERROR(__xludf.DUMMYFUNCTION("""COMPUTED_VALUE"""),"Child")</f>
        <v>Child</v>
      </c>
      <c r="F2423" s="5"/>
    </row>
    <row r="2424" spans="1:6">
      <c r="A2424" s="5" t="str">
        <f ca="1">IFERROR(__xludf.DUMMYFUNCTION("""COMPUTED_VALUE"""),"19890117CACLS")</f>
        <v>19890117CACLS</v>
      </c>
      <c r="B2424" s="5" t="str">
        <f ca="1">IFERROR(__xludf.DUMMYFUNCTION("""COMPUTED_VALUE"""),"Wounded")</f>
        <v>Wounded</v>
      </c>
      <c r="C2424" s="5" t="str">
        <f ca="1">IFERROR(__xludf.DUMMYFUNCTION("""COMPUTED_VALUE"""),"Female")</f>
        <v>Female</v>
      </c>
      <c r="D2424" s="5" t="str">
        <f ca="1">IFERROR(__xludf.DUMMYFUNCTION("""COMPUTED_VALUE"""),"Teacher")</f>
        <v>Teacher</v>
      </c>
      <c r="E2424" s="5" t="str">
        <f ca="1">IFERROR(__xludf.DUMMYFUNCTION("""COMPUTED_VALUE"""),"Adult")</f>
        <v>Adult</v>
      </c>
      <c r="F2424" s="5"/>
    </row>
    <row r="2425" spans="1:6">
      <c r="A2425" s="5" t="str">
        <f ca="1">IFERROR(__xludf.DUMMYFUNCTION("""COMPUTED_VALUE"""),"19890117CACLS")</f>
        <v>19890117CACLS</v>
      </c>
      <c r="B2425" s="5" t="str">
        <f ca="1">IFERROR(__xludf.DUMMYFUNCTION("""COMPUTED_VALUE"""),"Wounded")</f>
        <v>Wounded</v>
      </c>
      <c r="C2425" s="5"/>
      <c r="D2425" s="5" t="str">
        <f ca="1">IFERROR(__xludf.DUMMYFUNCTION("""COMPUTED_VALUE"""),"Student")</f>
        <v>Student</v>
      </c>
      <c r="E2425" s="5" t="str">
        <f ca="1">IFERROR(__xludf.DUMMYFUNCTION("""COMPUTED_VALUE"""),"Child")</f>
        <v>Child</v>
      </c>
      <c r="F2425" s="5"/>
    </row>
    <row r="2426" spans="1:6">
      <c r="A2426" s="5" t="str">
        <f ca="1">IFERROR(__xludf.DUMMYFUNCTION("""COMPUTED_VALUE"""),"19890117CACLS")</f>
        <v>19890117CACLS</v>
      </c>
      <c r="B2426" s="5" t="str">
        <f ca="1">IFERROR(__xludf.DUMMYFUNCTION("""COMPUTED_VALUE"""),"Wounded")</f>
        <v>Wounded</v>
      </c>
      <c r="C2426" s="5"/>
      <c r="D2426" s="5" t="str">
        <f ca="1">IFERROR(__xludf.DUMMYFUNCTION("""COMPUTED_VALUE"""),"Student")</f>
        <v>Student</v>
      </c>
      <c r="E2426" s="5" t="str">
        <f ca="1">IFERROR(__xludf.DUMMYFUNCTION("""COMPUTED_VALUE"""),"Child")</f>
        <v>Child</v>
      </c>
      <c r="F2426" s="5"/>
    </row>
    <row r="2427" spans="1:6">
      <c r="A2427" s="5" t="str">
        <f ca="1">IFERROR(__xludf.DUMMYFUNCTION("""COMPUTED_VALUE"""),"19890117CACLS")</f>
        <v>19890117CACLS</v>
      </c>
      <c r="B2427" s="5" t="str">
        <f ca="1">IFERROR(__xludf.DUMMYFUNCTION("""COMPUTED_VALUE"""),"Wounded")</f>
        <v>Wounded</v>
      </c>
      <c r="C2427" s="5"/>
      <c r="D2427" s="5" t="str">
        <f ca="1">IFERROR(__xludf.DUMMYFUNCTION("""COMPUTED_VALUE"""),"Student")</f>
        <v>Student</v>
      </c>
      <c r="E2427" s="5" t="str">
        <f ca="1">IFERROR(__xludf.DUMMYFUNCTION("""COMPUTED_VALUE"""),"Child")</f>
        <v>Child</v>
      </c>
      <c r="F2427" s="5"/>
    </row>
    <row r="2428" spans="1:6">
      <c r="A2428" s="5" t="str">
        <f ca="1">IFERROR(__xludf.DUMMYFUNCTION("""COMPUTED_VALUE"""),"19890117CACLS")</f>
        <v>19890117CACLS</v>
      </c>
      <c r="B2428" s="5" t="str">
        <f ca="1">IFERROR(__xludf.DUMMYFUNCTION("""COMPUTED_VALUE"""),"Wounded")</f>
        <v>Wounded</v>
      </c>
      <c r="C2428" s="5" t="str">
        <f ca="1">IFERROR(__xludf.DUMMYFUNCTION("""COMPUTED_VALUE"""),"Female")</f>
        <v>Female</v>
      </c>
      <c r="D2428" s="5" t="str">
        <f ca="1">IFERROR(__xludf.DUMMYFUNCTION("""COMPUTED_VALUE"""),"Student")</f>
        <v>Student</v>
      </c>
      <c r="E2428" s="5">
        <f ca="1">IFERROR(__xludf.DUMMYFUNCTION("""COMPUTED_VALUE"""),7)</f>
        <v>7</v>
      </c>
      <c r="F2428" s="5" t="str">
        <f ca="1">IFERROR(__xludf.DUMMYFUNCTION("""COMPUTED_VALUE"""),"Asian")</f>
        <v>Asian</v>
      </c>
    </row>
    <row r="2429" spans="1:6">
      <c r="A2429" s="5" t="str">
        <f ca="1">IFERROR(__xludf.DUMMYFUNCTION("""COMPUTED_VALUE"""),"19890117CACLS")</f>
        <v>19890117CACLS</v>
      </c>
      <c r="B2429" s="5" t="str">
        <f ca="1">IFERROR(__xludf.DUMMYFUNCTION("""COMPUTED_VALUE"""),"Wounded")</f>
        <v>Wounded</v>
      </c>
      <c r="C2429" s="5"/>
      <c r="D2429" s="5" t="str">
        <f ca="1">IFERROR(__xludf.DUMMYFUNCTION("""COMPUTED_VALUE"""),"Student")</f>
        <v>Student</v>
      </c>
      <c r="E2429" s="5" t="str">
        <f ca="1">IFERROR(__xludf.DUMMYFUNCTION("""COMPUTED_VALUE"""),"Child")</f>
        <v>Child</v>
      </c>
      <c r="F2429" s="5"/>
    </row>
    <row r="2430" spans="1:6">
      <c r="A2430" s="5" t="str">
        <f ca="1">IFERROR(__xludf.DUMMYFUNCTION("""COMPUTED_VALUE"""),"19890117CACLS")</f>
        <v>19890117CACLS</v>
      </c>
      <c r="B2430" s="5" t="str">
        <f ca="1">IFERROR(__xludf.DUMMYFUNCTION("""COMPUTED_VALUE"""),"Wounded")</f>
        <v>Wounded</v>
      </c>
      <c r="C2430" s="5"/>
      <c r="D2430" s="5" t="str">
        <f ca="1">IFERROR(__xludf.DUMMYFUNCTION("""COMPUTED_VALUE"""),"Student")</f>
        <v>Student</v>
      </c>
      <c r="E2430" s="5" t="str">
        <f ca="1">IFERROR(__xludf.DUMMYFUNCTION("""COMPUTED_VALUE"""),"Child")</f>
        <v>Child</v>
      </c>
      <c r="F2430" s="5"/>
    </row>
    <row r="2431" spans="1:6">
      <c r="A2431" s="5" t="str">
        <f ca="1">IFERROR(__xludf.DUMMYFUNCTION("""COMPUTED_VALUE"""),"19890117CACLS")</f>
        <v>19890117CACLS</v>
      </c>
      <c r="B2431" s="5" t="str">
        <f ca="1">IFERROR(__xludf.DUMMYFUNCTION("""COMPUTED_VALUE"""),"Wounded")</f>
        <v>Wounded</v>
      </c>
      <c r="C2431" s="5"/>
      <c r="D2431" s="5" t="str">
        <f ca="1">IFERROR(__xludf.DUMMYFUNCTION("""COMPUTED_VALUE"""),"Student")</f>
        <v>Student</v>
      </c>
      <c r="E2431" s="5" t="str">
        <f ca="1">IFERROR(__xludf.DUMMYFUNCTION("""COMPUTED_VALUE"""),"Child")</f>
        <v>Child</v>
      </c>
      <c r="F2431" s="5"/>
    </row>
    <row r="2432" spans="1:6">
      <c r="A2432" s="5" t="str">
        <f ca="1">IFERROR(__xludf.DUMMYFUNCTION("""COMPUTED_VALUE"""),"19890117CACLS")</f>
        <v>19890117CACLS</v>
      </c>
      <c r="B2432" s="5" t="str">
        <f ca="1">IFERROR(__xludf.DUMMYFUNCTION("""COMPUTED_VALUE"""),"Fatal")</f>
        <v>Fatal</v>
      </c>
      <c r="C2432" s="5" t="str">
        <f ca="1">IFERROR(__xludf.DUMMYFUNCTION("""COMPUTED_VALUE"""),"Female")</f>
        <v>Female</v>
      </c>
      <c r="D2432" s="5" t="str">
        <f ca="1">IFERROR(__xludf.DUMMYFUNCTION("""COMPUTED_VALUE"""),"Student")</f>
        <v>Student</v>
      </c>
      <c r="E2432" s="5">
        <f ca="1">IFERROR(__xludf.DUMMYFUNCTION("""COMPUTED_VALUE"""),8)</f>
        <v>8</v>
      </c>
      <c r="F2432" s="5" t="str">
        <f ca="1">IFERROR(__xludf.DUMMYFUNCTION("""COMPUTED_VALUE"""),"Asian")</f>
        <v>Asian</v>
      </c>
    </row>
    <row r="2433" spans="1:6">
      <c r="A2433" s="5" t="str">
        <f ca="1">IFERROR(__xludf.DUMMYFUNCTION("""COMPUTED_VALUE"""),"19890117CACLS")</f>
        <v>19890117CACLS</v>
      </c>
      <c r="B2433" s="5" t="str">
        <f ca="1">IFERROR(__xludf.DUMMYFUNCTION("""COMPUTED_VALUE"""),"Wounded")</f>
        <v>Wounded</v>
      </c>
      <c r="C2433" s="5"/>
      <c r="D2433" s="5" t="str">
        <f ca="1">IFERROR(__xludf.DUMMYFUNCTION("""COMPUTED_VALUE"""),"Student")</f>
        <v>Student</v>
      </c>
      <c r="E2433" s="5" t="str">
        <f ca="1">IFERROR(__xludf.DUMMYFUNCTION("""COMPUTED_VALUE"""),"Child")</f>
        <v>Child</v>
      </c>
      <c r="F2433" s="5"/>
    </row>
    <row r="2434" spans="1:6">
      <c r="A2434" s="5" t="str">
        <f ca="1">IFERROR(__xludf.DUMMYFUNCTION("""COMPUTED_VALUE"""),"19890117CACLS")</f>
        <v>19890117CACLS</v>
      </c>
      <c r="B2434" s="5" t="str">
        <f ca="1">IFERROR(__xludf.DUMMYFUNCTION("""COMPUTED_VALUE"""),"Wounded")</f>
        <v>Wounded</v>
      </c>
      <c r="C2434" s="5"/>
      <c r="D2434" s="5" t="str">
        <f ca="1">IFERROR(__xludf.DUMMYFUNCTION("""COMPUTED_VALUE"""),"Student")</f>
        <v>Student</v>
      </c>
      <c r="E2434" s="5" t="str">
        <f ca="1">IFERROR(__xludf.DUMMYFUNCTION("""COMPUTED_VALUE"""),"Child")</f>
        <v>Child</v>
      </c>
      <c r="F2434" s="5"/>
    </row>
    <row r="2435" spans="1:6">
      <c r="A2435" s="5" t="str">
        <f ca="1">IFERROR(__xludf.DUMMYFUNCTION("""COMPUTED_VALUE"""),"19890117CACLS")</f>
        <v>19890117CACLS</v>
      </c>
      <c r="B2435" s="5" t="str">
        <f ca="1">IFERROR(__xludf.DUMMYFUNCTION("""COMPUTED_VALUE"""),"Fatal")</f>
        <v>Fatal</v>
      </c>
      <c r="C2435" s="5" t="str">
        <f ca="1">IFERROR(__xludf.DUMMYFUNCTION("""COMPUTED_VALUE"""),"Female")</f>
        <v>Female</v>
      </c>
      <c r="D2435" s="5" t="str">
        <f ca="1">IFERROR(__xludf.DUMMYFUNCTION("""COMPUTED_VALUE"""),"Student")</f>
        <v>Student</v>
      </c>
      <c r="E2435" s="5">
        <f ca="1">IFERROR(__xludf.DUMMYFUNCTION("""COMPUTED_VALUE"""),6)</f>
        <v>6</v>
      </c>
      <c r="F2435" s="5" t="str">
        <f ca="1">IFERROR(__xludf.DUMMYFUNCTION("""COMPUTED_VALUE"""),"Asian")</f>
        <v>Asian</v>
      </c>
    </row>
    <row r="2436" spans="1:6">
      <c r="A2436" s="5" t="str">
        <f ca="1">IFERROR(__xludf.DUMMYFUNCTION("""COMPUTED_VALUE"""),"19890117CACLS")</f>
        <v>19890117CACLS</v>
      </c>
      <c r="B2436" s="5" t="str">
        <f ca="1">IFERROR(__xludf.DUMMYFUNCTION("""COMPUTED_VALUE"""),"Wounded")</f>
        <v>Wounded</v>
      </c>
      <c r="C2436" s="5"/>
      <c r="D2436" s="5" t="str">
        <f ca="1">IFERROR(__xludf.DUMMYFUNCTION("""COMPUTED_VALUE"""),"Student")</f>
        <v>Student</v>
      </c>
      <c r="E2436" s="5" t="str">
        <f ca="1">IFERROR(__xludf.DUMMYFUNCTION("""COMPUTED_VALUE"""),"Child")</f>
        <v>Child</v>
      </c>
      <c r="F2436" s="5"/>
    </row>
    <row r="2437" spans="1:6">
      <c r="A2437" s="5" t="str">
        <f ca="1">IFERROR(__xludf.DUMMYFUNCTION("""COMPUTED_VALUE"""),"19890117CACLS")</f>
        <v>19890117CACLS</v>
      </c>
      <c r="B2437" s="5" t="str">
        <f ca="1">IFERROR(__xludf.DUMMYFUNCTION("""COMPUTED_VALUE"""),"Wounded")</f>
        <v>Wounded</v>
      </c>
      <c r="C2437" s="5"/>
      <c r="D2437" s="5" t="str">
        <f ca="1">IFERROR(__xludf.DUMMYFUNCTION("""COMPUTED_VALUE"""),"Student")</f>
        <v>Student</v>
      </c>
      <c r="E2437" s="5" t="str">
        <f ca="1">IFERROR(__xludf.DUMMYFUNCTION("""COMPUTED_VALUE"""),"Child")</f>
        <v>Child</v>
      </c>
      <c r="F2437" s="5"/>
    </row>
    <row r="2438" spans="1:6">
      <c r="A2438" s="5" t="str">
        <f ca="1">IFERROR(__xludf.DUMMYFUNCTION("""COMPUTED_VALUE"""),"19890117CACLS")</f>
        <v>19890117CACLS</v>
      </c>
      <c r="B2438" s="5" t="str">
        <f ca="1">IFERROR(__xludf.DUMMYFUNCTION("""COMPUTED_VALUE"""),"Wounded")</f>
        <v>Wounded</v>
      </c>
      <c r="C2438" s="5"/>
      <c r="D2438" s="5" t="str">
        <f ca="1">IFERROR(__xludf.DUMMYFUNCTION("""COMPUTED_VALUE"""),"Student")</f>
        <v>Student</v>
      </c>
      <c r="E2438" s="5" t="str">
        <f ca="1">IFERROR(__xludf.DUMMYFUNCTION("""COMPUTED_VALUE"""),"Child")</f>
        <v>Child</v>
      </c>
      <c r="F2438" s="5"/>
    </row>
    <row r="2439" spans="1:6">
      <c r="A2439" s="5" t="str">
        <f ca="1">IFERROR(__xludf.DUMMYFUNCTION("""COMPUTED_VALUE"""),"19890117CACLS")</f>
        <v>19890117CACLS</v>
      </c>
      <c r="B2439" s="5" t="str">
        <f ca="1">IFERROR(__xludf.DUMMYFUNCTION("""COMPUTED_VALUE"""),"Wounded")</f>
        <v>Wounded</v>
      </c>
      <c r="C2439" s="5" t="str">
        <f ca="1">IFERROR(__xludf.DUMMYFUNCTION("""COMPUTED_VALUE"""),"Male")</f>
        <v>Male</v>
      </c>
      <c r="D2439" s="5" t="str">
        <f ca="1">IFERROR(__xludf.DUMMYFUNCTION("""COMPUTED_VALUE"""),"Student")</f>
        <v>Student</v>
      </c>
      <c r="E2439" s="5">
        <f ca="1">IFERROR(__xludf.DUMMYFUNCTION("""COMPUTED_VALUE"""),7)</f>
        <v>7</v>
      </c>
      <c r="F2439" s="5" t="str">
        <f ca="1">IFERROR(__xludf.DUMMYFUNCTION("""COMPUTED_VALUE"""),"Asian")</f>
        <v>Asian</v>
      </c>
    </row>
    <row r="2440" spans="1:6">
      <c r="A2440" s="5" t="str">
        <f ca="1">IFERROR(__xludf.DUMMYFUNCTION("""COMPUTED_VALUE"""),"19890117CACLS")</f>
        <v>19890117CACLS</v>
      </c>
      <c r="B2440" s="5" t="str">
        <f ca="1">IFERROR(__xludf.DUMMYFUNCTION("""COMPUTED_VALUE"""),"Wounded")</f>
        <v>Wounded</v>
      </c>
      <c r="C2440" s="5"/>
      <c r="D2440" s="5" t="str">
        <f ca="1">IFERROR(__xludf.DUMMYFUNCTION("""COMPUTED_VALUE"""),"Student")</f>
        <v>Student</v>
      </c>
      <c r="E2440" s="5" t="str">
        <f ca="1">IFERROR(__xludf.DUMMYFUNCTION("""COMPUTED_VALUE"""),"Child")</f>
        <v>Child</v>
      </c>
      <c r="F2440" s="5"/>
    </row>
    <row r="2441" spans="1:6">
      <c r="A2441" s="5" t="str">
        <f ca="1">IFERROR(__xludf.DUMMYFUNCTION("""COMPUTED_VALUE"""),"19890117CACLS")</f>
        <v>19890117CACLS</v>
      </c>
      <c r="B2441" s="5" t="str">
        <f ca="1">IFERROR(__xludf.DUMMYFUNCTION("""COMPUTED_VALUE"""),"Wounded")</f>
        <v>Wounded</v>
      </c>
      <c r="C2441" s="5"/>
      <c r="D2441" s="5" t="str">
        <f ca="1">IFERROR(__xludf.DUMMYFUNCTION("""COMPUTED_VALUE"""),"Student")</f>
        <v>Student</v>
      </c>
      <c r="E2441" s="5" t="str">
        <f ca="1">IFERROR(__xludf.DUMMYFUNCTION("""COMPUTED_VALUE"""),"Child")</f>
        <v>Child</v>
      </c>
      <c r="F2441" s="5"/>
    </row>
    <row r="2442" spans="1:6">
      <c r="A2442" s="5" t="str">
        <f ca="1">IFERROR(__xludf.DUMMYFUNCTION("""COMPUTED_VALUE"""),"19890117CACLS")</f>
        <v>19890117CACLS</v>
      </c>
      <c r="B2442" s="5" t="str">
        <f ca="1">IFERROR(__xludf.DUMMYFUNCTION("""COMPUTED_VALUE"""),"Fatal")</f>
        <v>Fatal</v>
      </c>
      <c r="C2442" s="5" t="str">
        <f ca="1">IFERROR(__xludf.DUMMYFUNCTION("""COMPUTED_VALUE"""),"Female")</f>
        <v>Female</v>
      </c>
      <c r="D2442" s="5" t="str">
        <f ca="1">IFERROR(__xludf.DUMMYFUNCTION("""COMPUTED_VALUE"""),"Student")</f>
        <v>Student</v>
      </c>
      <c r="E2442" s="5">
        <f ca="1">IFERROR(__xludf.DUMMYFUNCTION("""COMPUTED_VALUE"""),6)</f>
        <v>6</v>
      </c>
      <c r="F2442" s="5" t="str">
        <f ca="1">IFERROR(__xludf.DUMMYFUNCTION("""COMPUTED_VALUE"""),"Asian")</f>
        <v>Asian</v>
      </c>
    </row>
    <row r="2443" spans="1:6">
      <c r="A2443" s="5" t="str">
        <f ca="1">IFERROR(__xludf.DUMMYFUNCTION("""COMPUTED_VALUE"""),"19890117CACLS")</f>
        <v>19890117CACLS</v>
      </c>
      <c r="B2443" s="5" t="str">
        <f ca="1">IFERROR(__xludf.DUMMYFUNCTION("""COMPUTED_VALUE"""),"Wounded")</f>
        <v>Wounded</v>
      </c>
      <c r="C2443" s="5"/>
      <c r="D2443" s="5" t="str">
        <f ca="1">IFERROR(__xludf.DUMMYFUNCTION("""COMPUTED_VALUE"""),"Student")</f>
        <v>Student</v>
      </c>
      <c r="E2443" s="5" t="str">
        <f ca="1">IFERROR(__xludf.DUMMYFUNCTION("""COMPUTED_VALUE"""),"Child")</f>
        <v>Child</v>
      </c>
      <c r="F2443" s="5"/>
    </row>
    <row r="2444" spans="1:6">
      <c r="A2444" s="5" t="str">
        <f ca="1">IFERROR(__xludf.DUMMYFUNCTION("""COMPUTED_VALUE"""),"19890117CACLS")</f>
        <v>19890117CACLS</v>
      </c>
      <c r="B2444" s="5" t="str">
        <f ca="1">IFERROR(__xludf.DUMMYFUNCTION("""COMPUTED_VALUE"""),"Wounded")</f>
        <v>Wounded</v>
      </c>
      <c r="C2444" s="5"/>
      <c r="D2444" s="5" t="str">
        <f ca="1">IFERROR(__xludf.DUMMYFUNCTION("""COMPUTED_VALUE"""),"Student")</f>
        <v>Student</v>
      </c>
      <c r="E2444" s="5" t="str">
        <f ca="1">IFERROR(__xludf.DUMMYFUNCTION("""COMPUTED_VALUE"""),"Child")</f>
        <v>Child</v>
      </c>
      <c r="F2444" s="5"/>
    </row>
    <row r="2445" spans="1:6">
      <c r="A2445" s="5" t="str">
        <f ca="1">IFERROR(__xludf.DUMMYFUNCTION("""COMPUTED_VALUE"""),"19890117CACLS")</f>
        <v>19890117CACLS</v>
      </c>
      <c r="B2445" s="5" t="str">
        <f ca="1">IFERROR(__xludf.DUMMYFUNCTION("""COMPUTED_VALUE"""),"Fatal")</f>
        <v>Fatal</v>
      </c>
      <c r="C2445" s="5" t="str">
        <f ca="1">IFERROR(__xludf.DUMMYFUNCTION("""COMPUTED_VALUE"""),"Female")</f>
        <v>Female</v>
      </c>
      <c r="D2445" s="5" t="str">
        <f ca="1">IFERROR(__xludf.DUMMYFUNCTION("""COMPUTED_VALUE"""),"Student")</f>
        <v>Student</v>
      </c>
      <c r="E2445" s="5">
        <f ca="1">IFERROR(__xludf.DUMMYFUNCTION("""COMPUTED_VALUE"""),8)</f>
        <v>8</v>
      </c>
      <c r="F2445" s="5" t="str">
        <f ca="1">IFERROR(__xludf.DUMMYFUNCTION("""COMPUTED_VALUE"""),"Asian")</f>
        <v>Asian</v>
      </c>
    </row>
    <row r="2446" spans="1:6">
      <c r="A2446" s="5" t="str">
        <f ca="1">IFERROR(__xludf.DUMMYFUNCTION("""COMPUTED_VALUE"""),"19890117CACLS")</f>
        <v>19890117CACLS</v>
      </c>
      <c r="B2446" s="5" t="str">
        <f ca="1">IFERROR(__xludf.DUMMYFUNCTION("""COMPUTED_VALUE"""),"Wounded")</f>
        <v>Wounded</v>
      </c>
      <c r="C2446" s="5"/>
      <c r="D2446" s="5" t="str">
        <f ca="1">IFERROR(__xludf.DUMMYFUNCTION("""COMPUTED_VALUE"""),"Student")</f>
        <v>Student</v>
      </c>
      <c r="E2446" s="5" t="str">
        <f ca="1">IFERROR(__xludf.DUMMYFUNCTION("""COMPUTED_VALUE"""),"Child")</f>
        <v>Child</v>
      </c>
      <c r="F2446" s="5"/>
    </row>
    <row r="2447" spans="1:6">
      <c r="A2447" s="5" t="str">
        <f ca="1">IFERROR(__xludf.DUMMYFUNCTION("""COMPUTED_VALUE"""),"19890117CACLS")</f>
        <v>19890117CACLS</v>
      </c>
      <c r="B2447" s="5" t="str">
        <f ca="1">IFERROR(__xludf.DUMMYFUNCTION("""COMPUTED_VALUE"""),"Wounded")</f>
        <v>Wounded</v>
      </c>
      <c r="C2447" s="5"/>
      <c r="D2447" s="5" t="str">
        <f ca="1">IFERROR(__xludf.DUMMYFUNCTION("""COMPUTED_VALUE"""),"Student")</f>
        <v>Student</v>
      </c>
      <c r="E2447" s="5" t="str">
        <f ca="1">IFERROR(__xludf.DUMMYFUNCTION("""COMPUTED_VALUE"""),"Child")</f>
        <v>Child</v>
      </c>
      <c r="F2447" s="5"/>
    </row>
    <row r="2448" spans="1:6">
      <c r="A2448" s="5" t="str">
        <f ca="1">IFERROR(__xludf.DUMMYFUNCTION("""COMPUTED_VALUE"""),"19890117CACLS")</f>
        <v>19890117CACLS</v>
      </c>
      <c r="B2448" s="5" t="str">
        <f ca="1">IFERROR(__xludf.DUMMYFUNCTION("""COMPUTED_VALUE"""),"Wounded")</f>
        <v>Wounded</v>
      </c>
      <c r="C2448" s="5"/>
      <c r="D2448" s="5" t="str">
        <f ca="1">IFERROR(__xludf.DUMMYFUNCTION("""COMPUTED_VALUE"""),"Student")</f>
        <v>Student</v>
      </c>
      <c r="E2448" s="5" t="str">
        <f ca="1">IFERROR(__xludf.DUMMYFUNCTION("""COMPUTED_VALUE"""),"Child")</f>
        <v>Child</v>
      </c>
      <c r="F2448" s="5"/>
    </row>
    <row r="2449" spans="1:6">
      <c r="A2449" s="5" t="str">
        <f ca="1">IFERROR(__xludf.DUMMYFUNCTION("""COMPUTED_VALUE"""),"19890117CACLS")</f>
        <v>19890117CACLS</v>
      </c>
      <c r="B2449" s="5" t="str">
        <f ca="1">IFERROR(__xludf.DUMMYFUNCTION("""COMPUTED_VALUE"""),"Wounded")</f>
        <v>Wounded</v>
      </c>
      <c r="C2449" s="5"/>
      <c r="D2449" s="5" t="str">
        <f ca="1">IFERROR(__xludf.DUMMYFUNCTION("""COMPUTED_VALUE"""),"Student")</f>
        <v>Student</v>
      </c>
      <c r="E2449" s="5" t="str">
        <f ca="1">IFERROR(__xludf.DUMMYFUNCTION("""COMPUTED_VALUE"""),"Child")</f>
        <v>Child</v>
      </c>
      <c r="F2449" s="5"/>
    </row>
    <row r="2450" spans="1:6">
      <c r="A2450" s="5" t="str">
        <f ca="1">IFERROR(__xludf.DUMMYFUNCTION("""COMPUTED_VALUE"""),"19890105ARHEL")</f>
        <v>19890105ARHEL</v>
      </c>
      <c r="B2450" s="5" t="str">
        <f ca="1">IFERROR(__xludf.DUMMYFUNCTION("""COMPUTED_VALUE"""),"Fatal")</f>
        <v>Fatal</v>
      </c>
      <c r="C2450" s="5" t="str">
        <f ca="1">IFERROR(__xludf.DUMMYFUNCTION("""COMPUTED_VALUE"""),"Male")</f>
        <v>Male</v>
      </c>
      <c r="D2450" s="5" t="str">
        <f ca="1">IFERROR(__xludf.DUMMYFUNCTION("""COMPUTED_VALUE"""),"Student")</f>
        <v>Student</v>
      </c>
      <c r="E2450" s="5">
        <f ca="1">IFERROR(__xludf.DUMMYFUNCTION("""COMPUTED_VALUE"""),16)</f>
        <v>16</v>
      </c>
      <c r="F2450" s="5"/>
    </row>
    <row r="2451" spans="1:6">
      <c r="A2451" s="5" t="str">
        <f ca="1">IFERROR(__xludf.DUMMYFUNCTION("""COMPUTED_VALUE"""),"19881216VAATV")</f>
        <v>19881216VAATV</v>
      </c>
      <c r="B2451" s="5" t="str">
        <f ca="1">IFERROR(__xludf.DUMMYFUNCTION("""COMPUTED_VALUE"""),"Fatal")</f>
        <v>Fatal</v>
      </c>
      <c r="C2451" s="5" t="str">
        <f ca="1">IFERROR(__xludf.DUMMYFUNCTION("""COMPUTED_VALUE"""),"Female")</f>
        <v>Female</v>
      </c>
      <c r="D2451" s="5" t="str">
        <f ca="1">IFERROR(__xludf.DUMMYFUNCTION("""COMPUTED_VALUE"""),"Teacher")</f>
        <v>Teacher</v>
      </c>
      <c r="E2451" s="5">
        <f ca="1">IFERROR(__xludf.DUMMYFUNCTION("""COMPUTED_VALUE"""),41)</f>
        <v>41</v>
      </c>
      <c r="F2451" s="5"/>
    </row>
    <row r="2452" spans="1:6">
      <c r="A2452" s="5" t="str">
        <f ca="1">IFERROR(__xludf.DUMMYFUNCTION("""COMPUTED_VALUE"""),"19881216VAATV")</f>
        <v>19881216VAATV</v>
      </c>
      <c r="B2452" s="5" t="str">
        <f ca="1">IFERROR(__xludf.DUMMYFUNCTION("""COMPUTED_VALUE"""),"Wounded")</f>
        <v>Wounded</v>
      </c>
      <c r="C2452" s="5" t="str">
        <f ca="1">IFERROR(__xludf.DUMMYFUNCTION("""COMPUTED_VALUE"""),"Male")</f>
        <v>Male</v>
      </c>
      <c r="D2452" s="5" t="str">
        <f ca="1">IFERROR(__xludf.DUMMYFUNCTION("""COMPUTED_VALUE"""),"Teacher")</f>
        <v>Teacher</v>
      </c>
      <c r="E2452" s="5">
        <f ca="1">IFERROR(__xludf.DUMMYFUNCTION("""COMPUTED_VALUE"""),37)</f>
        <v>37</v>
      </c>
      <c r="F2452" s="5"/>
    </row>
    <row r="2453" spans="1:6">
      <c r="A2453" s="5" t="str">
        <f ca="1">IFERROR(__xludf.DUMMYFUNCTION("""COMPUTED_VALUE"""),"19881122TXABA")</f>
        <v>19881122TXABA</v>
      </c>
      <c r="B2453" s="5" t="str">
        <f ca="1">IFERROR(__xludf.DUMMYFUNCTION("""COMPUTED_VALUE"""),"Wounded")</f>
        <v>Wounded</v>
      </c>
      <c r="C2453" s="5" t="str">
        <f ca="1">IFERROR(__xludf.DUMMYFUNCTION("""COMPUTED_VALUE"""),"Male")</f>
        <v>Male</v>
      </c>
      <c r="D2453" s="5" t="str">
        <f ca="1">IFERROR(__xludf.DUMMYFUNCTION("""COMPUTED_VALUE"""),"Teacher")</f>
        <v>Teacher</v>
      </c>
      <c r="E2453" s="5" t="str">
        <f ca="1">IFERROR(__xludf.DUMMYFUNCTION("""COMPUTED_VALUE"""),"Adult")</f>
        <v>Adult</v>
      </c>
      <c r="F2453" s="5"/>
    </row>
    <row r="2454" spans="1:6">
      <c r="A2454" s="5" t="str">
        <f ca="1">IFERROR(__xludf.DUMMYFUNCTION("""COMPUTED_VALUE"""),"19881107UTGLS")</f>
        <v>19881107UTGLS</v>
      </c>
      <c r="B2454" s="5" t="str">
        <f ca="1">IFERROR(__xludf.DUMMYFUNCTION("""COMPUTED_VALUE"""),"Wounded")</f>
        <v>Wounded</v>
      </c>
      <c r="C2454" s="5" t="str">
        <f ca="1">IFERROR(__xludf.DUMMYFUNCTION("""COMPUTED_VALUE"""),"Male")</f>
        <v>Male</v>
      </c>
      <c r="D2454" s="5" t="str">
        <f ca="1">IFERROR(__xludf.DUMMYFUNCTION("""COMPUTED_VALUE"""),"Student")</f>
        <v>Student</v>
      </c>
      <c r="E2454" s="5" t="str">
        <f ca="1">IFERROR(__xludf.DUMMYFUNCTION("""COMPUTED_VALUE"""),"Teen")</f>
        <v>Teen</v>
      </c>
      <c r="F2454" s="5"/>
    </row>
    <row r="2455" spans="1:6">
      <c r="A2455" s="5" t="str">
        <f ca="1">IFERROR(__xludf.DUMMYFUNCTION("""COMPUTED_VALUE"""),"19881101FLPAJ")</f>
        <v>19881101FLPAJ</v>
      </c>
      <c r="B2455" s="5" t="str">
        <f ca="1">IFERROR(__xludf.DUMMYFUNCTION("""COMPUTED_VALUE"""),"None")</f>
        <v>None</v>
      </c>
      <c r="C2455" s="5" t="str">
        <f ca="1">IFERROR(__xludf.DUMMYFUNCTION("""COMPUTED_VALUE"""),"Male")</f>
        <v>Male</v>
      </c>
      <c r="D2455" s="5" t="str">
        <f ca="1">IFERROR(__xludf.DUMMYFUNCTION("""COMPUTED_VALUE"""),"Student")</f>
        <v>Student</v>
      </c>
      <c r="E2455" s="5">
        <f ca="1">IFERROR(__xludf.DUMMYFUNCTION("""COMPUTED_VALUE"""),18)</f>
        <v>18</v>
      </c>
      <c r="F2455" s="5"/>
    </row>
    <row r="2456" spans="1:6">
      <c r="A2456" s="5" t="str">
        <f ca="1">IFERROR(__xludf.DUMMYFUNCTION("""COMPUTED_VALUE"""),"19881007TXDIP")</f>
        <v>19881007TXDIP</v>
      </c>
      <c r="B2456" s="5" t="str">
        <f ca="1">IFERROR(__xludf.DUMMYFUNCTION("""COMPUTED_VALUE"""),"Wounded")</f>
        <v>Wounded</v>
      </c>
      <c r="C2456" s="5" t="str">
        <f ca="1">IFERROR(__xludf.DUMMYFUNCTION("""COMPUTED_VALUE"""),"Female")</f>
        <v>Female</v>
      </c>
      <c r="D2456" s="5" t="str">
        <f ca="1">IFERROR(__xludf.DUMMYFUNCTION("""COMPUTED_VALUE"""),"Bus Driver")</f>
        <v>Bus Driver</v>
      </c>
      <c r="E2456" s="5">
        <f ca="1">IFERROR(__xludf.DUMMYFUNCTION("""COMPUTED_VALUE"""),40)</f>
        <v>40</v>
      </c>
      <c r="F2456" s="5"/>
    </row>
    <row r="2457" spans="1:6">
      <c r="A2457" s="5" t="str">
        <f ca="1">IFERROR(__xludf.DUMMYFUNCTION("""COMPUTED_VALUE"""),"19881007MDSOB")</f>
        <v>19881007MDSOB</v>
      </c>
      <c r="B2457" s="5" t="str">
        <f ca="1">IFERROR(__xludf.DUMMYFUNCTION("""COMPUTED_VALUE"""),"Wounded")</f>
        <v>Wounded</v>
      </c>
      <c r="C2457" s="5" t="str">
        <f ca="1">IFERROR(__xludf.DUMMYFUNCTION("""COMPUTED_VALUE"""),"Male")</f>
        <v>Male</v>
      </c>
      <c r="D2457" s="5" t="str">
        <f ca="1">IFERROR(__xludf.DUMMYFUNCTION("""COMPUTED_VALUE"""),"Student")</f>
        <v>Student</v>
      </c>
      <c r="E2457" s="5">
        <f ca="1">IFERROR(__xludf.DUMMYFUNCTION("""COMPUTED_VALUE"""),17)</f>
        <v>17</v>
      </c>
      <c r="F2457" s="5"/>
    </row>
    <row r="2458" spans="1:6">
      <c r="A2458" s="5" t="str">
        <f ca="1">IFERROR(__xludf.DUMMYFUNCTION("""COMPUTED_VALUE"""),"19881006ALMOM")</f>
        <v>19881006ALMOM</v>
      </c>
      <c r="B2458" s="5" t="str">
        <f ca="1">IFERROR(__xludf.DUMMYFUNCTION("""COMPUTED_VALUE"""),"Wounded")</f>
        <v>Wounded</v>
      </c>
      <c r="C2458" s="5" t="str">
        <f ca="1">IFERROR(__xludf.DUMMYFUNCTION("""COMPUTED_VALUE"""),"Female")</f>
        <v>Female</v>
      </c>
      <c r="D2458" s="5" t="str">
        <f ca="1">IFERROR(__xludf.DUMMYFUNCTION("""COMPUTED_VALUE"""),"Teacher")</f>
        <v>Teacher</v>
      </c>
      <c r="E2458" s="5">
        <f ca="1">IFERROR(__xludf.DUMMYFUNCTION("""COMPUTED_VALUE"""),35)</f>
        <v>35</v>
      </c>
      <c r="F2458" s="5"/>
    </row>
    <row r="2459" spans="1:6">
      <c r="A2459" s="5" t="str">
        <f ca="1">IFERROR(__xludf.DUMMYFUNCTION("""COMPUTED_VALUE"""),"19881005MDEDB")</f>
        <v>19881005MDEDB</v>
      </c>
      <c r="B2459" s="5" t="str">
        <f ca="1">IFERROR(__xludf.DUMMYFUNCTION("""COMPUTED_VALUE"""),"Wounded")</f>
        <v>Wounded</v>
      </c>
      <c r="C2459" s="5" t="str">
        <f ca="1">IFERROR(__xludf.DUMMYFUNCTION("""COMPUTED_VALUE"""),"Female")</f>
        <v>Female</v>
      </c>
      <c r="D2459" s="5" t="str">
        <f ca="1">IFERROR(__xludf.DUMMYFUNCTION("""COMPUTED_VALUE"""),"Student")</f>
        <v>Student</v>
      </c>
      <c r="E2459" s="5">
        <f ca="1">IFERROR(__xludf.DUMMYFUNCTION("""COMPUTED_VALUE"""),15)</f>
        <v>15</v>
      </c>
      <c r="F2459" s="5"/>
    </row>
    <row r="2460" spans="1:6">
      <c r="A2460" s="5" t="str">
        <f ca="1">IFERROR(__xludf.DUMMYFUNCTION("""COMPUTED_VALUE"""),"19881004LAISB")</f>
        <v>19881004LAISB</v>
      </c>
      <c r="B2460" s="5" t="str">
        <f ca="1">IFERROR(__xludf.DUMMYFUNCTION("""COMPUTED_VALUE"""),"None")</f>
        <v>None</v>
      </c>
      <c r="C2460" s="5"/>
      <c r="D2460" s="5" t="str">
        <f ca="1">IFERROR(__xludf.DUMMYFUNCTION("""COMPUTED_VALUE"""),"Other Staff")</f>
        <v>Other Staff</v>
      </c>
      <c r="E2460" s="5" t="str">
        <f ca="1">IFERROR(__xludf.DUMMYFUNCTION("""COMPUTED_VALUE"""),"Adult")</f>
        <v>Adult</v>
      </c>
      <c r="F2460" s="5"/>
    </row>
    <row r="2461" spans="1:6">
      <c r="A2461" s="5" t="str">
        <f ca="1">IFERROR(__xludf.DUMMYFUNCTION("""COMPUTED_VALUE"""),"19881004FLJEJ")</f>
        <v>19881004FLJEJ</v>
      </c>
      <c r="B2461" s="5" t="str">
        <f ca="1">IFERROR(__xludf.DUMMYFUNCTION("""COMPUTED_VALUE"""),"Wounded")</f>
        <v>Wounded</v>
      </c>
      <c r="C2461" s="5" t="str">
        <f ca="1">IFERROR(__xludf.DUMMYFUNCTION("""COMPUTED_VALUE"""),"Female")</f>
        <v>Female</v>
      </c>
      <c r="D2461" s="5" t="str">
        <f ca="1">IFERROR(__xludf.DUMMYFUNCTION("""COMPUTED_VALUE"""),"Student")</f>
        <v>Student</v>
      </c>
      <c r="E2461" s="5" t="str">
        <f ca="1">IFERROR(__xludf.DUMMYFUNCTION("""COMPUTED_VALUE"""),"Teen")</f>
        <v>Teen</v>
      </c>
      <c r="F2461" s="5"/>
    </row>
    <row r="2462" spans="1:6">
      <c r="A2462" s="5" t="str">
        <f ca="1">IFERROR(__xludf.DUMMYFUNCTION("""COMPUTED_VALUE"""),"19881004FLJEJ")</f>
        <v>19881004FLJEJ</v>
      </c>
      <c r="B2462" s="5" t="str">
        <f ca="1">IFERROR(__xludf.DUMMYFUNCTION("""COMPUTED_VALUE"""),"Wounded")</f>
        <v>Wounded</v>
      </c>
      <c r="C2462" s="5" t="str">
        <f ca="1">IFERROR(__xludf.DUMMYFUNCTION("""COMPUTED_VALUE"""),"Female")</f>
        <v>Female</v>
      </c>
      <c r="D2462" s="5" t="str">
        <f ca="1">IFERROR(__xludf.DUMMYFUNCTION("""COMPUTED_VALUE"""),"Student")</f>
        <v>Student</v>
      </c>
      <c r="E2462" s="5" t="str">
        <f ca="1">IFERROR(__xludf.DUMMYFUNCTION("""COMPUTED_VALUE"""),"Teen")</f>
        <v>Teen</v>
      </c>
      <c r="F2462" s="5"/>
    </row>
    <row r="2463" spans="1:6">
      <c r="A2463" s="5" t="str">
        <f ca="1">IFERROR(__xludf.DUMMYFUNCTION("""COMPUTED_VALUE"""),"19881004FLJEJ")</f>
        <v>19881004FLJEJ</v>
      </c>
      <c r="B2463" s="5" t="str">
        <f ca="1">IFERROR(__xludf.DUMMYFUNCTION("""COMPUTED_VALUE"""),"Wounded")</f>
        <v>Wounded</v>
      </c>
      <c r="C2463" s="5" t="str">
        <f ca="1">IFERROR(__xludf.DUMMYFUNCTION("""COMPUTED_VALUE"""),"Female")</f>
        <v>Female</v>
      </c>
      <c r="D2463" s="5" t="str">
        <f ca="1">IFERROR(__xludf.DUMMYFUNCTION("""COMPUTED_VALUE"""),"Student")</f>
        <v>Student</v>
      </c>
      <c r="E2463" s="5" t="str">
        <f ca="1">IFERROR(__xludf.DUMMYFUNCTION("""COMPUTED_VALUE"""),"Teen")</f>
        <v>Teen</v>
      </c>
      <c r="F2463" s="5"/>
    </row>
    <row r="2464" spans="1:6">
      <c r="A2464" s="5" t="str">
        <f ca="1">IFERROR(__xludf.DUMMYFUNCTION("""COMPUTED_VALUE"""),"19881004FLJEJ")</f>
        <v>19881004FLJEJ</v>
      </c>
      <c r="B2464" s="5" t="str">
        <f ca="1">IFERROR(__xludf.DUMMYFUNCTION("""COMPUTED_VALUE"""),"Wounded")</f>
        <v>Wounded</v>
      </c>
      <c r="C2464" s="5" t="str">
        <f ca="1">IFERROR(__xludf.DUMMYFUNCTION("""COMPUTED_VALUE"""),"Female")</f>
        <v>Female</v>
      </c>
      <c r="D2464" s="5" t="str">
        <f ca="1">IFERROR(__xludf.DUMMYFUNCTION("""COMPUTED_VALUE"""),"Student")</f>
        <v>Student</v>
      </c>
      <c r="E2464" s="5" t="str">
        <f ca="1">IFERROR(__xludf.DUMMYFUNCTION("""COMPUTED_VALUE"""),"Teen")</f>
        <v>Teen</v>
      </c>
      <c r="F2464" s="5"/>
    </row>
    <row r="2465" spans="1:6">
      <c r="A2465" s="5" t="str">
        <f ca="1">IFERROR(__xludf.DUMMYFUNCTION("""COMPUTED_VALUE"""),"19881004FLJEJ")</f>
        <v>19881004FLJEJ</v>
      </c>
      <c r="B2465" s="5" t="str">
        <f ca="1">IFERROR(__xludf.DUMMYFUNCTION("""COMPUTED_VALUE"""),"Wounded")</f>
        <v>Wounded</v>
      </c>
      <c r="C2465" s="5" t="str">
        <f ca="1">IFERROR(__xludf.DUMMYFUNCTION("""COMPUTED_VALUE"""),"Female")</f>
        <v>Female</v>
      </c>
      <c r="D2465" s="5" t="str">
        <f ca="1">IFERROR(__xludf.DUMMYFUNCTION("""COMPUTED_VALUE"""),"Student")</f>
        <v>Student</v>
      </c>
      <c r="E2465" s="5" t="str">
        <f ca="1">IFERROR(__xludf.DUMMYFUNCTION("""COMPUTED_VALUE"""),"Teen")</f>
        <v>Teen</v>
      </c>
      <c r="F2465" s="5"/>
    </row>
    <row r="2466" spans="1:6">
      <c r="A2466" s="5" t="str">
        <f ca="1">IFERROR(__xludf.DUMMYFUNCTION("""COMPUTED_VALUE"""),"19881003FLMAM")</f>
        <v>19881003FLMAM</v>
      </c>
      <c r="B2466" s="5" t="str">
        <f ca="1">IFERROR(__xludf.DUMMYFUNCTION("""COMPUTED_VALUE"""),"Wounded")</f>
        <v>Wounded</v>
      </c>
      <c r="C2466" s="5" t="str">
        <f ca="1">IFERROR(__xludf.DUMMYFUNCTION("""COMPUTED_VALUE"""),"Female")</f>
        <v>Female</v>
      </c>
      <c r="D2466" s="5" t="str">
        <f ca="1">IFERROR(__xludf.DUMMYFUNCTION("""COMPUTED_VALUE"""),"Student")</f>
        <v>Student</v>
      </c>
      <c r="E2466" s="5" t="str">
        <f ca="1">IFERROR(__xludf.DUMMYFUNCTION("""COMPUTED_VALUE"""),"Teen")</f>
        <v>Teen</v>
      </c>
      <c r="F2466" s="5"/>
    </row>
    <row r="2467" spans="1:6">
      <c r="A2467" s="5" t="str">
        <f ca="1">IFERROR(__xludf.DUMMYFUNCTION("""COMPUTED_VALUE"""),"19880926SCOAG")</f>
        <v>19880926SCOAG</v>
      </c>
      <c r="B2467" s="5" t="str">
        <f ca="1">IFERROR(__xludf.DUMMYFUNCTION("""COMPUTED_VALUE"""),"Wounded")</f>
        <v>Wounded</v>
      </c>
      <c r="C2467" s="5" t="str">
        <f ca="1">IFERROR(__xludf.DUMMYFUNCTION("""COMPUTED_VALUE"""),"Female")</f>
        <v>Female</v>
      </c>
      <c r="D2467" s="5" t="str">
        <f ca="1">IFERROR(__xludf.DUMMYFUNCTION("""COMPUTED_VALUE"""),"Teacher")</f>
        <v>Teacher</v>
      </c>
      <c r="E2467" s="5" t="str">
        <f ca="1">IFERROR(__xludf.DUMMYFUNCTION("""COMPUTED_VALUE"""),"Adult")</f>
        <v>Adult</v>
      </c>
      <c r="F2467" s="5"/>
    </row>
    <row r="2468" spans="1:6">
      <c r="A2468" s="5" t="str">
        <f ca="1">IFERROR(__xludf.DUMMYFUNCTION("""COMPUTED_VALUE"""),"19880926SCOAG")</f>
        <v>19880926SCOAG</v>
      </c>
      <c r="B2468" s="5" t="str">
        <f ca="1">IFERROR(__xludf.DUMMYFUNCTION("""COMPUTED_VALUE"""),"Fatal")</f>
        <v>Fatal</v>
      </c>
      <c r="C2468" s="5" t="str">
        <f ca="1">IFERROR(__xludf.DUMMYFUNCTION("""COMPUTED_VALUE"""),"Female")</f>
        <v>Female</v>
      </c>
      <c r="D2468" s="5" t="str">
        <f ca="1">IFERROR(__xludf.DUMMYFUNCTION("""COMPUTED_VALUE"""),"Student")</f>
        <v>Student</v>
      </c>
      <c r="E2468" s="5">
        <f ca="1">IFERROR(__xludf.DUMMYFUNCTION("""COMPUTED_VALUE"""),8)</f>
        <v>8</v>
      </c>
      <c r="F2468" s="5" t="str">
        <f ca="1">IFERROR(__xludf.DUMMYFUNCTION("""COMPUTED_VALUE"""),"Black")</f>
        <v>Black</v>
      </c>
    </row>
    <row r="2469" spans="1:6">
      <c r="A2469" s="5" t="str">
        <f ca="1">IFERROR(__xludf.DUMMYFUNCTION("""COMPUTED_VALUE"""),"19880926SCOAG")</f>
        <v>19880926SCOAG</v>
      </c>
      <c r="B2469" s="5" t="str">
        <f ca="1">IFERROR(__xludf.DUMMYFUNCTION("""COMPUTED_VALUE"""),"Wounded")</f>
        <v>Wounded</v>
      </c>
      <c r="C2469" s="5" t="str">
        <f ca="1">IFERROR(__xludf.DUMMYFUNCTION("""COMPUTED_VALUE"""),"Male")</f>
        <v>Male</v>
      </c>
      <c r="D2469" s="5" t="str">
        <f ca="1">IFERROR(__xludf.DUMMYFUNCTION("""COMPUTED_VALUE"""),"Student")</f>
        <v>Student</v>
      </c>
      <c r="E2469" s="5">
        <f ca="1">IFERROR(__xludf.DUMMYFUNCTION("""COMPUTED_VALUE"""),6)</f>
        <v>6</v>
      </c>
      <c r="F2469" s="5"/>
    </row>
    <row r="2470" spans="1:6">
      <c r="A2470" s="5" t="str">
        <f ca="1">IFERROR(__xludf.DUMMYFUNCTION("""COMPUTED_VALUE"""),"19880926SCOAG")</f>
        <v>19880926SCOAG</v>
      </c>
      <c r="B2470" s="5" t="str">
        <f ca="1">IFERROR(__xludf.DUMMYFUNCTION("""COMPUTED_VALUE"""),"Fatal")</f>
        <v>Fatal</v>
      </c>
      <c r="C2470" s="5" t="str">
        <f ca="1">IFERROR(__xludf.DUMMYFUNCTION("""COMPUTED_VALUE"""),"Female")</f>
        <v>Female</v>
      </c>
      <c r="D2470" s="5" t="str">
        <f ca="1">IFERROR(__xludf.DUMMYFUNCTION("""COMPUTED_VALUE"""),"Student")</f>
        <v>Student</v>
      </c>
      <c r="E2470" s="5">
        <f ca="1">IFERROR(__xludf.DUMMYFUNCTION("""COMPUTED_VALUE"""),8)</f>
        <v>8</v>
      </c>
      <c r="F2470" s="5" t="str">
        <f ca="1">IFERROR(__xludf.DUMMYFUNCTION("""COMPUTED_VALUE"""),"Black")</f>
        <v>Black</v>
      </c>
    </row>
    <row r="2471" spans="1:6">
      <c r="A2471" s="5" t="str">
        <f ca="1">IFERROR(__xludf.DUMMYFUNCTION("""COMPUTED_VALUE"""),"19880926SCOAG")</f>
        <v>19880926SCOAG</v>
      </c>
      <c r="B2471" s="5" t="str">
        <f ca="1">IFERROR(__xludf.DUMMYFUNCTION("""COMPUTED_VALUE"""),"Wounded")</f>
        <v>Wounded</v>
      </c>
      <c r="C2471" s="5" t="str">
        <f ca="1">IFERROR(__xludf.DUMMYFUNCTION("""COMPUTED_VALUE"""),"Female")</f>
        <v>Female</v>
      </c>
      <c r="D2471" s="5" t="str">
        <f ca="1">IFERROR(__xludf.DUMMYFUNCTION("""COMPUTED_VALUE"""),"Teacher")</f>
        <v>Teacher</v>
      </c>
      <c r="E2471" s="5" t="str">
        <f ca="1">IFERROR(__xludf.DUMMYFUNCTION("""COMPUTED_VALUE"""),"Adult")</f>
        <v>Adult</v>
      </c>
      <c r="F2471" s="5"/>
    </row>
    <row r="2472" spans="1:6">
      <c r="A2472" s="5" t="str">
        <f ca="1">IFERROR(__xludf.DUMMYFUNCTION("""COMPUTED_VALUE"""),"19880926SCOAG")</f>
        <v>19880926SCOAG</v>
      </c>
      <c r="B2472" s="5" t="str">
        <f ca="1">IFERROR(__xludf.DUMMYFUNCTION("""COMPUTED_VALUE"""),"Wounded")</f>
        <v>Wounded</v>
      </c>
      <c r="C2472" s="5"/>
      <c r="D2472" s="5" t="str">
        <f ca="1">IFERROR(__xludf.DUMMYFUNCTION("""COMPUTED_VALUE"""),"Student")</f>
        <v>Student</v>
      </c>
      <c r="E2472" s="5">
        <f ca="1">IFERROR(__xludf.DUMMYFUNCTION("""COMPUTED_VALUE"""),8)</f>
        <v>8</v>
      </c>
      <c r="F2472" s="5"/>
    </row>
    <row r="2473" spans="1:6">
      <c r="A2473" s="5" t="str">
        <f ca="1">IFERROR(__xludf.DUMMYFUNCTION("""COMPUTED_VALUE"""),"19880926SCOAG")</f>
        <v>19880926SCOAG</v>
      </c>
      <c r="B2473" s="5" t="str">
        <f ca="1">IFERROR(__xludf.DUMMYFUNCTION("""COMPUTED_VALUE"""),"Wounded")</f>
        <v>Wounded</v>
      </c>
      <c r="C2473" s="5" t="str">
        <f ca="1">IFERROR(__xludf.DUMMYFUNCTION("""COMPUTED_VALUE"""),"Female")</f>
        <v>Female</v>
      </c>
      <c r="D2473" s="5" t="str">
        <f ca="1">IFERROR(__xludf.DUMMYFUNCTION("""COMPUTED_VALUE"""),"Student")</f>
        <v>Student</v>
      </c>
      <c r="E2473" s="5">
        <f ca="1">IFERROR(__xludf.DUMMYFUNCTION("""COMPUTED_VALUE"""),6)</f>
        <v>6</v>
      </c>
      <c r="F2473" s="5" t="str">
        <f ca="1">IFERROR(__xludf.DUMMYFUNCTION("""COMPUTED_VALUE"""),"Black")</f>
        <v>Black</v>
      </c>
    </row>
    <row r="2474" spans="1:6">
      <c r="A2474" s="5" t="str">
        <f ca="1">IFERROR(__xludf.DUMMYFUNCTION("""COMPUTED_VALUE"""),"19880926SCOAG")</f>
        <v>19880926SCOAG</v>
      </c>
      <c r="B2474" s="5" t="str">
        <f ca="1">IFERROR(__xludf.DUMMYFUNCTION("""COMPUTED_VALUE"""),"Wounded")</f>
        <v>Wounded</v>
      </c>
      <c r="C2474" s="5"/>
      <c r="D2474" s="5" t="str">
        <f ca="1">IFERROR(__xludf.DUMMYFUNCTION("""COMPUTED_VALUE"""),"Student")</f>
        <v>Student</v>
      </c>
      <c r="E2474" s="5">
        <f ca="1">IFERROR(__xludf.DUMMYFUNCTION("""COMPUTED_VALUE"""),8)</f>
        <v>8</v>
      </c>
      <c r="F2474" s="5"/>
    </row>
    <row r="2475" spans="1:6">
      <c r="A2475" s="5" t="str">
        <f ca="1">IFERROR(__xludf.DUMMYFUNCTION("""COMPUTED_VALUE"""),"19880926SCOAG")</f>
        <v>19880926SCOAG</v>
      </c>
      <c r="B2475" s="5" t="str">
        <f ca="1">IFERROR(__xludf.DUMMYFUNCTION("""COMPUTED_VALUE"""),"Wounded")</f>
        <v>Wounded</v>
      </c>
      <c r="C2475" s="5" t="str">
        <f ca="1">IFERROR(__xludf.DUMMYFUNCTION("""COMPUTED_VALUE"""),"Female")</f>
        <v>Female</v>
      </c>
      <c r="D2475" s="5" t="str">
        <f ca="1">IFERROR(__xludf.DUMMYFUNCTION("""COMPUTED_VALUE"""),"Student")</f>
        <v>Student</v>
      </c>
      <c r="E2475" s="5">
        <f ca="1">IFERROR(__xludf.DUMMYFUNCTION("""COMPUTED_VALUE"""),8)</f>
        <v>8</v>
      </c>
      <c r="F2475" s="5"/>
    </row>
    <row r="2476" spans="1:6">
      <c r="A2476" s="5" t="str">
        <f ca="1">IFERROR(__xludf.DUMMYFUNCTION("""COMPUTED_VALUE"""),"19880926SCOAG")</f>
        <v>19880926SCOAG</v>
      </c>
      <c r="B2476" s="5" t="str">
        <f ca="1">IFERROR(__xludf.DUMMYFUNCTION("""COMPUTED_VALUE"""),"Wounded")</f>
        <v>Wounded</v>
      </c>
      <c r="C2476" s="5"/>
      <c r="D2476" s="5" t="str">
        <f ca="1">IFERROR(__xludf.DUMMYFUNCTION("""COMPUTED_VALUE"""),"Student")</f>
        <v>Student</v>
      </c>
      <c r="E2476" s="5">
        <f ca="1">IFERROR(__xludf.DUMMYFUNCTION("""COMPUTED_VALUE"""),8)</f>
        <v>8</v>
      </c>
      <c r="F2476" s="5"/>
    </row>
    <row r="2477" spans="1:6">
      <c r="A2477" s="5" t="str">
        <f ca="1">IFERROR(__xludf.DUMMYFUNCTION("""COMPUTED_VALUE"""),"19880926SCOAG")</f>
        <v>19880926SCOAG</v>
      </c>
      <c r="B2477" s="5" t="str">
        <f ca="1">IFERROR(__xludf.DUMMYFUNCTION("""COMPUTED_VALUE"""),"Wounded")</f>
        <v>Wounded</v>
      </c>
      <c r="C2477" s="5" t="str">
        <f ca="1">IFERROR(__xludf.DUMMYFUNCTION("""COMPUTED_VALUE"""),"Female")</f>
        <v>Female</v>
      </c>
      <c r="D2477" s="5" t="str">
        <f ca="1">IFERROR(__xludf.DUMMYFUNCTION("""COMPUTED_VALUE"""),"Student")</f>
        <v>Student</v>
      </c>
      <c r="E2477" s="5">
        <f ca="1">IFERROR(__xludf.DUMMYFUNCTION("""COMPUTED_VALUE"""),6)</f>
        <v>6</v>
      </c>
      <c r="F2477" s="5" t="str">
        <f ca="1">IFERROR(__xludf.DUMMYFUNCTION("""COMPUTED_VALUE"""),"White")</f>
        <v>White</v>
      </c>
    </row>
    <row r="2478" spans="1:6">
      <c r="A2478" s="5" t="str">
        <f ca="1">IFERROR(__xludf.DUMMYFUNCTION("""COMPUTED_VALUE"""),"19880922ILMOC")</f>
        <v>19880922ILMOC</v>
      </c>
      <c r="B2478" s="5" t="str">
        <f ca="1">IFERROR(__xludf.DUMMYFUNCTION("""COMPUTED_VALUE"""),"Wounded")</f>
        <v>Wounded</v>
      </c>
      <c r="C2478" s="5" t="str">
        <f ca="1">IFERROR(__xludf.DUMMYFUNCTION("""COMPUTED_VALUE"""),"Male")</f>
        <v>Male</v>
      </c>
      <c r="D2478" s="5" t="str">
        <f ca="1">IFERROR(__xludf.DUMMYFUNCTION("""COMPUTED_VALUE"""),"No Relation")</f>
        <v>No Relation</v>
      </c>
      <c r="E2478" s="5">
        <f ca="1">IFERROR(__xludf.DUMMYFUNCTION("""COMPUTED_VALUE"""),35)</f>
        <v>35</v>
      </c>
      <c r="F2478" s="5"/>
    </row>
    <row r="2479" spans="1:6">
      <c r="A2479" s="5" t="str">
        <f ca="1">IFERROR(__xludf.DUMMYFUNCTION("""COMPUTED_VALUE"""),"19880922ILMOC")</f>
        <v>19880922ILMOC</v>
      </c>
      <c r="B2479" s="5" t="str">
        <f ca="1">IFERROR(__xludf.DUMMYFUNCTION("""COMPUTED_VALUE"""),"Fatal")</f>
        <v>Fatal</v>
      </c>
      <c r="C2479" s="5" t="str">
        <f ca="1">IFERROR(__xludf.DUMMYFUNCTION("""COMPUTED_VALUE"""),"Male")</f>
        <v>Male</v>
      </c>
      <c r="D2479" s="5" t="str">
        <f ca="1">IFERROR(__xludf.DUMMYFUNCTION("""COMPUTED_VALUE"""),"Other Staff")</f>
        <v>Other Staff</v>
      </c>
      <c r="E2479" s="5">
        <f ca="1">IFERROR(__xludf.DUMMYFUNCTION("""COMPUTED_VALUE"""),33)</f>
        <v>33</v>
      </c>
      <c r="F2479" s="5"/>
    </row>
    <row r="2480" spans="1:6">
      <c r="A2480" s="5" t="str">
        <f ca="1">IFERROR(__xludf.DUMMYFUNCTION("""COMPUTED_VALUE"""),"19880922ILMOC")</f>
        <v>19880922ILMOC</v>
      </c>
      <c r="B2480" s="5" t="str">
        <f ca="1">IFERROR(__xludf.DUMMYFUNCTION("""COMPUTED_VALUE"""),"Fatal")</f>
        <v>Fatal</v>
      </c>
      <c r="C2480" s="5" t="str">
        <f ca="1">IFERROR(__xludf.DUMMYFUNCTION("""COMPUTED_VALUE"""),"Male")</f>
        <v>Male</v>
      </c>
      <c r="D2480" s="5" t="str">
        <f ca="1">IFERROR(__xludf.DUMMYFUNCTION("""COMPUTED_VALUE"""),"No Relation")</f>
        <v>No Relation</v>
      </c>
      <c r="E2480" s="5">
        <f ca="1">IFERROR(__xludf.DUMMYFUNCTION("""COMPUTED_VALUE"""),26)</f>
        <v>26</v>
      </c>
      <c r="F2480" s="5"/>
    </row>
    <row r="2481" spans="1:6">
      <c r="A2481" s="5" t="str">
        <f ca="1">IFERROR(__xludf.DUMMYFUNCTION("""COMPUTED_VALUE"""),"19880922ILMOC")</f>
        <v>19880922ILMOC</v>
      </c>
      <c r="B2481" s="5" t="str">
        <f ca="1">IFERROR(__xludf.DUMMYFUNCTION("""COMPUTED_VALUE"""),"Wounded")</f>
        <v>Wounded</v>
      </c>
      <c r="C2481" s="5" t="str">
        <f ca="1">IFERROR(__xludf.DUMMYFUNCTION("""COMPUTED_VALUE"""),"Male")</f>
        <v>Male</v>
      </c>
      <c r="D2481" s="5" t="str">
        <f ca="1">IFERROR(__xludf.DUMMYFUNCTION("""COMPUTED_VALUE"""),"Police Officer/SRO")</f>
        <v>Police Officer/SRO</v>
      </c>
      <c r="E2481" s="5">
        <f ca="1">IFERROR(__xludf.DUMMYFUNCTION("""COMPUTED_VALUE"""),38)</f>
        <v>38</v>
      </c>
      <c r="F2481" s="5" t="str">
        <f ca="1">IFERROR(__xludf.DUMMYFUNCTION("""COMPUTED_VALUE"""),"Hispanic")</f>
        <v>Hispanic</v>
      </c>
    </row>
    <row r="2482" spans="1:6">
      <c r="A2482" s="5" t="str">
        <f ca="1">IFERROR(__xludf.DUMMYFUNCTION("""COMPUTED_VALUE"""),"19880922ILMOC")</f>
        <v>19880922ILMOC</v>
      </c>
      <c r="B2482" s="5" t="str">
        <f ca="1">IFERROR(__xludf.DUMMYFUNCTION("""COMPUTED_VALUE"""),"Fatal")</f>
        <v>Fatal</v>
      </c>
      <c r="C2482" s="5" t="str">
        <f ca="1">IFERROR(__xludf.DUMMYFUNCTION("""COMPUTED_VALUE"""),"Female")</f>
        <v>Female</v>
      </c>
      <c r="D2482" s="5" t="str">
        <f ca="1">IFERROR(__xludf.DUMMYFUNCTION("""COMPUTED_VALUE"""),"Police Officer/SRO")</f>
        <v>Police Officer/SRO</v>
      </c>
      <c r="E2482" s="5">
        <f ca="1">IFERROR(__xludf.DUMMYFUNCTION("""COMPUTED_VALUE"""),40)</f>
        <v>40</v>
      </c>
      <c r="F2482" s="5"/>
    </row>
    <row r="2483" spans="1:6">
      <c r="A2483" s="5" t="str">
        <f ca="1">IFERROR(__xludf.DUMMYFUNCTION("""COMPUTED_VALUE"""),"19880922ILMOC")</f>
        <v>19880922ILMOC</v>
      </c>
      <c r="B2483" s="5" t="str">
        <f ca="1">IFERROR(__xludf.DUMMYFUNCTION("""COMPUTED_VALUE"""),"Fatal")</f>
        <v>Fatal</v>
      </c>
      <c r="C2483" s="5" t="str">
        <f ca="1">IFERROR(__xludf.DUMMYFUNCTION("""COMPUTED_VALUE"""),"Male")</f>
        <v>Male</v>
      </c>
      <c r="D2483" s="5" t="str">
        <f ca="1">IFERROR(__xludf.DUMMYFUNCTION("""COMPUTED_VALUE"""),"No Relation")</f>
        <v>No Relation</v>
      </c>
      <c r="E2483" s="5">
        <f ca="1">IFERROR(__xludf.DUMMYFUNCTION("""COMPUTED_VALUE"""),41)</f>
        <v>41</v>
      </c>
      <c r="F2483" s="5"/>
    </row>
    <row r="2484" spans="1:6">
      <c r="A2484" s="5" t="str">
        <f ca="1">IFERROR(__xludf.DUMMYFUNCTION("""COMPUTED_VALUE"""),"19880903TXLID")</f>
        <v>19880903TXLID</v>
      </c>
      <c r="B2484" s="5" t="str">
        <f ca="1">IFERROR(__xludf.DUMMYFUNCTION("""COMPUTED_VALUE"""),"Wounded")</f>
        <v>Wounded</v>
      </c>
      <c r="C2484" s="5" t="str">
        <f ca="1">IFERROR(__xludf.DUMMYFUNCTION("""COMPUTED_VALUE"""),"Male")</f>
        <v>Male</v>
      </c>
      <c r="D2484" s="5" t="str">
        <f ca="1">IFERROR(__xludf.DUMMYFUNCTION("""COMPUTED_VALUE"""),"Student")</f>
        <v>Student</v>
      </c>
      <c r="E2484" s="5">
        <f ca="1">IFERROR(__xludf.DUMMYFUNCTION("""COMPUTED_VALUE"""),15)</f>
        <v>15</v>
      </c>
      <c r="F2484" s="5"/>
    </row>
    <row r="2485" spans="1:6">
      <c r="A2485" s="5" t="str">
        <f ca="1">IFERROR(__xludf.DUMMYFUNCTION("""COMPUTED_VALUE"""),"19880903TXLID")</f>
        <v>19880903TXLID</v>
      </c>
      <c r="B2485" s="5" t="str">
        <f ca="1">IFERROR(__xludf.DUMMYFUNCTION("""COMPUTED_VALUE"""),"Wounded")</f>
        <v>Wounded</v>
      </c>
      <c r="C2485" s="5" t="str">
        <f ca="1">IFERROR(__xludf.DUMMYFUNCTION("""COMPUTED_VALUE"""),"Female")</f>
        <v>Female</v>
      </c>
      <c r="D2485" s="5" t="str">
        <f ca="1">IFERROR(__xludf.DUMMYFUNCTION("""COMPUTED_VALUE"""),"Student")</f>
        <v>Student</v>
      </c>
      <c r="E2485" s="5">
        <f ca="1">IFERROR(__xludf.DUMMYFUNCTION("""COMPUTED_VALUE"""),15)</f>
        <v>15</v>
      </c>
      <c r="F2485" s="5"/>
    </row>
    <row r="2486" spans="1:6">
      <c r="A2486" s="5" t="str">
        <f ca="1">IFERROR(__xludf.DUMMYFUNCTION("""COMPUTED_VALUE"""),"19880902NCGAC")</f>
        <v>19880902NCGAC</v>
      </c>
      <c r="B2486" s="5" t="str">
        <f ca="1">IFERROR(__xludf.DUMMYFUNCTION("""COMPUTED_VALUE"""),"Wounded")</f>
        <v>Wounded</v>
      </c>
      <c r="C2486" s="5" t="str">
        <f ca="1">IFERROR(__xludf.DUMMYFUNCTION("""COMPUTED_VALUE"""),"Female")</f>
        <v>Female</v>
      </c>
      <c r="D2486" s="5" t="str">
        <f ca="1">IFERROR(__xludf.DUMMYFUNCTION("""COMPUTED_VALUE"""),"Unknown")</f>
        <v>Unknown</v>
      </c>
      <c r="E2486" s="5"/>
      <c r="F2486" s="5"/>
    </row>
    <row r="2487" spans="1:6">
      <c r="A2487" s="5" t="str">
        <f ca="1">IFERROR(__xludf.DUMMYFUNCTION("""COMPUTED_VALUE"""),"19880902NCGAC")</f>
        <v>19880902NCGAC</v>
      </c>
      <c r="B2487" s="5" t="str">
        <f ca="1">IFERROR(__xludf.DUMMYFUNCTION("""COMPUTED_VALUE"""),"Wounded")</f>
        <v>Wounded</v>
      </c>
      <c r="C2487" s="5" t="str">
        <f ca="1">IFERROR(__xludf.DUMMYFUNCTION("""COMPUTED_VALUE"""),"Male")</f>
        <v>Male</v>
      </c>
      <c r="D2487" s="5" t="str">
        <f ca="1">IFERROR(__xludf.DUMMYFUNCTION("""COMPUTED_VALUE"""),"Other Staff")</f>
        <v>Other Staff</v>
      </c>
      <c r="E2487" s="5">
        <f ca="1">IFERROR(__xludf.DUMMYFUNCTION("""COMPUTED_VALUE"""),42)</f>
        <v>42</v>
      </c>
      <c r="F2487" s="5"/>
    </row>
    <row r="2488" spans="1:6">
      <c r="A2488" s="5" t="str">
        <f ca="1">IFERROR(__xludf.DUMMYFUNCTION("""COMPUTED_VALUE"""),"19880902NCGAC")</f>
        <v>19880902NCGAC</v>
      </c>
      <c r="B2488" s="5" t="str">
        <f ca="1">IFERROR(__xludf.DUMMYFUNCTION("""COMPUTED_VALUE"""),"Wounded")</f>
        <v>Wounded</v>
      </c>
      <c r="C2488" s="5" t="str">
        <f ca="1">IFERROR(__xludf.DUMMYFUNCTION("""COMPUTED_VALUE"""),"Male")</f>
        <v>Male</v>
      </c>
      <c r="D2488" s="5" t="str">
        <f ca="1">IFERROR(__xludf.DUMMYFUNCTION("""COMPUTED_VALUE"""),"Nonstudent Using Athletic Facilities/Attending Game")</f>
        <v>Nonstudent Using Athletic Facilities/Attending Game</v>
      </c>
      <c r="E2488" s="5">
        <f ca="1">IFERROR(__xludf.DUMMYFUNCTION("""COMPUTED_VALUE"""),20)</f>
        <v>20</v>
      </c>
      <c r="F2488" s="5"/>
    </row>
    <row r="2489" spans="1:6">
      <c r="A2489" s="5" t="str">
        <f ca="1">IFERROR(__xludf.DUMMYFUNCTION("""COMPUTED_VALUE"""),"19880902NCGAC")</f>
        <v>19880902NCGAC</v>
      </c>
      <c r="B2489" s="5" t="str">
        <f ca="1">IFERROR(__xludf.DUMMYFUNCTION("""COMPUTED_VALUE"""),"Wounded")</f>
        <v>Wounded</v>
      </c>
      <c r="C2489" s="5" t="str">
        <f ca="1">IFERROR(__xludf.DUMMYFUNCTION("""COMPUTED_VALUE"""),"Male")</f>
        <v>Male</v>
      </c>
      <c r="D2489" s="5" t="str">
        <f ca="1">IFERROR(__xludf.DUMMYFUNCTION("""COMPUTED_VALUE"""),"Student")</f>
        <v>Student</v>
      </c>
      <c r="E2489" s="5">
        <f ca="1">IFERROR(__xludf.DUMMYFUNCTION("""COMPUTED_VALUE"""),18)</f>
        <v>18</v>
      </c>
      <c r="F2489" s="5"/>
    </row>
    <row r="2490" spans="1:6">
      <c r="A2490" s="5" t="str">
        <f ca="1">IFERROR(__xludf.DUMMYFUNCTION("""COMPUTED_VALUE"""),"19880902GAGLA")</f>
        <v>19880902GAGLA</v>
      </c>
      <c r="B2490" s="5" t="str">
        <f ca="1">IFERROR(__xludf.DUMMYFUNCTION("""COMPUTED_VALUE"""),"Wounded")</f>
        <v>Wounded</v>
      </c>
      <c r="C2490" s="5" t="str">
        <f ca="1">IFERROR(__xludf.DUMMYFUNCTION("""COMPUTED_VALUE"""),"Male")</f>
        <v>Male</v>
      </c>
      <c r="D2490" s="5" t="str">
        <f ca="1">IFERROR(__xludf.DUMMYFUNCTION("""COMPUTED_VALUE"""),"Other Staff")</f>
        <v>Other Staff</v>
      </c>
      <c r="E2490" s="5" t="str">
        <f ca="1">IFERROR(__xludf.DUMMYFUNCTION("""COMPUTED_VALUE"""),"Adult")</f>
        <v>Adult</v>
      </c>
      <c r="F2490" s="5"/>
    </row>
    <row r="2491" spans="1:6">
      <c r="A2491" s="5" t="str">
        <f ca="1">IFERROR(__xludf.DUMMYFUNCTION("""COMPUTED_VALUE"""),"19880902GAGLA")</f>
        <v>19880902GAGLA</v>
      </c>
      <c r="B2491" s="5" t="str">
        <f ca="1">IFERROR(__xludf.DUMMYFUNCTION("""COMPUTED_VALUE"""),"Wounded")</f>
        <v>Wounded</v>
      </c>
      <c r="C2491" s="5" t="str">
        <f ca="1">IFERROR(__xludf.DUMMYFUNCTION("""COMPUTED_VALUE"""),"Male")</f>
        <v>Male</v>
      </c>
      <c r="D2491" s="5" t="str">
        <f ca="1">IFERROR(__xludf.DUMMYFUNCTION("""COMPUTED_VALUE"""),"Other Staff")</f>
        <v>Other Staff</v>
      </c>
      <c r="E2491" s="5" t="str">
        <f ca="1">IFERROR(__xludf.DUMMYFUNCTION("""COMPUTED_VALUE"""),"Adult")</f>
        <v>Adult</v>
      </c>
      <c r="F2491" s="5"/>
    </row>
    <row r="2492" spans="1:6">
      <c r="A2492" s="5" t="str">
        <f ca="1">IFERROR(__xludf.DUMMYFUNCTION("""COMPUTED_VALUE"""),"19880831SCWEA")</f>
        <v>19880831SCWEA</v>
      </c>
      <c r="B2492" s="5" t="str">
        <f ca="1">IFERROR(__xludf.DUMMYFUNCTION("""COMPUTED_VALUE"""),"Fatal")</f>
        <v>Fatal</v>
      </c>
      <c r="C2492" s="5" t="str">
        <f ca="1">IFERROR(__xludf.DUMMYFUNCTION("""COMPUTED_VALUE"""),"Male")</f>
        <v>Male</v>
      </c>
      <c r="D2492" s="5" t="str">
        <f ca="1">IFERROR(__xludf.DUMMYFUNCTION("""COMPUTED_VALUE"""),"Principal/Vice-Principal")</f>
        <v>Principal/Vice-Principal</v>
      </c>
      <c r="E2492" s="5">
        <f ca="1">IFERROR(__xludf.DUMMYFUNCTION("""COMPUTED_VALUE"""),35)</f>
        <v>35</v>
      </c>
      <c r="F2492" s="5"/>
    </row>
    <row r="2493" spans="1:6">
      <c r="A2493" s="5" t="str">
        <f ca="1">IFERROR(__xludf.DUMMYFUNCTION("""COMPUTED_VALUE"""),"19880831MICED")</f>
        <v>19880831MICED</v>
      </c>
      <c r="B2493" s="5" t="str">
        <f ca="1">IFERROR(__xludf.DUMMYFUNCTION("""COMPUTED_VALUE"""),"Wounded")</f>
        <v>Wounded</v>
      </c>
      <c r="C2493" s="5" t="str">
        <f ca="1">IFERROR(__xludf.DUMMYFUNCTION("""COMPUTED_VALUE"""),"Male")</f>
        <v>Male</v>
      </c>
      <c r="D2493" s="5" t="str">
        <f ca="1">IFERROR(__xludf.DUMMYFUNCTION("""COMPUTED_VALUE"""),"Student")</f>
        <v>Student</v>
      </c>
      <c r="E2493" s="5">
        <f ca="1">IFERROR(__xludf.DUMMYFUNCTION("""COMPUTED_VALUE"""),17)</f>
        <v>17</v>
      </c>
      <c r="F2493" s="5"/>
    </row>
    <row r="2494" spans="1:6">
      <c r="A2494" s="5" t="str">
        <f ca="1">IFERROR(__xludf.DUMMYFUNCTION("""COMPUTED_VALUE"""),"19880711MSLAJ")</f>
        <v>19880711MSLAJ</v>
      </c>
      <c r="B2494" s="5" t="str">
        <f ca="1">IFERROR(__xludf.DUMMYFUNCTION("""COMPUTED_VALUE"""),"Wounded")</f>
        <v>Wounded</v>
      </c>
      <c r="C2494" s="5" t="str">
        <f ca="1">IFERROR(__xludf.DUMMYFUNCTION("""COMPUTED_VALUE"""),"Male")</f>
        <v>Male</v>
      </c>
      <c r="D2494" s="5" t="str">
        <f ca="1">IFERROR(__xludf.DUMMYFUNCTION("""COMPUTED_VALUE"""),"Student")</f>
        <v>Student</v>
      </c>
      <c r="E2494" s="5">
        <f ca="1">IFERROR(__xludf.DUMMYFUNCTION("""COMPUTED_VALUE"""),16)</f>
        <v>16</v>
      </c>
      <c r="F2494" s="5" t="str">
        <f ca="1">IFERROR(__xludf.DUMMYFUNCTION("""COMPUTED_VALUE"""),"Black")</f>
        <v>Black</v>
      </c>
    </row>
    <row r="2495" spans="1:6">
      <c r="A2495" s="5" t="str">
        <f ca="1">IFERROR(__xludf.DUMMYFUNCTION("""COMPUTED_VALUE"""),"19880710WISIM")</f>
        <v>19880710WISIM</v>
      </c>
      <c r="B2495" s="5" t="str">
        <f ca="1">IFERROR(__xludf.DUMMYFUNCTION("""COMPUTED_VALUE"""),"Wounded")</f>
        <v>Wounded</v>
      </c>
      <c r="C2495" s="5" t="str">
        <f ca="1">IFERROR(__xludf.DUMMYFUNCTION("""COMPUTED_VALUE"""),"Male")</f>
        <v>Male</v>
      </c>
      <c r="D2495" s="5" t="str">
        <f ca="1">IFERROR(__xludf.DUMMYFUNCTION("""COMPUTED_VALUE"""),"Nonstudent Using Athletic Facilities/Attending Game")</f>
        <v>Nonstudent Using Athletic Facilities/Attending Game</v>
      </c>
      <c r="E2495" s="5" t="str">
        <f ca="1">IFERROR(__xludf.DUMMYFUNCTION("""COMPUTED_VALUE"""),"Adult")</f>
        <v>Adult</v>
      </c>
      <c r="F2495" s="5"/>
    </row>
    <row r="2496" spans="1:6">
      <c r="A2496" s="5" t="str">
        <f ca="1">IFERROR(__xludf.DUMMYFUNCTION("""COMPUTED_VALUE"""),"19880630HIAIO")</f>
        <v>19880630HIAIO</v>
      </c>
      <c r="B2496" s="5" t="str">
        <f ca="1">IFERROR(__xludf.DUMMYFUNCTION("""COMPUTED_VALUE"""),"Wounded")</f>
        <v>Wounded</v>
      </c>
      <c r="C2496" s="5" t="str">
        <f ca="1">IFERROR(__xludf.DUMMYFUNCTION("""COMPUTED_VALUE"""),"Female")</f>
        <v>Female</v>
      </c>
      <c r="D2496" s="5" t="str">
        <f ca="1">IFERROR(__xludf.DUMMYFUNCTION("""COMPUTED_VALUE"""),"Teacher")</f>
        <v>Teacher</v>
      </c>
      <c r="E2496" s="5">
        <f ca="1">IFERROR(__xludf.DUMMYFUNCTION("""COMPUTED_VALUE"""),41)</f>
        <v>41</v>
      </c>
      <c r="F2496" s="5" t="str">
        <f ca="1">IFERROR(__xludf.DUMMYFUNCTION("""COMPUTED_VALUE"""),"White")</f>
        <v>White</v>
      </c>
    </row>
    <row r="2497" spans="1:6">
      <c r="A2497" s="5" t="str">
        <f ca="1">IFERROR(__xludf.DUMMYFUNCTION("""COMPUTED_VALUE"""),"19880617MIJOD")</f>
        <v>19880617MIJOD</v>
      </c>
      <c r="B2497" s="5" t="str">
        <f ca="1">IFERROR(__xludf.DUMMYFUNCTION("""COMPUTED_VALUE"""),"Wounded")</f>
        <v>Wounded</v>
      </c>
      <c r="C2497" s="5" t="str">
        <f ca="1">IFERROR(__xludf.DUMMYFUNCTION("""COMPUTED_VALUE"""),"Male")</f>
        <v>Male</v>
      </c>
      <c r="D2497" s="5" t="str">
        <f ca="1">IFERROR(__xludf.DUMMYFUNCTION("""COMPUTED_VALUE"""),"Student")</f>
        <v>Student</v>
      </c>
      <c r="E2497" s="5">
        <f ca="1">IFERROR(__xludf.DUMMYFUNCTION("""COMPUTED_VALUE"""),15)</f>
        <v>15</v>
      </c>
      <c r="F2497" s="5"/>
    </row>
    <row r="2498" spans="1:6">
      <c r="A2498" s="5" t="str">
        <f ca="1">IFERROR(__xludf.DUMMYFUNCTION("""COMPUTED_VALUE"""),"19880602MSWIJ")</f>
        <v>19880602MSWIJ</v>
      </c>
      <c r="B2498" s="5" t="str">
        <f ca="1">IFERROR(__xludf.DUMMYFUNCTION("""COMPUTED_VALUE"""),"Wounded")</f>
        <v>Wounded</v>
      </c>
      <c r="C2498" s="5" t="str">
        <f ca="1">IFERROR(__xludf.DUMMYFUNCTION("""COMPUTED_VALUE"""),"Male")</f>
        <v>Male</v>
      </c>
      <c r="D2498" s="5" t="str">
        <f ca="1">IFERROR(__xludf.DUMMYFUNCTION("""COMPUTED_VALUE"""),"Student")</f>
        <v>Student</v>
      </c>
      <c r="E2498" s="5">
        <f ca="1">IFERROR(__xludf.DUMMYFUNCTION("""COMPUTED_VALUE"""),17)</f>
        <v>17</v>
      </c>
      <c r="F2498" s="5"/>
    </row>
    <row r="2499" spans="1:6">
      <c r="A2499" s="5" t="str">
        <f ca="1">IFERROR(__xludf.DUMMYFUNCTION("""COMPUTED_VALUE"""),"19880602MSWIJ")</f>
        <v>19880602MSWIJ</v>
      </c>
      <c r="B2499" s="5" t="str">
        <f ca="1">IFERROR(__xludf.DUMMYFUNCTION("""COMPUTED_VALUE"""),"Wounded")</f>
        <v>Wounded</v>
      </c>
      <c r="C2499" s="5" t="str">
        <f ca="1">IFERROR(__xludf.DUMMYFUNCTION("""COMPUTED_VALUE"""),"Male")</f>
        <v>Male</v>
      </c>
      <c r="D2499" s="5" t="str">
        <f ca="1">IFERROR(__xludf.DUMMYFUNCTION("""COMPUTED_VALUE"""),"Student")</f>
        <v>Student</v>
      </c>
      <c r="E2499" s="5">
        <f ca="1">IFERROR(__xludf.DUMMYFUNCTION("""COMPUTED_VALUE"""),18)</f>
        <v>18</v>
      </c>
      <c r="F2499" s="5"/>
    </row>
    <row r="2500" spans="1:6">
      <c r="A2500" s="5" t="str">
        <f ca="1">IFERROR(__xludf.DUMMYFUNCTION("""COMPUTED_VALUE"""),"19880531NYPUB")</f>
        <v>19880531NYPUB</v>
      </c>
      <c r="B2500" s="5" t="str">
        <f ca="1">IFERROR(__xludf.DUMMYFUNCTION("""COMPUTED_VALUE"""),"Wounded")</f>
        <v>Wounded</v>
      </c>
      <c r="C2500" s="5" t="str">
        <f ca="1">IFERROR(__xludf.DUMMYFUNCTION("""COMPUTED_VALUE"""),"Female")</f>
        <v>Female</v>
      </c>
      <c r="D2500" s="5" t="str">
        <f ca="1">IFERROR(__xludf.DUMMYFUNCTION("""COMPUTED_VALUE"""),"Teacher")</f>
        <v>Teacher</v>
      </c>
      <c r="E2500" s="5">
        <f ca="1">IFERROR(__xludf.DUMMYFUNCTION("""COMPUTED_VALUE"""),27)</f>
        <v>27</v>
      </c>
      <c r="F25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111"/>
  <sheetViews>
    <sheetView workbookViewId="0"/>
  </sheetViews>
  <sheetFormatPr defaultColWidth="12.5703125" defaultRowHeight="15.75" customHeight="1"/>
  <sheetData>
    <row r="1" spans="1:4">
      <c r="A1" s="12" t="str">
        <f ca="1">IFERROR(__xludf.DUMMYFUNCTION("IMPORTRANGE(""https://docs.google.com/spreadsheets/d/13by1rx0kMN24Sm2nKqqR6GsRtIyhgOO8U6IyuCHwhEU/edit#gid=1519919770"", ""Weapon!A1:D2500"")"),"Incident_ID")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c r="A2" s="5" t="str">
        <f ca="1">IFERROR(__xludf.DUMMYFUNCTION("""COMPUTED_VALUE"""),"20220904FLBOL")</f>
        <v>20220904FLBOL</v>
      </c>
      <c r="B2" s="5" t="str">
        <f ca="1">IFERROR(__xludf.DUMMYFUNCTION("""COMPUTED_VALUE"""),"Handgun")</f>
        <v>Handgun</v>
      </c>
      <c r="C2" s="5"/>
      <c r="D2" s="5"/>
    </row>
    <row r="3" spans="1:4">
      <c r="A3" s="5" t="str">
        <f ca="1">IFERROR(__xludf.DUMMYFUNCTION("""COMPUTED_VALUE"""),"20220902MDMEB")</f>
        <v>20220902MDMEB</v>
      </c>
      <c r="B3" s="5" t="str">
        <f ca="1">IFERROR(__xludf.DUMMYFUNCTION("""COMPUTED_VALUE"""),"Handgun")</f>
        <v>Handgun</v>
      </c>
      <c r="C3" s="5"/>
      <c r="D3" s="5"/>
    </row>
    <row r="4" spans="1:4">
      <c r="A4" s="5" t="str">
        <f ca="1">IFERROR(__xludf.DUMMYFUNCTION("""COMPUTED_VALUE"""),"20220831DCIDW")</f>
        <v>20220831DCIDW</v>
      </c>
      <c r="B4" s="5" t="str">
        <f ca="1">IFERROR(__xludf.DUMMYFUNCTION("""COMPUTED_VALUE"""),"Handgun")</f>
        <v>Handgun</v>
      </c>
      <c r="C4" s="5"/>
      <c r="D4" s="5"/>
    </row>
    <row r="5" spans="1:4">
      <c r="A5" s="5" t="str">
        <f ca="1">IFERROR(__xludf.DUMMYFUNCTION("""COMPUTED_VALUE"""),"20220831NMDEA")</f>
        <v>20220831NMDEA</v>
      </c>
      <c r="B5" s="5" t="str">
        <f ca="1">IFERROR(__xludf.DUMMYFUNCTION("""COMPUTED_VALUE"""),"Handgun")</f>
        <v>Handgun</v>
      </c>
      <c r="C5" s="5"/>
      <c r="D5" s="5"/>
    </row>
    <row r="6" spans="1:4">
      <c r="A6" s="5" t="str">
        <f ca="1">IFERROR(__xludf.DUMMYFUNCTION("""COMPUTED_VALUE"""),"20220831PAFRP")</f>
        <v>20220831PAFRP</v>
      </c>
      <c r="B6" s="5" t="str">
        <f ca="1">IFERROR(__xludf.DUMMYFUNCTION("""COMPUTED_VALUE"""),"Handgun")</f>
        <v>Handgun</v>
      </c>
      <c r="C6" s="5"/>
      <c r="D6" s="5"/>
    </row>
    <row r="7" spans="1:4">
      <c r="A7" s="5" t="str">
        <f ca="1">IFERROR(__xludf.DUMMYFUNCTION("""COMPUTED_VALUE"""),"20220831PAFRP")</f>
        <v>20220831PAFRP</v>
      </c>
      <c r="B7" s="5" t="str">
        <f ca="1">IFERROR(__xludf.DUMMYFUNCTION("""COMPUTED_VALUE"""),"Rifle")</f>
        <v>Rifle</v>
      </c>
      <c r="C7" s="5"/>
      <c r="D7" s="5" t="str">
        <f ca="1">IFERROR(__xludf.DUMMYFUNCTION("""COMPUTED_VALUE"""),"Semi auto rifle")</f>
        <v>Semi auto rifle</v>
      </c>
    </row>
    <row r="8" spans="1:4">
      <c r="A8" s="5" t="str">
        <f ca="1">IFERROR(__xludf.DUMMYFUNCTION("""COMPUTED_VALUE"""),"20220829CAMAO")</f>
        <v>20220829CAMAO</v>
      </c>
      <c r="B8" s="5" t="str">
        <f ca="1">IFERROR(__xludf.DUMMYFUNCTION("""COMPUTED_VALUE"""),"Handgun")</f>
        <v>Handgun</v>
      </c>
      <c r="C8" s="5"/>
      <c r="D8" s="5"/>
    </row>
    <row r="9" spans="1:4">
      <c r="A9" s="5" t="str">
        <f ca="1">IFERROR(__xludf.DUMMYFUNCTION("""COMPUTED_VALUE"""),"20220827MONOS")</f>
        <v>20220827MONOS</v>
      </c>
      <c r="B9" s="5" t="str">
        <f ca="1">IFERROR(__xludf.DUMMYFUNCTION("""COMPUTED_VALUE"""),"Handgun")</f>
        <v>Handgun</v>
      </c>
      <c r="C9" s="5"/>
      <c r="D9" s="5"/>
    </row>
    <row r="10" spans="1:4">
      <c r="A10" s="5" t="str">
        <f ca="1">IFERROR(__xludf.DUMMYFUNCTION("""COMPUTED_VALUE"""),"20220826OHGAC")</f>
        <v>20220826OHGAC</v>
      </c>
      <c r="B10" s="5" t="str">
        <f ca="1">IFERROR(__xludf.DUMMYFUNCTION("""COMPUTED_VALUE"""),"Handgun")</f>
        <v>Handgun</v>
      </c>
      <c r="C10" s="5"/>
      <c r="D10" s="5"/>
    </row>
    <row r="11" spans="1:4">
      <c r="A11" s="5" t="str">
        <f ca="1">IFERROR(__xludf.DUMMYFUNCTION("""COMPUTED_VALUE"""),"20220823OHINC")</f>
        <v>20220823OHINC</v>
      </c>
      <c r="B11" s="5" t="str">
        <f ca="1">IFERROR(__xludf.DUMMYFUNCTION("""COMPUTED_VALUE"""),"Other")</f>
        <v>Other</v>
      </c>
      <c r="C11" s="5" t="str">
        <f ca="1">IFERROR(__xludf.DUMMYFUNCTION("""COMPUTED_VALUE"""),"BB")</f>
        <v>BB</v>
      </c>
      <c r="D11" s="5"/>
    </row>
    <row r="12" spans="1:4">
      <c r="A12" s="5" t="str">
        <f ca="1">IFERROR(__xludf.DUMMYFUNCTION("""COMPUTED_VALUE"""),"20220823OHART")</f>
        <v>20220823OHART</v>
      </c>
      <c r="B12" s="5" t="str">
        <f ca="1">IFERROR(__xludf.DUMMYFUNCTION("""COMPUTED_VALUE"""),"Handgun")</f>
        <v>Handgun</v>
      </c>
      <c r="C12" s="5"/>
      <c r="D12" s="5"/>
    </row>
    <row r="13" spans="1:4">
      <c r="A13" s="5" t="str">
        <f ca="1">IFERROR(__xludf.DUMMYFUNCTION("""COMPUTED_VALUE"""),"20220819LAAKN")</f>
        <v>20220819LAAKN</v>
      </c>
      <c r="B13" s="5" t="str">
        <f ca="1">IFERROR(__xludf.DUMMYFUNCTION("""COMPUTED_VALUE"""),"Handgun")</f>
        <v>Handgun</v>
      </c>
      <c r="C13" s="5"/>
      <c r="D13" s="5"/>
    </row>
    <row r="14" spans="1:4">
      <c r="A14" s="5" t="str">
        <f ca="1">IFERROR(__xludf.DUMMYFUNCTION("""COMPUTED_VALUE"""),"20220819OHGRG")</f>
        <v>20220819OHGRG</v>
      </c>
      <c r="B14" s="5" t="str">
        <f ca="1">IFERROR(__xludf.DUMMYFUNCTION("""COMPUTED_VALUE"""),"Handgun")</f>
        <v>Handgun</v>
      </c>
      <c r="C14" s="5" t="str">
        <f ca="1">IFERROR(__xludf.DUMMYFUNCTION("""COMPUTED_VALUE"""),"10mm")</f>
        <v>10mm</v>
      </c>
      <c r="D14" s="5" t="str">
        <f ca="1">IFERROR(__xludf.DUMMYFUNCTION("""COMPUTED_VALUE"""),"Glock modified for full auto")</f>
        <v>Glock modified for full auto</v>
      </c>
    </row>
    <row r="15" spans="1:4">
      <c r="A15" s="5" t="str">
        <f ca="1">IFERROR(__xludf.DUMMYFUNCTION("""COMPUTED_VALUE"""),"20220819TNWEC")</f>
        <v>20220819TNWEC</v>
      </c>
      <c r="B15" s="5"/>
      <c r="C15" s="5"/>
      <c r="D15" s="5"/>
    </row>
    <row r="16" spans="1:4">
      <c r="A16" s="5" t="str">
        <f ca="1">IFERROR(__xludf.DUMMYFUNCTION("""COMPUTED_VALUE"""),"20220818FLLER")</f>
        <v>20220818FLLER</v>
      </c>
      <c r="B16" s="5" t="str">
        <f ca="1">IFERROR(__xludf.DUMMYFUNCTION("""COMPUTED_VALUE"""),"Handgun")</f>
        <v>Handgun</v>
      </c>
      <c r="C16" s="5"/>
      <c r="D16" s="5"/>
    </row>
    <row r="17" spans="1:4">
      <c r="A17" s="5" t="str">
        <f ca="1">IFERROR(__xludf.DUMMYFUNCTION("""COMPUTED_VALUE"""),"20220816TXPOB")</f>
        <v>20220816TXPOB</v>
      </c>
      <c r="B17" s="5" t="str">
        <f ca="1">IFERROR(__xludf.DUMMYFUNCTION("""COMPUTED_VALUE"""),"Handgun")</f>
        <v>Handgun</v>
      </c>
      <c r="C17" s="5"/>
      <c r="D17" s="5"/>
    </row>
    <row r="18" spans="1:4">
      <c r="A18" s="5" t="str">
        <f ca="1">IFERROR(__xludf.DUMMYFUNCTION("""COMPUTED_VALUE"""),"20220815CALIS")</f>
        <v>20220815CALIS</v>
      </c>
      <c r="B18" s="5" t="str">
        <f ca="1">IFERROR(__xludf.DUMMYFUNCTION("""COMPUTED_VALUE"""),"Handgun")</f>
        <v>Handgun</v>
      </c>
      <c r="C18" s="5"/>
      <c r="D18" s="5"/>
    </row>
    <row r="19" spans="1:4">
      <c r="A19" s="5" t="str">
        <f ca="1">IFERROR(__xludf.DUMMYFUNCTION("""COMPUTED_VALUE"""),"20220813ARMAL")</f>
        <v>20220813ARMAL</v>
      </c>
      <c r="B19" s="5"/>
      <c r="C19" s="5"/>
      <c r="D19" s="5"/>
    </row>
    <row r="20" spans="1:4">
      <c r="A20" s="5" t="str">
        <f ca="1">IFERROR(__xludf.DUMMYFUNCTION("""COMPUTED_VALUE"""),"20220812CASIV")</f>
        <v>20220812CASIV</v>
      </c>
      <c r="B20" s="5" t="str">
        <f ca="1">IFERROR(__xludf.DUMMYFUNCTION("""COMPUTED_VALUE"""),"Handgun")</f>
        <v>Handgun</v>
      </c>
      <c r="C20" s="5"/>
      <c r="D20" s="5"/>
    </row>
    <row r="21" spans="1:4">
      <c r="A21" s="5" t="str">
        <f ca="1">IFERROR(__xludf.DUMMYFUNCTION("""COMPUTED_VALUE"""),"20220811GAUCB")</f>
        <v>20220811GAUCB</v>
      </c>
      <c r="B21" s="5"/>
      <c r="C21" s="5"/>
      <c r="D21" s="5"/>
    </row>
    <row r="22" spans="1:4">
      <c r="A22" s="5" t="str">
        <f ca="1">IFERROR(__xludf.DUMMYFUNCTION("""COMPUTED_VALUE"""),"20220810GAMCA")</f>
        <v>20220810GAMCA</v>
      </c>
      <c r="B22" s="5" t="str">
        <f ca="1">IFERROR(__xludf.DUMMYFUNCTION("""COMPUTED_VALUE"""),"Multiple Handguns")</f>
        <v>Multiple Handguns</v>
      </c>
      <c r="C22" s="5"/>
      <c r="D22" s="5"/>
    </row>
    <row r="23" spans="1:4">
      <c r="A23" s="5" t="str">
        <f ca="1">IFERROR(__xludf.DUMMYFUNCTION("""COMPUTED_VALUE"""),"20220809PACHP")</f>
        <v>20220809PACHP</v>
      </c>
      <c r="B23" s="5" t="str">
        <f ca="1">IFERROR(__xludf.DUMMYFUNCTION("""COMPUTED_VALUE"""),"Handgun")</f>
        <v>Handgun</v>
      </c>
      <c r="C23" s="5"/>
      <c r="D23" s="5"/>
    </row>
    <row r="24" spans="1:4">
      <c r="A24" s="5" t="str">
        <f ca="1">IFERROR(__xludf.DUMMYFUNCTION("""COMPUTED_VALUE"""),"20220805MATHL")</f>
        <v>20220805MATHL</v>
      </c>
      <c r="B24" s="5" t="str">
        <f ca="1">IFERROR(__xludf.DUMMYFUNCTION("""COMPUTED_VALUE"""),"Handgun")</f>
        <v>Handgun</v>
      </c>
      <c r="C24" s="5"/>
      <c r="D24" s="5"/>
    </row>
    <row r="25" spans="1:4">
      <c r="A25" s="5" t="str">
        <f ca="1">IFERROR(__xludf.DUMMYFUNCTION("""COMPUTED_VALUE"""),"20220805GAJOJ")</f>
        <v>20220805GAJOJ</v>
      </c>
      <c r="B25" s="5" t="str">
        <f ca="1">IFERROR(__xludf.DUMMYFUNCTION("""COMPUTED_VALUE"""),"Handgun")</f>
        <v>Handgun</v>
      </c>
      <c r="C25" s="5"/>
      <c r="D25" s="5"/>
    </row>
    <row r="26" spans="1:4">
      <c r="A26" s="5" t="str">
        <f ca="1">IFERROR(__xludf.DUMMYFUNCTION("""COMPUTED_VALUE"""),"20220803PALEP")</f>
        <v>20220803PALEP</v>
      </c>
      <c r="B26" s="5" t="str">
        <f ca="1">IFERROR(__xludf.DUMMYFUNCTION("""COMPUTED_VALUE"""),"Handgun")</f>
        <v>Handgun</v>
      </c>
      <c r="C26" s="5"/>
      <c r="D26" s="5"/>
    </row>
    <row r="27" spans="1:4">
      <c r="A27" s="5" t="str">
        <f ca="1">IFERROR(__xludf.DUMMYFUNCTION("""COMPUTED_VALUE"""),"20220731CAOAO")</f>
        <v>20220731CAOAO</v>
      </c>
      <c r="B27" s="5" t="str">
        <f ca="1">IFERROR(__xludf.DUMMYFUNCTION("""COMPUTED_VALUE"""),"Handgun")</f>
        <v>Handgun</v>
      </c>
      <c r="C27" s="5"/>
      <c r="D27" s="5"/>
    </row>
    <row r="28" spans="1:4">
      <c r="A28" s="5" t="str">
        <f ca="1">IFERROR(__xludf.DUMMYFUNCTION("""COMPUTED_VALUE"""),"20220730NYRHH")</f>
        <v>20220730NYRHH</v>
      </c>
      <c r="B28" s="5"/>
      <c r="C28" s="5"/>
      <c r="D28" s="5"/>
    </row>
    <row r="29" spans="1:4">
      <c r="A29" s="5" t="str">
        <f ca="1">IFERROR(__xludf.DUMMYFUNCTION("""COMPUTED_VALUE"""),"20220729INCOS")</f>
        <v>20220729INCOS</v>
      </c>
      <c r="B29" s="5" t="str">
        <f ca="1">IFERROR(__xludf.DUMMYFUNCTION("""COMPUTED_VALUE"""),"Handgun")</f>
        <v>Handgun</v>
      </c>
      <c r="C29" s="5"/>
      <c r="D29" s="5"/>
    </row>
    <row r="30" spans="1:4">
      <c r="A30" s="5" t="str">
        <f ca="1">IFERROR(__xludf.DUMMYFUNCTION("""COMPUTED_VALUE"""),"20220728KSMOG")</f>
        <v>20220728KSMOG</v>
      </c>
      <c r="B30" s="5" t="str">
        <f ca="1">IFERROR(__xludf.DUMMYFUNCTION("""COMPUTED_VALUE"""),"Handgun")</f>
        <v>Handgun</v>
      </c>
      <c r="C30" s="5"/>
      <c r="D30" s="5"/>
    </row>
    <row r="31" spans="1:4">
      <c r="A31" s="5" t="str">
        <f ca="1">IFERROR(__xludf.DUMMYFUNCTION("""COMPUTED_VALUE"""),"20220726PALAL")</f>
        <v>20220726PALAL</v>
      </c>
      <c r="B31" s="5"/>
      <c r="C31" s="5"/>
      <c r="D31" s="5"/>
    </row>
    <row r="32" spans="1:4">
      <c r="A32" s="5" t="str">
        <f ca="1">IFERROR(__xludf.DUMMYFUNCTION("""COMPUTED_VALUE"""),"20220726TXCOC")</f>
        <v>20220726TXCOC</v>
      </c>
      <c r="B32" s="5" t="str">
        <f ca="1">IFERROR(__xludf.DUMMYFUNCTION("""COMPUTED_VALUE"""),"Handgun")</f>
        <v>Handgun</v>
      </c>
      <c r="C32" s="5"/>
      <c r="D32" s="5"/>
    </row>
    <row r="33" spans="1:4">
      <c r="A33" s="5" t="str">
        <f ca="1">IFERROR(__xludf.DUMMYFUNCTION("""COMPUTED_VALUE"""),"20220725NYBRB")</f>
        <v>20220725NYBRB</v>
      </c>
      <c r="B33" s="5" t="str">
        <f ca="1">IFERROR(__xludf.DUMMYFUNCTION("""COMPUTED_VALUE"""),"Handgun")</f>
        <v>Handgun</v>
      </c>
      <c r="C33" s="5"/>
      <c r="D33" s="5"/>
    </row>
    <row r="34" spans="1:4">
      <c r="A34" s="5" t="str">
        <f ca="1">IFERROR(__xludf.DUMMYFUNCTION("""COMPUTED_VALUE"""),"20220720CAJOV")</f>
        <v>20220720CAJOV</v>
      </c>
      <c r="B34" s="5" t="str">
        <f ca="1">IFERROR(__xludf.DUMMYFUNCTION("""COMPUTED_VALUE"""),"Handgun")</f>
        <v>Handgun</v>
      </c>
      <c r="C34" s="5"/>
      <c r="D34" s="5"/>
    </row>
    <row r="35" spans="1:4">
      <c r="A35" s="5" t="str">
        <f ca="1">IFERROR(__xludf.DUMMYFUNCTION("""COMPUTED_VALUE"""),"20220716NYCLS")</f>
        <v>20220716NYCLS</v>
      </c>
      <c r="B35" s="5" t="str">
        <f ca="1">IFERROR(__xludf.DUMMYFUNCTION("""COMPUTED_VALUE"""),"Handgun")</f>
        <v>Handgun</v>
      </c>
      <c r="C35" s="5"/>
      <c r="D35" s="5"/>
    </row>
    <row r="36" spans="1:4">
      <c r="A36" s="5" t="str">
        <f ca="1">IFERROR(__xludf.DUMMYFUNCTION("""COMPUTED_VALUE"""),"20220716GAAPF")</f>
        <v>20220716GAAPF</v>
      </c>
      <c r="B36" s="5" t="str">
        <f ca="1">IFERROR(__xludf.DUMMYFUNCTION("""COMPUTED_VALUE"""),"Handgun")</f>
        <v>Handgun</v>
      </c>
      <c r="C36" s="5"/>
      <c r="D36" s="5"/>
    </row>
    <row r="37" spans="1:4">
      <c r="A37" s="5" t="str">
        <f ca="1">IFERROR(__xludf.DUMMYFUNCTION("""COMPUTED_VALUE"""),"20220629CABUA")</f>
        <v>20220629CABUA</v>
      </c>
      <c r="B37" s="5"/>
      <c r="C37" s="5"/>
      <c r="D37" s="5"/>
    </row>
    <row r="38" spans="1:4">
      <c r="A38" s="5" t="str">
        <f ca="1">IFERROR(__xludf.DUMMYFUNCTION("""COMPUTED_VALUE"""),"20220620ILGRC")</f>
        <v>20220620ILGRC</v>
      </c>
      <c r="B38" s="5"/>
      <c r="C38" s="5"/>
      <c r="D38" s="5"/>
    </row>
    <row r="39" spans="1:4">
      <c r="A39" s="5" t="str">
        <f ca="1">IFERROR(__xludf.DUMMYFUNCTION("""COMPUTED_VALUE"""),"20220613WAMAE")</f>
        <v>20220613WAMAE</v>
      </c>
      <c r="B39" s="5" t="str">
        <f ca="1">IFERROR(__xludf.DUMMYFUNCTION("""COMPUTED_VALUE"""),"Handgun")</f>
        <v>Handgun</v>
      </c>
      <c r="C39" s="5"/>
      <c r="D39" s="5"/>
    </row>
    <row r="40" spans="1:4">
      <c r="A40" s="5" t="str">
        <f ca="1">IFERROR(__xludf.DUMMYFUNCTION("""COMPUTED_VALUE"""),"20220610ALBYB")</f>
        <v>20220610ALBYB</v>
      </c>
      <c r="B40" s="5" t="str">
        <f ca="1">IFERROR(__xludf.DUMMYFUNCTION("""COMPUTED_VALUE"""),"Handgun")</f>
        <v>Handgun</v>
      </c>
      <c r="C40" s="5"/>
      <c r="D40" s="5"/>
    </row>
    <row r="41" spans="1:4">
      <c r="A41" s="5" t="str">
        <f ca="1">IFERROR(__xludf.DUMMYFUNCTION("""COMPUTED_VALUE"""),"20220609ALWAG")</f>
        <v>20220609ALWAG</v>
      </c>
      <c r="B41" s="5" t="str">
        <f ca="1">IFERROR(__xludf.DUMMYFUNCTION("""COMPUTED_VALUE"""),"Handgun")</f>
        <v>Handgun</v>
      </c>
      <c r="C41" s="5" t="str">
        <f ca="1">IFERROR(__xludf.DUMMYFUNCTION("""COMPUTED_VALUE"""),"Service Weapon")</f>
        <v>Service Weapon</v>
      </c>
      <c r="D41" s="5"/>
    </row>
    <row r="42" spans="1:4">
      <c r="A42" s="5" t="str">
        <f ca="1">IFERROR(__xludf.DUMMYFUNCTION("""COMPUTED_VALUE"""),"20220608ARLIL")</f>
        <v>20220608ARLIL</v>
      </c>
      <c r="B42" s="5"/>
      <c r="C42" s="5"/>
      <c r="D42" s="5"/>
    </row>
    <row r="43" spans="1:4">
      <c r="A43" s="5" t="str">
        <f ca="1">IFERROR(__xludf.DUMMYFUNCTION("""COMPUTED_VALUE"""),"20220607MIPED")</f>
        <v>20220607MIPED</v>
      </c>
      <c r="B43" s="5" t="str">
        <f ca="1">IFERROR(__xludf.DUMMYFUNCTION("""COMPUTED_VALUE"""),"Handgun")</f>
        <v>Handgun</v>
      </c>
      <c r="C43" s="5"/>
      <c r="D43" s="5"/>
    </row>
    <row r="44" spans="1:4">
      <c r="A44" s="5" t="str">
        <f ca="1">IFERROR(__xludf.DUMMYFUNCTION("""COMPUTED_VALUE"""),"20220605INWEG")</f>
        <v>20220605INWEG</v>
      </c>
      <c r="B44" s="5" t="str">
        <f ca="1">IFERROR(__xludf.DUMMYFUNCTION("""COMPUTED_VALUE"""),"Handgun")</f>
        <v>Handgun</v>
      </c>
      <c r="C44" s="5"/>
      <c r="D44" s="5"/>
    </row>
    <row r="45" spans="1:4">
      <c r="A45" s="5" t="str">
        <f ca="1">IFERROR(__xludf.DUMMYFUNCTION("""COMPUTED_VALUE"""),"20220601CAULL")</f>
        <v>20220601CAULL</v>
      </c>
      <c r="B45" s="5" t="str">
        <f ca="1">IFERROR(__xludf.DUMMYFUNCTION("""COMPUTED_VALUE"""),"Handgun")</f>
        <v>Handgun</v>
      </c>
      <c r="C45" s="5"/>
      <c r="D45" s="5"/>
    </row>
    <row r="46" spans="1:4">
      <c r="A46" s="5" t="str">
        <f ca="1">IFERROR(__xludf.DUMMYFUNCTION("""COMPUTED_VALUE"""),"20220531LAMON")</f>
        <v>20220531LAMON</v>
      </c>
      <c r="B46" s="5" t="str">
        <f ca="1">IFERROR(__xludf.DUMMYFUNCTION("""COMPUTED_VALUE"""),"Handgun")</f>
        <v>Handgun</v>
      </c>
      <c r="C46" s="5"/>
      <c r="D46" s="5"/>
    </row>
    <row r="47" spans="1:4">
      <c r="A47" s="5" t="str">
        <f ca="1">IFERROR(__xludf.DUMMYFUNCTION("""COMPUTED_VALUE"""),"20220530CAHEL")</f>
        <v>20220530CAHEL</v>
      </c>
      <c r="B47" s="5" t="str">
        <f ca="1">IFERROR(__xludf.DUMMYFUNCTION("""COMPUTED_VALUE"""),"Handgun")</f>
        <v>Handgun</v>
      </c>
      <c r="C47" s="5"/>
      <c r="D47" s="5"/>
    </row>
    <row r="48" spans="1:4">
      <c r="A48" s="5" t="str">
        <f ca="1">IFERROR(__xludf.DUMMYFUNCTION("""COMPUTED_VALUE"""),"20220529ILDAC")</f>
        <v>20220529ILDAC</v>
      </c>
      <c r="B48" s="5" t="str">
        <f ca="1">IFERROR(__xludf.DUMMYFUNCTION("""COMPUTED_VALUE"""),"Rifle")</f>
        <v>Rifle</v>
      </c>
      <c r="C48" s="5"/>
      <c r="D48" s="5"/>
    </row>
    <row r="49" spans="1:4">
      <c r="A49" s="5" t="str">
        <f ca="1">IFERROR(__xludf.DUMMYFUNCTION("""COMPUTED_VALUE"""),"20220529ILDAC")</f>
        <v>20220529ILDAC</v>
      </c>
      <c r="B49" s="5" t="str">
        <f ca="1">IFERROR(__xludf.DUMMYFUNCTION("""COMPUTED_VALUE"""),"Handgun")</f>
        <v>Handgun</v>
      </c>
      <c r="C49" s="5"/>
      <c r="D49" s="5"/>
    </row>
    <row r="50" spans="1:4">
      <c r="A50" s="5" t="str">
        <f ca="1">IFERROR(__xludf.DUMMYFUNCTION("""COMPUTED_VALUE"""),"20220526TXDUA")</f>
        <v>20220526TXDUA</v>
      </c>
      <c r="B50" s="5" t="str">
        <f ca="1">IFERROR(__xludf.DUMMYFUNCTION("""COMPUTED_VALUE"""),"Handgun")</f>
        <v>Handgun</v>
      </c>
      <c r="C50" s="5"/>
      <c r="D50" s="5"/>
    </row>
    <row r="51" spans="1:4">
      <c r="A51" s="5" t="str">
        <f ca="1">IFERROR(__xludf.DUMMYFUNCTION("""COMPUTED_VALUE"""),"20220526SCMEG")</f>
        <v>20220526SCMEG</v>
      </c>
      <c r="B51" s="5"/>
      <c r="C51" s="5"/>
      <c r="D51" s="5"/>
    </row>
    <row r="52" spans="1:4">
      <c r="A52" s="5" t="str">
        <f ca="1">IFERROR(__xludf.DUMMYFUNCTION("""COMPUTED_VALUE"""),"20220525ILSTC")</f>
        <v>20220525ILSTC</v>
      </c>
      <c r="B52" s="5"/>
      <c r="C52" s="5"/>
      <c r="D52" s="5"/>
    </row>
    <row r="53" spans="1:4">
      <c r="A53" s="5" t="str">
        <f ca="1">IFERROR(__xludf.DUMMYFUNCTION("""COMPUTED_VALUE"""),"20220524WIRIM")</f>
        <v>20220524WIRIM</v>
      </c>
      <c r="B53" s="5" t="str">
        <f ca="1">IFERROR(__xludf.DUMMYFUNCTION("""COMPUTED_VALUE"""),"Handgun")</f>
        <v>Handgun</v>
      </c>
      <c r="C53" s="5"/>
      <c r="D53" s="5"/>
    </row>
    <row r="54" spans="1:4">
      <c r="A54" s="5" t="str">
        <f ca="1">IFERROR(__xludf.DUMMYFUNCTION("""COMPUTED_VALUE"""),"20220524TXROU")</f>
        <v>20220524TXROU</v>
      </c>
      <c r="B54" s="5" t="str">
        <f ca="1">IFERROR(__xludf.DUMMYFUNCTION("""COMPUTED_VALUE"""),"Multiple Rifles")</f>
        <v>Multiple Rifles</v>
      </c>
      <c r="C54" s="5"/>
      <c r="D54" s="5"/>
    </row>
    <row r="55" spans="1:4">
      <c r="A55" s="5" t="str">
        <f ca="1">IFERROR(__xludf.DUMMYFUNCTION("""COMPUTED_VALUE"""),"20220524DCPOW")</f>
        <v>20220524DCPOW</v>
      </c>
      <c r="B55" s="5" t="str">
        <f ca="1">IFERROR(__xludf.DUMMYFUNCTION("""COMPUTED_VALUE"""),"Handgun")</f>
        <v>Handgun</v>
      </c>
      <c r="C55" s="5"/>
      <c r="D55" s="5"/>
    </row>
    <row r="56" spans="1:4">
      <c r="A56" s="5" t="str">
        <f ca="1">IFERROR(__xludf.DUMMYFUNCTION("""COMPUTED_VALUE"""),"20220523PASIP")</f>
        <v>20220523PASIP</v>
      </c>
      <c r="B56" s="5" t="str">
        <f ca="1">IFERROR(__xludf.DUMMYFUNCTION("""COMPUTED_VALUE"""),"Handgun")</f>
        <v>Handgun</v>
      </c>
      <c r="C56" s="5"/>
      <c r="D56" s="5"/>
    </row>
    <row r="57" spans="1:4">
      <c r="A57" s="5" t="str">
        <f ca="1">IFERROR(__xludf.DUMMYFUNCTION("""COMPUTED_VALUE"""),"20220520VAPOD")</f>
        <v>20220520VAPOD</v>
      </c>
      <c r="B57" s="5" t="str">
        <f ca="1">IFERROR(__xludf.DUMMYFUNCTION("""COMPUTED_VALUE"""),"Handgun")</f>
        <v>Handgun</v>
      </c>
      <c r="C57" s="5"/>
      <c r="D57" s="5"/>
    </row>
    <row r="58" spans="1:4">
      <c r="A58" s="5" t="str">
        <f ca="1">IFERROR(__xludf.DUMMYFUNCTION("""COMPUTED_VALUE"""),"20220520TNEAC")</f>
        <v>20220520TNEAC</v>
      </c>
      <c r="B58" s="5"/>
      <c r="C58" s="5"/>
      <c r="D58" s="5"/>
    </row>
    <row r="59" spans="1:4">
      <c r="A59" s="5" t="str">
        <f ca="1">IFERROR(__xludf.DUMMYFUNCTION("""COMPUTED_VALUE"""),"20220520OHCAC")</f>
        <v>20220520OHCAC</v>
      </c>
      <c r="B59" s="5" t="str">
        <f ca="1">IFERROR(__xludf.DUMMYFUNCTION("""COMPUTED_VALUE"""),"Other")</f>
        <v>Other</v>
      </c>
      <c r="C59" s="5" t="str">
        <f ca="1">IFERROR(__xludf.DUMMYFUNCTION("""COMPUTED_VALUE"""),"airsoft")</f>
        <v>airsoft</v>
      </c>
      <c r="D59" s="5"/>
    </row>
    <row r="60" spans="1:4">
      <c r="A60" s="5" t="str">
        <f ca="1">IFERROR(__xludf.DUMMYFUNCTION("""COMPUTED_VALUE"""),"20220520ILSOP")</f>
        <v>20220520ILSOP</v>
      </c>
      <c r="B60" s="5" t="str">
        <f ca="1">IFERROR(__xludf.DUMMYFUNCTION("""COMPUTED_VALUE"""),"Handgun")</f>
        <v>Handgun</v>
      </c>
      <c r="C60" s="5"/>
      <c r="D60" s="5"/>
    </row>
    <row r="61" spans="1:4">
      <c r="A61" s="5" t="str">
        <f ca="1">IFERROR(__xludf.DUMMYFUNCTION("""COMPUTED_VALUE"""),"20220520ALMAT")</f>
        <v>20220520ALMAT</v>
      </c>
      <c r="B61" s="5"/>
      <c r="C61" s="5"/>
      <c r="D61" s="5"/>
    </row>
    <row r="62" spans="1:4">
      <c r="A62" s="5" t="str">
        <f ca="1">IFERROR(__xludf.DUMMYFUNCTION("""COMPUTED_VALUE"""),"20220519VAGER")</f>
        <v>20220519VAGER</v>
      </c>
      <c r="B62" s="5"/>
      <c r="C62" s="5"/>
      <c r="D62" s="5"/>
    </row>
    <row r="63" spans="1:4">
      <c r="A63" s="5" t="str">
        <f ca="1">IFERROR(__xludf.DUMMYFUNCTION("""COMPUTED_VALUE"""),"20220519MIEAK")</f>
        <v>20220519MIEAK</v>
      </c>
      <c r="B63" s="5"/>
      <c r="C63" s="5"/>
      <c r="D63" s="5"/>
    </row>
    <row r="64" spans="1:4">
      <c r="A64" s="5" t="str">
        <f ca="1">IFERROR(__xludf.DUMMYFUNCTION("""COMPUTED_VALUE"""),"20220519LAHAH")</f>
        <v>20220519LAHAH</v>
      </c>
      <c r="B64" s="5" t="str">
        <f ca="1">IFERROR(__xludf.DUMMYFUNCTION("""COMPUTED_VALUE"""),"Handgun")</f>
        <v>Handgun</v>
      </c>
      <c r="C64" s="5"/>
      <c r="D64" s="5"/>
    </row>
    <row r="65" spans="1:4">
      <c r="A65" s="5" t="str">
        <f ca="1">IFERROR(__xludf.DUMMYFUNCTION("""COMPUTED_VALUE"""),"20220518TNRIM")</f>
        <v>20220518TNRIM</v>
      </c>
      <c r="B65" s="5" t="str">
        <f ca="1">IFERROR(__xludf.DUMMYFUNCTION("""COMPUTED_VALUE"""),"Handgun")</f>
        <v>Handgun</v>
      </c>
      <c r="C65" s="5"/>
      <c r="D65" s="5"/>
    </row>
    <row r="66" spans="1:4">
      <c r="A66" s="5" t="str">
        <f ca="1">IFERROR(__xludf.DUMMYFUNCTION("""COMPUTED_VALUE"""),"20220518FLPAP")</f>
        <v>20220518FLPAP</v>
      </c>
      <c r="B66" s="5" t="str">
        <f ca="1">IFERROR(__xludf.DUMMYFUNCTION("""COMPUTED_VALUE"""),"Handgun")</f>
        <v>Handgun</v>
      </c>
      <c r="C66" s="5"/>
      <c r="D66" s="5"/>
    </row>
    <row r="67" spans="1:4">
      <c r="A67" s="5" t="str">
        <f ca="1">IFERROR(__xludf.DUMMYFUNCTION("""COMPUTED_VALUE"""),"20220517ILWAC")</f>
        <v>20220517ILWAC</v>
      </c>
      <c r="B67" s="5" t="str">
        <f ca="1">IFERROR(__xludf.DUMMYFUNCTION("""COMPUTED_VALUE"""),"Handgun")</f>
        <v>Handgun</v>
      </c>
      <c r="C67" s="5"/>
      <c r="D67" s="5"/>
    </row>
    <row r="68" spans="1:4">
      <c r="A68" s="5" t="str">
        <f ca="1">IFERROR(__xludf.DUMMYFUNCTION("""COMPUTED_VALUE"""),"20220517CASAS")</f>
        <v>20220517CASAS</v>
      </c>
      <c r="B68" s="5"/>
      <c r="C68" s="5"/>
      <c r="D68" s="5"/>
    </row>
    <row r="69" spans="1:4">
      <c r="A69" s="5" t="str">
        <f ca="1">IFERROR(__xludf.DUMMYFUNCTION("""COMPUTED_VALUE"""),"20220516TXMEM")</f>
        <v>20220516TXMEM</v>
      </c>
      <c r="B69" s="5" t="str">
        <f ca="1">IFERROR(__xludf.DUMMYFUNCTION("""COMPUTED_VALUE"""),"Handgun")</f>
        <v>Handgun</v>
      </c>
      <c r="C69" s="5"/>
      <c r="D69" s="5"/>
    </row>
    <row r="70" spans="1:4">
      <c r="A70" s="5" t="str">
        <f ca="1">IFERROR(__xludf.DUMMYFUNCTION("""COMPUTED_VALUE"""),"20220515NHBEB")</f>
        <v>20220515NHBEB</v>
      </c>
      <c r="B70" s="5" t="str">
        <f ca="1">IFERROR(__xludf.DUMMYFUNCTION("""COMPUTED_VALUE"""),"Other")</f>
        <v>Other</v>
      </c>
      <c r="C70" s="5" t="str">
        <f ca="1">IFERROR(__xludf.DUMMYFUNCTION("""COMPUTED_VALUE"""),"airsoft")</f>
        <v>airsoft</v>
      </c>
      <c r="D70" s="5"/>
    </row>
    <row r="71" spans="1:4">
      <c r="A71" s="5" t="str">
        <f ca="1">IFERROR(__xludf.DUMMYFUNCTION("""COMPUTED_VALUE"""),"20220515ILMEP")</f>
        <v>20220515ILMEP</v>
      </c>
      <c r="B71" s="5" t="str">
        <f ca="1">IFERROR(__xludf.DUMMYFUNCTION("""COMPUTED_VALUE"""),"Handgun")</f>
        <v>Handgun</v>
      </c>
      <c r="C71" s="5" t="str">
        <f ca="1">IFERROR(__xludf.DUMMYFUNCTION("""COMPUTED_VALUE"""),"9mm")</f>
        <v>9mm</v>
      </c>
      <c r="D71" s="5"/>
    </row>
    <row r="72" spans="1:4">
      <c r="A72" s="5" t="str">
        <f ca="1">IFERROR(__xludf.DUMMYFUNCTION("""COMPUTED_VALUE"""),"20220513GASOM")</f>
        <v>20220513GASOM</v>
      </c>
      <c r="B72" s="5"/>
      <c r="C72" s="5"/>
      <c r="D72" s="5"/>
    </row>
    <row r="73" spans="1:4">
      <c r="A73" s="5" t="str">
        <f ca="1">IFERROR(__xludf.DUMMYFUNCTION("""COMPUTED_VALUE"""),"20220513FLALW")</f>
        <v>20220513FLALW</v>
      </c>
      <c r="B73" s="5" t="str">
        <f ca="1">IFERROR(__xludf.DUMMYFUNCTION("""COMPUTED_VALUE"""),"Handgun")</f>
        <v>Handgun</v>
      </c>
      <c r="C73" s="5" t="str">
        <f ca="1">IFERROR(__xludf.DUMMYFUNCTION("""COMPUTED_VALUE"""),"Service Weapon")</f>
        <v>Service Weapon</v>
      </c>
      <c r="D73" s="5"/>
    </row>
    <row r="74" spans="1:4">
      <c r="A74" s="5" t="str">
        <f ca="1">IFERROR(__xludf.DUMMYFUNCTION("""COMPUTED_VALUE"""),"20220512TXHEH")</f>
        <v>20220512TXHEH</v>
      </c>
      <c r="B74" s="5"/>
      <c r="C74" s="5"/>
      <c r="D74" s="5"/>
    </row>
    <row r="75" spans="1:4">
      <c r="A75" s="5" t="str">
        <f ca="1">IFERROR(__xludf.DUMMYFUNCTION("""COMPUTED_VALUE"""),"20220512ARHOH")</f>
        <v>20220512ARHOH</v>
      </c>
      <c r="B75" s="5" t="str">
        <f ca="1">IFERROR(__xludf.DUMMYFUNCTION("""COMPUTED_VALUE"""),"Handgun")</f>
        <v>Handgun</v>
      </c>
      <c r="C75" s="5"/>
      <c r="D75" s="5"/>
    </row>
    <row r="76" spans="1:4">
      <c r="A76" s="5" t="str">
        <f ca="1">IFERROR(__xludf.DUMMYFUNCTION("""COMPUTED_VALUE"""),"20220511FLJAJ")</f>
        <v>20220511FLJAJ</v>
      </c>
      <c r="B76" s="5"/>
      <c r="C76" s="5"/>
      <c r="D76" s="5"/>
    </row>
    <row r="77" spans="1:4">
      <c r="A77" s="5" t="str">
        <f ca="1">IFERROR(__xludf.DUMMYFUNCTION("""COMPUTED_VALUE"""),"20220509NYEDS")</f>
        <v>20220509NYEDS</v>
      </c>
      <c r="B77" s="5" t="str">
        <f ca="1">IFERROR(__xludf.DUMMYFUNCTION("""COMPUTED_VALUE"""),"Handgun")</f>
        <v>Handgun</v>
      </c>
      <c r="C77" s="5"/>
      <c r="D77" s="5"/>
    </row>
    <row r="78" spans="1:4">
      <c r="A78" s="5" t="str">
        <f ca="1">IFERROR(__xludf.DUMMYFUNCTION("""COMPUTED_VALUE"""),"20220509GARIS")</f>
        <v>20220509GARIS</v>
      </c>
      <c r="B78" s="5" t="str">
        <f ca="1">IFERROR(__xludf.DUMMYFUNCTION("""COMPUTED_VALUE"""),"Handgun")</f>
        <v>Handgun</v>
      </c>
      <c r="C78" s="5"/>
      <c r="D78" s="5"/>
    </row>
    <row r="79" spans="1:4">
      <c r="A79" s="5" t="str">
        <f ca="1">IFERROR(__xludf.DUMMYFUNCTION("""COMPUTED_VALUE"""),"20220505OHLOL")</f>
        <v>20220505OHLOL</v>
      </c>
      <c r="B79" s="5" t="str">
        <f ca="1">IFERROR(__xludf.DUMMYFUNCTION("""COMPUTED_VALUE"""),"Handgun")</f>
        <v>Handgun</v>
      </c>
      <c r="C79" s="5"/>
      <c r="D79" s="5"/>
    </row>
    <row r="80" spans="1:4">
      <c r="A80" s="5" t="str">
        <f ca="1">IFERROR(__xludf.DUMMYFUNCTION("""COMPUTED_VALUE"""),"20220505ALDOD")</f>
        <v>20220505ALDOD</v>
      </c>
      <c r="B80" s="5" t="str">
        <f ca="1">IFERROR(__xludf.DUMMYFUNCTION("""COMPUTED_VALUE"""),"Other")</f>
        <v>Other</v>
      </c>
      <c r="C80" s="5" t="str">
        <f ca="1">IFERROR(__xludf.DUMMYFUNCTION("""COMPUTED_VALUE"""),"BB")</f>
        <v>BB</v>
      </c>
      <c r="D80" s="5"/>
    </row>
    <row r="81" spans="1:4">
      <c r="A81" s="5" t="str">
        <f ca="1">IFERROR(__xludf.DUMMYFUNCTION("""COMPUTED_VALUE"""),"20220503CAARS")</f>
        <v>20220503CAARS</v>
      </c>
      <c r="B81" s="5"/>
      <c r="C81" s="5"/>
      <c r="D81" s="5"/>
    </row>
    <row r="82" spans="1:4">
      <c r="A82" s="5" t="str">
        <f ca="1">IFERROR(__xludf.DUMMYFUNCTION("""COMPUTED_VALUE"""),"20220501VALOM")</f>
        <v>20220501VALOM</v>
      </c>
      <c r="B82" s="5" t="str">
        <f ca="1">IFERROR(__xludf.DUMMYFUNCTION("""COMPUTED_VALUE"""),"Handgun")</f>
        <v>Handgun</v>
      </c>
      <c r="C82" s="5"/>
      <c r="D82" s="5"/>
    </row>
    <row r="83" spans="1:4">
      <c r="A83" s="5" t="str">
        <f ca="1">IFERROR(__xludf.DUMMYFUNCTION("""COMPUTED_VALUE"""),"20220501OHHAC")</f>
        <v>20220501OHHAC</v>
      </c>
      <c r="B83" s="5" t="str">
        <f ca="1">IFERROR(__xludf.DUMMYFUNCTION("""COMPUTED_VALUE"""),"Handgun")</f>
        <v>Handgun</v>
      </c>
      <c r="C83" s="5"/>
      <c r="D83" s="5"/>
    </row>
    <row r="84" spans="1:4">
      <c r="A84" s="5" t="str">
        <f ca="1">IFERROR(__xludf.DUMMYFUNCTION("""COMPUTED_VALUE"""),"20220430PAMCJ")</f>
        <v>20220430PAMCJ</v>
      </c>
      <c r="B84" s="5" t="str">
        <f ca="1">IFERROR(__xludf.DUMMYFUNCTION("""COMPUTED_VALUE"""),"Handgun")</f>
        <v>Handgun</v>
      </c>
      <c r="C84" s="5"/>
      <c r="D84" s="5"/>
    </row>
    <row r="85" spans="1:4">
      <c r="A85" s="5" t="str">
        <f ca="1">IFERROR(__xludf.DUMMYFUNCTION("""COMPUTED_VALUE"""),"20220427TXMOS")</f>
        <v>20220427TXMOS</v>
      </c>
      <c r="B85" s="5" t="str">
        <f ca="1">IFERROR(__xludf.DUMMYFUNCTION("""COMPUTED_VALUE"""),"Handgun")</f>
        <v>Handgun</v>
      </c>
      <c r="C85" s="5" t="str">
        <f ca="1">IFERROR(__xludf.DUMMYFUNCTION("""COMPUTED_VALUE"""),"Service Weapon")</f>
        <v>Service Weapon</v>
      </c>
      <c r="D85" s="5"/>
    </row>
    <row r="86" spans="1:4">
      <c r="A86" s="5" t="str">
        <f ca="1">IFERROR(__xludf.DUMMYFUNCTION("""COMPUTED_VALUE"""),"20220427INCOS")</f>
        <v>20220427INCOS</v>
      </c>
      <c r="B86" s="5" t="str">
        <f ca="1">IFERROR(__xludf.DUMMYFUNCTION("""COMPUTED_VALUE"""),"Other")</f>
        <v>Other</v>
      </c>
      <c r="C86" s="5" t="str">
        <f ca="1">IFERROR(__xludf.DUMMYFUNCTION("""COMPUTED_VALUE"""),"BB")</f>
        <v>BB</v>
      </c>
      <c r="D86" s="5"/>
    </row>
    <row r="87" spans="1:4">
      <c r="A87" s="5" t="str">
        <f ca="1">IFERROR(__xludf.DUMMYFUNCTION("""COMPUTED_VALUE"""),"20220426MIASI")</f>
        <v>20220426MIASI</v>
      </c>
      <c r="B87" s="5" t="str">
        <f ca="1">IFERROR(__xludf.DUMMYFUNCTION("""COMPUTED_VALUE"""),"Handgun")</f>
        <v>Handgun</v>
      </c>
      <c r="C87" s="5"/>
      <c r="D87" s="5"/>
    </row>
    <row r="88" spans="1:4">
      <c r="A88" s="5" t="str">
        <f ca="1">IFERROR(__xludf.DUMMYFUNCTION("""COMPUTED_VALUE"""),"20220426GASOM")</f>
        <v>20220426GASOM</v>
      </c>
      <c r="B88" s="5" t="str">
        <f ca="1">IFERROR(__xludf.DUMMYFUNCTION("""COMPUTED_VALUE"""),"Handgun")</f>
        <v>Handgun</v>
      </c>
      <c r="C88" s="5"/>
      <c r="D88" s="5"/>
    </row>
    <row r="89" spans="1:4">
      <c r="A89" s="5" t="str">
        <f ca="1">IFERROR(__xludf.DUMMYFUNCTION("""COMPUTED_VALUE"""),"20220426GASOM")</f>
        <v>20220426GASOM</v>
      </c>
      <c r="B89" s="5" t="str">
        <f ca="1">IFERROR(__xludf.DUMMYFUNCTION("""COMPUTED_VALUE"""),"Other")</f>
        <v>Other</v>
      </c>
      <c r="C89" s="5" t="str">
        <f ca="1">IFERROR(__xludf.DUMMYFUNCTION("""COMPUTED_VALUE"""),"Pellet")</f>
        <v>Pellet</v>
      </c>
      <c r="D89" s="5"/>
    </row>
    <row r="90" spans="1:4">
      <c r="A90" s="5" t="str">
        <f ca="1">IFERROR(__xludf.DUMMYFUNCTION("""COMPUTED_VALUE"""),"20220425WIWIM")</f>
        <v>20220425WIWIM</v>
      </c>
      <c r="B90" s="5" t="str">
        <f ca="1">IFERROR(__xludf.DUMMYFUNCTION("""COMPUTED_VALUE"""),"Multiple Handguns")</f>
        <v>Multiple Handguns</v>
      </c>
      <c r="C90" s="5"/>
      <c r="D90" s="5"/>
    </row>
    <row r="91" spans="1:4">
      <c r="A91" s="5" t="str">
        <f ca="1">IFERROR(__xludf.DUMMYFUNCTION("""COMPUTED_VALUE"""),"20220424MOHAF")</f>
        <v>20220424MOHAF</v>
      </c>
      <c r="B91" s="5" t="str">
        <f ca="1">IFERROR(__xludf.DUMMYFUNCTION("""COMPUTED_VALUE"""),"Handgun")</f>
        <v>Handgun</v>
      </c>
      <c r="C91" s="5"/>
      <c r="D91" s="5"/>
    </row>
    <row r="92" spans="1:4">
      <c r="A92" s="5" t="str">
        <f ca="1">IFERROR(__xludf.DUMMYFUNCTION("""COMPUTED_VALUE"""),"20220422ORHOS")</f>
        <v>20220422ORHOS</v>
      </c>
      <c r="B92" s="5" t="str">
        <f ca="1">IFERROR(__xludf.DUMMYFUNCTION("""COMPUTED_VALUE"""),"Handgun")</f>
        <v>Handgun</v>
      </c>
      <c r="C92" s="5"/>
      <c r="D92" s="5"/>
    </row>
    <row r="93" spans="1:4">
      <c r="A93" s="5" t="str">
        <f ca="1">IFERROR(__xludf.DUMMYFUNCTION("""COMPUTED_VALUE"""),"20220422DCEDW")</f>
        <v>20220422DCEDW</v>
      </c>
      <c r="B93" s="5" t="str">
        <f ca="1">IFERROR(__xludf.DUMMYFUNCTION("""COMPUTED_VALUE"""),"Multiple Rifles")</f>
        <v>Multiple Rifles</v>
      </c>
      <c r="C93" s="5"/>
      <c r="D93" s="5" t="str">
        <f ca="1">IFERROR(__xludf.DUMMYFUNCTION("""COMPUTED_VALUE"""),"Fully automatic AR-15 style rifles")</f>
        <v>Fully automatic AR-15 style rifles</v>
      </c>
    </row>
    <row r="94" spans="1:4">
      <c r="A94" s="5" t="str">
        <f ca="1">IFERROR(__xludf.DUMMYFUNCTION("""COMPUTED_VALUE"""),"20220422DCEDW")</f>
        <v>20220422DCEDW</v>
      </c>
      <c r="B94" s="5" t="str">
        <f ca="1">IFERROR(__xludf.DUMMYFUNCTION("""COMPUTED_VALUE"""),"Multiple Handguns")</f>
        <v>Multiple Handguns</v>
      </c>
      <c r="C94" s="5"/>
      <c r="D94" s="5"/>
    </row>
    <row r="95" spans="1:4">
      <c r="A95" s="5" t="str">
        <f ca="1">IFERROR(__xludf.DUMMYFUNCTION("""COMPUTED_VALUE"""),"20220422CAMOR")</f>
        <v>20220422CAMOR</v>
      </c>
      <c r="B95" s="5" t="str">
        <f ca="1">IFERROR(__xludf.DUMMYFUNCTION("""COMPUTED_VALUE"""),"Rifle")</f>
        <v>Rifle</v>
      </c>
      <c r="C95" s="5"/>
      <c r="D95" s="5"/>
    </row>
    <row r="96" spans="1:4">
      <c r="A96" s="5" t="str">
        <f ca="1">IFERROR(__xludf.DUMMYFUNCTION("""COMPUTED_VALUE"""),"20220421NDMOM")</f>
        <v>20220421NDMOM</v>
      </c>
      <c r="B96" s="5" t="str">
        <f ca="1">IFERROR(__xludf.DUMMYFUNCTION("""COMPUTED_VALUE"""),"Handgun")</f>
        <v>Handgun</v>
      </c>
      <c r="C96" s="5" t="str">
        <f ca="1">IFERROR(__xludf.DUMMYFUNCTION("""COMPUTED_VALUE"""),"Service Weapon")</f>
        <v>Service Weapon</v>
      </c>
      <c r="D96" s="5"/>
    </row>
    <row r="97" spans="1:4">
      <c r="A97" s="5" t="str">
        <f ca="1">IFERROR(__xludf.DUMMYFUNCTION("""COMPUTED_VALUE"""),"20220416IAMED")</f>
        <v>20220416IAMED</v>
      </c>
      <c r="B97" s="5" t="str">
        <f ca="1">IFERROR(__xludf.DUMMYFUNCTION("""COMPUTED_VALUE"""),"Handgun")</f>
        <v>Handgun</v>
      </c>
      <c r="C97" s="5"/>
      <c r="D97" s="5"/>
    </row>
    <row r="98" spans="1:4">
      <c r="A98" s="5" t="str">
        <f ca="1">IFERROR(__xludf.DUMMYFUNCTION("""COMPUTED_VALUE"""),"20220415VAGAW")</f>
        <v>20220415VAGAW</v>
      </c>
      <c r="B98" s="5" t="str">
        <f ca="1">IFERROR(__xludf.DUMMYFUNCTION("""COMPUTED_VALUE"""),"Handgun")</f>
        <v>Handgun</v>
      </c>
      <c r="C98" s="5"/>
      <c r="D98" s="5"/>
    </row>
    <row r="99" spans="1:4">
      <c r="A99" s="5" t="str">
        <f ca="1">IFERROR(__xludf.DUMMYFUNCTION("""COMPUTED_VALUE"""),"20220414MSNEP")</f>
        <v>20220414MSNEP</v>
      </c>
      <c r="B99" s="5" t="str">
        <f ca="1">IFERROR(__xludf.DUMMYFUNCTION("""COMPUTED_VALUE"""),"Other")</f>
        <v>Other</v>
      </c>
      <c r="C99" s="5" t="str">
        <f ca="1">IFERROR(__xludf.DUMMYFUNCTION("""COMPUTED_VALUE"""),"Pellet")</f>
        <v>Pellet</v>
      </c>
      <c r="D99" s="5" t="str">
        <f ca="1">IFERROR(__xludf.DUMMYFUNCTION("""COMPUTED_VALUE"""),"2 high-powered Gamo pellet rifles and 1 CO2 BB gun")</f>
        <v>2 high-powered Gamo pellet rifles and 1 CO2 BB gun</v>
      </c>
    </row>
    <row r="100" spans="1:4">
      <c r="A100" s="5" t="str">
        <f ca="1">IFERROR(__xludf.DUMMYFUNCTION("""COMPUTED_VALUE"""),"20220413MISHS")</f>
        <v>20220413MISHS</v>
      </c>
      <c r="B100" s="5" t="str">
        <f ca="1">IFERROR(__xludf.DUMMYFUNCTION("""COMPUTED_VALUE"""),"Other")</f>
        <v>Other</v>
      </c>
      <c r="C100" s="5" t="str">
        <f ca="1">IFERROR(__xludf.DUMMYFUNCTION("""COMPUTED_VALUE"""),"BB")</f>
        <v>BB</v>
      </c>
      <c r="D100" s="5"/>
    </row>
    <row r="101" spans="1:4">
      <c r="A101" s="5" t="str">
        <f ca="1">IFERROR(__xludf.DUMMYFUNCTION("""COMPUTED_VALUE"""),"20220411ARPIP")</f>
        <v>20220411ARPIP</v>
      </c>
      <c r="B101" s="5" t="str">
        <f ca="1">IFERROR(__xludf.DUMMYFUNCTION("""COMPUTED_VALUE"""),"Handgun")</f>
        <v>Handgun</v>
      </c>
      <c r="C101" s="5"/>
      <c r="D101" s="5"/>
    </row>
    <row r="102" spans="1:4">
      <c r="A102" s="5" t="str">
        <f ca="1">IFERROR(__xludf.DUMMYFUNCTION("""COMPUTED_VALUE"""),"20220410MALYL")</f>
        <v>20220410MALYL</v>
      </c>
      <c r="B102" s="5" t="str">
        <f ca="1">IFERROR(__xludf.DUMMYFUNCTION("""COMPUTED_VALUE"""),"Handgun")</f>
        <v>Handgun</v>
      </c>
      <c r="C102" s="5"/>
      <c r="D102" s="5"/>
    </row>
    <row r="103" spans="1:4">
      <c r="A103" s="5" t="str">
        <f ca="1">IFERROR(__xludf.DUMMYFUNCTION("""COMPUTED_VALUE"""),"20220406WVRIR")</f>
        <v>20220406WVRIR</v>
      </c>
      <c r="B103" s="5" t="str">
        <f ca="1">IFERROR(__xludf.DUMMYFUNCTION("""COMPUTED_VALUE"""),"Handgun")</f>
        <v>Handgun</v>
      </c>
      <c r="C103" s="5" t="str">
        <f ca="1">IFERROR(__xludf.DUMMYFUNCTION("""COMPUTED_VALUE"""),".22 caliber")</f>
        <v>.22 caliber</v>
      </c>
      <c r="D103" s="5"/>
    </row>
    <row r="104" spans="1:4">
      <c r="A104" s="5" t="str">
        <f ca="1">IFERROR(__xludf.DUMMYFUNCTION("""COMPUTED_VALUE"""),"20220406WASTM")</f>
        <v>20220406WASTM</v>
      </c>
      <c r="B104" s="5" t="str">
        <f ca="1">IFERROR(__xludf.DUMMYFUNCTION("""COMPUTED_VALUE"""),"Other")</f>
        <v>Other</v>
      </c>
      <c r="C104" s="5" t="str">
        <f ca="1">IFERROR(__xludf.DUMMYFUNCTION("""COMPUTED_VALUE"""),"Pellet")</f>
        <v>Pellet</v>
      </c>
      <c r="D104" s="5"/>
    </row>
    <row r="105" spans="1:4">
      <c r="A105" s="5" t="str">
        <f ca="1">IFERROR(__xludf.DUMMYFUNCTION("""COMPUTED_VALUE"""),"20220406ORROP")</f>
        <v>20220406ORROP</v>
      </c>
      <c r="B105" s="5" t="str">
        <f ca="1">IFERROR(__xludf.DUMMYFUNCTION("""COMPUTED_VALUE"""),"Handgun")</f>
        <v>Handgun</v>
      </c>
      <c r="C105" s="5"/>
      <c r="D105" s="5"/>
    </row>
    <row r="106" spans="1:4">
      <c r="A106" s="5" t="str">
        <f ca="1">IFERROR(__xludf.DUMMYFUNCTION("""COMPUTED_VALUE"""),"20220405PAERE")</f>
        <v>20220405PAERE</v>
      </c>
      <c r="B106" s="5" t="str">
        <f ca="1">IFERROR(__xludf.DUMMYFUNCTION("""COMPUTED_VALUE"""),"Handgun")</f>
        <v>Handgun</v>
      </c>
      <c r="C106" s="5" t="str">
        <f ca="1">IFERROR(__xludf.DUMMYFUNCTION("""COMPUTED_VALUE"""),"9mm")</f>
        <v>9mm</v>
      </c>
      <c r="D106" s="5"/>
    </row>
    <row r="107" spans="1:4">
      <c r="A107" s="5" t="str">
        <f ca="1">IFERROR(__xludf.DUMMYFUNCTION("""COMPUTED_VALUE"""),"20220403INBLB")</f>
        <v>20220403INBLB</v>
      </c>
      <c r="B107" s="5" t="str">
        <f ca="1">IFERROR(__xludf.DUMMYFUNCTION("""COMPUTED_VALUE"""),"Multiple Handguns")</f>
        <v>Multiple Handguns</v>
      </c>
      <c r="C107" s="5"/>
      <c r="D107" s="5"/>
    </row>
    <row r="108" spans="1:4">
      <c r="A108" s="5" t="str">
        <f ca="1">IFERROR(__xludf.DUMMYFUNCTION("""COMPUTED_VALUE"""),"20220331PAACP")</f>
        <v>20220331PAACP</v>
      </c>
      <c r="B108" s="5" t="str">
        <f ca="1">IFERROR(__xludf.DUMMYFUNCTION("""COMPUTED_VALUE"""),"Handgun")</f>
        <v>Handgun</v>
      </c>
      <c r="C108" s="5"/>
      <c r="D108" s="5"/>
    </row>
    <row r="109" spans="1:4">
      <c r="A109" s="5" t="str">
        <f ca="1">IFERROR(__xludf.DUMMYFUNCTION("""COMPUTED_VALUE"""),"20220330GABOA")</f>
        <v>20220330GABOA</v>
      </c>
      <c r="B109" s="5" t="str">
        <f ca="1">IFERROR(__xludf.DUMMYFUNCTION("""COMPUTED_VALUE"""),"Handgun")</f>
        <v>Handgun</v>
      </c>
      <c r="C109" s="5"/>
      <c r="D109" s="5"/>
    </row>
    <row r="110" spans="1:4">
      <c r="A110" s="5" t="str">
        <f ca="1">IFERROR(__xludf.DUMMYFUNCTION("""COMPUTED_VALUE"""),"20220330AZKIK")</f>
        <v>20220330AZKIK</v>
      </c>
      <c r="B110" s="5" t="str">
        <f ca="1">IFERROR(__xludf.DUMMYFUNCTION("""COMPUTED_VALUE"""),"Handgun")</f>
        <v>Handgun</v>
      </c>
      <c r="C110" s="5"/>
      <c r="D110" s="5"/>
    </row>
    <row r="111" spans="1:4">
      <c r="A111" s="5" t="str">
        <f ca="1">IFERROR(__xludf.DUMMYFUNCTION("""COMPUTED_VALUE"""),"20220329VALUR")</f>
        <v>20220329VALUR</v>
      </c>
      <c r="B111" s="5" t="str">
        <f ca="1">IFERROR(__xludf.DUMMYFUNCTION("""COMPUTED_VALUE"""),"Handgun")</f>
        <v>Handgun</v>
      </c>
      <c r="C111" s="5"/>
      <c r="D111" s="5"/>
    </row>
    <row r="112" spans="1:4">
      <c r="A112" s="5" t="str">
        <f ca="1">IFERROR(__xludf.DUMMYFUNCTION("""COMPUTED_VALUE"""),"20220329NVWEL")</f>
        <v>20220329NVWEL</v>
      </c>
      <c r="B112" s="5" t="str">
        <f ca="1">IFERROR(__xludf.DUMMYFUNCTION("""COMPUTED_VALUE"""),"Handgun")</f>
        <v>Handgun</v>
      </c>
      <c r="C112" s="5" t="str">
        <f ca="1">IFERROR(__xludf.DUMMYFUNCTION("""COMPUTED_VALUE"""),"Service Weapon")</f>
        <v>Service Weapon</v>
      </c>
      <c r="D112" s="5"/>
    </row>
    <row r="113" spans="1:4">
      <c r="A113" s="5" t="str">
        <f ca="1">IFERROR(__xludf.DUMMYFUNCTION("""COMPUTED_VALUE"""),"20220328TXNOF")</f>
        <v>20220328TXNOF</v>
      </c>
      <c r="B113" s="5" t="str">
        <f ca="1">IFERROR(__xludf.DUMMYFUNCTION("""COMPUTED_VALUE"""),"Handgun")</f>
        <v>Handgun</v>
      </c>
      <c r="C113" s="5"/>
      <c r="D113" s="5"/>
    </row>
    <row r="114" spans="1:4">
      <c r="A114" s="5" t="str">
        <f ca="1">IFERROR(__xludf.DUMMYFUNCTION("""COMPUTED_VALUE"""),"20220328NCOAC")</f>
        <v>20220328NCOAC</v>
      </c>
      <c r="B114" s="5" t="str">
        <f ca="1">IFERROR(__xludf.DUMMYFUNCTION("""COMPUTED_VALUE"""),"Handgun")</f>
        <v>Handgun</v>
      </c>
      <c r="C114" s="5"/>
      <c r="D114" s="5"/>
    </row>
    <row r="115" spans="1:4">
      <c r="A115" s="5" t="str">
        <f ca="1">IFERROR(__xludf.DUMMYFUNCTION("""COMPUTED_VALUE"""),"20220325UTHIS")</f>
        <v>20220325UTHIS</v>
      </c>
      <c r="B115" s="5" t="str">
        <f ca="1">IFERROR(__xludf.DUMMYFUNCTION("""COMPUTED_VALUE"""),"Handgun")</f>
        <v>Handgun</v>
      </c>
      <c r="C115" s="5"/>
      <c r="D115" s="5"/>
    </row>
    <row r="116" spans="1:4">
      <c r="A116" s="5" t="str">
        <f ca="1">IFERROR(__xludf.DUMMYFUNCTION("""COMPUTED_VALUE"""),"20220325UTHIS")</f>
        <v>20220325UTHIS</v>
      </c>
      <c r="B116" s="5" t="str">
        <f ca="1">IFERROR(__xludf.DUMMYFUNCTION("""COMPUTED_VALUE"""),"Other")</f>
        <v>Other</v>
      </c>
      <c r="C116" s="5" t="str">
        <f ca="1">IFERROR(__xludf.DUMMYFUNCTION("""COMPUTED_VALUE"""),"Pellet")</f>
        <v>Pellet</v>
      </c>
      <c r="D116" s="5" t="str">
        <f ca="1">IFERROR(__xludf.DUMMYFUNCTION("""COMPUTED_VALUE"""),"Gel pellet gun")</f>
        <v>Gel pellet gun</v>
      </c>
    </row>
    <row r="117" spans="1:4">
      <c r="A117" s="5" t="str">
        <f ca="1">IFERROR(__xludf.DUMMYFUNCTION("""COMPUTED_VALUE"""),"20220325TXROR")</f>
        <v>20220325TXROR</v>
      </c>
      <c r="B117" s="5" t="str">
        <f ca="1">IFERROR(__xludf.DUMMYFUNCTION("""COMPUTED_VALUE"""),"Other")</f>
        <v>Other</v>
      </c>
      <c r="C117" s="5" t="str">
        <f ca="1">IFERROR(__xludf.DUMMYFUNCTION("""COMPUTED_VALUE"""),"Pellet")</f>
        <v>Pellet</v>
      </c>
      <c r="D117" s="5" t="str">
        <f ca="1">IFERROR(__xludf.DUMMYFUNCTION("""COMPUTED_VALUE"""),"Multiple gel pellet guns")</f>
        <v>Multiple gel pellet guns</v>
      </c>
    </row>
    <row r="118" spans="1:4">
      <c r="A118" s="5" t="str">
        <f ca="1">IFERROR(__xludf.DUMMYFUNCTION("""COMPUTED_VALUE"""),"20220325TNBRM")</f>
        <v>20220325TNBRM</v>
      </c>
      <c r="B118" s="5" t="str">
        <f ca="1">IFERROR(__xludf.DUMMYFUNCTION("""COMPUTED_VALUE"""),"Handgun")</f>
        <v>Handgun</v>
      </c>
      <c r="C118" s="5"/>
      <c r="D118" s="5"/>
    </row>
    <row r="119" spans="1:4">
      <c r="A119" s="5" t="str">
        <f ca="1">IFERROR(__xludf.DUMMYFUNCTION("""COMPUTED_VALUE"""),"20220324VARIW")</f>
        <v>20220324VARIW</v>
      </c>
      <c r="B119" s="5" t="str">
        <f ca="1">IFERROR(__xludf.DUMMYFUNCTION("""COMPUTED_VALUE"""),"Multiple Rifles")</f>
        <v>Multiple Rifles</v>
      </c>
      <c r="C119" s="5"/>
      <c r="D119" s="5" t="str">
        <f ca="1">IFERROR(__xludf.DUMMYFUNCTION("""COMPUTED_VALUE"""),"Rifle and shotgun")</f>
        <v>Rifle and shotgun</v>
      </c>
    </row>
    <row r="120" spans="1:4">
      <c r="A120" s="5" t="str">
        <f ca="1">IFERROR(__xludf.DUMMYFUNCTION("""COMPUTED_VALUE"""),"20220322VAJAR")</f>
        <v>20220322VAJAR</v>
      </c>
      <c r="B120" s="5" t="str">
        <f ca="1">IFERROR(__xludf.DUMMYFUNCTION("""COMPUTED_VALUE"""),"Handgun")</f>
        <v>Handgun</v>
      </c>
      <c r="C120" s="5"/>
      <c r="D120" s="5"/>
    </row>
    <row r="121" spans="1:4">
      <c r="A121" s="5" t="str">
        <f ca="1">IFERROR(__xludf.DUMMYFUNCTION("""COMPUTED_VALUE"""),"20220322TXWOD")</f>
        <v>20220322TXWOD</v>
      </c>
      <c r="B121" s="5" t="str">
        <f ca="1">IFERROR(__xludf.DUMMYFUNCTION("""COMPUTED_VALUE"""),"Handgun")</f>
        <v>Handgun</v>
      </c>
      <c r="C121" s="5"/>
      <c r="D121" s="5"/>
    </row>
    <row r="122" spans="1:4">
      <c r="A122" s="5" t="str">
        <f ca="1">IFERROR(__xludf.DUMMYFUNCTION("""COMPUTED_VALUE"""),"20220322FLNEN")</f>
        <v>20220322FLNEN</v>
      </c>
      <c r="B122" s="5" t="str">
        <f ca="1">IFERROR(__xludf.DUMMYFUNCTION("""COMPUTED_VALUE"""),"Other")</f>
        <v>Other</v>
      </c>
      <c r="C122" s="5" t="str">
        <f ca="1">IFERROR(__xludf.DUMMYFUNCTION("""COMPUTED_VALUE"""),"Pellet")</f>
        <v>Pellet</v>
      </c>
      <c r="D122" s="5" t="str">
        <f ca="1">IFERROR(__xludf.DUMMYFUNCTION("""COMPUTED_VALUE"""),"Gel pellet gun")</f>
        <v>Gel pellet gun</v>
      </c>
    </row>
    <row r="123" spans="1:4">
      <c r="A123" s="5" t="str">
        <f ca="1">IFERROR(__xludf.DUMMYFUNCTION("""COMPUTED_VALUE"""),"20220321MSLEP")</f>
        <v>20220321MSLEP</v>
      </c>
      <c r="B123" s="5"/>
      <c r="C123" s="5"/>
      <c r="D123" s="5"/>
    </row>
    <row r="124" spans="1:4">
      <c r="A124" s="5" t="str">
        <f ca="1">IFERROR(__xludf.DUMMYFUNCTION("""COMPUTED_VALUE"""),"20220321MIMAK")</f>
        <v>20220321MIMAK</v>
      </c>
      <c r="B124" s="5" t="str">
        <f ca="1">IFERROR(__xludf.DUMMYFUNCTION("""COMPUTED_VALUE"""),"Handgun")</f>
        <v>Handgun</v>
      </c>
      <c r="C124" s="5" t="str">
        <f ca="1">IFERROR(__xludf.DUMMYFUNCTION("""COMPUTED_VALUE"""),"9mm")</f>
        <v>9mm</v>
      </c>
      <c r="D124" s="5"/>
    </row>
    <row r="125" spans="1:4">
      <c r="A125" s="5" t="str">
        <f ca="1">IFERROR(__xludf.DUMMYFUNCTION("""COMPUTED_VALUE"""),"20220321AZDES")</f>
        <v>20220321AZDES</v>
      </c>
      <c r="B125" s="5" t="str">
        <f ca="1">IFERROR(__xludf.DUMMYFUNCTION("""COMPUTED_VALUE"""),"Handgun")</f>
        <v>Handgun</v>
      </c>
      <c r="C125" s="5"/>
      <c r="D125" s="5"/>
    </row>
    <row r="126" spans="1:4">
      <c r="A126" s="5" t="str">
        <f ca="1">IFERROR(__xludf.DUMMYFUNCTION("""COMPUTED_VALUE"""),"20220319ALCEL")</f>
        <v>20220319ALCEL</v>
      </c>
      <c r="B126" s="5" t="str">
        <f ca="1">IFERROR(__xludf.DUMMYFUNCTION("""COMPUTED_VALUE"""),"Handgun")</f>
        <v>Handgun</v>
      </c>
      <c r="C126" s="5"/>
      <c r="D126" s="5"/>
    </row>
    <row r="127" spans="1:4">
      <c r="A127" s="5" t="str">
        <f ca="1">IFERROR(__xludf.DUMMYFUNCTION("""COMPUTED_VALUE"""),"20220318RICEP")</f>
        <v>20220318RICEP</v>
      </c>
      <c r="B127" s="5" t="str">
        <f ca="1">IFERROR(__xludf.DUMMYFUNCTION("""COMPUTED_VALUE"""),"Other")</f>
        <v>Other</v>
      </c>
      <c r="C127" s="5" t="str">
        <f ca="1">IFERROR(__xludf.DUMMYFUNCTION("""COMPUTED_VALUE"""),"Pellet")</f>
        <v>Pellet</v>
      </c>
      <c r="D127" s="5" t="str">
        <f ca="1">IFERROR(__xludf.DUMMYFUNCTION("""COMPUTED_VALUE"""),"Gel pellet gun")</f>
        <v>Gel pellet gun</v>
      </c>
    </row>
    <row r="128" spans="1:4">
      <c r="A128" s="5" t="str">
        <f ca="1">IFERROR(__xludf.DUMMYFUNCTION("""COMPUTED_VALUE"""),"20220318ILBAB")</f>
        <v>20220318ILBAB</v>
      </c>
      <c r="B128" s="5" t="str">
        <f ca="1">IFERROR(__xludf.DUMMYFUNCTION("""COMPUTED_VALUE"""),"Other")</f>
        <v>Other</v>
      </c>
      <c r="C128" s="5" t="str">
        <f ca="1">IFERROR(__xludf.DUMMYFUNCTION("""COMPUTED_VALUE"""),"Pellet")</f>
        <v>Pellet</v>
      </c>
      <c r="D128" s="5" t="str">
        <f ca="1">IFERROR(__xludf.DUMMYFUNCTION("""COMPUTED_VALUE"""),"Gel pellet gun")</f>
        <v>Gel pellet gun</v>
      </c>
    </row>
    <row r="129" spans="1:4">
      <c r="A129" s="5" t="str">
        <f ca="1">IFERROR(__xludf.DUMMYFUNCTION("""COMPUTED_VALUE"""),"20220317AKREW")</f>
        <v>20220317AKREW</v>
      </c>
      <c r="B129" s="5" t="str">
        <f ca="1">IFERROR(__xludf.DUMMYFUNCTION("""COMPUTED_VALUE"""),"Handgun")</f>
        <v>Handgun</v>
      </c>
      <c r="C129" s="5"/>
      <c r="D129" s="5"/>
    </row>
    <row r="130" spans="1:4">
      <c r="A130" s="5" t="str">
        <f ca="1">IFERROR(__xludf.DUMMYFUNCTION("""COMPUTED_VALUE"""),"20220316CALOR")</f>
        <v>20220316CALOR</v>
      </c>
      <c r="B130" s="5" t="str">
        <f ca="1">IFERROR(__xludf.DUMMYFUNCTION("""COMPUTED_VALUE"""),"Handgun")</f>
        <v>Handgun</v>
      </c>
      <c r="C130" s="5"/>
      <c r="D130" s="5"/>
    </row>
    <row r="131" spans="1:4">
      <c r="A131" s="5" t="str">
        <f ca="1">IFERROR(__xludf.DUMMYFUNCTION("""COMPUTED_VALUE"""),"20220315WAEIY")</f>
        <v>20220315WAEIY</v>
      </c>
      <c r="B131" s="5" t="str">
        <f ca="1">IFERROR(__xludf.DUMMYFUNCTION("""COMPUTED_VALUE"""),"Multiple Handguns")</f>
        <v>Multiple Handguns</v>
      </c>
      <c r="C131" s="5"/>
      <c r="D131" s="5"/>
    </row>
    <row r="132" spans="1:4">
      <c r="A132" s="5" t="str">
        <f ca="1">IFERROR(__xludf.DUMMYFUNCTION("""COMPUTED_VALUE"""),"20220315MDPAB")</f>
        <v>20220315MDPAB</v>
      </c>
      <c r="B132" s="5" t="str">
        <f ca="1">IFERROR(__xludf.DUMMYFUNCTION("""COMPUTED_VALUE"""),"Handgun")</f>
        <v>Handgun</v>
      </c>
      <c r="C132" s="5"/>
      <c r="D132" s="5"/>
    </row>
    <row r="133" spans="1:4">
      <c r="A133" s="5" t="str">
        <f ca="1">IFERROR(__xludf.DUMMYFUNCTION("""COMPUTED_VALUE"""),"20220315MATEB")</f>
        <v>20220315MATEB</v>
      </c>
      <c r="B133" s="5" t="str">
        <f ca="1">IFERROR(__xludf.DUMMYFUNCTION("""COMPUTED_VALUE"""),"Multiple Handguns")</f>
        <v>Multiple Handguns</v>
      </c>
      <c r="C133" s="5"/>
      <c r="D133" s="5" t="str">
        <f ca="1">IFERROR(__xludf.DUMMYFUNCTION("""COMPUTED_VALUE"""),"9mm glock handgun and .22 handgun with laser sight")</f>
        <v>9mm glock handgun and .22 handgun with laser sight</v>
      </c>
    </row>
    <row r="134" spans="1:4">
      <c r="A134" s="5" t="str">
        <f ca="1">IFERROR(__xludf.DUMMYFUNCTION("""COMPUTED_VALUE"""),"20220315GAFOF")</f>
        <v>20220315GAFOF</v>
      </c>
      <c r="B134" s="5" t="str">
        <f ca="1">IFERROR(__xludf.DUMMYFUNCTION("""COMPUTED_VALUE"""),"Handgun")</f>
        <v>Handgun</v>
      </c>
      <c r="C134" s="5"/>
      <c r="D134" s="5"/>
    </row>
    <row r="135" spans="1:4">
      <c r="A135" s="5" t="str">
        <f ca="1">IFERROR(__xludf.DUMMYFUNCTION("""COMPUTED_VALUE"""),"20220314CAKRP")</f>
        <v>20220314CAKRP</v>
      </c>
      <c r="B135" s="5" t="str">
        <f ca="1">IFERROR(__xludf.DUMMYFUNCTION("""COMPUTED_VALUE"""),"Handgun")</f>
        <v>Handgun</v>
      </c>
      <c r="C135" s="5"/>
      <c r="D135" s="5"/>
    </row>
    <row r="136" spans="1:4">
      <c r="A136" s="5" t="str">
        <f ca="1">IFERROR(__xludf.DUMMYFUNCTION("""COMPUTED_VALUE"""),"20220313PANEP")</f>
        <v>20220313PANEP</v>
      </c>
      <c r="B136" s="5"/>
      <c r="C136" s="5"/>
      <c r="D136" s="5"/>
    </row>
    <row r="137" spans="1:4">
      <c r="A137" s="5" t="str">
        <f ca="1">IFERROR(__xludf.DUMMYFUNCTION("""COMPUTED_VALUE"""),"20220313PANEP")</f>
        <v>20220313PANEP</v>
      </c>
      <c r="B137" s="5"/>
      <c r="C137" s="5"/>
      <c r="D137" s="5"/>
    </row>
    <row r="138" spans="1:4">
      <c r="A138" s="5" t="str">
        <f ca="1">IFERROR(__xludf.DUMMYFUNCTION("""COMPUTED_VALUE"""),"20220311WIJER")</f>
        <v>20220311WIJER</v>
      </c>
      <c r="B138" s="5" t="str">
        <f ca="1">IFERROR(__xludf.DUMMYFUNCTION("""COMPUTED_VALUE"""),"Handgun")</f>
        <v>Handgun</v>
      </c>
      <c r="C138" s="5"/>
      <c r="D138" s="5"/>
    </row>
    <row r="139" spans="1:4">
      <c r="A139" s="5" t="str">
        <f ca="1">IFERROR(__xludf.DUMMYFUNCTION("""COMPUTED_VALUE"""),"20220311OHMAM")</f>
        <v>20220311OHMAM</v>
      </c>
      <c r="B139" s="5"/>
      <c r="C139" s="5"/>
      <c r="D139" s="5"/>
    </row>
    <row r="140" spans="1:4">
      <c r="A140" s="5" t="str">
        <f ca="1">IFERROR(__xludf.DUMMYFUNCTION("""COMPUTED_VALUE"""),"20220311OHFAP")</f>
        <v>20220311OHFAP</v>
      </c>
      <c r="B140" s="5" t="str">
        <f ca="1">IFERROR(__xludf.DUMMYFUNCTION("""COMPUTED_VALUE"""),"Handgun")</f>
        <v>Handgun</v>
      </c>
      <c r="C140" s="5"/>
      <c r="D140" s="5"/>
    </row>
    <row r="141" spans="1:4">
      <c r="A141" s="5" t="str">
        <f ca="1">IFERROR(__xludf.DUMMYFUNCTION("""COMPUTED_VALUE"""),"20220311CADER")</f>
        <v>20220311CADER</v>
      </c>
      <c r="B141" s="5" t="str">
        <f ca="1">IFERROR(__xludf.DUMMYFUNCTION("""COMPUTED_VALUE"""),"Handgun")</f>
        <v>Handgun</v>
      </c>
      <c r="C141" s="5"/>
      <c r="D141" s="5"/>
    </row>
    <row r="142" spans="1:4">
      <c r="A142" s="5" t="str">
        <f ca="1">IFERROR(__xludf.DUMMYFUNCTION("""COMPUTED_VALUE"""),"20220310TNHAM")</f>
        <v>20220310TNHAM</v>
      </c>
      <c r="B142" s="5" t="str">
        <f ca="1">IFERROR(__xludf.DUMMYFUNCTION("""COMPUTED_VALUE"""),"Handgun")</f>
        <v>Handgun</v>
      </c>
      <c r="C142" s="5"/>
      <c r="D142" s="5"/>
    </row>
    <row r="143" spans="1:4">
      <c r="A143" s="5" t="str">
        <f ca="1">IFERROR(__xludf.DUMMYFUNCTION("""COMPUTED_VALUE"""),"20220310MDCOL")</f>
        <v>20220310MDCOL</v>
      </c>
      <c r="B143" s="5" t="str">
        <f ca="1">IFERROR(__xludf.DUMMYFUNCTION("""COMPUTED_VALUE"""),"Handgun")</f>
        <v>Handgun</v>
      </c>
      <c r="C143" s="5"/>
      <c r="D143" s="5"/>
    </row>
    <row r="144" spans="1:4">
      <c r="A144" s="5" t="str">
        <f ca="1">IFERROR(__xludf.DUMMYFUNCTION("""COMPUTED_VALUE"""),"20220310COROH")</f>
        <v>20220310COROH</v>
      </c>
      <c r="B144" s="5" t="str">
        <f ca="1">IFERROR(__xludf.DUMMYFUNCTION("""COMPUTED_VALUE"""),"Other")</f>
        <v>Other</v>
      </c>
      <c r="C144" s="5"/>
      <c r="D144" s="5" t="str">
        <f ca="1">IFERROR(__xludf.DUMMYFUNCTION("""COMPUTED_VALUE"""),"Water pellet gun")</f>
        <v>Water pellet gun</v>
      </c>
    </row>
    <row r="145" spans="1:4">
      <c r="A145" s="5" t="str">
        <f ca="1">IFERROR(__xludf.DUMMYFUNCTION("""COMPUTED_VALUE"""),"20220309TXNOH")</f>
        <v>20220309TXNOH</v>
      </c>
      <c r="B145" s="5" t="str">
        <f ca="1">IFERROR(__xludf.DUMMYFUNCTION("""COMPUTED_VALUE"""),"Handgun")</f>
        <v>Handgun</v>
      </c>
      <c r="C145" s="5"/>
      <c r="D145" s="5"/>
    </row>
    <row r="146" spans="1:4">
      <c r="A146" s="5" t="str">
        <f ca="1">IFERROR(__xludf.DUMMYFUNCTION("""COMPUTED_VALUE"""),"20220309NMESE")</f>
        <v>20220309NMESE</v>
      </c>
      <c r="B146" s="5" t="str">
        <f ca="1">IFERROR(__xludf.DUMMYFUNCTION("""COMPUTED_VALUE"""),"Other")</f>
        <v>Other</v>
      </c>
      <c r="C146" s="5"/>
      <c r="D146" s="5" t="str">
        <f ca="1">IFERROR(__xludf.DUMMYFUNCTION("""COMPUTED_VALUE"""),"Paintball gun")</f>
        <v>Paintball gun</v>
      </c>
    </row>
    <row r="147" spans="1:4">
      <c r="A147" s="5" t="str">
        <f ca="1">IFERROR(__xludf.DUMMYFUNCTION("""COMPUTED_VALUE"""),"20220309FLNOM")</f>
        <v>20220309FLNOM</v>
      </c>
      <c r="B147" s="5" t="str">
        <f ca="1">IFERROR(__xludf.DUMMYFUNCTION("""COMPUTED_VALUE"""),"Handgun")</f>
        <v>Handgun</v>
      </c>
      <c r="C147" s="5"/>
      <c r="D147" s="5" t="str">
        <f ca="1">IFERROR(__xludf.DUMMYFUNCTION("""COMPUTED_VALUE"""),"Glock with extended magazine")</f>
        <v>Glock with extended magazine</v>
      </c>
    </row>
    <row r="148" spans="1:4">
      <c r="A148" s="5" t="str">
        <f ca="1">IFERROR(__xludf.DUMMYFUNCTION("""COMPUTED_VALUE"""),"20220309FLNOM")</f>
        <v>20220309FLNOM</v>
      </c>
      <c r="B148" s="5" t="str">
        <f ca="1">IFERROR(__xludf.DUMMYFUNCTION("""COMPUTED_VALUE"""),"Rifle")</f>
        <v>Rifle</v>
      </c>
      <c r="C148" s="5"/>
      <c r="D148" s="5" t="str">
        <f ca="1">IFERROR(__xludf.DUMMYFUNCTION("""COMPUTED_VALUE"""),"Springfield AR style rifle with fully automatic firing")</f>
        <v>Springfield AR style rifle with fully automatic firing</v>
      </c>
    </row>
    <row r="149" spans="1:4">
      <c r="A149" s="5" t="str">
        <f ca="1">IFERROR(__xludf.DUMMYFUNCTION("""COMPUTED_VALUE"""),"20220307IAEAD")</f>
        <v>20220307IAEAD</v>
      </c>
      <c r="B149" s="5" t="str">
        <f ca="1">IFERROR(__xludf.DUMMYFUNCTION("""COMPUTED_VALUE"""),"Multiple Handguns")</f>
        <v>Multiple Handguns</v>
      </c>
      <c r="C149" s="5"/>
      <c r="D149" s="5" t="str">
        <f ca="1">IFERROR(__xludf.DUMMYFUNCTION("""COMPUTED_VALUE"""),"6 handguns recovered from suspects")</f>
        <v>6 handguns recovered from suspects</v>
      </c>
    </row>
    <row r="150" spans="1:4">
      <c r="A150" s="5" t="str">
        <f ca="1">IFERROR(__xludf.DUMMYFUNCTION("""COMPUTED_VALUE"""),"20220304KSOLO")</f>
        <v>20220304KSOLO</v>
      </c>
      <c r="B150" s="5" t="str">
        <f ca="1">IFERROR(__xludf.DUMMYFUNCTION("""COMPUTED_VALUE"""),"Handgun")</f>
        <v>Handgun</v>
      </c>
      <c r="C150" s="5"/>
      <c r="D150" s="5"/>
    </row>
    <row r="151" spans="1:4">
      <c r="A151" s="5" t="str">
        <f ca="1">IFERROR(__xludf.DUMMYFUNCTION("""COMPUTED_VALUE"""),"20220303MIJWL")</f>
        <v>20220303MIJWL</v>
      </c>
      <c r="B151" s="5" t="str">
        <f ca="1">IFERROR(__xludf.DUMMYFUNCTION("""COMPUTED_VALUE"""),"Handgun")</f>
        <v>Handgun</v>
      </c>
      <c r="C151" s="5"/>
      <c r="D151" s="5"/>
    </row>
    <row r="152" spans="1:4">
      <c r="A152" s="5" t="str">
        <f ca="1">IFERROR(__xludf.DUMMYFUNCTION("""COMPUTED_VALUE"""),"20220228NYBOB")</f>
        <v>20220228NYBOB</v>
      </c>
      <c r="B152" s="5" t="str">
        <f ca="1">IFERROR(__xludf.DUMMYFUNCTION("""COMPUTED_VALUE"""),"Handgun")</f>
        <v>Handgun</v>
      </c>
      <c r="C152" s="5"/>
      <c r="D152" s="5"/>
    </row>
    <row r="153" spans="1:4">
      <c r="A153" s="5" t="str">
        <f ca="1">IFERROR(__xludf.DUMMYFUNCTION("""COMPUTED_VALUE"""),"20220227DCDUW")</f>
        <v>20220227DCDUW</v>
      </c>
      <c r="B153" s="5" t="str">
        <f ca="1">IFERROR(__xludf.DUMMYFUNCTION("""COMPUTED_VALUE"""),"Handgun")</f>
        <v>Handgun</v>
      </c>
      <c r="C153" s="5"/>
      <c r="D153" s="5"/>
    </row>
    <row r="154" spans="1:4">
      <c r="A154" s="5" t="str">
        <f ca="1">IFERROR(__xludf.DUMMYFUNCTION("""COMPUTED_VALUE"""),"20220225NMWEA")</f>
        <v>20220225NMWEA</v>
      </c>
      <c r="B154" s="5" t="str">
        <f ca="1">IFERROR(__xludf.DUMMYFUNCTION("""COMPUTED_VALUE"""),"Handgun")</f>
        <v>Handgun</v>
      </c>
      <c r="C154" s="5"/>
      <c r="D154" s="5" t="str">
        <f ca="1">IFERROR(__xludf.DUMMYFUNCTION("""COMPUTED_VALUE"""),"Replica glock ""ghost gun"" purchased online")</f>
        <v>Replica glock "ghost gun" purchased online</v>
      </c>
    </row>
    <row r="155" spans="1:4">
      <c r="A155" s="5" t="str">
        <f ca="1">IFERROR(__xludf.DUMMYFUNCTION("""COMPUTED_VALUE"""),"20220225ALSOH")</f>
        <v>20220225ALSOH</v>
      </c>
      <c r="B155" s="5" t="str">
        <f ca="1">IFERROR(__xludf.DUMMYFUNCTION("""COMPUTED_VALUE"""),"Handgun")</f>
        <v>Handgun</v>
      </c>
      <c r="C155" s="5"/>
      <c r="D155" s="5"/>
    </row>
    <row r="156" spans="1:4">
      <c r="A156" s="5" t="str">
        <f ca="1">IFERROR(__xludf.DUMMYFUNCTION("""COMPUTED_VALUE"""),"20220223VAWOW")</f>
        <v>20220223VAWOW</v>
      </c>
      <c r="B156" s="5" t="str">
        <f ca="1">IFERROR(__xludf.DUMMYFUNCTION("""COMPUTED_VALUE"""),"Handgun")</f>
        <v>Handgun</v>
      </c>
      <c r="C156" s="5"/>
      <c r="D156" s="5"/>
    </row>
    <row r="157" spans="1:4">
      <c r="A157" s="5" t="str">
        <f ca="1">IFERROR(__xludf.DUMMYFUNCTION("""COMPUTED_VALUE"""),"20220222TXALH")</f>
        <v>20220222TXALH</v>
      </c>
      <c r="B157" s="5" t="str">
        <f ca="1">IFERROR(__xludf.DUMMYFUNCTION("""COMPUTED_VALUE"""),"Handgun")</f>
        <v>Handgun</v>
      </c>
      <c r="C157" s="5"/>
      <c r="D157" s="5"/>
    </row>
    <row r="158" spans="1:4">
      <c r="A158" s="5" t="str">
        <f ca="1">IFERROR(__xludf.DUMMYFUNCTION("""COMPUTED_VALUE"""),"20220222COLIP")</f>
        <v>20220222COLIP</v>
      </c>
      <c r="B158" s="5" t="str">
        <f ca="1">IFERROR(__xludf.DUMMYFUNCTION("""COMPUTED_VALUE"""),"Handgun")</f>
        <v>Handgun</v>
      </c>
      <c r="C158" s="5" t="str">
        <f ca="1">IFERROR(__xludf.DUMMYFUNCTION("""COMPUTED_VALUE"""),"Service Weapon")</f>
        <v>Service Weapon</v>
      </c>
      <c r="D158" s="5"/>
    </row>
    <row r="159" spans="1:4">
      <c r="A159" s="5" t="str">
        <f ca="1">IFERROR(__xludf.DUMMYFUNCTION("""COMPUTED_VALUE"""),"20220221MDJOH")</f>
        <v>20220221MDJOH</v>
      </c>
      <c r="B159" s="5" t="str">
        <f ca="1">IFERROR(__xludf.DUMMYFUNCTION("""COMPUTED_VALUE"""),"Handgun")</f>
        <v>Handgun</v>
      </c>
      <c r="C159" s="5"/>
      <c r="D159" s="5"/>
    </row>
    <row r="160" spans="1:4">
      <c r="A160" s="5" t="str">
        <f ca="1">IFERROR(__xludf.DUMMYFUNCTION("""COMPUTED_VALUE"""),"20220220OKWIW")</f>
        <v>20220220OKWIW</v>
      </c>
      <c r="B160" s="5" t="str">
        <f ca="1">IFERROR(__xludf.DUMMYFUNCTION("""COMPUTED_VALUE"""),"Handgun")</f>
        <v>Handgun</v>
      </c>
      <c r="C160" s="5"/>
      <c r="D160" s="5"/>
    </row>
    <row r="161" spans="1:4">
      <c r="A161" s="5" t="str">
        <f ca="1">IFERROR(__xludf.DUMMYFUNCTION("""COMPUTED_VALUE"""),"20220220MSMCM")</f>
        <v>20220220MSMCM</v>
      </c>
      <c r="B161" s="5"/>
      <c r="C161" s="5"/>
      <c r="D161" s="5"/>
    </row>
    <row r="162" spans="1:4">
      <c r="A162" s="5" t="str">
        <f ca="1">IFERROR(__xludf.DUMMYFUNCTION("""COMPUTED_VALUE"""),"20220219VACAC")</f>
        <v>20220219VACAC</v>
      </c>
      <c r="B162" s="5"/>
      <c r="C162" s="5"/>
      <c r="D162" s="5"/>
    </row>
    <row r="163" spans="1:4">
      <c r="A163" s="5" t="str">
        <f ca="1">IFERROR(__xludf.DUMMYFUNCTION("""COMPUTED_VALUE"""),"20220218MATET")</f>
        <v>20220218MATET</v>
      </c>
      <c r="B163" s="5" t="str">
        <f ca="1">IFERROR(__xludf.DUMMYFUNCTION("""COMPUTED_VALUE"""),"Other")</f>
        <v>Other</v>
      </c>
      <c r="C163" s="5" t="str">
        <f ca="1">IFERROR(__xludf.DUMMYFUNCTION("""COMPUTED_VALUE"""),"Pellet")</f>
        <v>Pellet</v>
      </c>
      <c r="D163" s="5" t="str">
        <f ca="1">IFERROR(__xludf.DUMMYFUNCTION("""COMPUTED_VALUE"""),"Gel pellet")</f>
        <v>Gel pellet</v>
      </c>
    </row>
    <row r="164" spans="1:4">
      <c r="A164" s="5" t="str">
        <f ca="1">IFERROR(__xludf.DUMMYFUNCTION("""COMPUTED_VALUE"""),"20220217WAMCG")</f>
        <v>20220217WAMCG</v>
      </c>
      <c r="B164" s="5" t="str">
        <f ca="1">IFERROR(__xludf.DUMMYFUNCTION("""COMPUTED_VALUE"""),"Handgun")</f>
        <v>Handgun</v>
      </c>
      <c r="C164" s="5"/>
      <c r="D164" s="5"/>
    </row>
    <row r="165" spans="1:4">
      <c r="A165" s="5" t="str">
        <f ca="1">IFERROR(__xludf.DUMMYFUNCTION("""COMPUTED_VALUE"""),"20220214FLLAL")</f>
        <v>20220214FLLAL</v>
      </c>
      <c r="B165" s="5" t="str">
        <f ca="1">IFERROR(__xludf.DUMMYFUNCTION("""COMPUTED_VALUE"""),"Handgun")</f>
        <v>Handgun</v>
      </c>
      <c r="C165" s="5"/>
      <c r="D165" s="5"/>
    </row>
    <row r="166" spans="1:4">
      <c r="A166" s="5" t="str">
        <f ca="1">IFERROR(__xludf.DUMMYFUNCTION("""COMPUTED_VALUE"""),"20220211DCEAW")</f>
        <v>20220211DCEAW</v>
      </c>
      <c r="B166" s="5" t="str">
        <f ca="1">IFERROR(__xludf.DUMMYFUNCTION("""COMPUTED_VALUE"""),"Handgun")</f>
        <v>Handgun</v>
      </c>
      <c r="C166" s="5"/>
      <c r="D166" s="5"/>
    </row>
    <row r="167" spans="1:4">
      <c r="A167" s="5" t="str">
        <f ca="1">IFERROR(__xludf.DUMMYFUNCTION("""COMPUTED_VALUE"""),"20220209NYMCB")</f>
        <v>20220209NYMCB</v>
      </c>
      <c r="B167" s="5" t="str">
        <f ca="1">IFERROR(__xludf.DUMMYFUNCTION("""COMPUTED_VALUE"""),"Handgun")</f>
        <v>Handgun</v>
      </c>
      <c r="C167" s="5"/>
      <c r="D167" s="5"/>
    </row>
    <row r="168" spans="1:4">
      <c r="A168" s="5" t="str">
        <f ca="1">IFERROR(__xludf.DUMMYFUNCTION("""COMPUTED_VALUE"""),"20220209MNMIM")</f>
        <v>20220209MNMIM</v>
      </c>
      <c r="B168" s="5"/>
      <c r="C168" s="5"/>
      <c r="D168" s="5"/>
    </row>
    <row r="169" spans="1:4">
      <c r="A169" s="5" t="str">
        <f ca="1">IFERROR(__xludf.DUMMYFUNCTION("""COMPUTED_VALUE"""),"20220208NYMOM")</f>
        <v>20220208NYMOM</v>
      </c>
      <c r="B169" s="5" t="str">
        <f ca="1">IFERROR(__xludf.DUMMYFUNCTION("""COMPUTED_VALUE"""),"Handgun")</f>
        <v>Handgun</v>
      </c>
      <c r="C169" s="5"/>
      <c r="D169" s="5"/>
    </row>
    <row r="170" spans="1:4">
      <c r="A170" s="5" t="str">
        <f ca="1">IFERROR(__xludf.DUMMYFUNCTION("""COMPUTED_VALUE"""),"20220208MDCAC")</f>
        <v>20220208MDCAC</v>
      </c>
      <c r="B170" s="5" t="str">
        <f ca="1">IFERROR(__xludf.DUMMYFUNCTION("""COMPUTED_VALUE"""),"Handgun")</f>
        <v>Handgun</v>
      </c>
      <c r="C170" s="5"/>
      <c r="D170" s="5"/>
    </row>
    <row r="171" spans="1:4">
      <c r="A171" s="5" t="str">
        <f ca="1">IFERROR(__xludf.DUMMYFUNCTION("""COMPUTED_VALUE"""),"20220204GASOD")</f>
        <v>20220204GASOD</v>
      </c>
      <c r="B171" s="5" t="str">
        <f ca="1">IFERROR(__xludf.DUMMYFUNCTION("""COMPUTED_VALUE"""),"Handgun")</f>
        <v>Handgun</v>
      </c>
      <c r="C171" s="5"/>
      <c r="D171" s="5"/>
    </row>
    <row r="172" spans="1:4">
      <c r="A172" s="5" t="str">
        <f ca="1">IFERROR(__xludf.DUMMYFUNCTION("""COMPUTED_VALUE"""),"20220204ALWEB")</f>
        <v>20220204ALWEB</v>
      </c>
      <c r="B172" s="5" t="str">
        <f ca="1">IFERROR(__xludf.DUMMYFUNCTION("""COMPUTED_VALUE"""),"Handgun")</f>
        <v>Handgun</v>
      </c>
      <c r="C172" s="5"/>
      <c r="D172" s="5"/>
    </row>
    <row r="173" spans="1:4">
      <c r="A173" s="5" t="str">
        <f ca="1">IFERROR(__xludf.DUMMYFUNCTION("""COMPUTED_VALUE"""),"20220203NCSPS")</f>
        <v>20220203NCSPS</v>
      </c>
      <c r="B173" s="5"/>
      <c r="C173" s="5"/>
      <c r="D173" s="5"/>
    </row>
    <row r="174" spans="1:4">
      <c r="A174" s="5" t="str">
        <f ca="1">IFERROR(__xludf.DUMMYFUNCTION("""COMPUTED_VALUE"""),"20220202KYLOR")</f>
        <v>20220202KYLOR</v>
      </c>
      <c r="B174" s="5"/>
      <c r="C174" s="5"/>
      <c r="D174" s="5"/>
    </row>
    <row r="175" spans="1:4">
      <c r="A175" s="5" t="str">
        <f ca="1">IFERROR(__xludf.DUMMYFUNCTION("""COMPUTED_VALUE"""),"20220201WIRUM")</f>
        <v>20220201WIRUM</v>
      </c>
      <c r="B175" s="5" t="str">
        <f ca="1">IFERROR(__xludf.DUMMYFUNCTION("""COMPUTED_VALUE"""),"Handgun")</f>
        <v>Handgun</v>
      </c>
      <c r="C175" s="5"/>
      <c r="D175" s="5"/>
    </row>
    <row r="176" spans="1:4">
      <c r="A176" s="5" t="str">
        <f ca="1">IFERROR(__xludf.DUMMYFUNCTION("""COMPUTED_VALUE"""),"20220201WIRUM")</f>
        <v>20220201WIRUM</v>
      </c>
      <c r="B176" s="5" t="str">
        <f ca="1">IFERROR(__xludf.DUMMYFUNCTION("""COMPUTED_VALUE"""),"Handgun")</f>
        <v>Handgun</v>
      </c>
      <c r="C176" s="5"/>
      <c r="D176" s="5"/>
    </row>
    <row r="177" spans="1:4">
      <c r="A177" s="5" t="str">
        <f ca="1">IFERROR(__xludf.DUMMYFUNCTION("""COMPUTED_VALUE"""),"20220201MNSOR")</f>
        <v>20220201MNSOR</v>
      </c>
      <c r="B177" s="5"/>
      <c r="C177" s="5"/>
      <c r="D177" s="5"/>
    </row>
    <row r="178" spans="1:4">
      <c r="A178" s="5" t="str">
        <f ca="1">IFERROR(__xludf.DUMMYFUNCTION("""COMPUTED_VALUE"""),"20220201ILALC")</f>
        <v>20220201ILALC</v>
      </c>
      <c r="B178" s="5" t="str">
        <f ca="1">IFERROR(__xludf.DUMMYFUNCTION("""COMPUTED_VALUE"""),"Handgun")</f>
        <v>Handgun</v>
      </c>
      <c r="C178" s="5"/>
      <c r="D178" s="5"/>
    </row>
    <row r="179" spans="1:4">
      <c r="A179" s="5" t="str">
        <f ca="1">IFERROR(__xludf.DUMMYFUNCTION("""COMPUTED_VALUE"""),"20220129WIBEB")</f>
        <v>20220129WIBEB</v>
      </c>
      <c r="B179" s="5" t="str">
        <f ca="1">IFERROR(__xludf.DUMMYFUNCTION("""COMPUTED_VALUE"""),"Handgun")</f>
        <v>Handgun</v>
      </c>
      <c r="C179" s="5"/>
      <c r="D179" s="5"/>
    </row>
    <row r="180" spans="1:4">
      <c r="A180" s="5" t="str">
        <f ca="1">IFERROR(__xludf.DUMMYFUNCTION("""COMPUTED_VALUE"""),"20220128LACAM")</f>
        <v>20220128LACAM</v>
      </c>
      <c r="B180" s="5" t="str">
        <f ca="1">IFERROR(__xludf.DUMMYFUNCTION("""COMPUTED_VALUE"""),"Handgun")</f>
        <v>Handgun</v>
      </c>
      <c r="C180" s="5"/>
      <c r="D180" s="5"/>
    </row>
    <row r="181" spans="1:4">
      <c r="A181" s="5" t="str">
        <f ca="1">IFERROR(__xludf.DUMMYFUNCTION("""COMPUTED_VALUE"""),"20220127TXMOH")</f>
        <v>20220127TXMOH</v>
      </c>
      <c r="B181" s="5" t="str">
        <f ca="1">IFERROR(__xludf.DUMMYFUNCTION("""COMPUTED_VALUE"""),"Handgun")</f>
        <v>Handgun</v>
      </c>
      <c r="C181" s="5"/>
      <c r="D181" s="5"/>
    </row>
    <row r="182" spans="1:4">
      <c r="A182" s="5" t="str">
        <f ca="1">IFERROR(__xludf.DUMMYFUNCTION("""COMPUTED_VALUE"""),"20220126PABAP")</f>
        <v>20220126PABAP</v>
      </c>
      <c r="B182" s="5" t="str">
        <f ca="1">IFERROR(__xludf.DUMMYFUNCTION("""COMPUTED_VALUE"""),"Handgun")</f>
        <v>Handgun</v>
      </c>
      <c r="C182" s="5"/>
      <c r="D182" s="5"/>
    </row>
    <row r="183" spans="1:4">
      <c r="A183" s="5" t="str">
        <f ca="1">IFERROR(__xludf.DUMMYFUNCTION("""COMPUTED_VALUE"""),"20220124NVSUL")</f>
        <v>20220124NVSUL</v>
      </c>
      <c r="B183" s="5"/>
      <c r="C183" s="5"/>
      <c r="D183" s="5"/>
    </row>
    <row r="184" spans="1:4">
      <c r="A184" s="5" t="str">
        <f ca="1">IFERROR(__xludf.DUMMYFUNCTION("""COMPUTED_VALUE"""),"20220121MDMAR")</f>
        <v>20220121MDMAR</v>
      </c>
      <c r="B184" s="5" t="str">
        <f ca="1">IFERROR(__xludf.DUMMYFUNCTION("""COMPUTED_VALUE"""),"Handgun")</f>
        <v>Handgun</v>
      </c>
      <c r="C184" s="5" t="str">
        <f ca="1">IFERROR(__xludf.DUMMYFUNCTION("""COMPUTED_VALUE"""),"9mm")</f>
        <v>9mm</v>
      </c>
      <c r="D184" s="5" t="str">
        <f ca="1">IFERROR(__xludf.DUMMYFUNCTION("""COMPUTED_VALUE"""),"Ghost gun purchased online and assembled by shooter and friend")</f>
        <v>Ghost gun purchased online and assembled by shooter and friend</v>
      </c>
    </row>
    <row r="185" spans="1:4">
      <c r="A185" s="5" t="str">
        <f ca="1">IFERROR(__xludf.DUMMYFUNCTION("""COMPUTED_VALUE"""),"20220121GAMCA")</f>
        <v>20220121GAMCA</v>
      </c>
      <c r="B185" s="5"/>
      <c r="C185" s="5"/>
      <c r="D185" s="5"/>
    </row>
    <row r="186" spans="1:4">
      <c r="A186" s="5" t="str">
        <f ca="1">IFERROR(__xludf.DUMMYFUNCTION("""COMPUTED_VALUE"""),"20220119VAMAP")</f>
        <v>20220119VAMAP</v>
      </c>
      <c r="B186" s="5" t="str">
        <f ca="1">IFERROR(__xludf.DUMMYFUNCTION("""COMPUTED_VALUE"""),"Handgun")</f>
        <v>Handgun</v>
      </c>
      <c r="C186" s="5"/>
      <c r="D186" s="5"/>
    </row>
    <row r="187" spans="1:4">
      <c r="A187" s="5" t="str">
        <f ca="1">IFERROR(__xludf.DUMMYFUNCTION("""COMPUTED_VALUE"""),"20220119VAMAP")</f>
        <v>20220119VAMAP</v>
      </c>
      <c r="B187" s="5" t="str">
        <f ca="1">IFERROR(__xludf.DUMMYFUNCTION("""COMPUTED_VALUE"""),"Handgun")</f>
        <v>Handgun</v>
      </c>
      <c r="C187" s="5"/>
      <c r="D187" s="5"/>
    </row>
    <row r="188" spans="1:4">
      <c r="A188" s="5" t="str">
        <f ca="1">IFERROR(__xludf.DUMMYFUNCTION("""COMPUTED_VALUE"""),"20220119FLSES")</f>
        <v>20220119FLSES</v>
      </c>
      <c r="B188" s="5" t="str">
        <f ca="1">IFERROR(__xludf.DUMMYFUNCTION("""COMPUTED_VALUE"""),"Handgun")</f>
        <v>Handgun</v>
      </c>
      <c r="C188" s="5" t="str">
        <f ca="1">IFERROR(__xludf.DUMMYFUNCTION("""COMPUTED_VALUE"""),"9mm")</f>
        <v>9mm</v>
      </c>
      <c r="D188" s="5"/>
    </row>
    <row r="189" spans="1:4">
      <c r="A189" s="5" t="str">
        <f ca="1">IFERROR(__xludf.DUMMYFUNCTION("""COMPUTED_VALUE"""),"20220119DCANW")</f>
        <v>20220119DCANW</v>
      </c>
      <c r="B189" s="5" t="str">
        <f ca="1">IFERROR(__xludf.DUMMYFUNCTION("""COMPUTED_VALUE"""),"Handgun")</f>
        <v>Handgun</v>
      </c>
      <c r="C189" s="5"/>
      <c r="D189" s="5"/>
    </row>
    <row r="190" spans="1:4">
      <c r="A190" s="5" t="str">
        <f ca="1">IFERROR(__xludf.DUMMYFUNCTION("""COMPUTED_VALUE"""),"20220117TXPYH")</f>
        <v>20220117TXPYH</v>
      </c>
      <c r="B190" s="5" t="str">
        <f ca="1">IFERROR(__xludf.DUMMYFUNCTION("""COMPUTED_VALUE"""),"Multiple Handguns")</f>
        <v>Multiple Handguns</v>
      </c>
      <c r="C190" s="5"/>
      <c r="D190" s="5"/>
    </row>
    <row r="191" spans="1:4">
      <c r="A191" s="5" t="str">
        <f ca="1">IFERROR(__xludf.DUMMYFUNCTION("""COMPUTED_VALUE"""),"20220114MDGAG")</f>
        <v>20220114MDGAG</v>
      </c>
      <c r="B191" s="5" t="str">
        <f ca="1">IFERROR(__xludf.DUMMYFUNCTION("""COMPUTED_VALUE"""),"Rifle")</f>
        <v>Rifle</v>
      </c>
      <c r="C191" s="5" t="str">
        <f ca="1">IFERROR(__xludf.DUMMYFUNCTION("""COMPUTED_VALUE"""),"AR-15")</f>
        <v>AR-15</v>
      </c>
      <c r="D191" s="5" t="str">
        <f ca="1">IFERROR(__xludf.DUMMYFUNCTION("""COMPUTED_VALUE"""),"AR-style ghost gun")</f>
        <v>AR-style ghost gun</v>
      </c>
    </row>
    <row r="192" spans="1:4">
      <c r="A192" s="5" t="str">
        <f ca="1">IFERROR(__xludf.DUMMYFUNCTION("""COMPUTED_VALUE"""),"20220111NMVAA")</f>
        <v>20220111NMVAA</v>
      </c>
      <c r="B192" s="5"/>
      <c r="C192" s="5"/>
      <c r="D192" s="5"/>
    </row>
    <row r="193" spans="1:4">
      <c r="A193" s="5" t="str">
        <f ca="1">IFERROR(__xludf.DUMMYFUNCTION("""COMPUTED_VALUE"""),"20220106CAFLS")</f>
        <v>20220106CAFLS</v>
      </c>
      <c r="B193" s="5" t="str">
        <f ca="1">IFERROR(__xludf.DUMMYFUNCTION("""COMPUTED_VALUE"""),"Handgun")</f>
        <v>Handgun</v>
      </c>
      <c r="C193" s="5"/>
      <c r="D193" s="5"/>
    </row>
    <row r="194" spans="1:4">
      <c r="A194" s="5" t="str">
        <f ca="1">IFERROR(__xludf.DUMMYFUNCTION("""COMPUTED_VALUE"""),"20220104ILAUR")</f>
        <v>20220104ILAUR</v>
      </c>
      <c r="B194" s="5" t="str">
        <f ca="1">IFERROR(__xludf.DUMMYFUNCTION("""COMPUTED_VALUE"""),"Multiple Handguns")</f>
        <v>Multiple Handguns</v>
      </c>
      <c r="C194" s="5"/>
      <c r="D194" s="5"/>
    </row>
    <row r="195" spans="1:4">
      <c r="A195" s="5" t="str">
        <f ca="1">IFERROR(__xludf.DUMMYFUNCTION("""COMPUTED_VALUE"""),"20220103WACHP")</f>
        <v>20220103WACHP</v>
      </c>
      <c r="B195" s="5" t="str">
        <f ca="1">IFERROR(__xludf.DUMMYFUNCTION("""COMPUTED_VALUE"""),"Handgun")</f>
        <v>Handgun</v>
      </c>
      <c r="C195" s="5" t="str">
        <f ca="1">IFERROR(__xludf.DUMMYFUNCTION("""COMPUTED_VALUE"""),".38 caliber")</f>
        <v>.38 caliber</v>
      </c>
      <c r="D195" s="5"/>
    </row>
    <row r="196" spans="1:4">
      <c r="A196" s="5" t="str">
        <f ca="1">IFERROR(__xludf.DUMMYFUNCTION("""COMPUTED_VALUE"""),"20220103OHCOC")</f>
        <v>20220103OHCOC</v>
      </c>
      <c r="B196" s="5"/>
      <c r="C196" s="5"/>
      <c r="D196" s="5"/>
    </row>
    <row r="197" spans="1:4">
      <c r="A197" s="5" t="str">
        <f ca="1">IFERROR(__xludf.DUMMYFUNCTION("""COMPUTED_VALUE"""),"20211229NCCAS")</f>
        <v>20211229NCCAS</v>
      </c>
      <c r="B197" s="5" t="str">
        <f ca="1">IFERROR(__xludf.DUMMYFUNCTION("""COMPUTED_VALUE"""),"Handgun")</f>
        <v>Handgun</v>
      </c>
      <c r="C197" s="5"/>
      <c r="D197" s="5"/>
    </row>
    <row r="198" spans="1:4">
      <c r="A198" s="5" t="str">
        <f ca="1">IFERROR(__xludf.DUMMYFUNCTION("""COMPUTED_VALUE"""),"20211217TXWOD")</f>
        <v>20211217TXWOD</v>
      </c>
      <c r="B198" s="5" t="str">
        <f ca="1">IFERROR(__xludf.DUMMYFUNCTION("""COMPUTED_VALUE"""),"Other")</f>
        <v>Other</v>
      </c>
      <c r="C198" s="5"/>
      <c r="D198" s="5" t="str">
        <f ca="1">IFERROR(__xludf.DUMMYFUNCTION("""COMPUTED_VALUE"""),"Realistic BB rifle")</f>
        <v>Realistic BB rifle</v>
      </c>
    </row>
    <row r="199" spans="1:4">
      <c r="A199" s="5" t="str">
        <f ca="1">IFERROR(__xludf.DUMMYFUNCTION("""COMPUTED_VALUE"""),"20211216SCEAC")</f>
        <v>20211216SCEAC</v>
      </c>
      <c r="B199" s="5" t="str">
        <f ca="1">IFERROR(__xludf.DUMMYFUNCTION("""COMPUTED_VALUE"""),"Handgun")</f>
        <v>Handgun</v>
      </c>
      <c r="C199" s="5"/>
      <c r="D199" s="5"/>
    </row>
    <row r="200" spans="1:4">
      <c r="A200" s="5" t="str">
        <f ca="1">IFERROR(__xludf.DUMMYFUNCTION("""COMPUTED_VALUE"""),"20211216NYPSB")</f>
        <v>20211216NYPSB</v>
      </c>
      <c r="B200" s="5" t="str">
        <f ca="1">IFERROR(__xludf.DUMMYFUNCTION("""COMPUTED_VALUE"""),"Handgun")</f>
        <v>Handgun</v>
      </c>
      <c r="C200" s="5"/>
      <c r="D200" s="5"/>
    </row>
    <row r="201" spans="1:4">
      <c r="A201" s="5" t="str">
        <f ca="1">IFERROR(__xludf.DUMMYFUNCTION("""COMPUTED_VALUE"""),"20211214WISOM")</f>
        <v>20211214WISOM</v>
      </c>
      <c r="B201" s="5" t="str">
        <f ca="1">IFERROR(__xludf.DUMMYFUNCTION("""COMPUTED_VALUE"""),"Handgun")</f>
        <v>Handgun</v>
      </c>
      <c r="C201" s="5"/>
      <c r="D201" s="5"/>
    </row>
    <row r="202" spans="1:4">
      <c r="A202" s="5" t="str">
        <f ca="1">IFERROR(__xludf.DUMMYFUNCTION("""COMPUTED_VALUE"""),"20211214VAMEN")</f>
        <v>20211214VAMEN</v>
      </c>
      <c r="B202" s="5" t="str">
        <f ca="1">IFERROR(__xludf.DUMMYFUNCTION("""COMPUTED_VALUE"""),"Handgun")</f>
        <v>Handgun</v>
      </c>
      <c r="C202" s="5"/>
      <c r="D202" s="5"/>
    </row>
    <row r="203" spans="1:4">
      <c r="A203" s="5" t="str">
        <f ca="1">IFERROR(__xludf.DUMMYFUNCTION("""COMPUTED_VALUE"""),"20211213NCWEC")</f>
        <v>20211213NCWEC</v>
      </c>
      <c r="B203" s="5" t="str">
        <f ca="1">IFERROR(__xludf.DUMMYFUNCTION("""COMPUTED_VALUE"""),"Handgun")</f>
        <v>Handgun</v>
      </c>
      <c r="C203" s="5"/>
      <c r="D203" s="5"/>
    </row>
    <row r="204" spans="1:4">
      <c r="A204" s="5" t="str">
        <f ca="1">IFERROR(__xludf.DUMMYFUNCTION("""COMPUTED_VALUE"""),"20211213FLEAO")</f>
        <v>20211213FLEAO</v>
      </c>
      <c r="B204" s="5" t="str">
        <f ca="1">IFERROR(__xludf.DUMMYFUNCTION("""COMPUTED_VALUE"""),"Handgun")</f>
        <v>Handgun</v>
      </c>
      <c r="C204" s="5"/>
      <c r="D204" s="5"/>
    </row>
    <row r="205" spans="1:4">
      <c r="A205" s="5" t="str">
        <f ca="1">IFERROR(__xludf.DUMMYFUNCTION("""COMPUTED_VALUE"""),"20211212NYSCR")</f>
        <v>20211212NYSCR</v>
      </c>
      <c r="B205" s="5" t="str">
        <f ca="1">IFERROR(__xludf.DUMMYFUNCTION("""COMPUTED_VALUE"""),"Handgun")</f>
        <v>Handgun</v>
      </c>
      <c r="C205" s="5"/>
      <c r="D205" s="5"/>
    </row>
    <row r="206" spans="1:4">
      <c r="A206" s="5" t="str">
        <f ca="1">IFERROR(__xludf.DUMMYFUNCTION("""COMPUTED_VALUE"""),"20211211GAJOG")</f>
        <v>20211211GAJOG</v>
      </c>
      <c r="B206" s="5" t="str">
        <f ca="1">IFERROR(__xludf.DUMMYFUNCTION("""COMPUTED_VALUE"""),"Handgun")</f>
        <v>Handgun</v>
      </c>
      <c r="C206" s="5"/>
      <c r="D206" s="5"/>
    </row>
    <row r="207" spans="1:4">
      <c r="A207" s="5" t="str">
        <f ca="1">IFERROR(__xludf.DUMMYFUNCTION("""COMPUTED_VALUE"""),"20211211FLEDL")</f>
        <v>20211211FLEDL</v>
      </c>
      <c r="B207" s="5" t="str">
        <f ca="1">IFERROR(__xludf.DUMMYFUNCTION("""COMPUTED_VALUE"""),"Handgun")</f>
        <v>Handgun</v>
      </c>
      <c r="C207" s="5"/>
      <c r="D207" s="5"/>
    </row>
    <row r="208" spans="1:4">
      <c r="A208" s="5" t="str">
        <f ca="1">IFERROR(__xludf.DUMMYFUNCTION("""COMPUTED_VALUE"""),"20211210OHCAC")</f>
        <v>20211210OHCAC</v>
      </c>
      <c r="B208" s="5" t="str">
        <f ca="1">IFERROR(__xludf.DUMMYFUNCTION("""COMPUTED_VALUE"""),"Handgun")</f>
        <v>Handgun</v>
      </c>
      <c r="C208" s="5"/>
      <c r="D208" s="5"/>
    </row>
    <row r="209" spans="1:4">
      <c r="A209" s="5" t="str">
        <f ca="1">IFERROR(__xludf.DUMMYFUNCTION("""COMPUTED_VALUE"""),"20211210NCJEC")</f>
        <v>20211210NCJEC</v>
      </c>
      <c r="B209" s="5"/>
      <c r="C209" s="5"/>
      <c r="D209" s="5"/>
    </row>
    <row r="210" spans="1:4">
      <c r="A210" s="5" t="str">
        <f ca="1">IFERROR(__xludf.DUMMYFUNCTION("""COMPUTED_VALUE"""),"20211209NYGRN")</f>
        <v>20211209NYGRN</v>
      </c>
      <c r="B210" s="5" t="str">
        <f ca="1">IFERROR(__xludf.DUMMYFUNCTION("""COMPUTED_VALUE"""),"Handgun")</f>
        <v>Handgun</v>
      </c>
      <c r="C210" s="5"/>
      <c r="D210" s="5"/>
    </row>
    <row r="211" spans="1:4">
      <c r="A211" s="5" t="str">
        <f ca="1">IFERROR(__xludf.DUMMYFUNCTION("""COMPUTED_VALUE"""),"20211208MOEWK")</f>
        <v>20211208MOEWK</v>
      </c>
      <c r="B211" s="5" t="str">
        <f ca="1">IFERROR(__xludf.DUMMYFUNCTION("""COMPUTED_VALUE"""),"Handgun")</f>
        <v>Handgun</v>
      </c>
      <c r="C211" s="5"/>
      <c r="D211" s="5"/>
    </row>
    <row r="212" spans="1:4">
      <c r="A212" s="5" t="str">
        <f ca="1">IFERROR(__xludf.DUMMYFUNCTION("""COMPUTED_VALUE"""),"20211208KYSTL")</f>
        <v>20211208KYSTL</v>
      </c>
      <c r="B212" s="5"/>
      <c r="C212" s="5"/>
      <c r="D212" s="5"/>
    </row>
    <row r="213" spans="1:4">
      <c r="A213" s="5" t="str">
        <f ca="1">IFERROR(__xludf.DUMMYFUNCTION("""COMPUTED_VALUE"""),"20211207ILHAC")</f>
        <v>20211207ILHAC</v>
      </c>
      <c r="B213" s="5" t="str">
        <f ca="1">IFERROR(__xludf.DUMMYFUNCTION("""COMPUTED_VALUE"""),"Handgun")</f>
        <v>Handgun</v>
      </c>
      <c r="C213" s="5"/>
      <c r="D213" s="5" t="str">
        <f ca="1">IFERROR(__xludf.DUMMYFUNCTION("""COMPUTED_VALUE"""),"Extended magazine")</f>
        <v>Extended magazine</v>
      </c>
    </row>
    <row r="214" spans="1:4">
      <c r="A214" s="5" t="str">
        <f ca="1">IFERROR(__xludf.DUMMYFUNCTION("""COMPUTED_VALUE"""),"20211206NYSUS")</f>
        <v>20211206NYSUS</v>
      </c>
      <c r="B214" s="5" t="str">
        <f ca="1">IFERROR(__xludf.DUMMYFUNCTION("""COMPUTED_VALUE"""),"Handgun")</f>
        <v>Handgun</v>
      </c>
      <c r="C214" s="5"/>
      <c r="D214" s="5"/>
    </row>
    <row r="215" spans="1:4">
      <c r="A215" s="5" t="str">
        <f ca="1">IFERROR(__xludf.DUMMYFUNCTION("""COMPUTED_VALUE"""),"20211206CAWIW")</f>
        <v>20211206CAWIW</v>
      </c>
      <c r="B215" s="5" t="str">
        <f ca="1">IFERROR(__xludf.DUMMYFUNCTION("""COMPUTED_VALUE"""),"Multiple Rifles")</f>
        <v>Multiple Rifles</v>
      </c>
      <c r="C215" s="5"/>
      <c r="D215" s="5" t="str">
        <f ca="1">IFERROR(__xludf.DUMMYFUNCTION("""COMPUTED_VALUE"""),"High power rifle")</f>
        <v>High power rifle</v>
      </c>
    </row>
    <row r="216" spans="1:4">
      <c r="A216" s="5" t="str">
        <f ca="1">IFERROR(__xludf.DUMMYFUNCTION("""COMPUTED_VALUE"""),"20211203ARBLB")</f>
        <v>20211203ARBLB</v>
      </c>
      <c r="B216" s="5" t="str">
        <f ca="1">IFERROR(__xludf.DUMMYFUNCTION("""COMPUTED_VALUE"""),"Handgun")</f>
        <v>Handgun</v>
      </c>
      <c r="C216" s="5"/>
      <c r="D216" s="5"/>
    </row>
    <row r="217" spans="1:4">
      <c r="A217" s="5" t="str">
        <f ca="1">IFERROR(__xludf.DUMMYFUNCTION("""COMPUTED_VALUE"""),"20211202WAGAS")</f>
        <v>20211202WAGAS</v>
      </c>
      <c r="B217" s="5" t="str">
        <f ca="1">IFERROR(__xludf.DUMMYFUNCTION("""COMPUTED_VALUE"""),"Handgun")</f>
        <v>Handgun</v>
      </c>
      <c r="C217" s="5"/>
      <c r="D217" s="5"/>
    </row>
    <row r="218" spans="1:4">
      <c r="A218" s="5" t="str">
        <f ca="1">IFERROR(__xludf.DUMMYFUNCTION("""COMPUTED_VALUE"""),"20211201TXSAP")</f>
        <v>20211201TXSAP</v>
      </c>
      <c r="B218" s="5" t="str">
        <f ca="1">IFERROR(__xludf.DUMMYFUNCTION("""COMPUTED_VALUE"""),"Handgun")</f>
        <v>Handgun</v>
      </c>
      <c r="C218" s="5"/>
      <c r="D218" s="5"/>
    </row>
    <row r="219" spans="1:4">
      <c r="A219" s="5" t="str">
        <f ca="1">IFERROR(__xludf.DUMMYFUNCTION("""COMPUTED_VALUE"""),"20211130TNHUH")</f>
        <v>20211130TNHUH</v>
      </c>
      <c r="B219" s="5" t="str">
        <f ca="1">IFERROR(__xludf.DUMMYFUNCTION("""COMPUTED_VALUE"""),"Handgun")</f>
        <v>Handgun</v>
      </c>
      <c r="C219" s="5"/>
      <c r="D219" s="5"/>
    </row>
    <row r="220" spans="1:4">
      <c r="A220" s="5" t="str">
        <f ca="1">IFERROR(__xludf.DUMMYFUNCTION("""COMPUTED_VALUE"""),"20211130MIOXO")</f>
        <v>20211130MIOXO</v>
      </c>
      <c r="B220" s="5" t="str">
        <f ca="1">IFERROR(__xludf.DUMMYFUNCTION("""COMPUTED_VALUE"""),"Handgun")</f>
        <v>Handgun</v>
      </c>
      <c r="C220" s="5" t="str">
        <f ca="1">IFERROR(__xludf.DUMMYFUNCTION("""COMPUTED_VALUE"""),"9mm")</f>
        <v>9mm</v>
      </c>
      <c r="D220" s="5" t="str">
        <f ca="1">IFERROR(__xludf.DUMMYFUNCTION("""COMPUTED_VALUE"""),"Sig Sauer, 3X15 magazines")</f>
        <v>Sig Sauer, 3X15 magazines</v>
      </c>
    </row>
    <row r="221" spans="1:4">
      <c r="A221" s="5" t="str">
        <f ca="1">IFERROR(__xludf.DUMMYFUNCTION("""COMPUTED_VALUE"""),"20211130CALOL")</f>
        <v>20211130CALOL</v>
      </c>
      <c r="B221" s="5" t="str">
        <f ca="1">IFERROR(__xludf.DUMMYFUNCTION("""COMPUTED_VALUE"""),"Other")</f>
        <v>Other</v>
      </c>
      <c r="C221" s="5" t="str">
        <f ca="1">IFERROR(__xludf.DUMMYFUNCTION("""COMPUTED_VALUE"""),"BB")</f>
        <v>BB</v>
      </c>
      <c r="D221" s="5"/>
    </row>
    <row r="222" spans="1:4">
      <c r="A222" s="5" t="str">
        <f ca="1">IFERROR(__xludf.DUMMYFUNCTION("""COMPUTED_VALUE"""),"20211129ILWER")</f>
        <v>20211129ILWER</v>
      </c>
      <c r="B222" s="5" t="str">
        <f ca="1">IFERROR(__xludf.DUMMYFUNCTION("""COMPUTED_VALUE"""),"Handgun")</f>
        <v>Handgun</v>
      </c>
      <c r="C222" s="5"/>
      <c r="D222" s="5"/>
    </row>
    <row r="223" spans="1:4">
      <c r="A223" s="5" t="str">
        <f ca="1">IFERROR(__xludf.DUMMYFUNCTION("""COMPUTED_VALUE"""),"20211129AZCHP")</f>
        <v>20211129AZCHP</v>
      </c>
      <c r="B223" s="5" t="str">
        <f ca="1">IFERROR(__xludf.DUMMYFUNCTION("""COMPUTED_VALUE"""),"Handgun")</f>
        <v>Handgun</v>
      </c>
      <c r="C223" s="5"/>
      <c r="D223" s="5"/>
    </row>
    <row r="224" spans="1:4">
      <c r="A224" s="5" t="str">
        <f ca="1">IFERROR(__xludf.DUMMYFUNCTION("""COMPUTED_VALUE"""),"20211126CAWES")</f>
        <v>20211126CAWES</v>
      </c>
      <c r="B224" s="5" t="str">
        <f ca="1">IFERROR(__xludf.DUMMYFUNCTION("""COMPUTED_VALUE"""),"Handgun")</f>
        <v>Handgun</v>
      </c>
      <c r="C224" s="5"/>
      <c r="D224" s="5"/>
    </row>
    <row r="225" spans="1:4">
      <c r="A225" s="5" t="str">
        <f ca="1">IFERROR(__xludf.DUMMYFUNCTION("""COMPUTED_VALUE"""),"20211125SCCEP")</f>
        <v>20211125SCCEP</v>
      </c>
      <c r="B225" s="5"/>
      <c r="C225" s="5"/>
      <c r="D225" s="5"/>
    </row>
    <row r="226" spans="1:4">
      <c r="A226" s="5" t="str">
        <f ca="1">IFERROR(__xludf.DUMMYFUNCTION("""COMPUTED_VALUE"""),"20211124ILTHH")</f>
        <v>20211124ILTHH</v>
      </c>
      <c r="B226" s="5"/>
      <c r="C226" s="5"/>
      <c r="D226" s="5"/>
    </row>
    <row r="227" spans="1:4">
      <c r="A227" s="5" t="str">
        <f ca="1">IFERROR(__xludf.DUMMYFUNCTION("""COMPUTED_VALUE"""),"20211123OHCLC")</f>
        <v>20211123OHCLC</v>
      </c>
      <c r="B227" s="5" t="str">
        <f ca="1">IFERROR(__xludf.DUMMYFUNCTION("""COMPUTED_VALUE"""),"Handgun")</f>
        <v>Handgun</v>
      </c>
      <c r="C227" s="5"/>
      <c r="D227" s="5"/>
    </row>
    <row r="228" spans="1:4">
      <c r="A228" s="5" t="str">
        <f ca="1">IFERROR(__xludf.DUMMYFUNCTION("""COMPUTED_VALUE"""),"20211119MDGIB")</f>
        <v>20211119MDGIB</v>
      </c>
      <c r="B228" s="5"/>
      <c r="C228" s="5"/>
      <c r="D228" s="5"/>
    </row>
    <row r="229" spans="1:4">
      <c r="A229" s="5" t="str">
        <f ca="1">IFERROR(__xludf.DUMMYFUNCTION("""COMPUTED_VALUE"""),"20211119COHIA")</f>
        <v>20211119COHIA</v>
      </c>
      <c r="B229" s="5" t="str">
        <f ca="1">IFERROR(__xludf.DUMMYFUNCTION("""COMPUTED_VALUE"""),"Multiple Handguns")</f>
        <v>Multiple Handguns</v>
      </c>
      <c r="C229" s="5"/>
      <c r="D229" s="5"/>
    </row>
    <row r="230" spans="1:4">
      <c r="A230" s="5" t="str">
        <f ca="1">IFERROR(__xludf.DUMMYFUNCTION("""COMPUTED_VALUE"""),"20211116NYPSB")</f>
        <v>20211116NYPSB</v>
      </c>
      <c r="B230" s="5" t="str">
        <f ca="1">IFERROR(__xludf.DUMMYFUNCTION("""COMPUTED_VALUE"""),"Handgun")</f>
        <v>Handgun</v>
      </c>
      <c r="C230" s="5"/>
      <c r="D230" s="5"/>
    </row>
    <row r="231" spans="1:4">
      <c r="A231" s="5" t="str">
        <f ca="1">IFERROR(__xludf.DUMMYFUNCTION("""COMPUTED_VALUE"""),"20211116FLJAJ")</f>
        <v>20211116FLJAJ</v>
      </c>
      <c r="B231" s="5"/>
      <c r="C231" s="5"/>
      <c r="D231" s="5"/>
    </row>
    <row r="232" spans="1:4">
      <c r="A232" s="5" t="str">
        <f ca="1">IFERROR(__xludf.DUMMYFUNCTION("""COMPUTED_VALUE"""),"20211115NYPOP")</f>
        <v>20211115NYPOP</v>
      </c>
      <c r="B232" s="5" t="str">
        <f ca="1">IFERROR(__xludf.DUMMYFUNCTION("""COMPUTED_VALUE"""),"Handgun")</f>
        <v>Handgun</v>
      </c>
      <c r="C232" s="5" t="str">
        <f ca="1">IFERROR(__xludf.DUMMYFUNCTION("""COMPUTED_VALUE"""),".38 caliber")</f>
        <v>.38 caliber</v>
      </c>
      <c r="D232" s="5"/>
    </row>
    <row r="233" spans="1:4">
      <c r="A233" s="5" t="str">
        <f ca="1">IFERROR(__xludf.DUMMYFUNCTION("""COMPUTED_VALUE"""),"20211110NYITI")</f>
        <v>20211110NYITI</v>
      </c>
      <c r="B233" s="5"/>
      <c r="C233" s="5"/>
      <c r="D233" s="5"/>
    </row>
    <row r="234" spans="1:4">
      <c r="A234" s="5" t="str">
        <f ca="1">IFERROR(__xludf.DUMMYFUNCTION("""COMPUTED_VALUE"""),"20211109NMMEL")</f>
        <v>20211109NMMEL</v>
      </c>
      <c r="B234" s="5" t="str">
        <f ca="1">IFERROR(__xludf.DUMMYFUNCTION("""COMPUTED_VALUE"""),"Handgun")</f>
        <v>Handgun</v>
      </c>
      <c r="C234" s="5"/>
      <c r="D234" s="5"/>
    </row>
    <row r="235" spans="1:4">
      <c r="A235" s="5" t="str">
        <f ca="1">IFERROR(__xludf.DUMMYFUNCTION("""COMPUTED_VALUE"""),"20211108NYTHB")</f>
        <v>20211108NYTHB</v>
      </c>
      <c r="B235" s="5" t="str">
        <f ca="1">IFERROR(__xludf.DUMMYFUNCTION("""COMPUTED_VALUE"""),"Handgun")</f>
        <v>Handgun</v>
      </c>
      <c r="C235" s="5"/>
      <c r="D235" s="5"/>
    </row>
    <row r="236" spans="1:4">
      <c r="A236" s="5" t="str">
        <f ca="1">IFERROR(__xludf.DUMMYFUNCTION("""COMPUTED_VALUE"""),"20211106FLOVO")</f>
        <v>20211106FLOVO</v>
      </c>
      <c r="B236" s="5" t="str">
        <f ca="1">IFERROR(__xludf.DUMMYFUNCTION("""COMPUTED_VALUE"""),"Handgun")</f>
        <v>Handgun</v>
      </c>
      <c r="C236" s="5"/>
      <c r="D236" s="5"/>
    </row>
    <row r="237" spans="1:4">
      <c r="A237" s="5" t="str">
        <f ca="1">IFERROR(__xludf.DUMMYFUNCTION("""COMPUTED_VALUE"""),"20211102NMHIH")</f>
        <v>20211102NMHIH</v>
      </c>
      <c r="B237" s="5" t="str">
        <f ca="1">IFERROR(__xludf.DUMMYFUNCTION("""COMPUTED_VALUE"""),"Other")</f>
        <v>Other</v>
      </c>
      <c r="C237" s="5" t="str">
        <f ca="1">IFERROR(__xludf.DUMMYFUNCTION("""COMPUTED_VALUE"""),"BB")</f>
        <v>BB</v>
      </c>
      <c r="D237" s="5" t="str">
        <f ca="1">IFERROR(__xludf.DUMMYFUNCTION("""COMPUTED_VALUE"""),"C02 BB rifle")</f>
        <v>C02 BB rifle</v>
      </c>
    </row>
    <row r="238" spans="1:4">
      <c r="A238" s="5" t="str">
        <f ca="1">IFERROR(__xludf.DUMMYFUNCTION("""COMPUTED_VALUE"""),"20211030PASTM")</f>
        <v>20211030PASTM</v>
      </c>
      <c r="B238" s="5" t="str">
        <f ca="1">IFERROR(__xludf.DUMMYFUNCTION("""COMPUTED_VALUE"""),"Handgun")</f>
        <v>Handgun</v>
      </c>
      <c r="C238" s="5"/>
      <c r="D238" s="5"/>
    </row>
    <row r="239" spans="1:4">
      <c r="A239" s="5" t="str">
        <f ca="1">IFERROR(__xludf.DUMMYFUNCTION("""COMPUTED_VALUE"""),"20211027SCCAS")</f>
        <v>20211027SCCAS</v>
      </c>
      <c r="B239" s="5" t="str">
        <f ca="1">IFERROR(__xludf.DUMMYFUNCTION("""COMPUTED_VALUE"""),"Handgun")</f>
        <v>Handgun</v>
      </c>
      <c r="C239" s="5"/>
      <c r="D239" s="5"/>
    </row>
    <row r="240" spans="1:4">
      <c r="A240" s="5" t="str">
        <f ca="1">IFERROR(__xludf.DUMMYFUNCTION("""COMPUTED_VALUE"""),"20211026MSCAN")</f>
        <v>20211026MSCAN</v>
      </c>
      <c r="B240" s="5" t="str">
        <f ca="1">IFERROR(__xludf.DUMMYFUNCTION("""COMPUTED_VALUE"""),"Shotgun")</f>
        <v>Shotgun</v>
      </c>
      <c r="C240" s="5"/>
      <c r="D240" s="5"/>
    </row>
    <row r="241" spans="1:4">
      <c r="A241" s="5" t="str">
        <f ca="1">IFERROR(__xludf.DUMMYFUNCTION("""COMPUTED_VALUE"""),"20211026ILWIC")</f>
        <v>20211026ILWIC</v>
      </c>
      <c r="B241" s="5" t="str">
        <f ca="1">IFERROR(__xludf.DUMMYFUNCTION("""COMPUTED_VALUE"""),"Handgun")</f>
        <v>Handgun</v>
      </c>
      <c r="C241" s="5"/>
      <c r="D241" s="5"/>
    </row>
    <row r="242" spans="1:4">
      <c r="A242" s="5" t="str">
        <f ca="1">IFERROR(__xludf.DUMMYFUNCTION("""COMPUTED_VALUE"""),"20211022PAPHP")</f>
        <v>20211022PAPHP</v>
      </c>
      <c r="B242" s="5" t="str">
        <f ca="1">IFERROR(__xludf.DUMMYFUNCTION("""COMPUTED_VALUE"""),"Handgun")</f>
        <v>Handgun</v>
      </c>
      <c r="C242" s="5"/>
      <c r="D242" s="5"/>
    </row>
    <row r="243" spans="1:4">
      <c r="A243" s="5" t="str">
        <f ca="1">IFERROR(__xludf.DUMMYFUNCTION("""COMPUTED_VALUE"""),"20211021NYPSB")</f>
        <v>20211021NYPSB</v>
      </c>
      <c r="B243" s="5" t="str">
        <f ca="1">IFERROR(__xludf.DUMMYFUNCTION("""COMPUTED_VALUE"""),"Handgun")</f>
        <v>Handgun</v>
      </c>
      <c r="C243" s="5"/>
      <c r="D243" s="5"/>
    </row>
    <row r="244" spans="1:4">
      <c r="A244" s="5" t="str">
        <f ca="1">IFERROR(__xludf.DUMMYFUNCTION("""COMPUTED_VALUE"""),"20211021GABES")</f>
        <v>20211021GABES</v>
      </c>
      <c r="B244" s="5"/>
      <c r="C244" s="5"/>
      <c r="D244" s="5"/>
    </row>
    <row r="245" spans="1:4">
      <c r="A245" s="5" t="str">
        <f ca="1">IFERROR(__xludf.DUMMYFUNCTION("""COMPUTED_VALUE"""),"20211018PALIP")</f>
        <v>20211018PALIP</v>
      </c>
      <c r="B245" s="5" t="str">
        <f ca="1">IFERROR(__xludf.DUMMYFUNCTION("""COMPUTED_VALUE"""),"Handgun")</f>
        <v>Handgun</v>
      </c>
      <c r="C245" s="5"/>
      <c r="D245" s="5"/>
    </row>
    <row r="246" spans="1:4">
      <c r="A246" s="5" t="str">
        <f ca="1">IFERROR(__xludf.DUMMYFUNCTION("""COMPUTED_VALUE"""),"20211017ARROR")</f>
        <v>20211017ARROR</v>
      </c>
      <c r="B246" s="5" t="str">
        <f ca="1">IFERROR(__xludf.DUMMYFUNCTION("""COMPUTED_VALUE"""),"Rifle")</f>
        <v>Rifle</v>
      </c>
      <c r="C246" s="5" t="str">
        <f ca="1">IFERROR(__xludf.DUMMYFUNCTION("""COMPUTED_VALUE"""),".223 caliber")</f>
        <v>.223 caliber</v>
      </c>
      <c r="D246" s="5" t="str">
        <f ca="1">IFERROR(__xludf.DUMMYFUNCTION("""COMPUTED_VALUE"""),"6.5 Grendel rifle")</f>
        <v>6.5 Grendel rifle</v>
      </c>
    </row>
    <row r="247" spans="1:4">
      <c r="A247" s="5" t="str">
        <f ca="1">IFERROR(__xludf.DUMMYFUNCTION("""COMPUTED_VALUE"""),"20211015CAKEF")</f>
        <v>20211015CAKEF</v>
      </c>
      <c r="B247" s="5" t="str">
        <f ca="1">IFERROR(__xludf.DUMMYFUNCTION("""COMPUTED_VALUE"""),"Handgun")</f>
        <v>Handgun</v>
      </c>
      <c r="C247" s="5" t="str">
        <f ca="1">IFERROR(__xludf.DUMMYFUNCTION("""COMPUTED_VALUE"""),"9mm")</f>
        <v>9mm</v>
      </c>
      <c r="D247" s="5"/>
    </row>
    <row r="248" spans="1:4">
      <c r="A248" s="5" t="str">
        <f ca="1">IFERROR(__xludf.DUMMYFUNCTION("""COMPUTED_VALUE"""),"20211015ALWIM")</f>
        <v>20211015ALWIM</v>
      </c>
      <c r="B248" s="5" t="str">
        <f ca="1">IFERROR(__xludf.DUMMYFUNCTION("""COMPUTED_VALUE"""),"Handgun")</f>
        <v>Handgun</v>
      </c>
      <c r="C248" s="5"/>
      <c r="D248" s="5"/>
    </row>
    <row r="249" spans="1:4">
      <c r="A249" s="5" t="str">
        <f ca="1">IFERROR(__xludf.DUMMYFUNCTION("""COMPUTED_VALUE"""),"20211014MEREP")</f>
        <v>20211014MEREP</v>
      </c>
      <c r="B249" s="5"/>
      <c r="C249" s="5"/>
      <c r="D249" s="5"/>
    </row>
    <row r="250" spans="1:4">
      <c r="A250" s="5" t="str">
        <f ca="1">IFERROR(__xludf.DUMMYFUNCTION("""COMPUTED_VALUE"""),"20211013PACHD")</f>
        <v>20211013PACHD</v>
      </c>
      <c r="B250" s="5" t="str">
        <f ca="1">IFERROR(__xludf.DUMMYFUNCTION("""COMPUTED_VALUE"""),"Other")</f>
        <v>Other</v>
      </c>
      <c r="C250" s="5" t="str">
        <f ca="1">IFERROR(__xludf.DUMMYFUNCTION("""COMPUTED_VALUE"""),"Pellet")</f>
        <v>Pellet</v>
      </c>
      <c r="D250" s="5"/>
    </row>
    <row r="251" spans="1:4">
      <c r="A251" s="5" t="str">
        <f ca="1">IFERROR(__xludf.DUMMYFUNCTION("""COMPUTED_VALUE"""),"20211013ILMCC")</f>
        <v>20211013ILMCC</v>
      </c>
      <c r="B251" s="5"/>
      <c r="C251" s="5"/>
      <c r="D251" s="5"/>
    </row>
    <row r="252" spans="1:4">
      <c r="A252" s="5" t="str">
        <f ca="1">IFERROR(__xludf.DUMMYFUNCTION("""COMPUTED_VALUE"""),"20211012OKUNT")</f>
        <v>20211012OKUNT</v>
      </c>
      <c r="B252" s="5" t="str">
        <f ca="1">IFERROR(__xludf.DUMMYFUNCTION("""COMPUTED_VALUE"""),"Other")</f>
        <v>Other</v>
      </c>
      <c r="C252" s="5" t="str">
        <f ca="1">IFERROR(__xludf.DUMMYFUNCTION("""COMPUTED_VALUE"""),"Pellet")</f>
        <v>Pellet</v>
      </c>
      <c r="D252" s="5" t="str">
        <f ca="1">IFERROR(__xludf.DUMMYFUNCTION("""COMPUTED_VALUE"""),"Full automatic plastic gel gun, similar to airsoft pellets")</f>
        <v>Full automatic plastic gel gun, similar to airsoft pellets</v>
      </c>
    </row>
    <row r="253" spans="1:4">
      <c r="A253" s="5" t="str">
        <f ca="1">IFERROR(__xludf.DUMMYFUNCTION("""COMPUTED_VALUE"""),"20211012MIELK")</f>
        <v>20211012MIELK</v>
      </c>
      <c r="B253" s="5" t="str">
        <f ca="1">IFERROR(__xludf.DUMMYFUNCTION("""COMPUTED_VALUE"""),"Handgun")</f>
        <v>Handgun</v>
      </c>
      <c r="C253" s="5"/>
      <c r="D253" s="5"/>
    </row>
    <row r="254" spans="1:4">
      <c r="A254" s="5" t="str">
        <f ca="1">IFERROR(__xludf.DUMMYFUNCTION("""COMPUTED_VALUE"""),"20211012ILWEC")</f>
        <v>20211012ILWEC</v>
      </c>
      <c r="B254" s="5" t="str">
        <f ca="1">IFERROR(__xludf.DUMMYFUNCTION("""COMPUTED_VALUE"""),"Handgun")</f>
        <v>Handgun</v>
      </c>
      <c r="C254" s="5" t="str">
        <f ca="1">IFERROR(__xludf.DUMMYFUNCTION("""COMPUTED_VALUE"""),".45 caliber")</f>
        <v>.45 caliber</v>
      </c>
      <c r="D254" s="5"/>
    </row>
    <row r="255" spans="1:4">
      <c r="A255" s="5" t="str">
        <f ca="1">IFERROR(__xludf.DUMMYFUNCTION("""COMPUTED_VALUE"""),"20211012ARLIL")</f>
        <v>20211012ARLIL</v>
      </c>
      <c r="B255" s="5"/>
      <c r="C255" s="5"/>
      <c r="D255" s="5"/>
    </row>
    <row r="256" spans="1:4">
      <c r="A256" s="5" t="str">
        <f ca="1">IFERROR(__xludf.DUMMYFUNCTION("""COMPUTED_VALUE"""),"20211011ORROP")</f>
        <v>20211011ORROP</v>
      </c>
      <c r="B256" s="5" t="str">
        <f ca="1">IFERROR(__xludf.DUMMYFUNCTION("""COMPUTED_VALUE"""),"Handgun")</f>
        <v>Handgun</v>
      </c>
      <c r="C256" s="5"/>
      <c r="D256" s="5"/>
    </row>
    <row r="257" spans="1:4">
      <c r="A257" s="5" t="str">
        <f ca="1">IFERROR(__xludf.DUMMYFUNCTION("""COMPUTED_VALUE"""),"20211008OKCOC")</f>
        <v>20211008OKCOC</v>
      </c>
      <c r="B257" s="5"/>
      <c r="C257" s="5"/>
      <c r="D257" s="5"/>
    </row>
    <row r="258" spans="1:4">
      <c r="A258" s="5" t="str">
        <f ca="1">IFERROR(__xludf.DUMMYFUNCTION("""COMPUTED_VALUE"""),"20211007TXEAW")</f>
        <v>20211007TXEAW</v>
      </c>
      <c r="B258" s="5" t="str">
        <f ca="1">IFERROR(__xludf.DUMMYFUNCTION("""COMPUTED_VALUE"""),"Rifle")</f>
        <v>Rifle</v>
      </c>
      <c r="C258" s="5" t="str">
        <f ca="1">IFERROR(__xludf.DUMMYFUNCTION("""COMPUTED_VALUE"""),".22 caliber")</f>
        <v>.22 caliber</v>
      </c>
      <c r="D258" s="5"/>
    </row>
    <row r="259" spans="1:4">
      <c r="A259" s="5" t="str">
        <f ca="1">IFERROR(__xludf.DUMMYFUNCTION("""COMPUTED_VALUE"""),"20211007PAANP")</f>
        <v>20211007PAANP</v>
      </c>
      <c r="B259" s="5"/>
      <c r="C259" s="5"/>
      <c r="D259" s="5"/>
    </row>
    <row r="260" spans="1:4">
      <c r="A260" s="5" t="str">
        <f ca="1">IFERROR(__xludf.DUMMYFUNCTION("""COMPUTED_VALUE"""),"20211007NCEAD")</f>
        <v>20211007NCEAD</v>
      </c>
      <c r="B260" s="5" t="str">
        <f ca="1">IFERROR(__xludf.DUMMYFUNCTION("""COMPUTED_VALUE"""),"Handgun")</f>
        <v>Handgun</v>
      </c>
      <c r="C260" s="5"/>
      <c r="D260" s="5"/>
    </row>
    <row r="261" spans="1:4">
      <c r="A261" s="5" t="str">
        <f ca="1">IFERROR(__xludf.DUMMYFUNCTION("""COMPUTED_VALUE"""),"20211007DCWAW")</f>
        <v>20211007DCWAW</v>
      </c>
      <c r="B261" s="5" t="str">
        <f ca="1">IFERROR(__xludf.DUMMYFUNCTION("""COMPUTED_VALUE"""),"Handgun")</f>
        <v>Handgun</v>
      </c>
      <c r="C261" s="5" t="str">
        <f ca="1">IFERROR(__xludf.DUMMYFUNCTION("""COMPUTED_VALUE"""),"9mm")</f>
        <v>9mm</v>
      </c>
      <c r="D261" s="5" t="str">
        <f ca="1">IFERROR(__xludf.DUMMYFUNCTION("""COMPUTED_VALUE"""),"Ghost gun")</f>
        <v>Ghost gun</v>
      </c>
    </row>
    <row r="262" spans="1:4">
      <c r="A262" s="5" t="str">
        <f ca="1">IFERROR(__xludf.DUMMYFUNCTION("""COMPUTED_VALUE"""),"20211006TXTIA")</f>
        <v>20211006TXTIA</v>
      </c>
      <c r="B262" s="5" t="str">
        <f ca="1">IFERROR(__xludf.DUMMYFUNCTION("""COMPUTED_VALUE"""),"Handgun")</f>
        <v>Handgun</v>
      </c>
      <c r="C262" s="5"/>
      <c r="D262" s="5"/>
    </row>
    <row r="263" spans="1:4">
      <c r="A263" s="5" t="str">
        <f ca="1">IFERROR(__xludf.DUMMYFUNCTION("""COMPUTED_VALUE"""),"20211005NDHEH")</f>
        <v>20211005NDHEH</v>
      </c>
      <c r="B263" s="5" t="str">
        <f ca="1">IFERROR(__xludf.DUMMYFUNCTION("""COMPUTED_VALUE"""),"Handgun")</f>
        <v>Handgun</v>
      </c>
      <c r="C263" s="5"/>
      <c r="D263" s="5"/>
    </row>
    <row r="264" spans="1:4">
      <c r="A264" s="5" t="str">
        <f ca="1">IFERROR(__xludf.DUMMYFUNCTION("""COMPUTED_VALUE"""),"20211005NCGAC")</f>
        <v>20211005NCGAC</v>
      </c>
      <c r="B264" s="5" t="str">
        <f ca="1">IFERROR(__xludf.DUMMYFUNCTION("""COMPUTED_VALUE"""),"Handgun")</f>
        <v>Handgun</v>
      </c>
      <c r="C264" s="5"/>
      <c r="D264" s="5"/>
    </row>
    <row r="265" spans="1:4">
      <c r="A265" s="5" t="str">
        <f ca="1">IFERROR(__xludf.DUMMYFUNCTION("""COMPUTED_VALUE"""),"20211004PASCP")</f>
        <v>20211004PASCP</v>
      </c>
      <c r="B265" s="5" t="str">
        <f ca="1">IFERROR(__xludf.DUMMYFUNCTION("""COMPUTED_VALUE"""),"Handgun")</f>
        <v>Handgun</v>
      </c>
      <c r="C265" s="5"/>
      <c r="D265" s="5"/>
    </row>
    <row r="266" spans="1:4">
      <c r="A266" s="5" t="str">
        <f ca="1">IFERROR(__xludf.DUMMYFUNCTION("""COMPUTED_VALUE"""),"20211004PASCP")</f>
        <v>20211004PASCP</v>
      </c>
      <c r="B266" s="5" t="str">
        <f ca="1">IFERROR(__xludf.DUMMYFUNCTION("""COMPUTED_VALUE"""),"Rifle")</f>
        <v>Rifle</v>
      </c>
      <c r="C266" s="5" t="str">
        <f ca="1">IFERROR(__xludf.DUMMYFUNCTION("""COMPUTED_VALUE"""),"AR-15")</f>
        <v>AR-15</v>
      </c>
      <c r="D266" s="5"/>
    </row>
    <row r="267" spans="1:4">
      <c r="A267" s="5" t="str">
        <f ca="1">IFERROR(__xludf.DUMMYFUNCTION("""COMPUTED_VALUE"""),"20211004OHWOT")</f>
        <v>20211004OHWOT</v>
      </c>
      <c r="B267" s="5" t="str">
        <f ca="1">IFERROR(__xludf.DUMMYFUNCTION("""COMPUTED_VALUE"""),"Handgun")</f>
        <v>Handgun</v>
      </c>
      <c r="C267" s="5"/>
      <c r="D267" s="5"/>
    </row>
    <row r="268" spans="1:4">
      <c r="A268" s="5" t="str">
        <f ca="1">IFERROR(__xludf.DUMMYFUNCTION("""COMPUTED_VALUE"""),"20211004ILLAC")</f>
        <v>20211004ILLAC</v>
      </c>
      <c r="B268" s="5" t="str">
        <f ca="1">IFERROR(__xludf.DUMMYFUNCTION("""COMPUTED_VALUE"""),"Handgun")</f>
        <v>Handgun</v>
      </c>
      <c r="C268" s="5"/>
      <c r="D268" s="5"/>
    </row>
    <row r="269" spans="1:4">
      <c r="A269" s="5" t="str">
        <f ca="1">IFERROR(__xludf.DUMMYFUNCTION("""COMPUTED_VALUE"""),"20211001TXYEH")</f>
        <v>20211001TXYEH</v>
      </c>
      <c r="B269" s="5" t="str">
        <f ca="1">IFERROR(__xludf.DUMMYFUNCTION("""COMPUTED_VALUE"""),"Rifle")</f>
        <v>Rifle</v>
      </c>
      <c r="C269" s="5"/>
      <c r="D269" s="5"/>
    </row>
    <row r="270" spans="1:4">
      <c r="A270" s="5" t="str">
        <f ca="1">IFERROR(__xludf.DUMMYFUNCTION("""COMPUTED_VALUE"""),"20211001NJCHC")</f>
        <v>20211001NJCHC</v>
      </c>
      <c r="B270" s="5" t="str">
        <f ca="1">IFERROR(__xludf.DUMMYFUNCTION("""COMPUTED_VALUE"""),"Handgun")</f>
        <v>Handgun</v>
      </c>
      <c r="C270" s="5"/>
      <c r="D270" s="5"/>
    </row>
    <row r="271" spans="1:4">
      <c r="A271" s="5" t="str">
        <f ca="1">IFERROR(__xludf.DUMMYFUNCTION("""COMPUTED_VALUE"""),"20211001NCSEF")</f>
        <v>20211001NCSEF</v>
      </c>
      <c r="B271" s="5" t="str">
        <f ca="1">IFERROR(__xludf.DUMMYFUNCTION("""COMPUTED_VALUE"""),"Handgun")</f>
        <v>Handgun</v>
      </c>
      <c r="C271" s="5"/>
      <c r="D271" s="5"/>
    </row>
    <row r="272" spans="1:4">
      <c r="A272" s="5" t="str">
        <f ca="1">IFERROR(__xludf.DUMMYFUNCTION("""COMPUTED_VALUE"""),"20211001NCNOD")</f>
        <v>20211001NCNOD</v>
      </c>
      <c r="B272" s="5" t="str">
        <f ca="1">IFERROR(__xludf.DUMMYFUNCTION("""COMPUTED_VALUE"""),"Handgun")</f>
        <v>Handgun</v>
      </c>
      <c r="C272" s="5"/>
      <c r="D272" s="5"/>
    </row>
    <row r="273" spans="1:4">
      <c r="A273" s="5" t="str">
        <f ca="1">IFERROR(__xludf.DUMMYFUNCTION("""COMPUTED_VALUE"""),"20211001INBEI")</f>
        <v>20211001INBEI</v>
      </c>
      <c r="B273" s="5" t="str">
        <f ca="1">IFERROR(__xludf.DUMMYFUNCTION("""COMPUTED_VALUE"""),"Handgun")</f>
        <v>Handgun</v>
      </c>
      <c r="C273" s="5"/>
      <c r="D273" s="5"/>
    </row>
    <row r="274" spans="1:4">
      <c r="A274" s="5" t="str">
        <f ca="1">IFERROR(__xludf.DUMMYFUNCTION("""COMPUTED_VALUE"""),"20210930TNCUM")</f>
        <v>20210930TNCUM</v>
      </c>
      <c r="B274" s="5" t="str">
        <f ca="1">IFERROR(__xludf.DUMMYFUNCTION("""COMPUTED_VALUE"""),"Handgun")</f>
        <v>Handgun</v>
      </c>
      <c r="C274" s="5"/>
      <c r="D274" s="5"/>
    </row>
    <row r="275" spans="1:4">
      <c r="A275" s="5" t="str">
        <f ca="1">IFERROR(__xludf.DUMMYFUNCTION("""COMPUTED_VALUE"""),"20210930MSNEN")</f>
        <v>20210930MSNEN</v>
      </c>
      <c r="B275" s="5" t="str">
        <f ca="1">IFERROR(__xludf.DUMMYFUNCTION("""COMPUTED_VALUE"""),"Handgun")</f>
        <v>Handgun</v>
      </c>
      <c r="C275" s="5"/>
      <c r="D275" s="5"/>
    </row>
    <row r="276" spans="1:4">
      <c r="A276" s="5" t="str">
        <f ca="1">IFERROR(__xludf.DUMMYFUNCTION("""COMPUTED_VALUE"""),"20210929OHSHS")</f>
        <v>20210929OHSHS</v>
      </c>
      <c r="B276" s="5" t="str">
        <f ca="1">IFERROR(__xludf.DUMMYFUNCTION("""COMPUTED_VALUE"""),"Handgun")</f>
        <v>Handgun</v>
      </c>
      <c r="C276" s="5"/>
      <c r="D276" s="5"/>
    </row>
    <row r="277" spans="1:4">
      <c r="A277" s="5" t="str">
        <f ca="1">IFERROR(__xludf.DUMMYFUNCTION("""COMPUTED_VALUE"""),"20210928MESOS")</f>
        <v>20210928MESOS</v>
      </c>
      <c r="B277" s="5" t="str">
        <f ca="1">IFERROR(__xludf.DUMMYFUNCTION("""COMPUTED_VALUE"""),"Handgun")</f>
        <v>Handgun</v>
      </c>
      <c r="C277" s="5"/>
      <c r="D277" s="5"/>
    </row>
    <row r="278" spans="1:4">
      <c r="A278" s="5" t="str">
        <f ca="1">IFERROR(__xludf.DUMMYFUNCTION("""COMPUTED_VALUE"""),"20210927ILCAC")</f>
        <v>20210927ILCAC</v>
      </c>
      <c r="B278" s="5" t="str">
        <f ca="1">IFERROR(__xludf.DUMMYFUNCTION("""COMPUTED_VALUE"""),"Other")</f>
        <v>Other</v>
      </c>
      <c r="C278" s="5" t="str">
        <f ca="1">IFERROR(__xludf.DUMMYFUNCTION("""COMPUTED_VALUE"""),"BB")</f>
        <v>BB</v>
      </c>
      <c r="D278" s="5"/>
    </row>
    <row r="279" spans="1:4">
      <c r="A279" s="5" t="str">
        <f ca="1">IFERROR(__xludf.DUMMYFUNCTION("""COMPUTED_VALUE"""),"20210924VAESE")</f>
        <v>20210924VAESE</v>
      </c>
      <c r="B279" s="5" t="str">
        <f ca="1">IFERROR(__xludf.DUMMYFUNCTION("""COMPUTED_VALUE"""),"Handgun")</f>
        <v>Handgun</v>
      </c>
      <c r="C279" s="5"/>
      <c r="D279" s="5"/>
    </row>
    <row r="280" spans="1:4">
      <c r="A280" s="5" t="str">
        <f ca="1">IFERROR(__xludf.DUMMYFUNCTION("""COMPUTED_VALUE"""),"20210924TNSTS")</f>
        <v>20210924TNSTS</v>
      </c>
      <c r="B280" s="5" t="str">
        <f ca="1">IFERROR(__xludf.DUMMYFUNCTION("""COMPUTED_VALUE"""),"Handgun")</f>
        <v>Handgun</v>
      </c>
      <c r="C280" s="5"/>
      <c r="D280" s="5"/>
    </row>
    <row r="281" spans="1:4">
      <c r="A281" s="5" t="str">
        <f ca="1">IFERROR(__xludf.DUMMYFUNCTION("""COMPUTED_VALUE"""),"20210924TNSTS")</f>
        <v>20210924TNSTS</v>
      </c>
      <c r="B281" s="5" t="str">
        <f ca="1">IFERROR(__xludf.DUMMYFUNCTION("""COMPUTED_VALUE"""),"Rifle")</f>
        <v>Rifle</v>
      </c>
      <c r="C281" s="5"/>
      <c r="D281" s="5"/>
    </row>
    <row r="282" spans="1:4">
      <c r="A282" s="5" t="str">
        <f ca="1">IFERROR(__xludf.DUMMYFUNCTION("""COMPUTED_VALUE"""),"20210924MDWIB")</f>
        <v>20210924MDWIB</v>
      </c>
      <c r="B282" s="5" t="str">
        <f ca="1">IFERROR(__xludf.DUMMYFUNCTION("""COMPUTED_VALUE"""),"Handgun")</f>
        <v>Handgun</v>
      </c>
      <c r="C282" s="5"/>
      <c r="D282" s="5"/>
    </row>
    <row r="283" spans="1:4">
      <c r="A283" s="5" t="str">
        <f ca="1">IFERROR(__xludf.DUMMYFUNCTION("""COMPUTED_VALUE"""),"20210924ALFAF")</f>
        <v>20210924ALFAF</v>
      </c>
      <c r="B283" s="5"/>
      <c r="C283" s="5"/>
      <c r="D283" s="5"/>
    </row>
    <row r="284" spans="1:4">
      <c r="A284" s="5" t="str">
        <f ca="1">IFERROR(__xludf.DUMMYFUNCTION("""COMPUTED_VALUE"""),"20210923IDRIR")</f>
        <v>20210923IDRIR</v>
      </c>
      <c r="B284" s="5" t="str">
        <f ca="1">IFERROR(__xludf.DUMMYFUNCTION("""COMPUTED_VALUE"""),"Handgun")</f>
        <v>Handgun</v>
      </c>
      <c r="C284" s="5"/>
      <c r="D284" s="5"/>
    </row>
    <row r="285" spans="1:4">
      <c r="A285" s="5" t="str">
        <f ca="1">IFERROR(__xludf.DUMMYFUNCTION("""COMPUTED_VALUE"""),"20210922NYSOB")</f>
        <v>20210922NYSOB</v>
      </c>
      <c r="B285" s="5" t="str">
        <f ca="1">IFERROR(__xludf.DUMMYFUNCTION("""COMPUTED_VALUE"""),"Handgun")</f>
        <v>Handgun</v>
      </c>
      <c r="C285" s="5"/>
      <c r="D285" s="5"/>
    </row>
    <row r="286" spans="1:4">
      <c r="A286" s="5" t="str">
        <f ca="1">IFERROR(__xludf.DUMMYFUNCTION("""COMPUTED_VALUE"""),"20210922CTLIN")</f>
        <v>20210922CTLIN</v>
      </c>
      <c r="B286" s="5"/>
      <c r="C286" s="5"/>
      <c r="D286" s="5"/>
    </row>
    <row r="287" spans="1:4">
      <c r="A287" s="5" t="str">
        <f ca="1">IFERROR(__xludf.DUMMYFUNCTION("""COMPUTED_VALUE"""),"20210921PAVAP")</f>
        <v>20210921PAVAP</v>
      </c>
      <c r="B287" s="5" t="str">
        <f ca="1">IFERROR(__xludf.DUMMYFUNCTION("""COMPUTED_VALUE"""),"Handgun")</f>
        <v>Handgun</v>
      </c>
      <c r="C287" s="5"/>
      <c r="D287" s="5"/>
    </row>
    <row r="288" spans="1:4">
      <c r="A288" s="5" t="str">
        <f ca="1">IFERROR(__xludf.DUMMYFUNCTION("""COMPUTED_VALUE"""),"20210921OHMIM")</f>
        <v>20210921OHMIM</v>
      </c>
      <c r="B288" s="5" t="str">
        <f ca="1">IFERROR(__xludf.DUMMYFUNCTION("""COMPUTED_VALUE"""),"Other")</f>
        <v>Other</v>
      </c>
      <c r="C288" s="5" t="str">
        <f ca="1">IFERROR(__xludf.DUMMYFUNCTION("""COMPUTED_VALUE"""),"BB")</f>
        <v>BB</v>
      </c>
      <c r="D288" s="5"/>
    </row>
    <row r="289" spans="1:4">
      <c r="A289" s="5" t="str">
        <f ca="1">IFERROR(__xludf.DUMMYFUNCTION("""COMPUTED_VALUE"""),"20210921KSEAW")</f>
        <v>20210921KSEAW</v>
      </c>
      <c r="B289" s="5" t="str">
        <f ca="1">IFERROR(__xludf.DUMMYFUNCTION("""COMPUTED_VALUE"""),"Handgun")</f>
        <v>Handgun</v>
      </c>
      <c r="C289" s="5"/>
      <c r="D289" s="5"/>
    </row>
    <row r="290" spans="1:4">
      <c r="A290" s="5" t="str">
        <f ca="1">IFERROR(__xludf.DUMMYFUNCTION("""COMPUTED_VALUE"""),"20210921GAFRA")</f>
        <v>20210921GAFRA</v>
      </c>
      <c r="B290" s="5" t="str">
        <f ca="1">IFERROR(__xludf.DUMMYFUNCTION("""COMPUTED_VALUE"""),"Handgun")</f>
        <v>Handgun</v>
      </c>
      <c r="C290" s="5"/>
      <c r="D290" s="5"/>
    </row>
    <row r="291" spans="1:4">
      <c r="A291" s="5" t="str">
        <f ca="1">IFERROR(__xludf.DUMMYFUNCTION("""COMPUTED_VALUE"""),"20210921FLLAL")</f>
        <v>20210921FLLAL</v>
      </c>
      <c r="B291" s="5" t="str">
        <f ca="1">IFERROR(__xludf.DUMMYFUNCTION("""COMPUTED_VALUE"""),"Other")</f>
        <v>Other</v>
      </c>
      <c r="C291" s="5" t="str">
        <f ca="1">IFERROR(__xludf.DUMMYFUNCTION("""COMPUTED_VALUE"""),"BB")</f>
        <v>BB</v>
      </c>
      <c r="D291" s="5"/>
    </row>
    <row r="292" spans="1:4">
      <c r="A292" s="5" t="str">
        <f ca="1">IFERROR(__xludf.DUMMYFUNCTION("""COMPUTED_VALUE"""),"20210920VAHEN")</f>
        <v>20210920VAHEN</v>
      </c>
      <c r="B292" s="5" t="str">
        <f ca="1">IFERROR(__xludf.DUMMYFUNCTION("""COMPUTED_VALUE"""),"Handgun")</f>
        <v>Handgun</v>
      </c>
      <c r="C292" s="5"/>
      <c r="D292" s="5"/>
    </row>
    <row r="293" spans="1:4">
      <c r="A293" s="5" t="str">
        <f ca="1">IFERROR(__xludf.DUMMYFUNCTION("""COMPUTED_VALUE"""),"20210920OHEAC")</f>
        <v>20210920OHEAC</v>
      </c>
      <c r="B293" s="5" t="str">
        <f ca="1">IFERROR(__xludf.DUMMYFUNCTION("""COMPUTED_VALUE"""),"Multiple Handguns")</f>
        <v>Multiple Handguns</v>
      </c>
      <c r="C293" s="5"/>
      <c r="D293" s="5"/>
    </row>
    <row r="294" spans="1:4">
      <c r="A294" s="5" t="str">
        <f ca="1">IFERROR(__xludf.DUMMYFUNCTION("""COMPUTED_VALUE"""),"20210920OHEAC")</f>
        <v>20210920OHEAC</v>
      </c>
      <c r="B294" s="5" t="str">
        <f ca="1">IFERROR(__xludf.DUMMYFUNCTION("""COMPUTED_VALUE"""),"Handgun")</f>
        <v>Handgun</v>
      </c>
      <c r="C294" s="5"/>
      <c r="D294" s="5"/>
    </row>
    <row r="295" spans="1:4">
      <c r="A295" s="5" t="str">
        <f ca="1">IFERROR(__xludf.DUMMYFUNCTION("""COMPUTED_VALUE"""),"20210918COWIC")</f>
        <v>20210918COWIC</v>
      </c>
      <c r="B295" s="5" t="str">
        <f ca="1">IFERROR(__xludf.DUMMYFUNCTION("""COMPUTED_VALUE"""),"Handgun")</f>
        <v>Handgun</v>
      </c>
      <c r="C295" s="5"/>
      <c r="D295" s="5"/>
    </row>
    <row r="296" spans="1:4">
      <c r="A296" s="5" t="str">
        <f ca="1">IFERROR(__xludf.DUMMYFUNCTION("""COMPUTED_VALUE"""),"20210917VAHEH")</f>
        <v>20210917VAHEH</v>
      </c>
      <c r="B296" s="5" t="str">
        <f ca="1">IFERROR(__xludf.DUMMYFUNCTION("""COMPUTED_VALUE"""),"Handgun")</f>
        <v>Handgun</v>
      </c>
      <c r="C296" s="5"/>
      <c r="D296" s="5"/>
    </row>
    <row r="297" spans="1:4">
      <c r="A297" s="5" t="str">
        <f ca="1">IFERROR(__xludf.DUMMYFUNCTION("""COMPUTED_VALUE"""),"20210917TNAUK")</f>
        <v>20210917TNAUK</v>
      </c>
      <c r="B297" s="5" t="str">
        <f ca="1">IFERROR(__xludf.DUMMYFUNCTION("""COMPUTED_VALUE"""),"Handgun")</f>
        <v>Handgun</v>
      </c>
      <c r="C297" s="5"/>
      <c r="D297" s="5"/>
    </row>
    <row r="298" spans="1:4">
      <c r="A298" s="5" t="str">
        <f ca="1">IFERROR(__xludf.DUMMYFUNCTION("""COMPUTED_VALUE"""),"20210917PAWEP")</f>
        <v>20210917PAWEP</v>
      </c>
      <c r="B298" s="5" t="str">
        <f ca="1">IFERROR(__xludf.DUMMYFUNCTION("""COMPUTED_VALUE"""),"Handgun")</f>
        <v>Handgun</v>
      </c>
      <c r="C298" s="5"/>
      <c r="D298" s="5"/>
    </row>
    <row r="299" spans="1:4">
      <c r="A299" s="5" t="str">
        <f ca="1">IFERROR(__xludf.DUMMYFUNCTION("""COMPUTED_VALUE"""),"20210917NCPAW")</f>
        <v>20210917NCPAW</v>
      </c>
      <c r="B299" s="5" t="str">
        <f ca="1">IFERROR(__xludf.DUMMYFUNCTION("""COMPUTED_VALUE"""),"Handgun")</f>
        <v>Handgun</v>
      </c>
      <c r="C299" s="5"/>
      <c r="D299" s="5"/>
    </row>
    <row r="300" spans="1:4">
      <c r="A300" s="5" t="str">
        <f ca="1">IFERROR(__xludf.DUMMYFUNCTION("""COMPUTED_VALUE"""),"20210917GASWS")</f>
        <v>20210917GASWS</v>
      </c>
      <c r="B300" s="5" t="str">
        <f ca="1">IFERROR(__xludf.DUMMYFUNCTION("""COMPUTED_VALUE"""),"Handgun")</f>
        <v>Handgun</v>
      </c>
      <c r="C300" s="5"/>
      <c r="D300" s="5"/>
    </row>
    <row r="301" spans="1:4">
      <c r="A301" s="5" t="str">
        <f ca="1">IFERROR(__xludf.DUMMYFUNCTION("""COMPUTED_VALUE"""),"20210916WIORM")</f>
        <v>20210916WIORM</v>
      </c>
      <c r="B301" s="5" t="str">
        <f ca="1">IFERROR(__xludf.DUMMYFUNCTION("""COMPUTED_VALUE"""),"Handgun")</f>
        <v>Handgun</v>
      </c>
      <c r="C301" s="5"/>
      <c r="D301" s="5"/>
    </row>
    <row r="302" spans="1:4">
      <c r="A302" s="5" t="str">
        <f ca="1">IFERROR(__xludf.DUMMYFUNCTION("""COMPUTED_VALUE"""),"20210916UTPRP")</f>
        <v>20210916UTPRP</v>
      </c>
      <c r="B302" s="5" t="str">
        <f ca="1">IFERROR(__xludf.DUMMYFUNCTION("""COMPUTED_VALUE"""),"Other")</f>
        <v>Other</v>
      </c>
      <c r="C302" s="5" t="str">
        <f ca="1">IFERROR(__xludf.DUMMYFUNCTION("""COMPUTED_VALUE"""),"airsoft")</f>
        <v>airsoft</v>
      </c>
      <c r="D302" s="5"/>
    </row>
    <row r="303" spans="1:4">
      <c r="A303" s="5" t="str">
        <f ca="1">IFERROR(__xludf.DUMMYFUNCTION("""COMPUTED_VALUE"""),"20210915VASPS")</f>
        <v>20210915VASPS</v>
      </c>
      <c r="B303" s="5" t="str">
        <f ca="1">IFERROR(__xludf.DUMMYFUNCTION("""COMPUTED_VALUE"""),"Other")</f>
        <v>Other</v>
      </c>
      <c r="C303" s="5"/>
      <c r="D303" s="5" t="str">
        <f ca="1">IFERROR(__xludf.DUMMYFUNCTION("""COMPUTED_VALUE"""),"Stungun")</f>
        <v>Stungun</v>
      </c>
    </row>
    <row r="304" spans="1:4">
      <c r="A304" s="5" t="str">
        <f ca="1">IFERROR(__xludf.DUMMYFUNCTION("""COMPUTED_VALUE"""),"20210915KYMAL")</f>
        <v>20210915KYMAL</v>
      </c>
      <c r="B304" s="5" t="str">
        <f ca="1">IFERROR(__xludf.DUMMYFUNCTION("""COMPUTED_VALUE"""),"Handgun")</f>
        <v>Handgun</v>
      </c>
      <c r="C304" s="5"/>
      <c r="D304" s="5"/>
    </row>
    <row r="305" spans="1:4">
      <c r="A305" s="5" t="str">
        <f ca="1">IFERROR(__xludf.DUMMYFUNCTION("""COMPUTED_VALUE"""),"20210915ILCEC")</f>
        <v>20210915ILCEC</v>
      </c>
      <c r="B305" s="5" t="str">
        <f ca="1">IFERROR(__xludf.DUMMYFUNCTION("""COMPUTED_VALUE"""),"Handgun")</f>
        <v>Handgun</v>
      </c>
      <c r="C305" s="5"/>
      <c r="D305" s="5"/>
    </row>
    <row r="306" spans="1:4">
      <c r="A306" s="5" t="str">
        <f ca="1">IFERROR(__xludf.DUMMYFUNCTION("""COMPUTED_VALUE"""),"20210914TNLAL")</f>
        <v>20210914TNLAL</v>
      </c>
      <c r="B306" s="5" t="str">
        <f ca="1">IFERROR(__xludf.DUMMYFUNCTION("""COMPUTED_VALUE"""),"Handgun")</f>
        <v>Handgun</v>
      </c>
      <c r="C306" s="5"/>
      <c r="D306" s="5"/>
    </row>
    <row r="307" spans="1:4">
      <c r="A307" s="5" t="str">
        <f ca="1">IFERROR(__xludf.DUMMYFUNCTION("""COMPUTED_VALUE"""),"20210914MOMCH")</f>
        <v>20210914MOMCH</v>
      </c>
      <c r="B307" s="5" t="str">
        <f ca="1">IFERROR(__xludf.DUMMYFUNCTION("""COMPUTED_VALUE"""),"Multiple Handguns")</f>
        <v>Multiple Handguns</v>
      </c>
      <c r="C307" s="5"/>
      <c r="D307" s="5"/>
    </row>
    <row r="308" spans="1:4">
      <c r="A308" s="5" t="str">
        <f ca="1">IFERROR(__xludf.DUMMYFUNCTION("""COMPUTED_VALUE"""),"20210913SCEDC")</f>
        <v>20210913SCEDC</v>
      </c>
      <c r="B308" s="5" t="str">
        <f ca="1">IFERROR(__xludf.DUMMYFUNCTION("""COMPUTED_VALUE"""),"Handgun")</f>
        <v>Handgun</v>
      </c>
      <c r="C308" s="5"/>
      <c r="D308" s="5"/>
    </row>
    <row r="309" spans="1:4">
      <c r="A309" s="5" t="str">
        <f ca="1">IFERROR(__xludf.DUMMYFUNCTION("""COMPUTED_VALUE"""),"20210910CONOA")</f>
        <v>20210910CONOA</v>
      </c>
      <c r="B309" s="5" t="str">
        <f ca="1">IFERROR(__xludf.DUMMYFUNCTION("""COMPUTED_VALUE"""),"Handgun")</f>
        <v>Handgun</v>
      </c>
      <c r="C309" s="5"/>
      <c r="D309" s="5"/>
    </row>
    <row r="310" spans="1:4">
      <c r="A310" s="5" t="str">
        <f ca="1">IFERROR(__xludf.DUMMYFUNCTION("""COMPUTED_VALUE"""),"20210910CASTP")</f>
        <v>20210910CASTP</v>
      </c>
      <c r="B310" s="5" t="str">
        <f ca="1">IFERROR(__xludf.DUMMYFUNCTION("""COMPUTED_VALUE"""),"Other")</f>
        <v>Other</v>
      </c>
      <c r="C310" s="5" t="str">
        <f ca="1">IFERROR(__xludf.DUMMYFUNCTION("""COMPUTED_VALUE"""),"BB")</f>
        <v>BB</v>
      </c>
      <c r="D310" s="5"/>
    </row>
    <row r="311" spans="1:4">
      <c r="A311" s="5" t="str">
        <f ca="1">IFERROR(__xludf.DUMMYFUNCTION("""COMPUTED_VALUE"""),"20210909NCSHE")</f>
        <v>20210909NCSHE</v>
      </c>
      <c r="B311" s="5"/>
      <c r="C311" s="5"/>
      <c r="D311" s="5"/>
    </row>
    <row r="312" spans="1:4">
      <c r="A312" s="5" t="str">
        <f ca="1">IFERROR(__xludf.DUMMYFUNCTION("""COMPUTED_VALUE"""),"20210909MITRF")</f>
        <v>20210909MITRF</v>
      </c>
      <c r="B312" s="5" t="str">
        <f ca="1">IFERROR(__xludf.DUMMYFUNCTION("""COMPUTED_VALUE"""),"Handgun")</f>
        <v>Handgun</v>
      </c>
      <c r="C312" s="5"/>
      <c r="D312" s="5"/>
    </row>
    <row r="313" spans="1:4">
      <c r="A313" s="5" t="str">
        <f ca="1">IFERROR(__xludf.DUMMYFUNCTION("""COMPUTED_VALUE"""),"20210909ILCHC")</f>
        <v>20210909ILCHC</v>
      </c>
      <c r="B313" s="5" t="str">
        <f ca="1">IFERROR(__xludf.DUMMYFUNCTION("""COMPUTED_VALUE"""),"Handgun")</f>
        <v>Handgun</v>
      </c>
      <c r="C313" s="5"/>
      <c r="D313" s="5"/>
    </row>
    <row r="314" spans="1:4">
      <c r="A314" s="5" t="str">
        <f ca="1">IFERROR(__xludf.DUMMYFUNCTION("""COMPUTED_VALUE"""),"20210908MNPRB")</f>
        <v>20210908MNPRB</v>
      </c>
      <c r="B314" s="5" t="str">
        <f ca="1">IFERROR(__xludf.DUMMYFUNCTION("""COMPUTED_VALUE"""),"Multiple Handguns")</f>
        <v>Multiple Handguns</v>
      </c>
      <c r="C314" s="5"/>
      <c r="D314" s="5"/>
    </row>
    <row r="315" spans="1:4">
      <c r="A315" s="5" t="str">
        <f ca="1">IFERROR(__xludf.DUMMYFUNCTION("""COMPUTED_VALUE"""),"20210908ILCEC")</f>
        <v>20210908ILCEC</v>
      </c>
      <c r="B315" s="5" t="str">
        <f ca="1">IFERROR(__xludf.DUMMYFUNCTION("""COMPUTED_VALUE"""),"Handgun")</f>
        <v>Handgun</v>
      </c>
      <c r="C315" s="5"/>
      <c r="D315" s="5"/>
    </row>
    <row r="316" spans="1:4">
      <c r="A316" s="5" t="str">
        <f ca="1">IFERROR(__xludf.DUMMYFUNCTION("""COMPUTED_VALUE"""),"20210907TNLAL")</f>
        <v>20210907TNLAL</v>
      </c>
      <c r="B316" s="5" t="str">
        <f ca="1">IFERROR(__xludf.DUMMYFUNCTION("""COMPUTED_VALUE"""),"Handgun")</f>
        <v>Handgun</v>
      </c>
      <c r="C316" s="5"/>
      <c r="D316" s="5"/>
    </row>
    <row r="317" spans="1:4">
      <c r="A317" s="5" t="str">
        <f ca="1">IFERROR(__xludf.DUMMYFUNCTION("""COMPUTED_VALUE"""),"20210907PAHAH")</f>
        <v>20210907PAHAH</v>
      </c>
      <c r="B317" s="5" t="str">
        <f ca="1">IFERROR(__xludf.DUMMYFUNCTION("""COMPUTED_VALUE"""),"Handgun")</f>
        <v>Handgun</v>
      </c>
      <c r="C317" s="5"/>
      <c r="D317" s="5"/>
    </row>
    <row r="318" spans="1:4">
      <c r="A318" s="5" t="str">
        <f ca="1">IFERROR(__xludf.DUMMYFUNCTION("""COMPUTED_VALUE"""),"20210907MAOMG")</f>
        <v>20210907MAOMG</v>
      </c>
      <c r="B318" s="5" t="str">
        <f ca="1">IFERROR(__xludf.DUMMYFUNCTION("""COMPUTED_VALUE"""),"Other")</f>
        <v>Other</v>
      </c>
      <c r="C318" s="5" t="str">
        <f ca="1">IFERROR(__xludf.DUMMYFUNCTION("""COMPUTED_VALUE"""),"BB")</f>
        <v>BB</v>
      </c>
      <c r="D318" s="5"/>
    </row>
    <row r="319" spans="1:4">
      <c r="A319" s="5" t="str">
        <f ca="1">IFERROR(__xludf.DUMMYFUNCTION("""COMPUTED_VALUE"""),"20210903NVDEL")</f>
        <v>20210903NVDEL</v>
      </c>
      <c r="B319" s="5" t="str">
        <f ca="1">IFERROR(__xludf.DUMMYFUNCTION("""COMPUTED_VALUE"""),"Handgun")</f>
        <v>Handgun</v>
      </c>
      <c r="C319" s="5"/>
      <c r="D319" s="5"/>
    </row>
    <row r="320" spans="1:4">
      <c r="A320" s="5" t="str">
        <f ca="1">IFERROR(__xludf.DUMMYFUNCTION("""COMPUTED_VALUE"""),"20210903NCJUC")</f>
        <v>20210903NCJUC</v>
      </c>
      <c r="B320" s="5" t="str">
        <f ca="1">IFERROR(__xludf.DUMMYFUNCTION("""COMPUTED_VALUE"""),"Handgun")</f>
        <v>Handgun</v>
      </c>
      <c r="C320" s="5"/>
      <c r="D320" s="5"/>
    </row>
    <row r="321" spans="1:4">
      <c r="A321" s="5" t="str">
        <f ca="1">IFERROR(__xludf.DUMMYFUNCTION("""COMPUTED_VALUE"""),"20210903CAMTH")</f>
        <v>20210903CAMTH</v>
      </c>
      <c r="B321" s="5" t="str">
        <f ca="1">IFERROR(__xludf.DUMMYFUNCTION("""COMPUTED_VALUE"""),"Handgun")</f>
        <v>Handgun</v>
      </c>
      <c r="C321" s="5"/>
      <c r="D321" s="5"/>
    </row>
    <row r="322" spans="1:4">
      <c r="A322" s="5" t="str">
        <f ca="1">IFERROR(__xludf.DUMMYFUNCTION("""COMPUTED_VALUE"""),"20210903CABUB")</f>
        <v>20210903CABUB</v>
      </c>
      <c r="B322" s="5" t="str">
        <f ca="1">IFERROR(__xludf.DUMMYFUNCTION("""COMPUTED_VALUE"""),"Handgun")</f>
        <v>Handgun</v>
      </c>
      <c r="C322" s="5"/>
      <c r="D322" s="5"/>
    </row>
    <row r="323" spans="1:4">
      <c r="A323" s="5" t="str">
        <f ca="1">IFERROR(__xludf.DUMMYFUNCTION("""COMPUTED_VALUE"""),"20210902NMALA")</f>
        <v>20210902NMALA</v>
      </c>
      <c r="B323" s="5" t="str">
        <f ca="1">IFERROR(__xludf.DUMMYFUNCTION("""COMPUTED_VALUE"""),"Multiple Handguns")</f>
        <v>Multiple Handguns</v>
      </c>
      <c r="C323" s="5"/>
      <c r="D323" s="5"/>
    </row>
    <row r="324" spans="1:4">
      <c r="A324" s="5" t="str">
        <f ca="1">IFERROR(__xludf.DUMMYFUNCTION("""COMPUTED_VALUE"""),"20210902INWEG")</f>
        <v>20210902INWEG</v>
      </c>
      <c r="B324" s="5" t="str">
        <f ca="1">IFERROR(__xludf.DUMMYFUNCTION("""COMPUTED_VALUE"""),"Handgun")</f>
        <v>Handgun</v>
      </c>
      <c r="C324" s="5"/>
      <c r="D324" s="5"/>
    </row>
    <row r="325" spans="1:4">
      <c r="A325" s="5" t="str">
        <f ca="1">IFERROR(__xludf.DUMMYFUNCTION("""COMPUTED_VALUE"""),"20210902GAWOS")</f>
        <v>20210902GAWOS</v>
      </c>
      <c r="B325" s="5" t="str">
        <f ca="1">IFERROR(__xludf.DUMMYFUNCTION("""COMPUTED_VALUE"""),"Handgun")</f>
        <v>Handgun</v>
      </c>
      <c r="C325" s="5"/>
      <c r="D325" s="5"/>
    </row>
    <row r="326" spans="1:4">
      <c r="A326" s="5" t="str">
        <f ca="1">IFERROR(__xludf.DUMMYFUNCTION("""COMPUTED_VALUE"""),"20210902CASAL")</f>
        <v>20210902CASAL</v>
      </c>
      <c r="B326" s="5" t="str">
        <f ca="1">IFERROR(__xludf.DUMMYFUNCTION("""COMPUTED_VALUE"""),"Handgun")</f>
        <v>Handgun</v>
      </c>
      <c r="C326" s="5"/>
      <c r="D326" s="5"/>
    </row>
    <row r="327" spans="1:4">
      <c r="A327" s="5" t="str">
        <f ca="1">IFERROR(__xludf.DUMMYFUNCTION("""COMPUTED_VALUE"""),"20210902CASAL")</f>
        <v>20210902CASAL</v>
      </c>
      <c r="B327" s="5" t="str">
        <f ca="1">IFERROR(__xludf.DUMMYFUNCTION("""COMPUTED_VALUE"""),"Handgun")</f>
        <v>Handgun</v>
      </c>
      <c r="C327" s="5"/>
      <c r="D327" s="5"/>
    </row>
    <row r="328" spans="1:4">
      <c r="A328" s="5" t="str">
        <f ca="1">IFERROR(__xludf.DUMMYFUNCTION("""COMPUTED_VALUE"""),"20210902CASAL")</f>
        <v>20210902CASAL</v>
      </c>
      <c r="B328" s="5" t="str">
        <f ca="1">IFERROR(__xludf.DUMMYFUNCTION("""COMPUTED_VALUE"""),"Handgun")</f>
        <v>Handgun</v>
      </c>
      <c r="C328" s="5"/>
      <c r="D328" s="5"/>
    </row>
    <row r="329" spans="1:4">
      <c r="A329" s="5" t="str">
        <f ca="1">IFERROR(__xludf.DUMMYFUNCTION("""COMPUTED_VALUE"""),"20210902CASAL")</f>
        <v>20210902CASAL</v>
      </c>
      <c r="B329" s="5" t="str">
        <f ca="1">IFERROR(__xludf.DUMMYFUNCTION("""COMPUTED_VALUE"""),"Handgun")</f>
        <v>Handgun</v>
      </c>
      <c r="C329" s="5"/>
      <c r="D329" s="5"/>
    </row>
    <row r="330" spans="1:4">
      <c r="A330" s="5" t="str">
        <f ca="1">IFERROR(__xludf.DUMMYFUNCTION("""COMPUTED_VALUE"""),"20210902ARLIL")</f>
        <v>20210902ARLIL</v>
      </c>
      <c r="B330" s="5" t="str">
        <f ca="1">IFERROR(__xludf.DUMMYFUNCTION("""COMPUTED_VALUE"""),"Handgun")</f>
        <v>Handgun</v>
      </c>
      <c r="C330" s="5"/>
      <c r="D330" s="5"/>
    </row>
    <row r="331" spans="1:4">
      <c r="A331" s="5" t="str">
        <f ca="1">IFERROR(__xludf.DUMMYFUNCTION("""COMPUTED_VALUE"""),"20210901NCMTW")</f>
        <v>20210901NCMTW</v>
      </c>
      <c r="B331" s="5" t="str">
        <f ca="1">IFERROR(__xludf.DUMMYFUNCTION("""COMPUTED_VALUE"""),"Handgun")</f>
        <v>Handgun</v>
      </c>
      <c r="C331" s="5"/>
      <c r="D331" s="5"/>
    </row>
    <row r="332" spans="1:4">
      <c r="A332" s="5" t="str">
        <f ca="1">IFERROR(__xludf.DUMMYFUNCTION("""COMPUTED_VALUE"""),"20210901ILFRC")</f>
        <v>20210901ILFRC</v>
      </c>
      <c r="B332" s="5" t="str">
        <f ca="1">IFERROR(__xludf.DUMMYFUNCTION("""COMPUTED_VALUE"""),"Handgun")</f>
        <v>Handgun</v>
      </c>
      <c r="C332" s="5"/>
      <c r="D332" s="5"/>
    </row>
    <row r="333" spans="1:4">
      <c r="A333" s="5" t="str">
        <f ca="1">IFERROR(__xludf.DUMMYFUNCTION("""COMPUTED_VALUE"""),"20210830NJWEN")</f>
        <v>20210830NJWEN</v>
      </c>
      <c r="B333" s="5" t="str">
        <f ca="1">IFERROR(__xludf.DUMMYFUNCTION("""COMPUTED_VALUE"""),"Handgun")</f>
        <v>Handgun</v>
      </c>
      <c r="C333" s="5"/>
      <c r="D333" s="5"/>
    </row>
    <row r="334" spans="1:4">
      <c r="A334" s="5" t="str">
        <f ca="1">IFERROR(__xludf.DUMMYFUNCTION("""COMPUTED_VALUE"""),"20210830NCNEW")</f>
        <v>20210830NCNEW</v>
      </c>
      <c r="B334" s="5" t="str">
        <f ca="1">IFERROR(__xludf.DUMMYFUNCTION("""COMPUTED_VALUE"""),"Handgun")</f>
        <v>Handgun</v>
      </c>
      <c r="C334" s="5"/>
      <c r="D334" s="5"/>
    </row>
    <row r="335" spans="1:4">
      <c r="A335" s="5" t="str">
        <f ca="1">IFERROR(__xludf.DUMMYFUNCTION("""COMPUTED_VALUE"""),"20210830MDNEO")</f>
        <v>20210830MDNEO</v>
      </c>
      <c r="B335" s="5" t="str">
        <f ca="1">IFERROR(__xludf.DUMMYFUNCTION("""COMPUTED_VALUE"""),"Handgun")</f>
        <v>Handgun</v>
      </c>
      <c r="C335" s="5"/>
      <c r="D335" s="5"/>
    </row>
    <row r="336" spans="1:4">
      <c r="A336" s="5" t="str">
        <f ca="1">IFERROR(__xludf.DUMMYFUNCTION("""COMPUTED_VALUE"""),"20210830FLOKW")</f>
        <v>20210830FLOKW</v>
      </c>
      <c r="B336" s="5" t="str">
        <f ca="1">IFERROR(__xludf.DUMMYFUNCTION("""COMPUTED_VALUE"""),"Other")</f>
        <v>Other</v>
      </c>
      <c r="C336" s="5" t="str">
        <f ca="1">IFERROR(__xludf.DUMMYFUNCTION("""COMPUTED_VALUE"""),"Pellet")</f>
        <v>Pellet</v>
      </c>
      <c r="D336" s="5"/>
    </row>
    <row r="337" spans="1:4">
      <c r="A337" s="5" t="str">
        <f ca="1">IFERROR(__xludf.DUMMYFUNCTION("""COMPUTED_VALUE"""),"20210828CASAS")</f>
        <v>20210828CASAS</v>
      </c>
      <c r="B337" s="5" t="str">
        <f ca="1">IFERROR(__xludf.DUMMYFUNCTION("""COMPUTED_VALUE"""),"Handgun")</f>
        <v>Handgun</v>
      </c>
      <c r="C337" s="5"/>
      <c r="D337" s="5"/>
    </row>
    <row r="338" spans="1:4">
      <c r="A338" s="5" t="str">
        <f ca="1">IFERROR(__xludf.DUMMYFUNCTION("""COMPUTED_VALUE"""),"20210827VAFRW")</f>
        <v>20210827VAFRW</v>
      </c>
      <c r="B338" s="5" t="str">
        <f ca="1">IFERROR(__xludf.DUMMYFUNCTION("""COMPUTED_VALUE"""),"Handgun")</f>
        <v>Handgun</v>
      </c>
      <c r="C338" s="5"/>
      <c r="D338" s="5"/>
    </row>
    <row r="339" spans="1:4">
      <c r="A339" s="5" t="str">
        <f ca="1">IFERROR(__xludf.DUMMYFUNCTION("""COMPUTED_VALUE"""),"20210827KYAPO")</f>
        <v>20210827KYAPO</v>
      </c>
      <c r="B339" s="5" t="str">
        <f ca="1">IFERROR(__xludf.DUMMYFUNCTION("""COMPUTED_VALUE"""),"Handgun")</f>
        <v>Handgun</v>
      </c>
      <c r="C339" s="5"/>
      <c r="D339" s="5"/>
    </row>
    <row r="340" spans="1:4">
      <c r="A340" s="5" t="str">
        <f ca="1">IFERROR(__xludf.DUMMYFUNCTION("""COMPUTED_VALUE"""),"20210827INHAH")</f>
        <v>20210827INHAH</v>
      </c>
      <c r="B340" s="5" t="str">
        <f ca="1">IFERROR(__xludf.DUMMYFUNCTION("""COMPUTED_VALUE"""),"Handgun")</f>
        <v>Handgun</v>
      </c>
      <c r="C340" s="5"/>
      <c r="D340" s="5"/>
    </row>
    <row r="341" spans="1:4">
      <c r="A341" s="5" t="str">
        <f ca="1">IFERROR(__xludf.DUMMYFUNCTION("""COMPUTED_VALUE"""),"20210826WAAKS")</f>
        <v>20210826WAAKS</v>
      </c>
      <c r="B341" s="5" t="str">
        <f ca="1">IFERROR(__xludf.DUMMYFUNCTION("""COMPUTED_VALUE"""),"Multiple Handguns")</f>
        <v>Multiple Handguns</v>
      </c>
      <c r="C341" s="5"/>
      <c r="D341" s="5"/>
    </row>
    <row r="342" spans="1:4">
      <c r="A342" s="5" t="str">
        <f ca="1">IFERROR(__xludf.DUMMYFUNCTION("""COMPUTED_VALUE"""),"20210826OHNOT")</f>
        <v>20210826OHNOT</v>
      </c>
      <c r="B342" s="5" t="str">
        <f ca="1">IFERROR(__xludf.DUMMYFUNCTION("""COMPUTED_VALUE"""),"Handgun")</f>
        <v>Handgun</v>
      </c>
      <c r="C342" s="5"/>
      <c r="D342" s="5"/>
    </row>
    <row r="343" spans="1:4">
      <c r="A343" s="5" t="str">
        <f ca="1">IFERROR(__xludf.DUMMYFUNCTION("""COMPUTED_VALUE"""),"20210826NYHAH")</f>
        <v>20210826NYHAH</v>
      </c>
      <c r="B343" s="5" t="str">
        <f ca="1">IFERROR(__xludf.DUMMYFUNCTION("""COMPUTED_VALUE"""),"Handgun")</f>
        <v>Handgun</v>
      </c>
      <c r="C343" s="5"/>
      <c r="D343" s="5"/>
    </row>
    <row r="344" spans="1:4">
      <c r="A344" s="5" t="str">
        <f ca="1">IFERROR(__xludf.DUMMYFUNCTION("""COMPUTED_VALUE"""),"20210822ILWER")</f>
        <v>20210822ILWER</v>
      </c>
      <c r="B344" s="5" t="str">
        <f ca="1">IFERROR(__xludf.DUMMYFUNCTION("""COMPUTED_VALUE"""),"Handgun")</f>
        <v>Handgun</v>
      </c>
      <c r="C344" s="5"/>
      <c r="D344" s="5"/>
    </row>
    <row r="345" spans="1:4">
      <c r="A345" s="5" t="str">
        <f ca="1">IFERROR(__xludf.DUMMYFUNCTION("""COMPUTED_VALUE"""),"20210820NEMIO")</f>
        <v>20210820NEMIO</v>
      </c>
      <c r="B345" s="5"/>
      <c r="C345" s="5"/>
      <c r="D345" s="5"/>
    </row>
    <row r="346" spans="1:4">
      <c r="A346" s="5" t="str">
        <f ca="1">IFERROR(__xludf.DUMMYFUNCTION("""COMPUTED_VALUE"""),"20210820CACEF")</f>
        <v>20210820CACEF</v>
      </c>
      <c r="B346" s="5" t="str">
        <f ca="1">IFERROR(__xludf.DUMMYFUNCTION("""COMPUTED_VALUE"""),"Handgun")</f>
        <v>Handgun</v>
      </c>
      <c r="C346" s="5"/>
      <c r="D346" s="5"/>
    </row>
    <row r="347" spans="1:4">
      <c r="A347" s="5" t="str">
        <f ca="1">IFERROR(__xludf.DUMMYFUNCTION("""COMPUTED_VALUE"""),"20210818SCORO")</f>
        <v>20210818SCORO</v>
      </c>
      <c r="B347" s="5" t="str">
        <f ca="1">IFERROR(__xludf.DUMMYFUNCTION("""COMPUTED_VALUE"""),"Handgun")</f>
        <v>Handgun</v>
      </c>
      <c r="C347" s="5"/>
      <c r="D347" s="5"/>
    </row>
    <row r="348" spans="1:4">
      <c r="A348" s="5" t="str">
        <f ca="1">IFERROR(__xludf.DUMMYFUNCTION("""COMPUTED_VALUE"""),"20210818SCORO")</f>
        <v>20210818SCORO</v>
      </c>
      <c r="B348" s="5" t="str">
        <f ca="1">IFERROR(__xludf.DUMMYFUNCTION("""COMPUTED_VALUE"""),"Handgun")</f>
        <v>Handgun</v>
      </c>
      <c r="C348" s="5"/>
      <c r="D348" s="5"/>
    </row>
    <row r="349" spans="1:4">
      <c r="A349" s="5" t="str">
        <f ca="1">IFERROR(__xludf.DUMMYFUNCTION("""COMPUTED_VALUE"""),"20210815VAROD")</f>
        <v>20210815VAROD</v>
      </c>
      <c r="B349" s="5" t="str">
        <f ca="1">IFERROR(__xludf.DUMMYFUNCTION("""COMPUTED_VALUE"""),"Handgun")</f>
        <v>Handgun</v>
      </c>
      <c r="C349" s="5"/>
      <c r="D349" s="5"/>
    </row>
    <row r="350" spans="1:4">
      <c r="A350" s="5" t="str">
        <f ca="1">IFERROR(__xludf.DUMMYFUNCTION("""COMPUTED_VALUE"""),"20210814SCDAH")</f>
        <v>20210814SCDAH</v>
      </c>
      <c r="B350" s="5" t="str">
        <f ca="1">IFERROR(__xludf.DUMMYFUNCTION("""COMPUTED_VALUE"""),"Other")</f>
        <v>Other</v>
      </c>
      <c r="C350" s="5" t="str">
        <f ca="1">IFERROR(__xludf.DUMMYFUNCTION("""COMPUTED_VALUE"""),"BB")</f>
        <v>BB</v>
      </c>
      <c r="D350" s="5"/>
    </row>
    <row r="351" spans="1:4">
      <c r="A351" s="5" t="str">
        <f ca="1">IFERROR(__xludf.DUMMYFUNCTION("""COMPUTED_VALUE"""),"20210814ILMAC")</f>
        <v>20210814ILMAC</v>
      </c>
      <c r="B351" s="5"/>
      <c r="C351" s="5"/>
      <c r="D351" s="5"/>
    </row>
    <row r="352" spans="1:4">
      <c r="A352" s="5" t="str">
        <f ca="1">IFERROR(__xludf.DUMMYFUNCTION("""COMPUTED_VALUE"""),"20210813NMWAA")</f>
        <v>20210813NMWAA</v>
      </c>
      <c r="B352" s="5" t="str">
        <f ca="1">IFERROR(__xludf.DUMMYFUNCTION("""COMPUTED_VALUE"""),"Handgun")</f>
        <v>Handgun</v>
      </c>
      <c r="C352" s="5"/>
      <c r="D352" s="5"/>
    </row>
    <row r="353" spans="1:4">
      <c r="A353" s="5" t="str">
        <f ca="1">IFERROR(__xludf.DUMMYFUNCTION("""COMPUTED_VALUE"""),"20210813GACAS")</f>
        <v>20210813GACAS</v>
      </c>
      <c r="B353" s="5" t="str">
        <f ca="1">IFERROR(__xludf.DUMMYFUNCTION("""COMPUTED_VALUE"""),"Handgun")</f>
        <v>Handgun</v>
      </c>
      <c r="C353" s="5"/>
      <c r="D353" s="5"/>
    </row>
    <row r="354" spans="1:4">
      <c r="A354" s="5" t="str">
        <f ca="1">IFERROR(__xludf.DUMMYFUNCTION("""COMPUTED_VALUE"""),"20210812GALIL")</f>
        <v>20210812GALIL</v>
      </c>
      <c r="B354" s="5" t="str">
        <f ca="1">IFERROR(__xludf.DUMMYFUNCTION("""COMPUTED_VALUE"""),"Handgun")</f>
        <v>Handgun</v>
      </c>
      <c r="C354" s="5" t="str">
        <f ca="1">IFERROR(__xludf.DUMMYFUNCTION("""COMPUTED_VALUE"""),"Service Weapon")</f>
        <v>Service Weapon</v>
      </c>
      <c r="D354" s="5"/>
    </row>
    <row r="355" spans="1:4">
      <c r="A355" s="5" t="str">
        <f ca="1">IFERROR(__xludf.DUMMYFUNCTION("""COMPUTED_VALUE"""),"20210812CANOS")</f>
        <v>20210812CANOS</v>
      </c>
      <c r="B355" s="5" t="str">
        <f ca="1">IFERROR(__xludf.DUMMYFUNCTION("""COMPUTED_VALUE"""),"Handgun")</f>
        <v>Handgun</v>
      </c>
      <c r="C355" s="5"/>
      <c r="D355" s="5"/>
    </row>
    <row r="356" spans="1:4">
      <c r="A356" s="5" t="str">
        <f ca="1">IFERROR(__xludf.DUMMYFUNCTION("""COMPUTED_VALUE"""),"20210811COMAC")</f>
        <v>20210811COMAC</v>
      </c>
      <c r="B356" s="5"/>
      <c r="C356" s="5"/>
      <c r="D356" s="5"/>
    </row>
    <row r="357" spans="1:4">
      <c r="A357" s="5" t="str">
        <f ca="1">IFERROR(__xludf.DUMMYFUNCTION("""COMPUTED_VALUE"""),"20210811CAOAO")</f>
        <v>20210811CAOAO</v>
      </c>
      <c r="B357" s="5" t="str">
        <f ca="1">IFERROR(__xludf.DUMMYFUNCTION("""COMPUTED_VALUE"""),"Handgun")</f>
        <v>Handgun</v>
      </c>
      <c r="C357" s="5"/>
      <c r="D357" s="5"/>
    </row>
    <row r="358" spans="1:4">
      <c r="A358" s="5" t="str">
        <f ca="1">IFERROR(__xludf.DUMMYFUNCTION("""COMPUTED_VALUE"""),"20210810OHEAC")</f>
        <v>20210810OHEAC</v>
      </c>
      <c r="B358" s="5" t="str">
        <f ca="1">IFERROR(__xludf.DUMMYFUNCTION("""COMPUTED_VALUE"""),"Handgun")</f>
        <v>Handgun</v>
      </c>
      <c r="C358" s="5"/>
      <c r="D358" s="5"/>
    </row>
    <row r="359" spans="1:4">
      <c r="A359" s="5" t="str">
        <f ca="1">IFERROR(__xludf.DUMMYFUNCTION("""COMPUTED_VALUE"""),"20210807ORGIP")</f>
        <v>20210807ORGIP</v>
      </c>
      <c r="B359" s="5"/>
      <c r="C359" s="5"/>
      <c r="D359" s="5"/>
    </row>
    <row r="360" spans="1:4">
      <c r="A360" s="5" t="str">
        <f ca="1">IFERROR(__xludf.DUMMYFUNCTION("""COMPUTED_VALUE"""),"20210806LASTH")</f>
        <v>20210806LASTH</v>
      </c>
      <c r="B360" s="5" t="str">
        <f ca="1">IFERROR(__xludf.DUMMYFUNCTION("""COMPUTED_VALUE"""),"Handgun")</f>
        <v>Handgun</v>
      </c>
      <c r="C360" s="5"/>
      <c r="D360" s="5"/>
    </row>
    <row r="361" spans="1:4">
      <c r="A361" s="5" t="str">
        <f ca="1">IFERROR(__xludf.DUMMYFUNCTION("""COMPUTED_VALUE"""),"20210805GACHD")</f>
        <v>20210805GACHD</v>
      </c>
      <c r="B361" s="5"/>
      <c r="C361" s="5"/>
      <c r="D361" s="5"/>
    </row>
    <row r="362" spans="1:4">
      <c r="A362" s="5" t="str">
        <f ca="1">IFERROR(__xludf.DUMMYFUNCTION("""COMPUTED_VALUE"""),"20210727WATYS")</f>
        <v>20210727WATYS</v>
      </c>
      <c r="B362" s="5" t="str">
        <f ca="1">IFERROR(__xludf.DUMMYFUNCTION("""COMPUTED_VALUE"""),"Handgun")</f>
        <v>Handgun</v>
      </c>
      <c r="C362" s="5"/>
      <c r="D362" s="5"/>
    </row>
    <row r="363" spans="1:4">
      <c r="A363" s="5" t="str">
        <f ca="1">IFERROR(__xludf.DUMMYFUNCTION("""COMPUTED_VALUE"""),"20210721ILTHC")</f>
        <v>20210721ILTHC</v>
      </c>
      <c r="B363" s="5"/>
      <c r="C363" s="5"/>
      <c r="D363" s="5"/>
    </row>
    <row r="364" spans="1:4">
      <c r="A364" s="5" t="str">
        <f ca="1">IFERROR(__xludf.DUMMYFUNCTION("""COMPUTED_VALUE"""),"20210719TXCAC")</f>
        <v>20210719TXCAC</v>
      </c>
      <c r="B364" s="5" t="str">
        <f ca="1">IFERROR(__xludf.DUMMYFUNCTION("""COMPUTED_VALUE"""),"Other")</f>
        <v>Other</v>
      </c>
      <c r="C364" s="5" t="str">
        <f ca="1">IFERROR(__xludf.DUMMYFUNCTION("""COMPUTED_VALUE"""),"BB")</f>
        <v>BB</v>
      </c>
      <c r="D364" s="5" t="str">
        <f ca="1">IFERROR(__xludf.DUMMYFUNCTION("""COMPUTED_VALUE"""),"Hydroball gun painted black to look realistic")</f>
        <v>Hydroball gun painted black to look realistic</v>
      </c>
    </row>
    <row r="365" spans="1:4">
      <c r="A365" s="5" t="str">
        <f ca="1">IFERROR(__xludf.DUMMYFUNCTION("""COMPUTED_VALUE"""),"20210718ARFOL")</f>
        <v>20210718ARFOL</v>
      </c>
      <c r="B365" s="5" t="str">
        <f ca="1">IFERROR(__xludf.DUMMYFUNCTION("""COMPUTED_VALUE"""),"Handgun")</f>
        <v>Handgun</v>
      </c>
      <c r="C365" s="5"/>
      <c r="D365" s="5"/>
    </row>
    <row r="366" spans="1:4">
      <c r="A366" s="5" t="str">
        <f ca="1">IFERROR(__xludf.DUMMYFUNCTION("""COMPUTED_VALUE"""),"20210709KSCAW")</f>
        <v>20210709KSCAW</v>
      </c>
      <c r="B366" s="5" t="str">
        <f ca="1">IFERROR(__xludf.DUMMYFUNCTION("""COMPUTED_VALUE"""),"Handgun")</f>
        <v>Handgun</v>
      </c>
      <c r="C366" s="5"/>
      <c r="D366" s="5"/>
    </row>
    <row r="367" spans="1:4">
      <c r="A367" s="5" t="str">
        <f ca="1">IFERROR(__xludf.DUMMYFUNCTION("""COMPUTED_VALUE"""),"20210708ILBEC")</f>
        <v>20210708ILBEC</v>
      </c>
      <c r="B367" s="5" t="str">
        <f ca="1">IFERROR(__xludf.DUMMYFUNCTION("""COMPUTED_VALUE"""),"Handgun")</f>
        <v>Handgun</v>
      </c>
      <c r="C367" s="5"/>
      <c r="D367" s="5"/>
    </row>
    <row r="368" spans="1:4">
      <c r="A368" s="5" t="str">
        <f ca="1">IFERROR(__xludf.DUMMYFUNCTION("""COMPUTED_VALUE"""),"20210704NYDRR")</f>
        <v>20210704NYDRR</v>
      </c>
      <c r="B368" s="5"/>
      <c r="C368" s="5"/>
      <c r="D368" s="5"/>
    </row>
    <row r="369" spans="1:4">
      <c r="A369" s="5" t="str">
        <f ca="1">IFERROR(__xludf.DUMMYFUNCTION("""COMPUTED_VALUE"""),"20210628CASLF")</f>
        <v>20210628CASLF</v>
      </c>
      <c r="B369" s="5"/>
      <c r="C369" s="5"/>
      <c r="D369" s="5"/>
    </row>
    <row r="370" spans="1:4">
      <c r="A370" s="5" t="str">
        <f ca="1">IFERROR(__xludf.DUMMYFUNCTION("""COMPUTED_VALUE"""),"20210624ILABR")</f>
        <v>20210624ILABR</v>
      </c>
      <c r="B370" s="5"/>
      <c r="C370" s="5"/>
      <c r="D370" s="5"/>
    </row>
    <row r="371" spans="1:4">
      <c r="A371" s="5" t="str">
        <f ca="1">IFERROR(__xludf.DUMMYFUNCTION("""COMPUTED_VALUE"""),"20210620CAGRM")</f>
        <v>20210620CAGRM</v>
      </c>
      <c r="B371" s="5" t="str">
        <f ca="1">IFERROR(__xludf.DUMMYFUNCTION("""COMPUTED_VALUE"""),"Handgun")</f>
        <v>Handgun</v>
      </c>
      <c r="C371" s="5" t="str">
        <f ca="1">IFERROR(__xludf.DUMMYFUNCTION("""COMPUTED_VALUE"""),"Service Weapon")</f>
        <v>Service Weapon</v>
      </c>
      <c r="D371" s="5"/>
    </row>
    <row r="372" spans="1:4">
      <c r="A372" s="5" t="str">
        <f ca="1">IFERROR(__xludf.DUMMYFUNCTION("""COMPUTED_VALUE"""),"20210614TXEAF")</f>
        <v>20210614TXEAF</v>
      </c>
      <c r="B372" s="5" t="str">
        <f ca="1">IFERROR(__xludf.DUMMYFUNCTION("""COMPUTED_VALUE"""),"Handgun")</f>
        <v>Handgun</v>
      </c>
      <c r="C372" s="5"/>
      <c r="D372" s="5"/>
    </row>
    <row r="373" spans="1:4">
      <c r="A373" s="5" t="str">
        <f ca="1">IFERROR(__xludf.DUMMYFUNCTION("""COMPUTED_VALUE"""),"20210614NCROR")</f>
        <v>20210614NCROR</v>
      </c>
      <c r="B373" s="5" t="str">
        <f ca="1">IFERROR(__xludf.DUMMYFUNCTION("""COMPUTED_VALUE"""),"Multiple Handguns")</f>
        <v>Multiple Handguns</v>
      </c>
      <c r="C373" s="5"/>
      <c r="D373" s="5"/>
    </row>
    <row r="374" spans="1:4">
      <c r="A374" s="5" t="str">
        <f ca="1">IFERROR(__xludf.DUMMYFUNCTION("""COMPUTED_VALUE"""),"20210614NCRJW")</f>
        <v>20210614NCRJW</v>
      </c>
      <c r="B374" s="5" t="str">
        <f ca="1">IFERROR(__xludf.DUMMYFUNCTION("""COMPUTED_VALUE"""),"Handgun")</f>
        <v>Handgun</v>
      </c>
      <c r="C374" s="5"/>
      <c r="D374" s="5"/>
    </row>
    <row r="375" spans="1:4">
      <c r="A375" s="5" t="str">
        <f ca="1">IFERROR(__xludf.DUMMYFUNCTION("""COMPUTED_VALUE"""),"20210614NCRJW")</f>
        <v>20210614NCRJW</v>
      </c>
      <c r="B375" s="5" t="str">
        <f ca="1">IFERROR(__xludf.DUMMYFUNCTION("""COMPUTED_VALUE"""),"Rifle")</f>
        <v>Rifle</v>
      </c>
      <c r="C375" s="5" t="str">
        <f ca="1">IFERROR(__xludf.DUMMYFUNCTION("""COMPUTED_VALUE"""),".223 caliber")</f>
        <v>.223 caliber</v>
      </c>
      <c r="D375" s="5" t="str">
        <f ca="1">IFERROR(__xludf.DUMMYFUNCTION("""COMPUTED_VALUE"""),"AR-15 style rifle")</f>
        <v>AR-15 style rifle</v>
      </c>
    </row>
    <row r="376" spans="1:4">
      <c r="A376" s="5" t="str">
        <f ca="1">IFERROR(__xludf.DUMMYFUNCTION("""COMPUTED_VALUE"""),"20210613PAWIP")</f>
        <v>20210613PAWIP</v>
      </c>
      <c r="B376" s="5" t="str">
        <f ca="1">IFERROR(__xludf.DUMMYFUNCTION("""COMPUTED_VALUE"""),"Handgun")</f>
        <v>Handgun</v>
      </c>
      <c r="C376" s="5"/>
      <c r="D376" s="5"/>
    </row>
    <row r="377" spans="1:4">
      <c r="A377" s="5" t="str">
        <f ca="1">IFERROR(__xludf.DUMMYFUNCTION("""COMPUTED_VALUE"""),"20210613PAPAC")</f>
        <v>20210613PAPAC</v>
      </c>
      <c r="B377" s="5"/>
      <c r="C377" s="5"/>
      <c r="D377" s="5"/>
    </row>
    <row r="378" spans="1:4">
      <c r="A378" s="5" t="str">
        <f ca="1">IFERROR(__xludf.DUMMYFUNCTION("""COMPUTED_VALUE"""),"20210612MOMCF")</f>
        <v>20210612MOMCF</v>
      </c>
      <c r="B378" s="5" t="str">
        <f ca="1">IFERROR(__xludf.DUMMYFUNCTION("""COMPUTED_VALUE"""),"Handgun")</f>
        <v>Handgun</v>
      </c>
      <c r="C378" s="5"/>
      <c r="D378" s="5"/>
    </row>
    <row r="379" spans="1:4">
      <c r="A379" s="5" t="str">
        <f ca="1">IFERROR(__xludf.DUMMYFUNCTION("""COMPUTED_VALUE"""),"20210610CTHOW")</f>
        <v>20210610CTHOW</v>
      </c>
      <c r="B379" s="5" t="str">
        <f ca="1">IFERROR(__xludf.DUMMYFUNCTION("""COMPUTED_VALUE"""),"Multiple Handguns")</f>
        <v>Multiple Handguns</v>
      </c>
      <c r="C379" s="5" t="str">
        <f ca="1">IFERROR(__xludf.DUMMYFUNCTION("""COMPUTED_VALUE"""),".40 caliber")</f>
        <v>.40 caliber</v>
      </c>
      <c r="D379" s="5" t="str">
        <f ca="1">IFERROR(__xludf.DUMMYFUNCTION("""COMPUTED_VALUE"""),"Glock 23 with illegal high capacity magazine")</f>
        <v>Glock 23 with illegal high capacity magazine</v>
      </c>
    </row>
    <row r="380" spans="1:4">
      <c r="A380" s="5" t="str">
        <f ca="1">IFERROR(__xludf.DUMMYFUNCTION("""COMPUTED_VALUE"""),"20210609VAWIR")</f>
        <v>20210609VAWIR</v>
      </c>
      <c r="B380" s="5" t="str">
        <f ca="1">IFERROR(__xludf.DUMMYFUNCTION("""COMPUTED_VALUE"""),"Handgun")</f>
        <v>Handgun</v>
      </c>
      <c r="C380" s="5"/>
      <c r="D380" s="5"/>
    </row>
    <row r="381" spans="1:4">
      <c r="A381" s="5" t="str">
        <f ca="1">IFERROR(__xludf.DUMMYFUNCTION("""COMPUTED_VALUE"""),"20210609TXNOH")</f>
        <v>20210609TXNOH</v>
      </c>
      <c r="B381" s="5" t="str">
        <f ca="1">IFERROR(__xludf.DUMMYFUNCTION("""COMPUTED_VALUE"""),"Handgun")</f>
        <v>Handgun</v>
      </c>
      <c r="C381" s="5"/>
      <c r="D381" s="5"/>
    </row>
    <row r="382" spans="1:4">
      <c r="A382" s="5" t="str">
        <f ca="1">IFERROR(__xludf.DUMMYFUNCTION("""COMPUTED_VALUE"""),"20210608PAMUS")</f>
        <v>20210608PAMUS</v>
      </c>
      <c r="B382" s="5" t="str">
        <f ca="1">IFERROR(__xludf.DUMMYFUNCTION("""COMPUTED_VALUE"""),"Handgun")</f>
        <v>Handgun</v>
      </c>
      <c r="C382" s="5"/>
      <c r="D382" s="5"/>
    </row>
    <row r="383" spans="1:4">
      <c r="A383" s="5" t="str">
        <f ca="1">IFERROR(__xludf.DUMMYFUNCTION("""COMPUTED_VALUE"""),"20210608KSHAK")</f>
        <v>20210608KSHAK</v>
      </c>
      <c r="B383" s="5"/>
      <c r="C383" s="5"/>
      <c r="D383" s="5"/>
    </row>
    <row r="384" spans="1:4">
      <c r="A384" s="5" t="str">
        <f ca="1">IFERROR(__xludf.DUMMYFUNCTION("""COMPUTED_VALUE"""),"20210607TXEAF")</f>
        <v>20210607TXEAF</v>
      </c>
      <c r="B384" s="5" t="str">
        <f ca="1">IFERROR(__xludf.DUMMYFUNCTION("""COMPUTED_VALUE"""),"Handgun")</f>
        <v>Handgun</v>
      </c>
      <c r="C384" s="5"/>
      <c r="D384" s="5"/>
    </row>
    <row r="385" spans="1:4">
      <c r="A385" s="5" t="str">
        <f ca="1">IFERROR(__xludf.DUMMYFUNCTION("""COMPUTED_VALUE"""),"20210606VADRA")</f>
        <v>20210606VADRA</v>
      </c>
      <c r="B385" s="5" t="str">
        <f ca="1">IFERROR(__xludf.DUMMYFUNCTION("""COMPUTED_VALUE"""),"Multiple Handguns")</f>
        <v>Multiple Handguns</v>
      </c>
      <c r="C385" s="5"/>
      <c r="D385" s="5"/>
    </row>
    <row r="386" spans="1:4">
      <c r="A386" s="5" t="str">
        <f ca="1">IFERROR(__xludf.DUMMYFUNCTION("""COMPUTED_VALUE"""),"20210601ILLIC")</f>
        <v>20210601ILLIC</v>
      </c>
      <c r="B386" s="5" t="str">
        <f ca="1">IFERROR(__xludf.DUMMYFUNCTION("""COMPUTED_VALUE"""),"Handgun")</f>
        <v>Handgun</v>
      </c>
      <c r="C386" s="5"/>
      <c r="D386" s="5"/>
    </row>
    <row r="387" spans="1:4">
      <c r="A387" s="5" t="str">
        <f ca="1">IFERROR(__xludf.DUMMYFUNCTION("""COMPUTED_VALUE"""),"20210525NJPAP")</f>
        <v>20210525NJPAP</v>
      </c>
      <c r="B387" s="5" t="str">
        <f ca="1">IFERROR(__xludf.DUMMYFUNCTION("""COMPUTED_VALUE"""),"Rifle")</f>
        <v>Rifle</v>
      </c>
      <c r="C387" s="5"/>
      <c r="D387" s="5" t="str">
        <f ca="1">IFERROR(__xludf.DUMMYFUNCTION("""COMPUTED_VALUE"""),"High-powered rifle with pistol grip, scope, extended magazine, and other modifications.")</f>
        <v>High-powered rifle with pistol grip, scope, extended magazine, and other modifications.</v>
      </c>
    </row>
    <row r="388" spans="1:4">
      <c r="A388" s="5" t="str">
        <f ca="1">IFERROR(__xludf.DUMMYFUNCTION("""COMPUTED_VALUE"""),"20210517TXBRE")</f>
        <v>20210517TXBRE</v>
      </c>
      <c r="B388" s="5" t="str">
        <f ca="1">IFERROR(__xludf.DUMMYFUNCTION("""COMPUTED_VALUE"""),"Other")</f>
        <v>Other</v>
      </c>
      <c r="C388" s="5" t="str">
        <f ca="1">IFERROR(__xludf.DUMMYFUNCTION("""COMPUTED_VALUE"""),"BB")</f>
        <v>BB</v>
      </c>
      <c r="D388" s="5"/>
    </row>
    <row r="389" spans="1:4">
      <c r="A389" s="5" t="str">
        <f ca="1">IFERROR(__xludf.DUMMYFUNCTION("""COMPUTED_VALUE"""),"20210517TNAUM")</f>
        <v>20210517TNAUM</v>
      </c>
      <c r="B389" s="5" t="str">
        <f ca="1">IFERROR(__xludf.DUMMYFUNCTION("""COMPUTED_VALUE"""),"Handgun")</f>
        <v>Handgun</v>
      </c>
      <c r="C389" s="5"/>
      <c r="D389" s="5"/>
    </row>
    <row r="390" spans="1:4">
      <c r="A390" s="5" t="str">
        <f ca="1">IFERROR(__xludf.DUMMYFUNCTION("""COMPUTED_VALUE"""),"20210517MDLOC")</f>
        <v>20210517MDLOC</v>
      </c>
      <c r="B390" s="5" t="str">
        <f ca="1">IFERROR(__xludf.DUMMYFUNCTION("""COMPUTED_VALUE"""),"Multiple Handguns")</f>
        <v>Multiple Handguns</v>
      </c>
      <c r="C390" s="5"/>
      <c r="D390" s="5" t="str">
        <f ca="1">IFERROR(__xludf.DUMMYFUNCTION("""COMPUTED_VALUE"""),"One handgun was ""ghost gun""")</f>
        <v>One handgun was "ghost gun"</v>
      </c>
    </row>
    <row r="391" spans="1:4">
      <c r="A391" s="5" t="str">
        <f ca="1">IFERROR(__xludf.DUMMYFUNCTION("""COMPUTED_VALUE"""),"20210514CASAS")</f>
        <v>20210514CASAS</v>
      </c>
      <c r="B391" s="5" t="str">
        <f ca="1">IFERROR(__xludf.DUMMYFUNCTION("""COMPUTED_VALUE"""),"Handgun")</f>
        <v>Handgun</v>
      </c>
      <c r="C391" s="5"/>
      <c r="D391" s="5"/>
    </row>
    <row r="392" spans="1:4">
      <c r="A392" s="5" t="str">
        <f ca="1">IFERROR(__xludf.DUMMYFUNCTION("""COMPUTED_VALUE"""),"20210511NYPSB")</f>
        <v>20210511NYPSB</v>
      </c>
      <c r="B392" s="5" t="str">
        <f ca="1">IFERROR(__xludf.DUMMYFUNCTION("""COMPUTED_VALUE"""),"Handgun")</f>
        <v>Handgun</v>
      </c>
      <c r="C392" s="5"/>
      <c r="D392" s="5"/>
    </row>
    <row r="393" spans="1:4">
      <c r="A393" s="5" t="str">
        <f ca="1">IFERROR(__xludf.DUMMYFUNCTION("""COMPUTED_VALUE"""),"20210511CAVEL")</f>
        <v>20210511CAVEL</v>
      </c>
      <c r="B393" s="5" t="str">
        <f ca="1">IFERROR(__xludf.DUMMYFUNCTION("""COMPUTED_VALUE"""),"Other")</f>
        <v>Other</v>
      </c>
      <c r="C393" s="5" t="str">
        <f ca="1">IFERROR(__xludf.DUMMYFUNCTION("""COMPUTED_VALUE"""),"Pellet")</f>
        <v>Pellet</v>
      </c>
      <c r="D393" s="5"/>
    </row>
    <row r="394" spans="1:4">
      <c r="A394" s="5" t="str">
        <f ca="1">IFERROR(__xludf.DUMMYFUNCTION("""COMPUTED_VALUE"""),"20210506SCFOC")</f>
        <v>20210506SCFOC</v>
      </c>
      <c r="B394" s="5" t="str">
        <f ca="1">IFERROR(__xludf.DUMMYFUNCTION("""COMPUTED_VALUE"""),"Rifle")</f>
        <v>Rifle</v>
      </c>
      <c r="C394" s="5"/>
      <c r="D394" s="5" t="str">
        <f ca="1">IFERROR(__xludf.DUMMYFUNCTION("""COMPUTED_VALUE"""),"Military rifle taken from Army Fort")</f>
        <v>Military rifle taken from Army Fort</v>
      </c>
    </row>
    <row r="395" spans="1:4">
      <c r="A395" s="5" t="str">
        <f ca="1">IFERROR(__xludf.DUMMYFUNCTION("""COMPUTED_VALUE"""),"20210506IDRIR")</f>
        <v>20210506IDRIR</v>
      </c>
      <c r="B395" s="5" t="str">
        <f ca="1">IFERROR(__xludf.DUMMYFUNCTION("""COMPUTED_VALUE"""),"Handgun")</f>
        <v>Handgun</v>
      </c>
      <c r="C395" s="5"/>
      <c r="D395" s="5"/>
    </row>
    <row r="396" spans="1:4">
      <c r="A396" s="5" t="str">
        <f ca="1">IFERROR(__xludf.DUMMYFUNCTION("""COMPUTED_VALUE"""),"20210505SCWAW")</f>
        <v>20210505SCWAW</v>
      </c>
      <c r="B396" s="5" t="str">
        <f ca="1">IFERROR(__xludf.DUMMYFUNCTION("""COMPUTED_VALUE"""),"Handgun")</f>
        <v>Handgun</v>
      </c>
      <c r="C396" s="5"/>
      <c r="D396" s="5"/>
    </row>
    <row r="397" spans="1:4">
      <c r="A397" s="5" t="str">
        <f ca="1">IFERROR(__xludf.DUMMYFUNCTION("""COMPUTED_VALUE"""),"20210505MICRC")</f>
        <v>20210505MICRC</v>
      </c>
      <c r="B397" s="5" t="str">
        <f ca="1">IFERROR(__xludf.DUMMYFUNCTION("""COMPUTED_VALUE"""),"Handgun")</f>
        <v>Handgun</v>
      </c>
      <c r="C397" s="5"/>
      <c r="D397" s="5"/>
    </row>
    <row r="398" spans="1:4">
      <c r="A398" s="5" t="str">
        <f ca="1">IFERROR(__xludf.DUMMYFUNCTION("""COMPUTED_VALUE"""),"20210502ILCHC")</f>
        <v>20210502ILCHC</v>
      </c>
      <c r="B398" s="5" t="str">
        <f ca="1">IFERROR(__xludf.DUMMYFUNCTION("""COMPUTED_VALUE"""),"Multiple Handguns")</f>
        <v>Multiple Handguns</v>
      </c>
      <c r="C398" s="5"/>
      <c r="D398" s="5"/>
    </row>
    <row r="399" spans="1:4">
      <c r="A399" s="5" t="str">
        <f ca="1">IFERROR(__xludf.DUMMYFUNCTION("""COMPUTED_VALUE"""),"20210501MNBES")</f>
        <v>20210501MNBES</v>
      </c>
      <c r="B399" s="5" t="str">
        <f ca="1">IFERROR(__xludf.DUMMYFUNCTION("""COMPUTED_VALUE"""),"Multiple Handguns")</f>
        <v>Multiple Handguns</v>
      </c>
      <c r="C399" s="5"/>
      <c r="D399" s="5"/>
    </row>
    <row r="400" spans="1:4">
      <c r="A400" s="5" t="str">
        <f ca="1">IFERROR(__xludf.DUMMYFUNCTION("""COMPUTED_VALUE"""),"20210430INMAI")</f>
        <v>20210430INMAI</v>
      </c>
      <c r="B400" s="5" t="str">
        <f ca="1">IFERROR(__xludf.DUMMYFUNCTION("""COMPUTED_VALUE"""),"Handgun")</f>
        <v>Handgun</v>
      </c>
      <c r="C400" s="5"/>
      <c r="D400" s="5"/>
    </row>
    <row r="401" spans="1:4">
      <c r="A401" s="5" t="str">
        <f ca="1">IFERROR(__xludf.DUMMYFUNCTION("""COMPUTED_VALUE"""),"20210429NYURB")</f>
        <v>20210429NYURB</v>
      </c>
      <c r="B401" s="5" t="str">
        <f ca="1">IFERROR(__xludf.DUMMYFUNCTION("""COMPUTED_VALUE"""),"Multiple Handguns")</f>
        <v>Multiple Handguns</v>
      </c>
      <c r="C401" s="5"/>
      <c r="D401" s="5"/>
    </row>
    <row r="402" spans="1:4">
      <c r="A402" s="5" t="str">
        <f ca="1">IFERROR(__xludf.DUMMYFUNCTION("""COMPUTED_VALUE"""),"20210429CAVIV")</f>
        <v>20210429CAVIV</v>
      </c>
      <c r="B402" s="5" t="str">
        <f ca="1">IFERROR(__xludf.DUMMYFUNCTION("""COMPUTED_VALUE"""),"Handgun")</f>
        <v>Handgun</v>
      </c>
      <c r="C402" s="5"/>
      <c r="D402" s="5"/>
    </row>
    <row r="403" spans="1:4">
      <c r="A403" s="5" t="str">
        <f ca="1">IFERROR(__xludf.DUMMYFUNCTION("""COMPUTED_VALUE"""),"20210427TNLAM")</f>
        <v>20210427TNLAM</v>
      </c>
      <c r="B403" s="5" t="str">
        <f ca="1">IFERROR(__xludf.DUMMYFUNCTION("""COMPUTED_VALUE"""),"Handgun")</f>
        <v>Handgun</v>
      </c>
      <c r="C403" s="5"/>
      <c r="D403" s="5"/>
    </row>
    <row r="404" spans="1:4">
      <c r="A404" s="5" t="str">
        <f ca="1">IFERROR(__xludf.DUMMYFUNCTION("""COMPUTED_VALUE"""),"20210427DESMS")</f>
        <v>20210427DESMS</v>
      </c>
      <c r="B404" s="5" t="str">
        <f ca="1">IFERROR(__xludf.DUMMYFUNCTION("""COMPUTED_VALUE"""),"Handgun")</f>
        <v>Handgun</v>
      </c>
      <c r="C404" s="5"/>
      <c r="D404" s="5"/>
    </row>
    <row r="405" spans="1:4">
      <c r="A405" s="5" t="str">
        <f ca="1">IFERROR(__xludf.DUMMYFUNCTION("""COMPUTED_VALUE"""),"20210426MNPLP")</f>
        <v>20210426MNPLP</v>
      </c>
      <c r="B405" s="5" t="str">
        <f ca="1">IFERROR(__xludf.DUMMYFUNCTION("""COMPUTED_VALUE"""),"Handgun")</f>
        <v>Handgun</v>
      </c>
      <c r="C405" s="5"/>
      <c r="D405" s="5"/>
    </row>
    <row r="406" spans="1:4">
      <c r="A406" s="5" t="str">
        <f ca="1">IFERROR(__xludf.DUMMYFUNCTION("""COMPUTED_VALUE"""),"20210420TXHAH")</f>
        <v>20210420TXHAH</v>
      </c>
      <c r="B406" s="5" t="str">
        <f ca="1">IFERROR(__xludf.DUMMYFUNCTION("""COMPUTED_VALUE"""),"Handgun")</f>
        <v>Handgun</v>
      </c>
      <c r="C406" s="5"/>
      <c r="D406" s="5"/>
    </row>
    <row r="407" spans="1:4">
      <c r="A407" s="5" t="str">
        <f ca="1">IFERROR(__xludf.DUMMYFUNCTION("""COMPUTED_VALUE"""),"20210418OHWED")</f>
        <v>20210418OHWED</v>
      </c>
      <c r="B407" s="5" t="str">
        <f ca="1">IFERROR(__xludf.DUMMYFUNCTION("""COMPUTED_VALUE"""),"Handgun")</f>
        <v>Handgun</v>
      </c>
      <c r="C407" s="5"/>
      <c r="D407" s="5"/>
    </row>
    <row r="408" spans="1:4">
      <c r="A408" s="5" t="str">
        <f ca="1">IFERROR(__xludf.DUMMYFUNCTION("""COMPUTED_VALUE"""),"20210413TNMAC")</f>
        <v>20210413TNMAC</v>
      </c>
      <c r="B408" s="5" t="str">
        <f ca="1">IFERROR(__xludf.DUMMYFUNCTION("""COMPUTED_VALUE"""),"Handgun")</f>
        <v>Handgun</v>
      </c>
      <c r="C408" s="5"/>
      <c r="D408" s="5"/>
    </row>
    <row r="409" spans="1:4">
      <c r="A409" s="5" t="str">
        <f ca="1">IFERROR(__xludf.DUMMYFUNCTION("""COMPUTED_VALUE"""),"20210412TNAUK")</f>
        <v>20210412TNAUK</v>
      </c>
      <c r="B409" s="5"/>
      <c r="C409" s="5"/>
      <c r="D409" s="5"/>
    </row>
    <row r="410" spans="1:4">
      <c r="A410" s="5" t="str">
        <f ca="1">IFERROR(__xludf.DUMMYFUNCTION("""COMPUTED_VALUE"""),"20210412CASAS")</f>
        <v>20210412CASAS</v>
      </c>
      <c r="B410" s="5" t="str">
        <f ca="1">IFERROR(__xludf.DUMMYFUNCTION("""COMPUTED_VALUE"""),"Rifle")</f>
        <v>Rifle</v>
      </c>
      <c r="C410" s="5"/>
      <c r="D410" s="5"/>
    </row>
    <row r="411" spans="1:4">
      <c r="A411" s="5" t="str">
        <f ca="1">IFERROR(__xludf.DUMMYFUNCTION("""COMPUTED_VALUE"""),"20210412CASAS")</f>
        <v>20210412CASAS</v>
      </c>
      <c r="B411" s="5" t="str">
        <f ca="1">IFERROR(__xludf.DUMMYFUNCTION("""COMPUTED_VALUE"""),"Handgun")</f>
        <v>Handgun</v>
      </c>
      <c r="C411" s="5"/>
      <c r="D411" s="5"/>
    </row>
    <row r="412" spans="1:4">
      <c r="A412" s="5" t="str">
        <f ca="1">IFERROR(__xludf.DUMMYFUNCTION("""COMPUTED_VALUE"""),"20210411INBIH")</f>
        <v>20210411INBIH</v>
      </c>
      <c r="B412" s="5" t="str">
        <f ca="1">IFERROR(__xludf.DUMMYFUNCTION("""COMPUTED_VALUE"""),"Handgun")</f>
        <v>Handgun</v>
      </c>
      <c r="C412" s="5" t="str">
        <f ca="1">IFERROR(__xludf.DUMMYFUNCTION("""COMPUTED_VALUE"""),"9mm")</f>
        <v>9mm</v>
      </c>
      <c r="D412" s="5"/>
    </row>
    <row r="413" spans="1:4">
      <c r="A413" s="5" t="str">
        <f ca="1">IFERROR(__xludf.DUMMYFUNCTION("""COMPUTED_VALUE"""),"20210407ILPEP")</f>
        <v>20210407ILPEP</v>
      </c>
      <c r="B413" s="5" t="str">
        <f ca="1">IFERROR(__xludf.DUMMYFUNCTION("""COMPUTED_VALUE"""),"Handgun")</f>
        <v>Handgun</v>
      </c>
      <c r="C413" s="5"/>
      <c r="D413" s="5" t="str">
        <f ca="1">IFERROR(__xludf.DUMMYFUNCTION("""COMPUTED_VALUE"""),"Not loaded")</f>
        <v>Not loaded</v>
      </c>
    </row>
    <row r="414" spans="1:4">
      <c r="A414" s="5" t="str">
        <f ca="1">IFERROR(__xludf.DUMMYFUNCTION("""COMPUTED_VALUE"""),"20210406ILBAC")</f>
        <v>20210406ILBAC</v>
      </c>
      <c r="B414" s="5" t="str">
        <f ca="1">IFERROR(__xludf.DUMMYFUNCTION("""COMPUTED_VALUE"""),"Other")</f>
        <v>Other</v>
      </c>
      <c r="C414" s="5" t="str">
        <f ca="1">IFERROR(__xludf.DUMMYFUNCTION("""COMPUTED_VALUE"""),"BB")</f>
        <v>BB</v>
      </c>
      <c r="D414" s="5" t="str">
        <f ca="1">IFERROR(__xludf.DUMMYFUNCTION("""COMPUTED_VALUE"""),"Assault rifle replica")</f>
        <v>Assault rifle replica</v>
      </c>
    </row>
    <row r="415" spans="1:4">
      <c r="A415" s="5" t="str">
        <f ca="1">IFERROR(__xludf.DUMMYFUNCTION("""COMPUTED_VALUE"""),"20210401OKCLC")</f>
        <v>20210401OKCLC</v>
      </c>
      <c r="B415" s="5" t="str">
        <f ca="1">IFERROR(__xludf.DUMMYFUNCTION("""COMPUTED_VALUE"""),"Other")</f>
        <v>Other</v>
      </c>
      <c r="C415" s="5" t="str">
        <f ca="1">IFERROR(__xludf.DUMMYFUNCTION("""COMPUTED_VALUE"""),"BB")</f>
        <v>BB</v>
      </c>
      <c r="D415" s="5"/>
    </row>
    <row r="416" spans="1:4">
      <c r="A416" s="5" t="str">
        <f ca="1">IFERROR(__xludf.DUMMYFUNCTION("""COMPUTED_VALUE"""),"20210401ALSES")</f>
        <v>20210401ALSES</v>
      </c>
      <c r="B416" s="5" t="str">
        <f ca="1">IFERROR(__xludf.DUMMYFUNCTION("""COMPUTED_VALUE"""),"Handgun")</f>
        <v>Handgun</v>
      </c>
      <c r="C416" s="5"/>
      <c r="D416" s="5"/>
    </row>
    <row r="417" spans="1:4">
      <c r="A417" s="5" t="str">
        <f ca="1">IFERROR(__xludf.DUMMYFUNCTION("""COMPUTED_VALUE"""),"20210327MAPEC")</f>
        <v>20210327MAPEC</v>
      </c>
      <c r="B417" s="5"/>
      <c r="C417" s="5"/>
      <c r="D417" s="5"/>
    </row>
    <row r="418" spans="1:4">
      <c r="A418" s="5" t="str">
        <f ca="1">IFERROR(__xludf.DUMMYFUNCTION("""COMPUTED_VALUE"""),"20210326MOCAS")</f>
        <v>20210326MOCAS</v>
      </c>
      <c r="B418" s="5" t="str">
        <f ca="1">IFERROR(__xludf.DUMMYFUNCTION("""COMPUTED_VALUE"""),"Handgun")</f>
        <v>Handgun</v>
      </c>
      <c r="C418" s="5"/>
      <c r="D418" s="5"/>
    </row>
    <row r="419" spans="1:4">
      <c r="A419" s="5" t="str">
        <f ca="1">IFERROR(__xludf.DUMMYFUNCTION("""COMPUTED_VALUE"""),"20210324ORFOS")</f>
        <v>20210324ORFOS</v>
      </c>
      <c r="B419" s="5" t="str">
        <f ca="1">IFERROR(__xludf.DUMMYFUNCTION("""COMPUTED_VALUE"""),"Handgun")</f>
        <v>Handgun</v>
      </c>
      <c r="C419" s="5"/>
      <c r="D419" s="5"/>
    </row>
    <row r="420" spans="1:4">
      <c r="A420" s="5" t="str">
        <f ca="1">IFERROR(__xludf.DUMMYFUNCTION("""COMPUTED_VALUE"""),"20210319WVSPM")</f>
        <v>20210319WVSPM</v>
      </c>
      <c r="B420" s="5" t="str">
        <f ca="1">IFERROR(__xludf.DUMMYFUNCTION("""COMPUTED_VALUE"""),"Other")</f>
        <v>Other</v>
      </c>
      <c r="C420" s="5" t="str">
        <f ca="1">IFERROR(__xludf.DUMMYFUNCTION("""COMPUTED_VALUE"""),"BB")</f>
        <v>BB</v>
      </c>
      <c r="D420" s="5"/>
    </row>
    <row r="421" spans="1:4">
      <c r="A421" s="5" t="str">
        <f ca="1">IFERROR(__xludf.DUMMYFUNCTION("""COMPUTED_VALUE"""),"20210318KYGRL")</f>
        <v>20210318KYGRL</v>
      </c>
      <c r="B421" s="5" t="str">
        <f ca="1">IFERROR(__xludf.DUMMYFUNCTION("""COMPUTED_VALUE"""),"Handgun")</f>
        <v>Handgun</v>
      </c>
      <c r="C421" s="5"/>
      <c r="D421" s="5"/>
    </row>
    <row r="422" spans="1:4">
      <c r="A422" s="5" t="str">
        <f ca="1">IFERROR(__xludf.DUMMYFUNCTION("""COMPUTED_VALUE"""),"20210315INMEM")</f>
        <v>20210315INMEM</v>
      </c>
      <c r="B422" s="5" t="str">
        <f ca="1">IFERROR(__xludf.DUMMYFUNCTION("""COMPUTED_VALUE"""),"Multiple Handguns")</f>
        <v>Multiple Handguns</v>
      </c>
      <c r="C422" s="5"/>
      <c r="D422" s="5"/>
    </row>
    <row r="423" spans="1:4">
      <c r="A423" s="5" t="str">
        <f ca="1">IFERROR(__xludf.DUMMYFUNCTION("""COMPUTED_VALUE"""),"20210313TXLEA")</f>
        <v>20210313TXLEA</v>
      </c>
      <c r="B423" s="5" t="str">
        <f ca="1">IFERROR(__xludf.DUMMYFUNCTION("""COMPUTED_VALUE"""),"Handgun")</f>
        <v>Handgun</v>
      </c>
      <c r="C423" s="5"/>
      <c r="D423" s="5"/>
    </row>
    <row r="424" spans="1:4">
      <c r="A424" s="5" t="str">
        <f ca="1">IFERROR(__xludf.DUMMYFUNCTION("""COMPUTED_VALUE"""),"20210311OHCIC")</f>
        <v>20210311OHCIC</v>
      </c>
      <c r="B424" s="5"/>
      <c r="C424" s="5"/>
      <c r="D424" s="5"/>
    </row>
    <row r="425" spans="1:4">
      <c r="A425" s="5" t="str">
        <f ca="1">IFERROR(__xludf.DUMMYFUNCTION("""COMPUTED_VALUE"""),"20210309TNSAK")</f>
        <v>20210309TNSAK</v>
      </c>
      <c r="B425" s="5" t="str">
        <f ca="1">IFERROR(__xludf.DUMMYFUNCTION("""COMPUTED_VALUE"""),"Handgun")</f>
        <v>Handgun</v>
      </c>
      <c r="C425" s="5"/>
      <c r="D425" s="5"/>
    </row>
    <row r="426" spans="1:4">
      <c r="A426" s="5" t="str">
        <f ca="1">IFERROR(__xludf.DUMMYFUNCTION("""COMPUTED_VALUE"""),"20210309OHBIC")</f>
        <v>20210309OHBIC</v>
      </c>
      <c r="B426" s="5"/>
      <c r="C426" s="5"/>
      <c r="D426" s="5"/>
    </row>
    <row r="427" spans="1:4">
      <c r="A427" s="5" t="str">
        <f ca="1">IFERROR(__xludf.DUMMYFUNCTION("""COMPUTED_VALUE"""),"20210308SCEDC")</f>
        <v>20210308SCEDC</v>
      </c>
      <c r="B427" s="5" t="str">
        <f ca="1">IFERROR(__xludf.DUMMYFUNCTION("""COMPUTED_VALUE"""),"Handgun")</f>
        <v>Handgun</v>
      </c>
      <c r="C427" s="5"/>
      <c r="D427" s="5"/>
    </row>
    <row r="428" spans="1:4">
      <c r="A428" s="5" t="str">
        <f ca="1">IFERROR(__xludf.DUMMYFUNCTION("""COMPUTED_VALUE"""),"20210301ARWAP")</f>
        <v>20210301ARWAP</v>
      </c>
      <c r="B428" s="5" t="str">
        <f ca="1">IFERROR(__xludf.DUMMYFUNCTION("""COMPUTED_VALUE"""),"Handgun")</f>
        <v>Handgun</v>
      </c>
      <c r="C428" s="5" t="str">
        <f ca="1">IFERROR(__xludf.DUMMYFUNCTION("""COMPUTED_VALUE"""),".38 caliber")</f>
        <v>.38 caliber</v>
      </c>
      <c r="D428" s="5"/>
    </row>
    <row r="429" spans="1:4">
      <c r="A429" s="5" t="str">
        <f ca="1">IFERROR(__xludf.DUMMYFUNCTION("""COMPUTED_VALUE"""),"20210226LAGEN")</f>
        <v>20210226LAGEN</v>
      </c>
      <c r="B429" s="5" t="str">
        <f ca="1">IFERROR(__xludf.DUMMYFUNCTION("""COMPUTED_VALUE"""),"Handgun")</f>
        <v>Handgun</v>
      </c>
      <c r="C429" s="5"/>
      <c r="D429" s="5"/>
    </row>
    <row r="430" spans="1:4">
      <c r="A430" s="5" t="str">
        <f ca="1">IFERROR(__xludf.DUMMYFUNCTION("""COMPUTED_VALUE"""),"20210224WAGAY")</f>
        <v>20210224WAGAY</v>
      </c>
      <c r="B430" s="5" t="str">
        <f ca="1">IFERROR(__xludf.DUMMYFUNCTION("""COMPUTED_VALUE"""),"Handgun")</f>
        <v>Handgun</v>
      </c>
      <c r="C430" s="5"/>
      <c r="D430" s="5"/>
    </row>
    <row r="431" spans="1:4">
      <c r="A431" s="5" t="str">
        <f ca="1">IFERROR(__xludf.DUMMYFUNCTION("""COMPUTED_VALUE"""),"20210222CAHOV")</f>
        <v>20210222CAHOV</v>
      </c>
      <c r="B431" s="5"/>
      <c r="C431" s="5"/>
      <c r="D431" s="5"/>
    </row>
    <row r="432" spans="1:4">
      <c r="A432" s="5" t="str">
        <f ca="1">IFERROR(__xludf.DUMMYFUNCTION("""COMPUTED_VALUE"""),"20210219ILLIR")</f>
        <v>20210219ILLIR</v>
      </c>
      <c r="B432" s="5"/>
      <c r="C432" s="5"/>
      <c r="D432" s="5"/>
    </row>
    <row r="433" spans="1:4">
      <c r="A433" s="5" t="str">
        <f ca="1">IFERROR(__xludf.DUMMYFUNCTION("""COMPUTED_VALUE"""),"20210217TNKNK")</f>
        <v>20210217TNKNK</v>
      </c>
      <c r="B433" s="5"/>
      <c r="C433" s="5"/>
      <c r="D433" s="5"/>
    </row>
    <row r="434" spans="1:4">
      <c r="A434" s="5" t="str">
        <f ca="1">IFERROR(__xludf.DUMMYFUNCTION("""COMPUTED_VALUE"""),"20210216NCTHS")</f>
        <v>20210216NCTHS</v>
      </c>
      <c r="B434" s="5" t="str">
        <f ca="1">IFERROR(__xludf.DUMMYFUNCTION("""COMPUTED_VALUE"""),"Other")</f>
        <v>Other</v>
      </c>
      <c r="C434" s="5" t="str">
        <f ca="1">IFERROR(__xludf.DUMMYFUNCTION("""COMPUTED_VALUE"""),"Pellet")</f>
        <v>Pellet</v>
      </c>
      <c r="D434" s="5"/>
    </row>
    <row r="435" spans="1:4">
      <c r="A435" s="5" t="str">
        <f ca="1">IFERROR(__xludf.DUMMYFUNCTION("""COMPUTED_VALUE"""),"20210214MNROM")</f>
        <v>20210214MNROM</v>
      </c>
      <c r="B435" s="5"/>
      <c r="C435" s="5"/>
      <c r="D435" s="5"/>
    </row>
    <row r="436" spans="1:4">
      <c r="A436" s="5" t="str">
        <f ca="1">IFERROR(__xludf.DUMMYFUNCTION("""COMPUTED_VALUE"""),"20210210TXFOF")</f>
        <v>20210210TXFOF</v>
      </c>
      <c r="B436" s="5"/>
      <c r="C436" s="5"/>
      <c r="D436" s="5"/>
    </row>
    <row r="437" spans="1:4">
      <c r="A437" s="5" t="str">
        <f ca="1">IFERROR(__xludf.DUMMYFUNCTION("""COMPUTED_VALUE"""),"20210210NJSCP")</f>
        <v>20210210NJSCP</v>
      </c>
      <c r="B437" s="5"/>
      <c r="C437" s="5"/>
      <c r="D437" s="5"/>
    </row>
    <row r="438" spans="1:4">
      <c r="A438" s="5" t="str">
        <f ca="1">IFERROR(__xludf.DUMMYFUNCTION("""COMPUTED_VALUE"""),"20210210LASTS")</f>
        <v>20210210LASTS</v>
      </c>
      <c r="B438" s="5"/>
      <c r="C438" s="5"/>
      <c r="D438" s="5"/>
    </row>
    <row r="439" spans="1:4">
      <c r="A439" s="5" t="str">
        <f ca="1">IFERROR(__xludf.DUMMYFUNCTION("""COMPUTED_VALUE"""),"20210208MISCG")</f>
        <v>20210208MISCG</v>
      </c>
      <c r="B439" s="5"/>
      <c r="C439" s="5"/>
      <c r="D439" s="5"/>
    </row>
    <row r="440" spans="1:4">
      <c r="A440" s="5" t="str">
        <f ca="1">IFERROR(__xludf.DUMMYFUNCTION("""COMPUTED_VALUE"""),"20210205MDBEM")</f>
        <v>20210205MDBEM</v>
      </c>
      <c r="B440" s="5"/>
      <c r="C440" s="5"/>
      <c r="D440" s="5"/>
    </row>
    <row r="441" spans="1:4">
      <c r="A441" s="5" t="str">
        <f ca="1">IFERROR(__xludf.DUMMYFUNCTION("""COMPUTED_VALUE"""),"20210201MIMUD")</f>
        <v>20210201MIMUD</v>
      </c>
      <c r="B441" s="5" t="str">
        <f ca="1">IFERROR(__xludf.DUMMYFUNCTION("""COMPUTED_VALUE"""),"Handgun")</f>
        <v>Handgun</v>
      </c>
      <c r="C441" s="5"/>
      <c r="D441" s="5"/>
    </row>
    <row r="442" spans="1:4">
      <c r="A442" s="5" t="str">
        <f ca="1">IFERROR(__xludf.DUMMYFUNCTION("""COMPUTED_VALUE"""),"20210127MSHAH")</f>
        <v>20210127MSHAH</v>
      </c>
      <c r="B442" s="5" t="str">
        <f ca="1">IFERROR(__xludf.DUMMYFUNCTION("""COMPUTED_VALUE"""),"Handgun")</f>
        <v>Handgun</v>
      </c>
      <c r="C442" s="5"/>
      <c r="D442" s="5"/>
    </row>
    <row r="443" spans="1:4">
      <c r="A443" s="5" t="str">
        <f ca="1">IFERROR(__xludf.DUMMYFUNCTION("""COMPUTED_VALUE"""),"20210127FLHOH")</f>
        <v>20210127FLHOH</v>
      </c>
      <c r="B443" s="5" t="str">
        <f ca="1">IFERROR(__xludf.DUMMYFUNCTION("""COMPUTED_VALUE"""),"Other")</f>
        <v>Other</v>
      </c>
      <c r="C443" s="5" t="str">
        <f ca="1">IFERROR(__xludf.DUMMYFUNCTION("""COMPUTED_VALUE"""),"airsoft")</f>
        <v>airsoft</v>
      </c>
      <c r="D443" s="5" t="str">
        <f ca="1">IFERROR(__xludf.DUMMYFUNCTION("""COMPUTED_VALUE"""),"Two replica airsoft handguns")</f>
        <v>Two replica airsoft handguns</v>
      </c>
    </row>
    <row r="444" spans="1:4">
      <c r="A444" s="5" t="str">
        <f ca="1">IFERROR(__xludf.DUMMYFUNCTION("""COMPUTED_VALUE"""),"20210121OKLOG")</f>
        <v>20210121OKLOG</v>
      </c>
      <c r="B444" s="5" t="str">
        <f ca="1">IFERROR(__xludf.DUMMYFUNCTION("""COMPUTED_VALUE"""),"Handgun")</f>
        <v>Handgun</v>
      </c>
      <c r="C444" s="5"/>
      <c r="D444" s="5"/>
    </row>
    <row r="445" spans="1:4">
      <c r="A445" s="5" t="str">
        <f ca="1">IFERROR(__xludf.DUMMYFUNCTION("""COMPUTED_VALUE"""),"20210121OHEAC")</f>
        <v>20210121OHEAC</v>
      </c>
      <c r="B445" s="5" t="str">
        <f ca="1">IFERROR(__xludf.DUMMYFUNCTION("""COMPUTED_VALUE"""),"Handgun")</f>
        <v>Handgun</v>
      </c>
      <c r="C445" s="5"/>
      <c r="D445" s="5"/>
    </row>
    <row r="446" spans="1:4">
      <c r="A446" s="5" t="str">
        <f ca="1">IFERROR(__xludf.DUMMYFUNCTION("""COMPUTED_VALUE"""),"20210114MDHIW")</f>
        <v>20210114MDHIW</v>
      </c>
      <c r="B446" s="5"/>
      <c r="C446" s="5"/>
      <c r="D446" s="5"/>
    </row>
    <row r="447" spans="1:4">
      <c r="A447" s="5" t="str">
        <f ca="1">IFERROR(__xludf.DUMMYFUNCTION("""COMPUTED_VALUE"""),"20210110ILSOS")</f>
        <v>20210110ILSOS</v>
      </c>
      <c r="B447" s="5"/>
      <c r="C447" s="5"/>
      <c r="D447" s="5"/>
    </row>
    <row r="448" spans="1:4">
      <c r="A448" s="5" t="str">
        <f ca="1">IFERROR(__xludf.DUMMYFUNCTION("""COMPUTED_VALUE"""),"20210104NYPEJ")</f>
        <v>20210104NYPEJ</v>
      </c>
      <c r="B448" s="5" t="str">
        <f ca="1">IFERROR(__xludf.DUMMYFUNCTION("""COMPUTED_VALUE"""),"Handgun")</f>
        <v>Handgun</v>
      </c>
      <c r="C448" s="5"/>
      <c r="D448" s="5"/>
    </row>
    <row r="449" spans="1:4">
      <c r="A449" s="5" t="str">
        <f ca="1">IFERROR(__xludf.DUMMYFUNCTION("""COMPUTED_VALUE"""),"20201229WAROS")</f>
        <v>20201229WAROS</v>
      </c>
      <c r="B449" s="5" t="str">
        <f ca="1">IFERROR(__xludf.DUMMYFUNCTION("""COMPUTED_VALUE"""),"Handgun")</f>
        <v>Handgun</v>
      </c>
      <c r="C449" s="5"/>
      <c r="D449" s="5"/>
    </row>
    <row r="450" spans="1:4">
      <c r="A450" s="5" t="str">
        <f ca="1">IFERROR(__xludf.DUMMYFUNCTION("""COMPUTED_VALUE"""),"20201225FLYOP")</f>
        <v>20201225FLYOP</v>
      </c>
      <c r="B450" s="5" t="str">
        <f ca="1">IFERROR(__xludf.DUMMYFUNCTION("""COMPUTED_VALUE"""),"Handgun")</f>
        <v>Handgun</v>
      </c>
      <c r="C450" s="5"/>
      <c r="D450" s="5"/>
    </row>
    <row r="451" spans="1:4">
      <c r="A451" s="5" t="str">
        <f ca="1">IFERROR(__xludf.DUMMYFUNCTION("""COMPUTED_VALUE"""),"20201211VATAY")</f>
        <v>20201211VATAY</v>
      </c>
      <c r="B451" s="5" t="str">
        <f ca="1">IFERROR(__xludf.DUMMYFUNCTION("""COMPUTED_VALUE"""),"Handgun")</f>
        <v>Handgun</v>
      </c>
      <c r="C451" s="5"/>
      <c r="D451" s="5"/>
    </row>
    <row r="452" spans="1:4">
      <c r="A452" s="5" t="str">
        <f ca="1">IFERROR(__xludf.DUMMYFUNCTION("""COMPUTED_VALUE"""),"20201125KSABG")</f>
        <v>20201125KSABG</v>
      </c>
      <c r="B452" s="5" t="str">
        <f ca="1">IFERROR(__xludf.DUMMYFUNCTION("""COMPUTED_VALUE"""),"Handgun")</f>
        <v>Handgun</v>
      </c>
      <c r="C452" s="5"/>
      <c r="D452" s="5"/>
    </row>
    <row r="453" spans="1:4">
      <c r="A453" s="5" t="str">
        <f ca="1">IFERROR(__xludf.DUMMYFUNCTION("""COMPUTED_VALUE"""),"20201124NCHEH")</f>
        <v>20201124NCHEH</v>
      </c>
      <c r="B453" s="5" t="str">
        <f ca="1">IFERROR(__xludf.DUMMYFUNCTION("""COMPUTED_VALUE"""),"Handgun")</f>
        <v>Handgun</v>
      </c>
      <c r="C453" s="5"/>
      <c r="D453" s="5"/>
    </row>
    <row r="454" spans="1:4">
      <c r="A454" s="5" t="str">
        <f ca="1">IFERROR(__xludf.DUMMYFUNCTION("""COMPUTED_VALUE"""),"20201117TXWEW")</f>
        <v>20201117TXWEW</v>
      </c>
      <c r="B454" s="5" t="str">
        <f ca="1">IFERROR(__xludf.DUMMYFUNCTION("""COMPUTED_VALUE"""),"Handgun")</f>
        <v>Handgun</v>
      </c>
      <c r="C454" s="5"/>
      <c r="D454" s="5"/>
    </row>
    <row r="455" spans="1:4">
      <c r="A455" s="5" t="str">
        <f ca="1">IFERROR(__xludf.DUMMYFUNCTION("""COMPUTED_VALUE"""),"20201117MTGRG")</f>
        <v>20201117MTGRG</v>
      </c>
      <c r="B455" s="5" t="str">
        <f ca="1">IFERROR(__xludf.DUMMYFUNCTION("""COMPUTED_VALUE"""),"Other")</f>
        <v>Other</v>
      </c>
      <c r="C455" s="5" t="str">
        <f ca="1">IFERROR(__xludf.DUMMYFUNCTION("""COMPUTED_VALUE"""),"BB")</f>
        <v>BB</v>
      </c>
      <c r="D455" s="5"/>
    </row>
    <row r="456" spans="1:4">
      <c r="A456" s="5" t="str">
        <f ca="1">IFERROR(__xludf.DUMMYFUNCTION("""COMPUTED_VALUE"""),"20201116TNWIM")</f>
        <v>20201116TNWIM</v>
      </c>
      <c r="B456" s="5" t="str">
        <f ca="1">IFERROR(__xludf.DUMMYFUNCTION("""COMPUTED_VALUE"""),"Handgun")</f>
        <v>Handgun</v>
      </c>
      <c r="C456" s="5"/>
      <c r="D456" s="5"/>
    </row>
    <row r="457" spans="1:4">
      <c r="A457" s="5" t="str">
        <f ca="1">IFERROR(__xludf.DUMMYFUNCTION("""COMPUTED_VALUE"""),"20201113NCLIL")</f>
        <v>20201113NCLIL</v>
      </c>
      <c r="B457" s="5" t="str">
        <f ca="1">IFERROR(__xludf.DUMMYFUNCTION("""COMPUTED_VALUE"""),"Handgun")</f>
        <v>Handgun</v>
      </c>
      <c r="C457" s="5" t="str">
        <f ca="1">IFERROR(__xludf.DUMMYFUNCTION("""COMPUTED_VALUE"""),"9mm")</f>
        <v>9mm</v>
      </c>
      <c r="D457" s="5"/>
    </row>
    <row r="458" spans="1:4">
      <c r="A458" s="5" t="str">
        <f ca="1">IFERROR(__xludf.DUMMYFUNCTION("""COMPUTED_VALUE"""),"20201026GARIR")</f>
        <v>20201026GARIR</v>
      </c>
      <c r="B458" s="5" t="str">
        <f ca="1">IFERROR(__xludf.DUMMYFUNCTION("""COMPUTED_VALUE"""),"Handgun")</f>
        <v>Handgun</v>
      </c>
      <c r="C458" s="5" t="str">
        <f ca="1">IFERROR(__xludf.DUMMYFUNCTION("""COMPUTED_VALUE"""),".38 caliber")</f>
        <v>.38 caliber</v>
      </c>
      <c r="D458" s="5"/>
    </row>
    <row r="459" spans="1:4">
      <c r="A459" s="5" t="str">
        <f ca="1">IFERROR(__xludf.DUMMYFUNCTION("""COMPUTED_VALUE"""),"20201020ARJAP")</f>
        <v>20201020ARJAP</v>
      </c>
      <c r="B459" s="5" t="str">
        <f ca="1">IFERROR(__xludf.DUMMYFUNCTION("""COMPUTED_VALUE"""),"Handgun")</f>
        <v>Handgun</v>
      </c>
      <c r="C459" s="5" t="str">
        <f ca="1">IFERROR(__xludf.DUMMYFUNCTION("""COMPUTED_VALUE"""),".22 caliber")</f>
        <v>.22 caliber</v>
      </c>
      <c r="D459" s="5"/>
    </row>
    <row r="460" spans="1:4">
      <c r="A460" s="5" t="str">
        <f ca="1">IFERROR(__xludf.DUMMYFUNCTION("""COMPUTED_VALUE"""),"20201014WAWAS")</f>
        <v>20201014WAWAS</v>
      </c>
      <c r="B460" s="5" t="str">
        <f ca="1">IFERROR(__xludf.DUMMYFUNCTION("""COMPUTED_VALUE"""),"Multiple Handguns")</f>
        <v>Multiple Handguns</v>
      </c>
      <c r="C460" s="5"/>
      <c r="D460" s="5"/>
    </row>
    <row r="461" spans="1:4">
      <c r="A461" s="5" t="str">
        <f ca="1">IFERROR(__xludf.DUMMYFUNCTION("""COMPUTED_VALUE"""),"20201014PABRB")</f>
        <v>20201014PABRB</v>
      </c>
      <c r="B461" s="5" t="str">
        <f ca="1">IFERROR(__xludf.DUMMYFUNCTION("""COMPUTED_VALUE"""),"Other")</f>
        <v>Other</v>
      </c>
      <c r="C461" s="5" t="str">
        <f ca="1">IFERROR(__xludf.DUMMYFUNCTION("""COMPUTED_VALUE"""),"BB")</f>
        <v>BB</v>
      </c>
      <c r="D461" s="5"/>
    </row>
    <row r="462" spans="1:4">
      <c r="A462" s="5" t="str">
        <f ca="1">IFERROR(__xludf.DUMMYFUNCTION("""COMPUTED_VALUE"""),"20201012TXNOD")</f>
        <v>20201012TXNOD</v>
      </c>
      <c r="B462" s="5" t="str">
        <f ca="1">IFERROR(__xludf.DUMMYFUNCTION("""COMPUTED_VALUE"""),"Handgun")</f>
        <v>Handgun</v>
      </c>
      <c r="C462" s="5"/>
      <c r="D462" s="5"/>
    </row>
    <row r="463" spans="1:4">
      <c r="A463" s="5" t="str">
        <f ca="1">IFERROR(__xludf.DUMMYFUNCTION("""COMPUTED_VALUE"""),"20201012MNSHS")</f>
        <v>20201012MNSHS</v>
      </c>
      <c r="B463" s="5" t="str">
        <f ca="1">IFERROR(__xludf.DUMMYFUNCTION("""COMPUTED_VALUE"""),"Shotgun")</f>
        <v>Shotgun</v>
      </c>
      <c r="C463" s="5"/>
      <c r="D463" s="5"/>
    </row>
    <row r="464" spans="1:4">
      <c r="A464" s="5" t="str">
        <f ca="1">IFERROR(__xludf.DUMMYFUNCTION("""COMPUTED_VALUE"""),"20201009FLJEJ")</f>
        <v>20201009FLJEJ</v>
      </c>
      <c r="B464" s="5" t="str">
        <f ca="1">IFERROR(__xludf.DUMMYFUNCTION("""COMPUTED_VALUE"""),"Handgun")</f>
        <v>Handgun</v>
      </c>
      <c r="C464" s="5"/>
      <c r="D464" s="5"/>
    </row>
    <row r="465" spans="1:4">
      <c r="A465" s="5" t="str">
        <f ca="1">IFERROR(__xludf.DUMMYFUNCTION("""COMPUTED_VALUE"""),"20201005OKSOM")</f>
        <v>20201005OKSOM</v>
      </c>
      <c r="B465" s="5" t="str">
        <f ca="1">IFERROR(__xludf.DUMMYFUNCTION("""COMPUTED_VALUE"""),"Other")</f>
        <v>Other</v>
      </c>
      <c r="C465" s="5" t="str">
        <f ca="1">IFERROR(__xludf.DUMMYFUNCTION("""COMPUTED_VALUE"""),"airsoft")</f>
        <v>airsoft</v>
      </c>
      <c r="D465" s="5"/>
    </row>
    <row r="466" spans="1:4">
      <c r="A466" s="5" t="str">
        <f ca="1">IFERROR(__xludf.DUMMYFUNCTION("""COMPUTED_VALUE"""),"20201005ARKIH")</f>
        <v>20201005ARKIH</v>
      </c>
      <c r="B466" s="5" t="str">
        <f ca="1">IFERROR(__xludf.DUMMYFUNCTION("""COMPUTED_VALUE"""),"Handgun")</f>
        <v>Handgun</v>
      </c>
      <c r="C466" s="5"/>
      <c r="D466" s="5"/>
    </row>
    <row r="467" spans="1:4">
      <c r="A467" s="5" t="str">
        <f ca="1">IFERROR(__xludf.DUMMYFUNCTION("""COMPUTED_VALUE"""),"20201002PAMAE")</f>
        <v>20201002PAMAE</v>
      </c>
      <c r="B467" s="5" t="str">
        <f ca="1">IFERROR(__xludf.DUMMYFUNCTION("""COMPUTED_VALUE"""),"Other")</f>
        <v>Other</v>
      </c>
      <c r="C467" s="5" t="str">
        <f ca="1">IFERROR(__xludf.DUMMYFUNCTION("""COMPUTED_VALUE"""),"BB")</f>
        <v>BB</v>
      </c>
      <c r="D467" s="5"/>
    </row>
    <row r="468" spans="1:4">
      <c r="A468" s="5" t="str">
        <f ca="1">IFERROR(__xludf.DUMMYFUNCTION("""COMPUTED_VALUE"""),"20200925ILROR")</f>
        <v>20200925ILROR</v>
      </c>
      <c r="B468" s="5" t="str">
        <f ca="1">IFERROR(__xludf.DUMMYFUNCTION("""COMPUTED_VALUE"""),"Handgun")</f>
        <v>Handgun</v>
      </c>
      <c r="C468" s="5"/>
      <c r="D468" s="5"/>
    </row>
    <row r="469" spans="1:4">
      <c r="A469" s="5" t="str">
        <f ca="1">IFERROR(__xludf.DUMMYFUNCTION("""COMPUTED_VALUE"""),"20200924ILMCS")</f>
        <v>20200924ILMCS</v>
      </c>
      <c r="B469" s="5" t="str">
        <f ca="1">IFERROR(__xludf.DUMMYFUNCTION("""COMPUTED_VALUE"""),"Other")</f>
        <v>Other</v>
      </c>
      <c r="C469" s="5" t="str">
        <f ca="1">IFERROR(__xludf.DUMMYFUNCTION("""COMPUTED_VALUE"""),"BB")</f>
        <v>BB</v>
      </c>
      <c r="D469" s="5"/>
    </row>
    <row r="470" spans="1:4">
      <c r="A470" s="5" t="str">
        <f ca="1">IFERROR(__xludf.DUMMYFUNCTION("""COMPUTED_VALUE"""),"20200924CAWAC")</f>
        <v>20200924CAWAC</v>
      </c>
      <c r="B470" s="5" t="str">
        <f ca="1">IFERROR(__xludf.DUMMYFUNCTION("""COMPUTED_VALUE"""),"Multiple Handguns")</f>
        <v>Multiple Handguns</v>
      </c>
      <c r="C470" s="5"/>
      <c r="D470" s="5"/>
    </row>
    <row r="471" spans="1:4">
      <c r="A471" s="5" t="str">
        <f ca="1">IFERROR(__xludf.DUMMYFUNCTION("""COMPUTED_VALUE"""),"20200924CAWAC")</f>
        <v>20200924CAWAC</v>
      </c>
      <c r="B471" s="5" t="str">
        <f ca="1">IFERROR(__xludf.DUMMYFUNCTION("""COMPUTED_VALUE"""),"Multiple Rifles")</f>
        <v>Multiple Rifles</v>
      </c>
      <c r="C471" s="5"/>
      <c r="D471" s="5" t="str">
        <f ca="1">IFERROR(__xludf.DUMMYFUNCTION("""COMPUTED_VALUE"""),"Gold plated AK-47")</f>
        <v>Gold plated AK-47</v>
      </c>
    </row>
    <row r="472" spans="1:4">
      <c r="A472" s="5" t="str">
        <f ca="1">IFERROR(__xludf.DUMMYFUNCTION("""COMPUTED_VALUE"""),"20200923PAWIW")</f>
        <v>20200923PAWIW</v>
      </c>
      <c r="B472" s="5" t="str">
        <f ca="1">IFERROR(__xludf.DUMMYFUNCTION("""COMPUTED_VALUE"""),"Handgun")</f>
        <v>Handgun</v>
      </c>
      <c r="C472" s="5"/>
      <c r="D472" s="5"/>
    </row>
    <row r="473" spans="1:4">
      <c r="A473" s="5" t="str">
        <f ca="1">IFERROR(__xludf.DUMMYFUNCTION("""COMPUTED_VALUE"""),"20200923FLHIJ")</f>
        <v>20200923FLHIJ</v>
      </c>
      <c r="B473" s="5" t="str">
        <f ca="1">IFERROR(__xludf.DUMMYFUNCTION("""COMPUTED_VALUE"""),"Other")</f>
        <v>Other</v>
      </c>
      <c r="C473" s="5" t="str">
        <f ca="1">IFERROR(__xludf.DUMMYFUNCTION("""COMPUTED_VALUE"""),"BB")</f>
        <v>BB</v>
      </c>
      <c r="D473" s="5" t="str">
        <f ca="1">IFERROR(__xludf.DUMMYFUNCTION("""COMPUTED_VALUE"""),"BB gun")</f>
        <v>BB gun</v>
      </c>
    </row>
    <row r="474" spans="1:4">
      <c r="A474" s="5" t="str">
        <f ca="1">IFERROR(__xludf.DUMMYFUNCTION("""COMPUTED_VALUE"""),"20200921CAPLP")</f>
        <v>20200921CAPLP</v>
      </c>
      <c r="B474" s="5" t="str">
        <f ca="1">IFERROR(__xludf.DUMMYFUNCTION("""COMPUTED_VALUE"""),"Rifle")</f>
        <v>Rifle</v>
      </c>
      <c r="C474" s="5"/>
      <c r="D474" s="5"/>
    </row>
    <row r="475" spans="1:4">
      <c r="A475" s="5" t="str">
        <f ca="1">IFERROR(__xludf.DUMMYFUNCTION("""COMPUTED_VALUE"""),"20200915UTVIB")</f>
        <v>20200915UTVIB</v>
      </c>
      <c r="B475" s="5" t="str">
        <f ca="1">IFERROR(__xludf.DUMMYFUNCTION("""COMPUTED_VALUE"""),"Shotgun")</f>
        <v>Shotgun</v>
      </c>
      <c r="C475" s="5"/>
      <c r="D475" s="5"/>
    </row>
    <row r="476" spans="1:4">
      <c r="A476" s="5" t="str">
        <f ca="1">IFERROR(__xludf.DUMMYFUNCTION("""COMPUTED_VALUE"""),"20200915SCYOR")</f>
        <v>20200915SCYOR</v>
      </c>
      <c r="B476" s="5" t="str">
        <f ca="1">IFERROR(__xludf.DUMMYFUNCTION("""COMPUTED_VALUE"""),"Other")</f>
        <v>Other</v>
      </c>
      <c r="C476" s="5" t="str">
        <f ca="1">IFERROR(__xludf.DUMMYFUNCTION("""COMPUTED_VALUE"""),"BB")</f>
        <v>BB</v>
      </c>
      <c r="D476" s="5" t="str">
        <f ca="1">IFERROR(__xludf.DUMMYFUNCTION("""COMPUTED_VALUE"""),"BB gun")</f>
        <v>BB gun</v>
      </c>
    </row>
    <row r="477" spans="1:4">
      <c r="A477" s="5" t="str">
        <f ca="1">IFERROR(__xludf.DUMMYFUNCTION("""COMPUTED_VALUE"""),"20200909PAWEW")</f>
        <v>20200909PAWEW</v>
      </c>
      <c r="B477" s="5" t="str">
        <f ca="1">IFERROR(__xludf.DUMMYFUNCTION("""COMPUTED_VALUE"""),"Handgun")</f>
        <v>Handgun</v>
      </c>
      <c r="C477" s="5"/>
      <c r="D477" s="5"/>
    </row>
    <row r="478" spans="1:4">
      <c r="A478" s="5" t="str">
        <f ca="1">IFERROR(__xludf.DUMMYFUNCTION("""COMPUTED_VALUE"""),"20200830TXLOD")</f>
        <v>20200830TXLOD</v>
      </c>
      <c r="B478" s="5" t="str">
        <f ca="1">IFERROR(__xludf.DUMMYFUNCTION("""COMPUTED_VALUE"""),"Handgun")</f>
        <v>Handgun</v>
      </c>
      <c r="C478" s="5"/>
      <c r="D478" s="5"/>
    </row>
    <row r="479" spans="1:4">
      <c r="A479" s="5" t="str">
        <f ca="1">IFERROR(__xludf.DUMMYFUNCTION("""COMPUTED_VALUE"""),"20200825MOWEC")</f>
        <v>20200825MOWEC</v>
      </c>
      <c r="B479" s="5" t="str">
        <f ca="1">IFERROR(__xludf.DUMMYFUNCTION("""COMPUTED_VALUE"""),"Handgun")</f>
        <v>Handgun</v>
      </c>
      <c r="C479" s="5"/>
      <c r="D479" s="5"/>
    </row>
    <row r="480" spans="1:4">
      <c r="A480" s="5" t="str">
        <f ca="1">IFERROR(__xludf.DUMMYFUNCTION("""COMPUTED_VALUE"""),"20200817MIABG")</f>
        <v>20200817MIABG</v>
      </c>
      <c r="B480" s="5" t="str">
        <f ca="1">IFERROR(__xludf.DUMMYFUNCTION("""COMPUTED_VALUE"""),"Handgun")</f>
        <v>Handgun</v>
      </c>
      <c r="C480" s="5"/>
      <c r="D480" s="5"/>
    </row>
    <row r="481" spans="1:4">
      <c r="A481" s="5" t="str">
        <f ca="1">IFERROR(__xludf.DUMMYFUNCTION("""COMPUTED_VALUE"""),"20200804PAKEP")</f>
        <v>20200804PAKEP</v>
      </c>
      <c r="B481" s="5" t="str">
        <f ca="1">IFERROR(__xludf.DUMMYFUNCTION("""COMPUTED_VALUE"""),"Handgun")</f>
        <v>Handgun</v>
      </c>
      <c r="C481" s="5"/>
      <c r="D481" s="5"/>
    </row>
    <row r="482" spans="1:4">
      <c r="A482" s="5" t="str">
        <f ca="1">IFERROR(__xludf.DUMMYFUNCTION("""COMPUTED_VALUE"""),"20200729ILCOC")</f>
        <v>20200729ILCOC</v>
      </c>
      <c r="B482" s="5" t="str">
        <f ca="1">IFERROR(__xludf.DUMMYFUNCTION("""COMPUTED_VALUE"""),"Handgun")</f>
        <v>Handgun</v>
      </c>
      <c r="C482" s="5"/>
      <c r="D482" s="5"/>
    </row>
    <row r="483" spans="1:4">
      <c r="A483" s="5" t="str">
        <f ca="1">IFERROR(__xludf.DUMMYFUNCTION("""COMPUTED_VALUE"""),"20200727AZCAO")</f>
        <v>20200727AZCAO</v>
      </c>
      <c r="B483" s="5" t="str">
        <f ca="1">IFERROR(__xludf.DUMMYFUNCTION("""COMPUTED_VALUE"""),"Handgun")</f>
        <v>Handgun</v>
      </c>
      <c r="C483" s="5"/>
      <c r="D483" s="5"/>
    </row>
    <row r="484" spans="1:4">
      <c r="A484" s="5" t="str">
        <f ca="1">IFERROR(__xludf.DUMMYFUNCTION("""COMPUTED_VALUE"""),"20200721SCBRO")</f>
        <v>20200721SCBRO</v>
      </c>
      <c r="B484" s="5" t="str">
        <f ca="1">IFERROR(__xludf.DUMMYFUNCTION("""COMPUTED_VALUE"""),"Handgun")</f>
        <v>Handgun</v>
      </c>
      <c r="C484" s="5"/>
      <c r="D484" s="5"/>
    </row>
    <row r="485" spans="1:4">
      <c r="A485" s="5" t="str">
        <f ca="1">IFERROR(__xludf.DUMMYFUNCTION("""COMPUTED_VALUE"""),"20200714MIWID")</f>
        <v>20200714MIWID</v>
      </c>
      <c r="B485" s="5" t="str">
        <f ca="1">IFERROR(__xludf.DUMMYFUNCTION("""COMPUTED_VALUE"""),"Handgun")</f>
        <v>Handgun</v>
      </c>
      <c r="C485" s="5" t="str">
        <f ca="1">IFERROR(__xludf.DUMMYFUNCTION("""COMPUTED_VALUE"""),"Unknown")</f>
        <v>Unknown</v>
      </c>
      <c r="D485" s="5"/>
    </row>
    <row r="486" spans="1:4">
      <c r="A486" s="5" t="str">
        <f ca="1">IFERROR(__xludf.DUMMYFUNCTION("""COMPUTED_VALUE"""),"20200704INLAM")</f>
        <v>20200704INLAM</v>
      </c>
      <c r="B486" s="5" t="str">
        <f ca="1">IFERROR(__xludf.DUMMYFUNCTION("""COMPUTED_VALUE"""),"Handgun")</f>
        <v>Handgun</v>
      </c>
      <c r="C486" s="5" t="str">
        <f ca="1">IFERROR(__xludf.DUMMYFUNCTION("""COMPUTED_VALUE"""),"Unknown")</f>
        <v>Unknown</v>
      </c>
      <c r="D486" s="5"/>
    </row>
    <row r="487" spans="1:4">
      <c r="A487" s="5" t="str">
        <f ca="1">IFERROR(__xludf.DUMMYFUNCTION("""COMPUTED_VALUE"""),"20200701ILFRP")</f>
        <v>20200701ILFRP</v>
      </c>
      <c r="B487" s="5" t="str">
        <f ca="1">IFERROR(__xludf.DUMMYFUNCTION("""COMPUTED_VALUE"""),"Handgun")</f>
        <v>Handgun</v>
      </c>
      <c r="C487" s="5" t="str">
        <f ca="1">IFERROR(__xludf.DUMMYFUNCTION("""COMPUTED_VALUE"""),"Unknown")</f>
        <v>Unknown</v>
      </c>
      <c r="D487" s="5"/>
    </row>
    <row r="488" spans="1:4">
      <c r="A488" s="5" t="str">
        <f ca="1">IFERROR(__xludf.DUMMYFUNCTION("""COMPUTED_VALUE"""),"20200630OHLAW")</f>
        <v>20200630OHLAW</v>
      </c>
      <c r="B488" s="5" t="str">
        <f ca="1">IFERROR(__xludf.DUMMYFUNCTION("""COMPUTED_VALUE"""),"Rifle")</f>
        <v>Rifle</v>
      </c>
      <c r="C488" s="5" t="str">
        <f ca="1">IFERROR(__xludf.DUMMYFUNCTION("""COMPUTED_VALUE"""),".223 caliber")</f>
        <v>.223 caliber</v>
      </c>
      <c r="D488" s="5" t="str">
        <f ca="1">IFERROR(__xludf.DUMMYFUNCTION("""COMPUTED_VALUE"""),"AK-47 style rifle")</f>
        <v>AK-47 style rifle</v>
      </c>
    </row>
    <row r="489" spans="1:4">
      <c r="A489" s="5" t="str">
        <f ca="1">IFERROR(__xludf.DUMMYFUNCTION("""COMPUTED_VALUE"""),"20200616FLTOM")</f>
        <v>20200616FLTOM</v>
      </c>
      <c r="B489" s="5" t="str">
        <f ca="1">IFERROR(__xludf.DUMMYFUNCTION("""COMPUTED_VALUE"""),"Multiple Unknown")</f>
        <v>Multiple Unknown</v>
      </c>
      <c r="C489" s="5"/>
      <c r="D489" s="5"/>
    </row>
    <row r="490" spans="1:4">
      <c r="A490" s="5" t="str">
        <f ca="1">IFERROR(__xludf.DUMMYFUNCTION("""COMPUTED_VALUE"""),"20200603IAGAD")</f>
        <v>20200603IAGAD</v>
      </c>
      <c r="B490" s="5" t="str">
        <f ca="1">IFERROR(__xludf.DUMMYFUNCTION("""COMPUTED_VALUE"""),"No Data")</f>
        <v>No Data</v>
      </c>
      <c r="C490" s="5"/>
      <c r="D490" s="5"/>
    </row>
    <row r="491" spans="1:4">
      <c r="A491" s="5" t="str">
        <f ca="1">IFERROR(__xludf.DUMMYFUNCTION("""COMPUTED_VALUE"""),"20200527OHLUC")</f>
        <v>20200527OHLUC</v>
      </c>
      <c r="B491" s="5" t="str">
        <f ca="1">IFERROR(__xludf.DUMMYFUNCTION("""COMPUTED_VALUE"""),"Handgun")</f>
        <v>Handgun</v>
      </c>
      <c r="C491" s="5" t="str">
        <f ca="1">IFERROR(__xludf.DUMMYFUNCTION("""COMPUTED_VALUE"""),"Unknown")</f>
        <v>Unknown</v>
      </c>
      <c r="D491" s="5"/>
    </row>
    <row r="492" spans="1:4">
      <c r="A492" s="5" t="str">
        <f ca="1">IFERROR(__xludf.DUMMYFUNCTION("""COMPUTED_VALUE"""),"20200525ALORM")</f>
        <v>20200525ALORM</v>
      </c>
      <c r="B492" s="5" t="str">
        <f ca="1">IFERROR(__xludf.DUMMYFUNCTION("""COMPUTED_VALUE"""),"Handgun")</f>
        <v>Handgun</v>
      </c>
      <c r="C492" s="5" t="str">
        <f ca="1">IFERROR(__xludf.DUMMYFUNCTION("""COMPUTED_VALUE"""),"Unknown")</f>
        <v>Unknown</v>
      </c>
      <c r="D492" s="5"/>
    </row>
    <row r="493" spans="1:4">
      <c r="A493" s="5" t="str">
        <f ca="1">IFERROR(__xludf.DUMMYFUNCTION("""COMPUTED_VALUE"""),"20200522OHMIC")</f>
        <v>20200522OHMIC</v>
      </c>
      <c r="B493" s="5" t="str">
        <f ca="1">IFERROR(__xludf.DUMMYFUNCTION("""COMPUTED_VALUE"""),"No Data")</f>
        <v>No Data</v>
      </c>
      <c r="C493" s="5"/>
      <c r="D493" s="5"/>
    </row>
    <row r="494" spans="1:4">
      <c r="A494" s="5" t="str">
        <f ca="1">IFERROR(__xludf.DUMMYFUNCTION("""COMPUTED_VALUE"""),"20200519VAWEM")</f>
        <v>20200519VAWEM</v>
      </c>
      <c r="B494" s="5" t="str">
        <f ca="1">IFERROR(__xludf.DUMMYFUNCTION("""COMPUTED_VALUE"""),"Handgun")</f>
        <v>Handgun</v>
      </c>
      <c r="C494" s="5" t="str">
        <f ca="1">IFERROR(__xludf.DUMMYFUNCTION("""COMPUTED_VALUE"""),"Unknown")</f>
        <v>Unknown</v>
      </c>
      <c r="D494" s="5"/>
    </row>
    <row r="495" spans="1:4">
      <c r="A495" s="5" t="str">
        <f ca="1">IFERROR(__xludf.DUMMYFUNCTION("""COMPUTED_VALUE"""),"20200515NCSTC")</f>
        <v>20200515NCSTC</v>
      </c>
      <c r="B495" s="5" t="str">
        <f ca="1">IFERROR(__xludf.DUMMYFUNCTION("""COMPUTED_VALUE"""),"Handgun")</f>
        <v>Handgun</v>
      </c>
      <c r="C495" s="5" t="str">
        <f ca="1">IFERROR(__xludf.DUMMYFUNCTION("""COMPUTED_VALUE"""),"Unknown")</f>
        <v>Unknown</v>
      </c>
      <c r="D495" s="5"/>
    </row>
    <row r="496" spans="1:4">
      <c r="A496" s="5" t="str">
        <f ca="1">IFERROR(__xludf.DUMMYFUNCTION("""COMPUTED_VALUE"""),"20200505CAGOV")</f>
        <v>20200505CAGOV</v>
      </c>
      <c r="B496" s="5" t="str">
        <f ca="1">IFERROR(__xludf.DUMMYFUNCTION("""COMPUTED_VALUE"""),"No Data")</f>
        <v>No Data</v>
      </c>
      <c r="C496" s="5"/>
      <c r="D496" s="5"/>
    </row>
    <row r="497" spans="1:4">
      <c r="A497" s="5" t="str">
        <f ca="1">IFERROR(__xludf.DUMMYFUNCTION("""COMPUTED_VALUE"""),"20200419NCABR")</f>
        <v>20200419NCABR</v>
      </c>
      <c r="B497" s="5" t="str">
        <f ca="1">IFERROR(__xludf.DUMMYFUNCTION("""COMPUTED_VALUE"""),"Handgun")</f>
        <v>Handgun</v>
      </c>
      <c r="C497" s="5"/>
      <c r="D497" s="5" t="str">
        <f ca="1">IFERROR(__xludf.DUMMYFUNCTION("""COMPUTED_VALUE"""),"Glock 19 semi-automatic pistol")</f>
        <v>Glock 19 semi-automatic pistol</v>
      </c>
    </row>
    <row r="498" spans="1:4">
      <c r="A498" s="5" t="str">
        <f ca="1">IFERROR(__xludf.DUMMYFUNCTION("""COMPUTED_VALUE"""),"20200413NEMOO")</f>
        <v>20200413NEMOO</v>
      </c>
      <c r="B498" s="5" t="str">
        <f ca="1">IFERROR(__xludf.DUMMYFUNCTION("""COMPUTED_VALUE"""),"Handgun")</f>
        <v>Handgun</v>
      </c>
      <c r="C498" s="5" t="str">
        <f ca="1">IFERROR(__xludf.DUMMYFUNCTION("""COMPUTED_VALUE"""),"Unknown")</f>
        <v>Unknown</v>
      </c>
      <c r="D498" s="5"/>
    </row>
    <row r="499" spans="1:4">
      <c r="A499" s="5" t="str">
        <f ca="1">IFERROR(__xludf.DUMMYFUNCTION("""COMPUTED_VALUE"""),"20200330GANAS")</f>
        <v>20200330GANAS</v>
      </c>
      <c r="B499" s="5" t="str">
        <f ca="1">IFERROR(__xludf.DUMMYFUNCTION("""COMPUTED_VALUE"""),"Handgun")</f>
        <v>Handgun</v>
      </c>
      <c r="C499" s="5" t="str">
        <f ca="1">IFERROR(__xludf.DUMMYFUNCTION("""COMPUTED_VALUE"""),"Unknown")</f>
        <v>Unknown</v>
      </c>
      <c r="D499" s="5"/>
    </row>
    <row r="500" spans="1:4">
      <c r="A500" s="5" t="str">
        <f ca="1">IFERROR(__xludf.DUMMYFUNCTION("""COMPUTED_VALUE"""),"20200324LAROM")</f>
        <v>20200324LAROM</v>
      </c>
      <c r="B500" s="5" t="str">
        <f ca="1">IFERROR(__xludf.DUMMYFUNCTION("""COMPUTED_VALUE"""),"Handgun")</f>
        <v>Handgun</v>
      </c>
      <c r="C500" s="5" t="str">
        <f ca="1">IFERROR(__xludf.DUMMYFUNCTION("""COMPUTED_VALUE"""),"Unknown")</f>
        <v>Unknown</v>
      </c>
      <c r="D500" s="5"/>
    </row>
    <row r="501" spans="1:4">
      <c r="A501" s="5" t="str">
        <f ca="1">IFERROR(__xludf.DUMMYFUNCTION("""COMPUTED_VALUE"""),"20200318LABOS")</f>
        <v>20200318LABOS</v>
      </c>
      <c r="B501" s="5" t="str">
        <f ca="1">IFERROR(__xludf.DUMMYFUNCTION("""COMPUTED_VALUE"""),"Handgun")</f>
        <v>Handgun</v>
      </c>
      <c r="C501" s="5" t="str">
        <f ca="1">IFERROR(__xludf.DUMMYFUNCTION("""COMPUTED_VALUE"""),"Unknown")</f>
        <v>Unknown</v>
      </c>
      <c r="D501" s="5"/>
    </row>
    <row r="502" spans="1:4">
      <c r="A502" s="5" t="str">
        <f ca="1">IFERROR(__xludf.DUMMYFUNCTION("""COMPUTED_VALUE"""),"20200315TXATH")</f>
        <v>20200315TXATH</v>
      </c>
      <c r="B502" s="5" t="str">
        <f ca="1">IFERROR(__xludf.DUMMYFUNCTION("""COMPUTED_VALUE"""),"Handgun")</f>
        <v>Handgun</v>
      </c>
      <c r="C502" s="5" t="str">
        <f ca="1">IFERROR(__xludf.DUMMYFUNCTION("""COMPUTED_VALUE"""),"Unknown")</f>
        <v>Unknown</v>
      </c>
      <c r="D502" s="5"/>
    </row>
    <row r="503" spans="1:4">
      <c r="A503" s="5" t="str">
        <f ca="1">IFERROR(__xludf.DUMMYFUNCTION("""COMPUTED_VALUE"""),"20200313TNPIR")</f>
        <v>20200313TNPIR</v>
      </c>
      <c r="B503" s="5" t="str">
        <f ca="1">IFERROR(__xludf.DUMMYFUNCTION("""COMPUTED_VALUE"""),"Handgun")</f>
        <v>Handgun</v>
      </c>
      <c r="C503" s="5" t="str">
        <f ca="1">IFERROR(__xludf.DUMMYFUNCTION("""COMPUTED_VALUE"""),"Unknown")</f>
        <v>Unknown</v>
      </c>
      <c r="D503" s="5"/>
    </row>
    <row r="504" spans="1:4">
      <c r="A504" s="5" t="str">
        <f ca="1">IFERROR(__xludf.DUMMYFUNCTION("""COMPUTED_VALUE"""),"20200310PASHN")</f>
        <v>20200310PASHN</v>
      </c>
      <c r="B504" s="5" t="str">
        <f ca="1">IFERROR(__xludf.DUMMYFUNCTION("""COMPUTED_VALUE"""),"Multiple Unknown")</f>
        <v>Multiple Unknown</v>
      </c>
      <c r="C504" s="5" t="str">
        <f ca="1">IFERROR(__xludf.DUMMYFUNCTION("""COMPUTED_VALUE"""),".22 caliber")</f>
        <v>.22 caliber</v>
      </c>
      <c r="D504" s="5"/>
    </row>
    <row r="505" spans="1:4">
      <c r="A505" s="5" t="str">
        <f ca="1">IFERROR(__xludf.DUMMYFUNCTION("""COMPUTED_VALUE"""),"20200305FLSAW")</f>
        <v>20200305FLSAW</v>
      </c>
      <c r="B505" s="5" t="str">
        <f ca="1">IFERROR(__xludf.DUMMYFUNCTION("""COMPUTED_VALUE"""),"Handgun")</f>
        <v>Handgun</v>
      </c>
      <c r="C505" s="5" t="str">
        <f ca="1">IFERROR(__xludf.DUMMYFUNCTION("""COMPUTED_VALUE"""),"Unknown")</f>
        <v>Unknown</v>
      </c>
      <c r="D505" s="5"/>
    </row>
    <row r="506" spans="1:4">
      <c r="A506" s="5" t="str">
        <f ca="1">IFERROR(__xludf.DUMMYFUNCTION("""COMPUTED_VALUE"""),"20200302TXNOF")</f>
        <v>20200302TXNOF</v>
      </c>
      <c r="B506" s="5" t="str">
        <f ca="1">IFERROR(__xludf.DUMMYFUNCTION("""COMPUTED_VALUE"""),"Handgun")</f>
        <v>Handgun</v>
      </c>
      <c r="C506" s="5" t="str">
        <f ca="1">IFERROR(__xludf.DUMMYFUNCTION("""COMPUTED_VALUE"""),"Unknown")</f>
        <v>Unknown</v>
      </c>
      <c r="D506" s="5"/>
    </row>
    <row r="507" spans="1:4">
      <c r="A507" s="5" t="str">
        <f ca="1">IFERROR(__xludf.DUMMYFUNCTION("""COMPUTED_VALUE"""),"20200221NMCEA")</f>
        <v>20200221NMCEA</v>
      </c>
      <c r="B507" s="5" t="str">
        <f ca="1">IFERROR(__xludf.DUMMYFUNCTION("""COMPUTED_VALUE"""),"Unknown")</f>
        <v>Unknown</v>
      </c>
      <c r="C507" s="5"/>
      <c r="D507" s="5"/>
    </row>
    <row r="508" spans="1:4">
      <c r="A508" s="5" t="str">
        <f ca="1">IFERROR(__xludf.DUMMYFUNCTION("""COMPUTED_VALUE"""),"20200215DCDUW")</f>
        <v>20200215DCDUW</v>
      </c>
      <c r="B508" s="5" t="str">
        <f ca="1">IFERROR(__xludf.DUMMYFUNCTION("""COMPUTED_VALUE"""),"Unknown")</f>
        <v>Unknown</v>
      </c>
      <c r="C508" s="5"/>
      <c r="D508" s="5"/>
    </row>
    <row r="509" spans="1:4">
      <c r="A509" s="5" t="str">
        <f ca="1">IFERROR(__xludf.DUMMYFUNCTION("""COMPUTED_VALUE"""),"20200212MOJOF")</f>
        <v>20200212MOJOF</v>
      </c>
      <c r="B509" s="5" t="str">
        <f ca="1">IFERROR(__xludf.DUMMYFUNCTION("""COMPUTED_VALUE"""),"Handgun")</f>
        <v>Handgun</v>
      </c>
      <c r="C509" s="5" t="str">
        <f ca="1">IFERROR(__xludf.DUMMYFUNCTION("""COMPUTED_VALUE"""),"Unknown")</f>
        <v>Unknown</v>
      </c>
      <c r="D509" s="5"/>
    </row>
    <row r="510" spans="1:4">
      <c r="A510" s="5" t="str">
        <f ca="1">IFERROR(__xludf.DUMMYFUNCTION("""COMPUTED_VALUE"""),"20200205NHSEC")</f>
        <v>20200205NHSEC</v>
      </c>
      <c r="B510" s="5" t="str">
        <f ca="1">IFERROR(__xludf.DUMMYFUNCTION("""COMPUTED_VALUE"""),"Handgun")</f>
        <v>Handgun</v>
      </c>
      <c r="C510" s="5" t="str">
        <f ca="1">IFERROR(__xludf.DUMMYFUNCTION("""COMPUTED_VALUE"""),".38 caliber")</f>
        <v>.38 caliber</v>
      </c>
      <c r="D510" s="5"/>
    </row>
    <row r="511" spans="1:4">
      <c r="A511" s="5" t="str">
        <f ca="1">IFERROR(__xludf.DUMMYFUNCTION("""COMPUTED_VALUE"""),"20200204LABEA")</f>
        <v>20200204LABEA</v>
      </c>
      <c r="B511" s="5" t="str">
        <f ca="1">IFERROR(__xludf.DUMMYFUNCTION("""COMPUTED_VALUE"""),"Rifle")</f>
        <v>Rifle</v>
      </c>
      <c r="C511" s="5" t="str">
        <f ca="1">IFERROR(__xludf.DUMMYFUNCTION("""COMPUTED_VALUE"""),"5.56mm")</f>
        <v>5.56mm</v>
      </c>
      <c r="D511" s="5"/>
    </row>
    <row r="512" spans="1:4">
      <c r="A512" s="5" t="str">
        <f ca="1">IFERROR(__xludf.DUMMYFUNCTION("""COMPUTED_VALUE"""),"20200203FLGEJ")</f>
        <v>20200203FLGEJ</v>
      </c>
      <c r="B512" s="5" t="str">
        <f ca="1">IFERROR(__xludf.DUMMYFUNCTION("""COMPUTED_VALUE"""),"Handgun")</f>
        <v>Handgun</v>
      </c>
      <c r="C512" s="5" t="str">
        <f ca="1">IFERROR(__xludf.DUMMYFUNCTION("""COMPUTED_VALUE"""),"Unknown")</f>
        <v>Unknown</v>
      </c>
      <c r="D512" s="5"/>
    </row>
    <row r="513" spans="1:4">
      <c r="A513" s="5" t="str">
        <f ca="1">IFERROR(__xludf.DUMMYFUNCTION("""COMPUTED_VALUE"""),"20200201TXHIH")</f>
        <v>20200201TXHIH</v>
      </c>
      <c r="B513" s="5" t="str">
        <f ca="1">IFERROR(__xludf.DUMMYFUNCTION("""COMPUTED_VALUE"""),"Handgun")</f>
        <v>Handgun</v>
      </c>
      <c r="C513" s="5" t="str">
        <f ca="1">IFERROR(__xludf.DUMMYFUNCTION("""COMPUTED_VALUE"""),"Unknown")</f>
        <v>Unknown</v>
      </c>
      <c r="D513" s="5"/>
    </row>
    <row r="514" spans="1:4">
      <c r="A514" s="5" t="str">
        <f ca="1">IFERROR(__xludf.DUMMYFUNCTION("""COMPUTED_VALUE"""),"20200131CADEA")</f>
        <v>20200131CADEA</v>
      </c>
      <c r="B514" s="5" t="str">
        <f ca="1">IFERROR(__xludf.DUMMYFUNCTION("""COMPUTED_VALUE"""),"Handgun")</f>
        <v>Handgun</v>
      </c>
      <c r="C514" s="5" t="str">
        <f ca="1">IFERROR(__xludf.DUMMYFUNCTION("""COMPUTED_VALUE"""),"Unknown")</f>
        <v>Unknown</v>
      </c>
      <c r="D514" s="5"/>
    </row>
    <row r="515" spans="1:4">
      <c r="A515" s="5" t="str">
        <f ca="1">IFERROR(__xludf.DUMMYFUNCTION("""COMPUTED_VALUE"""),"20200128TXLUL")</f>
        <v>20200128TXLUL</v>
      </c>
      <c r="B515" s="5" t="str">
        <f ca="1">IFERROR(__xludf.DUMMYFUNCTION("""COMPUTED_VALUE"""),"Handgun")</f>
        <v>Handgun</v>
      </c>
      <c r="C515" s="5" t="str">
        <f ca="1">IFERROR(__xludf.DUMMYFUNCTION("""COMPUTED_VALUE"""),".357 caliber")</f>
        <v>.357 caliber</v>
      </c>
      <c r="D515" s="5"/>
    </row>
    <row r="516" spans="1:4">
      <c r="A516" s="5" t="str">
        <f ca="1">IFERROR(__xludf.DUMMYFUNCTION("""COMPUTED_VALUE"""),"20200128TNWHM")</f>
        <v>20200128TNWHM</v>
      </c>
      <c r="B516" s="5" t="str">
        <f ca="1">IFERROR(__xludf.DUMMYFUNCTION("""COMPUTED_VALUE"""),"Handgun")</f>
        <v>Handgun</v>
      </c>
      <c r="C516" s="5" t="str">
        <f ca="1">IFERROR(__xludf.DUMMYFUNCTION("""COMPUTED_VALUE"""),"Unknown")</f>
        <v>Unknown</v>
      </c>
      <c r="D516" s="5"/>
    </row>
    <row r="517" spans="1:4">
      <c r="A517" s="5" t="str">
        <f ca="1">IFERROR(__xludf.DUMMYFUNCTION("""COMPUTED_VALUE"""),"20200128NYMAQ")</f>
        <v>20200128NYMAQ</v>
      </c>
      <c r="B517" s="5" t="str">
        <f ca="1">IFERROR(__xludf.DUMMYFUNCTION("""COMPUTED_VALUE"""),"Handgun")</f>
        <v>Handgun</v>
      </c>
      <c r="C517" s="5" t="str">
        <f ca="1">IFERROR(__xludf.DUMMYFUNCTION("""COMPUTED_VALUE"""),"Unknown")</f>
        <v>Unknown</v>
      </c>
      <c r="D517" s="5"/>
    </row>
    <row r="518" spans="1:4">
      <c r="A518" s="5" t="str">
        <f ca="1">IFERROR(__xludf.DUMMYFUNCTION("""COMPUTED_VALUE"""),"20200127WAROY")</f>
        <v>20200127WAROY</v>
      </c>
      <c r="B518" s="5" t="str">
        <f ca="1">IFERROR(__xludf.DUMMYFUNCTION("""COMPUTED_VALUE"""),"Handgun")</f>
        <v>Handgun</v>
      </c>
      <c r="C518" s="5" t="str">
        <f ca="1">IFERROR(__xludf.DUMMYFUNCTION("""COMPUTED_VALUE"""),".22 caliber")</f>
        <v>.22 caliber</v>
      </c>
      <c r="D518" s="5"/>
    </row>
    <row r="519" spans="1:4">
      <c r="A519" s="5" t="str">
        <f ca="1">IFERROR(__xludf.DUMMYFUNCTION("""COMPUTED_VALUE"""),"20200123CAOXO")</f>
        <v>20200123CAOXO</v>
      </c>
      <c r="B519" s="5" t="str">
        <f ca="1">IFERROR(__xludf.DUMMYFUNCTION("""COMPUTED_VALUE"""),"Handgun")</f>
        <v>Handgun</v>
      </c>
      <c r="C519" s="5" t="str">
        <f ca="1">IFERROR(__xludf.DUMMYFUNCTION("""COMPUTED_VALUE"""),"Unknown")</f>
        <v>Unknown</v>
      </c>
      <c r="D519" s="5"/>
    </row>
    <row r="520" spans="1:4">
      <c r="A520" s="5" t="str">
        <f ca="1">IFERROR(__xludf.DUMMYFUNCTION("""COMPUTED_VALUE"""),"20200121NEPAL")</f>
        <v>20200121NEPAL</v>
      </c>
      <c r="B520" s="5" t="str">
        <f ca="1">IFERROR(__xludf.DUMMYFUNCTION("""COMPUTED_VALUE"""),"Other")</f>
        <v>Other</v>
      </c>
      <c r="C520" s="5" t="str">
        <f ca="1">IFERROR(__xludf.DUMMYFUNCTION("""COMPUTED_VALUE"""),"BB")</f>
        <v>BB</v>
      </c>
      <c r="D520" s="5"/>
    </row>
    <row r="521" spans="1:4">
      <c r="A521" s="5" t="str">
        <f ca="1">IFERROR(__xludf.DUMMYFUNCTION("""COMPUTED_VALUE"""),"20200121ILLIC")</f>
        <v>20200121ILLIC</v>
      </c>
      <c r="B521" s="5" t="str">
        <f ca="1">IFERROR(__xludf.DUMMYFUNCTION("""COMPUTED_VALUE"""),"Handgun")</f>
        <v>Handgun</v>
      </c>
      <c r="C521" s="5" t="str">
        <f ca="1">IFERROR(__xludf.DUMMYFUNCTION("""COMPUTED_VALUE"""),"Unknown")</f>
        <v>Unknown</v>
      </c>
      <c r="D521" s="5"/>
    </row>
    <row r="522" spans="1:4">
      <c r="A522" s="5" t="str">
        <f ca="1">IFERROR(__xludf.DUMMYFUNCTION("""COMPUTED_VALUE"""),"20200119TXNOF")</f>
        <v>20200119TXNOF</v>
      </c>
      <c r="B522" s="5" t="str">
        <f ca="1">IFERROR(__xludf.DUMMYFUNCTION("""COMPUTED_VALUE"""),"Multiple Handguns")</f>
        <v>Multiple Handguns</v>
      </c>
      <c r="C522" s="5" t="str">
        <f ca="1">IFERROR(__xludf.DUMMYFUNCTION("""COMPUTED_VALUE"""),"Unknown")</f>
        <v>Unknown</v>
      </c>
      <c r="D522" s="5"/>
    </row>
    <row r="523" spans="1:4">
      <c r="A523" s="5" t="str">
        <f ca="1">IFERROR(__xludf.DUMMYFUNCTION("""COMPUTED_VALUE"""),"20200117SCCAS")</f>
        <v>20200117SCCAS</v>
      </c>
      <c r="B523" s="5" t="str">
        <f ca="1">IFERROR(__xludf.DUMMYFUNCTION("""COMPUTED_VALUE"""),"No Data")</f>
        <v>No Data</v>
      </c>
      <c r="C523" s="5"/>
      <c r="D523" s="5"/>
    </row>
    <row r="524" spans="1:4">
      <c r="A524" s="5" t="str">
        <f ca="1">IFERROR(__xludf.DUMMYFUNCTION("""COMPUTED_VALUE"""),"20200117MITHH")</f>
        <v>20200117MITHH</v>
      </c>
      <c r="B524" s="5" t="str">
        <f ca="1">IFERROR(__xludf.DUMMYFUNCTION("""COMPUTED_VALUE"""),"Handgun")</f>
        <v>Handgun</v>
      </c>
      <c r="C524" s="5" t="str">
        <f ca="1">IFERROR(__xludf.DUMMYFUNCTION("""COMPUTED_VALUE"""),"Unknown")</f>
        <v>Unknown</v>
      </c>
      <c r="D524" s="5"/>
    </row>
    <row r="525" spans="1:4">
      <c r="A525" s="5" t="str">
        <f ca="1">IFERROR(__xludf.DUMMYFUNCTION("""COMPUTED_VALUE"""),"20200114TXPOM")</f>
        <v>20200114TXPOM</v>
      </c>
      <c r="B525" s="5" t="str">
        <f ca="1">IFERROR(__xludf.DUMMYFUNCTION("""COMPUTED_VALUE"""),"Handgun")</f>
        <v>Handgun</v>
      </c>
      <c r="C525" s="5" t="str">
        <f ca="1">IFERROR(__xludf.DUMMYFUNCTION("""COMPUTED_VALUE"""),"Unknown")</f>
        <v>Unknown</v>
      </c>
      <c r="D525" s="5"/>
    </row>
    <row r="526" spans="1:4">
      <c r="A526" s="5" t="str">
        <f ca="1">IFERROR(__xludf.DUMMYFUNCTION("""COMPUTED_VALUE"""),"20200114TXBEH")</f>
        <v>20200114TXBEH</v>
      </c>
      <c r="B526" s="5" t="str">
        <f ca="1">IFERROR(__xludf.DUMMYFUNCTION("""COMPUTED_VALUE"""),"Handgun")</f>
        <v>Handgun</v>
      </c>
      <c r="C526" s="5" t="str">
        <f ca="1">IFERROR(__xludf.DUMMYFUNCTION("""COMPUTED_VALUE"""),"Unknown")</f>
        <v>Unknown</v>
      </c>
      <c r="D526" s="5"/>
    </row>
    <row r="527" spans="1:4">
      <c r="A527" s="5" t="str">
        <f ca="1">IFERROR(__xludf.DUMMYFUNCTION("""COMPUTED_VALUE"""),"20200111TXELD")</f>
        <v>20200111TXELD</v>
      </c>
      <c r="B527" s="5" t="str">
        <f ca="1">IFERROR(__xludf.DUMMYFUNCTION("""COMPUTED_VALUE"""),"Handgun")</f>
        <v>Handgun</v>
      </c>
      <c r="C527" s="5" t="str">
        <f ca="1">IFERROR(__xludf.DUMMYFUNCTION("""COMPUTED_VALUE"""),"Unknown")</f>
        <v>Unknown</v>
      </c>
      <c r="D527" s="5"/>
    </row>
    <row r="528" spans="1:4">
      <c r="A528" s="5" t="str">
        <f ca="1">IFERROR(__xludf.DUMMYFUNCTION("""COMPUTED_VALUE"""),"20200110MSMCJ")</f>
        <v>20200110MSMCJ</v>
      </c>
      <c r="B528" s="5" t="str">
        <f ca="1">IFERROR(__xludf.DUMMYFUNCTION("""COMPUTED_VALUE"""),"Other")</f>
        <v>Other</v>
      </c>
      <c r="C528" s="5" t="str">
        <f ca="1">IFERROR(__xludf.DUMMYFUNCTION("""COMPUTED_VALUE"""),"BB")</f>
        <v>BB</v>
      </c>
      <c r="D528" s="5"/>
    </row>
    <row r="529" spans="1:4">
      <c r="A529" s="5" t="str">
        <f ca="1">IFERROR(__xludf.DUMMYFUNCTION("""COMPUTED_VALUE"""),"20200108FLGLB")</f>
        <v>20200108FLGLB</v>
      </c>
      <c r="B529" s="5" t="str">
        <f ca="1">IFERROR(__xludf.DUMMYFUNCTION("""COMPUTED_VALUE"""),"Handgun")</f>
        <v>Handgun</v>
      </c>
      <c r="C529" s="5" t="str">
        <f ca="1">IFERROR(__xludf.DUMMYFUNCTION("""COMPUTED_VALUE"""),"Unknown")</f>
        <v>Unknown</v>
      </c>
      <c r="D529" s="5"/>
    </row>
    <row r="530" spans="1:4">
      <c r="A530" s="5" t="str">
        <f ca="1">IFERROR(__xludf.DUMMYFUNCTION("""COMPUTED_VALUE"""),"20200107WASOK")</f>
        <v>20200107WASOK</v>
      </c>
      <c r="B530" s="5" t="str">
        <f ca="1">IFERROR(__xludf.DUMMYFUNCTION("""COMPUTED_VALUE"""),"Other")</f>
        <v>Other</v>
      </c>
      <c r="C530" s="5" t="str">
        <f ca="1">IFERROR(__xludf.DUMMYFUNCTION("""COMPUTED_VALUE"""),"BB")</f>
        <v>BB</v>
      </c>
      <c r="D530" s="5"/>
    </row>
    <row r="531" spans="1:4">
      <c r="A531" s="5" t="str">
        <f ca="1">IFERROR(__xludf.DUMMYFUNCTION("""COMPUTED_VALUE"""),"20191228MOMAS")</f>
        <v>20191228MOMAS</v>
      </c>
      <c r="B531" s="5" t="str">
        <f ca="1">IFERROR(__xludf.DUMMYFUNCTION("""COMPUTED_VALUE"""),"No Data")</f>
        <v>No Data</v>
      </c>
      <c r="C531" s="5"/>
      <c r="D531" s="5"/>
    </row>
    <row r="532" spans="1:4">
      <c r="A532" s="5" t="str">
        <f ca="1">IFERROR(__xludf.DUMMYFUNCTION("""COMPUTED_VALUE"""),"20191221LAWES")</f>
        <v>20191221LAWES</v>
      </c>
      <c r="B532" s="5" t="str">
        <f ca="1">IFERROR(__xludf.DUMMYFUNCTION("""COMPUTED_VALUE"""),"Handgun")</f>
        <v>Handgun</v>
      </c>
      <c r="C532" s="5" t="str">
        <f ca="1">IFERROR(__xludf.DUMMYFUNCTION("""COMPUTED_VALUE"""),"Unknown")</f>
        <v>Unknown</v>
      </c>
      <c r="D532" s="5"/>
    </row>
    <row r="533" spans="1:4">
      <c r="A533" s="5" t="str">
        <f ca="1">IFERROR(__xludf.DUMMYFUNCTION("""COMPUTED_VALUE"""),"20191219FLLEN")</f>
        <v>20191219FLLEN</v>
      </c>
      <c r="B533" s="5" t="str">
        <f ca="1">IFERROR(__xludf.DUMMYFUNCTION("""COMPUTED_VALUE"""),"No Data")</f>
        <v>No Data</v>
      </c>
      <c r="C533" s="5"/>
      <c r="D533" s="5"/>
    </row>
    <row r="534" spans="1:4">
      <c r="A534" s="5" t="str">
        <f ca="1">IFERROR(__xludf.DUMMYFUNCTION("""COMPUTED_VALUE"""),"20191216CTCAN")</f>
        <v>20191216CTCAN</v>
      </c>
      <c r="B534" s="5" t="str">
        <f ca="1">IFERROR(__xludf.DUMMYFUNCTION("""COMPUTED_VALUE"""),"Handgun")</f>
        <v>Handgun</v>
      </c>
      <c r="C534" s="5" t="str">
        <f ca="1">IFERROR(__xludf.DUMMYFUNCTION("""COMPUTED_VALUE"""),"Unknown")</f>
        <v>Unknown</v>
      </c>
      <c r="D534" s="5"/>
    </row>
    <row r="535" spans="1:4">
      <c r="A535" s="5" t="str">
        <f ca="1">IFERROR(__xludf.DUMMYFUNCTION("""COMPUTED_VALUE"""),"20191213VAMAN")</f>
        <v>20191213VAMAN</v>
      </c>
      <c r="B535" s="5" t="str">
        <f ca="1">IFERROR(__xludf.DUMMYFUNCTION("""COMPUTED_VALUE"""),"Handgun")</f>
        <v>Handgun</v>
      </c>
      <c r="C535" s="5" t="str">
        <f ca="1">IFERROR(__xludf.DUMMYFUNCTION("""COMPUTED_VALUE"""),"Unknown")</f>
        <v>Unknown</v>
      </c>
      <c r="D535" s="5"/>
    </row>
    <row r="536" spans="1:4">
      <c r="A536" s="5" t="str">
        <f ca="1">IFERROR(__xludf.DUMMYFUNCTION("""COMPUTED_VALUE"""),"20191211KSCHT")</f>
        <v>20191211KSCHT</v>
      </c>
      <c r="B536" s="5" t="str">
        <f ca="1">IFERROR(__xludf.DUMMYFUNCTION("""COMPUTED_VALUE"""),"Other")</f>
        <v>Other</v>
      </c>
      <c r="C536" s="5" t="str">
        <f ca="1">IFERROR(__xludf.DUMMYFUNCTION("""COMPUTED_VALUE"""),"BB")</f>
        <v>BB</v>
      </c>
      <c r="D536" s="5"/>
    </row>
    <row r="537" spans="1:4">
      <c r="A537" s="5" t="str">
        <f ca="1">IFERROR(__xludf.DUMMYFUNCTION("""COMPUTED_VALUE"""),"20191211INEVE")</f>
        <v>20191211INEVE</v>
      </c>
      <c r="B537" s="5" t="str">
        <f ca="1">IFERROR(__xludf.DUMMYFUNCTION("""COMPUTED_VALUE"""),"Other")</f>
        <v>Other</v>
      </c>
      <c r="C537" s="5" t="str">
        <f ca="1">IFERROR(__xludf.DUMMYFUNCTION("""COMPUTED_VALUE"""),"BB")</f>
        <v>BB</v>
      </c>
      <c r="D537" s="5"/>
    </row>
    <row r="538" spans="1:4">
      <c r="A538" s="5" t="str">
        <f ca="1">IFERROR(__xludf.DUMMYFUNCTION("""COMPUTED_VALUE"""),"20191210NJSAJ")</f>
        <v>20191210NJSAJ</v>
      </c>
      <c r="B538" s="5" t="str">
        <f ca="1">IFERROR(__xludf.DUMMYFUNCTION("""COMPUTED_VALUE"""),"Multiple Unknown")</f>
        <v>Multiple Unknown</v>
      </c>
      <c r="C538" s="5" t="str">
        <f ca="1">IFERROR(__xludf.DUMMYFUNCTION("""COMPUTED_VALUE"""),"Unknown")</f>
        <v>Unknown</v>
      </c>
      <c r="D538" s="5"/>
    </row>
    <row r="539" spans="1:4">
      <c r="A539" s="5" t="str">
        <f ca="1">IFERROR(__xludf.DUMMYFUNCTION("""COMPUTED_VALUE"""),"20191210KSJCK")</f>
        <v>20191210KSJCK</v>
      </c>
      <c r="B539" s="5" t="str">
        <f ca="1">IFERROR(__xludf.DUMMYFUNCTION("""COMPUTED_VALUE"""),"No Data")</f>
        <v>No Data</v>
      </c>
      <c r="C539" s="5"/>
      <c r="D539" s="5"/>
    </row>
    <row r="540" spans="1:4">
      <c r="A540" s="5" t="str">
        <f ca="1">IFERROR(__xludf.DUMMYFUNCTION("""COMPUTED_VALUE"""),"20191210ALDED")</f>
        <v>20191210ALDED</v>
      </c>
      <c r="B540" s="5" t="str">
        <f ca="1">IFERROR(__xludf.DUMMYFUNCTION("""COMPUTED_VALUE"""),"Handgun")</f>
        <v>Handgun</v>
      </c>
      <c r="C540" s="5" t="str">
        <f ca="1">IFERROR(__xludf.DUMMYFUNCTION("""COMPUTED_VALUE"""),"Unknown")</f>
        <v>Unknown</v>
      </c>
      <c r="D540" s="5"/>
    </row>
    <row r="541" spans="1:4">
      <c r="A541" s="5" t="str">
        <f ca="1">IFERROR(__xludf.DUMMYFUNCTION("""COMPUTED_VALUE"""),"20191204NMPIL")</f>
        <v>20191204NMPIL</v>
      </c>
      <c r="B541" s="5" t="str">
        <f ca="1">IFERROR(__xludf.DUMMYFUNCTION("""COMPUTED_VALUE"""),"Handgun")</f>
        <v>Handgun</v>
      </c>
      <c r="C541" s="5" t="str">
        <f ca="1">IFERROR(__xludf.DUMMYFUNCTION("""COMPUTED_VALUE"""),"Service Weapon")</f>
        <v>Service Weapon</v>
      </c>
      <c r="D541" s="5"/>
    </row>
    <row r="542" spans="1:4">
      <c r="A542" s="5" t="str">
        <f ca="1">IFERROR(__xludf.DUMMYFUNCTION("""COMPUTED_VALUE"""),"20191203WITHM")</f>
        <v>20191203WITHM</v>
      </c>
      <c r="B542" s="5" t="str">
        <f ca="1">IFERROR(__xludf.DUMMYFUNCTION("""COMPUTED_VALUE"""),"Other")</f>
        <v>Other</v>
      </c>
      <c r="C542" s="5" t="str">
        <f ca="1">IFERROR(__xludf.DUMMYFUNCTION("""COMPUTED_VALUE"""),"BB")</f>
        <v>BB</v>
      </c>
      <c r="D542" s="5"/>
    </row>
    <row r="543" spans="1:4">
      <c r="A543" s="5" t="str">
        <f ca="1">IFERROR(__xludf.DUMMYFUNCTION("""COMPUTED_VALUE"""),"20191203WIOSO")</f>
        <v>20191203WIOSO</v>
      </c>
      <c r="B543" s="5" t="str">
        <f ca="1">IFERROR(__xludf.DUMMYFUNCTION("""COMPUTED_VALUE"""),"Handgun")</f>
        <v>Handgun</v>
      </c>
      <c r="C543" s="5" t="str">
        <f ca="1">IFERROR(__xludf.DUMMYFUNCTION("""COMPUTED_VALUE"""),"Service Weapon")</f>
        <v>Service Weapon</v>
      </c>
      <c r="D543" s="5"/>
    </row>
    <row r="544" spans="1:4">
      <c r="A544" s="5" t="str">
        <f ca="1">IFERROR(__xludf.DUMMYFUNCTION("""COMPUTED_VALUE"""),"20191202WIWAW")</f>
        <v>20191202WIWAW</v>
      </c>
      <c r="B544" s="5" t="str">
        <f ca="1">IFERROR(__xludf.DUMMYFUNCTION("""COMPUTED_VALUE"""),"Handgun")</f>
        <v>Handgun</v>
      </c>
      <c r="C544" s="5" t="str">
        <f ca="1">IFERROR(__xludf.DUMMYFUNCTION("""COMPUTED_VALUE"""),"Unknown")</f>
        <v>Unknown</v>
      </c>
      <c r="D544" s="5"/>
    </row>
    <row r="545" spans="1:4">
      <c r="A545" s="5" t="str">
        <f ca="1">IFERROR(__xludf.DUMMYFUNCTION("""COMPUTED_VALUE"""),"20191201ALMOM")</f>
        <v>20191201ALMOM</v>
      </c>
      <c r="B545" s="5" t="str">
        <f ca="1">IFERROR(__xludf.DUMMYFUNCTION("""COMPUTED_VALUE"""),"Handgun")</f>
        <v>Handgun</v>
      </c>
      <c r="C545" s="5" t="str">
        <f ca="1">IFERROR(__xludf.DUMMYFUNCTION("""COMPUTED_VALUE"""),"Unknown")</f>
        <v>Unknown</v>
      </c>
      <c r="D545" s="5"/>
    </row>
    <row r="546" spans="1:4">
      <c r="A546" s="5" t="str">
        <f ca="1">IFERROR(__xludf.DUMMYFUNCTION("""COMPUTED_VALUE"""),"20191126WASAV")</f>
        <v>20191126WASAV</v>
      </c>
      <c r="B546" s="5" t="str">
        <f ca="1">IFERROR(__xludf.DUMMYFUNCTION("""COMPUTED_VALUE"""),"Handgun")</f>
        <v>Handgun</v>
      </c>
      <c r="C546" s="5" t="str">
        <f ca="1">IFERROR(__xludf.DUMMYFUNCTION("""COMPUTED_VALUE"""),"Unknown")</f>
        <v>Unknown</v>
      </c>
      <c r="D546" s="5"/>
    </row>
    <row r="547" spans="1:4">
      <c r="A547" s="5" t="str">
        <f ca="1">IFERROR(__xludf.DUMMYFUNCTION("""COMPUTED_VALUE"""),"20191125ILCAC")</f>
        <v>20191125ILCAC</v>
      </c>
      <c r="B547" s="5" t="str">
        <f ca="1">IFERROR(__xludf.DUMMYFUNCTION("""COMPUTED_VALUE"""),"Handgun")</f>
        <v>Handgun</v>
      </c>
      <c r="C547" s="5" t="str">
        <f ca="1">IFERROR(__xludf.DUMMYFUNCTION("""COMPUTED_VALUE"""),"Unknown")</f>
        <v>Unknown</v>
      </c>
      <c r="D547" s="5"/>
    </row>
    <row r="548" spans="1:4">
      <c r="A548" s="5" t="str">
        <f ca="1">IFERROR(__xludf.DUMMYFUNCTION("""COMPUTED_VALUE"""),"20191124CASEU")</f>
        <v>20191124CASEU</v>
      </c>
      <c r="B548" s="5" t="str">
        <f ca="1">IFERROR(__xludf.DUMMYFUNCTION("""COMPUTED_VALUE"""),"Multiple Unknown")</f>
        <v>Multiple Unknown</v>
      </c>
      <c r="C548" s="5" t="str">
        <f ca="1">IFERROR(__xludf.DUMMYFUNCTION("""COMPUTED_VALUE"""),"Unknown")</f>
        <v>Unknown</v>
      </c>
      <c r="D548" s="5"/>
    </row>
    <row r="549" spans="1:4">
      <c r="A549" s="5" t="str">
        <f ca="1">IFERROR(__xludf.DUMMYFUNCTION("""COMPUTED_VALUE"""),"20191121ILRIO")</f>
        <v>20191121ILRIO</v>
      </c>
      <c r="B549" s="5" t="str">
        <f ca="1">IFERROR(__xludf.DUMMYFUNCTION("""COMPUTED_VALUE"""),"Other")</f>
        <v>Other</v>
      </c>
      <c r="C549" s="5" t="str">
        <f ca="1">IFERROR(__xludf.DUMMYFUNCTION("""COMPUTED_VALUE"""),"Pellet")</f>
        <v>Pellet</v>
      </c>
      <c r="D549" s="5"/>
    </row>
    <row r="550" spans="1:4">
      <c r="A550" s="5" t="str">
        <f ca="1">IFERROR(__xludf.DUMMYFUNCTION("""COMPUTED_VALUE"""),"20191115NJPLP")</f>
        <v>20191115NJPLP</v>
      </c>
      <c r="B550" s="5" t="str">
        <f ca="1">IFERROR(__xludf.DUMMYFUNCTION("""COMPUTED_VALUE"""),"Handgun")</f>
        <v>Handgun</v>
      </c>
      <c r="C550" s="5" t="str">
        <f ca="1">IFERROR(__xludf.DUMMYFUNCTION("""COMPUTED_VALUE"""),"Unknown")</f>
        <v>Unknown</v>
      </c>
      <c r="D550" s="5"/>
    </row>
    <row r="551" spans="1:4">
      <c r="A551" s="5" t="str">
        <f ca="1">IFERROR(__xludf.DUMMYFUNCTION("""COMPUTED_VALUE"""),"20191114CASAS")</f>
        <v>20191114CASAS</v>
      </c>
      <c r="B551" s="5" t="str">
        <f ca="1">IFERROR(__xludf.DUMMYFUNCTION("""COMPUTED_VALUE"""),"Handgun")</f>
        <v>Handgun</v>
      </c>
      <c r="C551" s="5" t="str">
        <f ca="1">IFERROR(__xludf.DUMMYFUNCTION("""COMPUTED_VALUE"""),".45 caliber")</f>
        <v>.45 caliber</v>
      </c>
      <c r="D551" s="5"/>
    </row>
    <row r="552" spans="1:4">
      <c r="A552" s="5" t="str">
        <f ca="1">IFERROR(__xludf.DUMMYFUNCTION("""COMPUTED_VALUE"""),"20191113CAESL")</f>
        <v>20191113CAESL</v>
      </c>
      <c r="B552" s="5" t="str">
        <f ca="1">IFERROR(__xludf.DUMMYFUNCTION("""COMPUTED_VALUE"""),"Unknown")</f>
        <v>Unknown</v>
      </c>
      <c r="C552" s="5" t="str">
        <f ca="1">IFERROR(__xludf.DUMMYFUNCTION("""COMPUTED_VALUE"""),"Service Weapon")</f>
        <v>Service Weapon</v>
      </c>
      <c r="D552" s="5"/>
    </row>
    <row r="553" spans="1:4">
      <c r="A553" s="5" t="str">
        <f ca="1">IFERROR(__xludf.DUMMYFUNCTION("""COMPUTED_VALUE"""),"20191111MDACB")</f>
        <v>20191111MDACB</v>
      </c>
      <c r="B553" s="5" t="str">
        <f ca="1">IFERROR(__xludf.DUMMYFUNCTION("""COMPUTED_VALUE"""),"Handgun")</f>
        <v>Handgun</v>
      </c>
      <c r="C553" s="5" t="str">
        <f ca="1">IFERROR(__xludf.DUMMYFUNCTION("""COMPUTED_VALUE"""),"Unknown")</f>
        <v>Unknown</v>
      </c>
      <c r="D553" s="5"/>
    </row>
    <row r="554" spans="1:4">
      <c r="A554" s="5" t="str">
        <f ca="1">IFERROR(__xludf.DUMMYFUNCTION("""COMPUTED_VALUE"""),"20191108TXROD")</f>
        <v>20191108TXROD</v>
      </c>
      <c r="B554" s="5" t="str">
        <f ca="1">IFERROR(__xludf.DUMMYFUNCTION("""COMPUTED_VALUE"""),"No Data")</f>
        <v>No Data</v>
      </c>
      <c r="C554" s="5"/>
      <c r="D554" s="5"/>
    </row>
    <row r="555" spans="1:4">
      <c r="A555" s="5" t="str">
        <f ca="1">IFERROR(__xludf.DUMMYFUNCTION("""COMPUTED_VALUE"""),"20191108CAEDS")</f>
        <v>20191108CAEDS</v>
      </c>
      <c r="B555" s="5" t="str">
        <f ca="1">IFERROR(__xludf.DUMMYFUNCTION("""COMPUTED_VALUE"""),"No Data")</f>
        <v>No Data</v>
      </c>
      <c r="C555" s="5"/>
      <c r="D555" s="5"/>
    </row>
    <row r="556" spans="1:4">
      <c r="A556" s="5" t="str">
        <f ca="1">IFERROR(__xludf.DUMMYFUNCTION("""COMPUTED_VALUE"""),"20191029NYNEN")</f>
        <v>20191029NYNEN</v>
      </c>
      <c r="B556" s="5" t="str">
        <f ca="1">IFERROR(__xludf.DUMMYFUNCTION("""COMPUTED_VALUE"""),"Handgun")</f>
        <v>Handgun</v>
      </c>
      <c r="C556" s="5" t="str">
        <f ca="1">IFERROR(__xludf.DUMMYFUNCTION("""COMPUTED_VALUE"""),"Unknown")</f>
        <v>Unknown</v>
      </c>
      <c r="D556" s="5"/>
    </row>
    <row r="557" spans="1:4">
      <c r="A557" s="5" t="str">
        <f ca="1">IFERROR(__xludf.DUMMYFUNCTION("""COMPUTED_VALUE"""),"20191027MDLAL")</f>
        <v>20191027MDLAL</v>
      </c>
      <c r="B557" s="5" t="str">
        <f ca="1">IFERROR(__xludf.DUMMYFUNCTION("""COMPUTED_VALUE"""),"Handgun")</f>
        <v>Handgun</v>
      </c>
      <c r="C557" s="5" t="str">
        <f ca="1">IFERROR(__xludf.DUMMYFUNCTION("""COMPUTED_VALUE"""),"Unknown")</f>
        <v>Unknown</v>
      </c>
      <c r="D557" s="5"/>
    </row>
    <row r="558" spans="1:4">
      <c r="A558" s="5" t="str">
        <f ca="1">IFERROR(__xludf.DUMMYFUNCTION("""COMPUTED_VALUE"""),"20191022CARIS")</f>
        <v>20191022CARIS</v>
      </c>
      <c r="B558" s="5" t="str">
        <f ca="1">IFERROR(__xludf.DUMMYFUNCTION("""COMPUTED_VALUE"""),"Handgun")</f>
        <v>Handgun</v>
      </c>
      <c r="C558" s="5" t="str">
        <f ca="1">IFERROR(__xludf.DUMMYFUNCTION("""COMPUTED_VALUE"""),"Unknown")</f>
        <v>Unknown</v>
      </c>
      <c r="D558" s="5"/>
    </row>
    <row r="559" spans="1:4">
      <c r="A559" s="5" t="str">
        <f ca="1">IFERROR(__xludf.DUMMYFUNCTION("""COMPUTED_VALUE"""),"20191018OHWOT")</f>
        <v>20191018OHWOT</v>
      </c>
      <c r="B559" s="5" t="str">
        <f ca="1">IFERROR(__xludf.DUMMYFUNCTION("""COMPUTED_VALUE"""),"No Data")</f>
        <v>No Data</v>
      </c>
      <c r="C559" s="5"/>
      <c r="D559" s="5"/>
    </row>
    <row r="560" spans="1:4">
      <c r="A560" s="5" t="str">
        <f ca="1">IFERROR(__xludf.DUMMYFUNCTION("""COMPUTED_VALUE"""),"20191018GACRS")</f>
        <v>20191018GACRS</v>
      </c>
      <c r="B560" s="5" t="str">
        <f ca="1">IFERROR(__xludf.DUMMYFUNCTION("""COMPUTED_VALUE"""),"Handgun")</f>
        <v>Handgun</v>
      </c>
      <c r="C560" s="5" t="str">
        <f ca="1">IFERROR(__xludf.DUMMYFUNCTION("""COMPUTED_VALUE"""),"Unknown")</f>
        <v>Unknown</v>
      </c>
      <c r="D560" s="5"/>
    </row>
    <row r="561" spans="1:4">
      <c r="A561" s="5" t="str">
        <f ca="1">IFERROR(__xludf.DUMMYFUNCTION("""COMPUTED_VALUE"""),"20191015LAGEN")</f>
        <v>20191015LAGEN</v>
      </c>
      <c r="B561" s="5" t="str">
        <f ca="1">IFERROR(__xludf.DUMMYFUNCTION("""COMPUTED_VALUE"""),"Handgun")</f>
        <v>Handgun</v>
      </c>
      <c r="C561" s="5" t="str">
        <f ca="1">IFERROR(__xludf.DUMMYFUNCTION("""COMPUTED_VALUE"""),"Unknown")</f>
        <v>Unknown</v>
      </c>
      <c r="D561" s="5"/>
    </row>
    <row r="562" spans="1:4">
      <c r="A562" s="5" t="str">
        <f ca="1">IFERROR(__xludf.DUMMYFUNCTION("""COMPUTED_VALUE"""),"20191011LARAR")</f>
        <v>20191011LARAR</v>
      </c>
      <c r="B562" s="5" t="str">
        <f ca="1">IFERROR(__xludf.DUMMYFUNCTION("""COMPUTED_VALUE"""),"Handgun")</f>
        <v>Handgun</v>
      </c>
      <c r="C562" s="5" t="str">
        <f ca="1">IFERROR(__xludf.DUMMYFUNCTION("""COMPUTED_VALUE"""),"Unknown")</f>
        <v>Unknown</v>
      </c>
      <c r="D562" s="5"/>
    </row>
    <row r="563" spans="1:4">
      <c r="A563" s="5" t="str">
        <f ca="1">IFERROR(__xludf.DUMMYFUNCTION("""COMPUTED_VALUE"""),"20191009MAGRL")</f>
        <v>20191009MAGRL</v>
      </c>
      <c r="B563" s="5" t="str">
        <f ca="1">IFERROR(__xludf.DUMMYFUNCTION("""COMPUTED_VALUE"""),"Other")</f>
        <v>Other</v>
      </c>
      <c r="C563" s="5" t="str">
        <f ca="1">IFERROR(__xludf.DUMMYFUNCTION("""COMPUTED_VALUE"""),"BB")</f>
        <v>BB</v>
      </c>
      <c r="D563" s="5"/>
    </row>
    <row r="564" spans="1:4">
      <c r="A564" s="5" t="str">
        <f ca="1">IFERROR(__xludf.DUMMYFUNCTION("""COMPUTED_VALUE"""),"20191008TXWEH")</f>
        <v>20191008TXWEH</v>
      </c>
      <c r="B564" s="5" t="str">
        <f ca="1">IFERROR(__xludf.DUMMYFUNCTION("""COMPUTED_VALUE"""),"No Data")</f>
        <v>No Data</v>
      </c>
      <c r="C564" s="5"/>
      <c r="D564" s="5"/>
    </row>
    <row r="565" spans="1:4">
      <c r="A565" s="5" t="str">
        <f ca="1">IFERROR(__xludf.DUMMYFUNCTION("""COMPUTED_VALUE"""),"20191008COSHS")</f>
        <v>20191008COSHS</v>
      </c>
      <c r="B565" s="5" t="str">
        <f ca="1">IFERROR(__xludf.DUMMYFUNCTION("""COMPUTED_VALUE"""),"Handgun")</f>
        <v>Handgun</v>
      </c>
      <c r="C565" s="5" t="str">
        <f ca="1">IFERROR(__xludf.DUMMYFUNCTION("""COMPUTED_VALUE"""),"Unknown")</f>
        <v>Unknown</v>
      </c>
      <c r="D565" s="5"/>
    </row>
    <row r="566" spans="1:4">
      <c r="A566" s="5" t="str">
        <f ca="1">IFERROR(__xludf.DUMMYFUNCTION("""COMPUTED_VALUE"""),"20191002GASOA")</f>
        <v>20191002GASOA</v>
      </c>
      <c r="B566" s="5" t="str">
        <f ca="1">IFERROR(__xludf.DUMMYFUNCTION("""COMPUTED_VALUE"""),"Handgun")</f>
        <v>Handgun</v>
      </c>
      <c r="C566" s="5" t="str">
        <f ca="1">IFERROR(__xludf.DUMMYFUNCTION("""COMPUTED_VALUE"""),"Unknown")</f>
        <v>Unknown</v>
      </c>
      <c r="D566" s="5"/>
    </row>
    <row r="567" spans="1:4">
      <c r="A567" s="5" t="str">
        <f ca="1">IFERROR(__xludf.DUMMYFUNCTION("""COMPUTED_VALUE"""),"20190927NCZEC")</f>
        <v>20190927NCZEC</v>
      </c>
      <c r="B567" s="5" t="str">
        <f ca="1">IFERROR(__xludf.DUMMYFUNCTION("""COMPUTED_VALUE"""),"Handgun")</f>
        <v>Handgun</v>
      </c>
      <c r="C567" s="5" t="str">
        <f ca="1">IFERROR(__xludf.DUMMYFUNCTION("""COMPUTED_VALUE"""),"Unknown")</f>
        <v>Unknown</v>
      </c>
      <c r="D567" s="5"/>
    </row>
    <row r="568" spans="1:4">
      <c r="A568" s="5" t="str">
        <f ca="1">IFERROR(__xludf.DUMMYFUNCTION("""COMPUTED_VALUE"""),"20190927CADER")</f>
        <v>20190927CADER</v>
      </c>
      <c r="B568" s="5" t="str">
        <f ca="1">IFERROR(__xludf.DUMMYFUNCTION("""COMPUTED_VALUE"""),"Multiple Handguns")</f>
        <v>Multiple Handguns</v>
      </c>
      <c r="C568" s="5"/>
      <c r="D568" s="5"/>
    </row>
    <row r="569" spans="1:4">
      <c r="A569" s="5" t="str">
        <f ca="1">IFERROR(__xludf.DUMMYFUNCTION("""COMPUTED_VALUE"""),"20190920PASIP")</f>
        <v>20190920PASIP</v>
      </c>
      <c r="B569" s="5" t="str">
        <f ca="1">IFERROR(__xludf.DUMMYFUNCTION("""COMPUTED_VALUE"""),"Handgun")</f>
        <v>Handgun</v>
      </c>
      <c r="C569" s="5" t="str">
        <f ca="1">IFERROR(__xludf.DUMMYFUNCTION("""COMPUTED_VALUE"""),"Unknown")</f>
        <v>Unknown</v>
      </c>
      <c r="D569" s="5"/>
    </row>
    <row r="570" spans="1:4">
      <c r="A570" s="5" t="str">
        <f ca="1">IFERROR(__xludf.DUMMYFUNCTION("""COMPUTED_VALUE"""),"20190918MNFOC")</f>
        <v>20190918MNFOC</v>
      </c>
      <c r="B570" s="5" t="str">
        <f ca="1">IFERROR(__xludf.DUMMYFUNCTION("""COMPUTED_VALUE"""),"Handgun")</f>
        <v>Handgun</v>
      </c>
      <c r="C570" s="5"/>
      <c r="D570" s="5" t="str">
        <f ca="1">IFERROR(__xludf.DUMMYFUNCTION("""COMPUTED_VALUE"""),"Illegally carried by felon")</f>
        <v>Illegally carried by felon</v>
      </c>
    </row>
    <row r="571" spans="1:4">
      <c r="A571" s="5" t="str">
        <f ca="1">IFERROR(__xludf.DUMMYFUNCTION("""COMPUTED_VALUE"""),"20190916VAPHH")</f>
        <v>20190916VAPHH</v>
      </c>
      <c r="B571" s="5" t="str">
        <f ca="1">IFERROR(__xludf.DUMMYFUNCTION("""COMPUTED_VALUE"""),"Handgun")</f>
        <v>Handgun</v>
      </c>
      <c r="C571" s="5" t="str">
        <f ca="1">IFERROR(__xludf.DUMMYFUNCTION("""COMPUTED_VALUE"""),"Unknown")</f>
        <v>Unknown</v>
      </c>
      <c r="D571" s="5"/>
    </row>
    <row r="572" spans="1:4">
      <c r="A572" s="5" t="str">
        <f ca="1">IFERROR(__xludf.DUMMYFUNCTION("""COMPUTED_VALUE"""),"20190916ILILK")</f>
        <v>20190916ILILK</v>
      </c>
      <c r="B572" s="5" t="str">
        <f ca="1">IFERROR(__xludf.DUMMYFUNCTION("""COMPUTED_VALUE"""),"No Data")</f>
        <v>No Data</v>
      </c>
      <c r="C572" s="5"/>
      <c r="D572" s="5"/>
    </row>
    <row r="573" spans="1:4">
      <c r="A573" s="5" t="str">
        <f ca="1">IFERROR(__xludf.DUMMYFUNCTION("""COMPUTED_VALUE"""),"20190914TXEAF")</f>
        <v>20190914TXEAF</v>
      </c>
      <c r="B573" s="5" t="str">
        <f ca="1">IFERROR(__xludf.DUMMYFUNCTION("""COMPUTED_VALUE"""),"Handgun")</f>
        <v>Handgun</v>
      </c>
      <c r="C573" s="5" t="str">
        <f ca="1">IFERROR(__xludf.DUMMYFUNCTION("""COMPUTED_VALUE"""),"Unknown")</f>
        <v>Unknown</v>
      </c>
      <c r="D573" s="5"/>
    </row>
    <row r="574" spans="1:4">
      <c r="A574" s="5" t="str">
        <f ca="1">IFERROR(__xludf.DUMMYFUNCTION("""COMPUTED_VALUE"""),"20190913VAETN")</f>
        <v>20190913VAETN</v>
      </c>
      <c r="B574" s="5" t="str">
        <f ca="1">IFERROR(__xludf.DUMMYFUNCTION("""COMPUTED_VALUE"""),"Handgun")</f>
        <v>Handgun</v>
      </c>
      <c r="C574" s="5" t="str">
        <f ca="1">IFERROR(__xludf.DUMMYFUNCTION("""COMPUTED_VALUE"""),"Unknown")</f>
        <v>Unknown</v>
      </c>
      <c r="D574" s="5"/>
    </row>
    <row r="575" spans="1:4">
      <c r="A575" s="5" t="str">
        <f ca="1">IFERROR(__xludf.DUMMYFUNCTION("""COMPUTED_VALUE"""),"20190913UTGRW")</f>
        <v>20190913UTGRW</v>
      </c>
      <c r="B575" s="5" t="str">
        <f ca="1">IFERROR(__xludf.DUMMYFUNCTION("""COMPUTED_VALUE"""),"Handgun")</f>
        <v>Handgun</v>
      </c>
      <c r="C575" s="5" t="str">
        <f ca="1">IFERROR(__xludf.DUMMYFUNCTION("""COMPUTED_VALUE"""),"Unknown")</f>
        <v>Unknown</v>
      </c>
      <c r="D575" s="5"/>
    </row>
    <row r="576" spans="1:4">
      <c r="A576" s="5" t="str">
        <f ca="1">IFERROR(__xludf.DUMMYFUNCTION("""COMPUTED_VALUE"""),"20190912KSMAM")</f>
        <v>20190912KSMAM</v>
      </c>
      <c r="B576" s="5" t="str">
        <f ca="1">IFERROR(__xludf.DUMMYFUNCTION("""COMPUTED_VALUE"""),"No Data")</f>
        <v>No Data</v>
      </c>
      <c r="C576" s="5"/>
      <c r="D576" s="5"/>
    </row>
    <row r="577" spans="1:4">
      <c r="A577" s="5" t="str">
        <f ca="1">IFERROR(__xludf.DUMMYFUNCTION("""COMPUTED_VALUE"""),"20190910SCSOA")</f>
        <v>20190910SCSOA</v>
      </c>
      <c r="B577" s="5" t="str">
        <f ca="1">IFERROR(__xludf.DUMMYFUNCTION("""COMPUTED_VALUE"""),"Handgun")</f>
        <v>Handgun</v>
      </c>
      <c r="C577" s="5" t="str">
        <f ca="1">IFERROR(__xludf.DUMMYFUNCTION("""COMPUTED_VALUE"""),"Unknown")</f>
        <v>Unknown</v>
      </c>
      <c r="D577" s="5"/>
    </row>
    <row r="578" spans="1:4">
      <c r="A578" s="5" t="str">
        <f ca="1">IFERROR(__xludf.DUMMYFUNCTION("""COMPUTED_VALUE"""),"20190906PAWEM")</f>
        <v>20190906PAWEM</v>
      </c>
      <c r="B578" s="5" t="str">
        <f ca="1">IFERROR(__xludf.DUMMYFUNCTION("""COMPUTED_VALUE"""),"No Data")</f>
        <v>No Data</v>
      </c>
      <c r="C578" s="5"/>
      <c r="D578" s="5"/>
    </row>
    <row r="579" spans="1:4">
      <c r="A579" s="5" t="str">
        <f ca="1">IFERROR(__xludf.DUMMYFUNCTION("""COMPUTED_VALUE"""),"20190906PAMCJ")</f>
        <v>20190906PAMCJ</v>
      </c>
      <c r="B579" s="5" t="str">
        <f ca="1">IFERROR(__xludf.DUMMYFUNCTION("""COMPUTED_VALUE"""),"Handgun")</f>
        <v>Handgun</v>
      </c>
      <c r="C579" s="5" t="str">
        <f ca="1">IFERROR(__xludf.DUMMYFUNCTION("""COMPUTED_VALUE"""),"Unknown")</f>
        <v>Unknown</v>
      </c>
      <c r="D579" s="5"/>
    </row>
    <row r="580" spans="1:4">
      <c r="A580" s="5" t="str">
        <f ca="1">IFERROR(__xludf.DUMMYFUNCTION("""COMPUTED_VALUE"""),"20190906ALCEC")</f>
        <v>20190906ALCEC</v>
      </c>
      <c r="B580" s="5" t="str">
        <f ca="1">IFERROR(__xludf.DUMMYFUNCTION("""COMPUTED_VALUE"""),"No Data")</f>
        <v>No Data</v>
      </c>
      <c r="C580" s="5"/>
      <c r="D580" s="5"/>
    </row>
    <row r="581" spans="1:4">
      <c r="A581" s="5" t="str">
        <f ca="1">IFERROR(__xludf.DUMMYFUNCTION("""COMPUTED_VALUE"""),"20190902MDNOB")</f>
        <v>20190902MDNOB</v>
      </c>
      <c r="B581" s="5" t="str">
        <f ca="1">IFERROR(__xludf.DUMMYFUNCTION("""COMPUTED_VALUE"""),"No Data")</f>
        <v>No Data</v>
      </c>
      <c r="C581" s="5"/>
      <c r="D581" s="5"/>
    </row>
    <row r="582" spans="1:4">
      <c r="A582" s="5" t="str">
        <f ca="1">IFERROR(__xludf.DUMMYFUNCTION("""COMPUTED_VALUE"""),"20190830OHCET")</f>
        <v>20190830OHCET</v>
      </c>
      <c r="B582" s="5" t="str">
        <f ca="1">IFERROR(__xludf.DUMMYFUNCTION("""COMPUTED_VALUE"""),"Handgun")</f>
        <v>Handgun</v>
      </c>
      <c r="C582" s="5" t="str">
        <f ca="1">IFERROR(__xludf.DUMMYFUNCTION("""COMPUTED_VALUE"""),"Unknown")</f>
        <v>Unknown</v>
      </c>
      <c r="D582" s="5"/>
    </row>
    <row r="583" spans="1:4">
      <c r="A583" s="5" t="str">
        <f ca="1">IFERROR(__xludf.DUMMYFUNCTION("""COMPUTED_VALUE"""),"20190830NCKIK")</f>
        <v>20190830NCKIK</v>
      </c>
      <c r="B583" s="5" t="str">
        <f ca="1">IFERROR(__xludf.DUMMYFUNCTION("""COMPUTED_VALUE"""),"Handgun")</f>
        <v>Handgun</v>
      </c>
      <c r="C583" s="5" t="str">
        <f ca="1">IFERROR(__xludf.DUMMYFUNCTION("""COMPUTED_VALUE"""),"Unknown")</f>
        <v>Unknown</v>
      </c>
      <c r="D583" s="5"/>
    </row>
    <row r="584" spans="1:4">
      <c r="A584" s="5" t="str">
        <f ca="1">IFERROR(__xludf.DUMMYFUNCTION("""COMPUTED_VALUE"""),"20190830ALLAM")</f>
        <v>20190830ALLAM</v>
      </c>
      <c r="B584" s="5" t="str">
        <f ca="1">IFERROR(__xludf.DUMMYFUNCTION("""COMPUTED_VALUE"""),"Handgun")</f>
        <v>Handgun</v>
      </c>
      <c r="C584" s="5" t="str">
        <f ca="1">IFERROR(__xludf.DUMMYFUNCTION("""COMPUTED_VALUE"""),"Unknown")</f>
        <v>Unknown</v>
      </c>
      <c r="D584" s="5"/>
    </row>
    <row r="585" spans="1:4">
      <c r="A585" s="5" t="str">
        <f ca="1">IFERROR(__xludf.DUMMYFUNCTION("""COMPUTED_VALUE"""),"20190827NYROR")</f>
        <v>20190827NYROR</v>
      </c>
      <c r="B585" s="5" t="str">
        <f ca="1">IFERROR(__xludf.DUMMYFUNCTION("""COMPUTED_VALUE"""),"Handgun")</f>
        <v>Handgun</v>
      </c>
      <c r="C585" s="5" t="str">
        <f ca="1">IFERROR(__xludf.DUMMYFUNCTION("""COMPUTED_VALUE"""),"Unknown")</f>
        <v>Unknown</v>
      </c>
      <c r="D585" s="5"/>
    </row>
    <row r="586" spans="1:4">
      <c r="A586" s="5" t="str">
        <f ca="1">IFERROR(__xludf.DUMMYFUNCTION("""COMPUTED_VALUE"""),"20190827CAHOL")</f>
        <v>20190827CAHOL</v>
      </c>
      <c r="B586" s="5" t="str">
        <f ca="1">IFERROR(__xludf.DUMMYFUNCTION("""COMPUTED_VALUE"""),"No Data")</f>
        <v>No Data</v>
      </c>
      <c r="C586" s="5"/>
      <c r="D586" s="5"/>
    </row>
    <row r="587" spans="1:4">
      <c r="A587" s="5" t="str">
        <f ca="1">IFERROR(__xludf.DUMMYFUNCTION("""COMPUTED_VALUE"""),"20190824PAWIP")</f>
        <v>20190824PAWIP</v>
      </c>
      <c r="B587" s="5" t="str">
        <f ca="1">IFERROR(__xludf.DUMMYFUNCTION("""COMPUTED_VALUE"""),"Handgun")</f>
        <v>Handgun</v>
      </c>
      <c r="C587" s="5" t="str">
        <f ca="1">IFERROR(__xludf.DUMMYFUNCTION("""COMPUTED_VALUE"""),"Unknown")</f>
        <v>Unknown</v>
      </c>
      <c r="D587" s="5"/>
    </row>
    <row r="588" spans="1:4">
      <c r="A588" s="5" t="str">
        <f ca="1">IFERROR(__xludf.DUMMYFUNCTION("""COMPUTED_VALUE"""),"20190823MOROS")</f>
        <v>20190823MOROS</v>
      </c>
      <c r="B588" s="5" t="str">
        <f ca="1">IFERROR(__xludf.DUMMYFUNCTION("""COMPUTED_VALUE"""),"No Data")</f>
        <v>No Data</v>
      </c>
      <c r="C588" s="5"/>
      <c r="D588" s="5"/>
    </row>
    <row r="589" spans="1:4">
      <c r="A589" s="5" t="str">
        <f ca="1">IFERROR(__xludf.DUMMYFUNCTION("""COMPUTED_VALUE"""),"20190823MOPAS")</f>
        <v>20190823MOPAS</v>
      </c>
      <c r="B589" s="5" t="str">
        <f ca="1">IFERROR(__xludf.DUMMYFUNCTION("""COMPUTED_VALUE"""),"Handgun")</f>
        <v>Handgun</v>
      </c>
      <c r="C589" s="5" t="str">
        <f ca="1">IFERROR(__xludf.DUMMYFUNCTION("""COMPUTED_VALUE"""),"Unknown")</f>
        <v>Unknown</v>
      </c>
      <c r="D589" s="5"/>
    </row>
    <row r="590" spans="1:4">
      <c r="A590" s="5" t="str">
        <f ca="1">IFERROR(__xludf.DUMMYFUNCTION("""COMPUTED_VALUE"""),"20190823GAPEC")</f>
        <v>20190823GAPEC</v>
      </c>
      <c r="B590" s="5" t="str">
        <f ca="1">IFERROR(__xludf.DUMMYFUNCTION("""COMPUTED_VALUE"""),"No Data")</f>
        <v>No Data</v>
      </c>
      <c r="C590" s="5"/>
      <c r="D590" s="5"/>
    </row>
    <row r="591" spans="1:4">
      <c r="A591" s="5" t="str">
        <f ca="1">IFERROR(__xludf.DUMMYFUNCTION("""COMPUTED_VALUE"""),"20190820PASAC")</f>
        <v>20190820PASAC</v>
      </c>
      <c r="B591" s="5" t="str">
        <f ca="1">IFERROR(__xludf.DUMMYFUNCTION("""COMPUTED_VALUE"""),"Handgun")</f>
        <v>Handgun</v>
      </c>
      <c r="C591" s="5" t="str">
        <f ca="1">IFERROR(__xludf.DUMMYFUNCTION("""COMPUTED_VALUE"""),"Service Weapon")</f>
        <v>Service Weapon</v>
      </c>
      <c r="D591" s="5"/>
    </row>
    <row r="592" spans="1:4">
      <c r="A592" s="5" t="str">
        <f ca="1">IFERROR(__xludf.DUMMYFUNCTION("""COMPUTED_VALUE"""),"20190817GALAA")</f>
        <v>20190817GALAA</v>
      </c>
      <c r="B592" s="5" t="str">
        <f ca="1">IFERROR(__xludf.DUMMYFUNCTION("""COMPUTED_VALUE"""),"Handgun")</f>
        <v>Handgun</v>
      </c>
      <c r="C592" s="5" t="str">
        <f ca="1">IFERROR(__xludf.DUMMYFUNCTION("""COMPUTED_VALUE"""),"Unknown")</f>
        <v>Unknown</v>
      </c>
      <c r="D592" s="5"/>
    </row>
    <row r="593" spans="1:4">
      <c r="A593" s="5" t="str">
        <f ca="1">IFERROR(__xludf.DUMMYFUNCTION("""COMPUTED_VALUE"""),"20190815TNEAN")</f>
        <v>20190815TNEAN</v>
      </c>
      <c r="B593" s="5" t="str">
        <f ca="1">IFERROR(__xludf.DUMMYFUNCTION("""COMPUTED_VALUE"""),"Handgun")</f>
        <v>Handgun</v>
      </c>
      <c r="C593" s="5" t="str">
        <f ca="1">IFERROR(__xludf.DUMMYFUNCTION("""COMPUTED_VALUE"""),"9mm")</f>
        <v>9mm</v>
      </c>
      <c r="D593" s="5"/>
    </row>
    <row r="594" spans="1:4">
      <c r="A594" s="5" t="str">
        <f ca="1">IFERROR(__xludf.DUMMYFUNCTION("""COMPUTED_VALUE"""),"20190809NJWEN")</f>
        <v>20190809NJWEN</v>
      </c>
      <c r="B594" s="5" t="str">
        <f ca="1">IFERROR(__xludf.DUMMYFUNCTION("""COMPUTED_VALUE"""),"Handgun")</f>
        <v>Handgun</v>
      </c>
      <c r="C594" s="5"/>
      <c r="D594" s="5"/>
    </row>
    <row r="595" spans="1:4">
      <c r="A595" s="5" t="str">
        <f ca="1">IFERROR(__xludf.DUMMYFUNCTION("""COMPUTED_VALUE"""),"20190808ALBLM")</f>
        <v>20190808ALBLM</v>
      </c>
      <c r="B595" s="5" t="str">
        <f ca="1">IFERROR(__xludf.DUMMYFUNCTION("""COMPUTED_VALUE"""),"Handgun")</f>
        <v>Handgun</v>
      </c>
      <c r="C595" s="5" t="str">
        <f ca="1">IFERROR(__xludf.DUMMYFUNCTION("""COMPUTED_VALUE"""),"Unknown")</f>
        <v>Unknown</v>
      </c>
      <c r="D595" s="5"/>
    </row>
    <row r="596" spans="1:4">
      <c r="A596" s="5" t="str">
        <f ca="1">IFERROR(__xludf.DUMMYFUNCTION("""COMPUTED_VALUE"""),"20190719CAMOS")</f>
        <v>20190719CAMOS</v>
      </c>
      <c r="B596" s="5" t="str">
        <f ca="1">IFERROR(__xludf.DUMMYFUNCTION("""COMPUTED_VALUE"""),"Other")</f>
        <v>Other</v>
      </c>
      <c r="C596" s="5" t="str">
        <f ca="1">IFERROR(__xludf.DUMMYFUNCTION("""COMPUTED_VALUE"""),"BB")</f>
        <v>BB</v>
      </c>
      <c r="D596" s="5"/>
    </row>
    <row r="597" spans="1:4">
      <c r="A597" s="5" t="str">
        <f ca="1">IFERROR(__xludf.DUMMYFUNCTION("""COMPUTED_VALUE"""),"20190711CTBUH")</f>
        <v>20190711CTBUH</v>
      </c>
      <c r="B597" s="5" t="str">
        <f ca="1">IFERROR(__xludf.DUMMYFUNCTION("""COMPUTED_VALUE"""),"No Data")</f>
        <v>No Data</v>
      </c>
      <c r="C597" s="5"/>
      <c r="D597" s="5"/>
    </row>
    <row r="598" spans="1:4">
      <c r="A598" s="5" t="str">
        <f ca="1">IFERROR(__xludf.DUMMYFUNCTION("""COMPUTED_VALUE"""),"20190702AKWIA")</f>
        <v>20190702AKWIA</v>
      </c>
      <c r="B598" s="5" t="str">
        <f ca="1">IFERROR(__xludf.DUMMYFUNCTION("""COMPUTED_VALUE"""),"Handgun")</f>
        <v>Handgun</v>
      </c>
      <c r="C598" s="5" t="str">
        <f ca="1">IFERROR(__xludf.DUMMYFUNCTION("""COMPUTED_VALUE"""),"Unknown")</f>
        <v>Unknown</v>
      </c>
      <c r="D598" s="5"/>
    </row>
    <row r="599" spans="1:4">
      <c r="A599" s="5" t="str">
        <f ca="1">IFERROR(__xludf.DUMMYFUNCTION("""COMPUTED_VALUE"""),"20190701NYSCN")</f>
        <v>20190701NYSCN</v>
      </c>
      <c r="B599" s="5" t="str">
        <f ca="1">IFERROR(__xludf.DUMMYFUNCTION("""COMPUTED_VALUE"""),"Handgun")</f>
        <v>Handgun</v>
      </c>
      <c r="C599" s="5" t="str">
        <f ca="1">IFERROR(__xludf.DUMMYFUNCTION("""COMPUTED_VALUE"""),"Unknown")</f>
        <v>Unknown</v>
      </c>
      <c r="D599" s="5"/>
    </row>
    <row r="600" spans="1:4">
      <c r="A600" s="5" t="str">
        <f ca="1">IFERROR(__xludf.DUMMYFUNCTION("""COMPUTED_VALUE"""),"20190629COJAC")</f>
        <v>20190629COJAC</v>
      </c>
      <c r="B600" s="5" t="str">
        <f ca="1">IFERROR(__xludf.DUMMYFUNCTION("""COMPUTED_VALUE"""),"Handgun")</f>
        <v>Handgun</v>
      </c>
      <c r="C600" s="5" t="str">
        <f ca="1">IFERROR(__xludf.DUMMYFUNCTION("""COMPUTED_VALUE"""),"Unknown")</f>
        <v>Unknown</v>
      </c>
      <c r="D600" s="5"/>
    </row>
    <row r="601" spans="1:4">
      <c r="A601" s="5" t="str">
        <f ca="1">IFERROR(__xludf.DUMMYFUNCTION("""COMPUTED_VALUE"""),"20190621MICAF")</f>
        <v>20190621MICAF</v>
      </c>
      <c r="B601" s="5" t="str">
        <f ca="1">IFERROR(__xludf.DUMMYFUNCTION("""COMPUTED_VALUE"""),"Handgun")</f>
        <v>Handgun</v>
      </c>
      <c r="C601" s="5" t="str">
        <f ca="1">IFERROR(__xludf.DUMMYFUNCTION("""COMPUTED_VALUE"""),"Unknown")</f>
        <v>Unknown</v>
      </c>
      <c r="D601" s="5"/>
    </row>
    <row r="602" spans="1:4">
      <c r="A602" s="5" t="str">
        <f ca="1">IFERROR(__xludf.DUMMYFUNCTION("""COMPUTED_VALUE"""),"20190613NJTAW")</f>
        <v>20190613NJTAW</v>
      </c>
      <c r="B602" s="5" t="str">
        <f ca="1">IFERROR(__xludf.DUMMYFUNCTION("""COMPUTED_VALUE"""),"Handgun")</f>
        <v>Handgun</v>
      </c>
      <c r="C602" s="5" t="str">
        <f ca="1">IFERROR(__xludf.DUMMYFUNCTION("""COMPUTED_VALUE"""),".45 caliber")</f>
        <v>.45 caliber</v>
      </c>
      <c r="D602" s="5"/>
    </row>
    <row r="603" spans="1:4">
      <c r="A603" s="5" t="str">
        <f ca="1">IFERROR(__xludf.DUMMYFUNCTION("""COMPUTED_VALUE"""),"20190612PAJEE")</f>
        <v>20190612PAJEE</v>
      </c>
      <c r="B603" s="5" t="str">
        <f ca="1">IFERROR(__xludf.DUMMYFUNCTION("""COMPUTED_VALUE"""),"Handgun")</f>
        <v>Handgun</v>
      </c>
      <c r="C603" s="5" t="str">
        <f ca="1">IFERROR(__xludf.DUMMYFUNCTION("""COMPUTED_VALUE"""),"Unknown")</f>
        <v>Unknown</v>
      </c>
      <c r="D603" s="5"/>
    </row>
    <row r="604" spans="1:4">
      <c r="A604" s="5" t="str">
        <f ca="1">IFERROR(__xludf.DUMMYFUNCTION("""COMPUTED_VALUE"""),"20190612DCHEW")</f>
        <v>20190612DCHEW</v>
      </c>
      <c r="B604" s="5" t="str">
        <f ca="1">IFERROR(__xludf.DUMMYFUNCTION("""COMPUTED_VALUE"""),"Handgun")</f>
        <v>Handgun</v>
      </c>
      <c r="C604" s="5" t="str">
        <f ca="1">IFERROR(__xludf.DUMMYFUNCTION("""COMPUTED_VALUE"""),"Unknown")</f>
        <v>Unknown</v>
      </c>
      <c r="D604" s="5"/>
    </row>
    <row r="605" spans="1:4">
      <c r="A605" s="5" t="str">
        <f ca="1">IFERROR(__xludf.DUMMYFUNCTION("""COMPUTED_VALUE"""),"20190610ILMEW")</f>
        <v>20190610ILMEW</v>
      </c>
      <c r="B605" s="5" t="str">
        <f ca="1">IFERROR(__xludf.DUMMYFUNCTION("""COMPUTED_VALUE"""),"Handgun")</f>
        <v>Handgun</v>
      </c>
      <c r="C605" s="5" t="str">
        <f ca="1">IFERROR(__xludf.DUMMYFUNCTION("""COMPUTED_VALUE"""),"Unknown")</f>
        <v>Unknown</v>
      </c>
      <c r="D605" s="5"/>
    </row>
    <row r="606" spans="1:4">
      <c r="A606" s="5" t="str">
        <f ca="1">IFERROR(__xludf.DUMMYFUNCTION("""COMPUTED_VALUE"""),"20190606ILGEC")</f>
        <v>20190606ILGEC</v>
      </c>
      <c r="B606" s="5" t="str">
        <f ca="1">IFERROR(__xludf.DUMMYFUNCTION("""COMPUTED_VALUE"""),"Handgun")</f>
        <v>Handgun</v>
      </c>
      <c r="C606" s="5" t="str">
        <f ca="1">IFERROR(__xludf.DUMMYFUNCTION("""COMPUTED_VALUE"""),"Unknown")</f>
        <v>Unknown</v>
      </c>
      <c r="D606" s="5"/>
    </row>
    <row r="607" spans="1:4">
      <c r="A607" s="5" t="str">
        <f ca="1">IFERROR(__xludf.DUMMYFUNCTION("""COMPUTED_VALUE"""),"20190530DCHEW")</f>
        <v>20190530DCHEW</v>
      </c>
      <c r="B607" s="5" t="str">
        <f ca="1">IFERROR(__xludf.DUMMYFUNCTION("""COMPUTED_VALUE"""),"Handgun")</f>
        <v>Handgun</v>
      </c>
      <c r="C607" s="5" t="str">
        <f ca="1">IFERROR(__xludf.DUMMYFUNCTION("""COMPUTED_VALUE"""),"Unknown")</f>
        <v>Unknown</v>
      </c>
      <c r="D607" s="5"/>
    </row>
    <row r="608" spans="1:4">
      <c r="A608" s="5" t="str">
        <f ca="1">IFERROR(__xludf.DUMMYFUNCTION("""COMPUTED_VALUE"""),"20190522OHSAC")</f>
        <v>20190522OHSAC</v>
      </c>
      <c r="B608" s="5" t="str">
        <f ca="1">IFERROR(__xludf.DUMMYFUNCTION("""COMPUTED_VALUE"""),"Handgun")</f>
        <v>Handgun</v>
      </c>
      <c r="C608" s="5"/>
      <c r="D608" s="5"/>
    </row>
    <row r="609" spans="1:4">
      <c r="A609" s="5" t="str">
        <f ca="1">IFERROR(__xludf.DUMMYFUNCTION("""COMPUTED_VALUE"""),"20190517ORPAP")</f>
        <v>20190517ORPAP</v>
      </c>
      <c r="B609" s="5" t="str">
        <f ca="1">IFERROR(__xludf.DUMMYFUNCTION("""COMPUTED_VALUE"""),"Shotgun")</f>
        <v>Shotgun</v>
      </c>
      <c r="C609" s="5" t="str">
        <f ca="1">IFERROR(__xludf.DUMMYFUNCTION("""COMPUTED_VALUE"""),"Unknown")</f>
        <v>Unknown</v>
      </c>
      <c r="D609" s="5"/>
    </row>
    <row r="610" spans="1:4">
      <c r="A610" s="5" t="str">
        <f ca="1">IFERROR(__xludf.DUMMYFUNCTION("""COMPUTED_VALUE"""),"20190517FLTEJ")</f>
        <v>20190517FLTEJ</v>
      </c>
      <c r="B610" s="5" t="str">
        <f ca="1">IFERROR(__xludf.DUMMYFUNCTION("""COMPUTED_VALUE"""),"Handgun")</f>
        <v>Handgun</v>
      </c>
      <c r="C610" s="5" t="str">
        <f ca="1">IFERROR(__xludf.DUMMYFUNCTION("""COMPUTED_VALUE"""),"Unknown")</f>
        <v>Unknown</v>
      </c>
      <c r="D610" s="5"/>
    </row>
    <row r="611" spans="1:4">
      <c r="A611" s="5" t="str">
        <f ca="1">IFERROR(__xludf.DUMMYFUNCTION("""COMPUTED_VALUE"""),"20190508ILSEC")</f>
        <v>20190508ILSEC</v>
      </c>
      <c r="B611" s="5" t="str">
        <f ca="1">IFERROR(__xludf.DUMMYFUNCTION("""COMPUTED_VALUE"""),"Handgun")</f>
        <v>Handgun</v>
      </c>
      <c r="C611" s="5" t="str">
        <f ca="1">IFERROR(__xludf.DUMMYFUNCTION("""COMPUTED_VALUE"""),"Unknown")</f>
        <v>Unknown</v>
      </c>
      <c r="D611" s="5"/>
    </row>
    <row r="612" spans="1:4">
      <c r="A612" s="5" t="str">
        <f ca="1">IFERROR(__xludf.DUMMYFUNCTION("""COMPUTED_VALUE"""),"20190507COSTH")</f>
        <v>20190507COSTH</v>
      </c>
      <c r="B612" s="5" t="str">
        <f ca="1">IFERROR(__xludf.DUMMYFUNCTION("""COMPUTED_VALUE"""),"Multiple Handguns")</f>
        <v>Multiple Handguns</v>
      </c>
      <c r="C612" s="5" t="str">
        <f ca="1">IFERROR(__xludf.DUMMYFUNCTION("""COMPUTED_VALUE"""),"Unknown")</f>
        <v>Unknown</v>
      </c>
      <c r="D612" s="5"/>
    </row>
    <row r="613" spans="1:4">
      <c r="A613" s="5" t="str">
        <f ca="1">IFERROR(__xludf.DUMMYFUNCTION("""COMPUTED_VALUE"""),"20190430VACDW")</f>
        <v>20190430VACDW</v>
      </c>
      <c r="B613" s="5" t="str">
        <f ca="1">IFERROR(__xludf.DUMMYFUNCTION("""COMPUTED_VALUE"""),"Handgun")</f>
        <v>Handgun</v>
      </c>
      <c r="C613" s="5" t="str">
        <f ca="1">IFERROR(__xludf.DUMMYFUNCTION("""COMPUTED_VALUE"""),"Unknown")</f>
        <v>Unknown</v>
      </c>
      <c r="D613" s="5"/>
    </row>
    <row r="614" spans="1:4">
      <c r="A614" s="5" t="str">
        <f ca="1">IFERROR(__xludf.DUMMYFUNCTION("""COMPUTED_VALUE"""),"20190430FLWEW")</f>
        <v>20190430FLWEW</v>
      </c>
      <c r="B614" s="5" t="str">
        <f ca="1">IFERROR(__xludf.DUMMYFUNCTION("""COMPUTED_VALUE"""),"Handgun")</f>
        <v>Handgun</v>
      </c>
      <c r="C614" s="5" t="str">
        <f ca="1">IFERROR(__xludf.DUMMYFUNCTION("""COMPUTED_VALUE"""),"Service Weapon")</f>
        <v>Service Weapon</v>
      </c>
      <c r="D614" s="5"/>
    </row>
    <row r="615" spans="1:4">
      <c r="A615" s="5" t="str">
        <f ca="1">IFERROR(__xludf.DUMMYFUNCTION("""COMPUTED_VALUE"""),"20190426GACRF")</f>
        <v>20190426GACRF</v>
      </c>
      <c r="B615" s="5" t="str">
        <f ca="1">IFERROR(__xludf.DUMMYFUNCTION("""COMPUTED_VALUE"""),"Handgun")</f>
        <v>Handgun</v>
      </c>
      <c r="C615" s="5" t="str">
        <f ca="1">IFERROR(__xludf.DUMMYFUNCTION("""COMPUTED_VALUE"""),"Unknown")</f>
        <v>Unknown</v>
      </c>
      <c r="D615" s="5"/>
    </row>
    <row r="616" spans="1:4">
      <c r="A616" s="5" t="str">
        <f ca="1">IFERROR(__xludf.DUMMYFUNCTION("""COMPUTED_VALUE"""),"20190425GAWYS")</f>
        <v>20190425GAWYS</v>
      </c>
      <c r="B616" s="5" t="str">
        <f ca="1">IFERROR(__xludf.DUMMYFUNCTION("""COMPUTED_VALUE"""),"Handgun")</f>
        <v>Handgun</v>
      </c>
      <c r="C616" s="5" t="str">
        <f ca="1">IFERROR(__xludf.DUMMYFUNCTION("""COMPUTED_VALUE"""),"BB")</f>
        <v>BB</v>
      </c>
      <c r="D616" s="5"/>
    </row>
    <row r="617" spans="1:4">
      <c r="A617" s="5" t="str">
        <f ca="1">IFERROR(__xludf.DUMMYFUNCTION("""COMPUTED_VALUE"""),"20190424ARCOC")</f>
        <v>20190424ARCOC</v>
      </c>
      <c r="B617" s="5" t="str">
        <f ca="1">IFERROR(__xludf.DUMMYFUNCTION("""COMPUTED_VALUE"""),"Handgun")</f>
        <v>Handgun</v>
      </c>
      <c r="C617" s="5" t="str">
        <f ca="1">IFERROR(__xludf.DUMMYFUNCTION("""COMPUTED_VALUE"""),"Unknown")</f>
        <v>Unknown</v>
      </c>
      <c r="D617" s="5"/>
    </row>
    <row r="618" spans="1:4">
      <c r="A618" s="5" t="str">
        <f ca="1">IFERROR(__xludf.DUMMYFUNCTION("""COMPUTED_VALUE"""),"20190417ILWAL")</f>
        <v>20190417ILWAL</v>
      </c>
      <c r="B618" s="5" t="str">
        <f ca="1">IFERROR(__xludf.DUMMYFUNCTION("""COMPUTED_VALUE"""),"Handgun")</f>
        <v>Handgun</v>
      </c>
      <c r="C618" s="5" t="str">
        <f ca="1">IFERROR(__xludf.DUMMYFUNCTION("""COMPUTED_VALUE"""),"Unknown")</f>
        <v>Unknown</v>
      </c>
      <c r="D618" s="5"/>
    </row>
    <row r="619" spans="1:4">
      <c r="A619" s="5" t="str">
        <f ca="1">IFERROR(__xludf.DUMMYFUNCTION("""COMPUTED_VALUE"""),"20190410TXROH")</f>
        <v>20190410TXROH</v>
      </c>
      <c r="B619" s="5" t="str">
        <f ca="1">IFERROR(__xludf.DUMMYFUNCTION("""COMPUTED_VALUE"""),"Multiple Unknown")</f>
        <v>Multiple Unknown</v>
      </c>
      <c r="C619" s="5" t="str">
        <f ca="1">IFERROR(__xludf.DUMMYFUNCTION("""COMPUTED_VALUE"""),"Unknown")</f>
        <v>Unknown</v>
      </c>
      <c r="D619" s="5"/>
    </row>
    <row r="620" spans="1:4">
      <c r="A620" s="5" t="str">
        <f ca="1">IFERROR(__xludf.DUMMYFUNCTION("""COMPUTED_VALUE"""),"20190407MAHOL")</f>
        <v>20190407MAHOL</v>
      </c>
      <c r="B620" s="5" t="str">
        <f ca="1">IFERROR(__xludf.DUMMYFUNCTION("""COMPUTED_VALUE"""),"No Data")</f>
        <v>No Data</v>
      </c>
      <c r="C620" s="5"/>
      <c r="D620" s="5"/>
    </row>
    <row r="621" spans="1:4">
      <c r="A621" s="5" t="str">
        <f ca="1">IFERROR(__xludf.DUMMYFUNCTION("""COMPUTED_VALUE"""),"20190405WISTM")</f>
        <v>20190405WISTM</v>
      </c>
      <c r="B621" s="5" t="str">
        <f ca="1">IFERROR(__xludf.DUMMYFUNCTION("""COMPUTED_VALUE"""),"Handgun")</f>
        <v>Handgun</v>
      </c>
      <c r="C621" s="5" t="str">
        <f ca="1">IFERROR(__xludf.DUMMYFUNCTION("""COMPUTED_VALUE"""),"Unknown")</f>
        <v>Unknown</v>
      </c>
      <c r="D621" s="5"/>
    </row>
    <row r="622" spans="1:4">
      <c r="A622" s="5" t="str">
        <f ca="1">IFERROR(__xludf.DUMMYFUNCTION("""COMPUTED_VALUE"""),"20190403FLSAJ")</f>
        <v>20190403FLSAJ</v>
      </c>
      <c r="B622" s="5" t="str">
        <f ca="1">IFERROR(__xludf.DUMMYFUNCTION("""COMPUTED_VALUE"""),"No Data")</f>
        <v>No Data</v>
      </c>
      <c r="C622" s="5"/>
      <c r="D622" s="5"/>
    </row>
    <row r="623" spans="1:4">
      <c r="A623" s="5" t="str">
        <f ca="1">IFERROR(__xludf.DUMMYFUNCTION("""COMPUTED_VALUE"""),"20190403COAUA")</f>
        <v>20190403COAUA</v>
      </c>
      <c r="B623" s="5" t="str">
        <f ca="1">IFERROR(__xludf.DUMMYFUNCTION("""COMPUTED_VALUE"""),"Handgun")</f>
        <v>Handgun</v>
      </c>
      <c r="C623" s="5" t="str">
        <f ca="1">IFERROR(__xludf.DUMMYFUNCTION("""COMPUTED_VALUE"""),"Unknown")</f>
        <v>Unknown</v>
      </c>
      <c r="D623" s="5"/>
    </row>
    <row r="624" spans="1:4">
      <c r="A624" s="5" t="str">
        <f ca="1">IFERROR(__xludf.DUMMYFUNCTION("""COMPUTED_VALUE"""),"20190401ARPRP")</f>
        <v>20190401ARPRP</v>
      </c>
      <c r="B624" s="5" t="str">
        <f ca="1">IFERROR(__xludf.DUMMYFUNCTION("""COMPUTED_VALUE"""),"Handgun")</f>
        <v>Handgun</v>
      </c>
      <c r="C624" s="5" t="str">
        <f ca="1">IFERROR(__xludf.DUMMYFUNCTION("""COMPUTED_VALUE"""),"Unknown")</f>
        <v>Unknown</v>
      </c>
      <c r="D624" s="5"/>
    </row>
    <row r="625" spans="1:4">
      <c r="A625" s="5" t="str">
        <f ca="1">IFERROR(__xludf.DUMMYFUNCTION("""COMPUTED_VALUE"""),"20190327MSSVH")</f>
        <v>20190327MSSVH</v>
      </c>
      <c r="B625" s="5" t="str">
        <f ca="1">IFERROR(__xludf.DUMMYFUNCTION("""COMPUTED_VALUE"""),"Handgun")</f>
        <v>Handgun</v>
      </c>
      <c r="C625" s="5" t="str">
        <f ca="1">IFERROR(__xludf.DUMMYFUNCTION("""COMPUTED_VALUE"""),"Unknown")</f>
        <v>Unknown</v>
      </c>
      <c r="D625" s="5"/>
    </row>
    <row r="626" spans="1:4">
      <c r="A626" s="5" t="str">
        <f ca="1">IFERROR(__xludf.DUMMYFUNCTION("""COMPUTED_VALUE"""),"20190327FLMAJ")</f>
        <v>20190327FLMAJ</v>
      </c>
      <c r="B626" s="5" t="str">
        <f ca="1">IFERROR(__xludf.DUMMYFUNCTION("""COMPUTED_VALUE"""),"Other")</f>
        <v>Other</v>
      </c>
      <c r="C626" s="5" t="str">
        <f ca="1">IFERROR(__xludf.DUMMYFUNCTION("""COMPUTED_VALUE"""),"BB")</f>
        <v>BB</v>
      </c>
      <c r="D626" s="5"/>
    </row>
    <row r="627" spans="1:4">
      <c r="A627" s="5" t="str">
        <f ca="1">IFERROR(__xludf.DUMMYFUNCTION("""COMPUTED_VALUE"""),"20190322ALBLB")</f>
        <v>20190322ALBLB</v>
      </c>
      <c r="B627" s="5" t="str">
        <f ca="1">IFERROR(__xludf.DUMMYFUNCTION("""COMPUTED_VALUE"""),"Handgun")</f>
        <v>Handgun</v>
      </c>
      <c r="C627" s="5" t="str">
        <f ca="1">IFERROR(__xludf.DUMMYFUNCTION("""COMPUTED_VALUE"""),"Unknown")</f>
        <v>Unknown</v>
      </c>
      <c r="D627" s="5"/>
    </row>
    <row r="628" spans="1:4">
      <c r="A628" s="5" t="str">
        <f ca="1">IFERROR(__xludf.DUMMYFUNCTION("""COMPUTED_VALUE"""),"20190313FLLAO")</f>
        <v>20190313FLLAO</v>
      </c>
      <c r="B628" s="5" t="str">
        <f ca="1">IFERROR(__xludf.DUMMYFUNCTION("""COMPUTED_VALUE"""),"Handgun")</f>
        <v>Handgun</v>
      </c>
      <c r="C628" s="5" t="str">
        <f ca="1">IFERROR(__xludf.DUMMYFUNCTION("""COMPUTED_VALUE"""),"Unknown")</f>
        <v>Unknown</v>
      </c>
      <c r="D628" s="5"/>
    </row>
    <row r="629" spans="1:4">
      <c r="A629" s="5" t="str">
        <f ca="1">IFERROR(__xludf.DUMMYFUNCTION("""COMPUTED_VALUE"""),"20190301KSHIM")</f>
        <v>20190301KSHIM</v>
      </c>
      <c r="B629" s="5" t="str">
        <f ca="1">IFERROR(__xludf.DUMMYFUNCTION("""COMPUTED_VALUE"""),"Handgun")</f>
        <v>Handgun</v>
      </c>
      <c r="C629" s="5" t="str">
        <f ca="1">IFERROR(__xludf.DUMMYFUNCTION("""COMPUTED_VALUE"""),"Unknown")</f>
        <v>Unknown</v>
      </c>
      <c r="D629" s="5"/>
    </row>
    <row r="630" spans="1:4">
      <c r="A630" s="5" t="str">
        <f ca="1">IFERROR(__xludf.DUMMYFUNCTION("""COMPUTED_VALUE"""),"20190226ALROM")</f>
        <v>20190226ALROM</v>
      </c>
      <c r="B630" s="5" t="str">
        <f ca="1">IFERROR(__xludf.DUMMYFUNCTION("""COMPUTED_VALUE"""),"Handgun")</f>
        <v>Handgun</v>
      </c>
      <c r="C630" s="5" t="str">
        <f ca="1">IFERROR(__xludf.DUMMYFUNCTION("""COMPUTED_VALUE"""),"Unknown")</f>
        <v>Unknown</v>
      </c>
      <c r="D630" s="5"/>
    </row>
    <row r="631" spans="1:4">
      <c r="A631" s="5" t="str">
        <f ca="1">IFERROR(__xludf.DUMMYFUNCTION("""COMPUTED_VALUE"""),"20190217COEAA")</f>
        <v>20190217COEAA</v>
      </c>
      <c r="B631" s="5" t="str">
        <f ca="1">IFERROR(__xludf.DUMMYFUNCTION("""COMPUTED_VALUE"""),"Handgun")</f>
        <v>Handgun</v>
      </c>
      <c r="C631" s="5" t="str">
        <f ca="1">IFERROR(__xludf.DUMMYFUNCTION("""COMPUTED_VALUE"""),"Unknown")</f>
        <v>Unknown</v>
      </c>
      <c r="D631" s="5"/>
    </row>
    <row r="632" spans="1:4">
      <c r="A632" s="5" t="str">
        <f ca="1">IFERROR(__xludf.DUMMYFUNCTION("""COMPUTED_VALUE"""),"20190214NMV.R")</f>
        <v>20190214NMV.R</v>
      </c>
      <c r="B632" s="5" t="str">
        <f ca="1">IFERROR(__xludf.DUMMYFUNCTION("""COMPUTED_VALUE"""),"Handgun")</f>
        <v>Handgun</v>
      </c>
      <c r="C632" s="5" t="str">
        <f ca="1">IFERROR(__xludf.DUMMYFUNCTION("""COMPUTED_VALUE"""),"Unknown")</f>
        <v>Unknown</v>
      </c>
      <c r="D632" s="5"/>
    </row>
    <row r="633" spans="1:4">
      <c r="A633" s="5" t="str">
        <f ca="1">IFERROR(__xludf.DUMMYFUNCTION("""COMPUTED_VALUE"""),"20190212MOCEK")</f>
        <v>20190212MOCEK</v>
      </c>
      <c r="B633" s="5" t="str">
        <f ca="1">IFERROR(__xludf.DUMMYFUNCTION("""COMPUTED_VALUE"""),"Handgun")</f>
        <v>Handgun</v>
      </c>
      <c r="C633" s="5" t="str">
        <f ca="1">IFERROR(__xludf.DUMMYFUNCTION("""COMPUTED_VALUE"""),"Unknown")</f>
        <v>Unknown</v>
      </c>
      <c r="D633" s="5"/>
    </row>
    <row r="634" spans="1:4">
      <c r="A634" s="5" t="str">
        <f ca="1">IFERROR(__xludf.DUMMYFUNCTION("""COMPUTED_VALUE"""),"20190208MDFRB")</f>
        <v>20190208MDFRB</v>
      </c>
      <c r="B634" s="5" t="str">
        <f ca="1">IFERROR(__xludf.DUMMYFUNCTION("""COMPUTED_VALUE"""),"Handgun")</f>
        <v>Handgun</v>
      </c>
      <c r="C634" s="5" t="str">
        <f ca="1">IFERROR(__xludf.DUMMYFUNCTION("""COMPUTED_VALUE"""),"Unknown")</f>
        <v>Unknown</v>
      </c>
      <c r="D634" s="5"/>
    </row>
    <row r="635" spans="1:4">
      <c r="A635" s="5" t="str">
        <f ca="1">IFERROR(__xludf.DUMMYFUNCTION("""COMPUTED_VALUE"""),"20190205MNMIM")</f>
        <v>20190205MNMIM</v>
      </c>
      <c r="B635" s="5" t="str">
        <f ca="1">IFERROR(__xludf.DUMMYFUNCTION("""COMPUTED_VALUE"""),"Handgun")</f>
        <v>Handgun</v>
      </c>
      <c r="C635" s="5" t="str">
        <f ca="1">IFERROR(__xludf.DUMMYFUNCTION("""COMPUTED_VALUE"""),"Unknown")</f>
        <v>Unknown</v>
      </c>
      <c r="D635" s="5"/>
    </row>
    <row r="636" spans="1:4">
      <c r="A636" s="5" t="str">
        <f ca="1">IFERROR(__xludf.DUMMYFUNCTION("""COMPUTED_VALUE"""),"20190131TXATA")</f>
        <v>20190131TXATA</v>
      </c>
      <c r="B636" s="5" t="str">
        <f ca="1">IFERROR(__xludf.DUMMYFUNCTION("""COMPUTED_VALUE"""),"Handgun")</f>
        <v>Handgun</v>
      </c>
      <c r="C636" s="5" t="str">
        <f ca="1">IFERROR(__xludf.DUMMYFUNCTION("""COMPUTED_VALUE"""),"Unknown")</f>
        <v>Unknown</v>
      </c>
      <c r="D636" s="5"/>
    </row>
    <row r="637" spans="1:4">
      <c r="A637" s="5" t="str">
        <f ca="1">IFERROR(__xludf.DUMMYFUNCTION("""COMPUTED_VALUE"""),"20190131TNMAM")</f>
        <v>20190131TNMAM</v>
      </c>
      <c r="B637" s="5" t="str">
        <f ca="1">IFERROR(__xludf.DUMMYFUNCTION("""COMPUTED_VALUE"""),"Other")</f>
        <v>Other</v>
      </c>
      <c r="C637" s="5" t="str">
        <f ca="1">IFERROR(__xludf.DUMMYFUNCTION("""COMPUTED_VALUE"""),"Pellet")</f>
        <v>Pellet</v>
      </c>
      <c r="D637" s="5"/>
    </row>
    <row r="638" spans="1:4">
      <c r="A638" s="5" t="str">
        <f ca="1">IFERROR(__xludf.DUMMYFUNCTION("""COMPUTED_VALUE"""),"20190130GAMIL")</f>
        <v>20190130GAMIL</v>
      </c>
      <c r="B638" s="5" t="str">
        <f ca="1">IFERROR(__xludf.DUMMYFUNCTION("""COMPUTED_VALUE"""),"Handgun")</f>
        <v>Handgun</v>
      </c>
      <c r="C638" s="5" t="str">
        <f ca="1">IFERROR(__xludf.DUMMYFUNCTION("""COMPUTED_VALUE"""),"Unknown")</f>
        <v>Unknown</v>
      </c>
      <c r="D638" s="5"/>
    </row>
    <row r="639" spans="1:4">
      <c r="A639" s="5" t="str">
        <f ca="1">IFERROR(__xludf.DUMMYFUNCTION("""COMPUTED_VALUE"""),"20190127NVRER")</f>
        <v>20190127NVRER</v>
      </c>
      <c r="B639" s="5" t="str">
        <f ca="1">IFERROR(__xludf.DUMMYFUNCTION("""COMPUTED_VALUE"""),"Handgun")</f>
        <v>Handgun</v>
      </c>
      <c r="C639" s="5"/>
      <c r="D639" s="5" t="str">
        <f ca="1">IFERROR(__xludf.DUMMYFUNCTION("""COMPUTED_VALUE"""),"Stolen.")</f>
        <v>Stolen.</v>
      </c>
    </row>
    <row r="640" spans="1:4">
      <c r="A640" s="5" t="str">
        <f ca="1">IFERROR(__xludf.DUMMYFUNCTION("""COMPUTED_VALUE"""),"20190125TNMAM")</f>
        <v>20190125TNMAM</v>
      </c>
      <c r="B640" s="5" t="str">
        <f ca="1">IFERROR(__xludf.DUMMYFUNCTION("""COMPUTED_VALUE"""),"Other")</f>
        <v>Other</v>
      </c>
      <c r="C640" s="5" t="str">
        <f ca="1">IFERROR(__xludf.DUMMYFUNCTION("""COMPUTED_VALUE"""),"BB")</f>
        <v>BB</v>
      </c>
      <c r="D640" s="5"/>
    </row>
    <row r="641" spans="1:4">
      <c r="A641" s="5" t="str">
        <f ca="1">IFERROR(__xludf.DUMMYFUNCTION("""COMPUTED_VALUE"""),"20190125ALDAM")</f>
        <v>20190125ALDAM</v>
      </c>
      <c r="B641" s="5" t="str">
        <f ca="1">IFERROR(__xludf.DUMMYFUNCTION("""COMPUTED_VALUE"""),"Handgun")</f>
        <v>Handgun</v>
      </c>
      <c r="C641" s="5" t="str">
        <f ca="1">IFERROR(__xludf.DUMMYFUNCTION("""COMPUTED_VALUE"""),"Unknown")</f>
        <v>Unknown</v>
      </c>
      <c r="D641" s="5"/>
    </row>
    <row r="642" spans="1:4">
      <c r="A642" s="5" t="str">
        <f ca="1">IFERROR(__xludf.DUMMYFUNCTION("""COMPUTED_VALUE"""),"20190123LASOS")</f>
        <v>20190123LASOS</v>
      </c>
      <c r="B642" s="5" t="str">
        <f ca="1">IFERROR(__xludf.DUMMYFUNCTION("""COMPUTED_VALUE"""),"No Data")</f>
        <v>No Data</v>
      </c>
      <c r="C642" s="5"/>
      <c r="D642" s="5"/>
    </row>
    <row r="643" spans="1:4">
      <c r="A643" s="5" t="str">
        <f ca="1">IFERROR(__xludf.DUMMYFUNCTION("""COMPUTED_VALUE"""),"20190119KSLAO")</f>
        <v>20190119KSLAO</v>
      </c>
      <c r="B643" s="5" t="str">
        <f ca="1">IFERROR(__xludf.DUMMYFUNCTION("""COMPUTED_VALUE"""),"Shotgun")</f>
        <v>Shotgun</v>
      </c>
      <c r="C643" s="5" t="str">
        <f ca="1">IFERROR(__xludf.DUMMYFUNCTION("""COMPUTED_VALUE"""),"Unknown")</f>
        <v>Unknown</v>
      </c>
      <c r="D643" s="5"/>
    </row>
    <row r="644" spans="1:4">
      <c r="A644" s="5" t="str">
        <f ca="1">IFERROR(__xludf.DUMMYFUNCTION("""COMPUTED_VALUE"""),"20190118NCSHD")</f>
        <v>20190118NCSHD</v>
      </c>
      <c r="B644" s="5" t="str">
        <f ca="1">IFERROR(__xludf.DUMMYFUNCTION("""COMPUTED_VALUE"""),"No Data")</f>
        <v>No Data</v>
      </c>
      <c r="C644" s="5"/>
      <c r="D644" s="5"/>
    </row>
    <row r="645" spans="1:4">
      <c r="A645" s="5" t="str">
        <f ca="1">IFERROR(__xludf.DUMMYFUNCTION("""COMPUTED_VALUE"""),"20190118MOHAS")</f>
        <v>20190118MOHAS</v>
      </c>
      <c r="B645" s="5" t="str">
        <f ca="1">IFERROR(__xludf.DUMMYFUNCTION("""COMPUTED_VALUE"""),"Handgun")</f>
        <v>Handgun</v>
      </c>
      <c r="C645" s="5" t="str">
        <f ca="1">IFERROR(__xludf.DUMMYFUNCTION("""COMPUTED_VALUE"""),"Unknown")</f>
        <v>Unknown</v>
      </c>
      <c r="D645" s="5"/>
    </row>
    <row r="646" spans="1:4">
      <c r="A646" s="5" t="str">
        <f ca="1">IFERROR(__xludf.DUMMYFUNCTION("""COMPUTED_VALUE"""),"20190118ALCET")</f>
        <v>20190118ALCET</v>
      </c>
      <c r="B646" s="5" t="str">
        <f ca="1">IFERROR(__xludf.DUMMYFUNCTION("""COMPUTED_VALUE"""),"Handgun")</f>
        <v>Handgun</v>
      </c>
      <c r="C646" s="5" t="str">
        <f ca="1">IFERROR(__xludf.DUMMYFUNCTION("""COMPUTED_VALUE"""),"Unknown")</f>
        <v>Unknown</v>
      </c>
      <c r="D646" s="5"/>
    </row>
    <row r="647" spans="1:4">
      <c r="A647" s="5" t="str">
        <f ca="1">IFERROR(__xludf.DUMMYFUNCTION("""COMPUTED_VALUE"""),"20190111ORCAE")</f>
        <v>20190111ORCAE</v>
      </c>
      <c r="B647" s="5" t="str">
        <f ca="1">IFERROR(__xludf.DUMMYFUNCTION("""COMPUTED_VALUE"""),"Handgun")</f>
        <v>Handgun</v>
      </c>
      <c r="C647" s="5" t="str">
        <f ca="1">IFERROR(__xludf.DUMMYFUNCTION("""COMPUTED_VALUE"""),"Unknown")</f>
        <v>Unknown</v>
      </c>
      <c r="D647" s="5"/>
    </row>
    <row r="648" spans="1:4">
      <c r="A648" s="5" t="str">
        <f ca="1">IFERROR(__xludf.DUMMYFUNCTION("""COMPUTED_VALUE"""),"20190107CACEB")</f>
        <v>20190107CACEB</v>
      </c>
      <c r="B648" s="5" t="str">
        <f ca="1">IFERROR(__xludf.DUMMYFUNCTION("""COMPUTED_VALUE"""),"No Data")</f>
        <v>No Data</v>
      </c>
      <c r="C648" s="5"/>
      <c r="D648" s="5"/>
    </row>
    <row r="649" spans="1:4">
      <c r="A649" s="5" t="str">
        <f ca="1">IFERROR(__xludf.DUMMYFUNCTION("""COMPUTED_VALUE"""),"20181218DEAIG")</f>
        <v>20181218DEAIG</v>
      </c>
      <c r="B649" s="5" t="str">
        <f ca="1">IFERROR(__xludf.DUMMYFUNCTION("""COMPUTED_VALUE"""),"Handgun")</f>
        <v>Handgun</v>
      </c>
      <c r="C649" s="5" t="str">
        <f ca="1">IFERROR(__xludf.DUMMYFUNCTION("""COMPUTED_VALUE"""),"Unknown")</f>
        <v>Unknown</v>
      </c>
      <c r="D649" s="5"/>
    </row>
    <row r="650" spans="1:4">
      <c r="A650" s="5" t="str">
        <f ca="1">IFERROR(__xludf.DUMMYFUNCTION("""COMPUTED_VALUE"""),"20181214MOWIK")</f>
        <v>20181214MOWIK</v>
      </c>
      <c r="B650" s="5" t="str">
        <f ca="1">IFERROR(__xludf.DUMMYFUNCTION("""COMPUTED_VALUE"""),"Handgun")</f>
        <v>Handgun</v>
      </c>
      <c r="C650" s="5" t="str">
        <f ca="1">IFERROR(__xludf.DUMMYFUNCTION("""COMPUTED_VALUE"""),"Unknown")</f>
        <v>Unknown</v>
      </c>
      <c r="D650" s="5"/>
    </row>
    <row r="651" spans="1:4">
      <c r="A651" s="5" t="str">
        <f ca="1">IFERROR(__xludf.DUMMYFUNCTION("""COMPUTED_VALUE"""),"20181213INDER")</f>
        <v>20181213INDER</v>
      </c>
      <c r="B651" s="5" t="str">
        <f ca="1">IFERROR(__xludf.DUMMYFUNCTION("""COMPUTED_VALUE"""),"Handgun")</f>
        <v>Handgun</v>
      </c>
      <c r="C651" s="5" t="str">
        <f ca="1">IFERROR(__xludf.DUMMYFUNCTION("""COMPUTED_VALUE"""),".45 caliber")</f>
        <v>.45 caliber</v>
      </c>
      <c r="D651" s="5" t="str">
        <f ca="1">IFERROR(__xludf.DUMMYFUNCTION("""COMPUTED_VALUE"""),".223 rifle, .45 handgun")</f>
        <v>.223 rifle, .45 handgun</v>
      </c>
    </row>
    <row r="652" spans="1:4">
      <c r="A652" s="5" t="str">
        <f ca="1">IFERROR(__xludf.DUMMYFUNCTION("""COMPUTED_VALUE"""),"20181213INDER")</f>
        <v>20181213INDER</v>
      </c>
      <c r="B652" s="5" t="str">
        <f ca="1">IFERROR(__xludf.DUMMYFUNCTION("""COMPUTED_VALUE"""),"Rifle")</f>
        <v>Rifle</v>
      </c>
      <c r="C652" s="5" t="str">
        <f ca="1">IFERROR(__xludf.DUMMYFUNCTION("""COMPUTED_VALUE"""),".223 caliber")</f>
        <v>.223 caliber</v>
      </c>
      <c r="D652" s="5" t="str">
        <f ca="1">IFERROR(__xludf.DUMMYFUNCTION("""COMPUTED_VALUE"""),".223 rifle, .45 handgun")</f>
        <v>.223 rifle, .45 handgun</v>
      </c>
    </row>
    <row r="653" spans="1:4">
      <c r="A653" s="5" t="str">
        <f ca="1">IFERROR(__xludf.DUMMYFUNCTION("""COMPUTED_VALUE"""),"20181211KYCAC")</f>
        <v>20181211KYCAC</v>
      </c>
      <c r="B653" s="5" t="str">
        <f ca="1">IFERROR(__xludf.DUMMYFUNCTION("""COMPUTED_VALUE"""),"Other")</f>
        <v>Other</v>
      </c>
      <c r="C653" s="5" t="str">
        <f ca="1">IFERROR(__xludf.DUMMYFUNCTION("""COMPUTED_VALUE"""),"Pellet")</f>
        <v>Pellet</v>
      </c>
      <c r="D653" s="5"/>
    </row>
    <row r="654" spans="1:4">
      <c r="A654" s="5" t="str">
        <f ca="1">IFERROR(__xludf.DUMMYFUNCTION("""COMPUTED_VALUE"""),"20181210NYJEJ")</f>
        <v>20181210NYJEJ</v>
      </c>
      <c r="B654" s="5" t="str">
        <f ca="1">IFERROR(__xludf.DUMMYFUNCTION("""COMPUTED_VALUE"""),"Handgun")</f>
        <v>Handgun</v>
      </c>
      <c r="C654" s="5" t="str">
        <f ca="1">IFERROR(__xludf.DUMMYFUNCTION("""COMPUTED_VALUE"""),"Unknown")</f>
        <v>Unknown</v>
      </c>
      <c r="D654" s="5"/>
    </row>
    <row r="655" spans="1:4">
      <c r="A655" s="5" t="str">
        <f ca="1">IFERROR(__xludf.DUMMYFUNCTION("""COMPUTED_VALUE"""),"20181128PASTP")</f>
        <v>20181128PASTP</v>
      </c>
      <c r="B655" s="5" t="str">
        <f ca="1">IFERROR(__xludf.DUMMYFUNCTION("""COMPUTED_VALUE"""),"No Data")</f>
        <v>No Data</v>
      </c>
      <c r="C655" s="5"/>
      <c r="D655" s="5"/>
    </row>
    <row r="656" spans="1:4">
      <c r="A656" s="5" t="str">
        <f ca="1">IFERROR(__xludf.DUMMYFUNCTION("""COMPUTED_VALUE"""),"20181124OHAFC")</f>
        <v>20181124OHAFC</v>
      </c>
      <c r="B656" s="5" t="str">
        <f ca="1">IFERROR(__xludf.DUMMYFUNCTION("""COMPUTED_VALUE"""),"Handgun")</f>
        <v>Handgun</v>
      </c>
      <c r="C656" s="5" t="str">
        <f ca="1">IFERROR(__xludf.DUMMYFUNCTION("""COMPUTED_VALUE"""),"Unknown")</f>
        <v>Unknown</v>
      </c>
      <c r="D656" s="5"/>
    </row>
    <row r="657" spans="1:4">
      <c r="A657" s="5" t="str">
        <f ca="1">IFERROR(__xludf.DUMMYFUNCTION("""COMPUTED_VALUE"""),"20181122WAMOD")</f>
        <v>20181122WAMOD</v>
      </c>
      <c r="B657" s="5" t="str">
        <f ca="1">IFERROR(__xludf.DUMMYFUNCTION("""COMPUTED_VALUE"""),"Handgun")</f>
        <v>Handgun</v>
      </c>
      <c r="C657" s="5" t="str">
        <f ca="1">IFERROR(__xludf.DUMMYFUNCTION("""COMPUTED_VALUE"""),"Unknown")</f>
        <v>Unknown</v>
      </c>
      <c r="D657" s="5"/>
    </row>
    <row r="658" spans="1:4">
      <c r="A658" s="5" t="str">
        <f ca="1">IFERROR(__xludf.DUMMYFUNCTION("""COMPUTED_VALUE"""),"20181122TXSKD")</f>
        <v>20181122TXSKD</v>
      </c>
      <c r="B658" s="5" t="str">
        <f ca="1">IFERROR(__xludf.DUMMYFUNCTION("""COMPUTED_VALUE"""),"Handgun")</f>
        <v>Handgun</v>
      </c>
      <c r="C658" s="5" t="str">
        <f ca="1">IFERROR(__xludf.DUMMYFUNCTION("""COMPUTED_VALUE"""),"Unknown")</f>
        <v>Unknown</v>
      </c>
      <c r="D658" s="5"/>
    </row>
    <row r="659" spans="1:4">
      <c r="A659" s="5" t="str">
        <f ca="1">IFERROR(__xludf.DUMMYFUNCTION("""COMPUTED_VALUE"""),"20181121MIPEP")</f>
        <v>20181121MIPEP</v>
      </c>
      <c r="B659" s="5" t="str">
        <f ca="1">IFERROR(__xludf.DUMMYFUNCTION("""COMPUTED_VALUE"""),"Other")</f>
        <v>Other</v>
      </c>
      <c r="C659" s="5" t="str">
        <f ca="1">IFERROR(__xludf.DUMMYFUNCTION("""COMPUTED_VALUE"""),"BB")</f>
        <v>BB</v>
      </c>
      <c r="D659" s="5"/>
    </row>
    <row r="660" spans="1:4">
      <c r="A660" s="5" t="str">
        <f ca="1">IFERROR(__xludf.DUMMYFUNCTION("""COMPUTED_VALUE"""),"20181120VASIP")</f>
        <v>20181120VASIP</v>
      </c>
      <c r="B660" s="5" t="str">
        <f ca="1">IFERROR(__xludf.DUMMYFUNCTION("""COMPUTED_VALUE"""),"Handgun")</f>
        <v>Handgun</v>
      </c>
      <c r="C660" s="5" t="str">
        <f ca="1">IFERROR(__xludf.DUMMYFUNCTION("""COMPUTED_VALUE"""),"Unknown")</f>
        <v>Unknown</v>
      </c>
      <c r="D660" s="5"/>
    </row>
    <row r="661" spans="1:4">
      <c r="A661" s="5" t="str">
        <f ca="1">IFERROR(__xludf.DUMMYFUNCTION("""COMPUTED_VALUE"""),"20181112MDEAE")</f>
        <v>20181112MDEAE</v>
      </c>
      <c r="B661" s="5" t="str">
        <f ca="1">IFERROR(__xludf.DUMMYFUNCTION("""COMPUTED_VALUE"""),"Handgun")</f>
        <v>Handgun</v>
      </c>
      <c r="C661" s="5" t="str">
        <f ca="1">IFERROR(__xludf.DUMMYFUNCTION("""COMPUTED_VALUE"""),"Service Weapon")</f>
        <v>Service Weapon</v>
      </c>
      <c r="D661" s="5"/>
    </row>
    <row r="662" spans="1:4">
      <c r="A662" s="5" t="str">
        <f ca="1">IFERROR(__xludf.DUMMYFUNCTION("""COMPUTED_VALUE"""),"20181109GAGAM")</f>
        <v>20181109GAGAM</v>
      </c>
      <c r="B662" s="5" t="str">
        <f ca="1">IFERROR(__xludf.DUMMYFUNCTION("""COMPUTED_VALUE"""),"Handgun")</f>
        <v>Handgun</v>
      </c>
      <c r="C662" s="5" t="str">
        <f ca="1">IFERROR(__xludf.DUMMYFUNCTION("""COMPUTED_VALUE"""),"Unknown")</f>
        <v>Unknown</v>
      </c>
      <c r="D662" s="5"/>
    </row>
    <row r="663" spans="1:4">
      <c r="A663" s="5" t="str">
        <f ca="1">IFERROR(__xludf.DUMMYFUNCTION("""COMPUTED_VALUE"""),"20181108CACLS")</f>
        <v>20181108CACLS</v>
      </c>
      <c r="B663" s="5" t="str">
        <f ca="1">IFERROR(__xludf.DUMMYFUNCTION("""COMPUTED_VALUE"""),"No Data")</f>
        <v>No Data</v>
      </c>
      <c r="C663" s="5"/>
      <c r="D663" s="5"/>
    </row>
    <row r="664" spans="1:4">
      <c r="A664" s="5" t="str">
        <f ca="1">IFERROR(__xludf.DUMMYFUNCTION("""COMPUTED_VALUE"""),"20181105SCACC")</f>
        <v>20181105SCACC</v>
      </c>
      <c r="B664" s="5" t="str">
        <f ca="1">IFERROR(__xludf.DUMMYFUNCTION("""COMPUTED_VALUE"""),"Other")</f>
        <v>Other</v>
      </c>
      <c r="C664" s="5" t="str">
        <f ca="1">IFERROR(__xludf.DUMMYFUNCTION("""COMPUTED_VALUE"""),"BB")</f>
        <v>BB</v>
      </c>
      <c r="D664" s="5"/>
    </row>
    <row r="665" spans="1:4">
      <c r="A665" s="5" t="str">
        <f ca="1">IFERROR(__xludf.DUMMYFUNCTION("""COMPUTED_VALUE"""),"20181104KYCRL")</f>
        <v>20181104KYCRL</v>
      </c>
      <c r="B665" s="5" t="str">
        <f ca="1">IFERROR(__xludf.DUMMYFUNCTION("""COMPUTED_VALUE"""),"Handgun")</f>
        <v>Handgun</v>
      </c>
      <c r="C665" s="5" t="str">
        <f ca="1">IFERROR(__xludf.DUMMYFUNCTION("""COMPUTED_VALUE"""),"Unknown")</f>
        <v>Unknown</v>
      </c>
      <c r="D665" s="5"/>
    </row>
    <row r="666" spans="1:4">
      <c r="A666" s="5" t="str">
        <f ca="1">IFERROR(__xludf.DUMMYFUNCTION("""COMPUTED_VALUE"""),"20181029NCBUM")</f>
        <v>20181029NCBUM</v>
      </c>
      <c r="B666" s="5" t="str">
        <f ca="1">IFERROR(__xludf.DUMMYFUNCTION("""COMPUTED_VALUE"""),"Handgun")</f>
        <v>Handgun</v>
      </c>
      <c r="C666" s="5" t="str">
        <f ca="1">IFERROR(__xludf.DUMMYFUNCTION("""COMPUTED_VALUE"""),"Unknown")</f>
        <v>Unknown</v>
      </c>
      <c r="D666" s="5"/>
    </row>
    <row r="667" spans="1:4">
      <c r="A667" s="5" t="str">
        <f ca="1">IFERROR(__xludf.DUMMYFUNCTION("""COMPUTED_VALUE"""),"20181026FLSAO")</f>
        <v>20181026FLSAO</v>
      </c>
      <c r="B667" s="5" t="str">
        <f ca="1">IFERROR(__xludf.DUMMYFUNCTION("""COMPUTED_VALUE"""),"Handgun")</f>
        <v>Handgun</v>
      </c>
      <c r="C667" s="5"/>
      <c r="D667" s="5"/>
    </row>
    <row r="668" spans="1:4">
      <c r="A668" s="5" t="str">
        <f ca="1">IFERROR(__xludf.DUMMYFUNCTION("""COMPUTED_VALUE"""),"20181025MICOD")</f>
        <v>20181025MICOD</v>
      </c>
      <c r="B668" s="5" t="str">
        <f ca="1">IFERROR(__xludf.DUMMYFUNCTION("""COMPUTED_VALUE"""),"No Data")</f>
        <v>No Data</v>
      </c>
      <c r="C668" s="5"/>
      <c r="D668" s="5"/>
    </row>
    <row r="669" spans="1:4">
      <c r="A669" s="5" t="str">
        <f ca="1">IFERROR(__xludf.DUMMYFUNCTION("""COMPUTED_VALUE"""),"20181023NHGOM")</f>
        <v>20181023NHGOM</v>
      </c>
      <c r="B669" s="5" t="str">
        <f ca="1">IFERROR(__xludf.DUMMYFUNCTION("""COMPUTED_VALUE"""),"Other")</f>
        <v>Other</v>
      </c>
      <c r="C669" s="5" t="str">
        <f ca="1">IFERROR(__xludf.DUMMYFUNCTION("""COMPUTED_VALUE"""),"Pellet")</f>
        <v>Pellet</v>
      </c>
      <c r="D669" s="5"/>
    </row>
    <row r="670" spans="1:4">
      <c r="A670" s="5" t="str">
        <f ca="1">IFERROR(__xludf.DUMMYFUNCTION("""COMPUTED_VALUE"""),"20181022CTDUB")</f>
        <v>20181022CTDUB</v>
      </c>
      <c r="B670" s="5" t="str">
        <f ca="1">IFERROR(__xludf.DUMMYFUNCTION("""COMPUTED_VALUE"""),"Handgun")</f>
        <v>Handgun</v>
      </c>
      <c r="C670" s="5" t="str">
        <f ca="1">IFERROR(__xludf.DUMMYFUNCTION("""COMPUTED_VALUE"""),"Unknown")</f>
        <v>Unknown</v>
      </c>
      <c r="D670" s="5"/>
    </row>
    <row r="671" spans="1:4">
      <c r="A671" s="5" t="str">
        <f ca="1">IFERROR(__xludf.DUMMYFUNCTION("""COMPUTED_VALUE"""),"20181020GASHS")</f>
        <v>20181020GASHS</v>
      </c>
      <c r="B671" s="5" t="str">
        <f ca="1">IFERROR(__xludf.DUMMYFUNCTION("""COMPUTED_VALUE"""),"Handgun")</f>
        <v>Handgun</v>
      </c>
      <c r="C671" s="5" t="str">
        <f ca="1">IFERROR(__xludf.DUMMYFUNCTION("""COMPUTED_VALUE"""),"Unknown")</f>
        <v>Unknown</v>
      </c>
      <c r="D671" s="5"/>
    </row>
    <row r="672" spans="1:4">
      <c r="A672" s="5" t="str">
        <f ca="1">IFERROR(__xludf.DUMMYFUNCTION("""COMPUTED_VALUE"""),"20181013TNMCN")</f>
        <v>20181013TNMCN</v>
      </c>
      <c r="B672" s="5" t="str">
        <f ca="1">IFERROR(__xludf.DUMMYFUNCTION("""COMPUTED_VALUE"""),"No Data")</f>
        <v>No Data</v>
      </c>
      <c r="C672" s="5"/>
      <c r="D672" s="5"/>
    </row>
    <row r="673" spans="1:4">
      <c r="A673" s="5" t="str">
        <f ca="1">IFERROR(__xludf.DUMMYFUNCTION("""COMPUTED_VALUE"""),"20181012MIBAB")</f>
        <v>20181012MIBAB</v>
      </c>
      <c r="B673" s="5" t="str">
        <f ca="1">IFERROR(__xludf.DUMMYFUNCTION("""COMPUTED_VALUE"""),"No Data")</f>
        <v>No Data</v>
      </c>
      <c r="C673" s="5"/>
      <c r="D673" s="5"/>
    </row>
    <row r="674" spans="1:4">
      <c r="A674" s="5" t="str">
        <f ca="1">IFERROR(__xludf.DUMMYFUNCTION("""COMPUTED_VALUE"""),"20181007VAVAH")</f>
        <v>20181007VAVAH</v>
      </c>
      <c r="B674" s="5" t="str">
        <f ca="1">IFERROR(__xludf.DUMMYFUNCTION("""COMPUTED_VALUE"""),"Handgun")</f>
        <v>Handgun</v>
      </c>
      <c r="C674" s="5" t="str">
        <f ca="1">IFERROR(__xludf.DUMMYFUNCTION("""COMPUTED_VALUE"""),"Unknown")</f>
        <v>Unknown</v>
      </c>
      <c r="D674" s="5"/>
    </row>
    <row r="675" spans="1:4">
      <c r="A675" s="5" t="str">
        <f ca="1">IFERROR(__xludf.DUMMYFUNCTION("""COMPUTED_VALUE"""),"20181005VALAN")</f>
        <v>20181005VALAN</v>
      </c>
      <c r="B675" s="5" t="str">
        <f ca="1">IFERROR(__xludf.DUMMYFUNCTION("""COMPUTED_VALUE"""),"Handgun")</f>
        <v>Handgun</v>
      </c>
      <c r="C675" s="5" t="str">
        <f ca="1">IFERROR(__xludf.DUMMYFUNCTION("""COMPUTED_VALUE"""),"Unknown")</f>
        <v>Unknown</v>
      </c>
      <c r="D675" s="5"/>
    </row>
    <row r="676" spans="1:4">
      <c r="A676" s="5" t="str">
        <f ca="1">IFERROR(__xludf.DUMMYFUNCTION("""COMPUTED_VALUE"""),"20181005TNHAB")</f>
        <v>20181005TNHAB</v>
      </c>
      <c r="B676" s="5" t="str">
        <f ca="1">IFERROR(__xludf.DUMMYFUNCTION("""COMPUTED_VALUE"""),"Handgun")</f>
        <v>Handgun</v>
      </c>
      <c r="C676" s="5" t="str">
        <f ca="1">IFERROR(__xludf.DUMMYFUNCTION("""COMPUTED_VALUE"""),"Unknown")</f>
        <v>Unknown</v>
      </c>
      <c r="D676" s="5"/>
    </row>
    <row r="677" spans="1:4">
      <c r="A677" s="5" t="str">
        <f ca="1">IFERROR(__xludf.DUMMYFUNCTION("""COMPUTED_VALUE"""),"20181004ORJAP")</f>
        <v>20181004ORJAP</v>
      </c>
      <c r="B677" s="5" t="str">
        <f ca="1">IFERROR(__xludf.DUMMYFUNCTION("""COMPUTED_VALUE"""),"Handgun")</f>
        <v>Handgun</v>
      </c>
      <c r="C677" s="5" t="str">
        <f ca="1">IFERROR(__xludf.DUMMYFUNCTION("""COMPUTED_VALUE"""),"Unknown")</f>
        <v>Unknown</v>
      </c>
      <c r="D677" s="5"/>
    </row>
    <row r="678" spans="1:4">
      <c r="A678" s="5" t="str">
        <f ca="1">IFERROR(__xludf.DUMMYFUNCTION("""COMPUTED_VALUE"""),"20181003AKDEA")</f>
        <v>20181003AKDEA</v>
      </c>
      <c r="B678" s="5" t="str">
        <f ca="1">IFERROR(__xludf.DUMMYFUNCTION("""COMPUTED_VALUE"""),"Handgun")</f>
        <v>Handgun</v>
      </c>
      <c r="C678" s="5" t="str">
        <f ca="1">IFERROR(__xludf.DUMMYFUNCTION("""COMPUTED_VALUE"""),"Unknown")</f>
        <v>Unknown</v>
      </c>
      <c r="D678" s="5"/>
    </row>
    <row r="679" spans="1:4">
      <c r="A679" s="5" t="str">
        <f ca="1">IFERROR(__xludf.DUMMYFUNCTION("""COMPUTED_VALUE"""),"20181002ARCHL")</f>
        <v>20181002ARCHL</v>
      </c>
      <c r="B679" s="5" t="str">
        <f ca="1">IFERROR(__xludf.DUMMYFUNCTION("""COMPUTED_VALUE"""),"Handgun")</f>
        <v>Handgun</v>
      </c>
      <c r="C679" s="5" t="str">
        <f ca="1">IFERROR(__xludf.DUMMYFUNCTION("""COMPUTED_VALUE"""),"Unknown")</f>
        <v>Unknown</v>
      </c>
      <c r="D679" s="5"/>
    </row>
    <row r="680" spans="1:4">
      <c r="A680" s="5" t="str">
        <f ca="1">IFERROR(__xludf.DUMMYFUNCTION("""COMPUTED_VALUE"""),"20180928SDCHC")</f>
        <v>20180928SDCHC</v>
      </c>
      <c r="B680" s="5" t="str">
        <f ca="1">IFERROR(__xludf.DUMMYFUNCTION("""COMPUTED_VALUE"""),"Handgun")</f>
        <v>Handgun</v>
      </c>
      <c r="C680" s="5" t="str">
        <f ca="1">IFERROR(__xludf.DUMMYFUNCTION("""COMPUTED_VALUE"""),"Unknown")</f>
        <v>Unknown</v>
      </c>
      <c r="D680" s="5"/>
    </row>
    <row r="681" spans="1:4">
      <c r="A681" s="5" t="str">
        <f ca="1">IFERROR(__xludf.DUMMYFUNCTION("""COMPUTED_VALUE"""),"20180927TXHEC")</f>
        <v>20180927TXHEC</v>
      </c>
      <c r="B681" s="5" t="str">
        <f ca="1">IFERROR(__xludf.DUMMYFUNCTION("""COMPUTED_VALUE"""),"Handgun")</f>
        <v>Handgun</v>
      </c>
      <c r="C681" s="5" t="str">
        <f ca="1">IFERROR(__xludf.DUMMYFUNCTION("""COMPUTED_VALUE"""),"Unknown")</f>
        <v>Unknown</v>
      </c>
      <c r="D681" s="5"/>
    </row>
    <row r="682" spans="1:4">
      <c r="A682" s="5" t="str">
        <f ca="1">IFERROR(__xludf.DUMMYFUNCTION("""COMPUTED_VALUE"""),"20180926MDMAB")</f>
        <v>20180926MDMAB</v>
      </c>
      <c r="B682" s="5" t="str">
        <f ca="1">IFERROR(__xludf.DUMMYFUNCTION("""COMPUTED_VALUE"""),"Handgun")</f>
        <v>Handgun</v>
      </c>
      <c r="C682" s="5" t="str">
        <f ca="1">IFERROR(__xludf.DUMMYFUNCTION("""COMPUTED_VALUE"""),"Unknown")</f>
        <v>Unknown</v>
      </c>
      <c r="D682" s="5"/>
    </row>
    <row r="683" spans="1:4">
      <c r="A683" s="5" t="str">
        <f ca="1">IFERROR(__xludf.DUMMYFUNCTION("""COMPUTED_VALUE"""),"20180924PACEP")</f>
        <v>20180924PACEP</v>
      </c>
      <c r="B683" s="5" t="str">
        <f ca="1">IFERROR(__xludf.DUMMYFUNCTION("""COMPUTED_VALUE"""),"Handgun")</f>
        <v>Handgun</v>
      </c>
      <c r="C683" s="5" t="str">
        <f ca="1">IFERROR(__xludf.DUMMYFUNCTION("""COMPUTED_VALUE"""),"Unknown")</f>
        <v>Unknown</v>
      </c>
      <c r="D683" s="5"/>
    </row>
    <row r="684" spans="1:4">
      <c r="A684" s="5" t="str">
        <f ca="1">IFERROR(__xludf.DUMMYFUNCTION("""COMPUTED_VALUE"""),"20180924NCLAC")</f>
        <v>20180924NCLAC</v>
      </c>
      <c r="B684" s="5" t="str">
        <f ca="1">IFERROR(__xludf.DUMMYFUNCTION("""COMPUTED_VALUE"""),"Handgun")</f>
        <v>Handgun</v>
      </c>
      <c r="C684" s="5" t="str">
        <f ca="1">IFERROR(__xludf.DUMMYFUNCTION("""COMPUTED_VALUE"""),"Unknown")</f>
        <v>Unknown</v>
      </c>
      <c r="D684" s="5"/>
    </row>
    <row r="685" spans="1:4">
      <c r="A685" s="5" t="str">
        <f ca="1">IFERROR(__xludf.DUMMYFUNCTION("""COMPUTED_VALUE"""),"20180924GAAPB")</f>
        <v>20180924GAAPB</v>
      </c>
      <c r="B685" s="5" t="str">
        <f ca="1">IFERROR(__xludf.DUMMYFUNCTION("""COMPUTED_VALUE"""),"Handgun")</f>
        <v>Handgun</v>
      </c>
      <c r="C685" s="5" t="str">
        <f ca="1">IFERROR(__xludf.DUMMYFUNCTION("""COMPUTED_VALUE"""),"Unknown")</f>
        <v>Unknown</v>
      </c>
      <c r="D685" s="5"/>
    </row>
    <row r="686" spans="1:4">
      <c r="A686" s="5" t="str">
        <f ca="1">IFERROR(__xludf.DUMMYFUNCTION("""COMPUTED_VALUE"""),"20180920CAPOP")</f>
        <v>20180920CAPOP</v>
      </c>
      <c r="B686" s="5" t="str">
        <f ca="1">IFERROR(__xludf.DUMMYFUNCTION("""COMPUTED_VALUE"""),"No Data")</f>
        <v>No Data</v>
      </c>
      <c r="C686" s="5"/>
      <c r="D686" s="5"/>
    </row>
    <row r="687" spans="1:4">
      <c r="A687" s="5" t="str">
        <f ca="1">IFERROR(__xludf.DUMMYFUNCTION("""COMPUTED_VALUE"""),"20180920CACHL")</f>
        <v>20180920CACHL</v>
      </c>
      <c r="B687" s="5" t="str">
        <f ca="1">IFERROR(__xludf.DUMMYFUNCTION("""COMPUTED_VALUE"""),"Handgun")</f>
        <v>Handgun</v>
      </c>
      <c r="C687" s="5" t="str">
        <f ca="1">IFERROR(__xludf.DUMMYFUNCTION("""COMPUTED_VALUE"""),"Unknown")</f>
        <v>Unknown</v>
      </c>
      <c r="D687" s="5"/>
    </row>
    <row r="688" spans="1:4">
      <c r="A688" s="5" t="str">
        <f ca="1">IFERROR(__xludf.DUMMYFUNCTION("""COMPUTED_VALUE"""),"20180917ALBLH")</f>
        <v>20180917ALBLH</v>
      </c>
      <c r="B688" s="5" t="str">
        <f ca="1">IFERROR(__xludf.DUMMYFUNCTION("""COMPUTED_VALUE"""),"Handgun")</f>
        <v>Handgun</v>
      </c>
      <c r="C688" s="5" t="str">
        <f ca="1">IFERROR(__xludf.DUMMYFUNCTION("""COMPUTED_VALUE"""),"Unknown")</f>
        <v>Unknown</v>
      </c>
      <c r="D688" s="5"/>
    </row>
    <row r="689" spans="1:4">
      <c r="A689" s="5" t="str">
        <f ca="1">IFERROR(__xludf.DUMMYFUNCTION("""COMPUTED_VALUE"""),"20180914WAMAE")</f>
        <v>20180914WAMAE</v>
      </c>
      <c r="B689" s="5" t="str">
        <f ca="1">IFERROR(__xludf.DUMMYFUNCTION("""COMPUTED_VALUE"""),"Handgun")</f>
        <v>Handgun</v>
      </c>
      <c r="C689" s="5" t="str">
        <f ca="1">IFERROR(__xludf.DUMMYFUNCTION("""COMPUTED_VALUE"""),"Unknown")</f>
        <v>Unknown</v>
      </c>
      <c r="D689" s="5"/>
    </row>
    <row r="690" spans="1:4">
      <c r="A690" s="5" t="str">
        <f ca="1">IFERROR(__xludf.DUMMYFUNCTION("""COMPUTED_VALUE"""),"20180914FLBOB")</f>
        <v>20180914FLBOB</v>
      </c>
      <c r="B690" s="5" t="str">
        <f ca="1">IFERROR(__xludf.DUMMYFUNCTION("""COMPUTED_VALUE"""),"Handgun")</f>
        <v>Handgun</v>
      </c>
      <c r="C690" s="5" t="str">
        <f ca="1">IFERROR(__xludf.DUMMYFUNCTION("""COMPUTED_VALUE"""),"Unknown")</f>
        <v>Unknown</v>
      </c>
      <c r="D690" s="5"/>
    </row>
    <row r="691" spans="1:4">
      <c r="A691" s="5" t="str">
        <f ca="1">IFERROR(__xludf.DUMMYFUNCTION("""COMPUTED_VALUE"""),"20180911NVCAL")</f>
        <v>20180911NVCAL</v>
      </c>
      <c r="B691" s="5" t="str">
        <f ca="1">IFERROR(__xludf.DUMMYFUNCTION("""COMPUTED_VALUE"""),"Handgun")</f>
        <v>Handgun</v>
      </c>
      <c r="C691" s="5" t="str">
        <f ca="1">IFERROR(__xludf.DUMMYFUNCTION("""COMPUTED_VALUE"""),"Unknown")</f>
        <v>Unknown</v>
      </c>
      <c r="D691" s="5"/>
    </row>
    <row r="692" spans="1:4">
      <c r="A692" s="5" t="str">
        <f ca="1">IFERROR(__xludf.DUMMYFUNCTION("""COMPUTED_VALUE"""),"20180910TNFAM")</f>
        <v>20180910TNFAM</v>
      </c>
      <c r="B692" s="5" t="str">
        <f ca="1">IFERROR(__xludf.DUMMYFUNCTION("""COMPUTED_VALUE"""),"No Data")</f>
        <v>No Data</v>
      </c>
      <c r="C692" s="5"/>
      <c r="D692" s="5"/>
    </row>
    <row r="693" spans="1:4">
      <c r="A693" s="5" t="str">
        <f ca="1">IFERROR(__xludf.DUMMYFUNCTION("""COMPUTED_VALUE"""),"20180910ILCHC")</f>
        <v>20180910ILCHC</v>
      </c>
      <c r="B693" s="5" t="str">
        <f ca="1">IFERROR(__xludf.DUMMYFUNCTION("""COMPUTED_VALUE"""),"Handgun")</f>
        <v>Handgun</v>
      </c>
      <c r="C693" s="5" t="str">
        <f ca="1">IFERROR(__xludf.DUMMYFUNCTION("""COMPUTED_VALUE"""),"Unknown")</f>
        <v>Unknown</v>
      </c>
      <c r="D693" s="5"/>
    </row>
    <row r="694" spans="1:4">
      <c r="A694" s="5" t="str">
        <f ca="1">IFERROR(__xludf.DUMMYFUNCTION("""COMPUTED_VALUE"""),"20180909CAGIG")</f>
        <v>20180909CAGIG</v>
      </c>
      <c r="B694" s="5" t="str">
        <f ca="1">IFERROR(__xludf.DUMMYFUNCTION("""COMPUTED_VALUE"""),"Handgun")</f>
        <v>Handgun</v>
      </c>
      <c r="C694" s="5" t="str">
        <f ca="1">IFERROR(__xludf.DUMMYFUNCTION("""COMPUTED_VALUE"""),"Unknown")</f>
        <v>Unknown</v>
      </c>
      <c r="D694" s="5"/>
    </row>
    <row r="695" spans="1:4">
      <c r="A695" s="5" t="str">
        <f ca="1">IFERROR(__xludf.DUMMYFUNCTION("""COMPUTED_VALUE"""),"20180907IAHED")</f>
        <v>20180907IAHED</v>
      </c>
      <c r="B695" s="5" t="str">
        <f ca="1">IFERROR(__xludf.DUMMYFUNCTION("""COMPUTED_VALUE"""),"No Data")</f>
        <v>No Data</v>
      </c>
      <c r="C695" s="5"/>
      <c r="D695" s="5"/>
    </row>
    <row r="696" spans="1:4">
      <c r="A696" s="5" t="str">
        <f ca="1">IFERROR(__xludf.DUMMYFUNCTION("""COMPUTED_VALUE"""),"20180905RIPRP")</f>
        <v>20180905RIPRP</v>
      </c>
      <c r="B696" s="5" t="str">
        <f ca="1">IFERROR(__xludf.DUMMYFUNCTION("""COMPUTED_VALUE"""),"Handgun")</f>
        <v>Handgun</v>
      </c>
      <c r="C696" s="5" t="str">
        <f ca="1">IFERROR(__xludf.DUMMYFUNCTION("""COMPUTED_VALUE"""),".357 caliber")</f>
        <v>.357 caliber</v>
      </c>
      <c r="D696" s="5"/>
    </row>
    <row r="697" spans="1:4">
      <c r="A697" s="5" t="str">
        <f ca="1">IFERROR(__xludf.DUMMYFUNCTION("""COMPUTED_VALUE"""),"20180903NYLUN")</f>
        <v>20180903NYLUN</v>
      </c>
      <c r="B697" s="5" t="str">
        <f ca="1">IFERROR(__xludf.DUMMYFUNCTION("""COMPUTED_VALUE"""),"Handgun")</f>
        <v>Handgun</v>
      </c>
      <c r="C697" s="5" t="str">
        <f ca="1">IFERROR(__xludf.DUMMYFUNCTION("""COMPUTED_VALUE"""),"Unknown")</f>
        <v>Unknown</v>
      </c>
      <c r="D697" s="5"/>
    </row>
    <row r="698" spans="1:4">
      <c r="A698" s="5" t="str">
        <f ca="1">IFERROR(__xludf.DUMMYFUNCTION("""COMPUTED_VALUE"""),"20180831IANOE")</f>
        <v>20180831IANOE</v>
      </c>
      <c r="B698" s="5" t="str">
        <f ca="1">IFERROR(__xludf.DUMMYFUNCTION("""COMPUTED_VALUE"""),"Handgun")</f>
        <v>Handgun</v>
      </c>
      <c r="C698" s="5" t="str">
        <f ca="1">IFERROR(__xludf.DUMMYFUNCTION("""COMPUTED_VALUE"""),".22 caliber")</f>
        <v>.22 caliber</v>
      </c>
      <c r="D698" s="5"/>
    </row>
    <row r="699" spans="1:4">
      <c r="A699" s="5" t="str">
        <f ca="1">IFERROR(__xludf.DUMMYFUNCTION("""COMPUTED_VALUE"""),"20180831CABAS")</f>
        <v>20180831CABAS</v>
      </c>
      <c r="B699" s="5" t="str">
        <f ca="1">IFERROR(__xludf.DUMMYFUNCTION("""COMPUTED_VALUE"""),"Handgun")</f>
        <v>Handgun</v>
      </c>
      <c r="C699" s="5" t="str">
        <f ca="1">IFERROR(__xludf.DUMMYFUNCTION("""COMPUTED_VALUE"""),"Unknown")</f>
        <v>Unknown</v>
      </c>
      <c r="D699" s="5"/>
    </row>
    <row r="700" spans="1:4">
      <c r="A700" s="5" t="str">
        <f ca="1">IFERROR(__xludf.DUMMYFUNCTION("""COMPUTED_VALUE"""),"20180830NCVIC")</f>
        <v>20180830NCVIC</v>
      </c>
      <c r="B700" s="5" t="str">
        <f ca="1">IFERROR(__xludf.DUMMYFUNCTION("""COMPUTED_VALUE"""),"Handgun")</f>
        <v>Handgun</v>
      </c>
      <c r="C700" s="5" t="str">
        <f ca="1">IFERROR(__xludf.DUMMYFUNCTION("""COMPUTED_VALUE"""),"Unknown")</f>
        <v>Unknown</v>
      </c>
      <c r="D700" s="5"/>
    </row>
    <row r="701" spans="1:4">
      <c r="A701" s="5" t="str">
        <f ca="1">IFERROR(__xludf.DUMMYFUNCTION("""COMPUTED_VALUE"""),"20180830MIOTG")</f>
        <v>20180830MIOTG</v>
      </c>
      <c r="B701" s="5"/>
      <c r="C701" s="5"/>
      <c r="D701" s="5"/>
    </row>
    <row r="702" spans="1:4">
      <c r="A702" s="5" t="str">
        <f ca="1">IFERROR(__xludf.DUMMYFUNCTION("""COMPUTED_VALUE"""),"20180829DETOD")</f>
        <v>20180829DETOD</v>
      </c>
      <c r="B702" s="5" t="str">
        <f ca="1">IFERROR(__xludf.DUMMYFUNCTION("""COMPUTED_VALUE"""),"Unknown")</f>
        <v>Unknown</v>
      </c>
      <c r="C702" s="5" t="str">
        <f ca="1">IFERROR(__xludf.DUMMYFUNCTION("""COMPUTED_VALUE"""),"Unknown")</f>
        <v>Unknown</v>
      </c>
      <c r="D702" s="5"/>
    </row>
    <row r="703" spans="1:4">
      <c r="A703" s="5" t="str">
        <f ca="1">IFERROR(__xludf.DUMMYFUNCTION("""COMPUTED_VALUE"""),"20180828COCOD")</f>
        <v>20180828COCOD</v>
      </c>
      <c r="B703" s="5" t="str">
        <f ca="1">IFERROR(__xludf.DUMMYFUNCTION("""COMPUTED_VALUE"""),"Handgun")</f>
        <v>Handgun</v>
      </c>
      <c r="C703" s="5" t="str">
        <f ca="1">IFERROR(__xludf.DUMMYFUNCTION("""COMPUTED_VALUE"""),"Unknown")</f>
        <v>Unknown</v>
      </c>
      <c r="D703" s="5"/>
    </row>
    <row r="704" spans="1:4">
      <c r="A704" s="5" t="str">
        <f ca="1">IFERROR(__xludf.DUMMYFUNCTION("""COMPUTED_VALUE"""),"20180824ILMEC")</f>
        <v>20180824ILMEC</v>
      </c>
      <c r="B704" s="5" t="str">
        <f ca="1">IFERROR(__xludf.DUMMYFUNCTION("""COMPUTED_VALUE"""),"Multiple Unknown")</f>
        <v>Multiple Unknown</v>
      </c>
      <c r="C704" s="5" t="str">
        <f ca="1">IFERROR(__xludf.DUMMYFUNCTION("""COMPUTED_VALUE"""),"Unknown")</f>
        <v>Unknown</v>
      </c>
      <c r="D704" s="5"/>
    </row>
    <row r="705" spans="1:4">
      <c r="A705" s="5" t="str">
        <f ca="1">IFERROR(__xludf.DUMMYFUNCTION("""COMPUTED_VALUE"""),"20180824FLRAJ")</f>
        <v>20180824FLRAJ</v>
      </c>
      <c r="B705" s="5" t="str">
        <f ca="1">IFERROR(__xludf.DUMMYFUNCTION("""COMPUTED_VALUE"""),"Handgun")</f>
        <v>Handgun</v>
      </c>
      <c r="C705" s="5" t="str">
        <f ca="1">IFERROR(__xludf.DUMMYFUNCTION("""COMPUTED_VALUE"""),"Unknown")</f>
        <v>Unknown</v>
      </c>
      <c r="D705" s="5"/>
    </row>
    <row r="706" spans="1:4">
      <c r="A706" s="5" t="str">
        <f ca="1">IFERROR(__xludf.DUMMYFUNCTION("""COMPUTED_VALUE"""),"20180823ALALM")</f>
        <v>20180823ALALM</v>
      </c>
      <c r="B706" s="5" t="str">
        <f ca="1">IFERROR(__xludf.DUMMYFUNCTION("""COMPUTED_VALUE"""),"Handgun")</f>
        <v>Handgun</v>
      </c>
      <c r="C706" s="5" t="str">
        <f ca="1">IFERROR(__xludf.DUMMYFUNCTION("""COMPUTED_VALUE"""),"Unknown")</f>
        <v>Unknown</v>
      </c>
      <c r="D706" s="5"/>
    </row>
    <row r="707" spans="1:4">
      <c r="A707" s="5" t="str">
        <f ca="1">IFERROR(__xludf.DUMMYFUNCTION("""COMPUTED_VALUE"""),"20180817FLPAW")</f>
        <v>20180817FLPAW</v>
      </c>
      <c r="B707" s="5" t="str">
        <f ca="1">IFERROR(__xludf.DUMMYFUNCTION("""COMPUTED_VALUE"""),"Handgun")</f>
        <v>Handgun</v>
      </c>
      <c r="C707" s="5" t="str">
        <f ca="1">IFERROR(__xludf.DUMMYFUNCTION("""COMPUTED_VALUE"""),"Unknown")</f>
        <v>Unknown</v>
      </c>
      <c r="D707" s="5"/>
    </row>
    <row r="708" spans="1:4">
      <c r="A708" s="5" t="str">
        <f ca="1">IFERROR(__xludf.DUMMYFUNCTION("""COMPUTED_VALUE"""),"20180811TNANN")</f>
        <v>20180811TNANN</v>
      </c>
      <c r="B708" s="5" t="str">
        <f ca="1">IFERROR(__xludf.DUMMYFUNCTION("""COMPUTED_VALUE"""),"Handgun")</f>
        <v>Handgun</v>
      </c>
      <c r="C708" s="5" t="str">
        <f ca="1">IFERROR(__xludf.DUMMYFUNCTION("""COMPUTED_VALUE"""),"Unknown")</f>
        <v>Unknown</v>
      </c>
      <c r="D708" s="5"/>
    </row>
    <row r="709" spans="1:4">
      <c r="A709" s="5" t="str">
        <f ca="1">IFERROR(__xludf.DUMMYFUNCTION("""COMPUTED_VALUE"""),"20180809NJLAM")</f>
        <v>20180809NJLAM</v>
      </c>
      <c r="B709" s="5" t="str">
        <f ca="1">IFERROR(__xludf.DUMMYFUNCTION("""COMPUTED_VALUE"""),"No Data")</f>
        <v>No Data</v>
      </c>
      <c r="C709" s="5"/>
      <c r="D709" s="5"/>
    </row>
    <row r="710" spans="1:4">
      <c r="A710" s="5" t="str">
        <f ca="1">IFERROR(__xludf.DUMMYFUNCTION("""COMPUTED_VALUE"""),"20180804MDEDE")</f>
        <v>20180804MDEDE</v>
      </c>
      <c r="B710" s="5" t="str">
        <f ca="1">IFERROR(__xludf.DUMMYFUNCTION("""COMPUTED_VALUE"""),"No Data")</f>
        <v>No Data</v>
      </c>
      <c r="C710" s="5"/>
      <c r="D710" s="5"/>
    </row>
    <row r="711" spans="1:4">
      <c r="A711" s="5" t="str">
        <f ca="1">IFERROR(__xludf.DUMMYFUNCTION("""COMPUTED_VALUE"""),"20180803IALIO")</f>
        <v>20180803IALIO</v>
      </c>
      <c r="B711" s="5" t="str">
        <f ca="1">IFERROR(__xludf.DUMMYFUNCTION("""COMPUTED_VALUE"""),"Handgun")</f>
        <v>Handgun</v>
      </c>
      <c r="C711" s="5"/>
      <c r="D711" s="5"/>
    </row>
    <row r="712" spans="1:4">
      <c r="A712" s="5" t="str">
        <f ca="1">IFERROR(__xludf.DUMMYFUNCTION("""COMPUTED_VALUE"""),"20180719WAWEY")</f>
        <v>20180719WAWEY</v>
      </c>
      <c r="B712" s="5" t="str">
        <f ca="1">IFERROR(__xludf.DUMMYFUNCTION("""COMPUTED_VALUE"""),"No Data")</f>
        <v>No Data</v>
      </c>
      <c r="C712" s="5"/>
      <c r="D712" s="5"/>
    </row>
    <row r="713" spans="1:4">
      <c r="A713" s="5" t="str">
        <f ca="1">IFERROR(__xludf.DUMMYFUNCTION("""COMPUTED_VALUE"""),"20180717WVHUH")</f>
        <v>20180717WVHUH</v>
      </c>
      <c r="B713" s="5" t="str">
        <f ca="1">IFERROR(__xludf.DUMMYFUNCTION("""COMPUTED_VALUE"""),"Handgun")</f>
        <v>Handgun</v>
      </c>
      <c r="C713" s="5" t="str">
        <f ca="1">IFERROR(__xludf.DUMMYFUNCTION("""COMPUTED_VALUE"""),"Unknown")</f>
        <v>Unknown</v>
      </c>
      <c r="D713" s="5"/>
    </row>
    <row r="714" spans="1:4">
      <c r="A714" s="5" t="str">
        <f ca="1">IFERROR(__xludf.DUMMYFUNCTION("""COMPUTED_VALUE"""),"20180711OHMIM")</f>
        <v>20180711OHMIM</v>
      </c>
      <c r="B714" s="5" t="str">
        <f ca="1">IFERROR(__xludf.DUMMYFUNCTION("""COMPUTED_VALUE"""),"No Data")</f>
        <v>No Data</v>
      </c>
      <c r="C714" s="5"/>
      <c r="D714" s="5"/>
    </row>
    <row r="715" spans="1:4">
      <c r="A715" s="5" t="str">
        <f ca="1">IFERROR(__xludf.DUMMYFUNCTION("""COMPUTED_VALUE"""),"20180703KSSUO")</f>
        <v>20180703KSSUO</v>
      </c>
      <c r="B715" s="5" t="str">
        <f ca="1">IFERROR(__xludf.DUMMYFUNCTION("""COMPUTED_VALUE"""),"Handgun")</f>
        <v>Handgun</v>
      </c>
      <c r="C715" s="5" t="str">
        <f ca="1">IFERROR(__xludf.DUMMYFUNCTION("""COMPUTED_VALUE"""),"Unknown")</f>
        <v>Unknown</v>
      </c>
      <c r="D715" s="5"/>
    </row>
    <row r="716" spans="1:4">
      <c r="A716" s="5" t="str">
        <f ca="1">IFERROR(__xludf.DUMMYFUNCTION("""COMPUTED_VALUE"""),"20180701TNRAM")</f>
        <v>20180701TNRAM</v>
      </c>
      <c r="B716" s="5" t="str">
        <f ca="1">IFERROR(__xludf.DUMMYFUNCTION("""COMPUTED_VALUE"""),"No Data")</f>
        <v>No Data</v>
      </c>
      <c r="C716" s="5"/>
      <c r="D716" s="5"/>
    </row>
    <row r="717" spans="1:4">
      <c r="A717" s="5" t="str">
        <f ca="1">IFERROR(__xludf.DUMMYFUNCTION("""COMPUTED_VALUE"""),"20180625OHFUS")</f>
        <v>20180625OHFUS</v>
      </c>
      <c r="B717" s="5" t="str">
        <f ca="1">IFERROR(__xludf.DUMMYFUNCTION("""COMPUTED_VALUE"""),"Handgun")</f>
        <v>Handgun</v>
      </c>
      <c r="C717" s="5" t="str">
        <f ca="1">IFERROR(__xludf.DUMMYFUNCTION("""COMPUTED_VALUE"""),"Unknown")</f>
        <v>Unknown</v>
      </c>
      <c r="D717" s="5"/>
    </row>
    <row r="718" spans="1:4">
      <c r="A718" s="5" t="str">
        <f ca="1">IFERROR(__xludf.DUMMYFUNCTION("""COMPUTED_VALUE"""),"20180624MTSEM")</f>
        <v>20180624MTSEM</v>
      </c>
      <c r="B718" s="5" t="str">
        <f ca="1">IFERROR(__xludf.DUMMYFUNCTION("""COMPUTED_VALUE"""),"Handgun")</f>
        <v>Handgun</v>
      </c>
      <c r="C718" s="5" t="str">
        <f ca="1">IFERROR(__xludf.DUMMYFUNCTION("""COMPUTED_VALUE"""),"Unknown")</f>
        <v>Unknown</v>
      </c>
      <c r="D718" s="5"/>
    </row>
    <row r="719" spans="1:4">
      <c r="A719" s="5" t="str">
        <f ca="1">IFERROR(__xludf.DUMMYFUNCTION("""COMPUTED_VALUE"""),"20180621TXSKD")</f>
        <v>20180621TXSKD</v>
      </c>
      <c r="B719" s="5" t="str">
        <f ca="1">IFERROR(__xludf.DUMMYFUNCTION("""COMPUTED_VALUE"""),"No Data")</f>
        <v>No Data</v>
      </c>
      <c r="C719" s="5"/>
      <c r="D719" s="5"/>
    </row>
    <row r="720" spans="1:4">
      <c r="A720" s="5" t="str">
        <f ca="1">IFERROR(__xludf.DUMMYFUNCTION("""COMPUTED_VALUE"""),"20180617ORGRP")</f>
        <v>20180617ORGRP</v>
      </c>
      <c r="B720" s="5" t="str">
        <f ca="1">IFERROR(__xludf.DUMMYFUNCTION("""COMPUTED_VALUE"""),"No Data")</f>
        <v>No Data</v>
      </c>
      <c r="C720" s="5"/>
      <c r="D720" s="5"/>
    </row>
    <row r="721" spans="1:4">
      <c r="A721" s="5" t="str">
        <f ca="1">IFERROR(__xludf.DUMMYFUNCTION("""COMPUTED_VALUE"""),"20180615OHVAB")</f>
        <v>20180615OHVAB</v>
      </c>
      <c r="B721" s="5" t="str">
        <f ca="1">IFERROR(__xludf.DUMMYFUNCTION("""COMPUTED_VALUE"""),"No Data")</f>
        <v>No Data</v>
      </c>
      <c r="C721" s="5"/>
      <c r="D721" s="5"/>
    </row>
    <row r="722" spans="1:4">
      <c r="A722" s="5" t="str">
        <f ca="1">IFERROR(__xludf.DUMMYFUNCTION("""COMPUTED_VALUE"""),"20180601TXMCM")</f>
        <v>20180601TXMCM</v>
      </c>
      <c r="B722" s="5" t="str">
        <f ca="1">IFERROR(__xludf.DUMMYFUNCTION("""COMPUTED_VALUE"""),"No Data")</f>
        <v>No Data</v>
      </c>
      <c r="C722" s="5"/>
      <c r="D722" s="5"/>
    </row>
    <row r="723" spans="1:4">
      <c r="A723" s="5" t="str">
        <f ca="1">IFERROR(__xludf.DUMMYFUNCTION("""COMPUTED_VALUE"""),"20180525INNON")</f>
        <v>20180525INNON</v>
      </c>
      <c r="B723" s="5" t="str">
        <f ca="1">IFERROR(__xludf.DUMMYFUNCTION("""COMPUTED_VALUE"""),"Handgun")</f>
        <v>Handgun</v>
      </c>
      <c r="C723" s="5" t="str">
        <f ca="1">IFERROR(__xludf.DUMMYFUNCTION("""COMPUTED_VALUE"""),"Unknown")</f>
        <v>Unknown</v>
      </c>
      <c r="D723" s="5" t="str">
        <f ca="1">IFERROR(__xludf.DUMMYFUNCTION("""COMPUTED_VALUE"""),"2 handguns")</f>
        <v>2 handguns</v>
      </c>
    </row>
    <row r="724" spans="1:4">
      <c r="A724" s="5" t="str">
        <f ca="1">IFERROR(__xludf.DUMMYFUNCTION("""COMPUTED_VALUE"""),"20180525INNON")</f>
        <v>20180525INNON</v>
      </c>
      <c r="B724" s="5" t="str">
        <f ca="1">IFERROR(__xludf.DUMMYFUNCTION("""COMPUTED_VALUE"""),"Handgun")</f>
        <v>Handgun</v>
      </c>
      <c r="C724" s="5" t="str">
        <f ca="1">IFERROR(__xludf.DUMMYFUNCTION("""COMPUTED_VALUE"""),"Unknown")</f>
        <v>Unknown</v>
      </c>
      <c r="D724" s="5" t="str">
        <f ca="1">IFERROR(__xludf.DUMMYFUNCTION("""COMPUTED_VALUE"""),"2 handguns")</f>
        <v>2 handguns</v>
      </c>
    </row>
    <row r="725" spans="1:4">
      <c r="A725" s="5" t="str">
        <f ca="1">IFERROR(__xludf.DUMMYFUNCTION("""COMPUTED_VALUE"""),"20180521GABEG")</f>
        <v>20180521GABEG</v>
      </c>
      <c r="B725" s="5" t="str">
        <f ca="1">IFERROR(__xludf.DUMMYFUNCTION("""COMPUTED_VALUE"""),"No Data")</f>
        <v>No Data</v>
      </c>
      <c r="C725" s="5"/>
      <c r="D725" s="5"/>
    </row>
    <row r="726" spans="1:4">
      <c r="A726" s="5" t="str">
        <f ca="1">IFERROR(__xludf.DUMMYFUNCTION("""COMPUTED_VALUE"""),"20180518TXSAS")</f>
        <v>20180518TXSAS</v>
      </c>
      <c r="B726" s="5" t="str">
        <f ca="1">IFERROR(__xludf.DUMMYFUNCTION("""COMPUTED_VALUE"""),"Handgun")</f>
        <v>Handgun</v>
      </c>
      <c r="C726" s="5" t="str">
        <f ca="1">IFERROR(__xludf.DUMMYFUNCTION("""COMPUTED_VALUE"""),".38 caliber")</f>
        <v>.38 caliber</v>
      </c>
      <c r="D726" s="5" t="str">
        <f ca="1">IFERROR(__xludf.DUMMYFUNCTION("""COMPUTED_VALUE"""),".38 pistol, shotgun")</f>
        <v>.38 pistol, shotgun</v>
      </c>
    </row>
    <row r="727" spans="1:4">
      <c r="A727" s="5" t="str">
        <f ca="1">IFERROR(__xludf.DUMMYFUNCTION("""COMPUTED_VALUE"""),"20180518TXSAS")</f>
        <v>20180518TXSAS</v>
      </c>
      <c r="B727" s="5" t="str">
        <f ca="1">IFERROR(__xludf.DUMMYFUNCTION("""COMPUTED_VALUE"""),"Shotgun")</f>
        <v>Shotgun</v>
      </c>
      <c r="C727" s="5" t="str">
        <f ca="1">IFERROR(__xludf.DUMMYFUNCTION("""COMPUTED_VALUE"""),"Unknown")</f>
        <v>Unknown</v>
      </c>
      <c r="D727" s="5" t="str">
        <f ca="1">IFERROR(__xludf.DUMMYFUNCTION("""COMPUTED_VALUE"""),".38 pistol, shotgun")</f>
        <v>.38 pistol, shotgun</v>
      </c>
    </row>
    <row r="728" spans="1:4">
      <c r="A728" s="5" t="str">
        <f ca="1">IFERROR(__xludf.DUMMYFUNCTION("""COMPUTED_VALUE"""),"20180518GAMOA")</f>
        <v>20180518GAMOA</v>
      </c>
      <c r="B728" s="5" t="str">
        <f ca="1">IFERROR(__xludf.DUMMYFUNCTION("""COMPUTED_VALUE"""),"Handgun")</f>
        <v>Handgun</v>
      </c>
      <c r="C728" s="5" t="str">
        <f ca="1">IFERROR(__xludf.DUMMYFUNCTION("""COMPUTED_VALUE"""),"Unknown")</f>
        <v>Unknown</v>
      </c>
      <c r="D728" s="5"/>
    </row>
    <row r="729" spans="1:4">
      <c r="A729" s="5" t="str">
        <f ca="1">IFERROR(__xludf.DUMMYFUNCTION("""COMPUTED_VALUE"""),"20180517MOCEK")</f>
        <v>20180517MOCEK</v>
      </c>
      <c r="B729" s="5" t="str">
        <f ca="1">IFERROR(__xludf.DUMMYFUNCTION("""COMPUTED_VALUE"""),"Handgun")</f>
        <v>Handgun</v>
      </c>
      <c r="C729" s="5" t="str">
        <f ca="1">IFERROR(__xludf.DUMMYFUNCTION("""COMPUTED_VALUE"""),"Unknown")</f>
        <v>Unknown</v>
      </c>
      <c r="D729" s="5"/>
    </row>
    <row r="730" spans="1:4">
      <c r="A730" s="5" t="str">
        <f ca="1">IFERROR(__xludf.DUMMYFUNCTION("""COMPUTED_VALUE"""),"20180516ILDID")</f>
        <v>20180516ILDID</v>
      </c>
      <c r="B730" s="5" t="str">
        <f ca="1">IFERROR(__xludf.DUMMYFUNCTION("""COMPUTED_VALUE"""),"Rifle")</f>
        <v>Rifle</v>
      </c>
      <c r="C730" s="5" t="str">
        <f ca="1">IFERROR(__xludf.DUMMYFUNCTION("""COMPUTED_VALUE"""),"9mm")</f>
        <v>9mm</v>
      </c>
      <c r="D730" s="5"/>
    </row>
    <row r="731" spans="1:4">
      <c r="A731" s="5" t="str">
        <f ca="1">IFERROR(__xludf.DUMMYFUNCTION("""COMPUTED_VALUE"""),"20180511CAHIP")</f>
        <v>20180511CAHIP</v>
      </c>
      <c r="B731" s="5" t="str">
        <f ca="1">IFERROR(__xludf.DUMMYFUNCTION("""COMPUTED_VALUE"""),"Rifle")</f>
        <v>Rifle</v>
      </c>
      <c r="C731" s="5" t="str">
        <f ca="1">IFERROR(__xludf.DUMMYFUNCTION("""COMPUTED_VALUE"""),"Semiautomatic")</f>
        <v>Semiautomatic</v>
      </c>
      <c r="D731" s="5"/>
    </row>
    <row r="732" spans="1:4">
      <c r="A732" s="5" t="str">
        <f ca="1">IFERROR(__xludf.DUMMYFUNCTION("""COMPUTED_VALUE"""),"20180505MIFOF")</f>
        <v>20180505MIFOF</v>
      </c>
      <c r="B732" s="5" t="str">
        <f ca="1">IFERROR(__xludf.DUMMYFUNCTION("""COMPUTED_VALUE"""),"Handgun")</f>
        <v>Handgun</v>
      </c>
      <c r="C732" s="5" t="str">
        <f ca="1">IFERROR(__xludf.DUMMYFUNCTION("""COMPUTED_VALUE"""),"Unknown")</f>
        <v>Unknown</v>
      </c>
      <c r="D732" s="5"/>
    </row>
    <row r="733" spans="1:4">
      <c r="A733" s="5" t="str">
        <f ca="1">IFERROR(__xludf.DUMMYFUNCTION("""COMPUTED_VALUE"""),"20180503TNWAW")</f>
        <v>20180503TNWAW</v>
      </c>
      <c r="B733" s="5" t="str">
        <f ca="1">IFERROR(__xludf.DUMMYFUNCTION("""COMPUTED_VALUE"""),"No Data")</f>
        <v>No Data</v>
      </c>
      <c r="C733" s="5"/>
      <c r="D733" s="5"/>
    </row>
    <row r="734" spans="1:4">
      <c r="A734" s="5" t="str">
        <f ca="1">IFERROR(__xludf.DUMMYFUNCTION("""COMPUTED_VALUE"""),"20180503SDENW")</f>
        <v>20180503SDENW</v>
      </c>
      <c r="B734" s="5" t="str">
        <f ca="1">IFERROR(__xludf.DUMMYFUNCTION("""COMPUTED_VALUE"""),"No Data")</f>
        <v>No Data</v>
      </c>
      <c r="C734" s="5"/>
      <c r="D734" s="5"/>
    </row>
    <row r="735" spans="1:4">
      <c r="A735" s="5" t="str">
        <f ca="1">IFERROR(__xludf.DUMMYFUNCTION("""COMPUTED_VALUE"""),"20180425NMHIA")</f>
        <v>20180425NMHIA</v>
      </c>
      <c r="B735" s="5" t="str">
        <f ca="1">IFERROR(__xludf.DUMMYFUNCTION("""COMPUTED_VALUE"""),"Handgun")</f>
        <v>Handgun</v>
      </c>
      <c r="C735" s="5"/>
      <c r="D735" s="5"/>
    </row>
    <row r="736" spans="1:4">
      <c r="A736" s="5" t="str">
        <f ca="1">IFERROR(__xludf.DUMMYFUNCTION("""COMPUTED_VALUE"""),"20180423GABEA")</f>
        <v>20180423GABEA</v>
      </c>
      <c r="B736" s="5" t="str">
        <f ca="1">IFERROR(__xludf.DUMMYFUNCTION("""COMPUTED_VALUE"""),"Handgun")</f>
        <v>Handgun</v>
      </c>
      <c r="C736" s="5" t="str">
        <f ca="1">IFERROR(__xludf.DUMMYFUNCTION("""COMPUTED_VALUE"""),"Unknown")</f>
        <v>Unknown</v>
      </c>
      <c r="D736" s="5"/>
    </row>
    <row r="737" spans="1:4">
      <c r="A737" s="5" t="str">
        <f ca="1">IFERROR(__xludf.DUMMYFUNCTION("""COMPUTED_VALUE"""),"20180420FLFOO")</f>
        <v>20180420FLFOO</v>
      </c>
      <c r="B737" s="5" t="str">
        <f ca="1">IFERROR(__xludf.DUMMYFUNCTION("""COMPUTED_VALUE"""),"Shotgun")</f>
        <v>Shotgun</v>
      </c>
      <c r="C737" s="5" t="str">
        <f ca="1">IFERROR(__xludf.DUMMYFUNCTION("""COMPUTED_VALUE"""),"Unknown")</f>
        <v>Unknown</v>
      </c>
      <c r="D737" s="5"/>
    </row>
    <row r="738" spans="1:4">
      <c r="A738" s="5" t="str">
        <f ca="1">IFERROR(__xludf.DUMMYFUNCTION("""COMPUTED_VALUE"""),"20180419MIJAJ")</f>
        <v>20180419MIJAJ</v>
      </c>
      <c r="B738" s="5" t="str">
        <f ca="1">IFERROR(__xludf.DUMMYFUNCTION("""COMPUTED_VALUE"""),"Handgun")</f>
        <v>Handgun</v>
      </c>
      <c r="C738" s="5" t="str">
        <f ca="1">IFERROR(__xludf.DUMMYFUNCTION("""COMPUTED_VALUE"""),"Unknown")</f>
        <v>Unknown</v>
      </c>
      <c r="D738" s="5"/>
    </row>
    <row r="739" spans="1:4">
      <c r="A739" s="5" t="str">
        <f ca="1">IFERROR(__xludf.DUMMYFUNCTION("""COMPUTED_VALUE"""),"20180412MORAR")</f>
        <v>20180412MORAR</v>
      </c>
      <c r="B739" s="5" t="str">
        <f ca="1">IFERROR(__xludf.DUMMYFUNCTION("""COMPUTED_VALUE"""),"Handgun")</f>
        <v>Handgun</v>
      </c>
      <c r="C739" s="5" t="str">
        <f ca="1">IFERROR(__xludf.DUMMYFUNCTION("""COMPUTED_VALUE"""),"Unknown")</f>
        <v>Unknown</v>
      </c>
      <c r="D739" s="5"/>
    </row>
    <row r="740" spans="1:4">
      <c r="A740" s="5" t="str">
        <f ca="1">IFERROR(__xludf.DUMMYFUNCTION("""COMPUTED_VALUE"""),"20180409NYGLG")</f>
        <v>20180409NYGLG</v>
      </c>
      <c r="B740" s="5" t="str">
        <f ca="1">IFERROR(__xludf.DUMMYFUNCTION("""COMPUTED_VALUE"""),"Handgun")</f>
        <v>Handgun</v>
      </c>
      <c r="C740" s="5" t="str">
        <f ca="1">IFERROR(__xludf.DUMMYFUNCTION("""COMPUTED_VALUE"""),"BB")</f>
        <v>BB</v>
      </c>
      <c r="D740" s="5"/>
    </row>
    <row r="741" spans="1:4">
      <c r="A741" s="5" t="str">
        <f ca="1">IFERROR(__xludf.DUMMYFUNCTION("""COMPUTED_VALUE"""),"20180329KYJOE")</f>
        <v>20180329KYJOE</v>
      </c>
      <c r="B741" s="5" t="str">
        <f ca="1">IFERROR(__xludf.DUMMYFUNCTION("""COMPUTED_VALUE"""),"Handgun")</f>
        <v>Handgun</v>
      </c>
      <c r="C741" s="5" t="str">
        <f ca="1">IFERROR(__xludf.DUMMYFUNCTION("""COMPUTED_VALUE"""),"Unknown")</f>
        <v>Unknown</v>
      </c>
      <c r="D741" s="5"/>
    </row>
    <row r="742" spans="1:4">
      <c r="A742" s="5" t="str">
        <f ca="1">IFERROR(__xludf.DUMMYFUNCTION("""COMPUTED_VALUE"""),"20180328MSEUE")</f>
        <v>20180328MSEUE</v>
      </c>
      <c r="B742" s="5" t="str">
        <f ca="1">IFERROR(__xludf.DUMMYFUNCTION("""COMPUTED_VALUE"""),"Handgun")</f>
        <v>Handgun</v>
      </c>
      <c r="C742" s="5" t="str">
        <f ca="1">IFERROR(__xludf.DUMMYFUNCTION("""COMPUTED_VALUE"""),"9mm")</f>
        <v>9mm</v>
      </c>
      <c r="D742" s="5"/>
    </row>
    <row r="743" spans="1:4">
      <c r="A743" s="5" t="str">
        <f ca="1">IFERROR(__xludf.DUMMYFUNCTION("""COMPUTED_VALUE"""),"20180320MDGRG")</f>
        <v>20180320MDGRG</v>
      </c>
      <c r="B743" s="5" t="str">
        <f ca="1">IFERROR(__xludf.DUMMYFUNCTION("""COMPUTED_VALUE"""),"Handgun")</f>
        <v>Handgun</v>
      </c>
      <c r="C743" s="5" t="str">
        <f ca="1">IFERROR(__xludf.DUMMYFUNCTION("""COMPUTED_VALUE"""),"9mm")</f>
        <v>9mm</v>
      </c>
      <c r="D743" s="5"/>
    </row>
    <row r="744" spans="1:4">
      <c r="A744" s="5" t="str">
        <f ca="1">IFERROR(__xludf.DUMMYFUNCTION("""COMPUTED_VALUE"""),"20180319VADOP")</f>
        <v>20180319VADOP</v>
      </c>
      <c r="B744" s="5" t="str">
        <f ca="1">IFERROR(__xludf.DUMMYFUNCTION("""COMPUTED_VALUE"""),"No Data")</f>
        <v>No Data</v>
      </c>
      <c r="C744" s="5"/>
      <c r="D744" s="5"/>
    </row>
    <row r="745" spans="1:4">
      <c r="A745" s="5" t="str">
        <f ca="1">IFERROR(__xludf.DUMMYFUNCTION("""COMPUTED_VALUE"""),"20180316MTBIM")</f>
        <v>20180316MTBIM</v>
      </c>
      <c r="B745" s="5" t="str">
        <f ca="1">IFERROR(__xludf.DUMMYFUNCTION("""COMPUTED_VALUE"""),"Handgun")</f>
        <v>Handgun</v>
      </c>
      <c r="C745" s="5" t="str">
        <f ca="1">IFERROR(__xludf.DUMMYFUNCTION("""COMPUTED_VALUE"""),"Service weapon")</f>
        <v>Service weapon</v>
      </c>
      <c r="D745" s="5"/>
    </row>
    <row r="746" spans="1:4">
      <c r="A746" s="5" t="str">
        <f ca="1">IFERROR(__xludf.DUMMYFUNCTION("""COMPUTED_VALUE"""),"20180313VAGEA")</f>
        <v>20180313VAGEA</v>
      </c>
      <c r="B746" s="5" t="str">
        <f ca="1">IFERROR(__xludf.DUMMYFUNCTION("""COMPUTED_VALUE"""),"Handgun")</f>
        <v>Handgun</v>
      </c>
      <c r="C746" s="5" t="str">
        <f ca="1">IFERROR(__xludf.DUMMYFUNCTION("""COMPUTED_VALUE"""),"Unknown")</f>
        <v>Unknown</v>
      </c>
      <c r="D746" s="5"/>
    </row>
    <row r="747" spans="1:4">
      <c r="A747" s="5" t="str">
        <f ca="1">IFERROR(__xludf.DUMMYFUNCTION("""COMPUTED_VALUE"""),"20180313CASES")</f>
        <v>20180313CASES</v>
      </c>
      <c r="B747" s="5" t="str">
        <f ca="1">IFERROR(__xludf.DUMMYFUNCTION("""COMPUTED_VALUE"""),"Handgun")</f>
        <v>Handgun</v>
      </c>
      <c r="C747" s="5" t="str">
        <f ca="1">IFERROR(__xludf.DUMMYFUNCTION("""COMPUTED_VALUE"""),".45 caliber")</f>
        <v>.45 caliber</v>
      </c>
      <c r="D747" s="5"/>
    </row>
    <row r="748" spans="1:4">
      <c r="A748" s="5" t="str">
        <f ca="1">IFERROR(__xludf.DUMMYFUNCTION("""COMPUTED_VALUE"""),"20180309KYFRL")</f>
        <v>20180309KYFRL</v>
      </c>
      <c r="B748" s="5" t="str">
        <f ca="1">IFERROR(__xludf.DUMMYFUNCTION("""COMPUTED_VALUE"""),"Handgun")</f>
        <v>Handgun</v>
      </c>
      <c r="C748" s="5" t="str">
        <f ca="1">IFERROR(__xludf.DUMMYFUNCTION("""COMPUTED_VALUE"""),"Unknown")</f>
        <v>Unknown</v>
      </c>
      <c r="D748" s="5"/>
    </row>
    <row r="749" spans="1:4">
      <c r="A749" s="5" t="str">
        <f ca="1">IFERROR(__xludf.DUMMYFUNCTION("""COMPUTED_VALUE"""),"20180307ALHUB")</f>
        <v>20180307ALHUB</v>
      </c>
      <c r="B749" s="5" t="str">
        <f ca="1">IFERROR(__xludf.DUMMYFUNCTION("""COMPUTED_VALUE"""),"Handgun")</f>
        <v>Handgun</v>
      </c>
      <c r="C749" s="5" t="str">
        <f ca="1">IFERROR(__xludf.DUMMYFUNCTION("""COMPUTED_VALUE"""),"Unknown")</f>
        <v>Unknown</v>
      </c>
      <c r="D749" s="5"/>
    </row>
    <row r="750" spans="1:4">
      <c r="A750" s="5" t="str">
        <f ca="1">IFERROR(__xludf.DUMMYFUNCTION("""COMPUTED_VALUE"""),"20180305MOKIC")</f>
        <v>20180305MOKIC</v>
      </c>
      <c r="B750" s="5" t="str">
        <f ca="1">IFERROR(__xludf.DUMMYFUNCTION("""COMPUTED_VALUE"""),"No Data")</f>
        <v>No Data</v>
      </c>
      <c r="C750" s="5"/>
      <c r="D750" s="5"/>
    </row>
    <row r="751" spans="1:4">
      <c r="A751" s="5" t="str">
        <f ca="1">IFERROR(__xludf.DUMMYFUNCTION("""COMPUTED_VALUE"""),"20180228GADAD")</f>
        <v>20180228GADAD</v>
      </c>
      <c r="B751" s="5" t="str">
        <f ca="1">IFERROR(__xludf.DUMMYFUNCTION("""COMPUTED_VALUE"""),"Handgun")</f>
        <v>Handgun</v>
      </c>
      <c r="C751" s="5" t="str">
        <f ca="1">IFERROR(__xludf.DUMMYFUNCTION("""COMPUTED_VALUE"""),".38 caliber")</f>
        <v>.38 caliber</v>
      </c>
      <c r="D751" s="5"/>
    </row>
    <row r="752" spans="1:4">
      <c r="A752" s="5" t="str">
        <f ca="1">IFERROR(__xludf.DUMMYFUNCTION("""COMPUTED_VALUE"""),"20180226WAOAT")</f>
        <v>20180226WAOAT</v>
      </c>
      <c r="B752" s="5" t="str">
        <f ca="1">IFERROR(__xludf.DUMMYFUNCTION("""COMPUTED_VALUE"""),"Handgun")</f>
        <v>Handgun</v>
      </c>
      <c r="C752" s="5" t="str">
        <f ca="1">IFERROR(__xludf.DUMMYFUNCTION("""COMPUTED_VALUE"""),"Unknown")</f>
        <v>Unknown</v>
      </c>
      <c r="D752" s="5"/>
    </row>
    <row r="753" spans="1:4">
      <c r="A753" s="5" t="str">
        <f ca="1">IFERROR(__xludf.DUMMYFUNCTION("""COMPUTED_VALUE"""),"20180220OHJAM")</f>
        <v>20180220OHJAM</v>
      </c>
      <c r="B753" s="5" t="str">
        <f ca="1">IFERROR(__xludf.DUMMYFUNCTION("""COMPUTED_VALUE"""),"Rifle")</f>
        <v>Rifle</v>
      </c>
      <c r="C753" s="5" t="str">
        <f ca="1">IFERROR(__xludf.DUMMYFUNCTION("""COMPUTED_VALUE"""),".22 caliber")</f>
        <v>.22 caliber</v>
      </c>
      <c r="D753" s="5"/>
    </row>
    <row r="754" spans="1:4">
      <c r="A754" s="5" t="str">
        <f ca="1">IFERROR(__xludf.DUMMYFUNCTION("""COMPUTED_VALUE"""),"20180215FLNOC")</f>
        <v>20180215FLNOC</v>
      </c>
      <c r="B754" s="5" t="str">
        <f ca="1">IFERROR(__xludf.DUMMYFUNCTION("""COMPUTED_VALUE"""),"Handgun")</f>
        <v>Handgun</v>
      </c>
      <c r="C754" s="5" t="str">
        <f ca="1">IFERROR(__xludf.DUMMYFUNCTION("""COMPUTED_VALUE"""),"Service Weapon")</f>
        <v>Service Weapon</v>
      </c>
      <c r="D754" s="5"/>
    </row>
    <row r="755" spans="1:4">
      <c r="A755" s="5" t="str">
        <f ca="1">IFERROR(__xludf.DUMMYFUNCTION("""COMPUTED_VALUE"""),"20180214FLMAP")</f>
        <v>20180214FLMAP</v>
      </c>
      <c r="B755" s="5" t="str">
        <f ca="1">IFERROR(__xludf.DUMMYFUNCTION("""COMPUTED_VALUE"""),"Rifle")</f>
        <v>Rifle</v>
      </c>
      <c r="C755" s="5" t="str">
        <f ca="1">IFERROR(__xludf.DUMMYFUNCTION("""COMPUTED_VALUE"""),"AR-15")</f>
        <v>AR-15</v>
      </c>
      <c r="D755" s="5"/>
    </row>
    <row r="756" spans="1:4">
      <c r="A756" s="5" t="str">
        <f ca="1">IFERROR(__xludf.DUMMYFUNCTION("""COMPUTED_VALUE"""),"20180209TNPEN")</f>
        <v>20180209TNPEN</v>
      </c>
      <c r="B756" s="5" t="str">
        <f ca="1">IFERROR(__xludf.DUMMYFUNCTION("""COMPUTED_VALUE"""),"Handgun")</f>
        <v>Handgun</v>
      </c>
      <c r="C756" s="5" t="str">
        <f ca="1">IFERROR(__xludf.DUMMYFUNCTION("""COMPUTED_VALUE"""),"Unknown")</f>
        <v>Unknown</v>
      </c>
      <c r="D756" s="5"/>
    </row>
    <row r="757" spans="1:4">
      <c r="A757" s="5" t="str">
        <f ca="1">IFERROR(__xludf.DUMMYFUNCTION("""COMPUTED_VALUE"""),"20180208NYTHN")</f>
        <v>20180208NYTHN</v>
      </c>
      <c r="B757" s="5" t="str">
        <f ca="1">IFERROR(__xludf.DUMMYFUNCTION("""COMPUTED_VALUE"""),"Handgun")</f>
        <v>Handgun</v>
      </c>
      <c r="C757" s="5" t="str">
        <f ca="1">IFERROR(__xludf.DUMMYFUNCTION("""COMPUTED_VALUE"""),"Unknown")</f>
        <v>Unknown</v>
      </c>
      <c r="D757" s="5"/>
    </row>
    <row r="758" spans="1:4">
      <c r="A758" s="5" t="str">
        <f ca="1">IFERROR(__xludf.DUMMYFUNCTION("""COMPUTED_VALUE"""),"20180205MNHAM")</f>
        <v>20180205MNHAM</v>
      </c>
      <c r="B758" s="5" t="str">
        <f ca="1">IFERROR(__xludf.DUMMYFUNCTION("""COMPUTED_VALUE"""),"Handgun")</f>
        <v>Handgun</v>
      </c>
      <c r="C758" s="5" t="str">
        <f ca="1">IFERROR(__xludf.DUMMYFUNCTION("""COMPUTED_VALUE"""),"Service Weapon")</f>
        <v>Service Weapon</v>
      </c>
      <c r="D758" s="5"/>
    </row>
    <row r="759" spans="1:4">
      <c r="A759" s="5" t="str">
        <f ca="1">IFERROR(__xludf.DUMMYFUNCTION("""COMPUTED_VALUE"""),"20180205MDOXO")</f>
        <v>20180205MDOXO</v>
      </c>
      <c r="B759" s="5" t="str">
        <f ca="1">IFERROR(__xludf.DUMMYFUNCTION("""COMPUTED_VALUE"""),"Handgun")</f>
        <v>Handgun</v>
      </c>
      <c r="C759" s="5" t="str">
        <f ca="1">IFERROR(__xludf.DUMMYFUNCTION("""COMPUTED_VALUE"""),"Unknown")</f>
        <v>Unknown</v>
      </c>
      <c r="D759" s="5"/>
    </row>
    <row r="760" spans="1:4">
      <c r="A760" s="5" t="str">
        <f ca="1">IFERROR(__xludf.DUMMYFUNCTION("""COMPUTED_VALUE"""),"20180201CASAL")</f>
        <v>20180201CASAL</v>
      </c>
      <c r="B760" s="5" t="str">
        <f ca="1">IFERROR(__xludf.DUMMYFUNCTION("""COMPUTED_VALUE"""),"Handgun")</f>
        <v>Handgun</v>
      </c>
      <c r="C760" s="5" t="str">
        <f ca="1">IFERROR(__xludf.DUMMYFUNCTION("""COMPUTED_VALUE"""),"Unknown")</f>
        <v>Unknown</v>
      </c>
      <c r="D760" s="5"/>
    </row>
    <row r="761" spans="1:4">
      <c r="A761" s="5" t="str">
        <f ca="1">IFERROR(__xludf.DUMMYFUNCTION("""COMPUTED_VALUE"""),"20180131PALIP")</f>
        <v>20180131PALIP</v>
      </c>
      <c r="B761" s="5" t="str">
        <f ca="1">IFERROR(__xludf.DUMMYFUNCTION("""COMPUTED_VALUE"""),"Multiple Unknown")</f>
        <v>Multiple Unknown</v>
      </c>
      <c r="C761" s="5" t="str">
        <f ca="1">IFERROR(__xludf.DUMMYFUNCTION("""COMPUTED_VALUE"""),"Unknown")</f>
        <v>Unknown</v>
      </c>
      <c r="D761" s="5" t="str">
        <f ca="1">IFERROR(__xludf.DUMMYFUNCTION("""COMPUTED_VALUE"""),"3 different firearms discharged")</f>
        <v>3 different firearms discharged</v>
      </c>
    </row>
    <row r="762" spans="1:4">
      <c r="A762" s="5" t="str">
        <f ca="1">IFERROR(__xludf.DUMMYFUNCTION("""COMPUTED_VALUE"""),"20180126MIDED")</f>
        <v>20180126MIDED</v>
      </c>
      <c r="B762" s="5" t="str">
        <f ca="1">IFERROR(__xludf.DUMMYFUNCTION("""COMPUTED_VALUE"""),"No Data")</f>
        <v>No Data</v>
      </c>
      <c r="C762" s="5"/>
      <c r="D762" s="5"/>
    </row>
    <row r="763" spans="1:4">
      <c r="A763" s="5" t="str">
        <f ca="1">IFERROR(__xludf.DUMMYFUNCTION("""COMPUTED_VALUE"""),"20180125ALMUM")</f>
        <v>20180125ALMUM</v>
      </c>
      <c r="B763" s="5" t="str">
        <f ca="1">IFERROR(__xludf.DUMMYFUNCTION("""COMPUTED_VALUE"""),"Handgun")</f>
        <v>Handgun</v>
      </c>
      <c r="C763" s="5" t="str">
        <f ca="1">IFERROR(__xludf.DUMMYFUNCTION("""COMPUTED_VALUE"""),".38 caliber")</f>
        <v>.38 caliber</v>
      </c>
      <c r="D763" s="5"/>
    </row>
    <row r="764" spans="1:4">
      <c r="A764" s="5" t="str">
        <f ca="1">IFERROR(__xludf.DUMMYFUNCTION("""COMPUTED_VALUE"""),"20180123KYMAB")</f>
        <v>20180123KYMAB</v>
      </c>
      <c r="B764" s="5" t="str">
        <f ca="1">IFERROR(__xludf.DUMMYFUNCTION("""COMPUTED_VALUE"""),"Handgun")</f>
        <v>Handgun</v>
      </c>
      <c r="C764" s="5" t="str">
        <f ca="1">IFERROR(__xludf.DUMMYFUNCTION("""COMPUTED_VALUE"""),"9mm")</f>
        <v>9mm</v>
      </c>
      <c r="D764" s="5"/>
    </row>
    <row r="765" spans="1:4">
      <c r="A765" s="5" t="str">
        <f ca="1">IFERROR(__xludf.DUMMYFUNCTION("""COMPUTED_VALUE"""),"20180122TXITI")</f>
        <v>20180122TXITI</v>
      </c>
      <c r="B765" s="5" t="str">
        <f ca="1">IFERROR(__xludf.DUMMYFUNCTION("""COMPUTED_VALUE"""),"Handgun")</f>
        <v>Handgun</v>
      </c>
      <c r="C765" s="5" t="str">
        <f ca="1">IFERROR(__xludf.DUMMYFUNCTION("""COMPUTED_VALUE"""),".38 caliber")</f>
        <v>.38 caliber</v>
      </c>
      <c r="D765" s="5"/>
    </row>
    <row r="766" spans="1:4">
      <c r="A766" s="5" t="str">
        <f ca="1">IFERROR(__xludf.DUMMYFUNCTION("""COMPUTED_VALUE"""),"20180122LANEN")</f>
        <v>20180122LANEN</v>
      </c>
      <c r="B766" s="5" t="str">
        <f ca="1">IFERROR(__xludf.DUMMYFUNCTION("""COMPUTED_VALUE"""),"No Data")</f>
        <v>No Data</v>
      </c>
      <c r="C766" s="5"/>
      <c r="D766" s="5"/>
    </row>
    <row r="767" spans="1:4">
      <c r="A767" s="5" t="str">
        <f ca="1">IFERROR(__xludf.DUMMYFUNCTION("""COMPUTED_VALUE"""),"20180116VTMOM")</f>
        <v>20180116VTMOM</v>
      </c>
      <c r="B767" s="5" t="str">
        <f ca="1">IFERROR(__xludf.DUMMYFUNCTION("""COMPUTED_VALUE"""),"Handgun")</f>
        <v>Handgun</v>
      </c>
      <c r="C767" s="5" t="str">
        <f ca="1">IFERROR(__xludf.DUMMYFUNCTION("""COMPUTED_VALUE"""),"Service Weapon")</f>
        <v>Service Weapon</v>
      </c>
      <c r="D767" s="5"/>
    </row>
    <row r="768" spans="1:4">
      <c r="A768" s="5" t="str">
        <f ca="1">IFERROR(__xludf.DUMMYFUNCTION("""COMPUTED_VALUE"""),"20180109AZCOS")</f>
        <v>20180109AZCOS</v>
      </c>
      <c r="B768" s="5" t="str">
        <f ca="1">IFERROR(__xludf.DUMMYFUNCTION("""COMPUTED_VALUE"""),"Handgun")</f>
        <v>Handgun</v>
      </c>
      <c r="C768" s="5" t="str">
        <f ca="1">IFERROR(__xludf.DUMMYFUNCTION("""COMPUTED_VALUE"""),"Unknown")</f>
        <v>Unknown</v>
      </c>
      <c r="D768" s="5"/>
    </row>
    <row r="769" spans="1:4">
      <c r="A769" s="5" t="str">
        <f ca="1">IFERROR(__xludf.DUMMYFUNCTION("""COMPUTED_VALUE"""),"20180105IAFOF")</f>
        <v>20180105IAFOF</v>
      </c>
      <c r="B769" s="5" t="str">
        <f ca="1">IFERROR(__xludf.DUMMYFUNCTION("""COMPUTED_VALUE"""),"Other")</f>
        <v>Other</v>
      </c>
      <c r="C769" s="5" t="str">
        <f ca="1">IFERROR(__xludf.DUMMYFUNCTION("""COMPUTED_VALUE"""),"Pellet")</f>
        <v>Pellet</v>
      </c>
      <c r="D769" s="5"/>
    </row>
    <row r="770" spans="1:4">
      <c r="A770" s="5" t="str">
        <f ca="1">IFERROR(__xludf.DUMMYFUNCTION("""COMPUTED_VALUE"""),"20180104WANES")</f>
        <v>20180104WANES</v>
      </c>
      <c r="B770" s="5" t="str">
        <f ca="1">IFERROR(__xludf.DUMMYFUNCTION("""COMPUTED_VALUE"""),"No Data")</f>
        <v>No Data</v>
      </c>
      <c r="C770" s="5"/>
      <c r="D770" s="5"/>
    </row>
    <row r="771" spans="1:4">
      <c r="A771" s="5" t="str">
        <f ca="1">IFERROR(__xludf.DUMMYFUNCTION("""COMPUTED_VALUE"""),"20171231WAPIM")</f>
        <v>20171231WAPIM</v>
      </c>
      <c r="B771" s="5" t="str">
        <f ca="1">IFERROR(__xludf.DUMMYFUNCTION("""COMPUTED_VALUE"""),"No Data")</f>
        <v>No Data</v>
      </c>
      <c r="C771" s="5"/>
      <c r="D771" s="5"/>
    </row>
    <row r="772" spans="1:4">
      <c r="A772" s="5" t="str">
        <f ca="1">IFERROR(__xludf.DUMMYFUNCTION("""COMPUTED_VALUE"""),"20171231LAEDA")</f>
        <v>20171231LAEDA</v>
      </c>
      <c r="B772" s="5" t="str">
        <f ca="1">IFERROR(__xludf.DUMMYFUNCTION("""COMPUTED_VALUE"""),"Multiple Unknown")</f>
        <v>Multiple Unknown</v>
      </c>
      <c r="C772" s="5" t="str">
        <f ca="1">IFERROR(__xludf.DUMMYFUNCTION("""COMPUTED_VALUE"""),"Unknown")</f>
        <v>Unknown</v>
      </c>
      <c r="D772" s="5"/>
    </row>
    <row r="773" spans="1:4">
      <c r="A773" s="5" t="str">
        <f ca="1">IFERROR(__xludf.DUMMYFUNCTION("""COMPUTED_VALUE"""),"20171227CALIL")</f>
        <v>20171227CALIL</v>
      </c>
      <c r="B773" s="5" t="str">
        <f ca="1">IFERROR(__xludf.DUMMYFUNCTION("""COMPUTED_VALUE"""),"Handgun")</f>
        <v>Handgun</v>
      </c>
      <c r="C773" s="5" t="str">
        <f ca="1">IFERROR(__xludf.DUMMYFUNCTION("""COMPUTED_VALUE"""),"Unknown")</f>
        <v>Unknown</v>
      </c>
      <c r="D773" s="5"/>
    </row>
    <row r="774" spans="1:4">
      <c r="A774" s="5" t="str">
        <f ca="1">IFERROR(__xludf.DUMMYFUNCTION("""COMPUTED_VALUE"""),"20171219MIBEB")</f>
        <v>20171219MIBEB</v>
      </c>
      <c r="B774" s="5" t="str">
        <f ca="1">IFERROR(__xludf.DUMMYFUNCTION("""COMPUTED_VALUE"""),"Handgun")</f>
        <v>Handgun</v>
      </c>
      <c r="C774" s="5" t="str">
        <f ca="1">IFERROR(__xludf.DUMMYFUNCTION("""COMPUTED_VALUE"""),"Unknown")</f>
        <v>Unknown</v>
      </c>
      <c r="D774" s="5"/>
    </row>
    <row r="775" spans="1:4">
      <c r="A775" s="5" t="str">
        <f ca="1">IFERROR(__xludf.DUMMYFUNCTION("""COMPUTED_VALUE"""),"20171214TXELD")</f>
        <v>20171214TXELD</v>
      </c>
      <c r="B775" s="5" t="str">
        <f ca="1">IFERROR(__xludf.DUMMYFUNCTION("""COMPUTED_VALUE"""),"Handgun")</f>
        <v>Handgun</v>
      </c>
      <c r="C775" s="5" t="str">
        <f ca="1">IFERROR(__xludf.DUMMYFUNCTION("""COMPUTED_VALUE"""),"Unknown")</f>
        <v>Unknown</v>
      </c>
      <c r="D775" s="5"/>
    </row>
    <row r="776" spans="1:4">
      <c r="A776" s="5" t="str">
        <f ca="1">IFERROR(__xludf.DUMMYFUNCTION("""COMPUTED_VALUE"""),"20171212TXSAP")</f>
        <v>20171212TXSAP</v>
      </c>
      <c r="B776" s="5" t="str">
        <f ca="1">IFERROR(__xludf.DUMMYFUNCTION("""COMPUTED_VALUE"""),"No Data")</f>
        <v>No Data</v>
      </c>
      <c r="C776" s="5"/>
      <c r="D776" s="5"/>
    </row>
    <row r="777" spans="1:4">
      <c r="A777" s="5" t="str">
        <f ca="1">IFERROR(__xludf.DUMMYFUNCTION("""COMPUTED_VALUE"""),"20171211NCHIH")</f>
        <v>20171211NCHIH</v>
      </c>
      <c r="B777" s="5" t="str">
        <f ca="1">IFERROR(__xludf.DUMMYFUNCTION("""COMPUTED_VALUE"""),"Handgun")</f>
        <v>Handgun</v>
      </c>
      <c r="C777" s="5" t="str">
        <f ca="1">IFERROR(__xludf.DUMMYFUNCTION("""COMPUTED_VALUE"""),"Unknown")</f>
        <v>Unknown</v>
      </c>
      <c r="D777" s="5"/>
    </row>
    <row r="778" spans="1:4">
      <c r="A778" s="5" t="str">
        <f ca="1">IFERROR(__xludf.DUMMYFUNCTION("""COMPUTED_VALUE"""),"20171209ILCHC")</f>
        <v>20171209ILCHC</v>
      </c>
      <c r="B778" s="5" t="str">
        <f ca="1">IFERROR(__xludf.DUMMYFUNCTION("""COMPUTED_VALUE"""),"Handgun")</f>
        <v>Handgun</v>
      </c>
      <c r="C778" s="5" t="str">
        <f ca="1">IFERROR(__xludf.DUMMYFUNCTION("""COMPUTED_VALUE"""),"Unknown")</f>
        <v>Unknown</v>
      </c>
      <c r="D778" s="5"/>
    </row>
    <row r="779" spans="1:4">
      <c r="A779" s="5" t="str">
        <f ca="1">IFERROR(__xludf.DUMMYFUNCTION("""COMPUTED_VALUE"""),"20171207NMAZA")</f>
        <v>20171207NMAZA</v>
      </c>
      <c r="B779" s="5" t="str">
        <f ca="1">IFERROR(__xludf.DUMMYFUNCTION("""COMPUTED_VALUE"""),"Handgun")</f>
        <v>Handgun</v>
      </c>
      <c r="C779" s="5" t="str">
        <f ca="1">IFERROR(__xludf.DUMMYFUNCTION("""COMPUTED_VALUE"""),"9mm")</f>
        <v>9mm</v>
      </c>
      <c r="D779" s="5"/>
    </row>
    <row r="780" spans="1:4">
      <c r="A780" s="5" t="str">
        <f ca="1">IFERROR(__xludf.DUMMYFUNCTION("""COMPUTED_VALUE"""),"20171130VASAV")</f>
        <v>20171130VASAV</v>
      </c>
      <c r="B780" s="5" t="str">
        <f ca="1">IFERROR(__xludf.DUMMYFUNCTION("""COMPUTED_VALUE"""),"No Data")</f>
        <v>No Data</v>
      </c>
      <c r="C780" s="5"/>
      <c r="D780" s="5"/>
    </row>
    <row r="781" spans="1:4">
      <c r="A781" s="5" t="str">
        <f ca="1">IFERROR(__xludf.DUMMYFUNCTION("""COMPUTED_VALUE"""),"20171129OHBAL")</f>
        <v>20171129OHBAL</v>
      </c>
      <c r="B781" s="5" t="str">
        <f ca="1">IFERROR(__xludf.DUMMYFUNCTION("""COMPUTED_VALUE"""),"Handgun")</f>
        <v>Handgun</v>
      </c>
      <c r="C781" s="5" t="str">
        <f ca="1">IFERROR(__xludf.DUMMYFUNCTION("""COMPUTED_VALUE"""),"Unknown")</f>
        <v>Unknown</v>
      </c>
      <c r="D781" s="5"/>
    </row>
    <row r="782" spans="1:4">
      <c r="A782" s="5" t="str">
        <f ca="1">IFERROR(__xludf.DUMMYFUNCTION("""COMPUTED_VALUE"""),"20171128CABOS")</f>
        <v>20171128CABOS</v>
      </c>
      <c r="B782" s="5" t="str">
        <f ca="1">IFERROR(__xludf.DUMMYFUNCTION("""COMPUTED_VALUE"""),"Shotgun")</f>
        <v>Shotgun</v>
      </c>
      <c r="C782" s="5" t="str">
        <f ca="1">IFERROR(__xludf.DUMMYFUNCTION("""COMPUTED_VALUE"""),"Unknown")</f>
        <v>Unknown</v>
      </c>
      <c r="D782" s="5"/>
    </row>
    <row r="783" spans="1:4">
      <c r="A783" s="5" t="str">
        <f ca="1">IFERROR(__xludf.DUMMYFUNCTION("""COMPUTED_VALUE"""),"20171123COMAD")</f>
        <v>20171123COMAD</v>
      </c>
      <c r="B783" s="5" t="str">
        <f ca="1">IFERROR(__xludf.DUMMYFUNCTION("""COMPUTED_VALUE"""),"No Data")</f>
        <v>No Data</v>
      </c>
      <c r="C783" s="5"/>
      <c r="D783" s="5"/>
    </row>
    <row r="784" spans="1:4">
      <c r="A784" s="5" t="str">
        <f ca="1">IFERROR(__xludf.DUMMYFUNCTION("""COMPUTED_VALUE"""),"20171117TNNOJ")</f>
        <v>20171117TNNOJ</v>
      </c>
      <c r="B784" s="5" t="str">
        <f ca="1">IFERROR(__xludf.DUMMYFUNCTION("""COMPUTED_VALUE"""),"No Data")</f>
        <v>No Data</v>
      </c>
      <c r="C784" s="5"/>
      <c r="D784" s="5"/>
    </row>
    <row r="785" spans="1:4">
      <c r="A785" s="5" t="str">
        <f ca="1">IFERROR(__xludf.DUMMYFUNCTION("""COMPUTED_VALUE"""),"20171114FLLAM")</f>
        <v>20171114FLLAM</v>
      </c>
      <c r="B785" s="5" t="str">
        <f ca="1">IFERROR(__xludf.DUMMYFUNCTION("""COMPUTED_VALUE"""),"Handgun")</f>
        <v>Handgun</v>
      </c>
      <c r="C785" s="5" t="str">
        <f ca="1">IFERROR(__xludf.DUMMYFUNCTION("""COMPUTED_VALUE"""),"Unknown")</f>
        <v>Unknown</v>
      </c>
      <c r="D785" s="5"/>
    </row>
    <row r="786" spans="1:4">
      <c r="A786" s="5" t="str">
        <f ca="1">IFERROR(__xludf.DUMMYFUNCTION("""COMPUTED_VALUE"""),"20171114CARAR")</f>
        <v>20171114CARAR</v>
      </c>
      <c r="B786" s="5" t="str">
        <f ca="1">IFERROR(__xludf.DUMMYFUNCTION("""COMPUTED_VALUE"""),"Handgun")</f>
        <v>Handgun</v>
      </c>
      <c r="C786" s="5" t="str">
        <f ca="1">IFERROR(__xludf.DUMMYFUNCTION("""COMPUTED_VALUE"""),"Unknown")</f>
        <v>Unknown</v>
      </c>
      <c r="D786" s="5" t="str">
        <f ca="1">IFERROR(__xludf.DUMMYFUNCTION("""COMPUTED_VALUE"""),"2 Semi-automatic Rifles and 2 handguns")</f>
        <v>2 Semi-automatic Rifles and 2 handguns</v>
      </c>
    </row>
    <row r="787" spans="1:4">
      <c r="A787" s="5" t="str">
        <f ca="1">IFERROR(__xludf.DUMMYFUNCTION("""COMPUTED_VALUE"""),"20171114CARAR")</f>
        <v>20171114CARAR</v>
      </c>
      <c r="B787" s="5" t="str">
        <f ca="1">IFERROR(__xludf.DUMMYFUNCTION("""COMPUTED_VALUE"""),"Handgun")</f>
        <v>Handgun</v>
      </c>
      <c r="C787" s="5" t="str">
        <f ca="1">IFERROR(__xludf.DUMMYFUNCTION("""COMPUTED_VALUE"""),"Unknown")</f>
        <v>Unknown</v>
      </c>
      <c r="D787" s="5" t="str">
        <f ca="1">IFERROR(__xludf.DUMMYFUNCTION("""COMPUTED_VALUE"""),"2 Semi-automatic Rifles and 2 handguns")</f>
        <v>2 Semi-automatic Rifles and 2 handguns</v>
      </c>
    </row>
    <row r="788" spans="1:4">
      <c r="A788" s="5" t="str">
        <f ca="1">IFERROR(__xludf.DUMMYFUNCTION("""COMPUTED_VALUE"""),"20171114CARAR")</f>
        <v>20171114CARAR</v>
      </c>
      <c r="B788" s="5" t="str">
        <f ca="1">IFERROR(__xludf.DUMMYFUNCTION("""COMPUTED_VALUE"""),"Rifle")</f>
        <v>Rifle</v>
      </c>
      <c r="C788" s="5" t="str">
        <f ca="1">IFERROR(__xludf.DUMMYFUNCTION("""COMPUTED_VALUE"""),"Semiautomatic")</f>
        <v>Semiautomatic</v>
      </c>
      <c r="D788" s="5" t="str">
        <f ca="1">IFERROR(__xludf.DUMMYFUNCTION("""COMPUTED_VALUE"""),"2 Semi-automatic Rifles and 2 handguns")</f>
        <v>2 Semi-automatic Rifles and 2 handguns</v>
      </c>
    </row>
    <row r="789" spans="1:4">
      <c r="A789" s="5" t="str">
        <f ca="1">IFERROR(__xludf.DUMMYFUNCTION("""COMPUTED_VALUE"""),"20171114CARAR")</f>
        <v>20171114CARAR</v>
      </c>
      <c r="B789" s="5" t="str">
        <f ca="1">IFERROR(__xludf.DUMMYFUNCTION("""COMPUTED_VALUE"""),"Rifle")</f>
        <v>Rifle</v>
      </c>
      <c r="C789" s="5" t="str">
        <f ca="1">IFERROR(__xludf.DUMMYFUNCTION("""COMPUTED_VALUE"""),"Semiautomatic")</f>
        <v>Semiautomatic</v>
      </c>
      <c r="D789" s="5" t="str">
        <f ca="1">IFERROR(__xludf.DUMMYFUNCTION("""COMPUTED_VALUE"""),"2 Semi-automatic Rifles and 2 handguns")</f>
        <v>2 Semi-automatic Rifles and 2 handguns</v>
      </c>
    </row>
    <row r="790" spans="1:4">
      <c r="A790" s="5" t="str">
        <f ca="1">IFERROR(__xludf.DUMMYFUNCTION("""COMPUTED_VALUE"""),"20171110GALAM")</f>
        <v>20171110GALAM</v>
      </c>
      <c r="B790" s="5" t="str">
        <f ca="1">IFERROR(__xludf.DUMMYFUNCTION("""COMPUTED_VALUE"""),"Handgun")</f>
        <v>Handgun</v>
      </c>
      <c r="C790" s="5" t="str">
        <f ca="1">IFERROR(__xludf.DUMMYFUNCTION("""COMPUTED_VALUE"""),"9mm")</f>
        <v>9mm</v>
      </c>
      <c r="D790" s="5"/>
    </row>
    <row r="791" spans="1:4">
      <c r="A791" s="5" t="str">
        <f ca="1">IFERROR(__xludf.DUMMYFUNCTION("""COMPUTED_VALUE"""),"20171109GABEC")</f>
        <v>20171109GABEC</v>
      </c>
      <c r="B791" s="5" t="str">
        <f ca="1">IFERROR(__xludf.DUMMYFUNCTION("""COMPUTED_VALUE"""),"Handgun")</f>
        <v>Handgun</v>
      </c>
      <c r="C791" s="5" t="str">
        <f ca="1">IFERROR(__xludf.DUMMYFUNCTION("""COMPUTED_VALUE"""),"Unknown")</f>
        <v>Unknown</v>
      </c>
      <c r="D791" s="5"/>
    </row>
    <row r="792" spans="1:4">
      <c r="A792" s="5" t="str">
        <f ca="1">IFERROR(__xludf.DUMMYFUNCTION("""COMPUTED_VALUE"""),"20171103MIPAL")</f>
        <v>20171103MIPAL</v>
      </c>
      <c r="B792" s="5" t="str">
        <f ca="1">IFERROR(__xludf.DUMMYFUNCTION("""COMPUTED_VALUE"""),"Handgun")</f>
        <v>Handgun</v>
      </c>
      <c r="C792" s="5" t="str">
        <f ca="1">IFERROR(__xludf.DUMMYFUNCTION("""COMPUTED_VALUE"""),"Unknown")</f>
        <v>Unknown</v>
      </c>
      <c r="D792" s="5"/>
    </row>
    <row r="793" spans="1:4">
      <c r="A793" s="5" t="str">
        <f ca="1">IFERROR(__xludf.DUMMYFUNCTION("""COMPUTED_VALUE"""),"20171027NYPRU")</f>
        <v>20171027NYPRU</v>
      </c>
      <c r="B793" s="5" t="str">
        <f ca="1">IFERROR(__xludf.DUMMYFUNCTION("""COMPUTED_VALUE"""),"No Data")</f>
        <v>No Data</v>
      </c>
      <c r="C793" s="5"/>
      <c r="D793" s="5"/>
    </row>
    <row r="794" spans="1:4">
      <c r="A794" s="5" t="str">
        <f ca="1">IFERROR(__xludf.DUMMYFUNCTION("""COMPUTED_VALUE"""),"20171020OHSTT")</f>
        <v>20171020OHSTT</v>
      </c>
      <c r="B794" s="5" t="str">
        <f ca="1">IFERROR(__xludf.DUMMYFUNCTION("""COMPUTED_VALUE"""),"Handgun")</f>
        <v>Handgun</v>
      </c>
      <c r="C794" s="5" t="str">
        <f ca="1">IFERROR(__xludf.DUMMYFUNCTION("""COMPUTED_VALUE"""),"Unknown")</f>
        <v>Unknown</v>
      </c>
      <c r="D794" s="5"/>
    </row>
    <row r="795" spans="1:4">
      <c r="A795" s="5" t="str">
        <f ca="1">IFERROR(__xludf.DUMMYFUNCTION("""COMPUTED_VALUE"""),"20171014NCKEK")</f>
        <v>20171014NCKEK</v>
      </c>
      <c r="B795" s="5" t="str">
        <f ca="1">IFERROR(__xludf.DUMMYFUNCTION("""COMPUTED_VALUE"""),"Handgun")</f>
        <v>Handgun</v>
      </c>
      <c r="C795" s="5" t="str">
        <f ca="1">IFERROR(__xludf.DUMMYFUNCTION("""COMPUTED_VALUE"""),"9mm")</f>
        <v>9mm</v>
      </c>
      <c r="D795" s="5"/>
    </row>
    <row r="796" spans="1:4">
      <c r="A796" s="5" t="str">
        <f ca="1">IFERROR(__xludf.DUMMYFUNCTION("""COMPUTED_VALUE"""),"20171012NCCHC")</f>
        <v>20171012NCCHC</v>
      </c>
      <c r="B796" s="5" t="str">
        <f ca="1">IFERROR(__xludf.DUMMYFUNCTION("""COMPUTED_VALUE"""),"Handgun")</f>
        <v>Handgun</v>
      </c>
      <c r="C796" s="5" t="str">
        <f ca="1">IFERROR(__xludf.DUMMYFUNCTION("""COMPUTED_VALUE"""),"Unknown")</f>
        <v>Unknown</v>
      </c>
      <c r="D796" s="5"/>
    </row>
    <row r="797" spans="1:4">
      <c r="A797" s="5" t="str">
        <f ca="1">IFERROR(__xludf.DUMMYFUNCTION("""COMPUTED_VALUE"""),"20170930PAPUC")</f>
        <v>20170930PAPUC</v>
      </c>
      <c r="B797" s="5" t="str">
        <f ca="1">IFERROR(__xludf.DUMMYFUNCTION("""COMPUTED_VALUE"""),"Handgun")</f>
        <v>Handgun</v>
      </c>
      <c r="C797" s="5" t="str">
        <f ca="1">IFERROR(__xludf.DUMMYFUNCTION("""COMPUTED_VALUE"""),".38 caliber")</f>
        <v>.38 caliber</v>
      </c>
      <c r="D797" s="5"/>
    </row>
    <row r="798" spans="1:4">
      <c r="A798" s="5" t="str">
        <f ca="1">IFERROR(__xludf.DUMMYFUNCTION("""COMPUTED_VALUE"""),"20170929MOLEL")</f>
        <v>20170929MOLEL</v>
      </c>
      <c r="B798" s="5" t="str">
        <f ca="1">IFERROR(__xludf.DUMMYFUNCTION("""COMPUTED_VALUE"""),"No Data")</f>
        <v>No Data</v>
      </c>
      <c r="C798" s="5"/>
      <c r="D798" s="5"/>
    </row>
    <row r="799" spans="1:4">
      <c r="A799" s="5" t="str">
        <f ca="1">IFERROR(__xludf.DUMMYFUNCTION("""COMPUTED_VALUE"""),"20170929CASUL")</f>
        <v>20170929CASUL</v>
      </c>
      <c r="B799" s="5" t="str">
        <f ca="1">IFERROR(__xludf.DUMMYFUNCTION("""COMPUTED_VALUE"""),"Other")</f>
        <v>Other</v>
      </c>
      <c r="C799" s="5" t="str">
        <f ca="1">IFERROR(__xludf.DUMMYFUNCTION("""COMPUTED_VALUE"""),"BB")</f>
        <v>BB</v>
      </c>
      <c r="D799" s="5"/>
    </row>
    <row r="800" spans="1:4">
      <c r="A800" s="5" t="str">
        <f ca="1">IFERROR(__xludf.DUMMYFUNCTION("""COMPUTED_VALUE"""),"20170928KYSOL")</f>
        <v>20170928KYSOL</v>
      </c>
      <c r="B800" s="5" t="str">
        <f ca="1">IFERROR(__xludf.DUMMYFUNCTION("""COMPUTED_VALUE"""),"No Data")</f>
        <v>No Data</v>
      </c>
      <c r="C800" s="5"/>
      <c r="D800" s="5"/>
    </row>
    <row r="801" spans="1:4">
      <c r="A801" s="5" t="str">
        <f ca="1">IFERROR(__xludf.DUMMYFUNCTION("""COMPUTED_VALUE"""),"20170920ILMAM")</f>
        <v>20170920ILMAM</v>
      </c>
      <c r="B801" s="5" t="str">
        <f ca="1">IFERROR(__xludf.DUMMYFUNCTION("""COMPUTED_VALUE"""),"Handgun")</f>
        <v>Handgun</v>
      </c>
      <c r="C801" s="5" t="str">
        <f ca="1">IFERROR(__xludf.DUMMYFUNCTION("""COMPUTED_VALUE"""),".40 caliber")</f>
        <v>.40 caliber</v>
      </c>
      <c r="D801" s="5"/>
    </row>
    <row r="802" spans="1:4">
      <c r="A802" s="5" t="str">
        <f ca="1">IFERROR(__xludf.DUMMYFUNCTION("""COMPUTED_VALUE"""),"20170913WAFRR")</f>
        <v>20170913WAFRR</v>
      </c>
      <c r="B802" s="5" t="str">
        <f ca="1">IFERROR(__xludf.DUMMYFUNCTION("""COMPUTED_VALUE"""),"Handgun")</f>
        <v>Handgun</v>
      </c>
      <c r="C802" s="5" t="str">
        <f ca="1">IFERROR(__xludf.DUMMYFUNCTION("""COMPUTED_VALUE"""),".32 caliber")</f>
        <v>.32 caliber</v>
      </c>
      <c r="D802" s="5" t="str">
        <f ca="1">IFERROR(__xludf.DUMMYFUNCTION("""COMPUTED_VALUE"""),"Handgun and AR15 rifle")</f>
        <v>Handgun and AR15 rifle</v>
      </c>
    </row>
    <row r="803" spans="1:4">
      <c r="A803" s="5" t="str">
        <f ca="1">IFERROR(__xludf.DUMMYFUNCTION("""COMPUTED_VALUE"""),"20170913WAFRR")</f>
        <v>20170913WAFRR</v>
      </c>
      <c r="B803" s="5" t="str">
        <f ca="1">IFERROR(__xludf.DUMMYFUNCTION("""COMPUTED_VALUE"""),"Rifle")</f>
        <v>Rifle</v>
      </c>
      <c r="C803" s="5" t="str">
        <f ca="1">IFERROR(__xludf.DUMMYFUNCTION("""COMPUTED_VALUE"""),"AR-15")</f>
        <v>AR-15</v>
      </c>
      <c r="D803" s="5" t="str">
        <f ca="1">IFERROR(__xludf.DUMMYFUNCTION("""COMPUTED_VALUE"""),"Handgun and AR15 rifle")</f>
        <v>Handgun and AR15 rifle</v>
      </c>
    </row>
    <row r="804" spans="1:4">
      <c r="A804" s="5" t="str">
        <f ca="1">IFERROR(__xludf.DUMMYFUNCTION("""COMPUTED_VALUE"""),"20170908OHCOC")</f>
        <v>20170908OHCOC</v>
      </c>
      <c r="B804" s="5" t="str">
        <f ca="1">IFERROR(__xludf.DUMMYFUNCTION("""COMPUTED_VALUE"""),"Handgun")</f>
        <v>Handgun</v>
      </c>
      <c r="C804" s="5" t="str">
        <f ca="1">IFERROR(__xludf.DUMMYFUNCTION("""COMPUTED_VALUE"""),".38 caliber")</f>
        <v>.38 caliber</v>
      </c>
      <c r="D804" s="5"/>
    </row>
    <row r="805" spans="1:4">
      <c r="A805" s="5" t="str">
        <f ca="1">IFERROR(__xludf.DUMMYFUNCTION("""COMPUTED_VALUE"""),"20170908ARNON")</f>
        <v>20170908ARNON</v>
      </c>
      <c r="B805" s="5" t="str">
        <f ca="1">IFERROR(__xludf.DUMMYFUNCTION("""COMPUTED_VALUE"""),"No Data")</f>
        <v>No Data</v>
      </c>
      <c r="C805" s="5"/>
      <c r="D805" s="5"/>
    </row>
    <row r="806" spans="1:4">
      <c r="A806" s="5" t="str">
        <f ca="1">IFERROR(__xludf.DUMMYFUNCTION("""COMPUTED_VALUE"""),"20170831CAARS")</f>
        <v>20170831CAARS</v>
      </c>
      <c r="B806" s="5" t="str">
        <f ca="1">IFERROR(__xludf.DUMMYFUNCTION("""COMPUTED_VALUE"""),"Handgun")</f>
        <v>Handgun</v>
      </c>
      <c r="C806" s="5" t="str">
        <f ca="1">IFERROR(__xludf.DUMMYFUNCTION("""COMPUTED_VALUE"""),"Unknown")</f>
        <v>Unknown</v>
      </c>
      <c r="D806" s="5"/>
    </row>
    <row r="807" spans="1:4">
      <c r="A807" s="5" t="str">
        <f ca="1">IFERROR(__xludf.DUMMYFUNCTION("""COMPUTED_VALUE"""),"20170817GALIL")</f>
        <v>20170817GALIL</v>
      </c>
      <c r="B807" s="5" t="str">
        <f ca="1">IFERROR(__xludf.DUMMYFUNCTION("""COMPUTED_VALUE"""),"No Data")</f>
        <v>No Data</v>
      </c>
      <c r="C807" s="5"/>
      <c r="D807" s="5"/>
    </row>
    <row r="808" spans="1:4">
      <c r="A808" s="5" t="str">
        <f ca="1">IFERROR(__xludf.DUMMYFUNCTION("""COMPUTED_VALUE"""),"20170813NYHUH")</f>
        <v>20170813NYHUH</v>
      </c>
      <c r="B808" s="5"/>
      <c r="C808" s="5"/>
      <c r="D808" s="5"/>
    </row>
    <row r="809" spans="1:4">
      <c r="A809" s="5" t="str">
        <f ca="1">IFERROR(__xludf.DUMMYFUNCTION("""COMPUTED_VALUE"""),"20170801GABAV")</f>
        <v>20170801GABAV</v>
      </c>
      <c r="B809" s="5" t="str">
        <f ca="1">IFERROR(__xludf.DUMMYFUNCTION("""COMPUTED_VALUE"""),"Handgun")</f>
        <v>Handgun</v>
      </c>
      <c r="C809" s="5" t="str">
        <f ca="1">IFERROR(__xludf.DUMMYFUNCTION("""COMPUTED_VALUE"""),"Unknown")</f>
        <v>Unknown</v>
      </c>
      <c r="D809" s="5"/>
    </row>
    <row r="810" spans="1:4">
      <c r="A810" s="5" t="str">
        <f ca="1">IFERROR(__xludf.DUMMYFUNCTION("""COMPUTED_VALUE"""),"20170721UTSPS")</f>
        <v>20170721UTSPS</v>
      </c>
      <c r="B810" s="5" t="str">
        <f ca="1">IFERROR(__xludf.DUMMYFUNCTION("""COMPUTED_VALUE"""),"Handgun")</f>
        <v>Handgun</v>
      </c>
      <c r="C810" s="5" t="str">
        <f ca="1">IFERROR(__xludf.DUMMYFUNCTION("""COMPUTED_VALUE"""),".38 caliber")</f>
        <v>.38 caliber</v>
      </c>
      <c r="D810" s="5"/>
    </row>
    <row r="811" spans="1:4">
      <c r="A811" s="5" t="str">
        <f ca="1">IFERROR(__xludf.DUMMYFUNCTION("""COMPUTED_VALUE"""),"20170719WIHIM")</f>
        <v>20170719WIHIM</v>
      </c>
      <c r="B811" s="5" t="str">
        <f ca="1">IFERROR(__xludf.DUMMYFUNCTION("""COMPUTED_VALUE"""),"Handgun")</f>
        <v>Handgun</v>
      </c>
      <c r="C811" s="5" t="str">
        <f ca="1">IFERROR(__xludf.DUMMYFUNCTION("""COMPUTED_VALUE"""),"Unknown")</f>
        <v>Unknown</v>
      </c>
      <c r="D811" s="5"/>
    </row>
    <row r="812" spans="1:4">
      <c r="A812" s="5" t="str">
        <f ca="1">IFERROR(__xludf.DUMMYFUNCTION("""COMPUTED_VALUE"""),"20170622SCWIF")</f>
        <v>20170622SCWIF</v>
      </c>
      <c r="B812" s="5" t="str">
        <f ca="1">IFERROR(__xludf.DUMMYFUNCTION("""COMPUTED_VALUE"""),"Handgun")</f>
        <v>Handgun</v>
      </c>
      <c r="C812" s="5" t="str">
        <f ca="1">IFERROR(__xludf.DUMMYFUNCTION("""COMPUTED_VALUE"""),"Unknown")</f>
        <v>Unknown</v>
      </c>
      <c r="D812" s="5"/>
    </row>
    <row r="813" spans="1:4">
      <c r="A813" s="5" t="str">
        <f ca="1">IFERROR(__xludf.DUMMYFUNCTION("""COMPUTED_VALUE"""),"20170616ILWAC")</f>
        <v>20170616ILWAC</v>
      </c>
      <c r="B813" s="5" t="str">
        <f ca="1">IFERROR(__xludf.DUMMYFUNCTION("""COMPUTED_VALUE"""),"Handgun")</f>
        <v>Handgun</v>
      </c>
      <c r="C813" s="5" t="str">
        <f ca="1">IFERROR(__xludf.DUMMYFUNCTION("""COMPUTED_VALUE"""),"Unknown")</f>
        <v>Unknown</v>
      </c>
      <c r="D813" s="5"/>
    </row>
    <row r="814" spans="1:4">
      <c r="A814" s="5" t="str">
        <f ca="1">IFERROR(__xludf.DUMMYFUNCTION("""COMPUTED_VALUE"""),"20170526OKMCT")</f>
        <v>20170526OKMCT</v>
      </c>
      <c r="B814" s="5" t="str">
        <f ca="1">IFERROR(__xludf.DUMMYFUNCTION("""COMPUTED_VALUE"""),"Handgun")</f>
        <v>Handgun</v>
      </c>
      <c r="C814" s="5" t="str">
        <f ca="1">IFERROR(__xludf.DUMMYFUNCTION("""COMPUTED_VALUE"""),"Unknown")</f>
        <v>Unknown</v>
      </c>
      <c r="D814" s="5"/>
    </row>
    <row r="815" spans="1:4">
      <c r="A815" s="5" t="str">
        <f ca="1">IFERROR(__xludf.DUMMYFUNCTION("""COMPUTED_VALUE"""),"20170524NEMCO")</f>
        <v>20170524NEMCO</v>
      </c>
      <c r="B815" s="5" t="str">
        <f ca="1">IFERROR(__xludf.DUMMYFUNCTION("""COMPUTED_VALUE"""),"No Data")</f>
        <v>No Data</v>
      </c>
      <c r="C815" s="5"/>
      <c r="D815" s="5"/>
    </row>
    <row r="816" spans="1:4">
      <c r="A816" s="5" t="str">
        <f ca="1">IFERROR(__xludf.DUMMYFUNCTION("""COMPUTED_VALUE"""),"20170524ALGRG")</f>
        <v>20170524ALGRG</v>
      </c>
      <c r="B816" s="5" t="str">
        <f ca="1">IFERROR(__xludf.DUMMYFUNCTION("""COMPUTED_VALUE"""),"Handgun")</f>
        <v>Handgun</v>
      </c>
      <c r="C816" s="5" t="str">
        <f ca="1">IFERROR(__xludf.DUMMYFUNCTION("""COMPUTED_VALUE"""),".22 caliber")</f>
        <v>.22 caliber</v>
      </c>
      <c r="D816" s="5"/>
    </row>
    <row r="817" spans="1:4">
      <c r="A817" s="5" t="str">
        <f ca="1">IFERROR(__xludf.DUMMYFUNCTION("""COMPUTED_VALUE"""),"20170523TXKEK")</f>
        <v>20170523TXKEK</v>
      </c>
      <c r="B817" s="5" t="str">
        <f ca="1">IFERROR(__xludf.DUMMYFUNCTION("""COMPUTED_VALUE"""),"Handgun")</f>
        <v>Handgun</v>
      </c>
      <c r="C817" s="5" t="str">
        <f ca="1">IFERROR(__xludf.DUMMYFUNCTION("""COMPUTED_VALUE"""),".38 caliber")</f>
        <v>.38 caliber</v>
      </c>
      <c r="D817" s="5"/>
    </row>
    <row r="818" spans="1:4">
      <c r="A818" s="5" t="str">
        <f ca="1">IFERROR(__xludf.DUMMYFUNCTION("""COMPUTED_VALUE"""),"20170515LAMOL")</f>
        <v>20170515LAMOL</v>
      </c>
      <c r="B818" s="5" t="str">
        <f ca="1">IFERROR(__xludf.DUMMYFUNCTION("""COMPUTED_VALUE"""),"Handgun")</f>
        <v>Handgun</v>
      </c>
      <c r="C818" s="5" t="str">
        <f ca="1">IFERROR(__xludf.DUMMYFUNCTION("""COMPUTED_VALUE"""),".38 caliber")</f>
        <v>.38 caliber</v>
      </c>
      <c r="D818" s="5"/>
    </row>
    <row r="819" spans="1:4">
      <c r="A819" s="5" t="str">
        <f ca="1">IFERROR(__xludf.DUMMYFUNCTION("""COMPUTED_VALUE"""),"20170415ORMEP")</f>
        <v>20170415ORMEP</v>
      </c>
      <c r="B819" s="5" t="str">
        <f ca="1">IFERROR(__xludf.DUMMYFUNCTION("""COMPUTED_VALUE"""),"Handgun")</f>
        <v>Handgun</v>
      </c>
      <c r="C819" s="5"/>
      <c r="D819" s="5"/>
    </row>
    <row r="820" spans="1:4">
      <c r="A820" s="5" t="str">
        <f ca="1">IFERROR(__xludf.DUMMYFUNCTION("""COMPUTED_VALUE"""),"20170415OKBOT")</f>
        <v>20170415OKBOT</v>
      </c>
      <c r="B820" s="5" t="str">
        <f ca="1">IFERROR(__xludf.DUMMYFUNCTION("""COMPUTED_VALUE"""),"No Data")</f>
        <v>No Data</v>
      </c>
      <c r="C820" s="5"/>
      <c r="D820" s="5"/>
    </row>
    <row r="821" spans="1:4">
      <c r="A821" s="5" t="str">
        <f ca="1">IFERROR(__xludf.DUMMYFUNCTION("""COMPUTED_VALUE"""),"20170410CANOS")</f>
        <v>20170410CANOS</v>
      </c>
      <c r="B821" s="5" t="str">
        <f ca="1">IFERROR(__xludf.DUMMYFUNCTION("""COMPUTED_VALUE"""),"Handgun")</f>
        <v>Handgun</v>
      </c>
      <c r="C821" s="5" t="str">
        <f ca="1">IFERROR(__xludf.DUMMYFUNCTION("""COMPUTED_VALUE"""),".357 caliber")</f>
        <v>.357 caliber</v>
      </c>
      <c r="D821" s="5"/>
    </row>
    <row r="822" spans="1:4">
      <c r="A822" s="5" t="str">
        <f ca="1">IFERROR(__xludf.DUMMYFUNCTION("""COMPUTED_VALUE"""),"20170328PALIP")</f>
        <v>20170328PALIP</v>
      </c>
      <c r="B822" s="5" t="str">
        <f ca="1">IFERROR(__xludf.DUMMYFUNCTION("""COMPUTED_VALUE"""),"Handgun")</f>
        <v>Handgun</v>
      </c>
      <c r="C822" s="5" t="str">
        <f ca="1">IFERROR(__xludf.DUMMYFUNCTION("""COMPUTED_VALUE"""),"Unknown")</f>
        <v>Unknown</v>
      </c>
      <c r="D822" s="5"/>
    </row>
    <row r="823" spans="1:4">
      <c r="A823" s="5" t="str">
        <f ca="1">IFERROR(__xludf.DUMMYFUNCTION("""COMPUTED_VALUE"""),"20170321CAKIK")</f>
        <v>20170321CAKIK</v>
      </c>
      <c r="B823" s="5" t="str">
        <f ca="1">IFERROR(__xludf.DUMMYFUNCTION("""COMPUTED_VALUE"""),"Handgun")</f>
        <v>Handgun</v>
      </c>
      <c r="C823" s="5" t="str">
        <f ca="1">IFERROR(__xludf.DUMMYFUNCTION("""COMPUTED_VALUE"""),"Unknown")</f>
        <v>Unknown</v>
      </c>
      <c r="D823" s="5"/>
    </row>
    <row r="824" spans="1:4">
      <c r="A824" s="5" t="str">
        <f ca="1">IFERROR(__xludf.DUMMYFUNCTION("""COMPUTED_VALUE"""),"20170316ALROM")</f>
        <v>20170316ALROM</v>
      </c>
      <c r="B824" s="5" t="str">
        <f ca="1">IFERROR(__xludf.DUMMYFUNCTION("""COMPUTED_VALUE"""),"Handgun")</f>
        <v>Handgun</v>
      </c>
      <c r="C824" s="5" t="str">
        <f ca="1">IFERROR(__xludf.DUMMYFUNCTION("""COMPUTED_VALUE"""),".40 caliber")</f>
        <v>.40 caliber</v>
      </c>
      <c r="D824" s="5"/>
    </row>
    <row r="825" spans="1:4">
      <c r="A825" s="5" t="str">
        <f ca="1">IFERROR(__xludf.DUMMYFUNCTION("""COMPUTED_VALUE"""),"20170218MNMAM")</f>
        <v>20170218MNMAM</v>
      </c>
      <c r="B825" s="5" t="str">
        <f ca="1">IFERROR(__xludf.DUMMYFUNCTION("""COMPUTED_VALUE"""),"Handgun")</f>
        <v>Handgun</v>
      </c>
      <c r="C825" s="5" t="str">
        <f ca="1">IFERROR(__xludf.DUMMYFUNCTION("""COMPUTED_VALUE"""),"Unknown")</f>
        <v>Unknown</v>
      </c>
      <c r="D825" s="5"/>
    </row>
    <row r="826" spans="1:4">
      <c r="A826" s="5" t="str">
        <f ca="1">IFERROR(__xludf.DUMMYFUNCTION("""COMPUTED_VALUE"""),"20170206LASCB")</f>
        <v>20170206LASCB</v>
      </c>
      <c r="B826" s="5" t="str">
        <f ca="1">IFERROR(__xludf.DUMMYFUNCTION("""COMPUTED_VALUE"""),"Handgun")</f>
        <v>Handgun</v>
      </c>
      <c r="C826" s="5" t="str">
        <f ca="1">IFERROR(__xludf.DUMMYFUNCTION("""COMPUTED_VALUE"""),"Unknown")</f>
        <v>Unknown</v>
      </c>
      <c r="D826" s="5"/>
    </row>
    <row r="827" spans="1:4">
      <c r="A827" s="5" t="str">
        <f ca="1">IFERROR(__xludf.DUMMYFUNCTION("""COMPUTED_VALUE"""),"20170127SCSOA")</f>
        <v>20170127SCSOA</v>
      </c>
      <c r="B827" s="5" t="str">
        <f ca="1">IFERROR(__xludf.DUMMYFUNCTION("""COMPUTED_VALUE"""),"Handgun")</f>
        <v>Handgun</v>
      </c>
      <c r="C827" s="5" t="str">
        <f ca="1">IFERROR(__xludf.DUMMYFUNCTION("""COMPUTED_VALUE"""),"9mm")</f>
        <v>9mm</v>
      </c>
      <c r="D827" s="5"/>
    </row>
    <row r="828" spans="1:4">
      <c r="A828" s="5" t="str">
        <f ca="1">IFERROR(__xludf.DUMMYFUNCTION("""COMPUTED_VALUE"""),"20170127ILSCN")</f>
        <v>20170127ILSCN</v>
      </c>
      <c r="B828" s="5" t="str">
        <f ca="1">IFERROR(__xludf.DUMMYFUNCTION("""COMPUTED_VALUE"""),"Handgun")</f>
        <v>Handgun</v>
      </c>
      <c r="C828" s="5"/>
      <c r="D828" s="5"/>
    </row>
    <row r="829" spans="1:4">
      <c r="A829" s="5" t="str">
        <f ca="1">IFERROR(__xludf.DUMMYFUNCTION("""COMPUTED_VALUE"""),"20170120OHWEW")</f>
        <v>20170120OHWEW</v>
      </c>
      <c r="B829" s="5" t="str">
        <f ca="1">IFERROR(__xludf.DUMMYFUNCTION("""COMPUTED_VALUE"""),"Shotgun")</f>
        <v>Shotgun</v>
      </c>
      <c r="C829" s="5" t="str">
        <f ca="1">IFERROR(__xludf.DUMMYFUNCTION("""COMPUTED_VALUE"""),"12 gauge")</f>
        <v>12 gauge</v>
      </c>
      <c r="D829" s="5"/>
    </row>
    <row r="830" spans="1:4">
      <c r="A830" s="5" t="str">
        <f ca="1">IFERROR(__xludf.DUMMYFUNCTION("""COMPUTED_VALUE"""),"20170117FLFRE")</f>
        <v>20170117FLFRE</v>
      </c>
      <c r="B830" s="5" t="str">
        <f ca="1">IFERROR(__xludf.DUMMYFUNCTION("""COMPUTED_VALUE"""),"No Data")</f>
        <v>No Data</v>
      </c>
      <c r="C830" s="5"/>
      <c r="D830" s="5"/>
    </row>
    <row r="831" spans="1:4">
      <c r="A831" s="5" t="str">
        <f ca="1">IFERROR(__xludf.DUMMYFUNCTION("""COMPUTED_VALUE"""),"20170110ALALA")</f>
        <v>20170110ALALA</v>
      </c>
      <c r="B831" s="5" t="str">
        <f ca="1">IFERROR(__xludf.DUMMYFUNCTION("""COMPUTED_VALUE"""),"Handgun")</f>
        <v>Handgun</v>
      </c>
      <c r="C831" s="5" t="str">
        <f ca="1">IFERROR(__xludf.DUMMYFUNCTION("""COMPUTED_VALUE"""),"Unknown")</f>
        <v>Unknown</v>
      </c>
      <c r="D831" s="5"/>
    </row>
    <row r="832" spans="1:4">
      <c r="A832" s="5" t="str">
        <f ca="1">IFERROR(__xludf.DUMMYFUNCTION("""COMPUTED_VALUE"""),"20170101DELAH")</f>
        <v>20170101DELAH</v>
      </c>
      <c r="B832" s="5" t="str">
        <f ca="1">IFERROR(__xludf.DUMMYFUNCTION("""COMPUTED_VALUE"""),"Handgun")</f>
        <v>Handgun</v>
      </c>
      <c r="C832" s="5" t="str">
        <f ca="1">IFERROR(__xludf.DUMMYFUNCTION("""COMPUTED_VALUE"""),"Unknown")</f>
        <v>Unknown</v>
      </c>
      <c r="D832" s="5"/>
    </row>
    <row r="833" spans="1:4">
      <c r="A833" s="5" t="str">
        <f ca="1">IFERROR(__xludf.DUMMYFUNCTION("""COMPUTED_VALUE"""),"20161216FLSAJ")</f>
        <v>20161216FLSAJ</v>
      </c>
      <c r="B833" s="5" t="str">
        <f ca="1">IFERROR(__xludf.DUMMYFUNCTION("""COMPUTED_VALUE"""),"Other")</f>
        <v>Other</v>
      </c>
      <c r="C833" s="5" t="str">
        <f ca="1">IFERROR(__xludf.DUMMYFUNCTION("""COMPUTED_VALUE"""),"BB")</f>
        <v>BB</v>
      </c>
      <c r="D833" s="5"/>
    </row>
    <row r="834" spans="1:4">
      <c r="A834" s="5" t="str">
        <f ca="1">IFERROR(__xludf.DUMMYFUNCTION("""COMPUTED_VALUE"""),"20161209NVHUR")</f>
        <v>20161209NVHUR</v>
      </c>
      <c r="B834" s="5" t="str">
        <f ca="1">IFERROR(__xludf.DUMMYFUNCTION("""COMPUTED_VALUE"""),"Handgun")</f>
        <v>Handgun</v>
      </c>
      <c r="C834" s="5" t="str">
        <f ca="1">IFERROR(__xludf.DUMMYFUNCTION("""COMPUTED_VALUE"""),"Service Weapon")</f>
        <v>Service Weapon</v>
      </c>
      <c r="D834" s="5"/>
    </row>
    <row r="835" spans="1:4">
      <c r="A835" s="5" t="str">
        <f ca="1">IFERROR(__xludf.DUMMYFUNCTION("""COMPUTED_VALUE"""),"20161209MOBAS")</f>
        <v>20161209MOBAS</v>
      </c>
      <c r="B835" s="5" t="str">
        <f ca="1">IFERROR(__xludf.DUMMYFUNCTION("""COMPUTED_VALUE"""),"Handgun")</f>
        <v>Handgun</v>
      </c>
      <c r="C835" s="5" t="str">
        <f ca="1">IFERROR(__xludf.DUMMYFUNCTION("""COMPUTED_VALUE"""),"Unknown")</f>
        <v>Unknown</v>
      </c>
      <c r="D835" s="5"/>
    </row>
    <row r="836" spans="1:4">
      <c r="A836" s="5" t="str">
        <f ca="1">IFERROR(__xludf.DUMMYFUNCTION("""COMPUTED_VALUE"""),"20161201UTMUB")</f>
        <v>20161201UTMUB</v>
      </c>
      <c r="B836" s="5" t="str">
        <f ca="1">IFERROR(__xludf.DUMMYFUNCTION("""COMPUTED_VALUE"""),"Shotgun")</f>
        <v>Shotgun</v>
      </c>
      <c r="C836" s="5" t="str">
        <f ca="1">IFERROR(__xludf.DUMMYFUNCTION("""COMPUTED_VALUE"""),"12 gauge")</f>
        <v>12 gauge</v>
      </c>
      <c r="D836" s="5"/>
    </row>
    <row r="837" spans="1:4">
      <c r="A837" s="5" t="str">
        <f ca="1">IFERROR(__xludf.DUMMYFUNCTION("""COMPUTED_VALUE"""),"20161117MNCRS")</f>
        <v>20161117MNCRS</v>
      </c>
      <c r="B837" s="5" t="str">
        <f ca="1">IFERROR(__xludf.DUMMYFUNCTION("""COMPUTED_VALUE"""),"Handgun")</f>
        <v>Handgun</v>
      </c>
      <c r="C837" s="5" t="str">
        <f ca="1">IFERROR(__xludf.DUMMYFUNCTION("""COMPUTED_VALUE"""),".38 caliber")</f>
        <v>.38 caliber</v>
      </c>
      <c r="D837" s="5"/>
    </row>
    <row r="838" spans="1:4">
      <c r="A838" s="5" t="str">
        <f ca="1">IFERROR(__xludf.DUMMYFUNCTION("""COMPUTED_VALUE"""),"20161111MIBAA")</f>
        <v>20161111MIBAA</v>
      </c>
      <c r="B838" s="5" t="str">
        <f ca="1">IFERROR(__xludf.DUMMYFUNCTION("""COMPUTED_VALUE"""),"Handgun")</f>
        <v>Handgun</v>
      </c>
      <c r="C838" s="5" t="str">
        <f ca="1">IFERROR(__xludf.DUMMYFUNCTION("""COMPUTED_VALUE"""),".38 caliber")</f>
        <v>.38 caliber</v>
      </c>
      <c r="D838" s="5"/>
    </row>
    <row r="839" spans="1:4">
      <c r="A839" s="5" t="str">
        <f ca="1">IFERROR(__xludf.DUMMYFUNCTION("""COMPUTED_VALUE"""),"20161103COBEB")</f>
        <v>20161103COBEB</v>
      </c>
      <c r="B839" s="5" t="str">
        <f ca="1">IFERROR(__xludf.DUMMYFUNCTION("""COMPUTED_VALUE"""),"No Data")</f>
        <v>No Data</v>
      </c>
      <c r="C839" s="5"/>
      <c r="D839" s="5"/>
    </row>
    <row r="840" spans="1:4">
      <c r="A840" s="5" t="str">
        <f ca="1">IFERROR(__xludf.DUMMYFUNCTION("""COMPUTED_VALUE"""),"20161102COGRG")</f>
        <v>20161102COGRG</v>
      </c>
      <c r="B840" s="5" t="str">
        <f ca="1">IFERROR(__xludf.DUMMYFUNCTION("""COMPUTED_VALUE"""),"No Data")</f>
        <v>No Data</v>
      </c>
      <c r="C840" s="5"/>
      <c r="D840" s="5"/>
    </row>
    <row r="841" spans="1:4">
      <c r="A841" s="5" t="str">
        <f ca="1">IFERROR(__xludf.DUMMYFUNCTION("""COMPUTED_VALUE"""),"20161025UTUNS")</f>
        <v>20161025UTUNS</v>
      </c>
      <c r="B841" s="5" t="str">
        <f ca="1">IFERROR(__xludf.DUMMYFUNCTION("""COMPUTED_VALUE"""),"Handgun")</f>
        <v>Handgun</v>
      </c>
      <c r="C841" s="5" t="str">
        <f ca="1">IFERROR(__xludf.DUMMYFUNCTION("""COMPUTED_VALUE"""),"Unknown")</f>
        <v>Unknown</v>
      </c>
      <c r="D841" s="5"/>
    </row>
    <row r="842" spans="1:4">
      <c r="A842" s="5" t="str">
        <f ca="1">IFERROR(__xludf.DUMMYFUNCTION("""COMPUTED_VALUE"""),"20161018CAJUS")</f>
        <v>20161018CAJUS</v>
      </c>
      <c r="B842" s="5" t="str">
        <f ca="1">IFERROR(__xludf.DUMMYFUNCTION("""COMPUTED_VALUE"""),"Multiple Unknown")</f>
        <v>Multiple Unknown</v>
      </c>
      <c r="C842" s="5" t="str">
        <f ca="1">IFERROR(__xludf.DUMMYFUNCTION("""COMPUTED_VALUE"""),"Unknown")</f>
        <v>Unknown</v>
      </c>
      <c r="D842" s="5"/>
    </row>
    <row r="843" spans="1:4">
      <c r="A843" s="5" t="str">
        <f ca="1">IFERROR(__xludf.DUMMYFUNCTION("""COMPUTED_VALUE"""),"20161015GABEA")</f>
        <v>20161015GABEA</v>
      </c>
      <c r="B843" s="5" t="str">
        <f ca="1">IFERROR(__xludf.DUMMYFUNCTION("""COMPUTED_VALUE"""),"No Data")</f>
        <v>No Data</v>
      </c>
      <c r="C843" s="5"/>
      <c r="D843" s="5"/>
    </row>
    <row r="844" spans="1:4">
      <c r="A844" s="5" t="str">
        <f ca="1">IFERROR(__xludf.DUMMYFUNCTION("""COMPUTED_VALUE"""),"20161013OHLIC")</f>
        <v>20161013OHLIC</v>
      </c>
      <c r="B844" s="5" t="str">
        <f ca="1">IFERROR(__xludf.DUMMYFUNCTION("""COMPUTED_VALUE"""),"Multiple Handguns")</f>
        <v>Multiple Handguns</v>
      </c>
      <c r="C844" s="5" t="str">
        <f ca="1">IFERROR(__xludf.DUMMYFUNCTION("""COMPUTED_VALUE"""),"Unknown")</f>
        <v>Unknown</v>
      </c>
      <c r="D844" s="5"/>
    </row>
    <row r="845" spans="1:4">
      <c r="A845" s="5" t="str">
        <f ca="1">IFERROR(__xludf.DUMMYFUNCTION("""COMPUTED_VALUE"""),"20161011ALVIM")</f>
        <v>20161011ALVIM</v>
      </c>
      <c r="B845" s="5" t="str">
        <f ca="1">IFERROR(__xludf.DUMMYFUNCTION("""COMPUTED_VALUE"""),"No Data")</f>
        <v>No Data</v>
      </c>
      <c r="C845" s="5"/>
      <c r="D845" s="5"/>
    </row>
    <row r="846" spans="1:4">
      <c r="A846" s="5" t="str">
        <f ca="1">IFERROR(__xludf.DUMMYFUNCTION("""COMPUTED_VALUE"""),"20161006TXDUF")</f>
        <v>20161006TXDUF</v>
      </c>
      <c r="B846" s="5" t="str">
        <f ca="1">IFERROR(__xludf.DUMMYFUNCTION("""COMPUTED_VALUE"""),"No Data")</f>
        <v>No Data</v>
      </c>
      <c r="C846" s="5"/>
      <c r="D846" s="5"/>
    </row>
    <row r="847" spans="1:4">
      <c r="A847" s="5" t="str">
        <f ca="1">IFERROR(__xludf.DUMMYFUNCTION("""COMPUTED_VALUE"""),"20160930ILCHC")</f>
        <v>20160930ILCHC</v>
      </c>
      <c r="B847" s="5" t="str">
        <f ca="1">IFERROR(__xludf.DUMMYFUNCTION("""COMPUTED_VALUE"""),"No Data")</f>
        <v>No Data</v>
      </c>
      <c r="C847" s="5"/>
      <c r="D847" s="5"/>
    </row>
    <row r="848" spans="1:4">
      <c r="A848" s="5" t="str">
        <f ca="1">IFERROR(__xludf.DUMMYFUNCTION("""COMPUTED_VALUE"""),"20160928TNSYP")</f>
        <v>20160928TNSYP</v>
      </c>
      <c r="B848" s="5" t="str">
        <f ca="1">IFERROR(__xludf.DUMMYFUNCTION("""COMPUTED_VALUE"""),"Handgun")</f>
        <v>Handgun</v>
      </c>
      <c r="C848" s="5"/>
      <c r="D848" s="5"/>
    </row>
    <row r="849" spans="1:4">
      <c r="A849" s="5" t="str">
        <f ca="1">IFERROR(__xludf.DUMMYFUNCTION("""COMPUTED_VALUE"""),"20160928SCTOT")</f>
        <v>20160928SCTOT</v>
      </c>
      <c r="B849" s="5" t="str">
        <f ca="1">IFERROR(__xludf.DUMMYFUNCTION("""COMPUTED_VALUE"""),"Handgun")</f>
        <v>Handgun</v>
      </c>
      <c r="C849" s="5" t="str">
        <f ca="1">IFERROR(__xludf.DUMMYFUNCTION("""COMPUTED_VALUE"""),".40 caliber")</f>
        <v>.40 caliber</v>
      </c>
      <c r="D849" s="5"/>
    </row>
    <row r="850" spans="1:4">
      <c r="A850" s="5" t="str">
        <f ca="1">IFERROR(__xludf.DUMMYFUNCTION("""COMPUTED_VALUE"""),"20160927OHELC")</f>
        <v>20160927OHELC</v>
      </c>
      <c r="B850" s="5" t="str">
        <f ca="1">IFERROR(__xludf.DUMMYFUNCTION("""COMPUTED_VALUE"""),"Rifle")</f>
        <v>Rifle</v>
      </c>
      <c r="C850" s="5" t="str">
        <f ca="1">IFERROR(__xludf.DUMMYFUNCTION("""COMPUTED_VALUE"""),"Unknown")</f>
        <v>Unknown</v>
      </c>
      <c r="D850" s="5"/>
    </row>
    <row r="851" spans="1:4">
      <c r="A851" s="5" t="str">
        <f ca="1">IFERROR(__xludf.DUMMYFUNCTION("""COMPUTED_VALUE"""),"20160926MSTAJ")</f>
        <v>20160926MSTAJ</v>
      </c>
      <c r="B851" s="5" t="str">
        <f ca="1">IFERROR(__xludf.DUMMYFUNCTION("""COMPUTED_VALUE"""),"Handgun")</f>
        <v>Handgun</v>
      </c>
      <c r="C851" s="5" t="str">
        <f ca="1">IFERROR(__xludf.DUMMYFUNCTION("""COMPUTED_VALUE"""),"Unknown")</f>
        <v>Unknown</v>
      </c>
      <c r="D851" s="5"/>
    </row>
    <row r="852" spans="1:4">
      <c r="A852" s="5" t="str">
        <f ca="1">IFERROR(__xludf.DUMMYFUNCTION("""COMPUTED_VALUE"""),"20160909PASMY")</f>
        <v>20160909PASMY</v>
      </c>
      <c r="B852" s="5" t="str">
        <f ca="1">IFERROR(__xludf.DUMMYFUNCTION("""COMPUTED_VALUE"""),"Handgun")</f>
        <v>Handgun</v>
      </c>
      <c r="C852" s="5" t="str">
        <f ca="1">IFERROR(__xludf.DUMMYFUNCTION("""COMPUTED_VALUE"""),"Unknown")</f>
        <v>Unknown</v>
      </c>
      <c r="D852" s="5"/>
    </row>
    <row r="853" spans="1:4">
      <c r="A853" s="5" t="str">
        <f ca="1">IFERROR(__xludf.DUMMYFUNCTION("""COMPUTED_VALUE"""),"20160909IACEC")</f>
        <v>20160909IACEC</v>
      </c>
      <c r="B853" s="5" t="str">
        <f ca="1">IFERROR(__xludf.DUMMYFUNCTION("""COMPUTED_VALUE"""),"Handgun")</f>
        <v>Handgun</v>
      </c>
      <c r="C853" s="5" t="str">
        <f ca="1">IFERROR(__xludf.DUMMYFUNCTION("""COMPUTED_VALUE"""),"Unknown")</f>
        <v>Unknown</v>
      </c>
      <c r="D853" s="5"/>
    </row>
    <row r="854" spans="1:4">
      <c r="A854" s="5" t="str">
        <f ca="1">IFERROR(__xludf.DUMMYFUNCTION("""COMPUTED_VALUE"""),"20160908TXALA")</f>
        <v>20160908TXALA</v>
      </c>
      <c r="B854" s="5" t="str">
        <f ca="1">IFERROR(__xludf.DUMMYFUNCTION("""COMPUTED_VALUE"""),"Handgun")</f>
        <v>Handgun</v>
      </c>
      <c r="C854" s="5" t="str">
        <f ca="1">IFERROR(__xludf.DUMMYFUNCTION("""COMPUTED_VALUE"""),"9mm")</f>
        <v>9mm</v>
      </c>
      <c r="D854" s="5"/>
    </row>
    <row r="855" spans="1:4">
      <c r="A855" s="5" t="str">
        <f ca="1">IFERROR(__xludf.DUMMYFUNCTION("""COMPUTED_VALUE"""),"20160907MIDED")</f>
        <v>20160907MIDED</v>
      </c>
      <c r="B855" s="5" t="str">
        <f ca="1">IFERROR(__xludf.DUMMYFUNCTION("""COMPUTED_VALUE"""),"No Data")</f>
        <v>No Data</v>
      </c>
      <c r="C855" s="5"/>
      <c r="D855" s="5"/>
    </row>
    <row r="856" spans="1:4">
      <c r="A856" s="5" t="str">
        <f ca="1">IFERROR(__xludf.DUMMYFUNCTION("""COMPUTED_VALUE"""),"20160902OKMCT")</f>
        <v>20160902OKMCT</v>
      </c>
      <c r="B856" s="5" t="str">
        <f ca="1">IFERROR(__xludf.DUMMYFUNCTION("""COMPUTED_VALUE"""),"Handgun")</f>
        <v>Handgun</v>
      </c>
      <c r="C856" s="5" t="str">
        <f ca="1">IFERROR(__xludf.DUMMYFUNCTION("""COMPUTED_VALUE"""),"Unknown")</f>
        <v>Unknown</v>
      </c>
      <c r="D856" s="5"/>
    </row>
    <row r="857" spans="1:4">
      <c r="A857" s="5" t="str">
        <f ca="1">IFERROR(__xludf.DUMMYFUNCTION("""COMPUTED_VALUE"""),"20160819FLSOM")</f>
        <v>20160819FLSOM</v>
      </c>
      <c r="B857" s="5" t="str">
        <f ca="1">IFERROR(__xludf.DUMMYFUNCTION("""COMPUTED_VALUE"""),"Handgun")</f>
        <v>Handgun</v>
      </c>
      <c r="C857" s="5" t="str">
        <f ca="1">IFERROR(__xludf.DUMMYFUNCTION("""COMPUTED_VALUE"""),"Unknown")</f>
        <v>Unknown</v>
      </c>
      <c r="D857" s="5"/>
    </row>
    <row r="858" spans="1:4">
      <c r="A858" s="5" t="str">
        <f ca="1">IFERROR(__xludf.DUMMYFUNCTION("""COMPUTED_VALUE"""),"20160817OHWEC")</f>
        <v>20160817OHWEC</v>
      </c>
      <c r="B858" s="5" t="str">
        <f ca="1">IFERROR(__xludf.DUMMYFUNCTION("""COMPUTED_VALUE"""),"Handgun")</f>
        <v>Handgun</v>
      </c>
      <c r="C858" s="5" t="str">
        <f ca="1">IFERROR(__xludf.DUMMYFUNCTION("""COMPUTED_VALUE"""),"Unknown")</f>
        <v>Unknown</v>
      </c>
      <c r="D858" s="5"/>
    </row>
    <row r="859" spans="1:4">
      <c r="A859" s="5" t="str">
        <f ca="1">IFERROR(__xludf.DUMMYFUNCTION("""COMPUTED_VALUE"""),"20160725MOAVA")</f>
        <v>20160725MOAVA</v>
      </c>
      <c r="B859" s="5" t="str">
        <f ca="1">IFERROR(__xludf.DUMMYFUNCTION("""COMPUTED_VALUE"""),"Handgun")</f>
        <v>Handgun</v>
      </c>
      <c r="C859" s="5" t="str">
        <f ca="1">IFERROR(__xludf.DUMMYFUNCTION("""COMPUTED_VALUE"""),"Unknown")</f>
        <v>Unknown</v>
      </c>
      <c r="D859" s="5"/>
    </row>
    <row r="860" spans="1:4">
      <c r="A860" s="5" t="str">
        <f ca="1">IFERROR(__xludf.DUMMYFUNCTION("""COMPUTED_VALUE"""),"20160630CAWOH")</f>
        <v>20160630CAWOH</v>
      </c>
      <c r="B860" s="5" t="str">
        <f ca="1">IFERROR(__xludf.DUMMYFUNCTION("""COMPUTED_VALUE"""),"No Data")</f>
        <v>No Data</v>
      </c>
      <c r="C860" s="5"/>
      <c r="D860" s="5"/>
    </row>
    <row r="861" spans="1:4">
      <c r="A861" s="5" t="str">
        <f ca="1">IFERROR(__xludf.DUMMYFUNCTION("""COMPUTED_VALUE"""),"20160616ILMCC")</f>
        <v>20160616ILMCC</v>
      </c>
      <c r="B861" s="5" t="str">
        <f ca="1">IFERROR(__xludf.DUMMYFUNCTION("""COMPUTED_VALUE"""),"No Data")</f>
        <v>No Data</v>
      </c>
      <c r="C861" s="5"/>
      <c r="D861" s="5"/>
    </row>
    <row r="862" spans="1:4">
      <c r="A862" s="5" t="str">
        <f ca="1">IFERROR(__xludf.DUMMYFUNCTION("""COMPUTED_VALUE"""),"20160608MAJED")</f>
        <v>20160608MAJED</v>
      </c>
      <c r="B862" s="5" t="str">
        <f ca="1">IFERROR(__xludf.DUMMYFUNCTION("""COMPUTED_VALUE"""),"Unknown")</f>
        <v>Unknown</v>
      </c>
      <c r="C862" s="5" t="str">
        <f ca="1">IFERROR(__xludf.DUMMYFUNCTION("""COMPUTED_VALUE"""),"Unknown")</f>
        <v>Unknown</v>
      </c>
      <c r="D862" s="5"/>
    </row>
    <row r="863" spans="1:4">
      <c r="A863" s="5" t="str">
        <f ca="1">IFERROR(__xludf.DUMMYFUNCTION("""COMPUTED_VALUE"""),"20160515KSAUA")</f>
        <v>20160515KSAUA</v>
      </c>
      <c r="B863" s="5" t="str">
        <f ca="1">IFERROR(__xludf.DUMMYFUNCTION("""COMPUTED_VALUE"""),"Handgun")</f>
        <v>Handgun</v>
      </c>
      <c r="C863" s="5" t="str">
        <f ca="1">IFERROR(__xludf.DUMMYFUNCTION("""COMPUTED_VALUE"""),".38 caliber")</f>
        <v>.38 caliber</v>
      </c>
      <c r="D863" s="5"/>
    </row>
    <row r="864" spans="1:4">
      <c r="A864" s="5" t="str">
        <f ca="1">IFERROR(__xludf.DUMMYFUNCTION("""COMPUTED_VALUE"""),"20160513SCSOG")</f>
        <v>20160513SCSOG</v>
      </c>
      <c r="B864" s="5" t="str">
        <f ca="1">IFERROR(__xludf.DUMMYFUNCTION("""COMPUTED_VALUE"""),"Handgun")</f>
        <v>Handgun</v>
      </c>
      <c r="C864" s="5" t="str">
        <f ca="1">IFERROR(__xludf.DUMMYFUNCTION("""COMPUTED_VALUE"""),"Unknown")</f>
        <v>Unknown</v>
      </c>
      <c r="D864" s="5"/>
    </row>
    <row r="865" spans="1:4">
      <c r="A865" s="5" t="str">
        <f ca="1">IFERROR(__xludf.DUMMYFUNCTION("""COMPUTED_VALUE"""),"20160506IDROT")</f>
        <v>20160506IDROT</v>
      </c>
      <c r="B865" s="5" t="str">
        <f ca="1">IFERROR(__xludf.DUMMYFUNCTION("""COMPUTED_VALUE"""),"Handgun")</f>
        <v>Handgun</v>
      </c>
      <c r="C865" s="5" t="str">
        <f ca="1">IFERROR(__xludf.DUMMYFUNCTION("""COMPUTED_VALUE"""),"Unknown")</f>
        <v>Unknown</v>
      </c>
      <c r="D865" s="5"/>
    </row>
    <row r="866" spans="1:4">
      <c r="A866" s="5" t="str">
        <f ca="1">IFERROR(__xludf.DUMMYFUNCTION("""COMPUTED_VALUE"""),"20160506FLOSP")</f>
        <v>20160506FLOSP</v>
      </c>
      <c r="B866" s="5" t="str">
        <f ca="1">IFERROR(__xludf.DUMMYFUNCTION("""COMPUTED_VALUE"""),"Handgun")</f>
        <v>Handgun</v>
      </c>
      <c r="C866" s="5" t="str">
        <f ca="1">IFERROR(__xludf.DUMMYFUNCTION("""COMPUTED_VALUE"""),"Unknown")</f>
        <v>Unknown</v>
      </c>
      <c r="D866" s="5"/>
    </row>
    <row r="867" spans="1:4">
      <c r="A867" s="5" t="str">
        <f ca="1">IFERROR(__xludf.DUMMYFUNCTION("""COMPUTED_VALUE"""),"20160505MDHIB")</f>
        <v>20160505MDHIB</v>
      </c>
      <c r="B867" s="5" t="str">
        <f ca="1">IFERROR(__xludf.DUMMYFUNCTION("""COMPUTED_VALUE"""),"Handgun")</f>
        <v>Handgun</v>
      </c>
      <c r="C867" s="5" t="str">
        <f ca="1">IFERROR(__xludf.DUMMYFUNCTION("""COMPUTED_VALUE"""),"Unknown")</f>
        <v>Unknown</v>
      </c>
      <c r="D867" s="5"/>
    </row>
    <row r="868" spans="1:4">
      <c r="A868" s="5" t="str">
        <f ca="1">IFERROR(__xludf.DUMMYFUNCTION("""COMPUTED_VALUE"""),"20160504COEAP")</f>
        <v>20160504COEAP</v>
      </c>
      <c r="B868" s="5" t="str">
        <f ca="1">IFERROR(__xludf.DUMMYFUNCTION("""COMPUTED_VALUE"""),"Handgun")</f>
        <v>Handgun</v>
      </c>
      <c r="C868" s="5" t="str">
        <f ca="1">IFERROR(__xludf.DUMMYFUNCTION("""COMPUTED_VALUE"""),"Unknown")</f>
        <v>Unknown</v>
      </c>
      <c r="D868" s="5"/>
    </row>
    <row r="869" spans="1:4">
      <c r="A869" s="5" t="str">
        <f ca="1">IFERROR(__xludf.DUMMYFUNCTION("""COMPUTED_VALUE"""),"20160502TXKID")</f>
        <v>20160502TXKID</v>
      </c>
      <c r="B869" s="5" t="str">
        <f ca="1">IFERROR(__xludf.DUMMYFUNCTION("""COMPUTED_VALUE"""),"Handgun")</f>
        <v>Handgun</v>
      </c>
      <c r="C869" s="5" t="str">
        <f ca="1">IFERROR(__xludf.DUMMYFUNCTION("""COMPUTED_VALUE"""),".22 caliber")</f>
        <v>.22 caliber</v>
      </c>
      <c r="D869" s="5"/>
    </row>
    <row r="870" spans="1:4">
      <c r="A870" s="5" t="str">
        <f ca="1">IFERROR(__xludf.DUMMYFUNCTION("""COMPUTED_VALUE"""),"20160423WIANA")</f>
        <v>20160423WIANA</v>
      </c>
      <c r="B870" s="5" t="str">
        <f ca="1">IFERROR(__xludf.DUMMYFUNCTION("""COMPUTED_VALUE"""),"Rifle")</f>
        <v>Rifle</v>
      </c>
      <c r="C870" s="5" t="str">
        <f ca="1">IFERROR(__xludf.DUMMYFUNCTION("""COMPUTED_VALUE"""),"Semiautomatic")</f>
        <v>Semiautomatic</v>
      </c>
      <c r="D870" s="5"/>
    </row>
    <row r="871" spans="1:4">
      <c r="A871" s="5" t="str">
        <f ca="1">IFERROR(__xludf.DUMMYFUNCTION("""COMPUTED_VALUE"""),"20160315ALHUB")</f>
        <v>20160315ALHUB</v>
      </c>
      <c r="B871" s="5" t="str">
        <f ca="1">IFERROR(__xludf.DUMMYFUNCTION("""COMPUTED_VALUE"""),"Handgun")</f>
        <v>Handgun</v>
      </c>
      <c r="C871" s="5" t="str">
        <f ca="1">IFERROR(__xludf.DUMMYFUNCTION("""COMPUTED_VALUE"""),"Unknown")</f>
        <v>Unknown</v>
      </c>
      <c r="D871" s="5"/>
    </row>
    <row r="872" spans="1:4">
      <c r="A872" s="5" t="str">
        <f ca="1">IFERROR(__xludf.DUMMYFUNCTION("""COMPUTED_VALUE"""),"20160229OHMAM")</f>
        <v>20160229OHMAM</v>
      </c>
      <c r="B872" s="5" t="str">
        <f ca="1">IFERROR(__xludf.DUMMYFUNCTION("""COMPUTED_VALUE"""),"Handgun")</f>
        <v>Handgun</v>
      </c>
      <c r="C872" s="5" t="str">
        <f ca="1">IFERROR(__xludf.DUMMYFUNCTION("""COMPUTED_VALUE"""),"9mm")</f>
        <v>9mm</v>
      </c>
      <c r="D872" s="5"/>
    </row>
    <row r="873" spans="1:4">
      <c r="A873" s="5" t="str">
        <f ca="1">IFERROR(__xludf.DUMMYFUNCTION("""COMPUTED_VALUE"""),"20160226TXPAP")</f>
        <v>20160226TXPAP</v>
      </c>
      <c r="B873" s="5" t="str">
        <f ca="1">IFERROR(__xludf.DUMMYFUNCTION("""COMPUTED_VALUE"""),"Handgun")</f>
        <v>Handgun</v>
      </c>
      <c r="C873" s="5" t="str">
        <f ca="1">IFERROR(__xludf.DUMMYFUNCTION("""COMPUTED_VALUE"""),"Unknown")</f>
        <v>Unknown</v>
      </c>
      <c r="D873" s="5"/>
    </row>
    <row r="874" spans="1:4">
      <c r="A874" s="5" t="str">
        <f ca="1">IFERROR(__xludf.DUMMYFUNCTION("""COMPUTED_VALUE"""),"20160217PACHC")</f>
        <v>20160217PACHC</v>
      </c>
      <c r="B874" s="5" t="str">
        <f ca="1">IFERROR(__xludf.DUMMYFUNCTION("""COMPUTED_VALUE"""),"Handgun")</f>
        <v>Handgun</v>
      </c>
      <c r="C874" s="5" t="str">
        <f ca="1">IFERROR(__xludf.DUMMYFUNCTION("""COMPUTED_VALUE"""),"Unknown")</f>
        <v>Unknown</v>
      </c>
      <c r="D874" s="5"/>
    </row>
    <row r="875" spans="1:4">
      <c r="A875" s="5" t="str">
        <f ca="1">IFERROR(__xludf.DUMMYFUNCTION("""COMPUTED_VALUE"""),"20160217FLROH")</f>
        <v>20160217FLROH</v>
      </c>
      <c r="B875" s="5" t="str">
        <f ca="1">IFERROR(__xludf.DUMMYFUNCTION("""COMPUTED_VALUE"""),"Handgun")</f>
        <v>Handgun</v>
      </c>
      <c r="C875" s="5" t="str">
        <f ca="1">IFERROR(__xludf.DUMMYFUNCTION("""COMPUTED_VALUE"""),"Unknown")</f>
        <v>Unknown</v>
      </c>
      <c r="D875" s="5"/>
    </row>
    <row r="876" spans="1:4">
      <c r="A876" s="5" t="str">
        <f ca="1">IFERROR(__xludf.DUMMYFUNCTION("""COMPUTED_VALUE"""),"20160212AZING")</f>
        <v>20160212AZING</v>
      </c>
      <c r="B876" s="5" t="str">
        <f ca="1">IFERROR(__xludf.DUMMYFUNCTION("""COMPUTED_VALUE"""),"Handgun")</f>
        <v>Handgun</v>
      </c>
      <c r="C876" s="5" t="str">
        <f ca="1">IFERROR(__xludf.DUMMYFUNCTION("""COMPUTED_VALUE"""),"9mm")</f>
        <v>9mm</v>
      </c>
      <c r="D876" s="5"/>
    </row>
    <row r="877" spans="1:4">
      <c r="A877" s="5" t="str">
        <f ca="1">IFERROR(__xludf.DUMMYFUNCTION("""COMPUTED_VALUE"""),"20160209MIMUM")</f>
        <v>20160209MIMUM</v>
      </c>
      <c r="B877" s="5" t="str">
        <f ca="1">IFERROR(__xludf.DUMMYFUNCTION("""COMPUTED_VALUE"""),"Handgun")</f>
        <v>Handgun</v>
      </c>
      <c r="C877" s="5" t="str">
        <f ca="1">IFERROR(__xludf.DUMMYFUNCTION("""COMPUTED_VALUE"""),"Unknown")</f>
        <v>Unknown</v>
      </c>
      <c r="D877" s="5"/>
    </row>
    <row r="878" spans="1:4">
      <c r="A878" s="5" t="str">
        <f ca="1">IFERROR(__xludf.DUMMYFUNCTION("""COMPUTED_VALUE"""),"20160129PABEP")</f>
        <v>20160129PABEP</v>
      </c>
      <c r="B878" s="5" t="str">
        <f ca="1">IFERROR(__xludf.DUMMYFUNCTION("""COMPUTED_VALUE"""),"Handgun")</f>
        <v>Handgun</v>
      </c>
      <c r="C878" s="5" t="str">
        <f ca="1">IFERROR(__xludf.DUMMYFUNCTION("""COMPUTED_VALUE"""),".45 caliber")</f>
        <v>.45 caliber</v>
      </c>
      <c r="D878" s="5"/>
    </row>
    <row r="879" spans="1:4">
      <c r="A879" s="5" t="str">
        <f ca="1">IFERROR(__xludf.DUMMYFUNCTION("""COMPUTED_VALUE"""),"20160122INLAI")</f>
        <v>20160122INLAI</v>
      </c>
      <c r="B879" s="5" t="str">
        <f ca="1">IFERROR(__xludf.DUMMYFUNCTION("""COMPUTED_VALUE"""),"Handgun")</f>
        <v>Handgun</v>
      </c>
      <c r="C879" s="5" t="str">
        <f ca="1">IFERROR(__xludf.DUMMYFUNCTION("""COMPUTED_VALUE"""),"Unknown")</f>
        <v>Unknown</v>
      </c>
      <c r="D879" s="5"/>
    </row>
    <row r="880" spans="1:4">
      <c r="A880" s="5" t="str">
        <f ca="1">IFERROR(__xludf.DUMMYFUNCTION("""COMPUTED_VALUE"""),"20160120INNOI")</f>
        <v>20160120INNOI</v>
      </c>
      <c r="B880" s="5" t="str">
        <f ca="1">IFERROR(__xludf.DUMMYFUNCTION("""COMPUTED_VALUE"""),"Handgun")</f>
        <v>Handgun</v>
      </c>
      <c r="C880" s="5" t="str">
        <f ca="1">IFERROR(__xludf.DUMMYFUNCTION("""COMPUTED_VALUE"""),"Unknown")</f>
        <v>Unknown</v>
      </c>
      <c r="D880" s="5"/>
    </row>
    <row r="881" spans="1:4">
      <c r="A881" s="5" t="str">
        <f ca="1">IFERROR(__xludf.DUMMYFUNCTION("""COMPUTED_VALUE"""),"20160113ARHAB")</f>
        <v>20160113ARHAB</v>
      </c>
      <c r="B881" s="5" t="str">
        <f ca="1">IFERROR(__xludf.DUMMYFUNCTION("""COMPUTED_VALUE"""),"Handgun")</f>
        <v>Handgun</v>
      </c>
      <c r="C881" s="5" t="str">
        <f ca="1">IFERROR(__xludf.DUMMYFUNCTION("""COMPUTED_VALUE"""),"Unknown")</f>
        <v>Unknown</v>
      </c>
      <c r="D881" s="5"/>
    </row>
    <row r="882" spans="1:4">
      <c r="A882" s="5" t="str">
        <f ca="1">IFERROR(__xludf.DUMMYFUNCTION("""COMPUTED_VALUE"""),"20160112DECED")</f>
        <v>20160112DECED</v>
      </c>
      <c r="B882" s="5" t="str">
        <f ca="1">IFERROR(__xludf.DUMMYFUNCTION("""COMPUTED_VALUE"""),"Handgun")</f>
        <v>Handgun</v>
      </c>
      <c r="C882" s="5" t="str">
        <f ca="1">IFERROR(__xludf.DUMMYFUNCTION("""COMPUTED_VALUE"""),".38 caliber")</f>
        <v>.38 caliber</v>
      </c>
      <c r="D882" s="5"/>
    </row>
    <row r="883" spans="1:4">
      <c r="A883" s="5" t="str">
        <f ca="1">IFERROR(__xludf.DUMMYFUNCTION("""COMPUTED_VALUE"""),"20151204KSWEW")</f>
        <v>20151204KSWEW</v>
      </c>
      <c r="B883" s="5" t="str">
        <f ca="1">IFERROR(__xludf.DUMMYFUNCTION("""COMPUTED_VALUE"""),"Handgun")</f>
        <v>Handgun</v>
      </c>
      <c r="C883" s="5" t="str">
        <f ca="1">IFERROR(__xludf.DUMMYFUNCTION("""COMPUTED_VALUE"""),"Unknown")</f>
        <v>Unknown</v>
      </c>
      <c r="D883" s="5"/>
    </row>
    <row r="884" spans="1:4">
      <c r="A884" s="5" t="str">
        <f ca="1">IFERROR(__xludf.DUMMYFUNCTION("""COMPUTED_VALUE"""),"20151120FLNAM")</f>
        <v>20151120FLNAM</v>
      </c>
      <c r="B884" s="5" t="str">
        <f ca="1">IFERROR(__xludf.DUMMYFUNCTION("""COMPUTED_VALUE"""),"Handgun")</f>
        <v>Handgun</v>
      </c>
      <c r="C884" s="5" t="str">
        <f ca="1">IFERROR(__xludf.DUMMYFUNCTION("""COMPUTED_VALUE"""),"Unknown")</f>
        <v>Unknown</v>
      </c>
      <c r="D884" s="5"/>
    </row>
    <row r="885" spans="1:4">
      <c r="A885" s="5" t="str">
        <f ca="1">IFERROR(__xludf.DUMMYFUNCTION("""COMPUTED_VALUE"""),"20151111ARSUS")</f>
        <v>20151111ARSUS</v>
      </c>
      <c r="B885" s="5" t="str">
        <f ca="1">IFERROR(__xludf.DUMMYFUNCTION("""COMPUTED_VALUE"""),"Handgun")</f>
        <v>Handgun</v>
      </c>
      <c r="C885" s="5" t="str">
        <f ca="1">IFERROR(__xludf.DUMMYFUNCTION("""COMPUTED_VALUE"""),"Unknown")</f>
        <v>Unknown</v>
      </c>
      <c r="D885" s="5"/>
    </row>
    <row r="886" spans="1:4">
      <c r="A886" s="5" t="str">
        <f ca="1">IFERROR(__xludf.DUMMYFUNCTION("""COMPUTED_VALUE"""),"20151105GAVEM")</f>
        <v>20151105GAVEM</v>
      </c>
      <c r="B886" s="5" t="str">
        <f ca="1">IFERROR(__xludf.DUMMYFUNCTION("""COMPUTED_VALUE"""),"Handgun")</f>
        <v>Handgun</v>
      </c>
      <c r="C886" s="5" t="str">
        <f ca="1">IFERROR(__xludf.DUMMYFUNCTION("""COMPUTED_VALUE"""),"Service weapon")</f>
        <v>Service weapon</v>
      </c>
      <c r="D886" s="5"/>
    </row>
    <row r="887" spans="1:4">
      <c r="A887" s="5" t="str">
        <f ca="1">IFERROR(__xludf.DUMMYFUNCTION("""COMPUTED_VALUE"""),"20151024TXEDS")</f>
        <v>20151024TXEDS</v>
      </c>
      <c r="B887" s="5" t="str">
        <f ca="1">IFERROR(__xludf.DUMMYFUNCTION("""COMPUTED_VALUE"""),"No Data")</f>
        <v>No Data</v>
      </c>
      <c r="C887" s="5"/>
      <c r="D887" s="5"/>
    </row>
    <row r="888" spans="1:4">
      <c r="A888" s="5" t="str">
        <f ca="1">IFERROR(__xludf.DUMMYFUNCTION("""COMPUTED_VALUE"""),"20151015TXKAS")</f>
        <v>20151015TXKAS</v>
      </c>
      <c r="B888" s="5" t="str">
        <f ca="1">IFERROR(__xludf.DUMMYFUNCTION("""COMPUTED_VALUE"""),"Handgun")</f>
        <v>Handgun</v>
      </c>
      <c r="C888" s="5" t="str">
        <f ca="1">IFERROR(__xludf.DUMMYFUNCTION("""COMPUTED_VALUE"""),"Unknown")</f>
        <v>Unknown</v>
      </c>
      <c r="D888" s="5"/>
    </row>
    <row r="889" spans="1:4">
      <c r="A889" s="5" t="str">
        <f ca="1">IFERROR(__xludf.DUMMYFUNCTION("""COMPUTED_VALUE"""),"20150930SDHAH")</f>
        <v>20150930SDHAH</v>
      </c>
      <c r="B889" s="5" t="str">
        <f ca="1">IFERROR(__xludf.DUMMYFUNCTION("""COMPUTED_VALUE"""),"Handgun")</f>
        <v>Handgun</v>
      </c>
      <c r="C889" s="5" t="str">
        <f ca="1">IFERROR(__xludf.DUMMYFUNCTION("""COMPUTED_VALUE"""),"Unknown")</f>
        <v>Unknown</v>
      </c>
      <c r="D889" s="5"/>
    </row>
    <row r="890" spans="1:4">
      <c r="A890" s="5" t="str">
        <f ca="1">IFERROR(__xludf.DUMMYFUNCTION("""COMPUTED_VALUE"""),"20150922NCCES")</f>
        <v>20150922NCCES</v>
      </c>
      <c r="B890" s="5" t="str">
        <f ca="1">IFERROR(__xludf.DUMMYFUNCTION("""COMPUTED_VALUE"""),"Handgun")</f>
        <v>Handgun</v>
      </c>
      <c r="C890" s="5" t="str">
        <f ca="1">IFERROR(__xludf.DUMMYFUNCTION("""COMPUTED_VALUE"""),".45 caliber")</f>
        <v>.45 caliber</v>
      </c>
      <c r="D890" s="5"/>
    </row>
    <row r="891" spans="1:4">
      <c r="A891" s="5" t="str">
        <f ca="1">IFERROR(__xludf.DUMMYFUNCTION("""COMPUTED_VALUE"""),"20150911LANOL")</f>
        <v>20150911LANOL</v>
      </c>
      <c r="B891" s="5" t="str">
        <f ca="1">IFERROR(__xludf.DUMMYFUNCTION("""COMPUTED_VALUE"""),"No Data")</f>
        <v>No Data</v>
      </c>
      <c r="C891" s="5"/>
      <c r="D891" s="5"/>
    </row>
    <row r="892" spans="1:4">
      <c r="A892" s="5" t="str">
        <f ca="1">IFERROR(__xludf.DUMMYFUNCTION("""COMPUTED_VALUE"""),"20150903ORNEN")</f>
        <v>20150903ORNEN</v>
      </c>
      <c r="B892" s="5" t="str">
        <f ca="1">IFERROR(__xludf.DUMMYFUNCTION("""COMPUTED_VALUE"""),"No Data")</f>
        <v>No Data</v>
      </c>
      <c r="C892" s="5"/>
      <c r="D892" s="5"/>
    </row>
    <row r="893" spans="1:4">
      <c r="A893" s="5" t="str">
        <f ca="1">IFERROR(__xludf.DUMMYFUNCTION("""COMPUTED_VALUE"""),"20150825GAWSA")</f>
        <v>20150825GAWSA</v>
      </c>
      <c r="B893" s="5" t="str">
        <f ca="1">IFERROR(__xludf.DUMMYFUNCTION("""COMPUTED_VALUE"""),"Handgun")</f>
        <v>Handgun</v>
      </c>
      <c r="C893" s="5" t="str">
        <f ca="1">IFERROR(__xludf.DUMMYFUNCTION("""COMPUTED_VALUE"""),".38 caliber")</f>
        <v>.38 caliber</v>
      </c>
      <c r="D893" s="5"/>
    </row>
    <row r="894" spans="1:4">
      <c r="A894" s="5" t="str">
        <f ca="1">IFERROR(__xludf.DUMMYFUNCTION("""COMPUTED_VALUE"""),"20150823TXWIR")</f>
        <v>20150823TXWIR</v>
      </c>
      <c r="B894" s="5" t="str">
        <f ca="1">IFERROR(__xludf.DUMMYFUNCTION("""COMPUTED_VALUE"""),"Handgun")</f>
        <v>Handgun</v>
      </c>
      <c r="C894" s="5" t="str">
        <f ca="1">IFERROR(__xludf.DUMMYFUNCTION("""COMPUTED_VALUE"""),".40 caliber")</f>
        <v>.40 caliber</v>
      </c>
      <c r="D894" s="5"/>
    </row>
    <row r="895" spans="1:4">
      <c r="A895" s="5" t="str">
        <f ca="1">IFERROR(__xludf.DUMMYFUNCTION("""COMPUTED_VALUE"""),"20150808TXPAP")</f>
        <v>20150808TXPAP</v>
      </c>
      <c r="B895" s="5" t="str">
        <f ca="1">IFERROR(__xludf.DUMMYFUNCTION("""COMPUTED_VALUE"""),"Handgun")</f>
        <v>Handgun</v>
      </c>
      <c r="C895" s="5" t="str">
        <f ca="1">IFERROR(__xludf.DUMMYFUNCTION("""COMPUTED_VALUE"""),"9mm")</f>
        <v>9mm</v>
      </c>
      <c r="D895" s="5"/>
    </row>
    <row r="896" spans="1:4">
      <c r="A896" s="5" t="str">
        <f ca="1">IFERROR(__xludf.DUMMYFUNCTION("""COMPUTED_VALUE"""),"20150724TXELC")</f>
        <v>20150724TXELC</v>
      </c>
      <c r="B896" s="5" t="str">
        <f ca="1">IFERROR(__xludf.DUMMYFUNCTION("""COMPUTED_VALUE"""),"Handgun")</f>
        <v>Handgun</v>
      </c>
      <c r="C896" s="5" t="str">
        <f ca="1">IFERROR(__xludf.DUMMYFUNCTION("""COMPUTED_VALUE"""),"Unknown")</f>
        <v>Unknown</v>
      </c>
      <c r="D896" s="5"/>
    </row>
    <row r="897" spans="1:4">
      <c r="A897" s="5" t="str">
        <f ca="1">IFERROR(__xludf.DUMMYFUNCTION("""COMPUTED_VALUE"""),"20150705TXCOD")</f>
        <v>20150705TXCOD</v>
      </c>
      <c r="B897" s="5" t="str">
        <f ca="1">IFERROR(__xludf.DUMMYFUNCTION("""COMPUTED_VALUE"""),"Handgun")</f>
        <v>Handgun</v>
      </c>
      <c r="C897" s="5" t="str">
        <f ca="1">IFERROR(__xludf.DUMMYFUNCTION("""COMPUTED_VALUE"""),"Unknown")</f>
        <v>Unknown</v>
      </c>
      <c r="D897" s="5"/>
    </row>
    <row r="898" spans="1:4">
      <c r="A898" s="5" t="str">
        <f ca="1">IFERROR(__xludf.DUMMYFUNCTION("""COMPUTED_VALUE"""),"20150629TXJOS")</f>
        <v>20150629TXJOS</v>
      </c>
      <c r="B898" s="5" t="str">
        <f ca="1">IFERROR(__xludf.DUMMYFUNCTION("""COMPUTED_VALUE"""),"Handgun")</f>
        <v>Handgun</v>
      </c>
      <c r="C898" s="5" t="str">
        <f ca="1">IFERROR(__xludf.DUMMYFUNCTION("""COMPUTED_VALUE"""),"Service Weapon")</f>
        <v>Service Weapon</v>
      </c>
      <c r="D898" s="5"/>
    </row>
    <row r="899" spans="1:4">
      <c r="A899" s="5" t="str">
        <f ca="1">IFERROR(__xludf.DUMMYFUNCTION("""COMPUTED_VALUE"""),"20150627CTSAH")</f>
        <v>20150627CTSAH</v>
      </c>
      <c r="B899" s="5" t="str">
        <f ca="1">IFERROR(__xludf.DUMMYFUNCTION("""COMPUTED_VALUE"""),"No Data")</f>
        <v>No Data</v>
      </c>
      <c r="C899" s="5"/>
      <c r="D899" s="5"/>
    </row>
    <row r="900" spans="1:4">
      <c r="A900" s="5" t="str">
        <f ca="1">IFERROR(__xludf.DUMMYFUNCTION("""COMPUTED_VALUE"""),"20150623NEFOF")</f>
        <v>20150623NEFOF</v>
      </c>
      <c r="B900" s="5" t="str">
        <f ca="1">IFERROR(__xludf.DUMMYFUNCTION("""COMPUTED_VALUE"""),"Handgun")</f>
        <v>Handgun</v>
      </c>
      <c r="C900" s="5" t="str">
        <f ca="1">IFERROR(__xludf.DUMMYFUNCTION("""COMPUTED_VALUE"""),"Unknown")</f>
        <v>Unknown</v>
      </c>
      <c r="D900" s="5"/>
    </row>
    <row r="901" spans="1:4">
      <c r="A901" s="5" t="str">
        <f ca="1">IFERROR(__xludf.DUMMYFUNCTION("""COMPUTED_VALUE"""),"20150604NCSOF")</f>
        <v>20150604NCSOF</v>
      </c>
      <c r="B901" s="5" t="str">
        <f ca="1">IFERROR(__xludf.DUMMYFUNCTION("""COMPUTED_VALUE"""),"Multiple Handguns")</f>
        <v>Multiple Handguns</v>
      </c>
      <c r="C901" s="5" t="str">
        <f ca="1">IFERROR(__xludf.DUMMYFUNCTION("""COMPUTED_VALUE"""),"Unknown")</f>
        <v>Unknown</v>
      </c>
      <c r="D901" s="5"/>
    </row>
    <row r="902" spans="1:4">
      <c r="A902" s="5" t="str">
        <f ca="1">IFERROR(__xludf.DUMMYFUNCTION("""COMPUTED_VALUE"""),"20150527FLEVE")</f>
        <v>20150527FLEVE</v>
      </c>
      <c r="B902" s="5" t="str">
        <f ca="1">IFERROR(__xludf.DUMMYFUNCTION("""COMPUTED_VALUE"""),"Handgun")</f>
        <v>Handgun</v>
      </c>
      <c r="C902" s="5" t="str">
        <f ca="1">IFERROR(__xludf.DUMMYFUNCTION("""COMPUTED_VALUE"""),"Unknown")</f>
        <v>Unknown</v>
      </c>
      <c r="D902" s="5"/>
    </row>
    <row r="903" spans="1:4">
      <c r="A903" s="5" t="str">
        <f ca="1">IFERROR(__xludf.DUMMYFUNCTION("""COMPUTED_VALUE"""),"20150524MISOF")</f>
        <v>20150524MISOF</v>
      </c>
      <c r="B903" s="5" t="str">
        <f ca="1">IFERROR(__xludf.DUMMYFUNCTION("""COMPUTED_VALUE"""),"No Data")</f>
        <v>No Data</v>
      </c>
      <c r="C903" s="5"/>
      <c r="D903" s="5"/>
    </row>
    <row r="904" spans="1:4">
      <c r="A904" s="5" t="str">
        <f ca="1">IFERROR(__xludf.DUMMYFUNCTION("""COMPUTED_VALUE"""),"20150521FLDUJ")</f>
        <v>20150521FLDUJ</v>
      </c>
      <c r="B904" s="5" t="str">
        <f ca="1">IFERROR(__xludf.DUMMYFUNCTION("""COMPUTED_VALUE"""),"Handgun")</f>
        <v>Handgun</v>
      </c>
      <c r="C904" s="5"/>
      <c r="D904" s="5"/>
    </row>
    <row r="905" spans="1:4">
      <c r="A905" s="5" t="str">
        <f ca="1">IFERROR(__xludf.DUMMYFUNCTION("""COMPUTED_VALUE"""),"20150520TXROR")</f>
        <v>20150520TXROR</v>
      </c>
      <c r="B905" s="5" t="str">
        <f ca="1">IFERROR(__xludf.DUMMYFUNCTION("""COMPUTED_VALUE"""),"No Data")</f>
        <v>No Data</v>
      </c>
      <c r="C905" s="5" t="str">
        <f ca="1">IFERROR(__xludf.DUMMYFUNCTION("""COMPUTED_VALUE"""),"Unknown")</f>
        <v>Unknown</v>
      </c>
      <c r="D905" s="5"/>
    </row>
    <row r="906" spans="1:4">
      <c r="A906" s="5" t="str">
        <f ca="1">IFERROR(__xludf.DUMMYFUNCTION("""COMPUTED_VALUE"""),"20150512FLUNJ")</f>
        <v>20150512FLUNJ</v>
      </c>
      <c r="B906" s="5" t="str">
        <f ca="1">IFERROR(__xludf.DUMMYFUNCTION("""COMPUTED_VALUE"""),"Handgun")</f>
        <v>Handgun</v>
      </c>
      <c r="C906" s="5" t="str">
        <f ca="1">IFERROR(__xludf.DUMMYFUNCTION("""COMPUTED_VALUE"""),"Unknown")</f>
        <v>Unknown</v>
      </c>
      <c r="D906" s="5"/>
    </row>
    <row r="907" spans="1:4">
      <c r="A907" s="5" t="str">
        <f ca="1">IFERROR(__xludf.DUMMYFUNCTION("""COMPUTED_VALUE"""),"20150512AZCOT")</f>
        <v>20150512AZCOT</v>
      </c>
      <c r="B907" s="5" t="str">
        <f ca="1">IFERROR(__xludf.DUMMYFUNCTION("""COMPUTED_VALUE"""),"Handgun")</f>
        <v>Handgun</v>
      </c>
      <c r="C907" s="5" t="str">
        <f ca="1">IFERROR(__xludf.DUMMYFUNCTION("""COMPUTED_VALUE"""),"Unknown")</f>
        <v>Unknown</v>
      </c>
      <c r="D907" s="5"/>
    </row>
    <row r="908" spans="1:4">
      <c r="A908" s="5" t="str">
        <f ca="1">IFERROR(__xludf.DUMMYFUNCTION("""COMPUTED_VALUE"""),"20150505GACOC")</f>
        <v>20150505GACOC</v>
      </c>
      <c r="B908" s="5" t="str">
        <f ca="1">IFERROR(__xludf.DUMMYFUNCTION("""COMPUTED_VALUE"""),"Handgun")</f>
        <v>Handgun</v>
      </c>
      <c r="C908" s="5" t="str">
        <f ca="1">IFERROR(__xludf.DUMMYFUNCTION("""COMPUTED_VALUE"""),"Unknown")</f>
        <v>Unknown</v>
      </c>
      <c r="D908" s="5"/>
    </row>
    <row r="909" spans="1:4">
      <c r="A909" s="5" t="str">
        <f ca="1">IFERROR(__xludf.DUMMYFUNCTION("""COMPUTED_VALUE"""),"20150504OHWIC")</f>
        <v>20150504OHWIC</v>
      </c>
      <c r="B909" s="5" t="str">
        <f ca="1">IFERROR(__xludf.DUMMYFUNCTION("""COMPUTED_VALUE"""),"No Data")</f>
        <v>No Data</v>
      </c>
      <c r="C909" s="5"/>
      <c r="D909" s="5"/>
    </row>
    <row r="910" spans="1:4">
      <c r="A910" s="5" t="str">
        <f ca="1">IFERROR(__xludf.DUMMYFUNCTION("""COMPUTED_VALUE"""),"20150428MDDRW")</f>
        <v>20150428MDDRW</v>
      </c>
      <c r="B910" s="5" t="str">
        <f ca="1">IFERROR(__xludf.DUMMYFUNCTION("""COMPUTED_VALUE"""),"Handgun")</f>
        <v>Handgun</v>
      </c>
      <c r="C910" s="5" t="str">
        <f ca="1">IFERROR(__xludf.DUMMYFUNCTION("""COMPUTED_VALUE"""),"Unknown")</f>
        <v>Unknown</v>
      </c>
      <c r="D910" s="5"/>
    </row>
    <row r="911" spans="1:4">
      <c r="A911" s="5" t="str">
        <f ca="1">IFERROR(__xludf.DUMMYFUNCTION("""COMPUTED_VALUE"""),"20150427WANOL")</f>
        <v>20150427WANOL</v>
      </c>
      <c r="B911" s="5" t="str">
        <f ca="1">IFERROR(__xludf.DUMMYFUNCTION("""COMPUTED_VALUE"""),"Handgun")</f>
        <v>Handgun</v>
      </c>
      <c r="C911" s="5" t="str">
        <f ca="1">IFERROR(__xludf.DUMMYFUNCTION("""COMPUTED_VALUE"""),".357 caliber")</f>
        <v>.357 caliber</v>
      </c>
      <c r="D911" s="5"/>
    </row>
    <row r="912" spans="1:4">
      <c r="A912" s="5" t="str">
        <f ca="1">IFERROR(__xludf.DUMMYFUNCTION("""COMPUTED_VALUE"""),"20150422NVRUL")</f>
        <v>20150422NVRUL</v>
      </c>
      <c r="B912" s="5" t="str">
        <f ca="1">IFERROR(__xludf.DUMMYFUNCTION("""COMPUTED_VALUE"""),"Handgun")</f>
        <v>Handgun</v>
      </c>
      <c r="C912" s="5" t="str">
        <f ca="1">IFERROR(__xludf.DUMMYFUNCTION("""COMPUTED_VALUE"""),".45 caliber")</f>
        <v>.45 caliber</v>
      </c>
      <c r="D912" s="5"/>
    </row>
    <row r="913" spans="1:4">
      <c r="A913" s="5" t="str">
        <f ca="1">IFERROR(__xludf.DUMMYFUNCTION("""COMPUTED_VALUE"""),"20150417TXSES")</f>
        <v>20150417TXSES</v>
      </c>
      <c r="B913" s="5" t="str">
        <f ca="1">IFERROR(__xludf.DUMMYFUNCTION("""COMPUTED_VALUE"""),"No Data")</f>
        <v>No Data</v>
      </c>
      <c r="C913" s="5"/>
      <c r="D913" s="5"/>
    </row>
    <row r="914" spans="1:4">
      <c r="A914" s="5" t="str">
        <f ca="1">IFERROR(__xludf.DUMMYFUNCTION("""COMPUTED_VALUE"""),"20150330MOPEU")</f>
        <v>20150330MOPEU</v>
      </c>
      <c r="B914" s="5" t="str">
        <f ca="1">IFERROR(__xludf.DUMMYFUNCTION("""COMPUTED_VALUE"""),"No Data")</f>
        <v>No Data</v>
      </c>
      <c r="C914" s="5"/>
      <c r="D914" s="5"/>
    </row>
    <row r="915" spans="1:4">
      <c r="A915" s="5" t="str">
        <f ca="1">IFERROR(__xludf.DUMMYFUNCTION("""COMPUTED_VALUE"""),"20150215CATEM")</f>
        <v>20150215CATEM</v>
      </c>
      <c r="B915" s="5" t="str">
        <f ca="1">IFERROR(__xludf.DUMMYFUNCTION("""COMPUTED_VALUE"""),"Unknown")</f>
        <v>Unknown</v>
      </c>
      <c r="C915" s="5" t="str">
        <f ca="1">IFERROR(__xludf.DUMMYFUNCTION("""COMPUTED_VALUE"""),"Unknown")</f>
        <v>Unknown</v>
      </c>
      <c r="D915" s="5"/>
    </row>
    <row r="916" spans="1:4">
      <c r="A916" s="5" t="str">
        <f ca="1">IFERROR(__xludf.DUMMYFUNCTION("""COMPUTED_VALUE"""),"20150215ARLAL")</f>
        <v>20150215ARLAL</v>
      </c>
      <c r="B916" s="5" t="str">
        <f ca="1">IFERROR(__xludf.DUMMYFUNCTION("""COMPUTED_VALUE"""),"No Data")</f>
        <v>No Data</v>
      </c>
      <c r="C916" s="5"/>
      <c r="D916" s="5"/>
    </row>
    <row r="917" spans="1:4">
      <c r="A917" s="5" t="str">
        <f ca="1">IFERROR(__xludf.DUMMYFUNCTION("""COMPUTED_VALUE"""),"20150204MDFRF")</f>
        <v>20150204MDFRF</v>
      </c>
      <c r="B917" s="5" t="str">
        <f ca="1">IFERROR(__xludf.DUMMYFUNCTION("""COMPUTED_VALUE"""),"Handgun")</f>
        <v>Handgun</v>
      </c>
      <c r="C917" s="5" t="str">
        <f ca="1">IFERROR(__xludf.DUMMYFUNCTION("""COMPUTED_VALUE"""),"Unknown")</f>
        <v>Unknown</v>
      </c>
      <c r="D917" s="5"/>
    </row>
    <row r="918" spans="1:4">
      <c r="A918" s="5" t="str">
        <f ca="1">IFERROR(__xludf.DUMMYFUNCTION("""COMPUTED_VALUE"""),"20150126MNHAR")</f>
        <v>20150126MNHAR</v>
      </c>
      <c r="B918" s="5" t="str">
        <f ca="1">IFERROR(__xludf.DUMMYFUNCTION("""COMPUTED_VALUE"""),"Handgun")</f>
        <v>Handgun</v>
      </c>
      <c r="C918" s="5" t="str">
        <f ca="1">IFERROR(__xludf.DUMMYFUNCTION("""COMPUTED_VALUE"""),"Unknown")</f>
        <v>Unknown</v>
      </c>
      <c r="D918" s="5"/>
    </row>
    <row r="919" spans="1:4">
      <c r="A919" s="5" t="str">
        <f ca="1">IFERROR(__xludf.DUMMYFUNCTION("""COMPUTED_VALUE"""),"20150122SCROH")</f>
        <v>20150122SCROH</v>
      </c>
      <c r="B919" s="5" t="str">
        <f ca="1">IFERROR(__xludf.DUMMYFUNCTION("""COMPUTED_VALUE"""),"Handgun")</f>
        <v>Handgun</v>
      </c>
      <c r="C919" s="5" t="str">
        <f ca="1">IFERROR(__xludf.DUMMYFUNCTION("""COMPUTED_VALUE"""),"Unknown")</f>
        <v>Unknown</v>
      </c>
      <c r="D919" s="5"/>
    </row>
    <row r="920" spans="1:4">
      <c r="A920" s="5" t="str">
        <f ca="1">IFERROR(__xludf.DUMMYFUNCTION("""COMPUTED_VALUE"""),"20150120ALWIM")</f>
        <v>20150120ALWIM</v>
      </c>
      <c r="B920" s="5" t="str">
        <f ca="1">IFERROR(__xludf.DUMMYFUNCTION("""COMPUTED_VALUE"""),"Handgun")</f>
        <v>Handgun</v>
      </c>
      <c r="C920" s="5" t="str">
        <f ca="1">IFERROR(__xludf.DUMMYFUNCTION("""COMPUTED_VALUE"""),"Unknown")</f>
        <v>Unknown</v>
      </c>
      <c r="D920" s="5"/>
    </row>
    <row r="921" spans="1:4">
      <c r="A921" s="5" t="str">
        <f ca="1">IFERROR(__xludf.DUMMYFUNCTION("""COMPUTED_VALUE"""),"20150116FLVAO")</f>
        <v>20150116FLVAO</v>
      </c>
      <c r="B921" s="5" t="str">
        <f ca="1">IFERROR(__xludf.DUMMYFUNCTION("""COMPUTED_VALUE"""),"Handgun")</f>
        <v>Handgun</v>
      </c>
      <c r="C921" s="5" t="str">
        <f ca="1">IFERROR(__xludf.DUMMYFUNCTION("""COMPUTED_VALUE"""),".40 caliber")</f>
        <v>.40 caliber</v>
      </c>
      <c r="D921" s="5"/>
    </row>
    <row r="922" spans="1:4">
      <c r="A922" s="5" t="str">
        <f ca="1">IFERROR(__xludf.DUMMYFUNCTION("""COMPUTED_VALUE"""),"20150115WIWIM")</f>
        <v>20150115WIWIM</v>
      </c>
      <c r="B922" s="5" t="str">
        <f ca="1">IFERROR(__xludf.DUMMYFUNCTION("""COMPUTED_VALUE"""),"Handgun")</f>
        <v>Handgun</v>
      </c>
      <c r="C922" s="5" t="str">
        <f ca="1">IFERROR(__xludf.DUMMYFUNCTION("""COMPUTED_VALUE"""),".38 caliber")</f>
        <v>.38 caliber</v>
      </c>
      <c r="D922" s="5"/>
    </row>
    <row r="923" spans="1:4">
      <c r="A923" s="5" t="str">
        <f ca="1">IFERROR(__xludf.DUMMYFUNCTION("""COMPUTED_VALUE"""),"20141217MIGOW")</f>
        <v>20141217MIGOW</v>
      </c>
      <c r="B923" s="5" t="str">
        <f ca="1">IFERROR(__xludf.DUMMYFUNCTION("""COMPUTED_VALUE"""),"Handgun")</f>
        <v>Handgun</v>
      </c>
      <c r="C923" s="5" t="str">
        <f ca="1">IFERROR(__xludf.DUMMYFUNCTION("""COMPUTED_VALUE"""),"Unknown")</f>
        <v>Unknown</v>
      </c>
      <c r="D923" s="5"/>
    </row>
    <row r="924" spans="1:4">
      <c r="A924" s="5" t="str">
        <f ca="1">IFERROR(__xludf.DUMMYFUNCTION("""COMPUTED_VALUE"""),"20141217MEBEW")</f>
        <v>20141217MEBEW</v>
      </c>
      <c r="B924" s="5" t="str">
        <f ca="1">IFERROR(__xludf.DUMMYFUNCTION("""COMPUTED_VALUE"""),"Handgun")</f>
        <v>Handgun</v>
      </c>
      <c r="C924" s="5" t="str">
        <f ca="1">IFERROR(__xludf.DUMMYFUNCTION("""COMPUTED_VALUE"""),".38 caliber")</f>
        <v>.38 caliber</v>
      </c>
      <c r="D924" s="5"/>
    </row>
    <row r="925" spans="1:4">
      <c r="A925" s="5" t="str">
        <f ca="1">IFERROR(__xludf.DUMMYFUNCTION("""COMPUTED_VALUE"""),"20141216PASUP")</f>
        <v>20141216PASUP</v>
      </c>
      <c r="B925" s="5" t="str">
        <f ca="1">IFERROR(__xludf.DUMMYFUNCTION("""COMPUTED_VALUE"""),"No Data")</f>
        <v>No Data</v>
      </c>
      <c r="C925" s="5"/>
      <c r="D925" s="5"/>
    </row>
    <row r="926" spans="1:4">
      <c r="A926" s="5" t="str">
        <f ca="1">IFERROR(__xludf.DUMMYFUNCTION("""COMPUTED_VALUE"""),"20141212ORROP")</f>
        <v>20141212ORROP</v>
      </c>
      <c r="B926" s="5" t="str">
        <f ca="1">IFERROR(__xludf.DUMMYFUNCTION("""COMPUTED_VALUE"""),"Handgun")</f>
        <v>Handgun</v>
      </c>
      <c r="C926" s="5" t="str">
        <f ca="1">IFERROR(__xludf.DUMMYFUNCTION("""COMPUTED_VALUE"""),"Unknown")</f>
        <v>Unknown</v>
      </c>
      <c r="D926" s="5"/>
    </row>
    <row r="927" spans="1:4">
      <c r="A927" s="5" t="str">
        <f ca="1">IFERROR(__xludf.DUMMYFUNCTION("""COMPUTED_VALUE"""),"20141120FLMIM")</f>
        <v>20141120FLMIM</v>
      </c>
      <c r="B927" s="5" t="str">
        <f ca="1">IFERROR(__xludf.DUMMYFUNCTION("""COMPUTED_VALUE"""),"Handgun")</f>
        <v>Handgun</v>
      </c>
      <c r="C927" s="5" t="str">
        <f ca="1">IFERROR(__xludf.DUMMYFUNCTION("""COMPUTED_VALUE"""),"Unknown")</f>
        <v>Unknown</v>
      </c>
      <c r="D927" s="5"/>
    </row>
    <row r="928" spans="1:4">
      <c r="A928" s="5" t="str">
        <f ca="1">IFERROR(__xludf.DUMMYFUNCTION("""COMPUTED_VALUE"""),"20141024WAMAM")</f>
        <v>20141024WAMAM</v>
      </c>
      <c r="B928" s="5" t="str">
        <f ca="1">IFERROR(__xludf.DUMMYFUNCTION("""COMPUTED_VALUE"""),"Handgun")</f>
        <v>Handgun</v>
      </c>
      <c r="C928" s="5" t="str">
        <f ca="1">IFERROR(__xludf.DUMMYFUNCTION("""COMPUTED_VALUE"""),".40 caliber")</f>
        <v>.40 caliber</v>
      </c>
      <c r="D928" s="5"/>
    </row>
    <row r="929" spans="1:4">
      <c r="A929" s="5" t="str">
        <f ca="1">IFERROR(__xludf.DUMMYFUNCTION("""COMPUTED_VALUE"""),"20141024GALAA")</f>
        <v>20141024GALAA</v>
      </c>
      <c r="B929" s="5" t="str">
        <f ca="1">IFERROR(__xludf.DUMMYFUNCTION("""COMPUTED_VALUE"""),"Handgun")</f>
        <v>Handgun</v>
      </c>
      <c r="C929" s="5" t="str">
        <f ca="1">IFERROR(__xludf.DUMMYFUNCTION("""COMPUTED_VALUE"""),"Unknown")</f>
        <v>Unknown</v>
      </c>
      <c r="D929" s="5"/>
    </row>
    <row r="930" spans="1:4">
      <c r="A930" s="5" t="str">
        <f ca="1">IFERROR(__xludf.DUMMYFUNCTION("""COMPUTED_VALUE"""),"20141021TNAMM")</f>
        <v>20141021TNAMM</v>
      </c>
      <c r="B930" s="5" t="str">
        <f ca="1">IFERROR(__xludf.DUMMYFUNCTION("""COMPUTED_VALUE"""),"Handgun")</f>
        <v>Handgun</v>
      </c>
      <c r="C930" s="5" t="str">
        <f ca="1">IFERROR(__xludf.DUMMYFUNCTION("""COMPUTED_VALUE"""),"Unknown")</f>
        <v>Unknown</v>
      </c>
      <c r="D930" s="5"/>
    </row>
    <row r="931" spans="1:4">
      <c r="A931" s="5" t="str">
        <f ca="1">IFERROR(__xludf.DUMMYFUNCTION("""COMPUTED_VALUE"""),"20141003GALAF")</f>
        <v>20141003GALAF</v>
      </c>
      <c r="B931" s="5" t="str">
        <f ca="1">IFERROR(__xludf.DUMMYFUNCTION("""COMPUTED_VALUE"""),"Handgun")</f>
        <v>Handgun</v>
      </c>
      <c r="C931" s="5" t="str">
        <f ca="1">IFERROR(__xludf.DUMMYFUNCTION("""COMPUTED_VALUE"""),"Unknown")</f>
        <v>Unknown</v>
      </c>
      <c r="D931" s="5"/>
    </row>
    <row r="932" spans="1:4">
      <c r="A932" s="5" t="str">
        <f ca="1">IFERROR(__xludf.DUMMYFUNCTION("""COMPUTED_VALUE"""),"20140930NCALA")</f>
        <v>20140930NCALA</v>
      </c>
      <c r="B932" s="5" t="str">
        <f ca="1">IFERROR(__xludf.DUMMYFUNCTION("""COMPUTED_VALUE"""),"Handgun")</f>
        <v>Handgun</v>
      </c>
      <c r="C932" s="5" t="str">
        <f ca="1">IFERROR(__xludf.DUMMYFUNCTION("""COMPUTED_VALUE"""),"Unknown")</f>
        <v>Unknown</v>
      </c>
      <c r="D932" s="5"/>
    </row>
    <row r="933" spans="1:4">
      <c r="A933" s="5" t="str">
        <f ca="1">IFERROR(__xludf.DUMMYFUNCTION("""COMPUTED_VALUE"""),"20140930KYFEL")</f>
        <v>20140930KYFEL</v>
      </c>
      <c r="B933" s="5" t="str">
        <f ca="1">IFERROR(__xludf.DUMMYFUNCTION("""COMPUTED_VALUE"""),"Handgun")</f>
        <v>Handgun</v>
      </c>
      <c r="C933" s="5" t="str">
        <f ca="1">IFERROR(__xludf.DUMMYFUNCTION("""COMPUTED_VALUE"""),"Unknown")</f>
        <v>Unknown</v>
      </c>
      <c r="D933" s="5"/>
    </row>
    <row r="934" spans="1:4">
      <c r="A934" s="5" t="str">
        <f ca="1">IFERROR(__xludf.DUMMYFUNCTION("""COMPUTED_VALUE"""),"20140925NHWEM")</f>
        <v>20140925NHWEM</v>
      </c>
      <c r="B934" s="5" t="str">
        <f ca="1">IFERROR(__xludf.DUMMYFUNCTION("""COMPUTED_VALUE"""),"Other")</f>
        <v>Other</v>
      </c>
      <c r="C934" s="5" t="str">
        <f ca="1">IFERROR(__xludf.DUMMYFUNCTION("""COMPUTED_VALUE"""),"Pellet")</f>
        <v>Pellet</v>
      </c>
      <c r="D934" s="5"/>
    </row>
    <row r="935" spans="1:4">
      <c r="A935" s="5" t="str">
        <f ca="1">IFERROR(__xludf.DUMMYFUNCTION("""COMPUTED_VALUE"""),"20140919IANOD")</f>
        <v>20140919IANOD</v>
      </c>
      <c r="B935" s="5" t="str">
        <f ca="1">IFERROR(__xludf.DUMMYFUNCTION("""COMPUTED_VALUE"""),"Shotgun")</f>
        <v>Shotgun</v>
      </c>
      <c r="C935" s="5" t="str">
        <f ca="1">IFERROR(__xludf.DUMMYFUNCTION("""COMPUTED_VALUE"""),"Unknown")</f>
        <v>Unknown</v>
      </c>
      <c r="D935" s="5"/>
    </row>
    <row r="936" spans="1:4">
      <c r="A936" s="5" t="str">
        <f ca="1">IFERROR(__xludf.DUMMYFUNCTION("""COMPUTED_VALUE"""),"20140911UTWET")</f>
        <v>20140911UTWET</v>
      </c>
      <c r="B936" s="5" t="str">
        <f ca="1">IFERROR(__xludf.DUMMYFUNCTION("""COMPUTED_VALUE"""),"Handgun")</f>
        <v>Handgun</v>
      </c>
      <c r="C936" s="5" t="str">
        <f ca="1">IFERROR(__xludf.DUMMYFUNCTION("""COMPUTED_VALUE"""),"9mm")</f>
        <v>9mm</v>
      </c>
      <c r="D936" s="5"/>
    </row>
    <row r="937" spans="1:4">
      <c r="A937" s="5" t="str">
        <f ca="1">IFERROR(__xludf.DUMMYFUNCTION("""COMPUTED_VALUE"""),"20140910FLGRL")</f>
        <v>20140910FLGRL</v>
      </c>
      <c r="B937" s="5" t="str">
        <f ca="1">IFERROR(__xludf.DUMMYFUNCTION("""COMPUTED_VALUE"""),"Handgun")</f>
        <v>Handgun</v>
      </c>
      <c r="C937" s="5" t="str">
        <f ca="1">IFERROR(__xludf.DUMMYFUNCTION("""COMPUTED_VALUE"""),".40 caliber")</f>
        <v>.40 caliber</v>
      </c>
      <c r="D937" s="5"/>
    </row>
    <row r="938" spans="1:4">
      <c r="A938" s="5" t="str">
        <f ca="1">IFERROR(__xludf.DUMMYFUNCTION("""COMPUTED_VALUE"""),"20140909FLSTM")</f>
        <v>20140909FLSTM</v>
      </c>
      <c r="B938" s="5" t="str">
        <f ca="1">IFERROR(__xludf.DUMMYFUNCTION("""COMPUTED_VALUE"""),"Multiple Unknown")</f>
        <v>Multiple Unknown</v>
      </c>
      <c r="C938" s="5" t="str">
        <f ca="1">IFERROR(__xludf.DUMMYFUNCTION("""COMPUTED_VALUE"""),"Unknown")</f>
        <v>Unknown</v>
      </c>
      <c r="D938" s="5" t="str">
        <f ca="1">IFERROR(__xludf.DUMMYFUNCTION("""COMPUTED_VALUE"""),"2 firearms recovered")</f>
        <v>2 firearms recovered</v>
      </c>
    </row>
    <row r="939" spans="1:4">
      <c r="A939" s="5" t="str">
        <f ca="1">IFERROR(__xludf.DUMMYFUNCTION("""COMPUTED_VALUE"""),"20140814VASAN")</f>
        <v>20140814VASAN</v>
      </c>
      <c r="B939" s="5" t="str">
        <f ca="1">IFERROR(__xludf.DUMMYFUNCTION("""COMPUTED_VALUE"""),"Shotgun")</f>
        <v>Shotgun</v>
      </c>
      <c r="C939" s="5" t="str">
        <f ca="1">IFERROR(__xludf.DUMMYFUNCTION("""COMPUTED_VALUE"""),"12 gauge")</f>
        <v>12 gauge</v>
      </c>
      <c r="D939" s="5"/>
    </row>
    <row r="940" spans="1:4">
      <c r="A940" s="5" t="str">
        <f ca="1">IFERROR(__xludf.DUMMYFUNCTION("""COMPUTED_VALUE"""),"20140813MDHEF")</f>
        <v>20140813MDHEF</v>
      </c>
      <c r="B940" s="5" t="str">
        <f ca="1">IFERROR(__xludf.DUMMYFUNCTION("""COMPUTED_VALUE"""),"No Data")</f>
        <v>No Data</v>
      </c>
      <c r="C940" s="5"/>
      <c r="D940" s="5"/>
    </row>
    <row r="941" spans="1:4">
      <c r="A941" s="5" t="str">
        <f ca="1">IFERROR(__xludf.DUMMYFUNCTION("""COMPUTED_VALUE"""),"20140623MOKEB")</f>
        <v>20140623MOKEB</v>
      </c>
      <c r="B941" s="5" t="str">
        <f ca="1">IFERROR(__xludf.DUMMYFUNCTION("""COMPUTED_VALUE"""),"Handgun")</f>
        <v>Handgun</v>
      </c>
      <c r="C941" s="5" t="str">
        <f ca="1">IFERROR(__xludf.DUMMYFUNCTION("""COMPUTED_VALUE"""),"Unknown")</f>
        <v>Unknown</v>
      </c>
      <c r="D941" s="5"/>
    </row>
    <row r="942" spans="1:4">
      <c r="A942" s="5" t="str">
        <f ca="1">IFERROR(__xludf.DUMMYFUNCTION("""COMPUTED_VALUE"""),"20140610ORRET")</f>
        <v>20140610ORRET</v>
      </c>
      <c r="B942" s="5" t="str">
        <f ca="1">IFERROR(__xludf.DUMMYFUNCTION("""COMPUTED_VALUE"""),"Handgun")</f>
        <v>Handgun</v>
      </c>
      <c r="C942" s="5" t="str">
        <f ca="1">IFERROR(__xludf.DUMMYFUNCTION("""COMPUTED_VALUE"""),"Unknown")</f>
        <v>Unknown</v>
      </c>
      <c r="D942" s="5" t="str">
        <f ca="1">IFERROR(__xludf.DUMMYFUNCTION("""COMPUTED_VALUE"""),"AR15, handgun")</f>
        <v>AR15, handgun</v>
      </c>
    </row>
    <row r="943" spans="1:4">
      <c r="A943" s="5" t="str">
        <f ca="1">IFERROR(__xludf.DUMMYFUNCTION("""COMPUTED_VALUE"""),"20140610ORRET")</f>
        <v>20140610ORRET</v>
      </c>
      <c r="B943" s="5" t="str">
        <f ca="1">IFERROR(__xludf.DUMMYFUNCTION("""COMPUTED_VALUE"""),"Rifle")</f>
        <v>Rifle</v>
      </c>
      <c r="C943" s="5" t="str">
        <f ca="1">IFERROR(__xludf.DUMMYFUNCTION("""COMPUTED_VALUE"""),"AR-15")</f>
        <v>AR-15</v>
      </c>
      <c r="D943" s="5" t="str">
        <f ca="1">IFERROR(__xludf.DUMMYFUNCTION("""COMPUTED_VALUE"""),"AR15, handgun")</f>
        <v>AR15, handgun</v>
      </c>
    </row>
    <row r="944" spans="1:4">
      <c r="A944" s="5" t="str">
        <f ca="1">IFERROR(__xludf.DUMMYFUNCTION("""COMPUTED_VALUE"""),"20140521WICLM")</f>
        <v>20140521WICLM</v>
      </c>
      <c r="B944" s="5" t="str">
        <f ca="1">IFERROR(__xludf.DUMMYFUNCTION("""COMPUTED_VALUE"""),"Handgun")</f>
        <v>Handgun</v>
      </c>
      <c r="C944" s="5" t="str">
        <f ca="1">IFERROR(__xludf.DUMMYFUNCTION("""COMPUTED_VALUE"""),"9mm")</f>
        <v>9mm</v>
      </c>
      <c r="D944" s="5"/>
    </row>
    <row r="945" spans="1:4">
      <c r="A945" s="5" t="str">
        <f ca="1">IFERROR(__xludf.DUMMYFUNCTION("""COMPUTED_VALUE"""),"20140514CAJOR")</f>
        <v>20140514CAJOR</v>
      </c>
      <c r="B945" s="5" t="str">
        <f ca="1">IFERROR(__xludf.DUMMYFUNCTION("""COMPUTED_VALUE"""),"Unknown")</f>
        <v>Unknown</v>
      </c>
      <c r="C945" s="5" t="str">
        <f ca="1">IFERROR(__xludf.DUMMYFUNCTION("""COMPUTED_VALUE"""),"Unknown")</f>
        <v>Unknown</v>
      </c>
      <c r="D945" s="5"/>
    </row>
    <row r="946" spans="1:4">
      <c r="A946" s="5" t="str">
        <f ca="1">IFERROR(__xludf.DUMMYFUNCTION("""COMPUTED_VALUE"""),"20140503WAHOE")</f>
        <v>20140503WAHOE</v>
      </c>
      <c r="B946" s="5" t="str">
        <f ca="1">IFERROR(__xludf.DUMMYFUNCTION("""COMPUTED_VALUE"""),"No Data")</f>
        <v>No Data</v>
      </c>
      <c r="C946" s="5"/>
      <c r="D946" s="5"/>
    </row>
    <row r="947" spans="1:4">
      <c r="A947" s="5" t="str">
        <f ca="1">IFERROR(__xludf.DUMMYFUNCTION("""COMPUTED_VALUE"""),"20140421UTPRP")</f>
        <v>20140421UTPRP</v>
      </c>
      <c r="B947" s="5" t="str">
        <f ca="1">IFERROR(__xludf.DUMMYFUNCTION("""COMPUTED_VALUE"""),"Handgun")</f>
        <v>Handgun</v>
      </c>
      <c r="C947" s="5" t="str">
        <f ca="1">IFERROR(__xludf.DUMMYFUNCTION("""COMPUTED_VALUE"""),".22 caliber")</f>
        <v>.22 caliber</v>
      </c>
      <c r="D947" s="5"/>
    </row>
    <row r="948" spans="1:4">
      <c r="A948" s="5" t="str">
        <f ca="1">IFERROR(__xludf.DUMMYFUNCTION("""COMPUTED_VALUE"""),"20140421INSTG")</f>
        <v>20140421INSTG</v>
      </c>
      <c r="B948" s="5" t="str">
        <f ca="1">IFERROR(__xludf.DUMMYFUNCTION("""COMPUTED_VALUE"""),"No Data")</f>
        <v>No Data</v>
      </c>
      <c r="C948" s="5"/>
      <c r="D948" s="5"/>
    </row>
    <row r="949" spans="1:4">
      <c r="A949" s="5" t="str">
        <f ca="1">IFERROR(__xludf.DUMMYFUNCTION("""COMPUTED_VALUE"""),"20140411MIEAD")</f>
        <v>20140411MIEAD</v>
      </c>
      <c r="B949" s="5" t="str">
        <f ca="1">IFERROR(__xludf.DUMMYFUNCTION("""COMPUTED_VALUE"""),"Unknown")</f>
        <v>Unknown</v>
      </c>
      <c r="C949" s="5" t="str">
        <f ca="1">IFERROR(__xludf.DUMMYFUNCTION("""COMPUTED_VALUE"""),"Unknown")</f>
        <v>Unknown</v>
      </c>
      <c r="D949" s="5"/>
    </row>
    <row r="950" spans="1:4">
      <c r="A950" s="5" t="str">
        <f ca="1">IFERROR(__xludf.DUMMYFUNCTION("""COMPUTED_VALUE"""),"20140410OHLIC")</f>
        <v>20140410OHLIC</v>
      </c>
      <c r="B950" s="5" t="str">
        <f ca="1">IFERROR(__xludf.DUMMYFUNCTION("""COMPUTED_VALUE"""),"Handgun")</f>
        <v>Handgun</v>
      </c>
      <c r="C950" s="5" t="str">
        <f ca="1">IFERROR(__xludf.DUMMYFUNCTION("""COMPUTED_VALUE"""),"Unknown")</f>
        <v>Unknown</v>
      </c>
      <c r="D950" s="5"/>
    </row>
    <row r="951" spans="1:4">
      <c r="A951" s="5" t="str">
        <f ca="1">IFERROR(__xludf.DUMMYFUNCTION("""COMPUTED_VALUE"""),"20140409NCDHG")</f>
        <v>20140409NCDHG</v>
      </c>
      <c r="B951" s="5" t="str">
        <f ca="1">IFERROR(__xludf.DUMMYFUNCTION("""COMPUTED_VALUE"""),"Handgun")</f>
        <v>Handgun</v>
      </c>
      <c r="C951" s="5" t="str">
        <f ca="1">IFERROR(__xludf.DUMMYFUNCTION("""COMPUTED_VALUE"""),".45 caliber")</f>
        <v>.45 caliber</v>
      </c>
      <c r="D951" s="5"/>
    </row>
    <row r="952" spans="1:4">
      <c r="A952" s="5" t="str">
        <f ca="1">IFERROR(__xludf.DUMMYFUNCTION("""COMPUTED_VALUE"""),"20140403NJUNN")</f>
        <v>20140403NJUNN</v>
      </c>
      <c r="B952" s="5" t="str">
        <f ca="1">IFERROR(__xludf.DUMMYFUNCTION("""COMPUTED_VALUE"""),"No Data")</f>
        <v>No Data</v>
      </c>
      <c r="C952" s="5"/>
      <c r="D952" s="5"/>
    </row>
    <row r="953" spans="1:4">
      <c r="A953" s="5" t="str">
        <f ca="1">IFERROR(__xludf.DUMMYFUNCTION("""COMPUTED_VALUE"""),"20140325GABEC")</f>
        <v>20140325GABEC</v>
      </c>
      <c r="B953" s="5" t="str">
        <f ca="1">IFERROR(__xludf.DUMMYFUNCTION("""COMPUTED_VALUE"""),"Handgun")</f>
        <v>Handgun</v>
      </c>
      <c r="C953" s="5" t="str">
        <f ca="1">IFERROR(__xludf.DUMMYFUNCTION("""COMPUTED_VALUE"""),"Unknown")</f>
        <v>Unknown</v>
      </c>
      <c r="D953" s="5"/>
    </row>
    <row r="954" spans="1:4">
      <c r="A954" s="5" t="str">
        <f ca="1">IFERROR(__xludf.DUMMYFUNCTION("""COMPUTED_VALUE"""),"20140312FLACM")</f>
        <v>20140312FLACM</v>
      </c>
      <c r="B954" s="5" t="str">
        <f ca="1">IFERROR(__xludf.DUMMYFUNCTION("""COMPUTED_VALUE"""),"Handgun")</f>
        <v>Handgun</v>
      </c>
      <c r="C954" s="5" t="str">
        <f ca="1">IFERROR(__xludf.DUMMYFUNCTION("""COMPUTED_VALUE"""),"Unknown")</f>
        <v>Unknown</v>
      </c>
      <c r="D954" s="5"/>
    </row>
    <row r="955" spans="1:4">
      <c r="A955" s="5" t="str">
        <f ca="1">IFERROR(__xludf.DUMMYFUNCTION("""COMPUTED_VALUE"""),"20140307LAMAT")</f>
        <v>20140307LAMAT</v>
      </c>
      <c r="B955" s="5" t="str">
        <f ca="1">IFERROR(__xludf.DUMMYFUNCTION("""COMPUTED_VALUE"""),"Handgun")</f>
        <v>Handgun</v>
      </c>
      <c r="C955" s="5" t="str">
        <f ca="1">IFERROR(__xludf.DUMMYFUNCTION("""COMPUTED_VALUE"""),"Unknown")</f>
        <v>Unknown</v>
      </c>
      <c r="D955" s="5"/>
    </row>
    <row r="956" spans="1:4">
      <c r="A956" s="5" t="str">
        <f ca="1">IFERROR(__xludf.DUMMYFUNCTION("""COMPUTED_VALUE"""),"20140220MIRAR")</f>
        <v>20140220MIRAR</v>
      </c>
      <c r="B956" s="5" t="str">
        <f ca="1">IFERROR(__xludf.DUMMYFUNCTION("""COMPUTED_VALUE"""),"Handgun")</f>
        <v>Handgun</v>
      </c>
      <c r="C956" s="5" t="str">
        <f ca="1">IFERROR(__xludf.DUMMYFUNCTION("""COMPUTED_VALUE"""),".45 caliber")</f>
        <v>.45 caliber</v>
      </c>
      <c r="D956" s="5"/>
    </row>
    <row r="957" spans="1:4">
      <c r="A957" s="5" t="str">
        <f ca="1">IFERROR(__xludf.DUMMYFUNCTION("""COMPUTED_VALUE"""),"20140211OHCHL")</f>
        <v>20140211OHCHL</v>
      </c>
      <c r="B957" s="5" t="str">
        <f ca="1">IFERROR(__xludf.DUMMYFUNCTION("""COMPUTED_VALUE"""),"Handgun")</f>
        <v>Handgun</v>
      </c>
      <c r="C957" s="5" t="str">
        <f ca="1">IFERROR(__xludf.DUMMYFUNCTION("""COMPUTED_VALUE"""),"Unknown")</f>
        <v>Unknown</v>
      </c>
      <c r="D957" s="5"/>
    </row>
    <row r="958" spans="1:4">
      <c r="A958" s="5" t="str">
        <f ca="1">IFERROR(__xludf.DUMMYFUNCTION("""COMPUTED_VALUE"""),"20140210NCSAS")</f>
        <v>20140210NCSAS</v>
      </c>
      <c r="B958" s="5" t="str">
        <f ca="1">IFERROR(__xludf.DUMMYFUNCTION("""COMPUTED_VALUE"""),"Handgun")</f>
        <v>Handgun</v>
      </c>
      <c r="C958" s="5" t="str">
        <f ca="1">IFERROR(__xludf.DUMMYFUNCTION("""COMPUTED_VALUE"""),"9mm")</f>
        <v>9mm</v>
      </c>
      <c r="D958" s="5"/>
    </row>
    <row r="959" spans="1:4">
      <c r="A959" s="5" t="str">
        <f ca="1">IFERROR(__xludf.DUMMYFUNCTION("""COMPUTED_VALUE"""),"20140207ORBEB")</f>
        <v>20140207ORBEB</v>
      </c>
      <c r="B959" s="5" t="str">
        <f ca="1">IFERROR(__xludf.DUMMYFUNCTION("""COMPUTED_VALUE"""),"Rifle")</f>
        <v>Rifle</v>
      </c>
      <c r="C959" s="5" t="str">
        <f ca="1">IFERROR(__xludf.DUMMYFUNCTION("""COMPUTED_VALUE"""),"Unknown")</f>
        <v>Unknown</v>
      </c>
      <c r="D959" s="5"/>
    </row>
    <row r="960" spans="1:4">
      <c r="A960" s="5" t="str">
        <f ca="1">IFERROR(__xludf.DUMMYFUNCTION("""COMPUTED_VALUE"""),"20140131IANOD")</f>
        <v>20140131IANOD</v>
      </c>
      <c r="B960" s="5" t="str">
        <f ca="1">IFERROR(__xludf.DUMMYFUNCTION("""COMPUTED_VALUE"""),"Unknown")</f>
        <v>Unknown</v>
      </c>
      <c r="C960" s="5" t="str">
        <f ca="1">IFERROR(__xludf.DUMMYFUNCTION("""COMPUTED_VALUE"""),"Unknown")</f>
        <v>Unknown</v>
      </c>
      <c r="D960" s="5"/>
    </row>
    <row r="961" spans="1:4">
      <c r="A961" s="5" t="str">
        <f ca="1">IFERROR(__xludf.DUMMYFUNCTION("""COMPUTED_VALUE"""),"20140131AZCEP")</f>
        <v>20140131AZCEP</v>
      </c>
      <c r="B961" s="5" t="str">
        <f ca="1">IFERROR(__xludf.DUMMYFUNCTION("""COMPUTED_VALUE"""),"Unknown")</f>
        <v>Unknown</v>
      </c>
      <c r="C961" s="5" t="str">
        <f ca="1">IFERROR(__xludf.DUMMYFUNCTION("""COMPUTED_VALUE"""),"Unknown")</f>
        <v>Unknown</v>
      </c>
      <c r="D961" s="5"/>
    </row>
    <row r="962" spans="1:4">
      <c r="A962" s="5" t="str">
        <f ca="1">IFERROR(__xludf.DUMMYFUNCTION("""COMPUTED_VALUE"""),"20140128HIPRH")</f>
        <v>20140128HIPRH</v>
      </c>
      <c r="B962" s="5" t="str">
        <f ca="1">IFERROR(__xludf.DUMMYFUNCTION("""COMPUTED_VALUE"""),"Handgun")</f>
        <v>Handgun</v>
      </c>
      <c r="C962" s="5" t="str">
        <f ca="1">IFERROR(__xludf.DUMMYFUNCTION("""COMPUTED_VALUE"""),"Service Weapon")</f>
        <v>Service Weapon</v>
      </c>
      <c r="D962" s="5"/>
    </row>
    <row r="963" spans="1:4">
      <c r="A963" s="5" t="str">
        <f ca="1">IFERROR(__xludf.DUMMYFUNCTION("""COMPUTED_VALUE"""),"20140127ILREC")</f>
        <v>20140127ILREC</v>
      </c>
      <c r="B963" s="5" t="str">
        <f ca="1">IFERROR(__xludf.DUMMYFUNCTION("""COMPUTED_VALUE"""),"Handgun")</f>
        <v>Handgun</v>
      </c>
      <c r="C963" s="5" t="str">
        <f ca="1">IFERROR(__xludf.DUMMYFUNCTION("""COMPUTED_VALUE"""),"Unknown")</f>
        <v>Unknown</v>
      </c>
      <c r="D963" s="5"/>
    </row>
    <row r="964" spans="1:4">
      <c r="A964" s="5" t="str">
        <f ca="1">IFERROR(__xludf.DUMMYFUNCTION("""COMPUTED_VALUE"""),"20140117PADEP")</f>
        <v>20140117PADEP</v>
      </c>
      <c r="B964" s="5" t="str">
        <f ca="1">IFERROR(__xludf.DUMMYFUNCTION("""COMPUTED_VALUE"""),"Handgun")</f>
        <v>Handgun</v>
      </c>
      <c r="C964" s="5" t="str">
        <f ca="1">IFERROR(__xludf.DUMMYFUNCTION("""COMPUTED_VALUE"""),"Unknown")</f>
        <v>Unknown</v>
      </c>
      <c r="D964" s="5"/>
    </row>
    <row r="965" spans="1:4">
      <c r="A965" s="5" t="str">
        <f ca="1">IFERROR(__xludf.DUMMYFUNCTION("""COMPUTED_VALUE"""),"20140114PAKIL")</f>
        <v>20140114PAKIL</v>
      </c>
      <c r="B965" s="5" t="str">
        <f ca="1">IFERROR(__xludf.DUMMYFUNCTION("""COMPUTED_VALUE"""),"Handgun")</f>
        <v>Handgun</v>
      </c>
      <c r="C965" s="5" t="str">
        <f ca="1">IFERROR(__xludf.DUMMYFUNCTION("""COMPUTED_VALUE"""),"Unknown")</f>
        <v>Unknown</v>
      </c>
      <c r="D965" s="5"/>
    </row>
    <row r="966" spans="1:4">
      <c r="A966" s="5" t="str">
        <f ca="1">IFERROR(__xludf.DUMMYFUNCTION("""COMPUTED_VALUE"""),"20140114NMBER")</f>
        <v>20140114NMBER</v>
      </c>
      <c r="B966" s="5" t="str">
        <f ca="1">IFERROR(__xludf.DUMMYFUNCTION("""COMPUTED_VALUE"""),"Shotgun")</f>
        <v>Shotgun</v>
      </c>
      <c r="C966" s="5" t="str">
        <f ca="1">IFERROR(__xludf.DUMMYFUNCTION("""COMPUTED_VALUE"""),"20 gauge")</f>
        <v>20 gauge</v>
      </c>
      <c r="D966" s="5"/>
    </row>
    <row r="967" spans="1:4">
      <c r="A967" s="5" t="str">
        <f ca="1">IFERROR(__xludf.DUMMYFUNCTION("""COMPUTED_VALUE"""),"20140114LASTB")</f>
        <v>20140114LASTB</v>
      </c>
      <c r="B967" s="5" t="str">
        <f ca="1">IFERROR(__xludf.DUMMYFUNCTION("""COMPUTED_VALUE"""),"Handgun")</f>
        <v>Handgun</v>
      </c>
      <c r="C967" s="5" t="str">
        <f ca="1">IFERROR(__xludf.DUMMYFUNCTION("""COMPUTED_VALUE"""),"Unknown")</f>
        <v>Unknown</v>
      </c>
      <c r="D967" s="5"/>
    </row>
    <row r="968" spans="1:4">
      <c r="A968" s="5" t="str">
        <f ca="1">IFERROR(__xludf.DUMMYFUNCTION("""COMPUTED_VALUE"""),"20140113CTHIN")</f>
        <v>20140113CTHIN</v>
      </c>
      <c r="B968" s="5" t="str">
        <f ca="1">IFERROR(__xludf.DUMMYFUNCTION("""COMPUTED_VALUE"""),"Handgun")</f>
        <v>Handgun</v>
      </c>
      <c r="C968" s="5" t="str">
        <f ca="1">IFERROR(__xludf.DUMMYFUNCTION("""COMPUTED_VALUE"""),"Unknown")</f>
        <v>Unknown</v>
      </c>
      <c r="D968" s="5"/>
    </row>
    <row r="969" spans="1:4">
      <c r="A969" s="5" t="str">
        <f ca="1">IFERROR(__xludf.DUMMYFUNCTION("""COMPUTED_VALUE"""),"20140109TNLIJ")</f>
        <v>20140109TNLIJ</v>
      </c>
      <c r="B969" s="5" t="str">
        <f ca="1">IFERROR(__xludf.DUMMYFUNCTION("""COMPUTED_VALUE"""),"Handgun")</f>
        <v>Handgun</v>
      </c>
      <c r="C969" s="5" t="str">
        <f ca="1">IFERROR(__xludf.DUMMYFUNCTION("""COMPUTED_VALUE"""),"Unknown")</f>
        <v>Unknown</v>
      </c>
      <c r="D969" s="5"/>
    </row>
    <row r="970" spans="1:4">
      <c r="A970" s="5" t="str">
        <f ca="1">IFERROR(__xludf.DUMMYFUNCTION("""COMPUTED_VALUE"""),"20131219CAEDF")</f>
        <v>20131219CAEDF</v>
      </c>
      <c r="B970" s="5" t="str">
        <f ca="1">IFERROR(__xludf.DUMMYFUNCTION("""COMPUTED_VALUE"""),"Handgun")</f>
        <v>Handgun</v>
      </c>
      <c r="C970" s="5" t="str">
        <f ca="1">IFERROR(__xludf.DUMMYFUNCTION("""COMPUTED_VALUE"""),"Unknown")</f>
        <v>Unknown</v>
      </c>
      <c r="D970" s="5"/>
    </row>
    <row r="971" spans="1:4">
      <c r="A971" s="5" t="str">
        <f ca="1">IFERROR(__xludf.DUMMYFUNCTION("""COMPUTED_VALUE"""),"20131213COARC")</f>
        <v>20131213COARC</v>
      </c>
      <c r="B971" s="5" t="str">
        <f ca="1">IFERROR(__xludf.DUMMYFUNCTION("""COMPUTED_VALUE"""),"Shotgun")</f>
        <v>Shotgun</v>
      </c>
      <c r="C971" s="5" t="str">
        <f ca="1">IFERROR(__xludf.DUMMYFUNCTION("""COMPUTED_VALUE"""),"12 gauge")</f>
        <v>12 gauge</v>
      </c>
      <c r="D971" s="5"/>
    </row>
    <row r="972" spans="1:4">
      <c r="A972" s="5" t="str">
        <f ca="1">IFERROR(__xludf.DUMMYFUNCTION("""COMPUTED_VALUE"""),"20131204FLWEW")</f>
        <v>20131204FLWEW</v>
      </c>
      <c r="B972" s="5" t="str">
        <f ca="1">IFERROR(__xludf.DUMMYFUNCTION("""COMPUTED_VALUE"""),"Handgun")</f>
        <v>Handgun</v>
      </c>
      <c r="C972" s="5" t="str">
        <f ca="1">IFERROR(__xludf.DUMMYFUNCTION("""COMPUTED_VALUE"""),"Unknown")</f>
        <v>Unknown</v>
      </c>
      <c r="D972" s="5"/>
    </row>
    <row r="973" spans="1:4">
      <c r="A973" s="5" t="str">
        <f ca="1">IFERROR(__xludf.DUMMYFUNCTION("""COMPUTED_VALUE"""),"20131113PABRP")</f>
        <v>20131113PABRP</v>
      </c>
      <c r="B973" s="5" t="str">
        <f ca="1">IFERROR(__xludf.DUMMYFUNCTION("""COMPUTED_VALUE"""),"Handgun")</f>
        <v>Handgun</v>
      </c>
      <c r="C973" s="5" t="str">
        <f ca="1">IFERROR(__xludf.DUMMYFUNCTION("""COMPUTED_VALUE"""),".22 caliber")</f>
        <v>.22 caliber</v>
      </c>
      <c r="D973" s="5"/>
    </row>
    <row r="974" spans="1:4">
      <c r="A974" s="5" t="str">
        <f ca="1">IFERROR(__xludf.DUMMYFUNCTION("""COMPUTED_VALUE"""),"20131103GASTL")</f>
        <v>20131103GASTL</v>
      </c>
      <c r="B974" s="5" t="str">
        <f ca="1">IFERROR(__xludf.DUMMYFUNCTION("""COMPUTED_VALUE"""),"Unknown")</f>
        <v>Unknown</v>
      </c>
      <c r="C974" s="5" t="str">
        <f ca="1">IFERROR(__xludf.DUMMYFUNCTION("""COMPUTED_VALUE"""),"Unknown")</f>
        <v>Unknown</v>
      </c>
      <c r="D974" s="5"/>
    </row>
    <row r="975" spans="1:4">
      <c r="A975" s="5" t="str">
        <f ca="1">IFERROR(__xludf.DUMMYFUNCTION("""COMPUTED_VALUE"""),"20131101IAALA")</f>
        <v>20131101IAALA</v>
      </c>
      <c r="B975" s="5" t="str">
        <f ca="1">IFERROR(__xludf.DUMMYFUNCTION("""COMPUTED_VALUE"""),"Unknown")</f>
        <v>Unknown</v>
      </c>
      <c r="C975" s="5" t="str">
        <f ca="1">IFERROR(__xludf.DUMMYFUNCTION("""COMPUTED_VALUE"""),"Unknown")</f>
        <v>Unknown</v>
      </c>
      <c r="D975" s="5"/>
    </row>
    <row r="976" spans="1:4">
      <c r="A976" s="5" t="str">
        <f ca="1">IFERROR(__xludf.DUMMYFUNCTION("""COMPUTED_VALUE"""),"20131023CANEC")</f>
        <v>20131023CANEC</v>
      </c>
      <c r="B976" s="5" t="str">
        <f ca="1">IFERROR(__xludf.DUMMYFUNCTION("""COMPUTED_VALUE"""),"Rifle")</f>
        <v>Rifle</v>
      </c>
      <c r="C976" s="5" t="str">
        <f ca="1">IFERROR(__xludf.DUMMYFUNCTION("""COMPUTED_VALUE"""),"Service Weapon")</f>
        <v>Service Weapon</v>
      </c>
      <c r="D976" s="5"/>
    </row>
    <row r="977" spans="1:4">
      <c r="A977" s="5" t="str">
        <f ca="1">IFERROR(__xludf.DUMMYFUNCTION("""COMPUTED_VALUE"""),"20131021NVSPS")</f>
        <v>20131021NVSPS</v>
      </c>
      <c r="B977" s="5" t="str">
        <f ca="1">IFERROR(__xludf.DUMMYFUNCTION("""COMPUTED_VALUE"""),"Handgun")</f>
        <v>Handgun</v>
      </c>
      <c r="C977" s="5" t="str">
        <f ca="1">IFERROR(__xludf.DUMMYFUNCTION("""COMPUTED_VALUE"""),"9mm")</f>
        <v>9mm</v>
      </c>
      <c r="D977" s="5"/>
    </row>
    <row r="978" spans="1:4">
      <c r="A978" s="5" t="str">
        <f ca="1">IFERROR(__xludf.DUMMYFUNCTION("""COMPUTED_VALUE"""),"20131015TXLAA")</f>
        <v>20131015TXLAA</v>
      </c>
      <c r="B978" s="5" t="str">
        <f ca="1">IFERROR(__xludf.DUMMYFUNCTION("""COMPUTED_VALUE"""),"Handgun")</f>
        <v>Handgun</v>
      </c>
      <c r="C978" s="5" t="str">
        <f ca="1">IFERROR(__xludf.DUMMYFUNCTION("""COMPUTED_VALUE"""),"Unknown")</f>
        <v>Unknown</v>
      </c>
      <c r="D978" s="5"/>
    </row>
    <row r="979" spans="1:4">
      <c r="A979" s="5" t="str">
        <f ca="1">IFERROR(__xludf.DUMMYFUNCTION("""COMPUTED_VALUE"""),"20131004FLAGP")</f>
        <v>20131004FLAGP</v>
      </c>
      <c r="B979" s="5" t="str">
        <f ca="1">IFERROR(__xludf.DUMMYFUNCTION("""COMPUTED_VALUE"""),"Unknown")</f>
        <v>Unknown</v>
      </c>
      <c r="C979" s="5" t="str">
        <f ca="1">IFERROR(__xludf.DUMMYFUNCTION("""COMPUTED_VALUE"""),"Unknown")</f>
        <v>Unknown</v>
      </c>
      <c r="D979" s="5"/>
    </row>
    <row r="980" spans="1:4">
      <c r="A980" s="5" t="str">
        <f ca="1">IFERROR(__xludf.DUMMYFUNCTION("""COMPUTED_VALUE"""),"20131002NHWIS")</f>
        <v>20131002NHWIS</v>
      </c>
      <c r="B980" s="5" t="str">
        <f ca="1">IFERROR(__xludf.DUMMYFUNCTION("""COMPUTED_VALUE"""),"Other")</f>
        <v>Other</v>
      </c>
      <c r="C980" s="5" t="str">
        <f ca="1">IFERROR(__xludf.DUMMYFUNCTION("""COMPUTED_VALUE"""),"Pellet")</f>
        <v>Pellet</v>
      </c>
      <c r="D980" s="5"/>
    </row>
    <row r="981" spans="1:4">
      <c r="A981" s="5" t="str">
        <f ca="1">IFERROR(__xludf.DUMMYFUNCTION("""COMPUTED_VALUE"""),"20130928MENEG")</f>
        <v>20130928MENEG</v>
      </c>
      <c r="B981" s="5" t="str">
        <f ca="1">IFERROR(__xludf.DUMMYFUNCTION("""COMPUTED_VALUE"""),"Unknown")</f>
        <v>Unknown</v>
      </c>
      <c r="C981" s="5" t="str">
        <f ca="1">IFERROR(__xludf.DUMMYFUNCTION("""COMPUTED_VALUE"""),"Unknown")</f>
        <v>Unknown</v>
      </c>
      <c r="D981" s="5"/>
    </row>
    <row r="982" spans="1:4">
      <c r="A982" s="5" t="str">
        <f ca="1">IFERROR(__xludf.DUMMYFUNCTION("""COMPUTED_VALUE"""),"20130927ILROC")</f>
        <v>20130927ILROC</v>
      </c>
      <c r="B982" s="5" t="str">
        <f ca="1">IFERROR(__xludf.DUMMYFUNCTION("""COMPUTED_VALUE"""),"Handgun")</f>
        <v>Handgun</v>
      </c>
      <c r="C982" s="5" t="str">
        <f ca="1">IFERROR(__xludf.DUMMYFUNCTION("""COMPUTED_VALUE"""),"Unknown")</f>
        <v>Unknown</v>
      </c>
      <c r="D982" s="5"/>
    </row>
    <row r="983" spans="1:4">
      <c r="A983" s="5" t="str">
        <f ca="1">IFERROR(__xludf.DUMMYFUNCTION("""COMPUTED_VALUE"""),"20130830NCCAW")</f>
        <v>20130830NCCAW</v>
      </c>
      <c r="B983" s="5" t="str">
        <f ca="1">IFERROR(__xludf.DUMMYFUNCTION("""COMPUTED_VALUE"""),"Handgun")</f>
        <v>Handgun</v>
      </c>
      <c r="C983" s="5" t="str">
        <f ca="1">IFERROR(__xludf.DUMMYFUNCTION("""COMPUTED_VALUE"""),".38 caliber")</f>
        <v>.38 caliber</v>
      </c>
      <c r="D983" s="5"/>
    </row>
    <row r="984" spans="1:4">
      <c r="A984" s="5" t="str">
        <f ca="1">IFERROR(__xludf.DUMMYFUNCTION("""COMPUTED_VALUE"""),"20130823MSNOS")</f>
        <v>20130823MSNOS</v>
      </c>
      <c r="B984" s="5" t="str">
        <f ca="1">IFERROR(__xludf.DUMMYFUNCTION("""COMPUTED_VALUE"""),"Unknown")</f>
        <v>Unknown</v>
      </c>
      <c r="C984" s="5" t="str">
        <f ca="1">IFERROR(__xludf.DUMMYFUNCTION("""COMPUTED_VALUE"""),"Unknown")</f>
        <v>Unknown</v>
      </c>
      <c r="D984" s="5"/>
    </row>
    <row r="985" spans="1:4">
      <c r="A985" s="5" t="str">
        <f ca="1">IFERROR(__xludf.DUMMYFUNCTION("""COMPUTED_VALUE"""),"20130822TNWEM")</f>
        <v>20130822TNWEM</v>
      </c>
      <c r="B985" s="5" t="str">
        <f ca="1">IFERROR(__xludf.DUMMYFUNCTION("""COMPUTED_VALUE"""),"Handgun")</f>
        <v>Handgun</v>
      </c>
      <c r="C985" s="5" t="str">
        <f ca="1">IFERROR(__xludf.DUMMYFUNCTION("""COMPUTED_VALUE"""),"Unknown")</f>
        <v>Unknown</v>
      </c>
      <c r="D985" s="5"/>
    </row>
    <row r="986" spans="1:4">
      <c r="A986" s="5" t="str">
        <f ca="1">IFERROR(__xludf.DUMMYFUNCTION("""COMPUTED_VALUE"""),"20130820GAROD")</f>
        <v>20130820GAROD</v>
      </c>
      <c r="B986" s="5" t="str">
        <f ca="1">IFERROR(__xludf.DUMMYFUNCTION("""COMPUTED_VALUE"""),"Rifle")</f>
        <v>Rifle</v>
      </c>
      <c r="C986" s="5" t="str">
        <f ca="1">IFERROR(__xludf.DUMMYFUNCTION("""COMPUTED_VALUE"""),"AK-47")</f>
        <v>AK-47</v>
      </c>
      <c r="D986" s="5"/>
    </row>
    <row r="987" spans="1:4">
      <c r="A987" s="5" t="str">
        <f ca="1">IFERROR(__xludf.DUMMYFUNCTION("""COMPUTED_VALUE"""),"20130815TNNOC")</f>
        <v>20130815TNNOC</v>
      </c>
      <c r="B987" s="5" t="str">
        <f ca="1">IFERROR(__xludf.DUMMYFUNCTION("""COMPUTED_VALUE"""),"Handgun")</f>
        <v>Handgun</v>
      </c>
      <c r="C987" s="5" t="str">
        <f ca="1">IFERROR(__xludf.DUMMYFUNCTION("""COMPUTED_VALUE"""),"Unknown")</f>
        <v>Unknown</v>
      </c>
      <c r="D987" s="5"/>
    </row>
    <row r="988" spans="1:4">
      <c r="A988" s="5" t="str">
        <f ca="1">IFERROR(__xludf.DUMMYFUNCTION("""COMPUTED_VALUE"""),"20130619FLALW")</f>
        <v>20130619FLALW</v>
      </c>
      <c r="B988" s="5" t="str">
        <f ca="1">IFERROR(__xludf.DUMMYFUNCTION("""COMPUTED_VALUE"""),"Handgun")</f>
        <v>Handgun</v>
      </c>
      <c r="C988" s="5" t="str">
        <f ca="1">IFERROR(__xludf.DUMMYFUNCTION("""COMPUTED_VALUE"""),"Unknown")</f>
        <v>Unknown</v>
      </c>
      <c r="D988" s="5"/>
    </row>
    <row r="989" spans="1:4">
      <c r="A989" s="5" t="str">
        <f ca="1">IFERROR(__xludf.DUMMYFUNCTION("""COMPUTED_VALUE"""),"20130618NCHIC")</f>
        <v>20130618NCHIC</v>
      </c>
      <c r="B989" s="5" t="str">
        <f ca="1">IFERROR(__xludf.DUMMYFUNCTION("""COMPUTED_VALUE"""),"Multiple Handguns")</f>
        <v>Multiple Handguns</v>
      </c>
      <c r="C989" s="5" t="str">
        <f ca="1">IFERROR(__xludf.DUMMYFUNCTION("""COMPUTED_VALUE"""),"Unknown")</f>
        <v>Unknown</v>
      </c>
      <c r="D989" s="5"/>
    </row>
    <row r="990" spans="1:4">
      <c r="A990" s="5" t="str">
        <f ca="1">IFERROR(__xludf.DUMMYFUNCTION("""COMPUTED_VALUE"""),"20130523FLREH")</f>
        <v>20130523FLREH</v>
      </c>
      <c r="B990" s="5" t="str">
        <f ca="1">IFERROR(__xludf.DUMMYFUNCTION("""COMPUTED_VALUE"""),"Handgun")</f>
        <v>Handgun</v>
      </c>
      <c r="C990" s="5" t="str">
        <f ca="1">IFERROR(__xludf.DUMMYFUNCTION("""COMPUTED_VALUE"""),".38 caliber")</f>
        <v>.38 caliber</v>
      </c>
      <c r="D990" s="5"/>
    </row>
    <row r="991" spans="1:4">
      <c r="A991" s="5" t="str">
        <f ca="1">IFERROR(__xludf.DUMMYFUNCTION("""COMPUTED_VALUE"""),"20130513ALOSB")</f>
        <v>20130513ALOSB</v>
      </c>
      <c r="B991" s="5" t="str">
        <f ca="1">IFERROR(__xludf.DUMMYFUNCTION("""COMPUTED_VALUE"""),"Handgun")</f>
        <v>Handgun</v>
      </c>
      <c r="C991" s="5" t="str">
        <f ca="1">IFERROR(__xludf.DUMMYFUNCTION("""COMPUTED_VALUE"""),"Unknown")</f>
        <v>Unknown</v>
      </c>
      <c r="D991" s="5"/>
    </row>
    <row r="992" spans="1:4">
      <c r="A992" s="5" t="str">
        <f ca="1">IFERROR(__xludf.DUMMYFUNCTION("""COMPUTED_VALUE"""),"20130430NMTUT")</f>
        <v>20130430NMTUT</v>
      </c>
      <c r="B992" s="5" t="str">
        <f ca="1">IFERROR(__xludf.DUMMYFUNCTION("""COMPUTED_VALUE"""),"Rifle")</f>
        <v>Rifle</v>
      </c>
      <c r="C992" s="5" t="str">
        <f ca="1">IFERROR(__xludf.DUMMYFUNCTION("""COMPUTED_VALUE"""),"Unknown")</f>
        <v>Unknown</v>
      </c>
      <c r="D992" s="5"/>
    </row>
    <row r="993" spans="1:4">
      <c r="A993" s="5" t="str">
        <f ca="1">IFERROR(__xludf.DUMMYFUNCTION("""COMPUTED_VALUE"""),"20130429OHLAC")</f>
        <v>20130429OHLAC</v>
      </c>
      <c r="B993" s="5" t="str">
        <f ca="1">IFERROR(__xludf.DUMMYFUNCTION("""COMPUTED_VALUE"""),"Handgun")</f>
        <v>Handgun</v>
      </c>
      <c r="C993" s="5" t="str">
        <f ca="1">IFERROR(__xludf.DUMMYFUNCTION("""COMPUTED_VALUE"""),".45 caliber")</f>
        <v>.45 caliber</v>
      </c>
      <c r="D993" s="5"/>
    </row>
    <row r="994" spans="1:4">
      <c r="A994" s="5" t="str">
        <f ca="1">IFERROR(__xludf.DUMMYFUNCTION("""COMPUTED_VALUE"""),"20130416TXTET")</f>
        <v>20130416TXTET</v>
      </c>
      <c r="B994" s="5" t="str">
        <f ca="1">IFERROR(__xludf.DUMMYFUNCTION("""COMPUTED_VALUE"""),"Handgun")</f>
        <v>Handgun</v>
      </c>
      <c r="C994" s="5" t="str">
        <f ca="1">IFERROR(__xludf.DUMMYFUNCTION("""COMPUTED_VALUE"""),"Unknown")</f>
        <v>Unknown</v>
      </c>
      <c r="D994" s="5"/>
    </row>
    <row r="995" spans="1:4">
      <c r="A995" s="5" t="str">
        <f ca="1">IFERROR(__xludf.DUMMYFUNCTION("""COMPUTED_VALUE"""),"20130321MIDAS")</f>
        <v>20130321MIDAS</v>
      </c>
      <c r="B995" s="5" t="str">
        <f ca="1">IFERROR(__xludf.DUMMYFUNCTION("""COMPUTED_VALUE"""),"Handgun")</f>
        <v>Handgun</v>
      </c>
      <c r="C995" s="5" t="str">
        <f ca="1">IFERROR(__xludf.DUMMYFUNCTION("""COMPUTED_VALUE"""),".40 caliber")</f>
        <v>.40 caliber</v>
      </c>
      <c r="D995" s="5"/>
    </row>
    <row r="996" spans="1:4">
      <c r="A996" s="5" t="str">
        <f ca="1">IFERROR(__xludf.DUMMYFUNCTION("""COMPUTED_VALUE"""),"20130227GAGRA")</f>
        <v>20130227GAGRA</v>
      </c>
      <c r="B996" s="5" t="str">
        <f ca="1">IFERROR(__xludf.DUMMYFUNCTION("""COMPUTED_VALUE"""),"Handgun")</f>
        <v>Handgun</v>
      </c>
      <c r="C996" s="5" t="str">
        <f ca="1">IFERROR(__xludf.DUMMYFUNCTION("""COMPUTED_VALUE"""),".38 caliber")</f>
        <v>.38 caliber</v>
      </c>
      <c r="D996" s="5"/>
    </row>
    <row r="997" spans="1:4">
      <c r="A997" s="5" t="str">
        <f ca="1">IFERROR(__xludf.DUMMYFUNCTION("""COMPUTED_VALUE"""),"20130213CAHIS")</f>
        <v>20130213CAHIS</v>
      </c>
      <c r="B997" s="5" t="str">
        <f ca="1">IFERROR(__xludf.DUMMYFUNCTION("""COMPUTED_VALUE"""),"Handgun")</f>
        <v>Handgun</v>
      </c>
      <c r="C997" s="5" t="str">
        <f ca="1">IFERROR(__xludf.DUMMYFUNCTION("""COMPUTED_VALUE"""),"Unknown")</f>
        <v>Unknown</v>
      </c>
      <c r="D997" s="5"/>
    </row>
    <row r="998" spans="1:4">
      <c r="A998" s="5" t="str">
        <f ca="1">IFERROR(__xludf.DUMMYFUNCTION("""COMPUTED_VALUE"""),"20130201MIMAD")</f>
        <v>20130201MIMAD</v>
      </c>
      <c r="B998" s="5" t="str">
        <f ca="1">IFERROR(__xludf.DUMMYFUNCTION("""COMPUTED_VALUE"""),"Handgun")</f>
        <v>Handgun</v>
      </c>
      <c r="C998" s="5" t="str">
        <f ca="1">IFERROR(__xludf.DUMMYFUNCTION("""COMPUTED_VALUE"""),"Unknown")</f>
        <v>Unknown</v>
      </c>
      <c r="D998" s="5"/>
    </row>
    <row r="999" spans="1:4">
      <c r="A999" s="5" t="str">
        <f ca="1">IFERROR(__xludf.DUMMYFUNCTION("""COMPUTED_VALUE"""),"20130131GAPRA")</f>
        <v>20130131GAPRA</v>
      </c>
      <c r="B999" s="5" t="str">
        <f ca="1">IFERROR(__xludf.DUMMYFUNCTION("""COMPUTED_VALUE"""),"Handgun")</f>
        <v>Handgun</v>
      </c>
      <c r="C999" s="5" t="str">
        <f ca="1">IFERROR(__xludf.DUMMYFUNCTION("""COMPUTED_VALUE"""),"Unknown")</f>
        <v>Unknown</v>
      </c>
      <c r="D999" s="5"/>
    </row>
    <row r="1000" spans="1:4">
      <c r="A1000" s="5" t="str">
        <f ca="1">IFERROR(__xludf.DUMMYFUNCTION("""COMPUTED_VALUE"""),"20130131GAPRA")</f>
        <v>20130131GAPRA</v>
      </c>
      <c r="B1000" s="5" t="str">
        <f ca="1">IFERROR(__xludf.DUMMYFUNCTION("""COMPUTED_VALUE"""),"Handgun")</f>
        <v>Handgun</v>
      </c>
      <c r="C1000" s="5"/>
      <c r="D1000" s="5"/>
    </row>
    <row r="1001" spans="1:4">
      <c r="A1001" s="5" t="str">
        <f ca="1">IFERROR(__xludf.DUMMYFUNCTION("""COMPUTED_VALUE"""),"20130111MIOSD")</f>
        <v>20130111MIOSD</v>
      </c>
      <c r="B1001" s="5" t="str">
        <f ca="1">IFERROR(__xludf.DUMMYFUNCTION("""COMPUTED_VALUE"""),"Unknown")</f>
        <v>Unknown</v>
      </c>
      <c r="C1001" s="5" t="str">
        <f ca="1">IFERROR(__xludf.DUMMYFUNCTION("""COMPUTED_VALUE"""),"Unknown")</f>
        <v>Unknown</v>
      </c>
      <c r="D1001" s="5"/>
    </row>
    <row r="1002" spans="1:4">
      <c r="A1002" s="5" t="str">
        <f ca="1">IFERROR(__xludf.DUMMYFUNCTION("""COMPUTED_VALUE"""),"20130110CATAT")</f>
        <v>20130110CATAT</v>
      </c>
      <c r="B1002" s="5" t="str">
        <f ca="1">IFERROR(__xludf.DUMMYFUNCTION("""COMPUTED_VALUE"""),"Shotgun")</f>
        <v>Shotgun</v>
      </c>
      <c r="C1002" s="5" t="str">
        <f ca="1">IFERROR(__xludf.DUMMYFUNCTION("""COMPUTED_VALUE"""),"12 gauge")</f>
        <v>12 gauge</v>
      </c>
      <c r="D1002" s="5"/>
    </row>
    <row r="1003" spans="1:4">
      <c r="A1003" s="5" t="str">
        <f ca="1">IFERROR(__xludf.DUMMYFUNCTION("""COMPUTED_VALUE"""),"20130107FLAPF")</f>
        <v>20130107FLAPF</v>
      </c>
      <c r="B1003" s="5" t="str">
        <f ca="1">IFERROR(__xludf.DUMMYFUNCTION("""COMPUTED_VALUE"""),"Unknown")</f>
        <v>Unknown</v>
      </c>
      <c r="C1003" s="5" t="str">
        <f ca="1">IFERROR(__xludf.DUMMYFUNCTION("""COMPUTED_VALUE"""),"Unknown")</f>
        <v>Unknown</v>
      </c>
      <c r="D1003" s="5"/>
    </row>
    <row r="1004" spans="1:4">
      <c r="A1004" s="5" t="str">
        <f ca="1">IFERROR(__xludf.DUMMYFUNCTION("""COMPUTED_VALUE"""),"20121214CTSAN")</f>
        <v>20121214CTSAN</v>
      </c>
      <c r="B1004" s="5" t="str">
        <f ca="1">IFERROR(__xludf.DUMMYFUNCTION("""COMPUTED_VALUE"""),"Handgun")</f>
        <v>Handgun</v>
      </c>
      <c r="C1004" s="5" t="str">
        <f ca="1">IFERROR(__xludf.DUMMYFUNCTION("""COMPUTED_VALUE"""),"10mm")</f>
        <v>10mm</v>
      </c>
      <c r="D1004" s="5"/>
    </row>
    <row r="1005" spans="1:4">
      <c r="A1005" s="5" t="str">
        <f ca="1">IFERROR(__xludf.DUMMYFUNCTION("""COMPUTED_VALUE"""),"20121214CTSAN")</f>
        <v>20121214CTSAN</v>
      </c>
      <c r="B1005" s="5" t="str">
        <f ca="1">IFERROR(__xludf.DUMMYFUNCTION("""COMPUTED_VALUE"""),"Handgun")</f>
        <v>Handgun</v>
      </c>
      <c r="C1005" s="5" t="str">
        <f ca="1">IFERROR(__xludf.DUMMYFUNCTION("""COMPUTED_VALUE"""),"9mm")</f>
        <v>9mm</v>
      </c>
      <c r="D1005" s="5"/>
    </row>
    <row r="1006" spans="1:4">
      <c r="A1006" s="5" t="str">
        <f ca="1">IFERROR(__xludf.DUMMYFUNCTION("""COMPUTED_VALUE"""),"20121214CTSAN")</f>
        <v>20121214CTSAN</v>
      </c>
      <c r="B1006" s="5" t="str">
        <f ca="1">IFERROR(__xludf.DUMMYFUNCTION("""COMPUTED_VALUE"""),"Rifle")</f>
        <v>Rifle</v>
      </c>
      <c r="C1006" s="5" t="str">
        <f ca="1">IFERROR(__xludf.DUMMYFUNCTION("""COMPUTED_VALUE"""),"AR-15")</f>
        <v>AR-15</v>
      </c>
      <c r="D1006" s="5"/>
    </row>
    <row r="1007" spans="1:4">
      <c r="A1007" s="5" t="str">
        <f ca="1">IFERROR(__xludf.DUMMYFUNCTION("""COMPUTED_VALUE"""),"20121214CTSAN")</f>
        <v>20121214CTSAN</v>
      </c>
      <c r="B1007" s="5" t="str">
        <f ca="1">IFERROR(__xludf.DUMMYFUNCTION("""COMPUTED_VALUE"""),"Shotgun")</f>
        <v>Shotgun</v>
      </c>
      <c r="C1007" s="5" t="str">
        <f ca="1">IFERROR(__xludf.DUMMYFUNCTION("""COMPUTED_VALUE"""),"12 gauge")</f>
        <v>12 gauge</v>
      </c>
      <c r="D1007" s="5"/>
    </row>
    <row r="1008" spans="1:4">
      <c r="A1008" s="5" t="str">
        <f ca="1">IFERROR(__xludf.DUMMYFUNCTION("""COMPUTED_VALUE"""),"20121210TXSPH")</f>
        <v>20121210TXSPH</v>
      </c>
      <c r="B1008" s="5" t="str">
        <f ca="1">IFERROR(__xludf.DUMMYFUNCTION("""COMPUTED_VALUE"""),"Handgun")</f>
        <v>Handgun</v>
      </c>
      <c r="C1008" s="5" t="str">
        <f ca="1">IFERROR(__xludf.DUMMYFUNCTION("""COMPUTED_VALUE"""),"Unknown")</f>
        <v>Unknown</v>
      </c>
      <c r="D1008" s="5"/>
    </row>
    <row r="1009" spans="1:4">
      <c r="A1009" s="5" t="str">
        <f ca="1">IFERROR(__xludf.DUMMYFUNCTION("""COMPUTED_VALUE"""),"20121019ILBAC")</f>
        <v>20121019ILBAC</v>
      </c>
      <c r="B1009" s="5" t="str">
        <f ca="1">IFERROR(__xludf.DUMMYFUNCTION("""COMPUTED_VALUE"""),"Unknown")</f>
        <v>Unknown</v>
      </c>
      <c r="C1009" s="5" t="str">
        <f ca="1">IFERROR(__xludf.DUMMYFUNCTION("""COMPUTED_VALUE"""),"Unknown")</f>
        <v>Unknown</v>
      </c>
      <c r="D1009" s="5"/>
    </row>
    <row r="1010" spans="1:4">
      <c r="A1010" s="5" t="str">
        <f ca="1">IFERROR(__xludf.DUMMYFUNCTION("""COMPUTED_VALUE"""),"20121012NDFAF")</f>
        <v>20121012NDFAF</v>
      </c>
      <c r="B1010" s="5" t="str">
        <f ca="1">IFERROR(__xludf.DUMMYFUNCTION("""COMPUTED_VALUE"""),"Handgun")</f>
        <v>Handgun</v>
      </c>
      <c r="C1010" s="5" t="str">
        <f ca="1">IFERROR(__xludf.DUMMYFUNCTION("""COMPUTED_VALUE"""),"Unknown")</f>
        <v>Unknown</v>
      </c>
      <c r="D1010" s="5"/>
    </row>
    <row r="1011" spans="1:4">
      <c r="A1011" s="5" t="str">
        <f ca="1">IFERROR(__xludf.DUMMYFUNCTION("""COMPUTED_VALUE"""),"20120926OKSTS")</f>
        <v>20120926OKSTS</v>
      </c>
      <c r="B1011" s="5" t="str">
        <f ca="1">IFERROR(__xludf.DUMMYFUNCTION("""COMPUTED_VALUE"""),"Handgun")</f>
        <v>Handgun</v>
      </c>
      <c r="C1011" s="5" t="str">
        <f ca="1">IFERROR(__xludf.DUMMYFUNCTION("""COMPUTED_VALUE"""),"Unknown")</f>
        <v>Unknown</v>
      </c>
      <c r="D1011" s="5"/>
    </row>
    <row r="1012" spans="1:4">
      <c r="A1012" s="5" t="str">
        <f ca="1">IFERROR(__xludf.DUMMYFUNCTION("""COMPUTED_VALUE"""),"20120907ILNON")</f>
        <v>20120907ILNON</v>
      </c>
      <c r="B1012" s="5" t="str">
        <f ca="1">IFERROR(__xludf.DUMMYFUNCTION("""COMPUTED_VALUE"""),"Handgun")</f>
        <v>Handgun</v>
      </c>
      <c r="C1012" s="5" t="str">
        <f ca="1">IFERROR(__xludf.DUMMYFUNCTION("""COMPUTED_VALUE"""),".22 caliber")</f>
        <v>.22 caliber</v>
      </c>
      <c r="D1012" s="5"/>
    </row>
    <row r="1013" spans="1:4">
      <c r="A1013" s="5" t="str">
        <f ca="1">IFERROR(__xludf.DUMMYFUNCTION("""COMPUTED_VALUE"""),"20120827MDPEP")</f>
        <v>20120827MDPEP</v>
      </c>
      <c r="B1013" s="5" t="str">
        <f ca="1">IFERROR(__xludf.DUMMYFUNCTION("""COMPUTED_VALUE"""),"Shotgun")</f>
        <v>Shotgun</v>
      </c>
      <c r="C1013" s="5" t="str">
        <f ca="1">IFERROR(__xludf.DUMMYFUNCTION("""COMPUTED_VALUE"""),"12 gauge")</f>
        <v>12 gauge</v>
      </c>
      <c r="D1013" s="5"/>
    </row>
    <row r="1014" spans="1:4">
      <c r="A1014" s="5" t="str">
        <f ca="1">IFERROR(__xludf.DUMMYFUNCTION("""COMPUTED_VALUE"""),"20120824GABAH")</f>
        <v>20120824GABAH</v>
      </c>
      <c r="B1014" s="5" t="str">
        <f ca="1">IFERROR(__xludf.DUMMYFUNCTION("""COMPUTED_VALUE"""),"Handgun")</f>
        <v>Handgun</v>
      </c>
      <c r="C1014" s="5" t="str">
        <f ca="1">IFERROR(__xludf.DUMMYFUNCTION("""COMPUTED_VALUE"""),"Unknown")</f>
        <v>Unknown</v>
      </c>
      <c r="D1014" s="5"/>
    </row>
    <row r="1015" spans="1:4">
      <c r="A1015" s="5" t="str">
        <f ca="1">IFERROR(__xludf.DUMMYFUNCTION("""COMPUTED_VALUE"""),"20120816TNHAM")</f>
        <v>20120816TNHAM</v>
      </c>
      <c r="B1015" s="5" t="str">
        <f ca="1">IFERROR(__xludf.DUMMYFUNCTION("""COMPUTED_VALUE"""),"Unknown")</f>
        <v>Unknown</v>
      </c>
      <c r="C1015" s="5" t="str">
        <f ca="1">IFERROR(__xludf.DUMMYFUNCTION("""COMPUTED_VALUE"""),"Unknown")</f>
        <v>Unknown</v>
      </c>
      <c r="D1015" s="5"/>
    </row>
    <row r="1016" spans="1:4">
      <c r="A1016" s="5" t="str">
        <f ca="1">IFERROR(__xludf.DUMMYFUNCTION("""COMPUTED_VALUE"""),"20120706RINAP")</f>
        <v>20120706RINAP</v>
      </c>
      <c r="B1016" s="5" t="str">
        <f ca="1">IFERROR(__xludf.DUMMYFUNCTION("""COMPUTED_VALUE"""),"No Data")</f>
        <v>No Data</v>
      </c>
      <c r="C1016" s="5"/>
      <c r="D1016" s="5"/>
    </row>
    <row r="1017" spans="1:4">
      <c r="A1017" s="5" t="str">
        <f ca="1">IFERROR(__xludf.DUMMYFUNCTION("""COMPUTED_VALUE"""),"20120525NCMAC")</f>
        <v>20120525NCMAC</v>
      </c>
      <c r="B1017" s="5" t="str">
        <f ca="1">IFERROR(__xludf.DUMMYFUNCTION("""COMPUTED_VALUE"""),"Handgun")</f>
        <v>Handgun</v>
      </c>
      <c r="C1017" s="5" t="str">
        <f ca="1">IFERROR(__xludf.DUMMYFUNCTION("""COMPUTED_VALUE"""),".44 caliber")</f>
        <v>.44 caliber</v>
      </c>
      <c r="D1017" s="5"/>
    </row>
    <row r="1018" spans="1:4">
      <c r="A1018" s="5" t="str">
        <f ca="1">IFERROR(__xludf.DUMMYFUNCTION("""COMPUTED_VALUE"""),"20120525AZWEA")</f>
        <v>20120525AZWEA</v>
      </c>
      <c r="B1018" s="5" t="str">
        <f ca="1">IFERROR(__xludf.DUMMYFUNCTION("""COMPUTED_VALUE"""),"Handgun")</f>
        <v>Handgun</v>
      </c>
      <c r="C1018" s="5" t="str">
        <f ca="1">IFERROR(__xludf.DUMMYFUNCTION("""COMPUTED_VALUE"""),"Unknown")</f>
        <v>Unknown</v>
      </c>
      <c r="D1018" s="5"/>
    </row>
    <row r="1019" spans="1:4">
      <c r="A1019" s="5" t="str">
        <f ca="1">IFERROR(__xludf.DUMMYFUNCTION("""COMPUTED_VALUE"""),"20120401ARKIR")</f>
        <v>20120401ARKIR</v>
      </c>
      <c r="B1019" s="5" t="str">
        <f ca="1">IFERROR(__xludf.DUMMYFUNCTION("""COMPUTED_VALUE"""),"Handgun")</f>
        <v>Handgun</v>
      </c>
      <c r="C1019" s="5" t="str">
        <f ca="1">IFERROR(__xludf.DUMMYFUNCTION("""COMPUTED_VALUE"""),"Unknown")</f>
        <v>Unknown</v>
      </c>
      <c r="D1019" s="5"/>
    </row>
    <row r="1020" spans="1:4">
      <c r="A1020" s="5" t="str">
        <f ca="1">IFERROR(__xludf.DUMMYFUNCTION("""COMPUTED_VALUE"""),"20120315ALLEM")</f>
        <v>20120315ALLEM</v>
      </c>
      <c r="B1020" s="5" t="str">
        <f ca="1">IFERROR(__xludf.DUMMYFUNCTION("""COMPUTED_VALUE"""),"Handgun")</f>
        <v>Handgun</v>
      </c>
      <c r="C1020" s="5" t="str">
        <f ca="1">IFERROR(__xludf.DUMMYFUNCTION("""COMPUTED_VALUE"""),"Unknown")</f>
        <v>Unknown</v>
      </c>
      <c r="D1020" s="5"/>
    </row>
    <row r="1021" spans="1:4">
      <c r="A1021" s="5" t="str">
        <f ca="1">IFERROR(__xludf.DUMMYFUNCTION("""COMPUTED_VALUE"""),"20120306FLEPJ")</f>
        <v>20120306FLEPJ</v>
      </c>
      <c r="B1021" s="5" t="str">
        <f ca="1">IFERROR(__xludf.DUMMYFUNCTION("""COMPUTED_VALUE"""),"Rifle")</f>
        <v>Rifle</v>
      </c>
      <c r="C1021" s="5" t="str">
        <f ca="1">IFERROR(__xludf.DUMMYFUNCTION("""COMPUTED_VALUE"""),"AK-47")</f>
        <v>AK-47</v>
      </c>
      <c r="D1021" s="5"/>
    </row>
    <row r="1022" spans="1:4">
      <c r="A1022" s="5" t="str">
        <f ca="1">IFERROR(__xludf.DUMMYFUNCTION("""COMPUTED_VALUE"""),"20120227OHCHC")</f>
        <v>20120227OHCHC</v>
      </c>
      <c r="B1022" s="5" t="str">
        <f ca="1">IFERROR(__xludf.DUMMYFUNCTION("""COMPUTED_VALUE"""),"Handgun")</f>
        <v>Handgun</v>
      </c>
      <c r="C1022" s="5" t="str">
        <f ca="1">IFERROR(__xludf.DUMMYFUNCTION("""COMPUTED_VALUE"""),".22 caliber")</f>
        <v>.22 caliber</v>
      </c>
      <c r="D1022" s="5"/>
    </row>
    <row r="1023" spans="1:4">
      <c r="A1023" s="5" t="str">
        <f ca="1">IFERROR(__xludf.DUMMYFUNCTION("""COMPUTED_VALUE"""),"20120222WAARB")</f>
        <v>20120222WAARB</v>
      </c>
      <c r="B1023" s="5" t="str">
        <f ca="1">IFERROR(__xludf.DUMMYFUNCTION("""COMPUTED_VALUE"""),"Handgun")</f>
        <v>Handgun</v>
      </c>
      <c r="C1023" s="5" t="str">
        <f ca="1">IFERROR(__xludf.DUMMYFUNCTION("""COMPUTED_VALUE"""),".45 caliber")</f>
        <v>.45 caliber</v>
      </c>
      <c r="D1023" s="5"/>
    </row>
    <row r="1024" spans="1:4">
      <c r="A1024" s="5" t="str">
        <f ca="1">IFERROR(__xludf.DUMMYFUNCTION("""COMPUTED_VALUE"""),"20120210NHWAW")</f>
        <v>20120210NHWAW</v>
      </c>
      <c r="B1024" s="5" t="str">
        <f ca="1">IFERROR(__xludf.DUMMYFUNCTION("""COMPUTED_VALUE"""),"Shotgun")</f>
        <v>Shotgun</v>
      </c>
      <c r="C1024" s="5" t="str">
        <f ca="1">IFERROR(__xludf.DUMMYFUNCTION("""COMPUTED_VALUE"""),"20 gauge")</f>
        <v>20 gauge</v>
      </c>
      <c r="D1024" s="5"/>
    </row>
    <row r="1025" spans="1:4">
      <c r="A1025" s="5" t="str">
        <f ca="1">IFERROR(__xludf.DUMMYFUNCTION("""COMPUTED_VALUE"""),"20120110TXNOH")</f>
        <v>20120110TXNOH</v>
      </c>
      <c r="B1025" s="5" t="str">
        <f ca="1">IFERROR(__xludf.DUMMYFUNCTION("""COMPUTED_VALUE"""),"Handgun")</f>
        <v>Handgun</v>
      </c>
      <c r="C1025" s="5" t="str">
        <f ca="1">IFERROR(__xludf.DUMMYFUNCTION("""COMPUTED_VALUE"""),"Unknown")</f>
        <v>Unknown</v>
      </c>
      <c r="D1025" s="5"/>
    </row>
    <row r="1026" spans="1:4">
      <c r="A1026" s="5" t="str">
        <f ca="1">IFERROR(__xludf.DUMMYFUNCTION("""COMPUTED_VALUE"""),"20120104TXCUB")</f>
        <v>20120104TXCUB</v>
      </c>
      <c r="B1026" s="5" t="str">
        <f ca="1">IFERROR(__xludf.DUMMYFUNCTION("""COMPUTED_VALUE"""),"Handgun")</f>
        <v>Handgun</v>
      </c>
      <c r="C1026" s="5" t="str">
        <f ca="1">IFERROR(__xludf.DUMMYFUNCTION("""COMPUTED_VALUE"""),"Airsoft")</f>
        <v>Airsoft</v>
      </c>
      <c r="D1026" s="5"/>
    </row>
    <row r="1027" spans="1:4">
      <c r="A1027" s="5" t="str">
        <f ca="1">IFERROR(__xludf.DUMMYFUNCTION("""COMPUTED_VALUE"""),"20111228MINOF")</f>
        <v>20111228MINOF</v>
      </c>
      <c r="B1027" s="5" t="str">
        <f ca="1">IFERROR(__xludf.DUMMYFUNCTION("""COMPUTED_VALUE"""),"Handgun")</f>
        <v>Handgun</v>
      </c>
      <c r="C1027" s="5" t="str">
        <f ca="1">IFERROR(__xludf.DUMMYFUNCTION("""COMPUTED_VALUE"""),"Unknown")</f>
        <v>Unknown</v>
      </c>
      <c r="D1027" s="5"/>
    </row>
    <row r="1028" spans="1:4">
      <c r="A1028" s="5" t="str">
        <f ca="1">IFERROR(__xludf.DUMMYFUNCTION("""COMPUTED_VALUE"""),"20111212TXHAE")</f>
        <v>20111212TXHAE</v>
      </c>
      <c r="B1028" s="5" t="str">
        <f ca="1">IFERROR(__xludf.DUMMYFUNCTION("""COMPUTED_VALUE"""),"Rifle")</f>
        <v>Rifle</v>
      </c>
      <c r="C1028" s="5" t="str">
        <f ca="1">IFERROR(__xludf.DUMMYFUNCTION("""COMPUTED_VALUE"""),".308 caliber")</f>
        <v>.308 caliber</v>
      </c>
      <c r="D1028" s="5"/>
    </row>
    <row r="1029" spans="1:4">
      <c r="A1029" s="5" t="str">
        <f ca="1">IFERROR(__xludf.DUMMYFUNCTION("""COMPUTED_VALUE"""),"20111024NCCAF")</f>
        <v>20111024NCCAF</v>
      </c>
      <c r="B1029" s="5" t="str">
        <f ca="1">IFERROR(__xludf.DUMMYFUNCTION("""COMPUTED_VALUE"""),"Rifle")</f>
        <v>Rifle</v>
      </c>
      <c r="C1029" s="5" t="str">
        <f ca="1">IFERROR(__xludf.DUMMYFUNCTION("""COMPUTED_VALUE"""),".22 caliber")</f>
        <v>.22 caliber</v>
      </c>
      <c r="D1029" s="5"/>
    </row>
    <row r="1030" spans="1:4">
      <c r="A1030" s="5" t="str">
        <f ca="1">IFERROR(__xludf.DUMMYFUNCTION("""COMPUTED_VALUE"""),"20110930ORWIP")</f>
        <v>20110930ORWIP</v>
      </c>
      <c r="B1030" s="5" t="str">
        <f ca="1">IFERROR(__xludf.DUMMYFUNCTION("""COMPUTED_VALUE"""),"Handgun")</f>
        <v>Handgun</v>
      </c>
      <c r="C1030" s="5" t="str">
        <f ca="1">IFERROR(__xludf.DUMMYFUNCTION("""COMPUTED_VALUE"""),".22 caliber")</f>
        <v>.22 caliber</v>
      </c>
      <c r="D1030" s="5" t="str">
        <f ca="1">IFERROR(__xludf.DUMMYFUNCTION("""COMPUTED_VALUE"""),".22 pistol and double barreled shotgun")</f>
        <v>.22 pistol and double barreled shotgun</v>
      </c>
    </row>
    <row r="1031" spans="1:4">
      <c r="A1031" s="5" t="str">
        <f ca="1">IFERROR(__xludf.DUMMYFUNCTION("""COMPUTED_VALUE"""),"20110930ORWIP")</f>
        <v>20110930ORWIP</v>
      </c>
      <c r="B1031" s="5" t="str">
        <f ca="1">IFERROR(__xludf.DUMMYFUNCTION("""COMPUTED_VALUE"""),"Shotgun")</f>
        <v>Shotgun</v>
      </c>
      <c r="C1031" s="5" t="str">
        <f ca="1">IFERROR(__xludf.DUMMYFUNCTION("""COMPUTED_VALUE"""),"Double-barreled")</f>
        <v>Double-barreled</v>
      </c>
      <c r="D1031" s="5" t="str">
        <f ca="1">IFERROR(__xludf.DUMMYFUNCTION("""COMPUTED_VALUE"""),".22 pistol and double barreled shotgun")</f>
        <v>.22 pistol and double barreled shotgun</v>
      </c>
    </row>
    <row r="1032" spans="1:4">
      <c r="A1032" s="5" t="str">
        <f ca="1">IFERROR(__xludf.DUMMYFUNCTION("""COMPUTED_VALUE"""),"20110930NCGAC")</f>
        <v>20110930NCGAC</v>
      </c>
      <c r="B1032" s="5" t="str">
        <f ca="1">IFERROR(__xludf.DUMMYFUNCTION("""COMPUTED_VALUE"""),"Handgun")</f>
        <v>Handgun</v>
      </c>
      <c r="C1032" s="5" t="str">
        <f ca="1">IFERROR(__xludf.DUMMYFUNCTION("""COMPUTED_VALUE"""),"Unknown")</f>
        <v>Unknown</v>
      </c>
      <c r="D1032" s="5"/>
    </row>
    <row r="1033" spans="1:4">
      <c r="A1033" s="5" t="str">
        <f ca="1">IFERROR(__xludf.DUMMYFUNCTION("""COMPUTED_VALUE"""),"20110923WAISS")</f>
        <v>20110923WAISS</v>
      </c>
      <c r="B1033" s="5" t="str">
        <f ca="1">IFERROR(__xludf.DUMMYFUNCTION("""COMPUTED_VALUE"""),"Rifle")</f>
        <v>Rifle</v>
      </c>
      <c r="C1033" s="5" t="str">
        <f ca="1">IFERROR(__xludf.DUMMYFUNCTION("""COMPUTED_VALUE"""),"Unknown")</f>
        <v>Unknown</v>
      </c>
      <c r="D1033" s="5"/>
    </row>
    <row r="1034" spans="1:4">
      <c r="A1034" s="5" t="str">
        <f ca="1">IFERROR(__xludf.DUMMYFUNCTION("""COMPUTED_VALUE"""),"20110523HIHIP")</f>
        <v>20110523HIHIP</v>
      </c>
      <c r="B1034" s="5" t="str">
        <f ca="1">IFERROR(__xludf.DUMMYFUNCTION("""COMPUTED_VALUE"""),"Handgun")</f>
        <v>Handgun</v>
      </c>
      <c r="C1034" s="5" t="str">
        <f ca="1">IFERROR(__xludf.DUMMYFUNCTION("""COMPUTED_VALUE"""),".45 caliber")</f>
        <v>.45 caliber</v>
      </c>
      <c r="D1034" s="5"/>
    </row>
    <row r="1035" spans="1:4">
      <c r="A1035" s="5" t="str">
        <f ca="1">IFERROR(__xludf.DUMMYFUNCTION("""COMPUTED_VALUE"""),"20110517WAHOE")</f>
        <v>20110517WAHOE</v>
      </c>
      <c r="B1035" s="5" t="str">
        <f ca="1">IFERROR(__xludf.DUMMYFUNCTION("""COMPUTED_VALUE"""),"Handgun")</f>
        <v>Handgun</v>
      </c>
      <c r="C1035" s="5" t="str">
        <f ca="1">IFERROR(__xludf.DUMMYFUNCTION("""COMPUTED_VALUE"""),"Unknown")</f>
        <v>Unknown</v>
      </c>
      <c r="D1035" s="5"/>
    </row>
    <row r="1036" spans="1:4">
      <c r="A1036" s="5" t="str">
        <f ca="1">IFERROR(__xludf.DUMMYFUNCTION("""COMPUTED_VALUE"""),"20110419TXBEH")</f>
        <v>20110419TXBEH</v>
      </c>
      <c r="B1036" s="5" t="str">
        <f ca="1">IFERROR(__xludf.DUMMYFUNCTION("""COMPUTED_VALUE"""),"Handgun")</f>
        <v>Handgun</v>
      </c>
      <c r="C1036" s="5" t="str">
        <f ca="1">IFERROR(__xludf.DUMMYFUNCTION("""COMPUTED_VALUE"""),".38 caliber")</f>
        <v>.38 caliber</v>
      </c>
      <c r="D1036" s="5"/>
    </row>
    <row r="1037" spans="1:4">
      <c r="A1037" s="5" t="str">
        <f ca="1">IFERROR(__xludf.DUMMYFUNCTION("""COMPUTED_VALUE"""),"20110413FLSHA")</f>
        <v>20110413FLSHA</v>
      </c>
      <c r="B1037" s="5" t="str">
        <f ca="1">IFERROR(__xludf.DUMMYFUNCTION("""COMPUTED_VALUE"""),"Handgun")</f>
        <v>Handgun</v>
      </c>
      <c r="C1037" s="5" t="str">
        <f ca="1">IFERROR(__xludf.DUMMYFUNCTION("""COMPUTED_VALUE"""),"Unknown")</f>
        <v>Unknown</v>
      </c>
      <c r="D1037" s="5"/>
    </row>
    <row r="1038" spans="1:4">
      <c r="A1038" s="5" t="str">
        <f ca="1">IFERROR(__xludf.DUMMYFUNCTION("""COMPUTED_VALUE"""),"20110330TXWOH")</f>
        <v>20110330TXWOH</v>
      </c>
      <c r="B1038" s="5" t="str">
        <f ca="1">IFERROR(__xludf.DUMMYFUNCTION("""COMPUTED_VALUE"""),"Handgun")</f>
        <v>Handgun</v>
      </c>
      <c r="C1038" s="5" t="str">
        <f ca="1">IFERROR(__xludf.DUMMYFUNCTION("""COMPUTED_VALUE"""),"Unknown")</f>
        <v>Unknown</v>
      </c>
      <c r="D1038" s="5"/>
    </row>
    <row r="1039" spans="1:4">
      <c r="A1039" s="5" t="str">
        <f ca="1">IFERROR(__xludf.DUMMYFUNCTION("""COMPUTED_VALUE"""),"20110325INMAM")</f>
        <v>20110325INMAM</v>
      </c>
      <c r="B1039" s="5" t="str">
        <f ca="1">IFERROR(__xludf.DUMMYFUNCTION("""COMPUTED_VALUE"""),"Handgun")</f>
        <v>Handgun</v>
      </c>
      <c r="C1039" s="5" t="str">
        <f ca="1">IFERROR(__xludf.DUMMYFUNCTION("""COMPUTED_VALUE"""),"9mm")</f>
        <v>9mm</v>
      </c>
      <c r="D1039" s="5"/>
    </row>
    <row r="1040" spans="1:4">
      <c r="A1040" s="5" t="str">
        <f ca="1">IFERROR(__xludf.DUMMYFUNCTION("""COMPUTED_VALUE"""),"20110202CALOP")</f>
        <v>20110202CALOP</v>
      </c>
      <c r="B1040" s="5" t="str">
        <f ca="1">IFERROR(__xludf.DUMMYFUNCTION("""COMPUTED_VALUE"""),"Handgun")</f>
        <v>Handgun</v>
      </c>
      <c r="C1040" s="5" t="str">
        <f ca="1">IFERROR(__xludf.DUMMYFUNCTION("""COMPUTED_VALUE"""),".357 caliber")</f>
        <v>.357 caliber</v>
      </c>
      <c r="D1040" s="5"/>
    </row>
    <row r="1041" spans="1:4">
      <c r="A1041" s="5" t="str">
        <f ca="1">IFERROR(__xludf.DUMMYFUNCTION("""COMPUTED_VALUE"""),"20110118CAGAL")</f>
        <v>20110118CAGAL</v>
      </c>
      <c r="B1041" s="5" t="str">
        <f ca="1">IFERROR(__xludf.DUMMYFUNCTION("""COMPUTED_VALUE"""),"Handgun")</f>
        <v>Handgun</v>
      </c>
      <c r="C1041" s="5" t="str">
        <f ca="1">IFERROR(__xludf.DUMMYFUNCTION("""COMPUTED_VALUE"""),"Unknown")</f>
        <v>Unknown</v>
      </c>
      <c r="D1041" s="5"/>
    </row>
    <row r="1042" spans="1:4">
      <c r="A1042" s="5" t="str">
        <f ca="1">IFERROR(__xludf.DUMMYFUNCTION("""COMPUTED_VALUE"""),"20110105NEMIO")</f>
        <v>20110105NEMIO</v>
      </c>
      <c r="B1042" s="5" t="str">
        <f ca="1">IFERROR(__xludf.DUMMYFUNCTION("""COMPUTED_VALUE"""),"Handgun")</f>
        <v>Handgun</v>
      </c>
      <c r="C1042" s="5" t="str">
        <f ca="1">IFERROR(__xludf.DUMMYFUNCTION("""COMPUTED_VALUE"""),".40 caliber")</f>
        <v>.40 caliber</v>
      </c>
      <c r="D1042" s="5"/>
    </row>
    <row r="1043" spans="1:4">
      <c r="A1043" s="5" t="str">
        <f ca="1">IFERROR(__xludf.DUMMYFUNCTION("""COMPUTED_VALUE"""),"20110104INCRC")</f>
        <v>20110104INCRC</v>
      </c>
      <c r="B1043" s="5" t="str">
        <f ca="1">IFERROR(__xludf.DUMMYFUNCTION("""COMPUTED_VALUE"""),"Other")</f>
        <v>Other</v>
      </c>
      <c r="C1043" s="5" t="str">
        <f ca="1">IFERROR(__xludf.DUMMYFUNCTION("""COMPUTED_VALUE"""),"BB")</f>
        <v>BB</v>
      </c>
      <c r="D1043" s="5"/>
    </row>
    <row r="1044" spans="1:4">
      <c r="A1044" s="5" t="str">
        <f ca="1">IFERROR(__xludf.DUMMYFUNCTION("""COMPUTED_VALUE"""),"20101206COAUA")</f>
        <v>20101206COAUA</v>
      </c>
      <c r="B1044" s="5" t="str">
        <f ca="1">IFERROR(__xludf.DUMMYFUNCTION("""COMPUTED_VALUE"""),"Handgun")</f>
        <v>Handgun</v>
      </c>
      <c r="C1044" s="5" t="str">
        <f ca="1">IFERROR(__xludf.DUMMYFUNCTION("""COMPUTED_VALUE"""),"Unknown")</f>
        <v>Unknown</v>
      </c>
      <c r="D1044" s="5"/>
    </row>
    <row r="1045" spans="1:4">
      <c r="A1045" s="5" t="str">
        <f ca="1">IFERROR(__xludf.DUMMYFUNCTION("""COMPUTED_VALUE"""),"20101129WIMAM")</f>
        <v>20101129WIMAM</v>
      </c>
      <c r="B1045" s="5" t="str">
        <f ca="1">IFERROR(__xludf.DUMMYFUNCTION("""COMPUTED_VALUE"""),"Handgun")</f>
        <v>Handgun</v>
      </c>
      <c r="C1045" s="5" t="str">
        <f ca="1">IFERROR(__xludf.DUMMYFUNCTION("""COMPUTED_VALUE"""),"Unknown")</f>
        <v>Unknown</v>
      </c>
      <c r="D1045" s="5"/>
    </row>
    <row r="1046" spans="1:4">
      <c r="A1046" s="5" t="str">
        <f ca="1">IFERROR(__xludf.DUMMYFUNCTION("""COMPUTED_VALUE"""),"20101023KSTOT")</f>
        <v>20101023KSTOT</v>
      </c>
      <c r="B1046" s="5" t="str">
        <f ca="1">IFERROR(__xludf.DUMMYFUNCTION("""COMPUTED_VALUE"""),"Handgun")</f>
        <v>Handgun</v>
      </c>
      <c r="C1046" s="5" t="str">
        <f ca="1">IFERROR(__xludf.DUMMYFUNCTION("""COMPUTED_VALUE"""),"Unknown")</f>
        <v>Unknown</v>
      </c>
      <c r="D1046" s="5"/>
    </row>
    <row r="1047" spans="1:4">
      <c r="A1047" s="5" t="str">
        <f ca="1">IFERROR(__xludf.DUMMYFUNCTION("""COMPUTED_VALUE"""),"20101008CAKEC")</f>
        <v>20101008CAKEC</v>
      </c>
      <c r="B1047" s="5" t="str">
        <f ca="1">IFERROR(__xludf.DUMMYFUNCTION("""COMPUTED_VALUE"""),"Handgun")</f>
        <v>Handgun</v>
      </c>
      <c r="C1047" s="5" t="str">
        <f ca="1">IFERROR(__xludf.DUMMYFUNCTION("""COMPUTED_VALUE"""),".357 caliber")</f>
        <v>.357 caliber</v>
      </c>
      <c r="D1047" s="5"/>
    </row>
    <row r="1048" spans="1:4">
      <c r="A1048" s="5" t="str">
        <f ca="1">IFERROR(__xludf.DUMMYFUNCTION("""COMPUTED_VALUE"""),"20101001CAALS")</f>
        <v>20101001CAALS</v>
      </c>
      <c r="B1048" s="5" t="str">
        <f ca="1">IFERROR(__xludf.DUMMYFUNCTION("""COMPUTED_VALUE"""),"No Data")</f>
        <v>No Data</v>
      </c>
      <c r="C1048" s="5"/>
      <c r="D1048" s="5"/>
    </row>
    <row r="1049" spans="1:4">
      <c r="A1049" s="5" t="str">
        <f ca="1">IFERROR(__xludf.DUMMYFUNCTION("""COMPUTED_VALUE"""),"20100921SCSOC")</f>
        <v>20100921SCSOC</v>
      </c>
      <c r="B1049" s="5" t="str">
        <f ca="1">IFERROR(__xludf.DUMMYFUNCTION("""COMPUTED_VALUE"""),"Handgun")</f>
        <v>Handgun</v>
      </c>
      <c r="C1049" s="5" t="str">
        <f ca="1">IFERROR(__xludf.DUMMYFUNCTION("""COMPUTED_VALUE"""),"Unknown")</f>
        <v>Unknown</v>
      </c>
      <c r="D1049" s="5"/>
    </row>
    <row r="1050" spans="1:4">
      <c r="A1050" s="5" t="str">
        <f ca="1">IFERROR(__xludf.DUMMYFUNCTION("""COMPUTED_VALUE"""),"20100908MIMUD")</f>
        <v>20100908MIMUD</v>
      </c>
      <c r="B1050" s="5" t="str">
        <f ca="1">IFERROR(__xludf.DUMMYFUNCTION("""COMPUTED_VALUE"""),"No Data")</f>
        <v>No Data</v>
      </c>
      <c r="C1050" s="5"/>
      <c r="D1050" s="5"/>
    </row>
    <row r="1051" spans="1:4">
      <c r="A1051" s="5" t="str">
        <f ca="1">IFERROR(__xludf.DUMMYFUNCTION("""COMPUTED_VALUE"""),"20100830TNSUB")</f>
        <v>20100830TNSUB</v>
      </c>
      <c r="B1051" s="5" t="str">
        <f ca="1">IFERROR(__xludf.DUMMYFUNCTION("""COMPUTED_VALUE"""),"Handgun")</f>
        <v>Handgun</v>
      </c>
      <c r="C1051" s="5" t="str">
        <f ca="1">IFERROR(__xludf.DUMMYFUNCTION("""COMPUTED_VALUE"""),".38 caliber")</f>
        <v>.38 caliber</v>
      </c>
      <c r="D1051" s="5"/>
    </row>
    <row r="1052" spans="1:4">
      <c r="A1052" s="5" t="str">
        <f ca="1">IFERROR(__xludf.DUMMYFUNCTION("""COMPUTED_VALUE"""),"20100518CASOS")</f>
        <v>20100518CASOS</v>
      </c>
      <c r="B1052" s="5" t="str">
        <f ca="1">IFERROR(__xludf.DUMMYFUNCTION("""COMPUTED_VALUE"""),"Handgun")</f>
        <v>Handgun</v>
      </c>
      <c r="C1052" s="5" t="str">
        <f ca="1">IFERROR(__xludf.DUMMYFUNCTION("""COMPUTED_VALUE"""),"Unknown")</f>
        <v>Unknown</v>
      </c>
      <c r="D1052" s="5"/>
    </row>
    <row r="1053" spans="1:4">
      <c r="A1053" s="5" t="str">
        <f ca="1">IFERROR(__xludf.DUMMYFUNCTION("""COMPUTED_VALUE"""),"20100428VAWOP")</f>
        <v>20100428VAWOP</v>
      </c>
      <c r="B1053" s="5" t="str">
        <f ca="1">IFERROR(__xludf.DUMMYFUNCTION("""COMPUTED_VALUE"""),"Handgun")</f>
        <v>Handgun</v>
      </c>
      <c r="C1053" s="5" t="str">
        <f ca="1">IFERROR(__xludf.DUMMYFUNCTION("""COMPUTED_VALUE"""),"Unknown")</f>
        <v>Unknown</v>
      </c>
      <c r="D1053" s="5"/>
    </row>
    <row r="1054" spans="1:4">
      <c r="A1054" s="5" t="str">
        <f ca="1">IFERROR(__xludf.DUMMYFUNCTION("""COMPUTED_VALUE"""),"20100226WABIT")</f>
        <v>20100226WABIT</v>
      </c>
      <c r="B1054" s="5" t="str">
        <f ca="1">IFERROR(__xludf.DUMMYFUNCTION("""COMPUTED_VALUE"""),"No Data")</f>
        <v>No Data</v>
      </c>
      <c r="C1054" s="5"/>
      <c r="D1054" s="5"/>
    </row>
    <row r="1055" spans="1:4">
      <c r="A1055" s="5" t="str">
        <f ca="1">IFERROR(__xludf.DUMMYFUNCTION("""COMPUTED_VALUE"""),"20100223CODEL")</f>
        <v>20100223CODEL</v>
      </c>
      <c r="B1055" s="5" t="str">
        <f ca="1">IFERROR(__xludf.DUMMYFUNCTION("""COMPUTED_VALUE"""),"Rifle")</f>
        <v>Rifle</v>
      </c>
      <c r="C1055" s="5" t="str">
        <f ca="1">IFERROR(__xludf.DUMMYFUNCTION("""COMPUTED_VALUE"""),".30-06")</f>
        <v>.30-06</v>
      </c>
      <c r="D1055" s="5"/>
    </row>
    <row r="1056" spans="1:4">
      <c r="A1056" s="5" t="str">
        <f ca="1">IFERROR(__xludf.DUMMYFUNCTION("""COMPUTED_VALUE"""),"20100210TNINK")</f>
        <v>20100210TNINK</v>
      </c>
      <c r="B1056" s="5" t="str">
        <f ca="1">IFERROR(__xludf.DUMMYFUNCTION("""COMPUTED_VALUE"""),"Handgun")</f>
        <v>Handgun</v>
      </c>
      <c r="C1056" s="5" t="str">
        <f ca="1">IFERROR(__xludf.DUMMYFUNCTION("""COMPUTED_VALUE"""),"Unknown")</f>
        <v>Unknown</v>
      </c>
      <c r="D1056" s="5"/>
    </row>
    <row r="1057" spans="1:4">
      <c r="A1057" s="5" t="str">
        <f ca="1">IFERROR(__xludf.DUMMYFUNCTION("""COMPUTED_VALUE"""),"20100205ALDIM")</f>
        <v>20100205ALDIM</v>
      </c>
      <c r="B1057" s="5" t="str">
        <f ca="1">IFERROR(__xludf.DUMMYFUNCTION("""COMPUTED_VALUE"""),"Handgun")</f>
        <v>Handgun</v>
      </c>
      <c r="C1057" s="5" t="str">
        <f ca="1">IFERROR(__xludf.DUMMYFUNCTION("""COMPUTED_VALUE"""),".22 caliber")</f>
        <v>.22 caliber</v>
      </c>
      <c r="D1057" s="5"/>
    </row>
    <row r="1058" spans="1:4">
      <c r="A1058" s="5" t="str">
        <f ca="1">IFERROR(__xludf.DUMMYFUNCTION("""COMPUTED_VALUE"""),"20100120ALLIL")</f>
        <v>20100120ALLIL</v>
      </c>
      <c r="B1058" s="5" t="str">
        <f ca="1">IFERROR(__xludf.DUMMYFUNCTION("""COMPUTED_VALUE"""),"No Data")</f>
        <v>No Data</v>
      </c>
      <c r="C1058" s="5"/>
      <c r="D1058" s="5"/>
    </row>
    <row r="1059" spans="1:4">
      <c r="A1059" s="5" t="str">
        <f ca="1">IFERROR(__xludf.DUMMYFUNCTION("""COMPUTED_VALUE"""),"20091211LABOS")</f>
        <v>20091211LABOS</v>
      </c>
      <c r="B1059" s="5" t="str">
        <f ca="1">IFERROR(__xludf.DUMMYFUNCTION("""COMPUTED_VALUE"""),"Handgun")</f>
        <v>Handgun</v>
      </c>
      <c r="C1059" s="5" t="str">
        <f ca="1">IFERROR(__xludf.DUMMYFUNCTION("""COMPUTED_VALUE"""),"Unknown")</f>
        <v>Unknown</v>
      </c>
      <c r="D1059" s="5"/>
    </row>
    <row r="1060" spans="1:4">
      <c r="A1060" s="5" t="str">
        <f ca="1">IFERROR(__xludf.DUMMYFUNCTION("""COMPUTED_VALUE"""),"20091106PAHAW")</f>
        <v>20091106PAHAW</v>
      </c>
      <c r="B1060" s="5" t="str">
        <f ca="1">IFERROR(__xludf.DUMMYFUNCTION("""COMPUTED_VALUE"""),"Handgun")</f>
        <v>Handgun</v>
      </c>
      <c r="C1060" s="5" t="str">
        <f ca="1">IFERROR(__xludf.DUMMYFUNCTION("""COMPUTED_VALUE"""),".22 caliber")</f>
        <v>.22 caliber</v>
      </c>
      <c r="D1060" s="5"/>
    </row>
    <row r="1061" spans="1:4">
      <c r="A1061" s="5" t="str">
        <f ca="1">IFERROR(__xludf.DUMMYFUNCTION("""COMPUTED_VALUE"""),"20091030CAWIL")</f>
        <v>20091030CAWIL</v>
      </c>
      <c r="B1061" s="5" t="str">
        <f ca="1">IFERROR(__xludf.DUMMYFUNCTION("""COMPUTED_VALUE"""),"Shotgun")</f>
        <v>Shotgun</v>
      </c>
      <c r="C1061" s="5" t="str">
        <f ca="1">IFERROR(__xludf.DUMMYFUNCTION("""COMPUTED_VALUE"""),".25 caliber")</f>
        <v>.25 caliber</v>
      </c>
      <c r="D1061" s="5"/>
    </row>
    <row r="1062" spans="1:4">
      <c r="A1062" s="5" t="str">
        <f ca="1">IFERROR(__xludf.DUMMYFUNCTION("""COMPUTED_VALUE"""),"20091016SCCAC")</f>
        <v>20091016SCCAC</v>
      </c>
      <c r="B1062" s="5" t="str">
        <f ca="1">IFERROR(__xludf.DUMMYFUNCTION("""COMPUTED_VALUE"""),"Handgun")</f>
        <v>Handgun</v>
      </c>
      <c r="C1062" s="5" t="str">
        <f ca="1">IFERROR(__xludf.DUMMYFUNCTION("""COMPUTED_VALUE"""),"Service Weapon")</f>
        <v>Service Weapon</v>
      </c>
      <c r="D1062" s="5"/>
    </row>
    <row r="1063" spans="1:4">
      <c r="A1063" s="5" t="str">
        <f ca="1">IFERROR(__xludf.DUMMYFUNCTION("""COMPUTED_VALUE"""),"20091008NYMAM")</f>
        <v>20091008NYMAM</v>
      </c>
      <c r="B1063" s="5" t="str">
        <f ca="1">IFERROR(__xludf.DUMMYFUNCTION("""COMPUTED_VALUE"""),"Rifle")</f>
        <v>Rifle</v>
      </c>
      <c r="C1063" s="5" t="str">
        <f ca="1">IFERROR(__xludf.DUMMYFUNCTION("""COMPUTED_VALUE"""),".22 caliber")</f>
        <v>.22 caliber</v>
      </c>
      <c r="D1063" s="5"/>
    </row>
    <row r="1064" spans="1:4">
      <c r="A1064" s="5" t="str">
        <f ca="1">IFERROR(__xludf.DUMMYFUNCTION("""COMPUTED_VALUE"""),"20090916VAVIG")</f>
        <v>20090916VAVIG</v>
      </c>
      <c r="B1064" s="5" t="str">
        <f ca="1">IFERROR(__xludf.DUMMYFUNCTION("""COMPUTED_VALUE"""),"Handgun")</f>
        <v>Handgun</v>
      </c>
      <c r="C1064" s="5" t="str">
        <f ca="1">IFERROR(__xludf.DUMMYFUNCTION("""COMPUTED_VALUE"""),".40 caliber")</f>
        <v>.40 caliber</v>
      </c>
      <c r="D1064" s="5"/>
    </row>
    <row r="1065" spans="1:4">
      <c r="A1065" s="5" t="str">
        <f ca="1">IFERROR(__xludf.DUMMYFUNCTION("""COMPUTED_VALUE"""),"20090908CTSTS")</f>
        <v>20090908CTSTS</v>
      </c>
      <c r="B1065" s="5" t="str">
        <f ca="1">IFERROR(__xludf.DUMMYFUNCTION("""COMPUTED_VALUE"""),"Handgun")</f>
        <v>Handgun</v>
      </c>
      <c r="C1065" s="5" t="str">
        <f ca="1">IFERROR(__xludf.DUMMYFUNCTION("""COMPUTED_VALUE"""),".22 caliber")</f>
        <v>.22 caliber</v>
      </c>
      <c r="D1065" s="5"/>
    </row>
    <row r="1066" spans="1:4">
      <c r="A1066" s="5" t="str">
        <f ca="1">IFERROR(__xludf.DUMMYFUNCTION("""COMPUTED_VALUE"""),"20090827NCWEF")</f>
        <v>20090827NCWEF</v>
      </c>
      <c r="B1066" s="5" t="str">
        <f ca="1">IFERROR(__xludf.DUMMYFUNCTION("""COMPUTED_VALUE"""),"Handgun")</f>
        <v>Handgun</v>
      </c>
      <c r="C1066" s="5" t="str">
        <f ca="1">IFERROR(__xludf.DUMMYFUNCTION("""COMPUTED_VALUE"""),"Unknown")</f>
        <v>Unknown</v>
      </c>
      <c r="D1066" s="5"/>
    </row>
    <row r="1067" spans="1:4">
      <c r="A1067" s="5" t="str">
        <f ca="1">IFERROR(__xludf.DUMMYFUNCTION("""COMPUTED_VALUE"""),"20090624IAAPP")</f>
        <v>20090624IAAPP</v>
      </c>
      <c r="B1067" s="5" t="str">
        <f ca="1">IFERROR(__xludf.DUMMYFUNCTION("""COMPUTED_VALUE"""),"Handgun")</f>
        <v>Handgun</v>
      </c>
      <c r="C1067" s="5" t="str">
        <f ca="1">IFERROR(__xludf.DUMMYFUNCTION("""COMPUTED_VALUE"""),".22 caliber")</f>
        <v>.22 caliber</v>
      </c>
      <c r="D1067" s="5"/>
    </row>
    <row r="1068" spans="1:4">
      <c r="A1068" s="5" t="str">
        <f ca="1">IFERROR(__xludf.DUMMYFUNCTION("""COMPUTED_VALUE"""),"20090615CAINS")</f>
        <v>20090615CAINS</v>
      </c>
      <c r="B1068" s="5" t="str">
        <f ca="1">IFERROR(__xludf.DUMMYFUNCTION("""COMPUTED_VALUE"""),"Handgun")</f>
        <v>Handgun</v>
      </c>
      <c r="C1068" s="5" t="str">
        <f ca="1">IFERROR(__xludf.DUMMYFUNCTION("""COMPUTED_VALUE"""),"Unknown")</f>
        <v>Unknown</v>
      </c>
      <c r="D1068" s="5"/>
    </row>
    <row r="1069" spans="1:4">
      <c r="A1069" s="5" t="str">
        <f ca="1">IFERROR(__xludf.DUMMYFUNCTION("""COMPUTED_VALUE"""),"20090518LALAL")</f>
        <v>20090518LALAL</v>
      </c>
      <c r="B1069" s="5" t="str">
        <f ca="1">IFERROR(__xludf.DUMMYFUNCTION("""COMPUTED_VALUE"""),"Handgun")</f>
        <v>Handgun</v>
      </c>
      <c r="C1069" s="5" t="str">
        <f ca="1">IFERROR(__xludf.DUMMYFUNCTION("""COMPUTED_VALUE"""),".25 caliber")</f>
        <v>.25 caliber</v>
      </c>
      <c r="D1069" s="5"/>
    </row>
    <row r="1070" spans="1:4">
      <c r="A1070" s="5" t="str">
        <f ca="1">IFERROR(__xludf.DUMMYFUNCTION("""COMPUTED_VALUE"""),"20090505NYCAC")</f>
        <v>20090505NYCAC</v>
      </c>
      <c r="B1070" s="5" t="str">
        <f ca="1">IFERROR(__xludf.DUMMYFUNCTION("""COMPUTED_VALUE"""),"Shotgun")</f>
        <v>Shotgun</v>
      </c>
      <c r="C1070" s="5" t="str">
        <f ca="1">IFERROR(__xludf.DUMMYFUNCTION("""COMPUTED_VALUE"""),"Unknown")</f>
        <v>Unknown</v>
      </c>
      <c r="D1070" s="5"/>
    </row>
    <row r="1071" spans="1:4">
      <c r="A1071" s="5" t="str">
        <f ca="1">IFERROR(__xludf.DUMMYFUNCTION("""COMPUTED_VALUE"""),"20090501WISHS")</f>
        <v>20090501WISHS</v>
      </c>
      <c r="B1071" s="5" t="str">
        <f ca="1">IFERROR(__xludf.DUMMYFUNCTION("""COMPUTED_VALUE"""),"No Data")</f>
        <v>No Data</v>
      </c>
      <c r="C1071" s="5"/>
      <c r="D1071" s="5"/>
    </row>
    <row r="1072" spans="1:4">
      <c r="A1072" s="5" t="str">
        <f ca="1">IFERROR(__xludf.DUMMYFUNCTION("""COMPUTED_VALUE"""),"20090413CALOL")</f>
        <v>20090413CALOL</v>
      </c>
      <c r="B1072" s="5" t="str">
        <f ca="1">IFERROR(__xludf.DUMMYFUNCTION("""COMPUTED_VALUE"""),"Handgun")</f>
        <v>Handgun</v>
      </c>
      <c r="C1072" s="5" t="str">
        <f ca="1">IFERROR(__xludf.DUMMYFUNCTION("""COMPUTED_VALUE"""),"Unknown")</f>
        <v>Unknown</v>
      </c>
      <c r="D1072" s="5"/>
    </row>
    <row r="1073" spans="1:4">
      <c r="A1073" s="5" t="str">
        <f ca="1">IFERROR(__xludf.DUMMYFUNCTION("""COMPUTED_VALUE"""),"20090311TXCYH")</f>
        <v>20090311TXCYH</v>
      </c>
      <c r="B1073" s="5" t="str">
        <f ca="1">IFERROR(__xludf.DUMMYFUNCTION("""COMPUTED_VALUE"""),"Handgun")</f>
        <v>Handgun</v>
      </c>
      <c r="C1073" s="5" t="str">
        <f ca="1">IFERROR(__xludf.DUMMYFUNCTION("""COMPUTED_VALUE"""),"Unknown")</f>
        <v>Unknown</v>
      </c>
      <c r="D1073" s="5"/>
    </row>
    <row r="1074" spans="1:4">
      <c r="A1074" s="5" t="str">
        <f ca="1">IFERROR(__xludf.DUMMYFUNCTION("""COMPUTED_VALUE"""),"20090310FLRIJ")</f>
        <v>20090310FLRIJ</v>
      </c>
      <c r="B1074" s="5" t="str">
        <f ca="1">IFERROR(__xludf.DUMMYFUNCTION("""COMPUTED_VALUE"""),"Handgun")</f>
        <v>Handgun</v>
      </c>
      <c r="C1074" s="5" t="str">
        <f ca="1">IFERROR(__xludf.DUMMYFUNCTION("""COMPUTED_VALUE"""),"Unknown")</f>
        <v>Unknown</v>
      </c>
      <c r="D1074" s="5"/>
    </row>
    <row r="1075" spans="1:4">
      <c r="A1075" s="5" t="str">
        <f ca="1">IFERROR(__xludf.DUMMYFUNCTION("""COMPUTED_VALUE"""),"20090306NCWEF")</f>
        <v>20090306NCWEF</v>
      </c>
      <c r="B1075" s="5" t="str">
        <f ca="1">IFERROR(__xludf.DUMMYFUNCTION("""COMPUTED_VALUE"""),"No Data")</f>
        <v>No Data</v>
      </c>
      <c r="C1075" s="5"/>
      <c r="D1075" s="5"/>
    </row>
    <row r="1076" spans="1:4">
      <c r="A1076" s="5" t="str">
        <f ca="1">IFERROR(__xludf.DUMMYFUNCTION("""COMPUTED_VALUE"""),"20090302SDROS")</f>
        <v>20090302SDROS</v>
      </c>
      <c r="B1076" s="5" t="str">
        <f ca="1">IFERROR(__xludf.DUMMYFUNCTION("""COMPUTED_VALUE"""),"Other")</f>
        <v>Other</v>
      </c>
      <c r="C1076" s="5" t="str">
        <f ca="1">IFERROR(__xludf.DUMMYFUNCTION("""COMPUTED_VALUE"""),"Pellet")</f>
        <v>Pellet</v>
      </c>
      <c r="D1076" s="5"/>
    </row>
    <row r="1077" spans="1:4">
      <c r="A1077" s="5" t="str">
        <f ca="1">IFERROR(__xludf.DUMMYFUNCTION("""COMPUTED_VALUE"""),"20090223CTBRN")</f>
        <v>20090223CTBRN</v>
      </c>
      <c r="B1077" s="5" t="str">
        <f ca="1">IFERROR(__xludf.DUMMYFUNCTION("""COMPUTED_VALUE"""),"Handgun")</f>
        <v>Handgun</v>
      </c>
      <c r="C1077" s="5" t="str">
        <f ca="1">IFERROR(__xludf.DUMMYFUNCTION("""COMPUTED_VALUE"""),"Unknown")</f>
        <v>Unknown</v>
      </c>
      <c r="D1077" s="5"/>
    </row>
    <row r="1078" spans="1:4">
      <c r="A1078" s="5" t="str">
        <f ca="1">IFERROR(__xludf.DUMMYFUNCTION("""COMPUTED_VALUE"""),"20090220CAJOH")</f>
        <v>20090220CAJOH</v>
      </c>
      <c r="B1078" s="5" t="str">
        <f ca="1">IFERROR(__xludf.DUMMYFUNCTION("""COMPUTED_VALUE"""),"Shotgun")</f>
        <v>Shotgun</v>
      </c>
      <c r="C1078" s="5" t="str">
        <f ca="1">IFERROR(__xludf.DUMMYFUNCTION("""COMPUTED_VALUE"""),"Unknown")</f>
        <v>Unknown</v>
      </c>
      <c r="D1078" s="5"/>
    </row>
    <row r="1079" spans="1:4">
      <c r="A1079" s="5" t="str">
        <f ca="1">IFERROR(__xludf.DUMMYFUNCTION("""COMPUTED_VALUE"""),"20090217MICED")</f>
        <v>20090217MICED</v>
      </c>
      <c r="B1079" s="5" t="str">
        <f ca="1">IFERROR(__xludf.DUMMYFUNCTION("""COMPUTED_VALUE"""),"Handgun")</f>
        <v>Handgun</v>
      </c>
      <c r="C1079" s="5" t="str">
        <f ca="1">IFERROR(__xludf.DUMMYFUNCTION("""COMPUTED_VALUE"""),"Unknown")</f>
        <v>Unknown</v>
      </c>
      <c r="D1079" s="5"/>
    </row>
    <row r="1080" spans="1:4">
      <c r="A1080" s="5" t="str">
        <f ca="1">IFERROR(__xludf.DUMMYFUNCTION("""COMPUTED_VALUE"""),"20090211NCSCZ")</f>
        <v>20090211NCSCZ</v>
      </c>
      <c r="B1080" s="5" t="str">
        <f ca="1">IFERROR(__xludf.DUMMYFUNCTION("""COMPUTED_VALUE"""),"Handgun")</f>
        <v>Handgun</v>
      </c>
      <c r="C1080" s="5" t="str">
        <f ca="1">IFERROR(__xludf.DUMMYFUNCTION("""COMPUTED_VALUE"""),".22 caliber")</f>
        <v>.22 caliber</v>
      </c>
      <c r="D1080" s="5"/>
    </row>
    <row r="1081" spans="1:4">
      <c r="A1081" s="5" t="str">
        <f ca="1">IFERROR(__xludf.DUMMYFUNCTION("""COMPUTED_VALUE"""),"20090210CABAE")</f>
        <v>20090210CABAE</v>
      </c>
      <c r="B1081" s="5" t="str">
        <f ca="1">IFERROR(__xludf.DUMMYFUNCTION("""COMPUTED_VALUE"""),"Handgun")</f>
        <v>Handgun</v>
      </c>
      <c r="C1081" s="5" t="str">
        <f ca="1">IFERROR(__xludf.DUMMYFUNCTION("""COMPUTED_VALUE"""),".22 caliber")</f>
        <v>.22 caliber</v>
      </c>
      <c r="D1081" s="5"/>
    </row>
    <row r="1082" spans="1:4">
      <c r="A1082" s="5" t="str">
        <f ca="1">IFERROR(__xludf.DUMMYFUNCTION("""COMPUTED_VALUE"""),"20090127NCCLC")</f>
        <v>20090127NCCLC</v>
      </c>
      <c r="B1082" s="5" t="str">
        <f ca="1">IFERROR(__xludf.DUMMYFUNCTION("""COMPUTED_VALUE"""),"Handgun")</f>
        <v>Handgun</v>
      </c>
      <c r="C1082" s="5" t="str">
        <f ca="1">IFERROR(__xludf.DUMMYFUNCTION("""COMPUTED_VALUE"""),"Unknown")</f>
        <v>Unknown</v>
      </c>
      <c r="D1082" s="5"/>
    </row>
    <row r="1083" spans="1:4">
      <c r="A1083" s="5" t="str">
        <f ca="1">IFERROR(__xludf.DUMMYFUNCTION("""COMPUTED_VALUE"""),"20090123ILCAC")</f>
        <v>20090123ILCAC</v>
      </c>
      <c r="B1083" s="5" t="str">
        <f ca="1">IFERROR(__xludf.DUMMYFUNCTION("""COMPUTED_VALUE"""),"Handgun")</f>
        <v>Handgun</v>
      </c>
      <c r="C1083" s="5" t="str">
        <f ca="1">IFERROR(__xludf.DUMMYFUNCTION("""COMPUTED_VALUE"""),"Unknown")</f>
        <v>Unknown</v>
      </c>
      <c r="D1083" s="5"/>
    </row>
    <row r="1084" spans="1:4">
      <c r="A1084" s="5" t="str">
        <f ca="1">IFERROR(__xludf.DUMMYFUNCTION("""COMPUTED_VALUE"""),"20090120PAEAE")</f>
        <v>20090120PAEAE</v>
      </c>
      <c r="B1084" s="5" t="str">
        <f ca="1">IFERROR(__xludf.DUMMYFUNCTION("""COMPUTED_VALUE"""),"Handgun")</f>
        <v>Handgun</v>
      </c>
      <c r="C1084" s="5" t="str">
        <f ca="1">IFERROR(__xludf.DUMMYFUNCTION("""COMPUTED_VALUE"""),"Unknown")</f>
        <v>Unknown</v>
      </c>
      <c r="D1084" s="5"/>
    </row>
    <row r="1085" spans="1:4">
      <c r="A1085" s="5" t="str">
        <f ca="1">IFERROR(__xludf.DUMMYFUNCTION("""COMPUTED_VALUE"""),"20090120MIBEM")</f>
        <v>20090120MIBEM</v>
      </c>
      <c r="B1085" s="5" t="str">
        <f ca="1">IFERROR(__xludf.DUMMYFUNCTION("""COMPUTED_VALUE"""),"Multiple Handguns")</f>
        <v>Multiple Handguns</v>
      </c>
      <c r="C1085" s="5" t="str">
        <f ca="1">IFERROR(__xludf.DUMMYFUNCTION("""COMPUTED_VALUE"""),"Unknown")</f>
        <v>Unknown</v>
      </c>
      <c r="D1085" s="5"/>
    </row>
    <row r="1086" spans="1:4">
      <c r="A1086" s="5" t="str">
        <f ca="1">IFERROR(__xludf.DUMMYFUNCTION("""COMPUTED_VALUE"""),"20090120ILCOC")</f>
        <v>20090120ILCOC</v>
      </c>
      <c r="B1086" s="5" t="str">
        <f ca="1">IFERROR(__xludf.DUMMYFUNCTION("""COMPUTED_VALUE"""),"Handgun")</f>
        <v>Handgun</v>
      </c>
      <c r="C1086" s="5" t="str">
        <f ca="1">IFERROR(__xludf.DUMMYFUNCTION("""COMPUTED_VALUE"""),"Unknown")</f>
        <v>Unknown</v>
      </c>
      <c r="D1086" s="5"/>
    </row>
    <row r="1087" spans="1:4">
      <c r="A1087" s="5" t="str">
        <f ca="1">IFERROR(__xludf.DUMMYFUNCTION("""COMPUTED_VALUE"""),"20090114ILPEC")</f>
        <v>20090114ILPEC</v>
      </c>
      <c r="B1087" s="5" t="str">
        <f ca="1">IFERROR(__xludf.DUMMYFUNCTION("""COMPUTED_VALUE"""),"No Data")</f>
        <v>No Data</v>
      </c>
      <c r="C1087" s="5"/>
      <c r="D1087" s="5"/>
    </row>
    <row r="1088" spans="1:4">
      <c r="A1088" s="5" t="str">
        <f ca="1">IFERROR(__xludf.DUMMYFUNCTION("""COMPUTED_VALUE"""),"20090109ILDUC")</f>
        <v>20090109ILDUC</v>
      </c>
      <c r="B1088" s="5" t="str">
        <f ca="1">IFERROR(__xludf.DUMMYFUNCTION("""COMPUTED_VALUE"""),"Handgun")</f>
        <v>Handgun</v>
      </c>
      <c r="C1088" s="5" t="str">
        <f ca="1">IFERROR(__xludf.DUMMYFUNCTION("""COMPUTED_VALUE"""),"Unknown")</f>
        <v>Unknown</v>
      </c>
      <c r="D1088" s="5"/>
    </row>
    <row r="1089" spans="1:4">
      <c r="A1089" s="5" t="str">
        <f ca="1">IFERROR(__xludf.DUMMYFUNCTION("""COMPUTED_VALUE"""),"20090108DEWIN")</f>
        <v>20090108DEWIN</v>
      </c>
      <c r="B1089" s="5" t="str">
        <f ca="1">IFERROR(__xludf.DUMMYFUNCTION("""COMPUTED_VALUE"""),"Handgun")</f>
        <v>Handgun</v>
      </c>
      <c r="C1089" s="5" t="str">
        <f ca="1">IFERROR(__xludf.DUMMYFUNCTION("""COMPUTED_VALUE"""),"Service Weapon")</f>
        <v>Service Weapon</v>
      </c>
      <c r="D1089" s="5"/>
    </row>
    <row r="1090" spans="1:4">
      <c r="A1090" s="5" t="str">
        <f ca="1">IFERROR(__xludf.DUMMYFUNCTION("""COMPUTED_VALUE"""),"20081231OKKEN")</f>
        <v>20081231OKKEN</v>
      </c>
      <c r="B1090" s="5" t="str">
        <f ca="1">IFERROR(__xludf.DUMMYFUNCTION("""COMPUTED_VALUE"""),"No Data")</f>
        <v>No Data</v>
      </c>
      <c r="C1090" s="5"/>
      <c r="D1090" s="5"/>
    </row>
    <row r="1091" spans="1:4">
      <c r="A1091" s="5" t="str">
        <f ca="1">IFERROR(__xludf.DUMMYFUNCTION("""COMPUTED_VALUE"""),"20081231GASHS")</f>
        <v>20081231GASHS</v>
      </c>
      <c r="B1091" s="5" t="str">
        <f ca="1">IFERROR(__xludf.DUMMYFUNCTION("""COMPUTED_VALUE"""),"Shotgun")</f>
        <v>Shotgun</v>
      </c>
      <c r="C1091" s="5" t="str">
        <f ca="1">IFERROR(__xludf.DUMMYFUNCTION("""COMPUTED_VALUE"""),"Unknown")</f>
        <v>Unknown</v>
      </c>
      <c r="D1091" s="5"/>
    </row>
    <row r="1092" spans="1:4">
      <c r="A1092" s="5" t="str">
        <f ca="1">IFERROR(__xludf.DUMMYFUNCTION("""COMPUTED_VALUE"""),"20081227PAWIP")</f>
        <v>20081227PAWIP</v>
      </c>
      <c r="B1092" s="5" t="str">
        <f ca="1">IFERROR(__xludf.DUMMYFUNCTION("""COMPUTED_VALUE"""),"No Data")</f>
        <v>No Data</v>
      </c>
      <c r="C1092" s="5"/>
      <c r="D1092" s="5"/>
    </row>
    <row r="1093" spans="1:4">
      <c r="A1093" s="5" t="str">
        <f ca="1">IFERROR(__xludf.DUMMYFUNCTION("""COMPUTED_VALUE"""),"20081222FLLAL")</f>
        <v>20081222FLLAL</v>
      </c>
      <c r="B1093" s="5" t="str">
        <f ca="1">IFERROR(__xludf.DUMMYFUNCTION("""COMPUTED_VALUE"""),"Handgun")</f>
        <v>Handgun</v>
      </c>
      <c r="C1093" s="5" t="str">
        <f ca="1">IFERROR(__xludf.DUMMYFUNCTION("""COMPUTED_VALUE"""),"Unknown")</f>
        <v>Unknown</v>
      </c>
      <c r="D1093" s="5"/>
    </row>
    <row r="1094" spans="1:4">
      <c r="A1094" s="5" t="str">
        <f ca="1">IFERROR(__xludf.DUMMYFUNCTION("""COMPUTED_VALUE"""),"20081221SCSUS")</f>
        <v>20081221SCSUS</v>
      </c>
      <c r="B1094" s="5" t="str">
        <f ca="1">IFERROR(__xludf.DUMMYFUNCTION("""COMPUTED_VALUE"""),"Handgun")</f>
        <v>Handgun</v>
      </c>
      <c r="C1094" s="5" t="str">
        <f ca="1">IFERROR(__xludf.DUMMYFUNCTION("""COMPUTED_VALUE"""),"Unknown")</f>
        <v>Unknown</v>
      </c>
      <c r="D1094" s="5"/>
    </row>
    <row r="1095" spans="1:4">
      <c r="A1095" s="5" t="str">
        <f ca="1">IFERROR(__xludf.DUMMYFUNCTION("""COMPUTED_VALUE"""),"20081212NYWIM")</f>
        <v>20081212NYWIM</v>
      </c>
      <c r="B1095" s="5" t="str">
        <f ca="1">IFERROR(__xludf.DUMMYFUNCTION("""COMPUTED_VALUE"""),"Handgun")</f>
        <v>Handgun</v>
      </c>
      <c r="C1095" s="5" t="str">
        <f ca="1">IFERROR(__xludf.DUMMYFUNCTION("""COMPUTED_VALUE"""),"9mm")</f>
        <v>9mm</v>
      </c>
      <c r="D1095" s="5"/>
    </row>
    <row r="1096" spans="1:4">
      <c r="A1096" s="5" t="str">
        <f ca="1">IFERROR(__xludf.DUMMYFUNCTION("""COMPUTED_VALUE"""),"20081212NCGUA")</f>
        <v>20081212NCGUA</v>
      </c>
      <c r="B1096" s="5" t="str">
        <f ca="1">IFERROR(__xludf.DUMMYFUNCTION("""COMPUTED_VALUE"""),"Handgun")</f>
        <v>Handgun</v>
      </c>
      <c r="C1096" s="5" t="str">
        <f ca="1">IFERROR(__xludf.DUMMYFUNCTION("""COMPUTED_VALUE"""),"9mm")</f>
        <v>9mm</v>
      </c>
      <c r="D1096" s="5"/>
    </row>
    <row r="1097" spans="1:4">
      <c r="A1097" s="5" t="str">
        <f ca="1">IFERROR(__xludf.DUMMYFUNCTION("""COMPUTED_VALUE"""),"20081205MNSHF")</f>
        <v>20081205MNSHF</v>
      </c>
      <c r="B1097" s="5" t="str">
        <f ca="1">IFERROR(__xludf.DUMMYFUNCTION("""COMPUTED_VALUE"""),"Handgun")</f>
        <v>Handgun</v>
      </c>
      <c r="C1097" s="5" t="str">
        <f ca="1">IFERROR(__xludf.DUMMYFUNCTION("""COMPUTED_VALUE"""),"Unknown")</f>
        <v>Unknown</v>
      </c>
      <c r="D1097" s="5"/>
    </row>
    <row r="1098" spans="1:4">
      <c r="A1098" s="5" t="str">
        <f ca="1">IFERROR(__xludf.DUMMYFUNCTION("""COMPUTED_VALUE"""),"20081202CAKIK")</f>
        <v>20081202CAKIK</v>
      </c>
      <c r="B1098" s="5" t="str">
        <f ca="1">IFERROR(__xludf.DUMMYFUNCTION("""COMPUTED_VALUE"""),"Handgun")</f>
        <v>Handgun</v>
      </c>
      <c r="C1098" s="5" t="str">
        <f ca="1">IFERROR(__xludf.DUMMYFUNCTION("""COMPUTED_VALUE"""),".22 caliber")</f>
        <v>.22 caliber</v>
      </c>
      <c r="D1098" s="5"/>
    </row>
    <row r="1099" spans="1:4">
      <c r="A1099" s="5" t="str">
        <f ca="1">IFERROR(__xludf.DUMMYFUNCTION("""COMPUTED_VALUE"""),"20081130CAOAG")</f>
        <v>20081130CAOAG</v>
      </c>
      <c r="B1099" s="5" t="str">
        <f ca="1">IFERROR(__xludf.DUMMYFUNCTION("""COMPUTED_VALUE"""),"Handgun")</f>
        <v>Handgun</v>
      </c>
      <c r="C1099" s="5" t="str">
        <f ca="1">IFERROR(__xludf.DUMMYFUNCTION("""COMPUTED_VALUE"""),"Unknown")</f>
        <v>Unknown</v>
      </c>
      <c r="D1099" s="5"/>
    </row>
    <row r="1100" spans="1:4">
      <c r="A1100" s="5" t="str">
        <f ca="1">IFERROR(__xludf.DUMMYFUNCTION("""COMPUTED_VALUE"""),"20081125TXNOH")</f>
        <v>20081125TXNOH</v>
      </c>
      <c r="B1100" s="5" t="str">
        <f ca="1">IFERROR(__xludf.DUMMYFUNCTION("""COMPUTED_VALUE"""),"No Data")</f>
        <v>No Data</v>
      </c>
      <c r="C1100" s="5"/>
      <c r="D1100" s="5"/>
    </row>
    <row r="1101" spans="1:4">
      <c r="A1101" s="5" t="str">
        <f ca="1">IFERROR(__xludf.DUMMYFUNCTION("""COMPUTED_VALUE"""),"20081118CACOO")</f>
        <v>20081118CACOO</v>
      </c>
      <c r="B1101" s="5" t="str">
        <f ca="1">IFERROR(__xludf.DUMMYFUNCTION("""COMPUTED_VALUE"""),"Handgun")</f>
        <v>Handgun</v>
      </c>
      <c r="C1101" s="5" t="str">
        <f ca="1">IFERROR(__xludf.DUMMYFUNCTION("""COMPUTED_VALUE"""),"Unknown")</f>
        <v>Unknown</v>
      </c>
      <c r="D1101" s="5"/>
    </row>
    <row r="1102" spans="1:4">
      <c r="A1102" s="5" t="str">
        <f ca="1">IFERROR(__xludf.DUMMYFUNCTION("""COMPUTED_VALUE"""),"20081118CACEC")</f>
        <v>20081118CACEC</v>
      </c>
      <c r="B1102" s="5" t="str">
        <f ca="1">IFERROR(__xludf.DUMMYFUNCTION("""COMPUTED_VALUE"""),"Handgun")</f>
        <v>Handgun</v>
      </c>
      <c r="C1102" s="5" t="str">
        <f ca="1">IFERROR(__xludf.DUMMYFUNCTION("""COMPUTED_VALUE"""),"Unknown")</f>
        <v>Unknown</v>
      </c>
      <c r="D1102" s="5"/>
    </row>
    <row r="1103" spans="1:4">
      <c r="A1103" s="5" t="str">
        <f ca="1">IFERROR(__xludf.DUMMYFUNCTION("""COMPUTED_VALUE"""),"20081115UTDES")</f>
        <v>20081115UTDES</v>
      </c>
      <c r="B1103" s="5" t="str">
        <f ca="1">IFERROR(__xludf.DUMMYFUNCTION("""COMPUTED_VALUE"""),"Handgun")</f>
        <v>Handgun</v>
      </c>
      <c r="C1103" s="5" t="str">
        <f ca="1">IFERROR(__xludf.DUMMYFUNCTION("""COMPUTED_VALUE"""),".38 caliber")</f>
        <v>.38 caliber</v>
      </c>
      <c r="D1103" s="5"/>
    </row>
    <row r="1104" spans="1:4">
      <c r="A1104" s="5" t="str">
        <f ca="1">IFERROR(__xludf.DUMMYFUNCTION("""COMPUTED_VALUE"""),"20081115COTHL")</f>
        <v>20081115COTHL</v>
      </c>
      <c r="B1104" s="5" t="str">
        <f ca="1">IFERROR(__xludf.DUMMYFUNCTION("""COMPUTED_VALUE"""),"Handgun")</f>
        <v>Handgun</v>
      </c>
      <c r="C1104" s="5" t="str">
        <f ca="1">IFERROR(__xludf.DUMMYFUNCTION("""COMPUTED_VALUE"""),"Unknown")</f>
        <v>Unknown</v>
      </c>
      <c r="D1104" s="5"/>
    </row>
    <row r="1105" spans="1:4">
      <c r="A1105" s="5" t="str">
        <f ca="1">IFERROR(__xludf.DUMMYFUNCTION("""COMPUTED_VALUE"""),"20081112FLDIF")</f>
        <v>20081112FLDIF</v>
      </c>
      <c r="B1105" s="5" t="str">
        <f ca="1">IFERROR(__xludf.DUMMYFUNCTION("""COMPUTED_VALUE"""),"Handgun")</f>
        <v>Handgun</v>
      </c>
      <c r="C1105" s="5" t="str">
        <f ca="1">IFERROR(__xludf.DUMMYFUNCTION("""COMPUTED_VALUE"""),".22 caliber")</f>
        <v>.22 caliber</v>
      </c>
      <c r="D1105" s="5"/>
    </row>
    <row r="1106" spans="1:4">
      <c r="A1106" s="5" t="str">
        <f ca="1">IFERROR(__xludf.DUMMYFUNCTION("""COMPUTED_VALUE"""),"20081103CAELO")</f>
        <v>20081103CAELO</v>
      </c>
      <c r="B1106" s="5" t="str">
        <f ca="1">IFERROR(__xludf.DUMMYFUNCTION("""COMPUTED_VALUE"""),"Other")</f>
        <v>Other</v>
      </c>
      <c r="C1106" s="5" t="str">
        <f ca="1">IFERROR(__xludf.DUMMYFUNCTION("""COMPUTED_VALUE"""),"BB")</f>
        <v>BB</v>
      </c>
      <c r="D1106" s="5"/>
    </row>
    <row r="1107" spans="1:4">
      <c r="A1107" s="5" t="str">
        <f ca="1">IFERROR(__xludf.DUMMYFUNCTION("""COMPUTED_VALUE"""),"20081103CABEB")</f>
        <v>20081103CABEB</v>
      </c>
      <c r="B1107" s="5" t="str">
        <f ca="1">IFERROR(__xludf.DUMMYFUNCTION("""COMPUTED_VALUE"""),"Handgun")</f>
        <v>Handgun</v>
      </c>
      <c r="C1107" s="5" t="str">
        <f ca="1">IFERROR(__xludf.DUMMYFUNCTION("""COMPUTED_VALUE"""),"Unknown")</f>
        <v>Unknown</v>
      </c>
      <c r="D1107" s="5"/>
    </row>
    <row r="1108" spans="1:4">
      <c r="A1108" s="5" t="str">
        <f ca="1">IFERROR(__xludf.DUMMYFUNCTION("""COMPUTED_VALUE"""),"20081031MESTS")</f>
        <v>20081031MESTS</v>
      </c>
      <c r="B1108" s="5" t="str">
        <f ca="1">IFERROR(__xludf.DUMMYFUNCTION("""COMPUTED_VALUE"""),"No Data")</f>
        <v>No Data</v>
      </c>
      <c r="C1108" s="5"/>
      <c r="D1108" s="5"/>
    </row>
    <row r="1109" spans="1:4">
      <c r="A1109" s="5" t="str">
        <f ca="1">IFERROR(__xludf.DUMMYFUNCTION("""COMPUTED_VALUE"""),"20081029CAELG")</f>
        <v>20081029CAELG</v>
      </c>
      <c r="B1109" s="5" t="str">
        <f ca="1">IFERROR(__xludf.DUMMYFUNCTION("""COMPUTED_VALUE"""),"Other")</f>
        <v>Other</v>
      </c>
      <c r="C1109" s="5" t="str">
        <f ca="1">IFERROR(__xludf.DUMMYFUNCTION("""COMPUTED_VALUE"""),"Pellet")</f>
        <v>Pellet</v>
      </c>
      <c r="D1109" s="5"/>
    </row>
    <row r="1110" spans="1:4">
      <c r="A1110" s="5" t="str">
        <f ca="1">IFERROR(__xludf.DUMMYFUNCTION("""COMPUTED_VALUE"""),"20081023ALPRP")</f>
        <v>20081023ALPRP</v>
      </c>
      <c r="B1110" s="5" t="str">
        <f ca="1">IFERROR(__xludf.DUMMYFUNCTION("""COMPUTED_VALUE"""),"Handgun")</f>
        <v>Handgun</v>
      </c>
      <c r="C1110" s="5" t="str">
        <f ca="1">IFERROR(__xludf.DUMMYFUNCTION("""COMPUTED_VALUE"""),"Unknown")</f>
        <v>Unknown</v>
      </c>
      <c r="D1110" s="5"/>
    </row>
    <row r="1111" spans="1:4">
      <c r="A1111" s="5" t="str">
        <f ca="1">IFERROR(__xludf.DUMMYFUNCTION("""COMPUTED_VALUE"""),"20081020CAVAA")</f>
        <v>20081020CAVAA</v>
      </c>
      <c r="B1111" s="5" t="str">
        <f ca="1">IFERROR(__xludf.DUMMYFUNCTION("""COMPUTED_VALUE"""),"Handgun")</f>
        <v>Handgun</v>
      </c>
      <c r="C1111" s="5" t="str">
        <f ca="1">IFERROR(__xludf.DUMMYFUNCTION("""COMPUTED_VALUE"""),"Unknown")</f>
        <v>Unknown</v>
      </c>
      <c r="D1111" s="5"/>
    </row>
    <row r="1112" spans="1:4">
      <c r="A1112" s="5" t="str">
        <f ca="1">IFERROR(__xludf.DUMMYFUNCTION("""COMPUTED_VALUE"""),"20081016MIHED")</f>
        <v>20081016MIHED</v>
      </c>
      <c r="B1112" s="5" t="str">
        <f ca="1">IFERROR(__xludf.DUMMYFUNCTION("""COMPUTED_VALUE"""),"No Data")</f>
        <v>No Data</v>
      </c>
      <c r="C1112" s="5"/>
      <c r="D1112" s="5"/>
    </row>
    <row r="1113" spans="1:4">
      <c r="A1113" s="5" t="str">
        <f ca="1">IFERROR(__xludf.DUMMYFUNCTION("""COMPUTED_VALUE"""),"20080919CAGEA")</f>
        <v>20080919CAGEA</v>
      </c>
      <c r="B1113" s="5" t="str">
        <f ca="1">IFERROR(__xludf.DUMMYFUNCTION("""COMPUTED_VALUE"""),"No Data")</f>
        <v>No Data</v>
      </c>
      <c r="C1113" s="5"/>
      <c r="D1113" s="5"/>
    </row>
    <row r="1114" spans="1:4">
      <c r="A1114" s="5" t="str">
        <f ca="1">IFERROR(__xludf.DUMMYFUNCTION("""COMPUTED_VALUE"""),"20080915CAMIS")</f>
        <v>20080915CAMIS</v>
      </c>
      <c r="B1114" s="5" t="str">
        <f ca="1">IFERROR(__xludf.DUMMYFUNCTION("""COMPUTED_VALUE"""),"Handgun")</f>
        <v>Handgun</v>
      </c>
      <c r="C1114" s="5" t="str">
        <f ca="1">IFERROR(__xludf.DUMMYFUNCTION("""COMPUTED_VALUE"""),".38 caliber")</f>
        <v>.38 caliber</v>
      </c>
      <c r="D1114" s="5"/>
    </row>
    <row r="1115" spans="1:4">
      <c r="A1115" s="5" t="str">
        <f ca="1">IFERROR(__xludf.DUMMYFUNCTION("""COMPUTED_VALUE"""),"20080902OHSOW")</f>
        <v>20080902OHSOW</v>
      </c>
      <c r="B1115" s="5" t="str">
        <f ca="1">IFERROR(__xludf.DUMMYFUNCTION("""COMPUTED_VALUE"""),"Handgun")</f>
        <v>Handgun</v>
      </c>
      <c r="C1115" s="5" t="str">
        <f ca="1">IFERROR(__xludf.DUMMYFUNCTION("""COMPUTED_VALUE"""),".45 caliber")</f>
        <v>.45 caliber</v>
      </c>
      <c r="D1115" s="5"/>
    </row>
    <row r="1116" spans="1:4">
      <c r="A1116" s="5" t="str">
        <f ca="1">IFERROR(__xludf.DUMMYFUNCTION("""COMPUTED_VALUE"""),"20080821TNCEK")</f>
        <v>20080821TNCEK</v>
      </c>
      <c r="B1116" s="5" t="str">
        <f ca="1">IFERROR(__xludf.DUMMYFUNCTION("""COMPUTED_VALUE"""),"Handgun")</f>
        <v>Handgun</v>
      </c>
      <c r="C1116" s="5" t="str">
        <f ca="1">IFERROR(__xludf.DUMMYFUNCTION("""COMPUTED_VALUE"""),".22 caliber")</f>
        <v>.22 caliber</v>
      </c>
      <c r="D1116" s="5"/>
    </row>
    <row r="1117" spans="1:4">
      <c r="A1117" s="5" t="str">
        <f ca="1">IFERROR(__xludf.DUMMYFUNCTION("""COMPUTED_VALUE"""),"20080814WALAF")</f>
        <v>20080814WALAF</v>
      </c>
      <c r="B1117" s="5" t="str">
        <f ca="1">IFERROR(__xludf.DUMMYFUNCTION("""COMPUTED_VALUE"""),"Handgun")</f>
        <v>Handgun</v>
      </c>
      <c r="C1117" s="5" t="str">
        <f ca="1">IFERROR(__xludf.DUMMYFUNCTION("""COMPUTED_VALUE"""),"Unknown")</f>
        <v>Unknown</v>
      </c>
      <c r="D1117" s="5"/>
    </row>
    <row r="1118" spans="1:4">
      <c r="A1118" s="5" t="str">
        <f ca="1">IFERROR(__xludf.DUMMYFUNCTION("""COMPUTED_VALUE"""),"20080811WAWAK")</f>
        <v>20080811WAWAK</v>
      </c>
      <c r="B1118" s="5" t="str">
        <f ca="1">IFERROR(__xludf.DUMMYFUNCTION("""COMPUTED_VALUE"""),"Handgun")</f>
        <v>Handgun</v>
      </c>
      <c r="C1118" s="5" t="str">
        <f ca="1">IFERROR(__xludf.DUMMYFUNCTION("""COMPUTED_VALUE"""),".25 caliber")</f>
        <v>.25 caliber</v>
      </c>
      <c r="D1118" s="5"/>
    </row>
    <row r="1119" spans="1:4">
      <c r="A1119" s="5" t="str">
        <f ca="1">IFERROR(__xludf.DUMMYFUNCTION("""COMPUTED_VALUE"""),"20080516LAMAT")</f>
        <v>20080516LAMAT</v>
      </c>
      <c r="B1119" s="5" t="str">
        <f ca="1">IFERROR(__xludf.DUMMYFUNCTION("""COMPUTED_VALUE"""),"No Data")</f>
        <v>No Data</v>
      </c>
      <c r="C1119" s="5"/>
      <c r="D1119" s="5"/>
    </row>
    <row r="1120" spans="1:4">
      <c r="A1120" s="5" t="str">
        <f ca="1">IFERROR(__xludf.DUMMYFUNCTION("""COMPUTED_VALUE"""),"20080416CAROF")</f>
        <v>20080416CAROF</v>
      </c>
      <c r="B1120" s="5" t="str">
        <f ca="1">IFERROR(__xludf.DUMMYFUNCTION("""COMPUTED_VALUE"""),"Handgun")</f>
        <v>Handgun</v>
      </c>
      <c r="C1120" s="5" t="str">
        <f ca="1">IFERROR(__xludf.DUMMYFUNCTION("""COMPUTED_VALUE"""),"Service Weapon")</f>
        <v>Service Weapon</v>
      </c>
      <c r="D1120" s="5"/>
    </row>
    <row r="1121" spans="1:4">
      <c r="A1121" s="5" t="str">
        <f ca="1">IFERROR(__xludf.DUMMYFUNCTION("""COMPUTED_VALUE"""),"20080306ALDAM")</f>
        <v>20080306ALDAM</v>
      </c>
      <c r="B1121" s="5" t="str">
        <f ca="1">IFERROR(__xludf.DUMMYFUNCTION("""COMPUTED_VALUE"""),"Handgun")</f>
        <v>Handgun</v>
      </c>
      <c r="C1121" s="5" t="str">
        <f ca="1">IFERROR(__xludf.DUMMYFUNCTION("""COMPUTED_VALUE"""),".38 caliber")</f>
        <v>.38 caliber</v>
      </c>
      <c r="D1121" s="5"/>
    </row>
    <row r="1122" spans="1:4">
      <c r="A1122" s="5" t="str">
        <f ca="1">IFERROR(__xludf.DUMMYFUNCTION("""COMPUTED_VALUE"""),"20080214CAEOO")</f>
        <v>20080214CAEOO</v>
      </c>
      <c r="B1122" s="5" t="str">
        <f ca="1">IFERROR(__xludf.DUMMYFUNCTION("""COMPUTED_VALUE"""),"Handgun")</f>
        <v>Handgun</v>
      </c>
      <c r="C1122" s="5" t="str">
        <f ca="1">IFERROR(__xludf.DUMMYFUNCTION("""COMPUTED_VALUE"""),".22 caliber")</f>
        <v>.22 caliber</v>
      </c>
      <c r="D1122" s="5"/>
    </row>
    <row r="1123" spans="1:4">
      <c r="A1123" s="5" t="str">
        <f ca="1">IFERROR(__xludf.DUMMYFUNCTION("""COMPUTED_VALUE"""),"20080211TNMIM")</f>
        <v>20080211TNMIM</v>
      </c>
      <c r="B1123" s="5" t="str">
        <f ca="1">IFERROR(__xludf.DUMMYFUNCTION("""COMPUTED_VALUE"""),"Handgun")</f>
        <v>Handgun</v>
      </c>
      <c r="C1123" s="5" t="str">
        <f ca="1">IFERROR(__xludf.DUMMYFUNCTION("""COMPUTED_VALUE"""),".22 caliber")</f>
        <v>.22 caliber</v>
      </c>
      <c r="D1123" s="5"/>
    </row>
    <row r="1124" spans="1:4">
      <c r="A1124" s="5" t="str">
        <f ca="1">IFERROR(__xludf.DUMMYFUNCTION("""COMPUTED_VALUE"""),"20080204TNHAM")</f>
        <v>20080204TNHAM</v>
      </c>
      <c r="B1124" s="5" t="str">
        <f ca="1">IFERROR(__xludf.DUMMYFUNCTION("""COMPUTED_VALUE"""),"Handgun")</f>
        <v>Handgun</v>
      </c>
      <c r="C1124" s="5" t="str">
        <f ca="1">IFERROR(__xludf.DUMMYFUNCTION("""COMPUTED_VALUE"""),".38 caliber")</f>
        <v>.38 caliber</v>
      </c>
      <c r="D1124" s="5"/>
    </row>
    <row r="1125" spans="1:4">
      <c r="A1125" s="5" t="str">
        <f ca="1">IFERROR(__xludf.DUMMYFUNCTION("""COMPUTED_VALUE"""),"20071221CABAU")</f>
        <v>20071221CABAU</v>
      </c>
      <c r="B1125" s="5" t="str">
        <f ca="1">IFERROR(__xludf.DUMMYFUNCTION("""COMPUTED_VALUE"""),"No Data")</f>
        <v>No Data</v>
      </c>
      <c r="C1125" s="5"/>
      <c r="D1125" s="5"/>
    </row>
    <row r="1126" spans="1:4">
      <c r="A1126" s="5" t="str">
        <f ca="1">IFERROR(__xludf.DUMMYFUNCTION("""COMPUTED_VALUE"""),"20071126NYHOH")</f>
        <v>20071126NYHOH</v>
      </c>
      <c r="B1126" s="5" t="str">
        <f ca="1">IFERROR(__xludf.DUMMYFUNCTION("""COMPUTED_VALUE"""),"Handgun")</f>
        <v>Handgun</v>
      </c>
      <c r="C1126" s="5" t="str">
        <f ca="1">IFERROR(__xludf.DUMMYFUNCTION("""COMPUTED_VALUE"""),"Unknown")</f>
        <v>Unknown</v>
      </c>
      <c r="D1126" s="5"/>
    </row>
    <row r="1127" spans="1:4">
      <c r="A1127" s="5" t="str">
        <f ca="1">IFERROR(__xludf.DUMMYFUNCTION("""COMPUTED_VALUE"""),"20071105LAJOR")</f>
        <v>20071105LAJOR</v>
      </c>
      <c r="B1127" s="5" t="str">
        <f ca="1">IFERROR(__xludf.DUMMYFUNCTION("""COMPUTED_VALUE"""),"Handgun")</f>
        <v>Handgun</v>
      </c>
      <c r="C1127" s="5" t="str">
        <f ca="1">IFERROR(__xludf.DUMMYFUNCTION("""COMPUTED_VALUE"""),"Unknown")</f>
        <v>Unknown</v>
      </c>
      <c r="D1127" s="5"/>
    </row>
    <row r="1128" spans="1:4">
      <c r="A1128" s="5" t="str">
        <f ca="1">IFERROR(__xludf.DUMMYFUNCTION("""COMPUTED_VALUE"""),"20071024TNMAM")</f>
        <v>20071024TNMAM</v>
      </c>
      <c r="B1128" s="5" t="str">
        <f ca="1">IFERROR(__xludf.DUMMYFUNCTION("""COMPUTED_VALUE"""),"Handgun")</f>
        <v>Handgun</v>
      </c>
      <c r="C1128" s="5" t="str">
        <f ca="1">IFERROR(__xludf.DUMMYFUNCTION("""COMPUTED_VALUE"""),"Unknown")</f>
        <v>Unknown</v>
      </c>
      <c r="D1128" s="5"/>
    </row>
    <row r="1129" spans="1:4">
      <c r="A1129" s="5" t="str">
        <f ca="1">IFERROR(__xludf.DUMMYFUNCTION("""COMPUTED_VALUE"""),"20071010OHSUC")</f>
        <v>20071010OHSUC</v>
      </c>
      <c r="B1129" s="5" t="str">
        <f ca="1">IFERROR(__xludf.DUMMYFUNCTION("""COMPUTED_VALUE"""),"Multiple Handguns")</f>
        <v>Multiple Handguns</v>
      </c>
      <c r="C1129" s="5" t="str">
        <f ca="1">IFERROR(__xludf.DUMMYFUNCTION("""COMPUTED_VALUE"""),"Unknown")</f>
        <v>Unknown</v>
      </c>
      <c r="D1129" s="5"/>
    </row>
    <row r="1130" spans="1:4">
      <c r="A1130" s="5" t="str">
        <f ca="1">IFERROR(__xludf.DUMMYFUNCTION("""COMPUTED_VALUE"""),"20071001CTPLM")</f>
        <v>20071001CTPLM</v>
      </c>
      <c r="B1130" s="5" t="str">
        <f ca="1">IFERROR(__xludf.DUMMYFUNCTION("""COMPUTED_VALUE"""),"Other")</f>
        <v>Other</v>
      </c>
      <c r="C1130" s="5" t="str">
        <f ca="1">IFERROR(__xludf.DUMMYFUNCTION("""COMPUTED_VALUE"""),"BB")</f>
        <v>BB</v>
      </c>
      <c r="D1130" s="5"/>
    </row>
    <row r="1131" spans="1:4">
      <c r="A1131" s="5" t="str">
        <f ca="1">IFERROR(__xludf.DUMMYFUNCTION("""COMPUTED_VALUE"""),"20070930AZSSP")</f>
        <v>20070930AZSSP</v>
      </c>
      <c r="B1131" s="5" t="str">
        <f ca="1">IFERROR(__xludf.DUMMYFUNCTION("""COMPUTED_VALUE"""),"No Data")</f>
        <v>No Data</v>
      </c>
      <c r="C1131" s="5"/>
      <c r="D1131" s="5"/>
    </row>
    <row r="1132" spans="1:4">
      <c r="A1132" s="5" t="str">
        <f ca="1">IFERROR(__xludf.DUMMYFUNCTION("""COMPUTED_VALUE"""),"20070928CALAO")</f>
        <v>20070928CALAO</v>
      </c>
      <c r="B1132" s="5" t="str">
        <f ca="1">IFERROR(__xludf.DUMMYFUNCTION("""COMPUTED_VALUE"""),"Handgun")</f>
        <v>Handgun</v>
      </c>
      <c r="C1132" s="5" t="str">
        <f ca="1">IFERROR(__xludf.DUMMYFUNCTION("""COMPUTED_VALUE"""),".22 caliber")</f>
        <v>.22 caliber</v>
      </c>
      <c r="D1132" s="5"/>
    </row>
    <row r="1133" spans="1:4">
      <c r="A1133" s="5" t="str">
        <f ca="1">IFERROR(__xludf.DUMMYFUNCTION("""COMPUTED_VALUE"""),"20070804NJMON")</f>
        <v>20070804NJMON</v>
      </c>
      <c r="B1133" s="5" t="str">
        <f ca="1">IFERROR(__xludf.DUMMYFUNCTION("""COMPUTED_VALUE"""),"Handgun")</f>
        <v>Handgun</v>
      </c>
      <c r="C1133" s="5" t="str">
        <f ca="1">IFERROR(__xludf.DUMMYFUNCTION("""COMPUTED_VALUE"""),".357 caliber")</f>
        <v>.357 caliber</v>
      </c>
      <c r="D1133" s="5"/>
    </row>
    <row r="1134" spans="1:4">
      <c r="A1134" s="5" t="str">
        <f ca="1">IFERROR(__xludf.DUMMYFUNCTION("""COMPUTED_VALUE"""),"20070709ILCAC")</f>
        <v>20070709ILCAC</v>
      </c>
      <c r="B1134" s="5" t="str">
        <f ca="1">IFERROR(__xludf.DUMMYFUNCTION("""COMPUTED_VALUE"""),"No Data")</f>
        <v>No Data</v>
      </c>
      <c r="C1134" s="5"/>
      <c r="D1134" s="5"/>
    </row>
    <row r="1135" spans="1:4">
      <c r="A1135" s="5" t="str">
        <f ca="1">IFERROR(__xludf.DUMMYFUNCTION("""COMPUTED_VALUE"""),"20070628TXDAD")</f>
        <v>20070628TXDAD</v>
      </c>
      <c r="B1135" s="5" t="str">
        <f ca="1">IFERROR(__xludf.DUMMYFUNCTION("""COMPUTED_VALUE"""),"Handgun")</f>
        <v>Handgun</v>
      </c>
      <c r="C1135" s="5" t="str">
        <f ca="1">IFERROR(__xludf.DUMMYFUNCTION("""COMPUTED_VALUE"""),"Unknown")</f>
        <v>Unknown</v>
      </c>
      <c r="D1135" s="5"/>
    </row>
    <row r="1136" spans="1:4">
      <c r="A1136" s="5" t="str">
        <f ca="1">IFERROR(__xludf.DUMMYFUNCTION("""COMPUTED_VALUE"""),"20070617SCBRB")</f>
        <v>20070617SCBRB</v>
      </c>
      <c r="B1136" s="5" t="str">
        <f ca="1">IFERROR(__xludf.DUMMYFUNCTION("""COMPUTED_VALUE"""),"Handgun")</f>
        <v>Handgun</v>
      </c>
      <c r="C1136" s="5" t="str">
        <f ca="1">IFERROR(__xludf.DUMMYFUNCTION("""COMPUTED_VALUE"""),"Unknown")</f>
        <v>Unknown</v>
      </c>
      <c r="D1136" s="5"/>
    </row>
    <row r="1137" spans="1:4">
      <c r="A1137" s="5" t="str">
        <f ca="1">IFERROR(__xludf.DUMMYFUNCTION("""COMPUTED_VALUE"""),"20070531NCNOG")</f>
        <v>20070531NCNOG</v>
      </c>
      <c r="B1137" s="5" t="str">
        <f ca="1">IFERROR(__xludf.DUMMYFUNCTION("""COMPUTED_VALUE"""),"Other")</f>
        <v>Other</v>
      </c>
      <c r="C1137" s="5" t="str">
        <f ca="1">IFERROR(__xludf.DUMMYFUNCTION("""COMPUTED_VALUE"""),"Pellet")</f>
        <v>Pellet</v>
      </c>
      <c r="D1137" s="5"/>
    </row>
    <row r="1138" spans="1:4">
      <c r="A1138" s="5" t="str">
        <f ca="1">IFERROR(__xludf.DUMMYFUNCTION("""COMPUTED_VALUE"""),"20070530NCVAG")</f>
        <v>20070530NCVAG</v>
      </c>
      <c r="B1138" s="5" t="str">
        <f ca="1">IFERROR(__xludf.DUMMYFUNCTION("""COMPUTED_VALUE"""),"Other")</f>
        <v>Other</v>
      </c>
      <c r="C1138" s="5" t="str">
        <f ca="1">IFERROR(__xludf.DUMMYFUNCTION("""COMPUTED_VALUE"""),"Pellet")</f>
        <v>Pellet</v>
      </c>
      <c r="D1138" s="5"/>
    </row>
    <row r="1139" spans="1:4">
      <c r="A1139" s="5" t="str">
        <f ca="1">IFERROR(__xludf.DUMMYFUNCTION("""COMPUTED_VALUE"""),"20070523RIOAC")</f>
        <v>20070523RIOAC</v>
      </c>
      <c r="B1139" s="5" t="str">
        <f ca="1">IFERROR(__xludf.DUMMYFUNCTION("""COMPUTED_VALUE"""),"Other")</f>
        <v>Other</v>
      </c>
      <c r="C1139" s="5" t="str">
        <f ca="1">IFERROR(__xludf.DUMMYFUNCTION("""COMPUTED_VALUE"""),"BB")</f>
        <v>BB</v>
      </c>
      <c r="D1139" s="5"/>
    </row>
    <row r="1140" spans="1:4">
      <c r="A1140" s="5" t="str">
        <f ca="1">IFERROR(__xludf.DUMMYFUNCTION("""COMPUTED_VALUE"""),"20070515TXLIL")</f>
        <v>20070515TXLIL</v>
      </c>
      <c r="B1140" s="5" t="str">
        <f ca="1">IFERROR(__xludf.DUMMYFUNCTION("""COMPUTED_VALUE"""),"Handgun")</f>
        <v>Handgun</v>
      </c>
      <c r="C1140" s="5" t="str">
        <f ca="1">IFERROR(__xludf.DUMMYFUNCTION("""COMPUTED_VALUE"""),".38 caliber")</f>
        <v>.38 caliber</v>
      </c>
      <c r="D1140" s="5"/>
    </row>
    <row r="1141" spans="1:4">
      <c r="A1141" s="5" t="str">
        <f ca="1">IFERROR(__xludf.DUMMYFUNCTION("""COMPUTED_VALUE"""),"20070512TXWEM")</f>
        <v>20070512TXWEM</v>
      </c>
      <c r="B1141" s="5" t="str">
        <f ca="1">IFERROR(__xludf.DUMMYFUNCTION("""COMPUTED_VALUE"""),"Shotgun")</f>
        <v>Shotgun</v>
      </c>
      <c r="C1141" s="5" t="str">
        <f ca="1">IFERROR(__xludf.DUMMYFUNCTION("""COMPUTED_VALUE"""),"Unknown")</f>
        <v>Unknown</v>
      </c>
      <c r="D1141" s="5"/>
    </row>
    <row r="1142" spans="1:4">
      <c r="A1142" s="5" t="str">
        <f ca="1">IFERROR(__xludf.DUMMYFUNCTION("""COMPUTED_VALUE"""),"20070510MIHED")</f>
        <v>20070510MIHED</v>
      </c>
      <c r="B1142" s="5" t="str">
        <f ca="1">IFERROR(__xludf.DUMMYFUNCTION("""COMPUTED_VALUE"""),"No Data")</f>
        <v>No Data</v>
      </c>
      <c r="C1142" s="5"/>
      <c r="D1142" s="5"/>
    </row>
    <row r="1143" spans="1:4">
      <c r="A1143" s="5" t="str">
        <f ca="1">IFERROR(__xludf.DUMMYFUNCTION("""COMPUTED_VALUE"""),"20070504TXTIE")</f>
        <v>20070504TXTIE</v>
      </c>
      <c r="B1143" s="5" t="str">
        <f ca="1">IFERROR(__xludf.DUMMYFUNCTION("""COMPUTED_VALUE"""),"Handgun")</f>
        <v>Handgun</v>
      </c>
      <c r="C1143" s="5" t="str">
        <f ca="1">IFERROR(__xludf.DUMMYFUNCTION("""COMPUTED_VALUE"""),".38 caliber")</f>
        <v>.38 caliber</v>
      </c>
      <c r="D1143" s="5"/>
    </row>
    <row r="1144" spans="1:4">
      <c r="A1144" s="5" t="str">
        <f ca="1">IFERROR(__xludf.DUMMYFUNCTION("""COMPUTED_VALUE"""),"20070503OHGED")</f>
        <v>20070503OHGED</v>
      </c>
      <c r="B1144" s="5" t="str">
        <f ca="1">IFERROR(__xludf.DUMMYFUNCTION("""COMPUTED_VALUE"""),"Other")</f>
        <v>Other</v>
      </c>
      <c r="C1144" s="5" t="str">
        <f ca="1">IFERROR(__xludf.DUMMYFUNCTION("""COMPUTED_VALUE"""),"Pellet")</f>
        <v>Pellet</v>
      </c>
      <c r="D1144" s="5"/>
    </row>
    <row r="1145" spans="1:4">
      <c r="A1145" s="5" t="str">
        <f ca="1">IFERROR(__xludf.DUMMYFUNCTION("""COMPUTED_VALUE"""),"20070418NCNOH")</f>
        <v>20070418NCNOH</v>
      </c>
      <c r="B1145" s="5" t="str">
        <f ca="1">IFERROR(__xludf.DUMMYFUNCTION("""COMPUTED_VALUE"""),"Handgun")</f>
        <v>Handgun</v>
      </c>
      <c r="C1145" s="5" t="str">
        <f ca="1">IFERROR(__xludf.DUMMYFUNCTION("""COMPUTED_VALUE"""),"Unknown")</f>
        <v>Unknown</v>
      </c>
      <c r="D1145" s="5"/>
    </row>
    <row r="1146" spans="1:4">
      <c r="A1146" s="5" t="str">
        <f ca="1">IFERROR(__xludf.DUMMYFUNCTION("""COMPUTED_VALUE"""),"20070410ORSPG")</f>
        <v>20070410ORSPG</v>
      </c>
      <c r="B1146" s="5" t="str">
        <f ca="1">IFERROR(__xludf.DUMMYFUNCTION("""COMPUTED_VALUE"""),"Rifle")</f>
        <v>Rifle</v>
      </c>
      <c r="C1146" s="5" t="str">
        <f ca="1">IFERROR(__xludf.DUMMYFUNCTION("""COMPUTED_VALUE"""),".27 caliber")</f>
        <v>.27 caliber</v>
      </c>
      <c r="D1146" s="5"/>
    </row>
    <row r="1147" spans="1:4">
      <c r="A1147" s="5" t="str">
        <f ca="1">IFERROR(__xludf.DUMMYFUNCTION("""COMPUTED_VALUE"""),"20070410ILCHC")</f>
        <v>20070410ILCHC</v>
      </c>
      <c r="B1147" s="5" t="str">
        <f ca="1">IFERROR(__xludf.DUMMYFUNCTION("""COMPUTED_VALUE"""),"Handgun")</f>
        <v>Handgun</v>
      </c>
      <c r="C1147" s="5" t="str">
        <f ca="1">IFERROR(__xludf.DUMMYFUNCTION("""COMPUTED_VALUE"""),"Unknown")</f>
        <v>Unknown</v>
      </c>
      <c r="D1147" s="5"/>
    </row>
    <row r="1148" spans="1:4">
      <c r="A1148" s="5" t="str">
        <f ca="1">IFERROR(__xludf.DUMMYFUNCTION("""COMPUTED_VALUE"""),"20070329SCMYM")</f>
        <v>20070329SCMYM</v>
      </c>
      <c r="B1148" s="5" t="str">
        <f ca="1">IFERROR(__xludf.DUMMYFUNCTION("""COMPUTED_VALUE"""),"Handgun")</f>
        <v>Handgun</v>
      </c>
      <c r="C1148" s="5" t="str">
        <f ca="1">IFERROR(__xludf.DUMMYFUNCTION("""COMPUTED_VALUE"""),"Unknown")</f>
        <v>Unknown</v>
      </c>
      <c r="D1148" s="5"/>
    </row>
    <row r="1149" spans="1:4">
      <c r="A1149" s="5" t="str">
        <f ca="1">IFERROR(__xludf.DUMMYFUNCTION("""COMPUTED_VALUE"""),"20070327CTSAH")</f>
        <v>20070327CTSAH</v>
      </c>
      <c r="B1149" s="5" t="str">
        <f ca="1">IFERROR(__xludf.DUMMYFUNCTION("""COMPUTED_VALUE"""),"Handgun")</f>
        <v>Handgun</v>
      </c>
      <c r="C1149" s="5" t="str">
        <f ca="1">IFERROR(__xludf.DUMMYFUNCTION("""COMPUTED_VALUE"""),"Unknown")</f>
        <v>Unknown</v>
      </c>
      <c r="D1149" s="5"/>
    </row>
    <row r="1150" spans="1:4">
      <c r="A1150" s="5" t="str">
        <f ca="1">IFERROR(__xludf.DUMMYFUNCTION("""COMPUTED_VALUE"""),"20070323FLUNO")</f>
        <v>20070323FLUNO</v>
      </c>
      <c r="B1150" s="5" t="str">
        <f ca="1">IFERROR(__xludf.DUMMYFUNCTION("""COMPUTED_VALUE"""),"Other")</f>
        <v>Other</v>
      </c>
      <c r="C1150" s="5" t="str">
        <f ca="1">IFERROR(__xludf.DUMMYFUNCTION("""COMPUTED_VALUE"""),"Unknown")</f>
        <v>Unknown</v>
      </c>
      <c r="D1150" s="5"/>
    </row>
    <row r="1151" spans="1:4">
      <c r="A1151" s="5" t="str">
        <f ca="1">IFERROR(__xludf.DUMMYFUNCTION("""COMPUTED_VALUE"""),"20070308TNEAC")</f>
        <v>20070308TNEAC</v>
      </c>
      <c r="B1151" s="5" t="str">
        <f ca="1">IFERROR(__xludf.DUMMYFUNCTION("""COMPUTED_VALUE"""),"Handgun")</f>
        <v>Handgun</v>
      </c>
      <c r="C1151" s="5" t="str">
        <f ca="1">IFERROR(__xludf.DUMMYFUNCTION("""COMPUTED_VALUE"""),"Unknown")</f>
        <v>Unknown</v>
      </c>
      <c r="D1151" s="5"/>
    </row>
    <row r="1152" spans="1:4">
      <c r="A1152" s="5" t="str">
        <f ca="1">IFERROR(__xludf.DUMMYFUNCTION("""COMPUTED_VALUE"""),"20070307TXGRG")</f>
        <v>20070307TXGRG</v>
      </c>
      <c r="B1152" s="5" t="str">
        <f ca="1">IFERROR(__xludf.DUMMYFUNCTION("""COMPUTED_VALUE"""),"No Data")</f>
        <v>No Data</v>
      </c>
      <c r="C1152" s="5"/>
      <c r="D1152" s="5"/>
    </row>
    <row r="1153" spans="1:4">
      <c r="A1153" s="5" t="str">
        <f ca="1">IFERROR(__xludf.DUMMYFUNCTION("""COMPUTED_VALUE"""),"20070307MIHEM")</f>
        <v>20070307MIHEM</v>
      </c>
      <c r="B1153" s="5" t="str">
        <f ca="1">IFERROR(__xludf.DUMMYFUNCTION("""COMPUTED_VALUE"""),"Handgun")</f>
        <v>Handgun</v>
      </c>
      <c r="C1153" s="5" t="str">
        <f ca="1">IFERROR(__xludf.DUMMYFUNCTION("""COMPUTED_VALUE"""),".44 caliber")</f>
        <v>.44 caliber</v>
      </c>
      <c r="D1153" s="5"/>
    </row>
    <row r="1154" spans="1:4">
      <c r="A1154" s="5" t="str">
        <f ca="1">IFERROR(__xludf.DUMMYFUNCTION("""COMPUTED_VALUE"""),"20070307CACEC")</f>
        <v>20070307CACEC</v>
      </c>
      <c r="B1154" s="5" t="str">
        <f ca="1">IFERROR(__xludf.DUMMYFUNCTION("""COMPUTED_VALUE"""),"Handgun")</f>
        <v>Handgun</v>
      </c>
      <c r="C1154" s="5" t="str">
        <f ca="1">IFERROR(__xludf.DUMMYFUNCTION("""COMPUTED_VALUE"""),"Unknown")</f>
        <v>Unknown</v>
      </c>
      <c r="D1154" s="5"/>
    </row>
    <row r="1155" spans="1:4">
      <c r="A1155" s="5" t="str">
        <f ca="1">IFERROR(__xludf.DUMMYFUNCTION("""COMPUTED_VALUE"""),"20070227GACLA")</f>
        <v>20070227GACLA</v>
      </c>
      <c r="B1155" s="5" t="str">
        <f ca="1">IFERROR(__xludf.DUMMYFUNCTION("""COMPUTED_VALUE"""),"Other")</f>
        <v>Other</v>
      </c>
      <c r="C1155" s="5" t="str">
        <f ca="1">IFERROR(__xludf.DUMMYFUNCTION("""COMPUTED_VALUE"""),"Airsoft")</f>
        <v>Airsoft</v>
      </c>
      <c r="D1155" s="5"/>
    </row>
    <row r="1156" spans="1:4">
      <c r="A1156" s="5" t="str">
        <f ca="1">IFERROR(__xludf.DUMMYFUNCTION("""COMPUTED_VALUE"""),"20070226CASLA")</f>
        <v>20070226CASLA</v>
      </c>
      <c r="B1156" s="5" t="str">
        <f ca="1">IFERROR(__xludf.DUMMYFUNCTION("""COMPUTED_VALUE"""),"Other")</f>
        <v>Other</v>
      </c>
      <c r="C1156" s="5" t="str">
        <f ca="1">IFERROR(__xludf.DUMMYFUNCTION("""COMPUTED_VALUE"""),"Airsoft")</f>
        <v>Airsoft</v>
      </c>
      <c r="D1156" s="5"/>
    </row>
    <row r="1157" spans="1:4">
      <c r="A1157" s="5" t="str">
        <f ca="1">IFERROR(__xludf.DUMMYFUNCTION("""COMPUTED_VALUE"""),"20070208TXSTP")</f>
        <v>20070208TXSTP</v>
      </c>
      <c r="B1157" s="5" t="str">
        <f ca="1">IFERROR(__xludf.DUMMYFUNCTION("""COMPUTED_VALUE"""),"Other")</f>
        <v>Other</v>
      </c>
      <c r="C1157" s="5" t="str">
        <f ca="1">IFERROR(__xludf.DUMMYFUNCTION("""COMPUTED_VALUE"""),"BB")</f>
        <v>BB</v>
      </c>
      <c r="D1157" s="5"/>
    </row>
    <row r="1158" spans="1:4">
      <c r="A1158" s="5" t="str">
        <f ca="1">IFERROR(__xludf.DUMMYFUNCTION("""COMPUTED_VALUE"""),"20070208ORCRP")</f>
        <v>20070208ORCRP</v>
      </c>
      <c r="B1158" s="5" t="str">
        <f ca="1">IFERROR(__xludf.DUMMYFUNCTION("""COMPUTED_VALUE"""),"Handgun")</f>
        <v>Handgun</v>
      </c>
      <c r="C1158" s="5" t="str">
        <f ca="1">IFERROR(__xludf.DUMMYFUNCTION("""COMPUTED_VALUE"""),"Unknown")</f>
        <v>Unknown</v>
      </c>
      <c r="D1158" s="5"/>
    </row>
    <row r="1159" spans="1:4">
      <c r="A1159" s="5" t="str">
        <f ca="1">IFERROR(__xludf.DUMMYFUNCTION("""COMPUTED_VALUE"""),"20070207FLPAJ")</f>
        <v>20070207FLPAJ</v>
      </c>
      <c r="B1159" s="5" t="str">
        <f ca="1">IFERROR(__xludf.DUMMYFUNCTION("""COMPUTED_VALUE"""),"Handgun")</f>
        <v>Handgun</v>
      </c>
      <c r="C1159" s="5" t="str">
        <f ca="1">IFERROR(__xludf.DUMMYFUNCTION("""COMPUTED_VALUE"""),"Unknown")</f>
        <v>Unknown</v>
      </c>
      <c r="D1159" s="5"/>
    </row>
    <row r="1160" spans="1:4">
      <c r="A1160" s="5" t="str">
        <f ca="1">IFERROR(__xludf.DUMMYFUNCTION("""COMPUTED_VALUE"""),"20070131ILHIC")</f>
        <v>20070131ILHIC</v>
      </c>
      <c r="B1160" s="5" t="str">
        <f ca="1">IFERROR(__xludf.DUMMYFUNCTION("""COMPUTED_VALUE"""),"Handgun")</f>
        <v>Handgun</v>
      </c>
      <c r="C1160" s="5" t="str">
        <f ca="1">IFERROR(__xludf.DUMMYFUNCTION("""COMPUTED_VALUE"""),"Unknown")</f>
        <v>Unknown</v>
      </c>
      <c r="D1160" s="5"/>
    </row>
    <row r="1161" spans="1:4">
      <c r="A1161" s="5" t="str">
        <f ca="1">IFERROR(__xludf.DUMMYFUNCTION("""COMPUTED_VALUE"""),"20070124TNHAS")</f>
        <v>20070124TNHAS</v>
      </c>
      <c r="B1161" s="5" t="str">
        <f ca="1">IFERROR(__xludf.DUMMYFUNCTION("""COMPUTED_VALUE"""),"Handgun")</f>
        <v>Handgun</v>
      </c>
      <c r="C1161" s="5" t="str">
        <f ca="1">IFERROR(__xludf.DUMMYFUNCTION("""COMPUTED_VALUE"""),".25 caliber")</f>
        <v>.25 caliber</v>
      </c>
      <c r="D1161" s="5"/>
    </row>
    <row r="1162" spans="1:4">
      <c r="A1162" s="5" t="str">
        <f ca="1">IFERROR(__xludf.DUMMYFUNCTION("""COMPUTED_VALUE"""),"20070118PAWIP")</f>
        <v>20070118PAWIP</v>
      </c>
      <c r="B1162" s="5" t="str">
        <f ca="1">IFERROR(__xludf.DUMMYFUNCTION("""COMPUTED_VALUE"""),"Handgun")</f>
        <v>Handgun</v>
      </c>
      <c r="C1162" s="5" t="str">
        <f ca="1">IFERROR(__xludf.DUMMYFUNCTION("""COMPUTED_VALUE"""),"Unknown")</f>
        <v>Unknown</v>
      </c>
      <c r="D1162" s="5"/>
    </row>
    <row r="1163" spans="1:4">
      <c r="A1163" s="5" t="str">
        <f ca="1">IFERROR(__xludf.DUMMYFUNCTION("""COMPUTED_VALUE"""),"20070109NVWEL")</f>
        <v>20070109NVWEL</v>
      </c>
      <c r="B1163" s="5" t="str">
        <f ca="1">IFERROR(__xludf.DUMMYFUNCTION("""COMPUTED_VALUE"""),"Handgun")</f>
        <v>Handgun</v>
      </c>
      <c r="C1163" s="5" t="str">
        <f ca="1">IFERROR(__xludf.DUMMYFUNCTION("""COMPUTED_VALUE"""),"Unknown")</f>
        <v>Unknown</v>
      </c>
      <c r="D1163" s="5"/>
    </row>
    <row r="1164" spans="1:4">
      <c r="A1164" s="5" t="str">
        <f ca="1">IFERROR(__xludf.DUMMYFUNCTION("""COMPUTED_VALUE"""),"20070109CAGRV")</f>
        <v>20070109CAGRV</v>
      </c>
      <c r="B1164" s="5" t="str">
        <f ca="1">IFERROR(__xludf.DUMMYFUNCTION("""COMPUTED_VALUE"""),"No Data")</f>
        <v>No Data</v>
      </c>
      <c r="C1164" s="5"/>
      <c r="D1164" s="5"/>
    </row>
    <row r="1165" spans="1:4">
      <c r="A1165" s="5" t="str">
        <f ca="1">IFERROR(__xludf.DUMMYFUNCTION("""COMPUTED_VALUE"""),"20070108OHROC")</f>
        <v>20070108OHROC</v>
      </c>
      <c r="B1165" s="5" t="str">
        <f ca="1">IFERROR(__xludf.DUMMYFUNCTION("""COMPUTED_VALUE"""),"Multiple Handguns")</f>
        <v>Multiple Handguns</v>
      </c>
      <c r="C1165" s="5" t="str">
        <f ca="1">IFERROR(__xludf.DUMMYFUNCTION("""COMPUTED_VALUE"""),"Unknown")</f>
        <v>Unknown</v>
      </c>
      <c r="D1165" s="5"/>
    </row>
    <row r="1166" spans="1:4">
      <c r="A1166" s="5" t="str">
        <f ca="1">IFERROR(__xludf.DUMMYFUNCTION("""COMPUTED_VALUE"""),"20070104MINOD")</f>
        <v>20070104MINOD</v>
      </c>
      <c r="B1166" s="5" t="str">
        <f ca="1">IFERROR(__xludf.DUMMYFUNCTION("""COMPUTED_VALUE"""),"No Data")</f>
        <v>No Data</v>
      </c>
      <c r="C1166" s="5"/>
      <c r="D1166" s="5"/>
    </row>
    <row r="1167" spans="1:4">
      <c r="A1167" s="5" t="str">
        <f ca="1">IFERROR(__xludf.DUMMYFUNCTION("""COMPUTED_VALUE"""),"20070103WAHET")</f>
        <v>20070103WAHET</v>
      </c>
      <c r="B1167" s="5" t="str">
        <f ca="1">IFERROR(__xludf.DUMMYFUNCTION("""COMPUTED_VALUE"""),"Handgun")</f>
        <v>Handgun</v>
      </c>
      <c r="C1167" s="5" t="str">
        <f ca="1">IFERROR(__xludf.DUMMYFUNCTION("""COMPUTED_VALUE"""),"9mm")</f>
        <v>9mm</v>
      </c>
      <c r="D1167" s="5"/>
    </row>
    <row r="1168" spans="1:4">
      <c r="A1168" s="5" t="str">
        <f ca="1">IFERROR(__xludf.DUMMYFUNCTION("""COMPUTED_VALUE"""),"20070102NCWEF")</f>
        <v>20070102NCWEF</v>
      </c>
      <c r="B1168" s="5" t="str">
        <f ca="1">IFERROR(__xludf.DUMMYFUNCTION("""COMPUTED_VALUE"""),"Handgun")</f>
        <v>Handgun</v>
      </c>
      <c r="C1168" s="5" t="str">
        <f ca="1">IFERROR(__xludf.DUMMYFUNCTION("""COMPUTED_VALUE"""),"Unknown")</f>
        <v>Unknown</v>
      </c>
      <c r="D1168" s="5"/>
    </row>
    <row r="1169" spans="1:4">
      <c r="A1169" s="5" t="str">
        <f ca="1">IFERROR(__xludf.DUMMYFUNCTION("""COMPUTED_VALUE"""),"20061214PAMCC")</f>
        <v>20061214PAMCC</v>
      </c>
      <c r="B1169" s="5" t="str">
        <f ca="1">IFERROR(__xludf.DUMMYFUNCTION("""COMPUTED_VALUE"""),"Rifle")</f>
        <v>Rifle</v>
      </c>
      <c r="C1169" s="5" t="str">
        <f ca="1">IFERROR(__xludf.DUMMYFUNCTION("""COMPUTED_VALUE"""),".22 caliber")</f>
        <v>.22 caliber</v>
      </c>
      <c r="D1169" s="5"/>
    </row>
    <row r="1170" spans="1:4">
      <c r="A1170" s="5" t="str">
        <f ca="1">IFERROR(__xludf.DUMMYFUNCTION("""COMPUTED_VALUE"""),"20061213PABAB")</f>
        <v>20061213PABAB</v>
      </c>
      <c r="B1170" s="5" t="str">
        <f ca="1">IFERROR(__xludf.DUMMYFUNCTION("""COMPUTED_VALUE"""),"Other")</f>
        <v>Other</v>
      </c>
      <c r="C1170" s="5" t="str">
        <f ca="1">IFERROR(__xludf.DUMMYFUNCTION("""COMPUTED_VALUE"""),"Pellet")</f>
        <v>Pellet</v>
      </c>
      <c r="D1170" s="5"/>
    </row>
    <row r="1171" spans="1:4">
      <c r="A1171" s="5" t="str">
        <f ca="1">IFERROR(__xludf.DUMMYFUNCTION("""COMPUTED_VALUE"""),"20061212PASPS")</f>
        <v>20061212PASPS</v>
      </c>
      <c r="B1171" s="5" t="str">
        <f ca="1">IFERROR(__xludf.DUMMYFUNCTION("""COMPUTED_VALUE"""),"Rifle")</f>
        <v>Rifle</v>
      </c>
      <c r="C1171" s="5" t="str">
        <f ca="1">IFERROR(__xludf.DUMMYFUNCTION("""COMPUTED_VALUE"""),"AK-47")</f>
        <v>AK-47</v>
      </c>
      <c r="D1171" s="5"/>
    </row>
    <row r="1172" spans="1:4">
      <c r="A1172" s="5" t="str">
        <f ca="1">IFERROR(__xludf.DUMMYFUNCTION("""COMPUTED_VALUE"""),"20061211ILCLC")</f>
        <v>20061211ILCLC</v>
      </c>
      <c r="B1172" s="5" t="str">
        <f ca="1">IFERROR(__xludf.DUMMYFUNCTION("""COMPUTED_VALUE"""),"Handgun")</f>
        <v>Handgun</v>
      </c>
      <c r="C1172" s="5" t="str">
        <f ca="1">IFERROR(__xludf.DUMMYFUNCTION("""COMPUTED_VALUE"""),"Unknown")</f>
        <v>Unknown</v>
      </c>
      <c r="D1172" s="5"/>
    </row>
    <row r="1173" spans="1:4">
      <c r="A1173" s="5" t="str">
        <f ca="1">IFERROR(__xludf.DUMMYFUNCTION("""COMPUTED_VALUE"""),"20061207NENOO")</f>
        <v>20061207NENOO</v>
      </c>
      <c r="B1173" s="5" t="str">
        <f ca="1">IFERROR(__xludf.DUMMYFUNCTION("""COMPUTED_VALUE"""),"Handgun")</f>
        <v>Handgun</v>
      </c>
      <c r="C1173" s="5" t="str">
        <f ca="1">IFERROR(__xludf.DUMMYFUNCTION("""COMPUTED_VALUE"""),"Unknown")</f>
        <v>Unknown</v>
      </c>
      <c r="D1173" s="5"/>
    </row>
    <row r="1174" spans="1:4">
      <c r="A1174" s="5" t="str">
        <f ca="1">IFERROR(__xludf.DUMMYFUNCTION("""COMPUTED_VALUE"""),"20061201NCJOT")</f>
        <v>20061201NCJOT</v>
      </c>
      <c r="B1174" s="5" t="str">
        <f ca="1">IFERROR(__xludf.DUMMYFUNCTION("""COMPUTED_VALUE"""),"Handgun")</f>
        <v>Handgun</v>
      </c>
      <c r="C1174" s="5" t="str">
        <f ca="1">IFERROR(__xludf.DUMMYFUNCTION("""COMPUTED_VALUE"""),"9mm")</f>
        <v>9mm</v>
      </c>
      <c r="D1174" s="5"/>
    </row>
    <row r="1175" spans="1:4">
      <c r="A1175" s="5" t="str">
        <f ca="1">IFERROR(__xludf.DUMMYFUNCTION("""COMPUTED_VALUE"""),"20061122GASAA")</f>
        <v>20061122GASAA</v>
      </c>
      <c r="B1175" s="5" t="str">
        <f ca="1">IFERROR(__xludf.DUMMYFUNCTION("""COMPUTED_VALUE"""),"Handgun")</f>
        <v>Handgun</v>
      </c>
      <c r="C1175" s="5" t="str">
        <f ca="1">IFERROR(__xludf.DUMMYFUNCTION("""COMPUTED_VALUE"""),"Unknown")</f>
        <v>Unknown</v>
      </c>
      <c r="D1175" s="5"/>
    </row>
    <row r="1176" spans="1:4">
      <c r="A1176" s="5" t="str">
        <f ca="1">IFERROR(__xludf.DUMMYFUNCTION("""COMPUTED_VALUE"""),"20061111CALIO")</f>
        <v>20061111CALIO</v>
      </c>
      <c r="B1176" s="5" t="str">
        <f ca="1">IFERROR(__xludf.DUMMYFUNCTION("""COMPUTED_VALUE"""),"Handgun")</f>
        <v>Handgun</v>
      </c>
      <c r="C1176" s="5" t="str">
        <f ca="1">IFERROR(__xludf.DUMMYFUNCTION("""COMPUTED_VALUE"""),"Unknown")</f>
        <v>Unknown</v>
      </c>
      <c r="D1176" s="5"/>
    </row>
    <row r="1177" spans="1:4">
      <c r="A1177" s="5" t="str">
        <f ca="1">IFERROR(__xludf.DUMMYFUNCTION("""COMPUTED_VALUE"""),"20061031TNHAK")</f>
        <v>20061031TNHAK</v>
      </c>
      <c r="B1177" s="5" t="str">
        <f ca="1">IFERROR(__xludf.DUMMYFUNCTION("""COMPUTED_VALUE"""),"Handgun")</f>
        <v>Handgun</v>
      </c>
      <c r="C1177" s="5" t="str">
        <f ca="1">IFERROR(__xludf.DUMMYFUNCTION("""COMPUTED_VALUE"""),".22 caliber")</f>
        <v>.22 caliber</v>
      </c>
      <c r="D1177" s="5"/>
    </row>
    <row r="1178" spans="1:4">
      <c r="A1178" s="5" t="str">
        <f ca="1">IFERROR(__xludf.DUMMYFUNCTION("""COMPUTED_VALUE"""),"20061017TXSEK")</f>
        <v>20061017TXSEK</v>
      </c>
      <c r="B1178" s="5" t="str">
        <f ca="1">IFERROR(__xludf.DUMMYFUNCTION("""COMPUTED_VALUE"""),"No Data")</f>
        <v>No Data</v>
      </c>
      <c r="C1178" s="5"/>
      <c r="D1178" s="5"/>
    </row>
    <row r="1179" spans="1:4">
      <c r="A1179" s="5" t="str">
        <f ca="1">IFERROR(__xludf.DUMMYFUNCTION("""COMPUTED_VALUE"""),"20061012MDGRB")</f>
        <v>20061012MDGRB</v>
      </c>
      <c r="B1179" s="5" t="str">
        <f ca="1">IFERROR(__xludf.DUMMYFUNCTION("""COMPUTED_VALUE"""),"Handgun")</f>
        <v>Handgun</v>
      </c>
      <c r="C1179" s="5" t="str">
        <f ca="1">IFERROR(__xludf.DUMMYFUNCTION("""COMPUTED_VALUE"""),".22 caliber")</f>
        <v>.22 caliber</v>
      </c>
      <c r="D1179" s="5"/>
    </row>
    <row r="1180" spans="1:4">
      <c r="A1180" s="5" t="str">
        <f ca="1">IFERROR(__xludf.DUMMYFUNCTION("""COMPUTED_VALUE"""),"20061010NYPOP")</f>
        <v>20061010NYPOP</v>
      </c>
      <c r="B1180" s="5" t="str">
        <f ca="1">IFERROR(__xludf.DUMMYFUNCTION("""COMPUTED_VALUE"""),"Other")</f>
        <v>Other</v>
      </c>
      <c r="C1180" s="5" t="str">
        <f ca="1">IFERROR(__xludf.DUMMYFUNCTION("""COMPUTED_VALUE"""),"BB")</f>
        <v>BB</v>
      </c>
      <c r="D1180" s="5"/>
    </row>
    <row r="1181" spans="1:4">
      <c r="A1181" s="5" t="str">
        <f ca="1">IFERROR(__xludf.DUMMYFUNCTION("""COMPUTED_VALUE"""),"20061009MOMEJ")</f>
        <v>20061009MOMEJ</v>
      </c>
      <c r="B1181" s="5" t="str">
        <f ca="1">IFERROR(__xludf.DUMMYFUNCTION("""COMPUTED_VALUE"""),"Rifle")</f>
        <v>Rifle</v>
      </c>
      <c r="C1181" s="5" t="str">
        <f ca="1">IFERROR(__xludf.DUMMYFUNCTION("""COMPUTED_VALUE"""),"7.26mm")</f>
        <v>7.26mm</v>
      </c>
      <c r="D1181" s="5"/>
    </row>
    <row r="1182" spans="1:4">
      <c r="A1182" s="5" t="str">
        <f ca="1">IFERROR(__xludf.DUMMYFUNCTION("""COMPUTED_VALUE"""),"20061002PAWEN")</f>
        <v>20061002PAWEN</v>
      </c>
      <c r="B1182" s="5" t="str">
        <f ca="1">IFERROR(__xludf.DUMMYFUNCTION("""COMPUTED_VALUE"""),"Multiple Unknown")</f>
        <v>Multiple Unknown</v>
      </c>
      <c r="C1182" s="5" t="str">
        <f ca="1">IFERROR(__xludf.DUMMYFUNCTION("""COMPUTED_VALUE"""),"Unknown")</f>
        <v>Unknown</v>
      </c>
      <c r="D1182" s="5"/>
    </row>
    <row r="1183" spans="1:4">
      <c r="A1183" s="5" t="str">
        <f ca="1">IFERROR(__xludf.DUMMYFUNCTION("""COMPUTED_VALUE"""),"20060929WIWEC")</f>
        <v>20060929WIWEC</v>
      </c>
      <c r="B1183" s="5" t="str">
        <f ca="1">IFERROR(__xludf.DUMMYFUNCTION("""COMPUTED_VALUE"""),"Multiple Unknown")</f>
        <v>Multiple Unknown</v>
      </c>
      <c r="C1183" s="5" t="str">
        <f ca="1">IFERROR(__xludf.DUMMYFUNCTION("""COMPUTED_VALUE"""),"Unknown")</f>
        <v>Unknown</v>
      </c>
      <c r="D1183" s="5"/>
    </row>
    <row r="1184" spans="1:4">
      <c r="A1184" s="5" t="str">
        <f ca="1">IFERROR(__xludf.DUMMYFUNCTION("""COMPUTED_VALUE"""),"20060927COPLB")</f>
        <v>20060927COPLB</v>
      </c>
      <c r="B1184" s="5" t="str">
        <f ca="1">IFERROR(__xludf.DUMMYFUNCTION("""COMPUTED_VALUE"""),"Multiple Handguns")</f>
        <v>Multiple Handguns</v>
      </c>
      <c r="C1184" s="5" t="str">
        <f ca="1">IFERROR(__xludf.DUMMYFUNCTION("""COMPUTED_VALUE"""),"Unknown")</f>
        <v>Unknown</v>
      </c>
      <c r="D1184" s="5"/>
    </row>
    <row r="1185" spans="1:4">
      <c r="A1185" s="5" t="str">
        <f ca="1">IFERROR(__xludf.DUMMYFUNCTION("""COMPUTED_VALUE"""),"20060921DCCAW")</f>
        <v>20060921DCCAW</v>
      </c>
      <c r="B1185" s="5" t="str">
        <f ca="1">IFERROR(__xludf.DUMMYFUNCTION("""COMPUTED_VALUE"""),"Handgun")</f>
        <v>Handgun</v>
      </c>
      <c r="C1185" s="5" t="str">
        <f ca="1">IFERROR(__xludf.DUMMYFUNCTION("""COMPUTED_VALUE"""),"Unknown")</f>
        <v>Unknown</v>
      </c>
      <c r="D1185" s="5"/>
    </row>
    <row r="1186" spans="1:4">
      <c r="A1186" s="5" t="str">
        <f ca="1">IFERROR(__xludf.DUMMYFUNCTION("""COMPUTED_VALUE"""),"20060913MOWEC")</f>
        <v>20060913MOWEC</v>
      </c>
      <c r="B1186" s="5" t="str">
        <f ca="1">IFERROR(__xludf.DUMMYFUNCTION("""COMPUTED_VALUE"""),"Handgun")</f>
        <v>Handgun</v>
      </c>
      <c r="C1186" s="5" t="str">
        <f ca="1">IFERROR(__xludf.DUMMYFUNCTION("""COMPUTED_VALUE"""),"Service Weapon")</f>
        <v>Service Weapon</v>
      </c>
      <c r="D1186" s="5"/>
    </row>
    <row r="1187" spans="1:4">
      <c r="A1187" s="5" t="str">
        <f ca="1">IFERROR(__xludf.DUMMYFUNCTION("""COMPUTED_VALUE"""),"20060908TXSOF")</f>
        <v>20060908TXSOF</v>
      </c>
      <c r="B1187" s="5" t="str">
        <f ca="1">IFERROR(__xludf.DUMMYFUNCTION("""COMPUTED_VALUE"""),"Handgun")</f>
        <v>Handgun</v>
      </c>
      <c r="C1187" s="5" t="str">
        <f ca="1">IFERROR(__xludf.DUMMYFUNCTION("""COMPUTED_VALUE"""),"Service Weapon")</f>
        <v>Service Weapon</v>
      </c>
      <c r="D1187" s="5"/>
    </row>
    <row r="1188" spans="1:4">
      <c r="A1188" s="5" t="str">
        <f ca="1">IFERROR(__xludf.DUMMYFUNCTION("""COMPUTED_VALUE"""),"20060905TNKIM")</f>
        <v>20060905TNKIM</v>
      </c>
      <c r="B1188" s="5" t="str">
        <f ca="1">IFERROR(__xludf.DUMMYFUNCTION("""COMPUTED_VALUE"""),"Handgun")</f>
        <v>Handgun</v>
      </c>
      <c r="C1188" s="5" t="str">
        <f ca="1">IFERROR(__xludf.DUMMYFUNCTION("""COMPUTED_VALUE"""),"Unknown")</f>
        <v>Unknown</v>
      </c>
      <c r="D1188" s="5"/>
    </row>
    <row r="1189" spans="1:4">
      <c r="A1189" s="5" t="str">
        <f ca="1">IFERROR(__xludf.DUMMYFUNCTION("""COMPUTED_VALUE"""),"20060831ALOXO")</f>
        <v>20060831ALOXO</v>
      </c>
      <c r="B1189" s="5" t="str">
        <f ca="1">IFERROR(__xludf.DUMMYFUNCTION("""COMPUTED_VALUE"""),"Handgun")</f>
        <v>Handgun</v>
      </c>
      <c r="C1189" s="5" t="str">
        <f ca="1">IFERROR(__xludf.DUMMYFUNCTION("""COMPUTED_VALUE"""),"Unknown")</f>
        <v>Unknown</v>
      </c>
      <c r="D1189" s="5"/>
    </row>
    <row r="1190" spans="1:4">
      <c r="A1190" s="5" t="str">
        <f ca="1">IFERROR(__xludf.DUMMYFUNCTION("""COMPUTED_VALUE"""),"20060830NCORH")</f>
        <v>20060830NCORH</v>
      </c>
      <c r="B1190" s="5" t="str">
        <f ca="1">IFERROR(__xludf.DUMMYFUNCTION("""COMPUTED_VALUE"""),"Multiple Unknown")</f>
        <v>Multiple Unknown</v>
      </c>
      <c r="C1190" s="5" t="str">
        <f ca="1">IFERROR(__xludf.DUMMYFUNCTION("""COMPUTED_VALUE"""),"Unknown")</f>
        <v>Unknown</v>
      </c>
      <c r="D1190" s="5"/>
    </row>
    <row r="1191" spans="1:4">
      <c r="A1191" s="5" t="str">
        <f ca="1">IFERROR(__xludf.DUMMYFUNCTION("""COMPUTED_VALUE"""),"20060829DCANW")</f>
        <v>20060829DCANW</v>
      </c>
      <c r="B1191" s="5" t="str">
        <f ca="1">IFERROR(__xludf.DUMMYFUNCTION("""COMPUTED_VALUE"""),"Handgun")</f>
        <v>Handgun</v>
      </c>
      <c r="C1191" s="5" t="str">
        <f ca="1">IFERROR(__xludf.DUMMYFUNCTION("""COMPUTED_VALUE"""),"Unknown")</f>
        <v>Unknown</v>
      </c>
      <c r="D1191" s="5"/>
    </row>
    <row r="1192" spans="1:4">
      <c r="A1192" s="5" t="str">
        <f ca="1">IFERROR(__xludf.DUMMYFUNCTION("""COMPUTED_VALUE"""),"20060824VTESE")</f>
        <v>20060824VTESE</v>
      </c>
      <c r="B1192" s="5" t="str">
        <f ca="1">IFERROR(__xludf.DUMMYFUNCTION("""COMPUTED_VALUE"""),"Handgun")</f>
        <v>Handgun</v>
      </c>
      <c r="C1192" s="5" t="str">
        <f ca="1">IFERROR(__xludf.DUMMYFUNCTION("""COMPUTED_VALUE"""),".45 caliber")</f>
        <v>.45 caliber</v>
      </c>
      <c r="D1192" s="5"/>
    </row>
    <row r="1193" spans="1:4">
      <c r="A1193" s="5" t="str">
        <f ca="1">IFERROR(__xludf.DUMMYFUNCTION("""COMPUTED_VALUE"""),"20060821INCAN")</f>
        <v>20060821INCAN</v>
      </c>
      <c r="B1193" s="5" t="str">
        <f ca="1">IFERROR(__xludf.DUMMYFUNCTION("""COMPUTED_VALUE"""),"Handgun")</f>
        <v>Handgun</v>
      </c>
      <c r="C1193" s="5" t="str">
        <f ca="1">IFERROR(__xludf.DUMMYFUNCTION("""COMPUTED_VALUE"""),"Unknown")</f>
        <v>Unknown</v>
      </c>
      <c r="D1193" s="5"/>
    </row>
    <row r="1194" spans="1:4">
      <c r="A1194" s="5" t="str">
        <f ca="1">IFERROR(__xludf.DUMMYFUNCTION("""COMPUTED_VALUE"""),"20060820GALYH")</f>
        <v>20060820GALYH</v>
      </c>
      <c r="B1194" s="5" t="str">
        <f ca="1">IFERROR(__xludf.DUMMYFUNCTION("""COMPUTED_VALUE"""),"Handgun")</f>
        <v>Handgun</v>
      </c>
      <c r="C1194" s="5" t="str">
        <f ca="1">IFERROR(__xludf.DUMMYFUNCTION("""COMPUTED_VALUE"""),"Unknown")</f>
        <v>Unknown</v>
      </c>
      <c r="D1194" s="5"/>
    </row>
    <row r="1195" spans="1:4">
      <c r="A1195" s="5" t="str">
        <f ca="1">IFERROR(__xludf.DUMMYFUNCTION("""COMPUTED_VALUE"""),"20060819OHSOY")</f>
        <v>20060819OHSOY</v>
      </c>
      <c r="B1195" s="5" t="str">
        <f ca="1">IFERROR(__xludf.DUMMYFUNCTION("""COMPUTED_VALUE"""),"Handgun")</f>
        <v>Handgun</v>
      </c>
      <c r="C1195" s="5" t="str">
        <f ca="1">IFERROR(__xludf.DUMMYFUNCTION("""COMPUTED_VALUE"""),"9mm")</f>
        <v>9mm</v>
      </c>
      <c r="D1195" s="5"/>
    </row>
    <row r="1196" spans="1:4">
      <c r="A1196" s="5" t="str">
        <f ca="1">IFERROR(__xludf.DUMMYFUNCTION("""COMPUTED_VALUE"""),"20060817TXMEA")</f>
        <v>20060817TXMEA</v>
      </c>
      <c r="B1196" s="5" t="str">
        <f ca="1">IFERROR(__xludf.DUMMYFUNCTION("""COMPUTED_VALUE"""),"Handgun")</f>
        <v>Handgun</v>
      </c>
      <c r="C1196" s="5" t="str">
        <f ca="1">IFERROR(__xludf.DUMMYFUNCTION("""COMPUTED_VALUE"""),"Unknown")</f>
        <v>Unknown</v>
      </c>
      <c r="D1196" s="5"/>
    </row>
    <row r="1197" spans="1:4">
      <c r="A1197" s="5" t="str">
        <f ca="1">IFERROR(__xludf.DUMMYFUNCTION("""COMPUTED_VALUE"""),"20060815KYJTV")</f>
        <v>20060815KYJTV</v>
      </c>
      <c r="B1197" s="5" t="str">
        <f ca="1">IFERROR(__xludf.DUMMYFUNCTION("""COMPUTED_VALUE"""),"Handgun")</f>
        <v>Handgun</v>
      </c>
      <c r="C1197" s="5" t="str">
        <f ca="1">IFERROR(__xludf.DUMMYFUNCTION("""COMPUTED_VALUE"""),"Unknown")</f>
        <v>Unknown</v>
      </c>
      <c r="D1197" s="5"/>
    </row>
    <row r="1198" spans="1:4">
      <c r="A1198" s="5" t="str">
        <f ca="1">IFERROR(__xludf.DUMMYFUNCTION("""COMPUTED_VALUE"""),"20060731FLYOT")</f>
        <v>20060731FLYOT</v>
      </c>
      <c r="B1198" s="5" t="str">
        <f ca="1">IFERROR(__xludf.DUMMYFUNCTION("""COMPUTED_VALUE"""),"Handgun")</f>
        <v>Handgun</v>
      </c>
      <c r="C1198" s="5" t="str">
        <f ca="1">IFERROR(__xludf.DUMMYFUNCTION("""COMPUTED_VALUE"""),"Unknown")</f>
        <v>Unknown</v>
      </c>
      <c r="D1198" s="5"/>
    </row>
    <row r="1199" spans="1:4">
      <c r="A1199" s="5" t="str">
        <f ca="1">IFERROR(__xludf.DUMMYFUNCTION("""COMPUTED_VALUE"""),"20060615MIPED")</f>
        <v>20060615MIPED</v>
      </c>
      <c r="B1199" s="5" t="str">
        <f ca="1">IFERROR(__xludf.DUMMYFUNCTION("""COMPUTED_VALUE"""),"Handgun")</f>
        <v>Handgun</v>
      </c>
      <c r="C1199" s="5" t="str">
        <f ca="1">IFERROR(__xludf.DUMMYFUNCTION("""COMPUTED_VALUE"""),"Unknown")</f>
        <v>Unknown</v>
      </c>
      <c r="D1199" s="5"/>
    </row>
    <row r="1200" spans="1:4">
      <c r="A1200" s="5" t="str">
        <f ca="1">IFERROR(__xludf.DUMMYFUNCTION("""COMPUTED_VALUE"""),"20060606INWIG")</f>
        <v>20060606INWIG</v>
      </c>
      <c r="B1200" s="5" t="str">
        <f ca="1">IFERROR(__xludf.DUMMYFUNCTION("""COMPUTED_VALUE"""),"Handgun")</f>
        <v>Handgun</v>
      </c>
      <c r="C1200" s="5" t="str">
        <f ca="1">IFERROR(__xludf.DUMMYFUNCTION("""COMPUTED_VALUE"""),"Unknown")</f>
        <v>Unknown</v>
      </c>
      <c r="D1200" s="5"/>
    </row>
    <row r="1201" spans="1:4">
      <c r="A1201" s="5" t="str">
        <f ca="1">IFERROR(__xludf.DUMMYFUNCTION("""COMPUTED_VALUE"""),"20060605CAVEL")</f>
        <v>20060605CAVEL</v>
      </c>
      <c r="B1201" s="5" t="str">
        <f ca="1">IFERROR(__xludf.DUMMYFUNCTION("""COMPUTED_VALUE"""),"Handgun")</f>
        <v>Handgun</v>
      </c>
      <c r="C1201" s="5" t="str">
        <f ca="1">IFERROR(__xludf.DUMMYFUNCTION("""COMPUTED_VALUE"""),".38 caliber")</f>
        <v>.38 caliber</v>
      </c>
      <c r="D1201" s="5"/>
    </row>
    <row r="1202" spans="1:4">
      <c r="A1202" s="5" t="str">
        <f ca="1">IFERROR(__xludf.DUMMYFUNCTION("""COMPUTED_VALUE"""),"20060525PANON")</f>
        <v>20060525PANON</v>
      </c>
      <c r="B1202" s="5" t="str">
        <f ca="1">IFERROR(__xludf.DUMMYFUNCTION("""COMPUTED_VALUE"""),"Rifle")</f>
        <v>Rifle</v>
      </c>
      <c r="C1202" s="5" t="str">
        <f ca="1">IFERROR(__xludf.DUMMYFUNCTION("""COMPUTED_VALUE"""),".22 caliber")</f>
        <v>.22 caliber</v>
      </c>
      <c r="D1202" s="5"/>
    </row>
    <row r="1203" spans="1:4">
      <c r="A1203" s="5" t="str">
        <f ca="1">IFERROR(__xludf.DUMMYFUNCTION("""COMPUTED_VALUE"""),"20060522SCBUI")</f>
        <v>20060522SCBUI</v>
      </c>
      <c r="B1203" s="5" t="str">
        <f ca="1">IFERROR(__xludf.DUMMYFUNCTION("""COMPUTED_VALUE"""),"Handgun")</f>
        <v>Handgun</v>
      </c>
      <c r="C1203" s="5" t="str">
        <f ca="1">IFERROR(__xludf.DUMMYFUNCTION("""COMPUTED_VALUE"""),".40 caliber")</f>
        <v>.40 caliber</v>
      </c>
      <c r="D1203" s="5"/>
    </row>
    <row r="1204" spans="1:4">
      <c r="A1204" s="5" t="str">
        <f ca="1">IFERROR(__xludf.DUMMYFUNCTION("""COMPUTED_VALUE"""),"20060505FLPAM")</f>
        <v>20060505FLPAM</v>
      </c>
      <c r="B1204" s="5" t="str">
        <f ca="1">IFERROR(__xludf.DUMMYFUNCTION("""COMPUTED_VALUE"""),"Handgun")</f>
        <v>Handgun</v>
      </c>
      <c r="C1204" s="5" t="str">
        <f ca="1">IFERROR(__xludf.DUMMYFUNCTION("""COMPUTED_VALUE"""),"Unknown")</f>
        <v>Unknown</v>
      </c>
      <c r="D1204" s="5"/>
    </row>
    <row r="1205" spans="1:4">
      <c r="A1205" s="5" t="str">
        <f ca="1">IFERROR(__xludf.DUMMYFUNCTION("""COMPUTED_VALUE"""),"20060424NCEAC")</f>
        <v>20060424NCEAC</v>
      </c>
      <c r="B1205" s="5" t="str">
        <f ca="1">IFERROR(__xludf.DUMMYFUNCTION("""COMPUTED_VALUE"""),"Shotgun")</f>
        <v>Shotgun</v>
      </c>
      <c r="C1205" s="5" t="str">
        <f ca="1">IFERROR(__xludf.DUMMYFUNCTION("""COMPUTED_VALUE"""),"Unknown")</f>
        <v>Unknown</v>
      </c>
      <c r="D1205" s="5"/>
    </row>
    <row r="1206" spans="1:4">
      <c r="A1206" s="5" t="str">
        <f ca="1">IFERROR(__xludf.DUMMYFUNCTION("""COMPUTED_VALUE"""),"20060418TXWEH")</f>
        <v>20060418TXWEH</v>
      </c>
      <c r="B1206" s="5" t="str">
        <f ca="1">IFERROR(__xludf.DUMMYFUNCTION("""COMPUTED_VALUE"""),"Handgun")</f>
        <v>Handgun</v>
      </c>
      <c r="C1206" s="5" t="str">
        <f ca="1">IFERROR(__xludf.DUMMYFUNCTION("""COMPUTED_VALUE"""),"Unknown")</f>
        <v>Unknown</v>
      </c>
      <c r="D1206" s="5"/>
    </row>
    <row r="1207" spans="1:4">
      <c r="A1207" s="5" t="str">
        <f ca="1">IFERROR(__xludf.DUMMYFUNCTION("""COMPUTED_VALUE"""),"20060405DCROW")</f>
        <v>20060405DCROW</v>
      </c>
      <c r="B1207" s="5" t="str">
        <f ca="1">IFERROR(__xludf.DUMMYFUNCTION("""COMPUTED_VALUE"""),"No Data")</f>
        <v>No Data</v>
      </c>
      <c r="C1207" s="5"/>
      <c r="D1207" s="5"/>
    </row>
    <row r="1208" spans="1:4">
      <c r="A1208" s="5" t="str">
        <f ca="1">IFERROR(__xludf.DUMMYFUNCTION("""COMPUTED_VALUE"""),"20060314NVPIR")</f>
        <v>20060314NVPIR</v>
      </c>
      <c r="B1208" s="5" t="str">
        <f ca="1">IFERROR(__xludf.DUMMYFUNCTION("""COMPUTED_VALUE"""),"Handgun")</f>
        <v>Handgun</v>
      </c>
      <c r="C1208" s="5" t="str">
        <f ca="1">IFERROR(__xludf.DUMMYFUNCTION("""COMPUTED_VALUE"""),".38 caliber")</f>
        <v>.38 caliber</v>
      </c>
      <c r="D1208" s="5"/>
    </row>
    <row r="1209" spans="1:4">
      <c r="A1209" s="5" t="str">
        <f ca="1">IFERROR(__xludf.DUMMYFUNCTION("""COMPUTED_VALUE"""),"20060310NYISN")</f>
        <v>20060310NYISN</v>
      </c>
      <c r="B1209" s="5" t="str">
        <f ca="1">IFERROR(__xludf.DUMMYFUNCTION("""COMPUTED_VALUE"""),"Other")</f>
        <v>Other</v>
      </c>
      <c r="C1209" s="5" t="str">
        <f ca="1">IFERROR(__xludf.DUMMYFUNCTION("""COMPUTED_VALUE"""),"BB")</f>
        <v>BB</v>
      </c>
      <c r="D1209" s="5"/>
    </row>
    <row r="1210" spans="1:4">
      <c r="A1210" s="5" t="str">
        <f ca="1">IFERROR(__xludf.DUMMYFUNCTION("""COMPUTED_VALUE"""),"20060223ORROR")</f>
        <v>20060223ORROR</v>
      </c>
      <c r="B1210" s="5" t="str">
        <f ca="1">IFERROR(__xludf.DUMMYFUNCTION("""COMPUTED_VALUE"""),"Handgun")</f>
        <v>Handgun</v>
      </c>
      <c r="C1210" s="5" t="str">
        <f ca="1">IFERROR(__xludf.DUMMYFUNCTION("""COMPUTED_VALUE"""),"Unknown")</f>
        <v>Unknown</v>
      </c>
      <c r="D1210" s="5"/>
    </row>
    <row r="1211" spans="1:4">
      <c r="A1211" s="5" t="str">
        <f ca="1">IFERROR(__xludf.DUMMYFUNCTION("""COMPUTED_VALUE"""),"20060221PAWEP")</f>
        <v>20060221PAWEP</v>
      </c>
      <c r="B1211" s="5" t="str">
        <f ca="1">IFERROR(__xludf.DUMMYFUNCTION("""COMPUTED_VALUE"""),"Rifle")</f>
        <v>Rifle</v>
      </c>
      <c r="C1211" s="5" t="str">
        <f ca="1">IFERROR(__xludf.DUMMYFUNCTION("""COMPUTED_VALUE"""),"AK-47")</f>
        <v>AK-47</v>
      </c>
      <c r="D1211" s="5"/>
    </row>
    <row r="1212" spans="1:4">
      <c r="A1212" s="5" t="str">
        <f ca="1">IFERROR(__xludf.DUMMYFUNCTION("""COMPUTED_VALUE"""),"20060215PAWEY")</f>
        <v>20060215PAWEY</v>
      </c>
      <c r="B1212" s="5" t="str">
        <f ca="1">IFERROR(__xludf.DUMMYFUNCTION("""COMPUTED_VALUE"""),"Handgun")</f>
        <v>Handgun</v>
      </c>
      <c r="C1212" s="5" t="str">
        <f ca="1">IFERROR(__xludf.DUMMYFUNCTION("""COMPUTED_VALUE"""),".38 caliber")</f>
        <v>.38 caliber</v>
      </c>
      <c r="D1212" s="5"/>
    </row>
    <row r="1213" spans="1:4">
      <c r="A1213" s="5" t="str">
        <f ca="1">IFERROR(__xludf.DUMMYFUNCTION("""COMPUTED_VALUE"""),"20060209DEWIN")</f>
        <v>20060209DEWIN</v>
      </c>
      <c r="B1213" s="5" t="str">
        <f ca="1">IFERROR(__xludf.DUMMYFUNCTION("""COMPUTED_VALUE"""),"Handgun")</f>
        <v>Handgun</v>
      </c>
      <c r="C1213" s="5" t="str">
        <f ca="1">IFERROR(__xludf.DUMMYFUNCTION("""COMPUTED_VALUE"""),"Unknown")</f>
        <v>Unknown</v>
      </c>
      <c r="D1213" s="5"/>
    </row>
    <row r="1214" spans="1:4">
      <c r="A1214" s="5" t="str">
        <f ca="1">IFERROR(__xludf.DUMMYFUNCTION("""COMPUTED_VALUE"""),"20060203CALOC")</f>
        <v>20060203CALOC</v>
      </c>
      <c r="B1214" s="5" t="str">
        <f ca="1">IFERROR(__xludf.DUMMYFUNCTION("""COMPUTED_VALUE"""),"Handgun")</f>
        <v>Handgun</v>
      </c>
      <c r="C1214" s="5" t="str">
        <f ca="1">IFERROR(__xludf.DUMMYFUNCTION("""COMPUTED_VALUE"""),".22 caliber")</f>
        <v>.22 caliber</v>
      </c>
      <c r="D1214" s="5"/>
    </row>
    <row r="1215" spans="1:4">
      <c r="A1215" s="5" t="str">
        <f ca="1">IFERROR(__xludf.DUMMYFUNCTION("""COMPUTED_VALUE"""),"20060130MTCMG")</f>
        <v>20060130MTCMG</v>
      </c>
      <c r="B1215" s="5" t="str">
        <f ca="1">IFERROR(__xludf.DUMMYFUNCTION("""COMPUTED_VALUE"""),"Handgun")</f>
        <v>Handgun</v>
      </c>
      <c r="C1215" s="5" t="str">
        <f ca="1">IFERROR(__xludf.DUMMYFUNCTION("""COMPUTED_VALUE"""),"Unknown")</f>
        <v>Unknown</v>
      </c>
      <c r="D1215" s="5"/>
    </row>
    <row r="1216" spans="1:4">
      <c r="A1216" s="5" t="str">
        <f ca="1">IFERROR(__xludf.DUMMYFUNCTION("""COMPUTED_VALUE"""),"20060127TXLAG")</f>
        <v>20060127TXLAG</v>
      </c>
      <c r="B1216" s="5" t="str">
        <f ca="1">IFERROR(__xludf.DUMMYFUNCTION("""COMPUTED_VALUE"""),"Handgun")</f>
        <v>Handgun</v>
      </c>
      <c r="C1216" s="5" t="str">
        <f ca="1">IFERROR(__xludf.DUMMYFUNCTION("""COMPUTED_VALUE"""),"Unknown")</f>
        <v>Unknown</v>
      </c>
      <c r="D1216" s="5"/>
    </row>
    <row r="1217" spans="1:4">
      <c r="A1217" s="5" t="str">
        <f ca="1">IFERROR(__xludf.DUMMYFUNCTION("""COMPUTED_VALUE"""),"20060123CAWIV")</f>
        <v>20060123CAWIV</v>
      </c>
      <c r="B1217" s="5" t="str">
        <f ca="1">IFERROR(__xludf.DUMMYFUNCTION("""COMPUTED_VALUE"""),"Handgun")</f>
        <v>Handgun</v>
      </c>
      <c r="C1217" s="5" t="str">
        <f ca="1">IFERROR(__xludf.DUMMYFUNCTION("""COMPUTED_VALUE"""),"Unknown")</f>
        <v>Unknown</v>
      </c>
      <c r="D1217" s="5"/>
    </row>
    <row r="1218" spans="1:4">
      <c r="A1218" s="5" t="str">
        <f ca="1">IFERROR(__xludf.DUMMYFUNCTION("""COMPUTED_VALUE"""),"20060119OHWIC")</f>
        <v>20060119OHWIC</v>
      </c>
      <c r="B1218" s="5" t="str">
        <f ca="1">IFERROR(__xludf.DUMMYFUNCTION("""COMPUTED_VALUE"""),"No Data")</f>
        <v>No Data</v>
      </c>
      <c r="C1218" s="5"/>
      <c r="D1218" s="5"/>
    </row>
    <row r="1219" spans="1:4">
      <c r="A1219" s="5" t="str">
        <f ca="1">IFERROR(__xludf.DUMMYFUNCTION("""COMPUTED_VALUE"""),"20060118VAINC")</f>
        <v>20060118VAINC</v>
      </c>
      <c r="B1219" s="5" t="str">
        <f ca="1">IFERROR(__xludf.DUMMYFUNCTION("""COMPUTED_VALUE"""),"Handgun")</f>
        <v>Handgun</v>
      </c>
      <c r="C1219" s="5" t="str">
        <f ca="1">IFERROR(__xludf.DUMMYFUNCTION("""COMPUTED_VALUE"""),"Unknown")</f>
        <v>Unknown</v>
      </c>
      <c r="D1219" s="5"/>
    </row>
    <row r="1220" spans="1:4">
      <c r="A1220" s="5" t="str">
        <f ca="1">IFERROR(__xludf.DUMMYFUNCTION("""COMPUTED_VALUE"""),"20060118TXPAA")</f>
        <v>20060118TXPAA</v>
      </c>
      <c r="B1220" s="5" t="str">
        <f ca="1">IFERROR(__xludf.DUMMYFUNCTION("""COMPUTED_VALUE"""),"Handgun")</f>
        <v>Handgun</v>
      </c>
      <c r="C1220" s="5" t="str">
        <f ca="1">IFERROR(__xludf.DUMMYFUNCTION("""COMPUTED_VALUE"""),".22 caliber")</f>
        <v>.22 caliber</v>
      </c>
      <c r="D1220" s="5"/>
    </row>
    <row r="1221" spans="1:4">
      <c r="A1221" s="5" t="str">
        <f ca="1">IFERROR(__xludf.DUMMYFUNCTION("""COMPUTED_VALUE"""),"20060118MTFRA")</f>
        <v>20060118MTFRA</v>
      </c>
      <c r="B1221" s="5" t="str">
        <f ca="1">IFERROR(__xludf.DUMMYFUNCTION("""COMPUTED_VALUE"""),"Other")</f>
        <v>Other</v>
      </c>
      <c r="C1221" s="5" t="str">
        <f ca="1">IFERROR(__xludf.DUMMYFUNCTION("""COMPUTED_VALUE"""),"Airsoft")</f>
        <v>Airsoft</v>
      </c>
      <c r="D1221" s="5"/>
    </row>
    <row r="1222" spans="1:4">
      <c r="A1222" s="5" t="str">
        <f ca="1">IFERROR(__xludf.DUMMYFUNCTION("""COMPUTED_VALUE"""),"20060113MIOSD")</f>
        <v>20060113MIOSD</v>
      </c>
      <c r="B1222" s="5" t="str">
        <f ca="1">IFERROR(__xludf.DUMMYFUNCTION("""COMPUTED_VALUE"""),"Handgun")</f>
        <v>Handgun</v>
      </c>
      <c r="C1222" s="5" t="str">
        <f ca="1">IFERROR(__xludf.DUMMYFUNCTION("""COMPUTED_VALUE"""),"Unknown")</f>
        <v>Unknown</v>
      </c>
      <c r="D1222" s="5"/>
    </row>
    <row r="1223" spans="1:4">
      <c r="A1223" s="5" t="str">
        <f ca="1">IFERROR(__xludf.DUMMYFUNCTION("""COMPUTED_VALUE"""),"20060113FLMIL")</f>
        <v>20060113FLMIL</v>
      </c>
      <c r="B1223" s="5" t="str">
        <f ca="1">IFERROR(__xludf.DUMMYFUNCTION("""COMPUTED_VALUE"""),"Rifle")</f>
        <v>Rifle</v>
      </c>
      <c r="C1223" s="5" t="str">
        <f ca="1">IFERROR(__xludf.DUMMYFUNCTION("""COMPUTED_VALUE"""),"Unknown")</f>
        <v>Unknown</v>
      </c>
      <c r="D1223" s="5"/>
    </row>
    <row r="1224" spans="1:4">
      <c r="A1224" s="5" t="str">
        <f ca="1">IFERROR(__xludf.DUMMYFUNCTION("""COMPUTED_VALUE"""),"20060113ALPIP")</f>
        <v>20060113ALPIP</v>
      </c>
      <c r="B1224" s="5" t="str">
        <f ca="1">IFERROR(__xludf.DUMMYFUNCTION("""COMPUTED_VALUE"""),"Handgun")</f>
        <v>Handgun</v>
      </c>
      <c r="C1224" s="5" t="str">
        <f ca="1">IFERROR(__xludf.DUMMYFUNCTION("""COMPUTED_VALUE"""),"Unknown")</f>
        <v>Unknown</v>
      </c>
      <c r="D1224" s="5"/>
    </row>
    <row r="1225" spans="1:4">
      <c r="A1225" s="5" t="str">
        <f ca="1">IFERROR(__xludf.DUMMYFUNCTION("""COMPUTED_VALUE"""),"20060111WIMAM")</f>
        <v>20060111WIMAM</v>
      </c>
      <c r="B1225" s="5" t="str">
        <f ca="1">IFERROR(__xludf.DUMMYFUNCTION("""COMPUTED_VALUE"""),"No Data")</f>
        <v>No Data</v>
      </c>
      <c r="C1225" s="5"/>
      <c r="D1225" s="5"/>
    </row>
    <row r="1226" spans="1:4">
      <c r="A1226" s="5" t="str">
        <f ca="1">IFERROR(__xludf.DUMMYFUNCTION("""COMPUTED_VALUE"""),"20060110DEMOW")</f>
        <v>20060110DEMOW</v>
      </c>
      <c r="B1226" s="5" t="str">
        <f ca="1">IFERROR(__xludf.DUMMYFUNCTION("""COMPUTED_VALUE"""),"Handgun")</f>
        <v>Handgun</v>
      </c>
      <c r="C1226" s="5" t="str">
        <f ca="1">IFERROR(__xludf.DUMMYFUNCTION("""COMPUTED_VALUE"""),"Unknown")</f>
        <v>Unknown</v>
      </c>
      <c r="D1226" s="5"/>
    </row>
    <row r="1227" spans="1:4">
      <c r="A1227" s="5" t="str">
        <f ca="1">IFERROR(__xludf.DUMMYFUNCTION("""COMPUTED_VALUE"""),"20060103NJLIJ")</f>
        <v>20060103NJLIJ</v>
      </c>
      <c r="B1227" s="5" t="str">
        <f ca="1">IFERROR(__xludf.DUMMYFUNCTION("""COMPUTED_VALUE"""),"Handgun")</f>
        <v>Handgun</v>
      </c>
      <c r="C1227" s="5" t="str">
        <f ca="1">IFERROR(__xludf.DUMMYFUNCTION("""COMPUTED_VALUE"""),"Unknown")</f>
        <v>Unknown</v>
      </c>
      <c r="D1227" s="5"/>
    </row>
    <row r="1228" spans="1:4">
      <c r="A1228" s="5" t="str">
        <f ca="1">IFERROR(__xludf.DUMMYFUNCTION("""COMPUTED_VALUE"""),"20051206MICED")</f>
        <v>20051206MICED</v>
      </c>
      <c r="B1228" s="5" t="str">
        <f ca="1">IFERROR(__xludf.DUMMYFUNCTION("""COMPUTED_VALUE"""),"Handgun")</f>
        <v>Handgun</v>
      </c>
      <c r="C1228" s="5" t="str">
        <f ca="1">IFERROR(__xludf.DUMMYFUNCTION("""COMPUTED_VALUE"""),"Unknown")</f>
        <v>Unknown</v>
      </c>
      <c r="D1228" s="5"/>
    </row>
    <row r="1229" spans="1:4">
      <c r="A1229" s="5" t="str">
        <f ca="1">IFERROR(__xludf.DUMMYFUNCTION("""COMPUTED_VALUE"""),"20051206CASAG")</f>
        <v>20051206CASAG</v>
      </c>
      <c r="B1229" s="5" t="str">
        <f ca="1">IFERROR(__xludf.DUMMYFUNCTION("""COMPUTED_VALUE"""),"Handgun")</f>
        <v>Handgun</v>
      </c>
      <c r="C1229" s="5" t="str">
        <f ca="1">IFERROR(__xludf.DUMMYFUNCTION("""COMPUTED_VALUE"""),"Unknown")</f>
        <v>Unknown</v>
      </c>
      <c r="D1229" s="5"/>
    </row>
    <row r="1230" spans="1:4">
      <c r="A1230" s="5" t="str">
        <f ca="1">IFERROR(__xludf.DUMMYFUNCTION("""COMPUTED_VALUE"""),"20051205MABOR")</f>
        <v>20051205MABOR</v>
      </c>
      <c r="B1230" s="5" t="str">
        <f ca="1">IFERROR(__xludf.DUMMYFUNCTION("""COMPUTED_VALUE"""),"Handgun")</f>
        <v>Handgun</v>
      </c>
      <c r="C1230" s="5" t="str">
        <f ca="1">IFERROR(__xludf.DUMMYFUNCTION("""COMPUTED_VALUE"""),"Unknown")</f>
        <v>Unknown</v>
      </c>
      <c r="D1230" s="5"/>
    </row>
    <row r="1231" spans="1:4">
      <c r="A1231" s="5" t="str">
        <f ca="1">IFERROR(__xludf.DUMMYFUNCTION("""COMPUTED_VALUE"""),"20051116TXIRS")</f>
        <v>20051116TXIRS</v>
      </c>
      <c r="B1231" s="5" t="str">
        <f ca="1">IFERROR(__xludf.DUMMYFUNCTION("""COMPUTED_VALUE"""),"Handgun")</f>
        <v>Handgun</v>
      </c>
      <c r="C1231" s="5" t="str">
        <f ca="1">IFERROR(__xludf.DUMMYFUNCTION("""COMPUTED_VALUE"""),"Service Weapon")</f>
        <v>Service Weapon</v>
      </c>
      <c r="D1231" s="5"/>
    </row>
    <row r="1232" spans="1:4">
      <c r="A1232" s="5" t="str">
        <f ca="1">IFERROR(__xludf.DUMMYFUNCTION("""COMPUTED_VALUE"""),"20051115FLPAM")</f>
        <v>20051115FLPAM</v>
      </c>
      <c r="B1232" s="5" t="str">
        <f ca="1">IFERROR(__xludf.DUMMYFUNCTION("""COMPUTED_VALUE"""),"Handgun")</f>
        <v>Handgun</v>
      </c>
      <c r="C1232" s="5" t="str">
        <f ca="1">IFERROR(__xludf.DUMMYFUNCTION("""COMPUTED_VALUE"""),".25 caliber")</f>
        <v>.25 caliber</v>
      </c>
      <c r="D1232" s="5"/>
    </row>
    <row r="1233" spans="1:4">
      <c r="A1233" s="5" t="str">
        <f ca="1">IFERROR(__xludf.DUMMYFUNCTION("""COMPUTED_VALUE"""),"20051108TNCAJ")</f>
        <v>20051108TNCAJ</v>
      </c>
      <c r="B1233" s="5" t="str">
        <f ca="1">IFERROR(__xludf.DUMMYFUNCTION("""COMPUTED_VALUE"""),"Handgun")</f>
        <v>Handgun</v>
      </c>
      <c r="C1233" s="5" t="str">
        <f ca="1">IFERROR(__xludf.DUMMYFUNCTION("""COMPUTED_VALUE"""),".22 caliber")</f>
        <v>.22 caliber</v>
      </c>
      <c r="D1233" s="5"/>
    </row>
    <row r="1234" spans="1:4">
      <c r="A1234" s="5" t="str">
        <f ca="1">IFERROR(__xludf.DUMMYFUNCTION("""COMPUTED_VALUE"""),"20051028NYFAF")</f>
        <v>20051028NYFAF</v>
      </c>
      <c r="B1234" s="5" t="str">
        <f ca="1">IFERROR(__xludf.DUMMYFUNCTION("""COMPUTED_VALUE"""),"Handgun")</f>
        <v>Handgun</v>
      </c>
      <c r="C1234" s="5" t="str">
        <f ca="1">IFERROR(__xludf.DUMMYFUNCTION("""COMPUTED_VALUE"""),"Unknown")</f>
        <v>Unknown</v>
      </c>
      <c r="D1234" s="5"/>
    </row>
    <row r="1235" spans="1:4">
      <c r="A1235" s="5" t="str">
        <f ca="1">IFERROR(__xludf.DUMMYFUNCTION("""COMPUTED_VALUE"""),"20051028MDANA")</f>
        <v>20051028MDANA</v>
      </c>
      <c r="B1235" s="5" t="str">
        <f ca="1">IFERROR(__xludf.DUMMYFUNCTION("""COMPUTED_VALUE"""),"Handgun")</f>
        <v>Handgun</v>
      </c>
      <c r="C1235" s="5" t="str">
        <f ca="1">IFERROR(__xludf.DUMMYFUNCTION("""COMPUTED_VALUE"""),"Unknown")</f>
        <v>Unknown</v>
      </c>
      <c r="D1235" s="5"/>
    </row>
    <row r="1236" spans="1:4">
      <c r="A1236" s="5" t="str">
        <f ca="1">IFERROR(__xludf.DUMMYFUNCTION("""COMPUTED_VALUE"""),"20051027CABIF")</f>
        <v>20051027CABIF</v>
      </c>
      <c r="B1236" s="5" t="str">
        <f ca="1">IFERROR(__xludf.DUMMYFUNCTION("""COMPUTED_VALUE"""),"No Data")</f>
        <v>No Data</v>
      </c>
      <c r="C1236" s="5"/>
      <c r="D1236" s="5"/>
    </row>
    <row r="1237" spans="1:4">
      <c r="A1237" s="5" t="str">
        <f ca="1">IFERROR(__xludf.DUMMYFUNCTION("""COMPUTED_VALUE"""),"20051020MISAS")</f>
        <v>20051020MISAS</v>
      </c>
      <c r="B1237" s="5" t="str">
        <f ca="1">IFERROR(__xludf.DUMMYFUNCTION("""COMPUTED_VALUE"""),"Handgun")</f>
        <v>Handgun</v>
      </c>
      <c r="C1237" s="5" t="str">
        <f ca="1">IFERROR(__xludf.DUMMYFUNCTION("""COMPUTED_VALUE"""),".38 caliber")</f>
        <v>.38 caliber</v>
      </c>
      <c r="D1237" s="5"/>
    </row>
    <row r="1238" spans="1:4">
      <c r="A1238" s="5" t="str">
        <f ca="1">IFERROR(__xludf.DUMMYFUNCTION("""COMPUTED_VALUE"""),"20051019CASAS")</f>
        <v>20051019CASAS</v>
      </c>
      <c r="B1238" s="5" t="str">
        <f ca="1">IFERROR(__xludf.DUMMYFUNCTION("""COMPUTED_VALUE"""),"No Data")</f>
        <v>No Data</v>
      </c>
      <c r="C1238" s="5"/>
      <c r="D1238" s="5"/>
    </row>
    <row r="1239" spans="1:4">
      <c r="A1239" s="5" t="str">
        <f ca="1">IFERROR(__xludf.DUMMYFUNCTION("""COMPUTED_VALUE"""),"20051014NYSAN")</f>
        <v>20051014NYSAN</v>
      </c>
      <c r="B1239" s="5" t="str">
        <f ca="1">IFERROR(__xludf.DUMMYFUNCTION("""COMPUTED_VALUE"""),"Handgun")</f>
        <v>Handgun</v>
      </c>
      <c r="C1239" s="5" t="str">
        <f ca="1">IFERROR(__xludf.DUMMYFUNCTION("""COMPUTED_VALUE"""),"Unknown")</f>
        <v>Unknown</v>
      </c>
      <c r="D1239" s="5"/>
    </row>
    <row r="1240" spans="1:4">
      <c r="A1240" s="5" t="str">
        <f ca="1">IFERROR(__xludf.DUMMYFUNCTION("""COMPUTED_VALUE"""),"20051011MIFAF")</f>
        <v>20051011MIFAF</v>
      </c>
      <c r="B1240" s="5" t="str">
        <f ca="1">IFERROR(__xludf.DUMMYFUNCTION("""COMPUTED_VALUE"""),"Shotgun")</f>
        <v>Shotgun</v>
      </c>
      <c r="C1240" s="5" t="str">
        <f ca="1">IFERROR(__xludf.DUMMYFUNCTION("""COMPUTED_VALUE"""),"12 gauge")</f>
        <v>12 gauge</v>
      </c>
      <c r="D1240" s="5"/>
    </row>
    <row r="1241" spans="1:4">
      <c r="A1241" s="5" t="str">
        <f ca="1">IFERROR(__xludf.DUMMYFUNCTION("""COMPUTED_VALUE"""),"20050924MISAS")</f>
        <v>20050924MISAS</v>
      </c>
      <c r="B1241" s="5" t="str">
        <f ca="1">IFERROR(__xludf.DUMMYFUNCTION("""COMPUTED_VALUE"""),"No Data")</f>
        <v>No Data</v>
      </c>
      <c r="C1241" s="5"/>
      <c r="D1241" s="5"/>
    </row>
    <row r="1242" spans="1:4">
      <c r="A1242" s="5" t="str">
        <f ca="1">IFERROR(__xludf.DUMMYFUNCTION("""COMPUTED_VALUE"""),"20050913ILHAC")</f>
        <v>20050913ILHAC</v>
      </c>
      <c r="B1242" s="5" t="str">
        <f ca="1">IFERROR(__xludf.DUMMYFUNCTION("""COMPUTED_VALUE"""),"Handgun")</f>
        <v>Handgun</v>
      </c>
      <c r="C1242" s="5" t="str">
        <f ca="1">IFERROR(__xludf.DUMMYFUNCTION("""COMPUTED_VALUE"""),".25 caliber")</f>
        <v>.25 caliber</v>
      </c>
      <c r="D1242" s="5"/>
    </row>
    <row r="1243" spans="1:4">
      <c r="A1243" s="5" t="str">
        <f ca="1">IFERROR(__xludf.DUMMYFUNCTION("""COMPUTED_VALUE"""),"20050902FLSOJ")</f>
        <v>20050902FLSOJ</v>
      </c>
      <c r="B1243" s="5" t="str">
        <f ca="1">IFERROR(__xludf.DUMMYFUNCTION("""COMPUTED_VALUE"""),"Handgun")</f>
        <v>Handgun</v>
      </c>
      <c r="C1243" s="5" t="str">
        <f ca="1">IFERROR(__xludf.DUMMYFUNCTION("""COMPUTED_VALUE"""),"Unknown")</f>
        <v>Unknown</v>
      </c>
      <c r="D1243" s="5"/>
    </row>
    <row r="1244" spans="1:4">
      <c r="A1244" s="5" t="str">
        <f ca="1">IFERROR(__xludf.DUMMYFUNCTION("""COMPUTED_VALUE"""),"20050901AKDIA")</f>
        <v>20050901AKDIA</v>
      </c>
      <c r="B1244" s="5" t="str">
        <f ca="1">IFERROR(__xludf.DUMMYFUNCTION("""COMPUTED_VALUE"""),"Handgun")</f>
        <v>Handgun</v>
      </c>
      <c r="C1244" s="5" t="str">
        <f ca="1">IFERROR(__xludf.DUMMYFUNCTION("""COMPUTED_VALUE"""),"Unknown")</f>
        <v>Unknown</v>
      </c>
      <c r="D1244" s="5"/>
    </row>
    <row r="1245" spans="1:4">
      <c r="A1245" s="5" t="str">
        <f ca="1">IFERROR(__xludf.DUMMYFUNCTION("""COMPUTED_VALUE"""),"20050825TNMAD")</f>
        <v>20050825TNMAD</v>
      </c>
      <c r="B1245" s="5" t="str">
        <f ca="1">IFERROR(__xludf.DUMMYFUNCTION("""COMPUTED_VALUE"""),"Handgun")</f>
        <v>Handgun</v>
      </c>
      <c r="C1245" s="5" t="str">
        <f ca="1">IFERROR(__xludf.DUMMYFUNCTION("""COMPUTED_VALUE"""),".38 caliber")</f>
        <v>.38 caliber</v>
      </c>
      <c r="D1245" s="5"/>
    </row>
    <row r="1246" spans="1:4">
      <c r="A1246" s="5" t="str">
        <f ca="1">IFERROR(__xludf.DUMMYFUNCTION("""COMPUTED_VALUE"""),"20050819GAMOM")</f>
        <v>20050819GAMOM</v>
      </c>
      <c r="B1246" s="5" t="str">
        <f ca="1">IFERROR(__xludf.DUMMYFUNCTION("""COMPUTED_VALUE"""),"Handgun")</f>
        <v>Handgun</v>
      </c>
      <c r="C1246" s="5" t="str">
        <f ca="1">IFERROR(__xludf.DUMMYFUNCTION("""COMPUTED_VALUE"""),"Unknown")</f>
        <v>Unknown</v>
      </c>
      <c r="D1246" s="5"/>
    </row>
    <row r="1247" spans="1:4">
      <c r="A1247" s="5" t="str">
        <f ca="1">IFERROR(__xludf.DUMMYFUNCTION("""COMPUTED_VALUE"""),"20050817CAPLB")</f>
        <v>20050817CAPLB</v>
      </c>
      <c r="B1247" s="5" t="str">
        <f ca="1">IFERROR(__xludf.DUMMYFUNCTION("""COMPUTED_VALUE"""),"Handgun")</f>
        <v>Handgun</v>
      </c>
      <c r="C1247" s="5" t="str">
        <f ca="1">IFERROR(__xludf.DUMMYFUNCTION("""COMPUTED_VALUE"""),"Unknown")</f>
        <v>Unknown</v>
      </c>
      <c r="D1247" s="5"/>
    </row>
    <row r="1248" spans="1:4">
      <c r="A1248" s="5" t="str">
        <f ca="1">IFERROR(__xludf.DUMMYFUNCTION("""COMPUTED_VALUE"""),"20050816VICOE")</f>
        <v>20050816VICOE</v>
      </c>
      <c r="B1248" s="5" t="str">
        <f ca="1">IFERROR(__xludf.DUMMYFUNCTION("""COMPUTED_VALUE"""),"No Data")</f>
        <v>No Data</v>
      </c>
      <c r="C1248" s="5"/>
      <c r="D1248" s="5"/>
    </row>
    <row r="1249" spans="1:4">
      <c r="A1249" s="5" t="str">
        <f ca="1">IFERROR(__xludf.DUMMYFUNCTION("""COMPUTED_VALUE"""),"20050718NJWEN")</f>
        <v>20050718NJWEN</v>
      </c>
      <c r="B1249" s="5" t="str">
        <f ca="1">IFERROR(__xludf.DUMMYFUNCTION("""COMPUTED_VALUE"""),"Handgun")</f>
        <v>Handgun</v>
      </c>
      <c r="C1249" s="5" t="str">
        <f ca="1">IFERROR(__xludf.DUMMYFUNCTION("""COMPUTED_VALUE"""),"Unknown")</f>
        <v>Unknown</v>
      </c>
      <c r="D1249" s="5"/>
    </row>
    <row r="1250" spans="1:4">
      <c r="A1250" s="5" t="str">
        <f ca="1">IFERROR(__xludf.DUMMYFUNCTION("""COMPUTED_VALUE"""),"20050612NJBAA")</f>
        <v>20050612NJBAA</v>
      </c>
      <c r="B1250" s="5" t="str">
        <f ca="1">IFERROR(__xludf.DUMMYFUNCTION("""COMPUTED_VALUE"""),"Handgun")</f>
        <v>Handgun</v>
      </c>
      <c r="C1250" s="5" t="str">
        <f ca="1">IFERROR(__xludf.DUMMYFUNCTION("""COMPUTED_VALUE"""),"Unknown")</f>
        <v>Unknown</v>
      </c>
      <c r="D1250" s="5"/>
    </row>
    <row r="1251" spans="1:4">
      <c r="A1251" s="5" t="str">
        <f ca="1">IFERROR(__xludf.DUMMYFUNCTION("""COMPUTED_VALUE"""),"20050608NYARP")</f>
        <v>20050608NYARP</v>
      </c>
      <c r="B1251" s="5" t="str">
        <f ca="1">IFERROR(__xludf.DUMMYFUNCTION("""COMPUTED_VALUE"""),"Other")</f>
        <v>Other</v>
      </c>
      <c r="C1251" s="5" t="str">
        <f ca="1">IFERROR(__xludf.DUMMYFUNCTION("""COMPUTED_VALUE"""),"BB")</f>
        <v>BB</v>
      </c>
      <c r="D1251" s="5"/>
    </row>
    <row r="1252" spans="1:4">
      <c r="A1252" s="5" t="str">
        <f ca="1">IFERROR(__xludf.DUMMYFUNCTION("""COMPUTED_VALUE"""),"20050524LABOS")</f>
        <v>20050524LABOS</v>
      </c>
      <c r="B1252" s="5" t="str">
        <f ca="1">IFERROR(__xludf.DUMMYFUNCTION("""COMPUTED_VALUE"""),"Handgun")</f>
        <v>Handgun</v>
      </c>
      <c r="C1252" s="5" t="str">
        <f ca="1">IFERROR(__xludf.DUMMYFUNCTION("""COMPUTED_VALUE"""),".45 caliber")</f>
        <v>.45 caliber</v>
      </c>
      <c r="D1252" s="5"/>
    </row>
    <row r="1253" spans="1:4">
      <c r="A1253" s="5" t="str">
        <f ca="1">IFERROR(__xludf.DUMMYFUNCTION("""COMPUTED_VALUE"""),"20050524COACD")</f>
        <v>20050524COACD</v>
      </c>
      <c r="B1253" s="5" t="str">
        <f ca="1">IFERROR(__xludf.DUMMYFUNCTION("""COMPUTED_VALUE"""),"Other")</f>
        <v>Other</v>
      </c>
      <c r="C1253" s="5" t="str">
        <f ca="1">IFERROR(__xludf.DUMMYFUNCTION("""COMPUTED_VALUE"""),"BB")</f>
        <v>BB</v>
      </c>
      <c r="D1253" s="5"/>
    </row>
    <row r="1254" spans="1:4">
      <c r="A1254" s="5" t="str">
        <f ca="1">IFERROR(__xludf.DUMMYFUNCTION("""COMPUTED_VALUE"""),"20050520ILLOM")</f>
        <v>20050520ILLOM</v>
      </c>
      <c r="B1254" s="5" t="str">
        <f ca="1">IFERROR(__xludf.DUMMYFUNCTION("""COMPUTED_VALUE"""),"Other")</f>
        <v>Other</v>
      </c>
      <c r="C1254" s="5" t="str">
        <f ca="1">IFERROR(__xludf.DUMMYFUNCTION("""COMPUTED_VALUE"""),"Airsoft")</f>
        <v>Airsoft</v>
      </c>
      <c r="D1254" s="5"/>
    </row>
    <row r="1255" spans="1:4">
      <c r="A1255" s="5" t="str">
        <f ca="1">IFERROR(__xludf.DUMMYFUNCTION("""COMPUTED_VALUE"""),"20050517PAHIL")</f>
        <v>20050517PAHIL</v>
      </c>
      <c r="B1255" s="5" t="str">
        <f ca="1">IFERROR(__xludf.DUMMYFUNCTION("""COMPUTED_VALUE"""),"Handgun")</f>
        <v>Handgun</v>
      </c>
      <c r="C1255" s="5" t="str">
        <f ca="1">IFERROR(__xludf.DUMMYFUNCTION("""COMPUTED_VALUE"""),"9mm")</f>
        <v>9mm</v>
      </c>
      <c r="D1255" s="5"/>
    </row>
    <row r="1256" spans="1:4">
      <c r="A1256" s="5" t="str">
        <f ca="1">IFERROR(__xludf.DUMMYFUNCTION("""COMPUTED_VALUE"""),"20050514TXBER")</f>
        <v>20050514TXBER</v>
      </c>
      <c r="B1256" s="5" t="str">
        <f ca="1">IFERROR(__xludf.DUMMYFUNCTION("""COMPUTED_VALUE"""),"Handgun")</f>
        <v>Handgun</v>
      </c>
      <c r="C1256" s="5" t="str">
        <f ca="1">IFERROR(__xludf.DUMMYFUNCTION("""COMPUTED_VALUE"""),"9mm")</f>
        <v>9mm</v>
      </c>
      <c r="D1256" s="5"/>
    </row>
    <row r="1257" spans="1:4">
      <c r="A1257" s="5" t="str">
        <f ca="1">IFERROR(__xludf.DUMMYFUNCTION("""COMPUTED_VALUE"""),"20050429OHDAC")</f>
        <v>20050429OHDAC</v>
      </c>
      <c r="B1257" s="5" t="str">
        <f ca="1">IFERROR(__xludf.DUMMYFUNCTION("""COMPUTED_VALUE"""),"No Data")</f>
        <v>No Data</v>
      </c>
      <c r="C1257" s="5"/>
      <c r="D1257" s="5"/>
    </row>
    <row r="1258" spans="1:4">
      <c r="A1258" s="5" t="str">
        <f ca="1">IFERROR(__xludf.DUMMYFUNCTION("""COMPUTED_VALUE"""),"20050427LALER")</f>
        <v>20050427LALER</v>
      </c>
      <c r="B1258" s="5" t="str">
        <f ca="1">IFERROR(__xludf.DUMMYFUNCTION("""COMPUTED_VALUE"""),"Handgun")</f>
        <v>Handgun</v>
      </c>
      <c r="C1258" s="5" t="str">
        <f ca="1">IFERROR(__xludf.DUMMYFUNCTION("""COMPUTED_VALUE"""),".25 caliber")</f>
        <v>.25 caliber</v>
      </c>
      <c r="D1258" s="5"/>
    </row>
    <row r="1259" spans="1:4">
      <c r="A1259" s="5" t="str">
        <f ca="1">IFERROR(__xludf.DUMMYFUNCTION("""COMPUTED_VALUE"""),"20050407TXCAC")</f>
        <v>20050407TXCAC</v>
      </c>
      <c r="B1259" s="5" t="str">
        <f ca="1">IFERROR(__xludf.DUMMYFUNCTION("""COMPUTED_VALUE"""),"Handgun")</f>
        <v>Handgun</v>
      </c>
      <c r="C1259" s="5" t="str">
        <f ca="1">IFERROR(__xludf.DUMMYFUNCTION("""COMPUTED_VALUE"""),".45 caliber")</f>
        <v>.45 caliber</v>
      </c>
      <c r="D1259" s="5"/>
    </row>
    <row r="1260" spans="1:4">
      <c r="A1260" s="5" t="str">
        <f ca="1">IFERROR(__xludf.DUMMYFUNCTION("""COMPUTED_VALUE"""),"20050330TNEAM")</f>
        <v>20050330TNEAM</v>
      </c>
      <c r="B1260" s="5" t="str">
        <f ca="1">IFERROR(__xludf.DUMMYFUNCTION("""COMPUTED_VALUE"""),"Handgun")</f>
        <v>Handgun</v>
      </c>
      <c r="C1260" s="5" t="str">
        <f ca="1">IFERROR(__xludf.DUMMYFUNCTION("""COMPUTED_VALUE"""),"Unknown")</f>
        <v>Unknown</v>
      </c>
      <c r="D1260" s="5"/>
    </row>
    <row r="1261" spans="1:4">
      <c r="A1261" s="5" t="str">
        <f ca="1">IFERROR(__xludf.DUMMYFUNCTION("""COMPUTED_VALUE"""),"20050324TNFAM")</f>
        <v>20050324TNFAM</v>
      </c>
      <c r="B1261" s="5" t="str">
        <f ca="1">IFERROR(__xludf.DUMMYFUNCTION("""COMPUTED_VALUE"""),"Handgun")</f>
        <v>Handgun</v>
      </c>
      <c r="C1261" s="5" t="str">
        <f ca="1">IFERROR(__xludf.DUMMYFUNCTION("""COMPUTED_VALUE"""),"Unknown")</f>
        <v>Unknown</v>
      </c>
      <c r="D1261" s="5"/>
    </row>
    <row r="1262" spans="1:4">
      <c r="A1262" s="5" t="str">
        <f ca="1">IFERROR(__xludf.DUMMYFUNCTION("""COMPUTED_VALUE"""),"20050321NYNEB")</f>
        <v>20050321NYNEB</v>
      </c>
      <c r="B1262" s="5" t="str">
        <f ca="1">IFERROR(__xludf.DUMMYFUNCTION("""COMPUTED_VALUE"""),"Handgun")</f>
        <v>Handgun</v>
      </c>
      <c r="C1262" s="5" t="str">
        <f ca="1">IFERROR(__xludf.DUMMYFUNCTION("""COMPUTED_VALUE"""),".45 caliber")</f>
        <v>.45 caliber</v>
      </c>
      <c r="D1262" s="5"/>
    </row>
    <row r="1263" spans="1:4">
      <c r="A1263" s="5" t="str">
        <f ca="1">IFERROR(__xludf.DUMMYFUNCTION("""COMPUTED_VALUE"""),"20050321MNRER")</f>
        <v>20050321MNRER</v>
      </c>
      <c r="B1263" s="5" t="str">
        <f ca="1">IFERROR(__xludf.DUMMYFUNCTION("""COMPUTED_VALUE"""),"Handgun")</f>
        <v>Handgun</v>
      </c>
      <c r="C1263" s="5" t="str">
        <f ca="1">IFERROR(__xludf.DUMMYFUNCTION("""COMPUTED_VALUE"""),".40 caliber")</f>
        <v>.40 caliber</v>
      </c>
      <c r="D1263" s="5"/>
    </row>
    <row r="1264" spans="1:4">
      <c r="A1264" s="5" t="str">
        <f ca="1">IFERROR(__xludf.DUMMYFUNCTION("""COMPUTED_VALUE"""),"20050321MNRER")</f>
        <v>20050321MNRER</v>
      </c>
      <c r="B1264" s="5" t="str">
        <f ca="1">IFERROR(__xludf.DUMMYFUNCTION("""COMPUTED_VALUE"""),"Shotgun")</f>
        <v>Shotgun</v>
      </c>
      <c r="C1264" s="5" t="str">
        <f ca="1">IFERROR(__xludf.DUMMYFUNCTION("""COMPUTED_VALUE"""),"12 gauge")</f>
        <v>12 gauge</v>
      </c>
      <c r="D1264" s="5"/>
    </row>
    <row r="1265" spans="1:4">
      <c r="A1265" s="5" t="str">
        <f ca="1">IFERROR(__xludf.DUMMYFUNCTION("""COMPUTED_VALUE"""),"20050317LAOPA")</f>
        <v>20050317LAOPA</v>
      </c>
      <c r="B1265" s="5" t="str">
        <f ca="1">IFERROR(__xludf.DUMMYFUNCTION("""COMPUTED_VALUE"""),"Handgun")</f>
        <v>Handgun</v>
      </c>
      <c r="C1265" s="5" t="str">
        <f ca="1">IFERROR(__xludf.DUMMYFUNCTION("""COMPUTED_VALUE"""),"Unknown")</f>
        <v>Unknown</v>
      </c>
      <c r="D1265" s="5"/>
    </row>
    <row r="1266" spans="1:4">
      <c r="A1266" s="5" t="str">
        <f ca="1">IFERROR(__xludf.DUMMYFUNCTION("""COMPUTED_VALUE"""),"20050317CALOL")</f>
        <v>20050317CALOL</v>
      </c>
      <c r="B1266" s="5" t="str">
        <f ca="1">IFERROR(__xludf.DUMMYFUNCTION("""COMPUTED_VALUE"""),"Handgun")</f>
        <v>Handgun</v>
      </c>
      <c r="C1266" s="5" t="str">
        <f ca="1">IFERROR(__xludf.DUMMYFUNCTION("""COMPUTED_VALUE"""),"Unknown")</f>
        <v>Unknown</v>
      </c>
      <c r="D1266" s="5"/>
    </row>
    <row r="1267" spans="1:4">
      <c r="A1267" s="5" t="str">
        <f ca="1">IFERROR(__xludf.DUMMYFUNCTION("""COMPUTED_VALUE"""),"20050316PACAP")</f>
        <v>20050316PACAP</v>
      </c>
      <c r="B1267" s="5" t="str">
        <f ca="1">IFERROR(__xludf.DUMMYFUNCTION("""COMPUTED_VALUE"""),"Rifle")</f>
        <v>Rifle</v>
      </c>
      <c r="C1267" s="5" t="str">
        <f ca="1">IFERROR(__xludf.DUMMYFUNCTION("""COMPUTED_VALUE"""),"AK-47")</f>
        <v>AK-47</v>
      </c>
      <c r="D1267" s="5"/>
    </row>
    <row r="1268" spans="1:4">
      <c r="A1268" s="5" t="str">
        <f ca="1">IFERROR(__xludf.DUMMYFUNCTION("""COMPUTED_VALUE"""),"20050314OHLEC")</f>
        <v>20050314OHLEC</v>
      </c>
      <c r="B1268" s="5" t="str">
        <f ca="1">IFERROR(__xludf.DUMMYFUNCTION("""COMPUTED_VALUE"""),"Handgun")</f>
        <v>Handgun</v>
      </c>
      <c r="C1268" s="5" t="str">
        <f ca="1">IFERROR(__xludf.DUMMYFUNCTION("""COMPUTED_VALUE"""),".45 caliber")</f>
        <v>.45 caliber</v>
      </c>
      <c r="D1268" s="5"/>
    </row>
    <row r="1269" spans="1:4">
      <c r="A1269" s="5" t="str">
        <f ca="1">IFERROR(__xludf.DUMMYFUNCTION("""COMPUTED_VALUE"""),"20050310TXZAD")</f>
        <v>20050310TXZAD</v>
      </c>
      <c r="B1269" s="5" t="str">
        <f ca="1">IFERROR(__xludf.DUMMYFUNCTION("""COMPUTED_VALUE"""),"Handgun")</f>
        <v>Handgun</v>
      </c>
      <c r="C1269" s="5" t="str">
        <f ca="1">IFERROR(__xludf.DUMMYFUNCTION("""COMPUTED_VALUE"""),"Unknown")</f>
        <v>Unknown</v>
      </c>
      <c r="D1269" s="5"/>
    </row>
    <row r="1270" spans="1:4">
      <c r="A1270" s="5" t="str">
        <f ca="1">IFERROR(__xludf.DUMMYFUNCTION("""COMPUTED_VALUE"""),"20050309TNMAN")</f>
        <v>20050309TNMAN</v>
      </c>
      <c r="B1270" s="5" t="str">
        <f ca="1">IFERROR(__xludf.DUMMYFUNCTION("""COMPUTED_VALUE"""),"Handgun")</f>
        <v>Handgun</v>
      </c>
      <c r="C1270" s="5" t="str">
        <f ca="1">IFERROR(__xludf.DUMMYFUNCTION("""COMPUTED_VALUE"""),"Unknown")</f>
        <v>Unknown</v>
      </c>
      <c r="D1270" s="5"/>
    </row>
    <row r="1271" spans="1:4">
      <c r="A1271" s="5" t="str">
        <f ca="1">IFERROR(__xludf.DUMMYFUNCTION("""COMPUTED_VALUE"""),"20050302TNSTD")</f>
        <v>20050302TNSTD</v>
      </c>
      <c r="B1271" s="5" t="str">
        <f ca="1">IFERROR(__xludf.DUMMYFUNCTION("""COMPUTED_VALUE"""),"Handgun")</f>
        <v>Handgun</v>
      </c>
      <c r="C1271" s="5" t="str">
        <f ca="1">IFERROR(__xludf.DUMMYFUNCTION("""COMPUTED_VALUE"""),".45 caliber")</f>
        <v>.45 caliber</v>
      </c>
      <c r="D1271" s="5"/>
    </row>
    <row r="1272" spans="1:4">
      <c r="A1272" s="5" t="str">
        <f ca="1">IFERROR(__xludf.DUMMYFUNCTION("""COMPUTED_VALUE"""),"20050208ILBOC")</f>
        <v>20050208ILBOC</v>
      </c>
      <c r="B1272" s="5" t="str">
        <f ca="1">IFERROR(__xludf.DUMMYFUNCTION("""COMPUTED_VALUE"""),"No Data")</f>
        <v>No Data</v>
      </c>
      <c r="C1272" s="5"/>
      <c r="D1272" s="5"/>
    </row>
    <row r="1273" spans="1:4">
      <c r="A1273" s="5" t="str">
        <f ca="1">IFERROR(__xludf.DUMMYFUNCTION("""COMPUTED_VALUE"""),"20050204GAMCA")</f>
        <v>20050204GAMCA</v>
      </c>
      <c r="B1273" s="5" t="str">
        <f ca="1">IFERROR(__xludf.DUMMYFUNCTION("""COMPUTED_VALUE"""),"Handgun")</f>
        <v>Handgun</v>
      </c>
      <c r="C1273" s="5" t="str">
        <f ca="1">IFERROR(__xludf.DUMMYFUNCTION("""COMPUTED_VALUE"""),"Unknown")</f>
        <v>Unknown</v>
      </c>
      <c r="D1273" s="5"/>
    </row>
    <row r="1274" spans="1:4">
      <c r="A1274" s="5" t="str">
        <f ca="1">IFERROR(__xludf.DUMMYFUNCTION("""COMPUTED_VALUE"""),"20050126ILWOP")</f>
        <v>20050126ILWOP</v>
      </c>
      <c r="B1274" s="5" t="str">
        <f ca="1">IFERROR(__xludf.DUMMYFUNCTION("""COMPUTED_VALUE"""),"Handgun")</f>
        <v>Handgun</v>
      </c>
      <c r="C1274" s="5" t="str">
        <f ca="1">IFERROR(__xludf.DUMMYFUNCTION("""COMPUTED_VALUE"""),"Unknown")</f>
        <v>Unknown</v>
      </c>
      <c r="D1274" s="5"/>
    </row>
    <row r="1275" spans="1:4">
      <c r="A1275" s="5" t="str">
        <f ca="1">IFERROR(__xludf.DUMMYFUNCTION("""COMPUTED_VALUE"""),"20050105PAMUN")</f>
        <v>20050105PAMUN</v>
      </c>
      <c r="B1275" s="5" t="str">
        <f ca="1">IFERROR(__xludf.DUMMYFUNCTION("""COMPUTED_VALUE"""),"Handgun")</f>
        <v>Handgun</v>
      </c>
      <c r="C1275" s="5" t="str">
        <f ca="1">IFERROR(__xludf.DUMMYFUNCTION("""COMPUTED_VALUE"""),"Unknown")</f>
        <v>Unknown</v>
      </c>
      <c r="D1275" s="5"/>
    </row>
    <row r="1276" spans="1:4">
      <c r="A1276" s="5" t="str">
        <f ca="1">IFERROR(__xludf.DUMMYFUNCTION("""COMPUTED_VALUE"""),"20041231TXRIR")</f>
        <v>20041231TXRIR</v>
      </c>
      <c r="B1276" s="5" t="str">
        <f ca="1">IFERROR(__xludf.DUMMYFUNCTION("""COMPUTED_VALUE"""),"Handgun")</f>
        <v>Handgun</v>
      </c>
      <c r="C1276" s="5" t="str">
        <f ca="1">IFERROR(__xludf.DUMMYFUNCTION("""COMPUTED_VALUE"""),"Unknown")</f>
        <v>Unknown</v>
      </c>
      <c r="D1276" s="5"/>
    </row>
    <row r="1277" spans="1:4">
      <c r="A1277" s="5" t="str">
        <f ca="1">IFERROR(__xludf.DUMMYFUNCTION("""COMPUTED_VALUE"""),"20041213LALAL")</f>
        <v>20041213LALAL</v>
      </c>
      <c r="B1277" s="5" t="str">
        <f ca="1">IFERROR(__xludf.DUMMYFUNCTION("""COMPUTED_VALUE"""),"Handgun")</f>
        <v>Handgun</v>
      </c>
      <c r="C1277" s="5" t="str">
        <f ca="1">IFERROR(__xludf.DUMMYFUNCTION("""COMPUTED_VALUE"""),"Unknown")</f>
        <v>Unknown</v>
      </c>
      <c r="D1277" s="5"/>
    </row>
    <row r="1278" spans="1:4">
      <c r="A1278" s="5" t="str">
        <f ca="1">IFERROR(__xludf.DUMMYFUNCTION("""COMPUTED_VALUE"""),"20041209WALAS")</f>
        <v>20041209WALAS</v>
      </c>
      <c r="B1278" s="5" t="str">
        <f ca="1">IFERROR(__xludf.DUMMYFUNCTION("""COMPUTED_VALUE"""),"No Data")</f>
        <v>No Data</v>
      </c>
      <c r="C1278" s="5"/>
      <c r="D1278" s="5"/>
    </row>
    <row r="1279" spans="1:4">
      <c r="A1279" s="5" t="str">
        <f ca="1">IFERROR(__xludf.DUMMYFUNCTION("""COMPUTED_VALUE"""),"20041119FLTEJ")</f>
        <v>20041119FLTEJ</v>
      </c>
      <c r="B1279" s="5" t="str">
        <f ca="1">IFERROR(__xludf.DUMMYFUNCTION("""COMPUTED_VALUE"""),"Handgun")</f>
        <v>Handgun</v>
      </c>
      <c r="C1279" s="5" t="str">
        <f ca="1">IFERROR(__xludf.DUMMYFUNCTION("""COMPUTED_VALUE"""),"Unknown")</f>
        <v>Unknown</v>
      </c>
      <c r="D1279" s="5"/>
    </row>
    <row r="1280" spans="1:4">
      <c r="A1280" s="5" t="str">
        <f ca="1">IFERROR(__xludf.DUMMYFUNCTION("""COMPUTED_VALUE"""),"20041117FLAPA")</f>
        <v>20041117FLAPA</v>
      </c>
      <c r="B1280" s="5" t="str">
        <f ca="1">IFERROR(__xludf.DUMMYFUNCTION("""COMPUTED_VALUE"""),"Handgun")</f>
        <v>Handgun</v>
      </c>
      <c r="C1280" s="5" t="str">
        <f ca="1">IFERROR(__xludf.DUMMYFUNCTION("""COMPUTED_VALUE"""),"9mm")</f>
        <v>9mm</v>
      </c>
      <c r="D1280" s="5"/>
    </row>
    <row r="1281" spans="1:4">
      <c r="A1281" s="5" t="str">
        <f ca="1">IFERROR(__xludf.DUMMYFUNCTION("""COMPUTED_VALUE"""),"20041116SCBAB")</f>
        <v>20041116SCBAB</v>
      </c>
      <c r="B1281" s="5" t="str">
        <f ca="1">IFERROR(__xludf.DUMMYFUNCTION("""COMPUTED_VALUE"""),"Handgun")</f>
        <v>Handgun</v>
      </c>
      <c r="C1281" s="5" t="str">
        <f ca="1">IFERROR(__xludf.DUMMYFUNCTION("""COMPUTED_VALUE"""),".22 caliber")</f>
        <v>.22 caliber</v>
      </c>
      <c r="D1281" s="5"/>
    </row>
    <row r="1282" spans="1:4">
      <c r="A1282" s="5" t="str">
        <f ca="1">IFERROR(__xludf.DUMMYFUNCTION("""COMPUTED_VALUE"""),"20041115INBRG")</f>
        <v>20041115INBRG</v>
      </c>
      <c r="B1282" s="5" t="str">
        <f ca="1">IFERROR(__xludf.DUMMYFUNCTION("""COMPUTED_VALUE"""),"No Data")</f>
        <v>No Data</v>
      </c>
      <c r="C1282" s="5"/>
      <c r="D1282" s="5"/>
    </row>
    <row r="1283" spans="1:4">
      <c r="A1283" s="5" t="str">
        <f ca="1">IFERROR(__xludf.DUMMYFUNCTION("""COMPUTED_VALUE"""),"20041115ALPAB")</f>
        <v>20041115ALPAB</v>
      </c>
      <c r="B1283" s="5" t="str">
        <f ca="1">IFERROR(__xludf.DUMMYFUNCTION("""COMPUTED_VALUE"""),"Handgun")</f>
        <v>Handgun</v>
      </c>
      <c r="C1283" s="5" t="str">
        <f ca="1">IFERROR(__xludf.DUMMYFUNCTION("""COMPUTED_VALUE"""),"Unknown")</f>
        <v>Unknown</v>
      </c>
      <c r="D1283" s="5"/>
    </row>
    <row r="1284" spans="1:4">
      <c r="A1284" s="5" t="str">
        <f ca="1">IFERROR(__xludf.DUMMYFUNCTION("""COMPUTED_VALUE"""),"20041022CATYH")</f>
        <v>20041022CATYH</v>
      </c>
      <c r="B1284" s="5" t="str">
        <f ca="1">IFERROR(__xludf.DUMMYFUNCTION("""COMPUTED_VALUE"""),"No Data")</f>
        <v>No Data</v>
      </c>
      <c r="C1284" s="5"/>
      <c r="D1284" s="5"/>
    </row>
    <row r="1285" spans="1:4">
      <c r="A1285" s="5" t="str">
        <f ca="1">IFERROR(__xludf.DUMMYFUNCTION("""COMPUTED_VALUE"""),"20041021MDTHB")</f>
        <v>20041021MDTHB</v>
      </c>
      <c r="B1285" s="5" t="str">
        <f ca="1">IFERROR(__xludf.DUMMYFUNCTION("""COMPUTED_VALUE"""),"Handgun")</f>
        <v>Handgun</v>
      </c>
      <c r="C1285" s="5" t="str">
        <f ca="1">IFERROR(__xludf.DUMMYFUNCTION("""COMPUTED_VALUE"""),"Unknown")</f>
        <v>Unknown</v>
      </c>
      <c r="D1285" s="5"/>
    </row>
    <row r="1286" spans="1:4">
      <c r="A1286" s="5" t="str">
        <f ca="1">IFERROR(__xludf.DUMMYFUNCTION("""COMPUTED_VALUE"""),"20041015CABIB")</f>
        <v>20041015CABIB</v>
      </c>
      <c r="B1286" s="5" t="str">
        <f ca="1">IFERROR(__xludf.DUMMYFUNCTION("""COMPUTED_VALUE"""),"No Data")</f>
        <v>No Data</v>
      </c>
      <c r="C1286" s="5"/>
      <c r="D1286" s="5"/>
    </row>
    <row r="1287" spans="1:4">
      <c r="A1287" s="5" t="str">
        <f ca="1">IFERROR(__xludf.DUMMYFUNCTION("""COMPUTED_VALUE"""),"20041012CALAS")</f>
        <v>20041012CALAS</v>
      </c>
      <c r="B1287" s="5" t="str">
        <f ca="1">IFERROR(__xludf.DUMMYFUNCTION("""COMPUTED_VALUE"""),"Handgun")</f>
        <v>Handgun</v>
      </c>
      <c r="C1287" s="5" t="str">
        <f ca="1">IFERROR(__xludf.DUMMYFUNCTION("""COMPUTED_VALUE"""),"Unknown")</f>
        <v>Unknown</v>
      </c>
      <c r="D1287" s="5"/>
    </row>
    <row r="1288" spans="1:4">
      <c r="A1288" s="5" t="str">
        <f ca="1">IFERROR(__xludf.DUMMYFUNCTION("""COMPUTED_VALUE"""),"20041007MANEN")</f>
        <v>20041007MANEN</v>
      </c>
      <c r="B1288" s="5" t="str">
        <f ca="1">IFERROR(__xludf.DUMMYFUNCTION("""COMPUTED_VALUE"""),"Shotgun")</f>
        <v>Shotgun</v>
      </c>
      <c r="C1288" s="5" t="str">
        <f ca="1">IFERROR(__xludf.DUMMYFUNCTION("""COMPUTED_VALUE"""),"Unknown")</f>
        <v>Unknown</v>
      </c>
      <c r="D1288" s="5"/>
    </row>
    <row r="1289" spans="1:4">
      <c r="A1289" s="5" t="str">
        <f ca="1">IFERROR(__xludf.DUMMYFUNCTION("""COMPUTED_VALUE"""),"20041002NEJEG")</f>
        <v>20041002NEJEG</v>
      </c>
      <c r="B1289" s="5" t="str">
        <f ca="1">IFERROR(__xludf.DUMMYFUNCTION("""COMPUTED_VALUE"""),"Handgun")</f>
        <v>Handgun</v>
      </c>
      <c r="C1289" s="5" t="str">
        <f ca="1">IFERROR(__xludf.DUMMYFUNCTION("""COMPUTED_VALUE"""),".357 caliber")</f>
        <v>.357 caliber</v>
      </c>
      <c r="D1289" s="5"/>
    </row>
    <row r="1290" spans="1:4">
      <c r="A1290" s="5" t="str">
        <f ca="1">IFERROR(__xludf.DUMMYFUNCTION("""COMPUTED_VALUE"""),"20040915INWIG")</f>
        <v>20040915INWIG</v>
      </c>
      <c r="B1290" s="5" t="str">
        <f ca="1">IFERROR(__xludf.DUMMYFUNCTION("""COMPUTED_VALUE"""),"Handgun")</f>
        <v>Handgun</v>
      </c>
      <c r="C1290" s="5" t="str">
        <f ca="1">IFERROR(__xludf.DUMMYFUNCTION("""COMPUTED_VALUE"""),".38 caliber")</f>
        <v>.38 caliber</v>
      </c>
      <c r="D1290" s="5"/>
    </row>
    <row r="1291" spans="1:4">
      <c r="A1291" s="5" t="str">
        <f ca="1">IFERROR(__xludf.DUMMYFUNCTION("""COMPUTED_VALUE"""),"20040912LABON")</f>
        <v>20040912LABON</v>
      </c>
      <c r="B1291" s="5" t="str">
        <f ca="1">IFERROR(__xludf.DUMMYFUNCTION("""COMPUTED_VALUE"""),"Handgun")</f>
        <v>Handgun</v>
      </c>
      <c r="C1291" s="5" t="str">
        <f ca="1">IFERROR(__xludf.DUMMYFUNCTION("""COMPUTED_VALUE"""),".38 caliber")</f>
        <v>.38 caliber</v>
      </c>
      <c r="D1291" s="5"/>
    </row>
    <row r="1292" spans="1:4">
      <c r="A1292" s="5" t="str">
        <f ca="1">IFERROR(__xludf.DUMMYFUNCTION("""COMPUTED_VALUE"""),"20040830ILPRM")</f>
        <v>20040830ILPRM</v>
      </c>
      <c r="B1292" s="5" t="str">
        <f ca="1">IFERROR(__xludf.DUMMYFUNCTION("""COMPUTED_VALUE"""),"Handgun")</f>
        <v>Handgun</v>
      </c>
      <c r="C1292" s="5" t="str">
        <f ca="1">IFERROR(__xludf.DUMMYFUNCTION("""COMPUTED_VALUE"""),"Unknown")</f>
        <v>Unknown</v>
      </c>
      <c r="D1292" s="5"/>
    </row>
    <row r="1293" spans="1:4">
      <c r="A1293" s="5" t="str">
        <f ca="1">IFERROR(__xludf.DUMMYFUNCTION("""COMPUTED_VALUE"""),"20040824TNHAM")</f>
        <v>20040824TNHAM</v>
      </c>
      <c r="B1293" s="5" t="str">
        <f ca="1">IFERROR(__xludf.DUMMYFUNCTION("""COMPUTED_VALUE"""),"Handgun")</f>
        <v>Handgun</v>
      </c>
      <c r="C1293" s="5" t="str">
        <f ca="1">IFERROR(__xludf.DUMMYFUNCTION("""COMPUTED_VALUE"""),"Unknown")</f>
        <v>Unknown</v>
      </c>
      <c r="D1293" s="5"/>
    </row>
    <row r="1294" spans="1:4">
      <c r="A1294" s="5" t="str">
        <f ca="1">IFERROR(__xludf.DUMMYFUNCTION("""COMPUTED_VALUE"""),"20040803ALHUB")</f>
        <v>20040803ALHUB</v>
      </c>
      <c r="B1294" s="5" t="str">
        <f ca="1">IFERROR(__xludf.DUMMYFUNCTION("""COMPUTED_VALUE"""),"Handgun")</f>
        <v>Handgun</v>
      </c>
      <c r="C1294" s="5" t="str">
        <f ca="1">IFERROR(__xludf.DUMMYFUNCTION("""COMPUTED_VALUE"""),".22 caliber")</f>
        <v>.22 caliber</v>
      </c>
      <c r="D1294" s="5"/>
    </row>
    <row r="1295" spans="1:4">
      <c r="A1295" s="5" t="str">
        <f ca="1">IFERROR(__xludf.DUMMYFUNCTION("""COMPUTED_VALUE"""),"20040609CACAO")</f>
        <v>20040609CACAO</v>
      </c>
      <c r="B1295" s="5" t="str">
        <f ca="1">IFERROR(__xludf.DUMMYFUNCTION("""COMPUTED_VALUE"""),"No Data")</f>
        <v>No Data</v>
      </c>
      <c r="C1295" s="5"/>
      <c r="D1295" s="5"/>
    </row>
    <row r="1296" spans="1:4">
      <c r="A1296" s="5" t="str">
        <f ca="1">IFERROR(__xludf.DUMMYFUNCTION("""COMPUTED_VALUE"""),"20040524UTWES")</f>
        <v>20040524UTWES</v>
      </c>
      <c r="B1296" s="5" t="str">
        <f ca="1">IFERROR(__xludf.DUMMYFUNCTION("""COMPUTED_VALUE"""),"Handgun")</f>
        <v>Handgun</v>
      </c>
      <c r="C1296" s="5" t="str">
        <f ca="1">IFERROR(__xludf.DUMMYFUNCTION("""COMPUTED_VALUE"""),".38 caliber")</f>
        <v>.38 caliber</v>
      </c>
      <c r="D1296" s="5"/>
    </row>
    <row r="1297" spans="1:4">
      <c r="A1297" s="5" t="str">
        <f ca="1">IFERROR(__xludf.DUMMYFUNCTION("""COMPUTED_VALUE"""),"20040512CAEAM")</f>
        <v>20040512CAEAM</v>
      </c>
      <c r="B1297" s="5" t="str">
        <f ca="1">IFERROR(__xludf.DUMMYFUNCTION("""COMPUTED_VALUE"""),"Shotgun")</f>
        <v>Shotgun</v>
      </c>
      <c r="C1297" s="5" t="str">
        <f ca="1">IFERROR(__xludf.DUMMYFUNCTION("""COMPUTED_VALUE"""),"Unknown")</f>
        <v>Unknown</v>
      </c>
      <c r="D1297" s="5"/>
    </row>
    <row r="1298" spans="1:4">
      <c r="A1298" s="5" t="str">
        <f ca="1">IFERROR(__xludf.DUMMYFUNCTION("""COMPUTED_VALUE"""),"20040507MDRAR")</f>
        <v>20040507MDRAR</v>
      </c>
      <c r="B1298" s="5" t="str">
        <f ca="1">IFERROR(__xludf.DUMMYFUNCTION("""COMPUTED_VALUE"""),"Handgun")</f>
        <v>Handgun</v>
      </c>
      <c r="C1298" s="5" t="str">
        <f ca="1">IFERROR(__xludf.DUMMYFUNCTION("""COMPUTED_VALUE"""),"9mm")</f>
        <v>9mm</v>
      </c>
      <c r="D1298" s="5"/>
    </row>
    <row r="1299" spans="1:4">
      <c r="A1299" s="5" t="str">
        <f ca="1">IFERROR(__xludf.DUMMYFUNCTION("""COMPUTED_VALUE"""),"20040504TXKAH")</f>
        <v>20040504TXKAH</v>
      </c>
      <c r="B1299" s="5" t="str">
        <f ca="1">IFERROR(__xludf.DUMMYFUNCTION("""COMPUTED_VALUE"""),"No Data")</f>
        <v>No Data</v>
      </c>
      <c r="C1299" s="5"/>
      <c r="D1299" s="5"/>
    </row>
    <row r="1300" spans="1:4">
      <c r="A1300" s="5" t="str">
        <f ca="1">IFERROR(__xludf.DUMMYFUNCTION("""COMPUTED_VALUE"""),"20040317WACRJ")</f>
        <v>20040317WACRJ</v>
      </c>
      <c r="B1300" s="5" t="str">
        <f ca="1">IFERROR(__xludf.DUMMYFUNCTION("""COMPUTED_VALUE"""),"Rifle")</f>
        <v>Rifle</v>
      </c>
      <c r="C1300" s="5" t="str">
        <f ca="1">IFERROR(__xludf.DUMMYFUNCTION("""COMPUTED_VALUE"""),".22 caliber")</f>
        <v>.22 caliber</v>
      </c>
      <c r="D1300" s="5"/>
    </row>
    <row r="1301" spans="1:4">
      <c r="A1301" s="5" t="str">
        <f ca="1">IFERROR(__xludf.DUMMYFUNCTION("""COMPUTED_VALUE"""),"20040305CASAL")</f>
        <v>20040305CASAL</v>
      </c>
      <c r="B1301" s="5" t="str">
        <f ca="1">IFERROR(__xludf.DUMMYFUNCTION("""COMPUTED_VALUE"""),"No Data")</f>
        <v>No Data</v>
      </c>
      <c r="C1301" s="5"/>
      <c r="D1301" s="5"/>
    </row>
    <row r="1302" spans="1:4">
      <c r="A1302" s="5" t="str">
        <f ca="1">IFERROR(__xludf.DUMMYFUNCTION("""COMPUTED_VALUE"""),"20040220LAGAS")</f>
        <v>20040220LAGAS</v>
      </c>
      <c r="B1302" s="5" t="str">
        <f ca="1">IFERROR(__xludf.DUMMYFUNCTION("""COMPUTED_VALUE"""),"Handgun")</f>
        <v>Handgun</v>
      </c>
      <c r="C1302" s="5" t="str">
        <f ca="1">IFERROR(__xludf.DUMMYFUNCTION("""COMPUTED_VALUE"""),"Unknown")</f>
        <v>Unknown</v>
      </c>
      <c r="D1302" s="5"/>
    </row>
    <row r="1303" spans="1:4">
      <c r="A1303" s="5" t="str">
        <f ca="1">IFERROR(__xludf.DUMMYFUNCTION("""COMPUTED_VALUE"""),"20040213OHCOD")</f>
        <v>20040213OHCOD</v>
      </c>
      <c r="B1303" s="5" t="str">
        <f ca="1">IFERROR(__xludf.DUMMYFUNCTION("""COMPUTED_VALUE"""),"Handgun")</f>
        <v>Handgun</v>
      </c>
      <c r="C1303" s="5" t="str">
        <f ca="1">IFERROR(__xludf.DUMMYFUNCTION("""COMPUTED_VALUE"""),"10mm")</f>
        <v>10mm</v>
      </c>
      <c r="D1303" s="5"/>
    </row>
    <row r="1304" spans="1:4">
      <c r="A1304" s="5" t="str">
        <f ca="1">IFERROR(__xludf.DUMMYFUNCTION("""COMPUTED_VALUE"""),"20040211PATMP")</f>
        <v>20040211PATMP</v>
      </c>
      <c r="B1304" s="5" t="str">
        <f ca="1">IFERROR(__xludf.DUMMYFUNCTION("""COMPUTED_VALUE"""),"Multiple Unknown")</f>
        <v>Multiple Unknown</v>
      </c>
      <c r="C1304" s="5" t="str">
        <f ca="1">IFERROR(__xludf.DUMMYFUNCTION("""COMPUTED_VALUE"""),"Unknown")</f>
        <v>Unknown</v>
      </c>
      <c r="D1304" s="5"/>
    </row>
    <row r="1305" spans="1:4">
      <c r="A1305" s="5" t="str">
        <f ca="1">IFERROR(__xludf.DUMMYFUNCTION("""COMPUTED_VALUE"""),"20040209NYCOE")</f>
        <v>20040209NYCOE</v>
      </c>
      <c r="B1305" s="5" t="str">
        <f ca="1">IFERROR(__xludf.DUMMYFUNCTION("""COMPUTED_VALUE"""),"Shotgun")</f>
        <v>Shotgun</v>
      </c>
      <c r="C1305" s="5" t="str">
        <f ca="1">IFERROR(__xludf.DUMMYFUNCTION("""COMPUTED_VALUE"""),"12 gauge")</f>
        <v>12 gauge</v>
      </c>
      <c r="D1305" s="5"/>
    </row>
    <row r="1306" spans="1:4">
      <c r="A1306" s="5" t="str">
        <f ca="1">IFERROR(__xludf.DUMMYFUNCTION("""COMPUTED_VALUE"""),"20040206LAFAS")</f>
        <v>20040206LAFAS</v>
      </c>
      <c r="B1306" s="5" t="str">
        <f ca="1">IFERROR(__xludf.DUMMYFUNCTION("""COMPUTED_VALUE"""),"Handgun")</f>
        <v>Handgun</v>
      </c>
      <c r="C1306" s="5" t="str">
        <f ca="1">IFERROR(__xludf.DUMMYFUNCTION("""COMPUTED_VALUE"""),"Service Weapon")</f>
        <v>Service Weapon</v>
      </c>
      <c r="D1306" s="5"/>
    </row>
    <row r="1307" spans="1:4">
      <c r="A1307" s="5" t="str">
        <f ca="1">IFERROR(__xludf.DUMMYFUNCTION("""COMPUTED_VALUE"""),"20040203TXYOH")</f>
        <v>20040203TXYOH</v>
      </c>
      <c r="B1307" s="5" t="str">
        <f ca="1">IFERROR(__xludf.DUMMYFUNCTION("""COMPUTED_VALUE"""),"Handgun")</f>
        <v>Handgun</v>
      </c>
      <c r="C1307" s="5" t="str">
        <f ca="1">IFERROR(__xludf.DUMMYFUNCTION("""COMPUTED_VALUE"""),".38 caliber")</f>
        <v>.38 caliber</v>
      </c>
      <c r="D1307" s="5"/>
    </row>
    <row r="1308" spans="1:4">
      <c r="A1308" s="5" t="str">
        <f ca="1">IFERROR(__xludf.DUMMYFUNCTION("""COMPUTED_VALUE"""),"20040202DCBAW")</f>
        <v>20040202DCBAW</v>
      </c>
      <c r="B1308" s="5" t="str">
        <f ca="1">IFERROR(__xludf.DUMMYFUNCTION("""COMPUTED_VALUE"""),"Handgun")</f>
        <v>Handgun</v>
      </c>
      <c r="C1308" s="5" t="str">
        <f ca="1">IFERROR(__xludf.DUMMYFUNCTION("""COMPUTED_VALUE"""),".38 caliber")</f>
        <v>.38 caliber</v>
      </c>
      <c r="D1308" s="5"/>
    </row>
    <row r="1309" spans="1:4">
      <c r="A1309" s="5" t="str">
        <f ca="1">IFERROR(__xludf.DUMMYFUNCTION("""COMPUTED_VALUE"""),"20040121NVFAH")</f>
        <v>20040121NVFAH</v>
      </c>
      <c r="B1309" s="5" t="str">
        <f ca="1">IFERROR(__xludf.DUMMYFUNCTION("""COMPUTED_VALUE"""),"Handgun")</f>
        <v>Handgun</v>
      </c>
      <c r="C1309" s="5" t="str">
        <f ca="1">IFERROR(__xludf.DUMMYFUNCTION("""COMPUTED_VALUE"""),"Unknown")</f>
        <v>Unknown</v>
      </c>
      <c r="D1309" s="5"/>
    </row>
    <row r="1310" spans="1:4">
      <c r="A1310" s="5" t="str">
        <f ca="1">IFERROR(__xludf.DUMMYFUNCTION("""COMPUTED_VALUE"""),"20040115CAPOP")</f>
        <v>20040115CAPOP</v>
      </c>
      <c r="B1310" s="5" t="str">
        <f ca="1">IFERROR(__xludf.DUMMYFUNCTION("""COMPUTED_VALUE"""),"Handgun")</f>
        <v>Handgun</v>
      </c>
      <c r="C1310" s="5" t="str">
        <f ca="1">IFERROR(__xludf.DUMMYFUNCTION("""COMPUTED_VALUE"""),".22 caliber")</f>
        <v>.22 caliber</v>
      </c>
      <c r="D1310" s="5"/>
    </row>
    <row r="1311" spans="1:4">
      <c r="A1311" s="5" t="str">
        <f ca="1">IFERROR(__xludf.DUMMYFUNCTION("""COMPUTED_VALUE"""),"20031229FLABE")</f>
        <v>20031229FLABE</v>
      </c>
      <c r="B1311" s="5" t="str">
        <f ca="1">IFERROR(__xludf.DUMMYFUNCTION("""COMPUTED_VALUE"""),"No Data")</f>
        <v>No Data</v>
      </c>
      <c r="C1311" s="5"/>
      <c r="D1311" s="5"/>
    </row>
    <row r="1312" spans="1:4">
      <c r="A1312" s="5" t="str">
        <f ca="1">IFERROR(__xludf.DUMMYFUNCTION("""COMPUTED_VALUE"""),"20031222NJCOW")</f>
        <v>20031222NJCOW</v>
      </c>
      <c r="B1312" s="5" t="str">
        <f ca="1">IFERROR(__xludf.DUMMYFUNCTION("""COMPUTED_VALUE"""),"Handgun")</f>
        <v>Handgun</v>
      </c>
      <c r="C1312" s="5" t="str">
        <f ca="1">IFERROR(__xludf.DUMMYFUNCTION("""COMPUTED_VALUE"""),"9mm")</f>
        <v>9mm</v>
      </c>
      <c r="D1312" s="5"/>
    </row>
    <row r="1313" spans="1:4">
      <c r="A1313" s="5" t="str">
        <f ca="1">IFERROR(__xludf.DUMMYFUNCTION("""COMPUTED_VALUE"""),"20031217MDOLM")</f>
        <v>20031217MDOLM</v>
      </c>
      <c r="B1313" s="5" t="str">
        <f ca="1">IFERROR(__xludf.DUMMYFUNCTION("""COMPUTED_VALUE"""),"Handgun")</f>
        <v>Handgun</v>
      </c>
      <c r="C1313" s="5" t="str">
        <f ca="1">IFERROR(__xludf.DUMMYFUNCTION("""COMPUTED_VALUE"""),".38 caliber")</f>
        <v>.38 caliber</v>
      </c>
      <c r="D1313" s="5"/>
    </row>
    <row r="1314" spans="1:4">
      <c r="A1314" s="5" t="str">
        <f ca="1">IFERROR(__xludf.DUMMYFUNCTION("""COMPUTED_VALUE"""),"20031205ILCAC")</f>
        <v>20031205ILCAC</v>
      </c>
      <c r="B1314" s="5" t="str">
        <f ca="1">IFERROR(__xludf.DUMMYFUNCTION("""COMPUTED_VALUE"""),"Handgun")</f>
        <v>Handgun</v>
      </c>
      <c r="C1314" s="5" t="str">
        <f ca="1">IFERROR(__xludf.DUMMYFUNCTION("""COMPUTED_VALUE"""),"Unknown")</f>
        <v>Unknown</v>
      </c>
      <c r="D1314" s="5"/>
    </row>
    <row r="1315" spans="1:4">
      <c r="A1315" s="5" t="str">
        <f ca="1">IFERROR(__xludf.DUMMYFUNCTION("""COMPUTED_VALUE"""),"20031204OKDOO")</f>
        <v>20031204OKDOO</v>
      </c>
      <c r="B1315" s="5" t="str">
        <f ca="1">IFERROR(__xludf.DUMMYFUNCTION("""COMPUTED_VALUE"""),"Handgun")</f>
        <v>Handgun</v>
      </c>
      <c r="C1315" s="5" t="str">
        <f ca="1">IFERROR(__xludf.DUMMYFUNCTION("""COMPUTED_VALUE"""),"Unknown")</f>
        <v>Unknown</v>
      </c>
      <c r="D1315" s="5"/>
    </row>
    <row r="1316" spans="1:4">
      <c r="A1316" s="5" t="str">
        <f ca="1">IFERROR(__xludf.DUMMYFUNCTION("""COMPUTED_VALUE"""),"20031202ILFEC")</f>
        <v>20031202ILFEC</v>
      </c>
      <c r="B1316" s="5" t="str">
        <f ca="1">IFERROR(__xludf.DUMMYFUNCTION("""COMPUTED_VALUE"""),"Handgun")</f>
        <v>Handgun</v>
      </c>
      <c r="C1316" s="5" t="str">
        <f ca="1">IFERROR(__xludf.DUMMYFUNCTION("""COMPUTED_VALUE"""),"Unknown")</f>
        <v>Unknown</v>
      </c>
      <c r="D1316" s="5"/>
    </row>
    <row r="1317" spans="1:4">
      <c r="A1317" s="5" t="str">
        <f ca="1">IFERROR(__xludf.DUMMYFUNCTION("""COMPUTED_VALUE"""),"20031113NCEAC")</f>
        <v>20031113NCEAC</v>
      </c>
      <c r="B1317" s="5" t="str">
        <f ca="1">IFERROR(__xludf.DUMMYFUNCTION("""COMPUTED_VALUE"""),"Handgun")</f>
        <v>Handgun</v>
      </c>
      <c r="C1317" s="5" t="str">
        <f ca="1">IFERROR(__xludf.DUMMYFUNCTION("""COMPUTED_VALUE"""),".25 caliber")</f>
        <v>.25 caliber</v>
      </c>
      <c r="D1317" s="5"/>
    </row>
    <row r="1318" spans="1:4">
      <c r="A1318" s="5" t="str">
        <f ca="1">IFERROR(__xludf.DUMMYFUNCTION("""COMPUTED_VALUE"""),"20031108TXHIS")</f>
        <v>20031108TXHIS</v>
      </c>
      <c r="B1318" s="5" t="str">
        <f ca="1">IFERROR(__xludf.DUMMYFUNCTION("""COMPUTED_VALUE"""),"Handgun")</f>
        <v>Handgun</v>
      </c>
      <c r="C1318" s="5" t="str">
        <f ca="1">IFERROR(__xludf.DUMMYFUNCTION("""COMPUTED_VALUE"""),".38 caliber")</f>
        <v>.38 caliber</v>
      </c>
      <c r="D1318" s="5"/>
    </row>
    <row r="1319" spans="1:4">
      <c r="A1319" s="5" t="str">
        <f ca="1">IFERROR(__xludf.DUMMYFUNCTION("""COMPUTED_VALUE"""),"20031030DCANW")</f>
        <v>20031030DCANW</v>
      </c>
      <c r="B1319" s="5" t="str">
        <f ca="1">IFERROR(__xludf.DUMMYFUNCTION("""COMPUTED_VALUE"""),"Handgun")</f>
        <v>Handgun</v>
      </c>
      <c r="C1319" s="5" t="str">
        <f ca="1">IFERROR(__xludf.DUMMYFUNCTION("""COMPUTED_VALUE"""),"Unknown")</f>
        <v>Unknown</v>
      </c>
      <c r="D1319" s="5"/>
    </row>
    <row r="1320" spans="1:4">
      <c r="A1320" s="5" t="str">
        <f ca="1">IFERROR(__xludf.DUMMYFUNCTION("""COMPUTED_VALUE"""),"20031029LAMAM")</f>
        <v>20031029LAMAM</v>
      </c>
      <c r="B1320" s="5" t="str">
        <f ca="1">IFERROR(__xludf.DUMMYFUNCTION("""COMPUTED_VALUE"""),"Handgun")</f>
        <v>Handgun</v>
      </c>
      <c r="C1320" s="5" t="str">
        <f ca="1">IFERROR(__xludf.DUMMYFUNCTION("""COMPUTED_VALUE"""),"Unknown")</f>
        <v>Unknown</v>
      </c>
      <c r="D1320" s="5"/>
    </row>
    <row r="1321" spans="1:4">
      <c r="A1321" s="5" t="str">
        <f ca="1">IFERROR(__xludf.DUMMYFUNCTION("""COMPUTED_VALUE"""),"20031007OHKEA")</f>
        <v>20031007OHKEA</v>
      </c>
      <c r="B1321" s="5" t="str">
        <f ca="1">IFERROR(__xludf.DUMMYFUNCTION("""COMPUTED_VALUE"""),"Handgun")</f>
        <v>Handgun</v>
      </c>
      <c r="C1321" s="5" t="str">
        <f ca="1">IFERROR(__xludf.DUMMYFUNCTION("""COMPUTED_VALUE"""),".22 caliber")</f>
        <v>.22 caliber</v>
      </c>
      <c r="D1321" s="5"/>
    </row>
    <row r="1322" spans="1:4">
      <c r="A1322" s="5" t="str">
        <f ca="1">IFERROR(__xludf.DUMMYFUNCTION("""COMPUTED_VALUE"""),"20031001CARIS")</f>
        <v>20031001CARIS</v>
      </c>
      <c r="B1322" s="5" t="str">
        <f ca="1">IFERROR(__xludf.DUMMYFUNCTION("""COMPUTED_VALUE"""),"Shotgun")</f>
        <v>Shotgun</v>
      </c>
      <c r="C1322" s="5" t="str">
        <f ca="1">IFERROR(__xludf.DUMMYFUNCTION("""COMPUTED_VALUE"""),"12 gauge")</f>
        <v>12 gauge</v>
      </c>
      <c r="D1322" s="5"/>
    </row>
    <row r="1323" spans="1:4">
      <c r="A1323" s="5" t="str">
        <f ca="1">IFERROR(__xludf.DUMMYFUNCTION("""COMPUTED_VALUE"""),"20030925NCBUL")</f>
        <v>20030925NCBUL</v>
      </c>
      <c r="B1323" s="5" t="str">
        <f ca="1">IFERROR(__xludf.DUMMYFUNCTION("""COMPUTED_VALUE"""),"Handgun")</f>
        <v>Handgun</v>
      </c>
      <c r="C1323" s="5" t="str">
        <f ca="1">IFERROR(__xludf.DUMMYFUNCTION("""COMPUTED_VALUE"""),"9mm")</f>
        <v>9mm</v>
      </c>
      <c r="D1323" s="5"/>
    </row>
    <row r="1324" spans="1:4">
      <c r="A1324" s="5" t="str">
        <f ca="1">IFERROR(__xludf.DUMMYFUNCTION("""COMPUTED_VALUE"""),"20030924MNROC")</f>
        <v>20030924MNROC</v>
      </c>
      <c r="B1324" s="5" t="str">
        <f ca="1">IFERROR(__xludf.DUMMYFUNCTION("""COMPUTED_VALUE"""),"Handgun")</f>
        <v>Handgun</v>
      </c>
      <c r="C1324" s="5" t="str">
        <f ca="1">IFERROR(__xludf.DUMMYFUNCTION("""COMPUTED_VALUE"""),".22 caliber")</f>
        <v>.22 caliber</v>
      </c>
      <c r="D1324" s="5"/>
    </row>
    <row r="1325" spans="1:4">
      <c r="A1325" s="5" t="str">
        <f ca="1">IFERROR(__xludf.DUMMYFUNCTION("""COMPUTED_VALUE"""),"20030922WALES")</f>
        <v>20030922WALES</v>
      </c>
      <c r="B1325" s="5" t="str">
        <f ca="1">IFERROR(__xludf.DUMMYFUNCTION("""COMPUTED_VALUE"""),"Handgun")</f>
        <v>Handgun</v>
      </c>
      <c r="C1325" s="5" t="str">
        <f ca="1">IFERROR(__xludf.DUMMYFUNCTION("""COMPUTED_VALUE"""),"9mm")</f>
        <v>9mm</v>
      </c>
      <c r="D1325" s="5"/>
    </row>
    <row r="1326" spans="1:4">
      <c r="A1326" s="5" t="str">
        <f ca="1">IFERROR(__xludf.DUMMYFUNCTION("""COMPUTED_VALUE"""),"20030917MDOKE")</f>
        <v>20030917MDOKE</v>
      </c>
      <c r="B1326" s="5" t="str">
        <f ca="1">IFERROR(__xludf.DUMMYFUNCTION("""COMPUTED_VALUE"""),"Handgun")</f>
        <v>Handgun</v>
      </c>
      <c r="C1326" s="5" t="str">
        <f ca="1">IFERROR(__xludf.DUMMYFUNCTION("""COMPUTED_VALUE"""),".44 caliber")</f>
        <v>.44 caliber</v>
      </c>
      <c r="D1326" s="5"/>
    </row>
    <row r="1327" spans="1:4">
      <c r="A1327" s="5" t="str">
        <f ca="1">IFERROR(__xludf.DUMMYFUNCTION("""COMPUTED_VALUE"""),"20030917MACHB")</f>
        <v>20030917MACHB</v>
      </c>
      <c r="B1327" s="5" t="str">
        <f ca="1">IFERROR(__xludf.DUMMYFUNCTION("""COMPUTED_VALUE"""),"Handgun")</f>
        <v>Handgun</v>
      </c>
      <c r="C1327" s="5" t="str">
        <f ca="1">IFERROR(__xludf.DUMMYFUNCTION("""COMPUTED_VALUE"""),"Unknown")</f>
        <v>Unknown</v>
      </c>
      <c r="D1327" s="5"/>
    </row>
    <row r="1328" spans="1:4">
      <c r="A1328" s="5" t="str">
        <f ca="1">IFERROR(__xludf.DUMMYFUNCTION("""COMPUTED_VALUE"""),"20030910MSVIV")</f>
        <v>20030910MSVIV</v>
      </c>
      <c r="B1328" s="5" t="str">
        <f ca="1">IFERROR(__xludf.DUMMYFUNCTION("""COMPUTED_VALUE"""),"Handgun")</f>
        <v>Handgun</v>
      </c>
      <c r="C1328" s="5" t="str">
        <f ca="1">IFERROR(__xludf.DUMMYFUNCTION("""COMPUTED_VALUE"""),"Unknown")</f>
        <v>Unknown</v>
      </c>
      <c r="D1328" s="5"/>
    </row>
    <row r="1329" spans="1:4">
      <c r="A1329" s="5" t="str">
        <f ca="1">IFERROR(__xludf.DUMMYFUNCTION("""COMPUTED_VALUE"""),"20030513PAFOJ")</f>
        <v>20030513PAFOJ</v>
      </c>
      <c r="B1329" s="5" t="str">
        <f ca="1">IFERROR(__xludf.DUMMYFUNCTION("""COMPUTED_VALUE"""),"No Data")</f>
        <v>No Data</v>
      </c>
      <c r="C1329" s="5"/>
      <c r="D1329" s="5"/>
    </row>
    <row r="1330" spans="1:4">
      <c r="A1330" s="5" t="str">
        <f ca="1">IFERROR(__xludf.DUMMYFUNCTION("""COMPUTED_VALUE"""),"20030424PARER")</f>
        <v>20030424PARER</v>
      </c>
      <c r="B1330" s="5" t="str">
        <f ca="1">IFERROR(__xludf.DUMMYFUNCTION("""COMPUTED_VALUE"""),"Multiple Handguns")</f>
        <v>Multiple Handguns</v>
      </c>
      <c r="C1330" s="5" t="str">
        <f ca="1">IFERROR(__xludf.DUMMYFUNCTION("""COMPUTED_VALUE"""),"Unknown")</f>
        <v>Unknown</v>
      </c>
      <c r="D1330" s="5"/>
    </row>
    <row r="1331" spans="1:4">
      <c r="A1331" s="5" t="str">
        <f ca="1">IFERROR(__xludf.DUMMYFUNCTION("""COMPUTED_VALUE"""),"20030416TXGRA")</f>
        <v>20030416TXGRA</v>
      </c>
      <c r="B1331" s="5" t="str">
        <f ca="1">IFERROR(__xludf.DUMMYFUNCTION("""COMPUTED_VALUE"""),"No Data")</f>
        <v>No Data</v>
      </c>
      <c r="C1331" s="5"/>
      <c r="D1331" s="5"/>
    </row>
    <row r="1332" spans="1:4">
      <c r="A1332" s="5" t="str">
        <f ca="1">IFERROR(__xludf.DUMMYFUNCTION("""COMPUTED_VALUE"""),"20030414LAJON")</f>
        <v>20030414LAJON</v>
      </c>
      <c r="B1332" s="5" t="str">
        <f ca="1">IFERROR(__xludf.DUMMYFUNCTION("""COMPUTED_VALUE"""),"Multiple Rifles")</f>
        <v>Multiple Rifles</v>
      </c>
      <c r="C1332" s="5" t="str">
        <f ca="1">IFERROR(__xludf.DUMMYFUNCTION("""COMPUTED_VALUE"""),"Unknown")</f>
        <v>Unknown</v>
      </c>
      <c r="D1332" s="5"/>
    </row>
    <row r="1333" spans="1:4">
      <c r="A1333" s="5" t="str">
        <f ca="1">IFERROR(__xludf.DUMMYFUNCTION("""COMPUTED_VALUE"""),"20030414LAFAS")</f>
        <v>20030414LAFAS</v>
      </c>
      <c r="B1333" s="5" t="str">
        <f ca="1">IFERROR(__xludf.DUMMYFUNCTION("""COMPUTED_VALUE"""),"Handgun")</f>
        <v>Handgun</v>
      </c>
      <c r="C1333" s="5" t="str">
        <f ca="1">IFERROR(__xludf.DUMMYFUNCTION("""COMPUTED_VALUE"""),"Unknown")</f>
        <v>Unknown</v>
      </c>
      <c r="D1333" s="5"/>
    </row>
    <row r="1334" spans="1:4">
      <c r="A1334" s="5" t="str">
        <f ca="1">IFERROR(__xludf.DUMMYFUNCTION("""COMPUTED_VALUE"""),"20030410CAWAW")</f>
        <v>20030410CAWAW</v>
      </c>
      <c r="B1334" s="5" t="str">
        <f ca="1">IFERROR(__xludf.DUMMYFUNCTION("""COMPUTED_VALUE"""),"Handgun")</f>
        <v>Handgun</v>
      </c>
      <c r="C1334" s="5"/>
      <c r="D1334" s="5"/>
    </row>
    <row r="1335" spans="1:4">
      <c r="A1335" s="5" t="str">
        <f ca="1">IFERROR(__xludf.DUMMYFUNCTION("""COMPUTED_VALUE"""),"20030401DCCAW")</f>
        <v>20030401DCCAW</v>
      </c>
      <c r="B1335" s="5" t="str">
        <f ca="1">IFERROR(__xludf.DUMMYFUNCTION("""COMPUTED_VALUE"""),"Handgun")</f>
        <v>Handgun</v>
      </c>
      <c r="C1335" s="5" t="str">
        <f ca="1">IFERROR(__xludf.DUMMYFUNCTION("""COMPUTED_VALUE"""),".22 caliber")</f>
        <v>.22 caliber</v>
      </c>
      <c r="D1335" s="5"/>
    </row>
    <row r="1336" spans="1:4">
      <c r="A1336" s="5" t="str">
        <f ca="1">IFERROR(__xludf.DUMMYFUNCTION("""COMPUTED_VALUE"""),"20030330CAROW")</f>
        <v>20030330CAROW</v>
      </c>
      <c r="B1336" s="5" t="str">
        <f ca="1">IFERROR(__xludf.DUMMYFUNCTION("""COMPUTED_VALUE"""),"Handgun")</f>
        <v>Handgun</v>
      </c>
      <c r="C1336" s="5" t="str">
        <f ca="1">IFERROR(__xludf.DUMMYFUNCTION("""COMPUTED_VALUE"""),"Unknown")</f>
        <v>Unknown</v>
      </c>
      <c r="D1336" s="5"/>
    </row>
    <row r="1337" spans="1:4">
      <c r="A1337" s="5" t="str">
        <f ca="1">IFERROR(__xludf.DUMMYFUNCTION("""COMPUTED_VALUE"""),"20030321MSNOM")</f>
        <v>20030321MSNOM</v>
      </c>
      <c r="B1337" s="5" t="str">
        <f ca="1">IFERROR(__xludf.DUMMYFUNCTION("""COMPUTED_VALUE"""),"Handgun")</f>
        <v>Handgun</v>
      </c>
      <c r="C1337" s="5" t="str">
        <f ca="1">IFERROR(__xludf.DUMMYFUNCTION("""COMPUTED_VALUE"""),"Unknown")</f>
        <v>Unknown</v>
      </c>
      <c r="D1337" s="5"/>
    </row>
    <row r="1338" spans="1:4">
      <c r="A1338" s="5" t="str">
        <f ca="1">IFERROR(__xludf.DUMMYFUNCTION("""COMPUTED_VALUE"""),"20030318IACLG")</f>
        <v>20030318IACLG</v>
      </c>
      <c r="B1338" s="5" t="str">
        <f ca="1">IFERROR(__xludf.DUMMYFUNCTION("""COMPUTED_VALUE"""),"Rifle")</f>
        <v>Rifle</v>
      </c>
      <c r="C1338" s="5" t="str">
        <f ca="1">IFERROR(__xludf.DUMMYFUNCTION("""COMPUTED_VALUE"""),".22 caliber")</f>
        <v>.22 caliber</v>
      </c>
      <c r="D1338" s="5"/>
    </row>
    <row r="1339" spans="1:4">
      <c r="A1339" s="5" t="str">
        <f ca="1">IFERROR(__xludf.DUMMYFUNCTION("""COMPUTED_VALUE"""),"20030205CORAW")</f>
        <v>20030205CORAW</v>
      </c>
      <c r="B1339" s="5" t="str">
        <f ca="1">IFERROR(__xludf.DUMMYFUNCTION("""COMPUTED_VALUE"""),"Handgun")</f>
        <v>Handgun</v>
      </c>
      <c r="C1339" s="5" t="str">
        <f ca="1">IFERROR(__xludf.DUMMYFUNCTION("""COMPUTED_VALUE"""),"Unknown")</f>
        <v>Unknown</v>
      </c>
      <c r="D1339" s="5"/>
    </row>
    <row r="1340" spans="1:4">
      <c r="A1340" s="5" t="str">
        <f ca="1">IFERROR(__xludf.DUMMYFUNCTION("""COMPUTED_VALUE"""),"20030130OKJEJ")</f>
        <v>20030130OKJEJ</v>
      </c>
      <c r="B1340" s="5" t="str">
        <f ca="1">IFERROR(__xludf.DUMMYFUNCTION("""COMPUTED_VALUE"""),"Handgun")</f>
        <v>Handgun</v>
      </c>
      <c r="C1340" s="5" t="str">
        <f ca="1">IFERROR(__xludf.DUMMYFUNCTION("""COMPUTED_VALUE"""),"9mm")</f>
        <v>9mm</v>
      </c>
      <c r="D1340" s="5"/>
    </row>
    <row r="1341" spans="1:4">
      <c r="A1341" s="5" t="str">
        <f ca="1">IFERROR(__xludf.DUMMYFUNCTION("""COMPUTED_VALUE"""),"20030121KYWEO")</f>
        <v>20030121KYWEO</v>
      </c>
      <c r="B1341" s="5" t="str">
        <f ca="1">IFERROR(__xludf.DUMMYFUNCTION("""COMPUTED_VALUE"""),"Handgun")</f>
        <v>Handgun</v>
      </c>
      <c r="C1341" s="5" t="str">
        <f ca="1">IFERROR(__xludf.DUMMYFUNCTION("""COMPUTED_VALUE"""),"Unknown")</f>
        <v>Unknown</v>
      </c>
      <c r="D1341" s="5"/>
    </row>
    <row r="1342" spans="1:4">
      <c r="A1342" s="5" t="str">
        <f ca="1">IFERROR(__xludf.DUMMYFUNCTION("""COMPUTED_VALUE"""),"20021216ILENC")</f>
        <v>20021216ILENC</v>
      </c>
      <c r="B1342" s="5" t="str">
        <f ca="1">IFERROR(__xludf.DUMMYFUNCTION("""COMPUTED_VALUE"""),"Handgun")</f>
        <v>Handgun</v>
      </c>
      <c r="C1342" s="5" t="str">
        <f ca="1">IFERROR(__xludf.DUMMYFUNCTION("""COMPUTED_VALUE"""),"Unknown")</f>
        <v>Unknown</v>
      </c>
      <c r="D1342" s="5"/>
    </row>
    <row r="1343" spans="1:4">
      <c r="A1343" s="5" t="str">
        <f ca="1">IFERROR(__xludf.DUMMYFUNCTION("""COMPUTED_VALUE"""),"20021212WAWIC")</f>
        <v>20021212WAWIC</v>
      </c>
      <c r="B1343" s="5" t="str">
        <f ca="1">IFERROR(__xludf.DUMMYFUNCTION("""COMPUTED_VALUE"""),"Rifle")</f>
        <v>Rifle</v>
      </c>
      <c r="C1343" s="5" t="str">
        <f ca="1">IFERROR(__xludf.DUMMYFUNCTION("""COMPUTED_VALUE"""),"Unknown")</f>
        <v>Unknown</v>
      </c>
      <c r="D1343" s="5"/>
    </row>
    <row r="1344" spans="1:4">
      <c r="A1344" s="5" t="str">
        <f ca="1">IFERROR(__xludf.DUMMYFUNCTION("""COMPUTED_VALUE"""),"20021202MIOSD")</f>
        <v>20021202MIOSD</v>
      </c>
      <c r="B1344" s="5" t="str">
        <f ca="1">IFERROR(__xludf.DUMMYFUNCTION("""COMPUTED_VALUE"""),"Handgun")</f>
        <v>Handgun</v>
      </c>
      <c r="C1344" s="5" t="str">
        <f ca="1">IFERROR(__xludf.DUMMYFUNCTION("""COMPUTED_VALUE"""),"9mm")</f>
        <v>9mm</v>
      </c>
      <c r="D1344" s="5"/>
    </row>
    <row r="1345" spans="1:4">
      <c r="A1345" s="5" t="str">
        <f ca="1">IFERROR(__xludf.DUMMYFUNCTION("""COMPUTED_VALUE"""),"20021115TXSCS")</f>
        <v>20021115TXSCS</v>
      </c>
      <c r="B1345" s="5" t="str">
        <f ca="1">IFERROR(__xludf.DUMMYFUNCTION("""COMPUTED_VALUE"""),"Shotgun")</f>
        <v>Shotgun</v>
      </c>
      <c r="C1345" s="5" t="str">
        <f ca="1">IFERROR(__xludf.DUMMYFUNCTION("""COMPUTED_VALUE"""),"Unknown")</f>
        <v>Unknown</v>
      </c>
      <c r="D1345" s="5"/>
    </row>
    <row r="1346" spans="1:4">
      <c r="A1346" s="5" t="str">
        <f ca="1">IFERROR(__xludf.DUMMYFUNCTION("""COMPUTED_VALUE"""),"20021115CAAML")</f>
        <v>20021115CAAML</v>
      </c>
      <c r="B1346" s="5" t="str">
        <f ca="1">IFERROR(__xludf.DUMMYFUNCTION("""COMPUTED_VALUE"""),"No Data")</f>
        <v>No Data</v>
      </c>
      <c r="C1346" s="5"/>
      <c r="D1346" s="5"/>
    </row>
    <row r="1347" spans="1:4">
      <c r="A1347" s="5" t="str">
        <f ca="1">IFERROR(__xludf.DUMMYFUNCTION("""COMPUTED_VALUE"""),"20021107MOSTL")</f>
        <v>20021107MOSTL</v>
      </c>
      <c r="B1347" s="5" t="str">
        <f ca="1">IFERROR(__xludf.DUMMYFUNCTION("""COMPUTED_VALUE"""),"Handgun")</f>
        <v>Handgun</v>
      </c>
      <c r="C1347" s="5" t="str">
        <f ca="1">IFERROR(__xludf.DUMMYFUNCTION("""COMPUTED_VALUE"""),"Unknown")</f>
        <v>Unknown</v>
      </c>
      <c r="D1347" s="5"/>
    </row>
    <row r="1348" spans="1:4">
      <c r="A1348" s="5" t="str">
        <f ca="1">IFERROR(__xludf.DUMMYFUNCTION("""COMPUTED_VALUE"""),"20021029NJLIJ")</f>
        <v>20021029NJLIJ</v>
      </c>
      <c r="B1348" s="5" t="str">
        <f ca="1">IFERROR(__xludf.DUMMYFUNCTION("""COMPUTED_VALUE"""),"Handgun")</f>
        <v>Handgun</v>
      </c>
      <c r="C1348" s="5" t="str">
        <f ca="1">IFERROR(__xludf.DUMMYFUNCTION("""COMPUTED_VALUE"""),".38 caliber")</f>
        <v>.38 caliber</v>
      </c>
      <c r="D1348" s="5"/>
    </row>
    <row r="1349" spans="1:4">
      <c r="A1349" s="5" t="str">
        <f ca="1">IFERROR(__xludf.DUMMYFUNCTION("""COMPUTED_VALUE"""),"20021007MDBEB")</f>
        <v>20021007MDBEB</v>
      </c>
      <c r="B1349" s="5" t="str">
        <f ca="1">IFERROR(__xludf.DUMMYFUNCTION("""COMPUTED_VALUE"""),"Rifle")</f>
        <v>Rifle</v>
      </c>
      <c r="C1349" s="5" t="str">
        <f ca="1">IFERROR(__xludf.DUMMYFUNCTION("""COMPUTED_VALUE"""),".223 caliber")</f>
        <v>.223 caliber</v>
      </c>
      <c r="D1349" s="5"/>
    </row>
    <row r="1350" spans="1:4">
      <c r="A1350" s="5" t="str">
        <f ca="1">IFERROR(__xludf.DUMMYFUNCTION("""COMPUTED_VALUE"""),"20021004TXPAS")</f>
        <v>20021004TXPAS</v>
      </c>
      <c r="B1350" s="5" t="str">
        <f ca="1">IFERROR(__xludf.DUMMYFUNCTION("""COMPUTED_VALUE"""),"Handgun")</f>
        <v>Handgun</v>
      </c>
      <c r="C1350" s="5" t="str">
        <f ca="1">IFERROR(__xludf.DUMMYFUNCTION("""COMPUTED_VALUE"""),"9mm")</f>
        <v>9mm</v>
      </c>
      <c r="D1350" s="5"/>
    </row>
    <row r="1351" spans="1:4">
      <c r="A1351" s="5" t="str">
        <f ca="1">IFERROR(__xludf.DUMMYFUNCTION("""COMPUTED_VALUE"""),"20021004MTCMG")</f>
        <v>20021004MTCMG</v>
      </c>
      <c r="B1351" s="5" t="str">
        <f ca="1">IFERROR(__xludf.DUMMYFUNCTION("""COMPUTED_VALUE"""),"Handgun")</f>
        <v>Handgun</v>
      </c>
      <c r="C1351" s="5" t="str">
        <f ca="1">IFERROR(__xludf.DUMMYFUNCTION("""COMPUTED_VALUE"""),"Unknown")</f>
        <v>Unknown</v>
      </c>
      <c r="D1351" s="5"/>
    </row>
    <row r="1352" spans="1:4">
      <c r="A1352" s="5" t="str">
        <f ca="1">IFERROR(__xludf.DUMMYFUNCTION("""COMPUTED_VALUE"""),"20020426LAABN")</f>
        <v>20020426LAABN</v>
      </c>
      <c r="B1352" s="5" t="str">
        <f ca="1">IFERROR(__xludf.DUMMYFUNCTION("""COMPUTED_VALUE"""),"Handgun")</f>
        <v>Handgun</v>
      </c>
      <c r="C1352" s="5" t="str">
        <f ca="1">IFERROR(__xludf.DUMMYFUNCTION("""COMPUTED_VALUE"""),"9mm")</f>
        <v>9mm</v>
      </c>
      <c r="D1352" s="5"/>
    </row>
    <row r="1353" spans="1:4">
      <c r="A1353" s="5" t="str">
        <f ca="1">IFERROR(__xludf.DUMMYFUNCTION("""COMPUTED_VALUE"""),"20020406MDLEB")</f>
        <v>20020406MDLEB</v>
      </c>
      <c r="B1353" s="5" t="str">
        <f ca="1">IFERROR(__xludf.DUMMYFUNCTION("""COMPUTED_VALUE"""),"Handgun")</f>
        <v>Handgun</v>
      </c>
      <c r="C1353" s="5" t="str">
        <f ca="1">IFERROR(__xludf.DUMMYFUNCTION("""COMPUTED_VALUE"""),"Service Weapon")</f>
        <v>Service Weapon</v>
      </c>
      <c r="D1353" s="5"/>
    </row>
    <row r="1354" spans="1:4">
      <c r="A1354" s="5" t="str">
        <f ca="1">IFERROR(__xludf.DUMMYFUNCTION("""COMPUTED_VALUE"""),"20020322CAJOC")</f>
        <v>20020322CAJOC</v>
      </c>
      <c r="B1354" s="5" t="str">
        <f ca="1">IFERROR(__xludf.DUMMYFUNCTION("""COMPUTED_VALUE"""),"Handgun")</f>
        <v>Handgun</v>
      </c>
      <c r="C1354" s="5" t="str">
        <f ca="1">IFERROR(__xludf.DUMMYFUNCTION("""COMPUTED_VALUE"""),".22 caliber")</f>
        <v>.22 caliber</v>
      </c>
      <c r="D1354" s="5"/>
    </row>
    <row r="1355" spans="1:4">
      <c r="A1355" s="5" t="str">
        <f ca="1">IFERROR(__xludf.DUMMYFUNCTION("""COMPUTED_VALUE"""),"20020207ILROC")</f>
        <v>20020207ILROC</v>
      </c>
      <c r="B1355" s="5" t="str">
        <f ca="1">IFERROR(__xludf.DUMMYFUNCTION("""COMPUTED_VALUE"""),"Handgun")</f>
        <v>Handgun</v>
      </c>
      <c r="C1355" s="5" t="str">
        <f ca="1">IFERROR(__xludf.DUMMYFUNCTION("""COMPUTED_VALUE"""),".38 caliber")</f>
        <v>.38 caliber</v>
      </c>
      <c r="D1355" s="5"/>
    </row>
    <row r="1356" spans="1:4">
      <c r="A1356" s="5" t="str">
        <f ca="1">IFERROR(__xludf.DUMMYFUNCTION("""COMPUTED_VALUE"""),"20020206CAGAL")</f>
        <v>20020206CAGAL</v>
      </c>
      <c r="B1356" s="5" t="str">
        <f ca="1">IFERROR(__xludf.DUMMYFUNCTION("""COMPUTED_VALUE"""),"Handgun")</f>
        <v>Handgun</v>
      </c>
      <c r="C1356" s="5" t="str">
        <f ca="1">IFERROR(__xludf.DUMMYFUNCTION("""COMPUTED_VALUE"""),"Unknown")</f>
        <v>Unknown</v>
      </c>
      <c r="D1356" s="5"/>
    </row>
    <row r="1357" spans="1:4">
      <c r="A1357" s="5" t="str">
        <f ca="1">IFERROR(__xludf.DUMMYFUNCTION("""COMPUTED_VALUE"""),"20020201TXBRB")</f>
        <v>20020201TXBRB</v>
      </c>
      <c r="B1357" s="5" t="str">
        <f ca="1">IFERROR(__xludf.DUMMYFUNCTION("""COMPUTED_VALUE"""),"Handgun")</f>
        <v>Handgun</v>
      </c>
      <c r="C1357" s="5" t="str">
        <f ca="1">IFERROR(__xludf.DUMMYFUNCTION("""COMPUTED_VALUE"""),".22 caliber")</f>
        <v>.22 caliber</v>
      </c>
      <c r="D1357" s="5"/>
    </row>
    <row r="1358" spans="1:4">
      <c r="A1358" s="5" t="str">
        <f ca="1">IFERROR(__xludf.DUMMYFUNCTION("""COMPUTED_VALUE"""),"20020124PAOLO")</f>
        <v>20020124PAOLO</v>
      </c>
      <c r="B1358" s="5" t="str">
        <f ca="1">IFERROR(__xludf.DUMMYFUNCTION("""COMPUTED_VALUE"""),"Rifle")</f>
        <v>Rifle</v>
      </c>
      <c r="C1358" s="5" t="str">
        <f ca="1">IFERROR(__xludf.DUMMYFUNCTION("""COMPUTED_VALUE"""),"Unknown")</f>
        <v>Unknown</v>
      </c>
      <c r="D1358" s="5"/>
    </row>
    <row r="1359" spans="1:4">
      <c r="A1359" s="5" t="str">
        <f ca="1">IFERROR(__xludf.DUMMYFUNCTION("""COMPUTED_VALUE"""),"20020115NYMAN")</f>
        <v>20020115NYMAN</v>
      </c>
      <c r="B1359" s="5" t="str">
        <f ca="1">IFERROR(__xludf.DUMMYFUNCTION("""COMPUTED_VALUE"""),"Handgun")</f>
        <v>Handgun</v>
      </c>
      <c r="C1359" s="5" t="str">
        <f ca="1">IFERROR(__xludf.DUMMYFUNCTION("""COMPUTED_VALUE"""),".38 caliber")</f>
        <v>.38 caliber</v>
      </c>
      <c r="D1359" s="5"/>
    </row>
    <row r="1360" spans="1:4">
      <c r="A1360" s="5" t="str">
        <f ca="1">IFERROR(__xludf.DUMMYFUNCTION("""COMPUTED_VALUE"""),"20020111MSRAJ")</f>
        <v>20020111MSRAJ</v>
      </c>
      <c r="B1360" s="5" t="str">
        <f ca="1">IFERROR(__xludf.DUMMYFUNCTION("""COMPUTED_VALUE"""),"No Data")</f>
        <v>No Data</v>
      </c>
      <c r="C1360" s="5"/>
      <c r="D1360" s="5"/>
    </row>
    <row r="1361" spans="1:4">
      <c r="A1361" s="5" t="str">
        <f ca="1">IFERROR(__xludf.DUMMYFUNCTION("""COMPUTED_VALUE"""),"20011130TXFRF")</f>
        <v>20011130TXFRF</v>
      </c>
      <c r="B1361" s="5" t="str">
        <f ca="1">IFERROR(__xludf.DUMMYFUNCTION("""COMPUTED_VALUE"""),"Handgun")</f>
        <v>Handgun</v>
      </c>
      <c r="C1361" s="5" t="str">
        <f ca="1">IFERROR(__xludf.DUMMYFUNCTION("""COMPUTED_VALUE"""),".357 caliber")</f>
        <v>.357 caliber</v>
      </c>
      <c r="D1361" s="5"/>
    </row>
    <row r="1362" spans="1:4">
      <c r="A1362" s="5" t="str">
        <f ca="1">IFERROR(__xludf.DUMMYFUNCTION("""COMPUTED_VALUE"""),"20011112MICAC")</f>
        <v>20011112MICAC</v>
      </c>
      <c r="B1362" s="5" t="str">
        <f ca="1">IFERROR(__xludf.DUMMYFUNCTION("""COMPUTED_VALUE"""),"Multiple Unknown")</f>
        <v>Multiple Unknown</v>
      </c>
      <c r="C1362" s="5" t="str">
        <f ca="1">IFERROR(__xludf.DUMMYFUNCTION("""COMPUTED_VALUE"""),"Unknown")</f>
        <v>Unknown</v>
      </c>
      <c r="D1362" s="5"/>
    </row>
    <row r="1363" spans="1:4">
      <c r="A1363" s="5" t="str">
        <f ca="1">IFERROR(__xludf.DUMMYFUNCTION("""COMPUTED_VALUE"""),"20011026MIBES")</f>
        <v>20011026MIBES</v>
      </c>
      <c r="B1363" s="5" t="str">
        <f ca="1">IFERROR(__xludf.DUMMYFUNCTION("""COMPUTED_VALUE"""),"Handgun")</f>
        <v>Handgun</v>
      </c>
      <c r="C1363" s="5" t="str">
        <f ca="1">IFERROR(__xludf.DUMMYFUNCTION("""COMPUTED_VALUE"""),"Unknown")</f>
        <v>Unknown</v>
      </c>
      <c r="D1363" s="5"/>
    </row>
    <row r="1364" spans="1:4">
      <c r="A1364" s="5" t="str">
        <f ca="1">IFERROR(__xludf.DUMMYFUNCTION("""COMPUTED_VALUE"""),"20011026CARER")</f>
        <v>20011026CARER</v>
      </c>
      <c r="B1364" s="5" t="str">
        <f ca="1">IFERROR(__xludf.DUMMYFUNCTION("""COMPUTED_VALUE"""),"Handgun")</f>
        <v>Handgun</v>
      </c>
      <c r="C1364" s="5" t="str">
        <f ca="1">IFERROR(__xludf.DUMMYFUNCTION("""COMPUTED_VALUE"""),".38 caliber")</f>
        <v>.38 caliber</v>
      </c>
      <c r="D1364" s="5"/>
    </row>
    <row r="1365" spans="1:4">
      <c r="A1365" s="5" t="str">
        <f ca="1">IFERROR(__xludf.DUMMYFUNCTION("""COMPUTED_VALUE"""),"20011012UTTAT")</f>
        <v>20011012UTTAT</v>
      </c>
      <c r="B1365" s="5" t="str">
        <f ca="1">IFERROR(__xludf.DUMMYFUNCTION("""COMPUTED_VALUE"""),"Handgun")</f>
        <v>Handgun</v>
      </c>
      <c r="C1365" s="5" t="str">
        <f ca="1">IFERROR(__xludf.DUMMYFUNCTION("""COMPUTED_VALUE"""),"Unknown")</f>
        <v>Unknown</v>
      </c>
      <c r="D1365" s="5"/>
    </row>
    <row r="1366" spans="1:4">
      <c r="A1366" s="5" t="str">
        <f ca="1">IFERROR(__xludf.DUMMYFUNCTION("""COMPUTED_VALUE"""),"20010921MDLAB")</f>
        <v>20010921MDLAB</v>
      </c>
      <c r="B1366" s="5" t="str">
        <f ca="1">IFERROR(__xludf.DUMMYFUNCTION("""COMPUTED_VALUE"""),"Handgun")</f>
        <v>Handgun</v>
      </c>
      <c r="C1366" s="5" t="str">
        <f ca="1">IFERROR(__xludf.DUMMYFUNCTION("""COMPUTED_VALUE"""),"Unknown")</f>
        <v>Unknown</v>
      </c>
      <c r="D1366" s="5"/>
    </row>
    <row r="1367" spans="1:4">
      <c r="A1367" s="5" t="str">
        <f ca="1">IFERROR(__xludf.DUMMYFUNCTION("""COMPUTED_VALUE"""),"20010912KYLAC")</f>
        <v>20010912KYLAC</v>
      </c>
      <c r="B1367" s="5" t="str">
        <f ca="1">IFERROR(__xludf.DUMMYFUNCTION("""COMPUTED_VALUE"""),"Handgun")</f>
        <v>Handgun</v>
      </c>
      <c r="C1367" s="5" t="str">
        <f ca="1">IFERROR(__xludf.DUMMYFUNCTION("""COMPUTED_VALUE"""),".38 caliber")</f>
        <v>.38 caliber</v>
      </c>
      <c r="D1367" s="5"/>
    </row>
    <row r="1368" spans="1:4">
      <c r="A1368" s="5" t="str">
        <f ca="1">IFERROR(__xludf.DUMMYFUNCTION("""COMPUTED_VALUE"""),"20010730CABEL")</f>
        <v>20010730CABEL</v>
      </c>
      <c r="B1368" s="5" t="str">
        <f ca="1">IFERROR(__xludf.DUMMYFUNCTION("""COMPUTED_VALUE"""),"Handgun")</f>
        <v>Handgun</v>
      </c>
      <c r="C1368" s="5" t="str">
        <f ca="1">IFERROR(__xludf.DUMMYFUNCTION("""COMPUTED_VALUE"""),"Unknown")</f>
        <v>Unknown</v>
      </c>
      <c r="D1368" s="5"/>
    </row>
    <row r="1369" spans="1:4">
      <c r="A1369" s="5" t="str">
        <f ca="1">IFERROR(__xludf.DUMMYFUNCTION("""COMPUTED_VALUE"""),"20010607TXOUA")</f>
        <v>20010607TXOUA</v>
      </c>
      <c r="B1369" s="5" t="str">
        <f ca="1">IFERROR(__xludf.DUMMYFUNCTION("""COMPUTED_VALUE"""),"Handgun")</f>
        <v>Handgun</v>
      </c>
      <c r="C1369" s="5" t="str">
        <f ca="1">IFERROR(__xludf.DUMMYFUNCTION("""COMPUTED_VALUE"""),"Service Weapon")</f>
        <v>Service Weapon</v>
      </c>
      <c r="D1369" s="5"/>
    </row>
    <row r="1370" spans="1:4">
      <c r="A1370" s="5" t="str">
        <f ca="1">IFERROR(__xludf.DUMMYFUNCTION("""COMPUTED_VALUE"""),"20010515TXENE")</f>
        <v>20010515TXENE</v>
      </c>
      <c r="B1370" s="5" t="str">
        <f ca="1">IFERROR(__xludf.DUMMYFUNCTION("""COMPUTED_VALUE"""),"Handgun")</f>
        <v>Handgun</v>
      </c>
      <c r="C1370" s="5" t="str">
        <f ca="1">IFERROR(__xludf.DUMMYFUNCTION("""COMPUTED_VALUE"""),".357 caliber")</f>
        <v>.357 caliber</v>
      </c>
      <c r="D1370" s="5"/>
    </row>
    <row r="1371" spans="1:4">
      <c r="A1371" s="5" t="str">
        <f ca="1">IFERROR(__xludf.DUMMYFUNCTION("""COMPUTED_VALUE"""),"20010425OHJOC")</f>
        <v>20010425OHJOC</v>
      </c>
      <c r="B1371" s="5" t="str">
        <f ca="1">IFERROR(__xludf.DUMMYFUNCTION("""COMPUTED_VALUE"""),"No Data")</f>
        <v>No Data</v>
      </c>
      <c r="C1371" s="5"/>
      <c r="D1371" s="5"/>
    </row>
    <row r="1372" spans="1:4">
      <c r="A1372" s="5" t="str">
        <f ca="1">IFERROR(__xludf.DUMMYFUNCTION("""COMPUTED_VALUE"""),"20010420LAMOM")</f>
        <v>20010420LAMOM</v>
      </c>
      <c r="B1372" s="5" t="str">
        <f ca="1">IFERROR(__xludf.DUMMYFUNCTION("""COMPUTED_VALUE"""),"Handgun")</f>
        <v>Handgun</v>
      </c>
      <c r="C1372" s="5" t="str">
        <f ca="1">IFERROR(__xludf.DUMMYFUNCTION("""COMPUTED_VALUE"""),".38 caliber")</f>
        <v>.38 caliber</v>
      </c>
      <c r="D1372" s="5"/>
    </row>
    <row r="1373" spans="1:4">
      <c r="A1373" s="5" t="str">
        <f ca="1">IFERROR(__xludf.DUMMYFUNCTION("""COMPUTED_VALUE"""),"20010410WAWAM")</f>
        <v>20010410WAWAM</v>
      </c>
      <c r="B1373" s="5" t="str">
        <f ca="1">IFERROR(__xludf.DUMMYFUNCTION("""COMPUTED_VALUE"""),"Rifle")</f>
        <v>Rifle</v>
      </c>
      <c r="C1373" s="5" t="str">
        <f ca="1">IFERROR(__xludf.DUMMYFUNCTION("""COMPUTED_VALUE"""),"Unknown")</f>
        <v>Unknown</v>
      </c>
      <c r="D1373" s="5"/>
    </row>
    <row r="1374" spans="1:4">
      <c r="A1374" s="5" t="str">
        <f ca="1">IFERROR(__xludf.DUMMYFUNCTION("""COMPUTED_VALUE"""),"20010402TXKLH")</f>
        <v>20010402TXKLH</v>
      </c>
      <c r="B1374" s="5" t="str">
        <f ca="1">IFERROR(__xludf.DUMMYFUNCTION("""COMPUTED_VALUE"""),"Handgun")</f>
        <v>Handgun</v>
      </c>
      <c r="C1374" s="5" t="str">
        <f ca="1">IFERROR(__xludf.DUMMYFUNCTION("""COMPUTED_VALUE"""),".22 caliber")</f>
        <v>.22 caliber</v>
      </c>
      <c r="D1374" s="5"/>
    </row>
    <row r="1375" spans="1:4">
      <c r="A1375" s="5" t="str">
        <f ca="1">IFERROR(__xludf.DUMMYFUNCTION("""COMPUTED_VALUE"""),"20010330INLEG")</f>
        <v>20010330INLEG</v>
      </c>
      <c r="B1375" s="5" t="str">
        <f ca="1">IFERROR(__xludf.DUMMYFUNCTION("""COMPUTED_VALUE"""),"Handgun")</f>
        <v>Handgun</v>
      </c>
      <c r="C1375" s="5" t="str">
        <f ca="1">IFERROR(__xludf.DUMMYFUNCTION("""COMPUTED_VALUE"""),"Unknown")</f>
        <v>Unknown</v>
      </c>
      <c r="D1375" s="5"/>
    </row>
    <row r="1376" spans="1:4">
      <c r="A1376" s="5" t="str">
        <f ca="1">IFERROR(__xludf.DUMMYFUNCTION("""COMPUTED_VALUE"""),"20010322CAGRE")</f>
        <v>20010322CAGRE</v>
      </c>
      <c r="B1376" s="5" t="str">
        <f ca="1">IFERROR(__xludf.DUMMYFUNCTION("""COMPUTED_VALUE"""),"Multiple Unknown")</f>
        <v>Multiple Unknown</v>
      </c>
      <c r="C1376" s="5" t="str">
        <f ca="1">IFERROR(__xludf.DUMMYFUNCTION("""COMPUTED_VALUE"""),"Unknown")</f>
        <v>Unknown</v>
      </c>
      <c r="D1376" s="5"/>
    </row>
    <row r="1377" spans="1:4">
      <c r="A1377" s="5" t="str">
        <f ca="1">IFERROR(__xludf.DUMMYFUNCTION("""COMPUTED_VALUE"""),"20010307WAKEC")</f>
        <v>20010307WAKEC</v>
      </c>
      <c r="B1377" s="5" t="str">
        <f ca="1">IFERROR(__xludf.DUMMYFUNCTION("""COMPUTED_VALUE"""),"Handgun")</f>
        <v>Handgun</v>
      </c>
      <c r="C1377" s="5" t="str">
        <f ca="1">IFERROR(__xludf.DUMMYFUNCTION("""COMPUTED_VALUE"""),"Unknown")</f>
        <v>Unknown</v>
      </c>
      <c r="D1377" s="5"/>
    </row>
    <row r="1378" spans="1:4">
      <c r="A1378" s="5" t="str">
        <f ca="1">IFERROR(__xludf.DUMMYFUNCTION("""COMPUTED_VALUE"""),"20010307PABIW")</f>
        <v>20010307PABIW</v>
      </c>
      <c r="B1378" s="5" t="str">
        <f ca="1">IFERROR(__xludf.DUMMYFUNCTION("""COMPUTED_VALUE"""),"Handgun")</f>
        <v>Handgun</v>
      </c>
      <c r="C1378" s="5" t="str">
        <f ca="1">IFERROR(__xludf.DUMMYFUNCTION("""COMPUTED_VALUE"""),".22 caliber")</f>
        <v>.22 caliber</v>
      </c>
      <c r="D1378" s="5"/>
    </row>
    <row r="1379" spans="1:4">
      <c r="A1379" s="5" t="str">
        <f ca="1">IFERROR(__xludf.DUMMYFUNCTION("""COMPUTED_VALUE"""),"20010306MDLAL")</f>
        <v>20010306MDLAL</v>
      </c>
      <c r="B1379" s="5" t="str">
        <f ca="1">IFERROR(__xludf.DUMMYFUNCTION("""COMPUTED_VALUE"""),"Handgun")</f>
        <v>Handgun</v>
      </c>
      <c r="C1379" s="5" t="str">
        <f ca="1">IFERROR(__xludf.DUMMYFUNCTION("""COMPUTED_VALUE"""),"Unknown")</f>
        <v>Unknown</v>
      </c>
      <c r="D1379" s="5"/>
    </row>
    <row r="1380" spans="1:4">
      <c r="A1380" s="5" t="str">
        <f ca="1">IFERROR(__xludf.DUMMYFUNCTION("""COMPUTED_VALUE"""),"20010305CASAS")</f>
        <v>20010305CASAS</v>
      </c>
      <c r="B1380" s="5" t="str">
        <f ca="1">IFERROR(__xludf.DUMMYFUNCTION("""COMPUTED_VALUE"""),"Handgun")</f>
        <v>Handgun</v>
      </c>
      <c r="C1380" s="5" t="str">
        <f ca="1">IFERROR(__xludf.DUMMYFUNCTION("""COMPUTED_VALUE"""),".22 caliber")</f>
        <v>.22 caliber</v>
      </c>
      <c r="D1380" s="5"/>
    </row>
    <row r="1381" spans="1:4">
      <c r="A1381" s="5" t="str">
        <f ca="1">IFERROR(__xludf.DUMMYFUNCTION("""COMPUTED_VALUE"""),"20010302CAHOS")</f>
        <v>20010302CAHOS</v>
      </c>
      <c r="B1381" s="5" t="str">
        <f ca="1">IFERROR(__xludf.DUMMYFUNCTION("""COMPUTED_VALUE"""),"No Data")</f>
        <v>No Data</v>
      </c>
      <c r="C1381" s="5"/>
      <c r="D1381" s="5"/>
    </row>
    <row r="1382" spans="1:4">
      <c r="A1382" s="5" t="str">
        <f ca="1">IFERROR(__xludf.DUMMYFUNCTION("""COMPUTED_VALUE"""),"20010202MIOSD")</f>
        <v>20010202MIOSD</v>
      </c>
      <c r="B1382" s="5" t="str">
        <f ca="1">IFERROR(__xludf.DUMMYFUNCTION("""COMPUTED_VALUE"""),"No Data")</f>
        <v>No Data</v>
      </c>
      <c r="C1382" s="5"/>
      <c r="D1382" s="5"/>
    </row>
    <row r="1383" spans="1:4">
      <c r="A1383" s="5" t="str">
        <f ca="1">IFERROR(__xludf.DUMMYFUNCTION("""COMPUTED_VALUE"""),"20010117MDLAB")</f>
        <v>20010117MDLAB</v>
      </c>
      <c r="B1383" s="5" t="str">
        <f ca="1">IFERROR(__xludf.DUMMYFUNCTION("""COMPUTED_VALUE"""),"Handgun")</f>
        <v>Handgun</v>
      </c>
      <c r="C1383" s="5" t="str">
        <f ca="1">IFERROR(__xludf.DUMMYFUNCTION("""COMPUTED_VALUE"""),".32 caliber")</f>
        <v>.32 caliber</v>
      </c>
      <c r="D1383" s="5"/>
    </row>
    <row r="1384" spans="1:4">
      <c r="A1384" s="5" t="str">
        <f ca="1">IFERROR(__xludf.DUMMYFUNCTION("""COMPUTED_VALUE"""),"20010110CAHUO")</f>
        <v>20010110CAHUO</v>
      </c>
      <c r="B1384" s="5" t="str">
        <f ca="1">IFERROR(__xludf.DUMMYFUNCTION("""COMPUTED_VALUE"""),"Handgun")</f>
        <v>Handgun</v>
      </c>
      <c r="C1384" s="5" t="str">
        <f ca="1">IFERROR(__xludf.DUMMYFUNCTION("""COMPUTED_VALUE"""),"Unknown")</f>
        <v>Unknown</v>
      </c>
      <c r="D1384" s="5"/>
    </row>
    <row r="1385" spans="1:4">
      <c r="A1385" s="5" t="str">
        <f ca="1">IFERROR(__xludf.DUMMYFUNCTION("""COMPUTED_VALUE"""),"20010103CABAS")</f>
        <v>20010103CABAS</v>
      </c>
      <c r="B1385" s="5" t="str">
        <f ca="1">IFERROR(__xludf.DUMMYFUNCTION("""COMPUTED_VALUE"""),"Handgun")</f>
        <v>Handgun</v>
      </c>
      <c r="C1385" s="5" t="str">
        <f ca="1">IFERROR(__xludf.DUMMYFUNCTION("""COMPUTED_VALUE"""),".38 caliber")</f>
        <v>.38 caliber</v>
      </c>
      <c r="D1385" s="5"/>
    </row>
    <row r="1386" spans="1:4">
      <c r="A1386" s="5" t="str">
        <f ca="1">IFERROR(__xludf.DUMMYFUNCTION("""COMPUTED_VALUE"""),"20001221FLNOM")</f>
        <v>20001221FLNOM</v>
      </c>
      <c r="B1386" s="5" t="str">
        <f ca="1">IFERROR(__xludf.DUMMYFUNCTION("""COMPUTED_VALUE"""),"No Data")</f>
        <v>No Data</v>
      </c>
      <c r="C1386" s="5"/>
      <c r="D1386" s="5"/>
    </row>
    <row r="1387" spans="1:4">
      <c r="A1387" s="5" t="str">
        <f ca="1">IFERROR(__xludf.DUMMYFUNCTION("""COMPUTED_VALUE"""),"20001207CARIR")</f>
        <v>20001207CARIR</v>
      </c>
      <c r="B1387" s="5" t="str">
        <f ca="1">IFERROR(__xludf.DUMMYFUNCTION("""COMPUTED_VALUE"""),"No Data")</f>
        <v>No Data</v>
      </c>
      <c r="C1387" s="5"/>
      <c r="D1387" s="5"/>
    </row>
    <row r="1388" spans="1:4">
      <c r="A1388" s="5" t="str">
        <f ca="1">IFERROR(__xludf.DUMMYFUNCTION("""COMPUTED_VALUE"""),"20001201CAJUS")</f>
        <v>20001201CAJUS</v>
      </c>
      <c r="B1388" s="5" t="str">
        <f ca="1">IFERROR(__xludf.DUMMYFUNCTION("""COMPUTED_VALUE"""),"No Data")</f>
        <v>No Data</v>
      </c>
      <c r="C1388" s="5"/>
      <c r="D1388" s="5"/>
    </row>
    <row r="1389" spans="1:4">
      <c r="A1389" s="5" t="str">
        <f ca="1">IFERROR(__xludf.DUMMYFUNCTION("""COMPUTED_VALUE"""),"20001201CAGRL")</f>
        <v>20001201CAGRL</v>
      </c>
      <c r="B1389" s="5" t="str">
        <f ca="1">IFERROR(__xludf.DUMMYFUNCTION("""COMPUTED_VALUE"""),"Handgun")</f>
        <v>Handgun</v>
      </c>
      <c r="C1389" s="5" t="str">
        <f ca="1">IFERROR(__xludf.DUMMYFUNCTION("""COMPUTED_VALUE"""),".38 caliber")</f>
        <v>.38 caliber</v>
      </c>
      <c r="D1389" s="5"/>
    </row>
    <row r="1390" spans="1:4">
      <c r="A1390" s="5" t="str">
        <f ca="1">IFERROR(__xludf.DUMMYFUNCTION("""COMPUTED_VALUE"""),"20001101TXNEC")</f>
        <v>20001101TXNEC</v>
      </c>
      <c r="B1390" s="5" t="str">
        <f ca="1">IFERROR(__xludf.DUMMYFUNCTION("""COMPUTED_VALUE"""),"Handgun")</f>
        <v>Handgun</v>
      </c>
      <c r="C1390" s="5" t="str">
        <f ca="1">IFERROR(__xludf.DUMMYFUNCTION("""COMPUTED_VALUE"""),"9mm")</f>
        <v>9mm</v>
      </c>
      <c r="D1390" s="5"/>
    </row>
    <row r="1391" spans="1:4">
      <c r="A1391" s="5" t="str">
        <f ca="1">IFERROR(__xludf.DUMMYFUNCTION("""COMPUTED_VALUE"""),"20001024AZPIG")</f>
        <v>20001024AZPIG</v>
      </c>
      <c r="B1391" s="5" t="str">
        <f ca="1">IFERROR(__xludf.DUMMYFUNCTION("""COMPUTED_VALUE"""),"Handgun")</f>
        <v>Handgun</v>
      </c>
      <c r="C1391" s="5" t="str">
        <f ca="1">IFERROR(__xludf.DUMMYFUNCTION("""COMPUTED_VALUE"""),"9mm")</f>
        <v>9mm</v>
      </c>
      <c r="D1391" s="5"/>
    </row>
    <row r="1392" spans="1:4">
      <c r="A1392" s="5" t="str">
        <f ca="1">IFERROR(__xludf.DUMMYFUNCTION("""COMPUTED_VALUE"""),"20001005MNMIM")</f>
        <v>20001005MNMIM</v>
      </c>
      <c r="B1392" s="5" t="str">
        <f ca="1">IFERROR(__xludf.DUMMYFUNCTION("""COMPUTED_VALUE"""),"No Data")</f>
        <v>No Data</v>
      </c>
      <c r="C1392" s="5"/>
      <c r="D1392" s="5"/>
    </row>
    <row r="1393" spans="1:4">
      <c r="A1393" s="5" t="str">
        <f ca="1">IFERROR(__xludf.DUMMYFUNCTION("""COMPUTED_VALUE"""),"20000926LACAN")</f>
        <v>20000926LACAN</v>
      </c>
      <c r="B1393" s="5" t="str">
        <f ca="1">IFERROR(__xludf.DUMMYFUNCTION("""COMPUTED_VALUE"""),"Handgun")</f>
        <v>Handgun</v>
      </c>
      <c r="C1393" s="5" t="str">
        <f ca="1">IFERROR(__xludf.DUMMYFUNCTION("""COMPUTED_VALUE"""),".38 caliber")</f>
        <v>.38 caliber</v>
      </c>
      <c r="D1393" s="5"/>
    </row>
    <row r="1394" spans="1:4">
      <c r="A1394" s="5" t="str">
        <f ca="1">IFERROR(__xludf.DUMMYFUNCTION("""COMPUTED_VALUE"""),"20000918OHMOM")</f>
        <v>20000918OHMOM</v>
      </c>
      <c r="B1394" s="5" t="str">
        <f ca="1">IFERROR(__xludf.DUMMYFUNCTION("""COMPUTED_VALUE"""),"Handgun")</f>
        <v>Handgun</v>
      </c>
      <c r="C1394" s="5" t="str">
        <f ca="1">IFERROR(__xludf.DUMMYFUNCTION("""COMPUTED_VALUE"""),".38 caliber")</f>
        <v>.38 caliber</v>
      </c>
      <c r="D1394" s="5"/>
    </row>
    <row r="1395" spans="1:4">
      <c r="A1395" s="5" t="str">
        <f ca="1">IFERROR(__xludf.DUMMYFUNCTION("""COMPUTED_VALUE"""),"20000907ILLOR")</f>
        <v>20000907ILLOR</v>
      </c>
      <c r="B1395" s="5" t="str">
        <f ca="1">IFERROR(__xludf.DUMMYFUNCTION("""COMPUTED_VALUE"""),"Handgun")</f>
        <v>Handgun</v>
      </c>
      <c r="C1395" s="5" t="str">
        <f ca="1">IFERROR(__xludf.DUMMYFUNCTION("""COMPUTED_VALUE"""),"Unknown")</f>
        <v>Unknown</v>
      </c>
      <c r="D1395" s="5"/>
    </row>
    <row r="1396" spans="1:4">
      <c r="A1396" s="5" t="str">
        <f ca="1">IFERROR(__xludf.DUMMYFUNCTION("""COMPUTED_VALUE"""),"20000905OHBIB")</f>
        <v>20000905OHBIB</v>
      </c>
      <c r="B1396" s="5" t="str">
        <f ca="1">IFERROR(__xludf.DUMMYFUNCTION("""COMPUTED_VALUE"""),"No Data")</f>
        <v>No Data</v>
      </c>
      <c r="C1396" s="5"/>
      <c r="D1396" s="5"/>
    </row>
    <row r="1397" spans="1:4">
      <c r="A1397" s="5" t="str">
        <f ca="1">IFERROR(__xludf.DUMMYFUNCTION("""COMPUTED_VALUE"""),"20000726OHTIC")</f>
        <v>20000726OHTIC</v>
      </c>
      <c r="B1397" s="5" t="str">
        <f ca="1">IFERROR(__xludf.DUMMYFUNCTION("""COMPUTED_VALUE"""),"No Data")</f>
        <v>No Data</v>
      </c>
      <c r="C1397" s="5"/>
      <c r="D1397" s="5"/>
    </row>
    <row r="1398" spans="1:4">
      <c r="A1398" s="5" t="str">
        <f ca="1">IFERROR(__xludf.DUMMYFUNCTION("""COMPUTED_VALUE"""),"20000717WADIR")</f>
        <v>20000717WADIR</v>
      </c>
      <c r="B1398" s="5" t="str">
        <f ca="1">IFERROR(__xludf.DUMMYFUNCTION("""COMPUTED_VALUE"""),"Handgun")</f>
        <v>Handgun</v>
      </c>
      <c r="C1398" s="5" t="str">
        <f ca="1">IFERROR(__xludf.DUMMYFUNCTION("""COMPUTED_VALUE"""),".22 caliber")</f>
        <v>.22 caliber</v>
      </c>
      <c r="D1398" s="5"/>
    </row>
    <row r="1399" spans="1:4">
      <c r="A1399" s="5" t="str">
        <f ca="1">IFERROR(__xludf.DUMMYFUNCTION("""COMPUTED_VALUE"""),"20000526FLLAL")</f>
        <v>20000526FLLAL</v>
      </c>
      <c r="B1399" s="5" t="str">
        <f ca="1">IFERROR(__xludf.DUMMYFUNCTION("""COMPUTED_VALUE"""),"Handgun")</f>
        <v>Handgun</v>
      </c>
      <c r="C1399" s="5" t="str">
        <f ca="1">IFERROR(__xludf.DUMMYFUNCTION("""COMPUTED_VALUE"""),".25 caliber")</f>
        <v>.25 caliber</v>
      </c>
      <c r="D1399" s="5"/>
    </row>
    <row r="1400" spans="1:4">
      <c r="A1400" s="5" t="str">
        <f ca="1">IFERROR(__xludf.DUMMYFUNCTION("""COMPUTED_VALUE"""),"20000510AZCAS")</f>
        <v>20000510AZCAS</v>
      </c>
      <c r="B1400" s="5" t="str">
        <f ca="1">IFERROR(__xludf.DUMMYFUNCTION("""COMPUTED_VALUE"""),"Handgun")</f>
        <v>Handgun</v>
      </c>
      <c r="C1400" s="5" t="str">
        <f ca="1">IFERROR(__xludf.DUMMYFUNCTION("""COMPUTED_VALUE"""),"Unknown")</f>
        <v>Unknown</v>
      </c>
      <c r="D1400" s="5"/>
    </row>
    <row r="1401" spans="1:4">
      <c r="A1401" s="5" t="str">
        <f ca="1">IFERROR(__xludf.DUMMYFUNCTION("""COMPUTED_VALUE"""),"20000502COTHD")</f>
        <v>20000502COTHD</v>
      </c>
      <c r="B1401" s="5" t="str">
        <f ca="1">IFERROR(__xludf.DUMMYFUNCTION("""COMPUTED_VALUE"""),"No Data")</f>
        <v>No Data</v>
      </c>
      <c r="C1401" s="5"/>
      <c r="D1401" s="5"/>
    </row>
    <row r="1402" spans="1:4">
      <c r="A1402" s="5" t="str">
        <f ca="1">IFERROR(__xludf.DUMMYFUNCTION("""COMPUTED_VALUE"""),"20000410AZLAT")</f>
        <v>20000410AZLAT</v>
      </c>
      <c r="B1402" s="5" t="str">
        <f ca="1">IFERROR(__xludf.DUMMYFUNCTION("""COMPUTED_VALUE"""),"Handgun")</f>
        <v>Handgun</v>
      </c>
      <c r="C1402" s="5" t="str">
        <f ca="1">IFERROR(__xludf.DUMMYFUNCTION("""COMPUTED_VALUE"""),".38 caliber")</f>
        <v>.38 caliber</v>
      </c>
      <c r="D1402" s="5"/>
    </row>
    <row r="1403" spans="1:4">
      <c r="A1403" s="5" t="str">
        <f ca="1">IFERROR(__xludf.DUMMYFUNCTION("""COMPUTED_VALUE"""),"20000406OKHUH")</f>
        <v>20000406OKHUH</v>
      </c>
      <c r="B1403" s="5" t="str">
        <f ca="1">IFERROR(__xludf.DUMMYFUNCTION("""COMPUTED_VALUE"""),"Handgun")</f>
        <v>Handgun</v>
      </c>
      <c r="C1403" s="5" t="str">
        <f ca="1">IFERROR(__xludf.DUMMYFUNCTION("""COMPUTED_VALUE"""),".38 caliber")</f>
        <v>.38 caliber</v>
      </c>
      <c r="D1403" s="5"/>
    </row>
    <row r="1404" spans="1:4">
      <c r="A1404" s="5" t="str">
        <f ca="1">IFERROR(__xludf.DUMMYFUNCTION("""COMPUTED_VALUE"""),"20000323OHMCL")</f>
        <v>20000323OHMCL</v>
      </c>
      <c r="B1404" s="5" t="str">
        <f ca="1">IFERROR(__xludf.DUMMYFUNCTION("""COMPUTED_VALUE"""),"Handgun")</f>
        <v>Handgun</v>
      </c>
      <c r="C1404" s="5" t="str">
        <f ca="1">IFERROR(__xludf.DUMMYFUNCTION("""COMPUTED_VALUE"""),"9mm")</f>
        <v>9mm</v>
      </c>
      <c r="D1404" s="5"/>
    </row>
    <row r="1405" spans="1:4">
      <c r="A1405" s="5" t="str">
        <f ca="1">IFERROR(__xludf.DUMMYFUNCTION("""COMPUTED_VALUE"""),"20000310GABES")</f>
        <v>20000310GABES</v>
      </c>
      <c r="B1405" s="5" t="str">
        <f ca="1">IFERROR(__xludf.DUMMYFUNCTION("""COMPUTED_VALUE"""),"No Data")</f>
        <v>No Data</v>
      </c>
      <c r="C1405" s="5"/>
      <c r="D1405" s="5"/>
    </row>
    <row r="1406" spans="1:4">
      <c r="A1406" s="5" t="str">
        <f ca="1">IFERROR(__xludf.DUMMYFUNCTION("""COMPUTED_VALUE"""),"20000229MIBUF")</f>
        <v>20000229MIBUF</v>
      </c>
      <c r="B1406" s="5" t="str">
        <f ca="1">IFERROR(__xludf.DUMMYFUNCTION("""COMPUTED_VALUE"""),"Handgun")</f>
        <v>Handgun</v>
      </c>
      <c r="C1406" s="5" t="str">
        <f ca="1">IFERROR(__xludf.DUMMYFUNCTION("""COMPUTED_VALUE"""),".32 caliber")</f>
        <v>.32 caliber</v>
      </c>
      <c r="D1406" s="5"/>
    </row>
    <row r="1407" spans="1:4">
      <c r="A1407" s="5" t="str">
        <f ca="1">IFERROR(__xludf.DUMMYFUNCTION("""COMPUTED_VALUE"""),"20000214ILDUC")</f>
        <v>20000214ILDUC</v>
      </c>
      <c r="B1407" s="5" t="str">
        <f ca="1">IFERROR(__xludf.DUMMYFUNCTION("""COMPUTED_VALUE"""),"Handgun")</f>
        <v>Handgun</v>
      </c>
      <c r="C1407" s="5" t="str">
        <f ca="1">IFERROR(__xludf.DUMMYFUNCTION("""COMPUTED_VALUE"""),"Unknown")</f>
        <v>Unknown</v>
      </c>
      <c r="D1407" s="5"/>
    </row>
    <row r="1408" spans="1:4">
      <c r="A1408" s="5" t="str">
        <f ca="1">IFERROR(__xludf.DUMMYFUNCTION("""COMPUTED_VALUE"""),"20000210PAPEY")</f>
        <v>20000210PAPEY</v>
      </c>
      <c r="B1408" s="5" t="str">
        <f ca="1">IFERROR(__xludf.DUMMYFUNCTION("""COMPUTED_VALUE"""),"Handgun")</f>
        <v>Handgun</v>
      </c>
      <c r="C1408" s="5" t="str">
        <f ca="1">IFERROR(__xludf.DUMMYFUNCTION("""COMPUTED_VALUE"""),"Unknown")</f>
        <v>Unknown</v>
      </c>
      <c r="D1408" s="5"/>
    </row>
    <row r="1409" spans="1:4">
      <c r="A1409" s="5" t="str">
        <f ca="1">IFERROR(__xludf.DUMMYFUNCTION("""COMPUTED_VALUE"""),"20000126NESOO")</f>
        <v>20000126NESOO</v>
      </c>
      <c r="B1409" s="5" t="str">
        <f ca="1">IFERROR(__xludf.DUMMYFUNCTION("""COMPUTED_VALUE"""),"No Data")</f>
        <v>No Data</v>
      </c>
      <c r="C1409" s="5"/>
      <c r="D1409" s="5"/>
    </row>
    <row r="1410" spans="1:4">
      <c r="A1410" s="5" t="str">
        <f ca="1">IFERROR(__xludf.DUMMYFUNCTION("""COMPUTED_VALUE"""),"20000126CAALM")</f>
        <v>20000126CAALM</v>
      </c>
      <c r="B1410" s="5" t="str">
        <f ca="1">IFERROR(__xludf.DUMMYFUNCTION("""COMPUTED_VALUE"""),"Handgun")</f>
        <v>Handgun</v>
      </c>
      <c r="C1410" s="5" t="str">
        <f ca="1">IFERROR(__xludf.DUMMYFUNCTION("""COMPUTED_VALUE"""),".22 caliber")</f>
        <v>.22 caliber</v>
      </c>
      <c r="D1410" s="5"/>
    </row>
    <row r="1411" spans="1:4">
      <c r="A1411" s="5" t="str">
        <f ca="1">IFERROR(__xludf.DUMMYFUNCTION("""COMPUTED_VALUE"""),"20000120NCERA")</f>
        <v>20000120NCERA</v>
      </c>
      <c r="B1411" s="5" t="str">
        <f ca="1">IFERROR(__xludf.DUMMYFUNCTION("""COMPUTED_VALUE"""),"Rifle")</f>
        <v>Rifle</v>
      </c>
      <c r="C1411" s="5" t="str">
        <f ca="1">IFERROR(__xludf.DUMMYFUNCTION("""COMPUTED_VALUE"""),".27 caliber")</f>
        <v>.27 caliber</v>
      </c>
      <c r="D1411" s="5"/>
    </row>
    <row r="1412" spans="1:4">
      <c r="A1412" s="5" t="str">
        <f ca="1">IFERROR(__xludf.DUMMYFUNCTION("""COMPUTED_VALUE"""),"20000119FLRIN")</f>
        <v>20000119FLRIN</v>
      </c>
      <c r="B1412" s="5" t="str">
        <f ca="1">IFERROR(__xludf.DUMMYFUNCTION("""COMPUTED_VALUE"""),"Handgun")</f>
        <v>Handgun</v>
      </c>
      <c r="C1412" s="5" t="str">
        <f ca="1">IFERROR(__xludf.DUMMYFUNCTION("""COMPUTED_VALUE"""),".22 caliber")</f>
        <v>.22 caliber</v>
      </c>
      <c r="D1412" s="5"/>
    </row>
    <row r="1413" spans="1:4">
      <c r="A1413" s="5" t="str">
        <f ca="1">IFERROR(__xludf.DUMMYFUNCTION("""COMPUTED_VALUE"""),"20000113NMALA")</f>
        <v>20000113NMALA</v>
      </c>
      <c r="B1413" s="5" t="str">
        <f ca="1">IFERROR(__xludf.DUMMYFUNCTION("""COMPUTED_VALUE"""),"Handgun")</f>
        <v>Handgun</v>
      </c>
      <c r="C1413" s="5" t="str">
        <f ca="1">IFERROR(__xludf.DUMMYFUNCTION("""COMPUTED_VALUE"""),".22 caliber")</f>
        <v>.22 caliber</v>
      </c>
      <c r="D1413" s="5"/>
    </row>
    <row r="1414" spans="1:4">
      <c r="A1414" s="5" t="str">
        <f ca="1">IFERROR(__xludf.DUMMYFUNCTION("""COMPUTED_VALUE"""),"20000110AKBAA")</f>
        <v>20000110AKBAA</v>
      </c>
      <c r="B1414" s="5" t="str">
        <f ca="1">IFERROR(__xludf.DUMMYFUNCTION("""COMPUTED_VALUE"""),"Handgun")</f>
        <v>Handgun</v>
      </c>
      <c r="C1414" s="5" t="str">
        <f ca="1">IFERROR(__xludf.DUMMYFUNCTION("""COMPUTED_VALUE"""),"Unknown")</f>
        <v>Unknown</v>
      </c>
      <c r="D1414" s="5"/>
    </row>
    <row r="1415" spans="1:4">
      <c r="A1415" s="5" t="str">
        <f ca="1">IFERROR(__xludf.DUMMYFUNCTION("""COMPUTED_VALUE"""),"19991206OKFOF")</f>
        <v>19991206OKFOF</v>
      </c>
      <c r="B1415" s="5" t="str">
        <f ca="1">IFERROR(__xludf.DUMMYFUNCTION("""COMPUTED_VALUE"""),"Handgun")</f>
        <v>Handgun</v>
      </c>
      <c r="C1415" s="5" t="str">
        <f ca="1">IFERROR(__xludf.DUMMYFUNCTION("""COMPUTED_VALUE"""),"9mm")</f>
        <v>9mm</v>
      </c>
      <c r="D1415" s="5"/>
    </row>
    <row r="1416" spans="1:4">
      <c r="A1416" s="5" t="str">
        <f ca="1">IFERROR(__xludf.DUMMYFUNCTION("""COMPUTED_VALUE"""),"19991119NMDED")</f>
        <v>19991119NMDED</v>
      </c>
      <c r="B1416" s="5" t="str">
        <f ca="1">IFERROR(__xludf.DUMMYFUNCTION("""COMPUTED_VALUE"""),"Handgun")</f>
        <v>Handgun</v>
      </c>
      <c r="C1416" s="5" t="str">
        <f ca="1">IFERROR(__xludf.DUMMYFUNCTION("""COMPUTED_VALUE"""),".22 caliber")</f>
        <v>.22 caliber</v>
      </c>
      <c r="D1416" s="5"/>
    </row>
    <row r="1417" spans="1:4">
      <c r="A1417" s="5" t="str">
        <f ca="1">IFERROR(__xludf.DUMMYFUNCTION("""COMPUTED_VALUE"""),"19991117TXDID")</f>
        <v>19991117TXDID</v>
      </c>
      <c r="B1417" s="5" t="str">
        <f ca="1">IFERROR(__xludf.DUMMYFUNCTION("""COMPUTED_VALUE"""),"Rifle")</f>
        <v>Rifle</v>
      </c>
      <c r="C1417" s="5" t="str">
        <f ca="1">IFERROR(__xludf.DUMMYFUNCTION("""COMPUTED_VALUE"""),".22 caliber")</f>
        <v>.22 caliber</v>
      </c>
      <c r="D1417" s="5"/>
    </row>
    <row r="1418" spans="1:4">
      <c r="A1418" s="5" t="str">
        <f ca="1">IFERROR(__xludf.DUMMYFUNCTION("""COMPUTED_VALUE"""),"19991026WVGUB")</f>
        <v>19991026WVGUB</v>
      </c>
      <c r="B1418" s="5" t="str">
        <f ca="1">IFERROR(__xludf.DUMMYFUNCTION("""COMPUTED_VALUE"""),"No Data")</f>
        <v>No Data</v>
      </c>
      <c r="C1418" s="5"/>
      <c r="D1418" s="5"/>
    </row>
    <row r="1419" spans="1:4">
      <c r="A1419" s="5" t="str">
        <f ca="1">IFERROR(__xludf.DUMMYFUNCTION("""COMPUTED_VALUE"""),"19991026PAMAP")</f>
        <v>19991026PAMAP</v>
      </c>
      <c r="B1419" s="5" t="str">
        <f ca="1">IFERROR(__xludf.DUMMYFUNCTION("""COMPUTED_VALUE"""),"No Data")</f>
        <v>No Data</v>
      </c>
      <c r="C1419" s="5"/>
      <c r="D1419" s="5"/>
    </row>
    <row r="1420" spans="1:4">
      <c r="A1420" s="5" t="str">
        <f ca="1">IFERROR(__xludf.DUMMYFUNCTION("""COMPUTED_VALUE"""),"19991021CASAP")</f>
        <v>19991021CASAP</v>
      </c>
      <c r="B1420" s="5" t="str">
        <f ca="1">IFERROR(__xludf.DUMMYFUNCTION("""COMPUTED_VALUE"""),"Handgun")</f>
        <v>Handgun</v>
      </c>
      <c r="C1420" s="5" t="str">
        <f ca="1">IFERROR(__xludf.DUMMYFUNCTION("""COMPUTED_VALUE"""),"Unknown")</f>
        <v>Unknown</v>
      </c>
      <c r="D1420" s="5"/>
    </row>
    <row r="1421" spans="1:4">
      <c r="A1421" s="5" t="str">
        <f ca="1">IFERROR(__xludf.DUMMYFUNCTION("""COMPUTED_VALUE"""),"19991011NVCLL")</f>
        <v>19991011NVCLL</v>
      </c>
      <c r="B1421" s="5" t="str">
        <f ca="1">IFERROR(__xludf.DUMMYFUNCTION("""COMPUTED_VALUE"""),"Handgun")</f>
        <v>Handgun</v>
      </c>
      <c r="C1421" s="5" t="str">
        <f ca="1">IFERROR(__xludf.DUMMYFUNCTION("""COMPUTED_VALUE"""),".357 caliber")</f>
        <v>.357 caliber</v>
      </c>
      <c r="D1421" s="5"/>
    </row>
    <row r="1422" spans="1:4">
      <c r="A1422" s="5" t="str">
        <f ca="1">IFERROR(__xludf.DUMMYFUNCTION("""COMPUTED_VALUE"""),"19991004SDJOP")</f>
        <v>19991004SDJOP</v>
      </c>
      <c r="B1422" s="5" t="str">
        <f ca="1">IFERROR(__xludf.DUMMYFUNCTION("""COMPUTED_VALUE"""),"Handgun")</f>
        <v>Handgun</v>
      </c>
      <c r="C1422" s="5" t="str">
        <f ca="1">IFERROR(__xludf.DUMMYFUNCTION("""COMPUTED_VALUE"""),".25 caliber")</f>
        <v>.25 caliber</v>
      </c>
      <c r="D1422" s="5"/>
    </row>
    <row r="1423" spans="1:4">
      <c r="A1423" s="5" t="str">
        <f ca="1">IFERROR(__xludf.DUMMYFUNCTION("""COMPUTED_VALUE"""),"19990927FLEGT")</f>
        <v>19990927FLEGT</v>
      </c>
      <c r="B1423" s="5" t="str">
        <f ca="1">IFERROR(__xludf.DUMMYFUNCTION("""COMPUTED_VALUE"""),"Unknown")</f>
        <v>Unknown</v>
      </c>
      <c r="C1423" s="5" t="str">
        <f ca="1">IFERROR(__xludf.DUMMYFUNCTION("""COMPUTED_VALUE"""),".22 caliber")</f>
        <v>.22 caliber</v>
      </c>
      <c r="D1423" s="5"/>
    </row>
    <row r="1424" spans="1:4">
      <c r="A1424" s="5" t="str">
        <f ca="1">IFERROR(__xludf.DUMMYFUNCTION("""COMPUTED_VALUE"""),"19990909CASAS")</f>
        <v>19990909CASAS</v>
      </c>
      <c r="B1424" s="5" t="str">
        <f ca="1">IFERROR(__xludf.DUMMYFUNCTION("""COMPUTED_VALUE"""),"Handgun")</f>
        <v>Handgun</v>
      </c>
      <c r="C1424" s="5" t="str">
        <f ca="1">IFERROR(__xludf.DUMMYFUNCTION("""COMPUTED_VALUE"""),"Unknown")</f>
        <v>Unknown</v>
      </c>
      <c r="D1424" s="5"/>
    </row>
    <row r="1425" spans="1:4">
      <c r="A1425" s="5" t="str">
        <f ca="1">IFERROR(__xludf.DUMMYFUNCTION("""COMPUTED_VALUE"""),"19990825GAJAM")</f>
        <v>19990825GAJAM</v>
      </c>
      <c r="B1425" s="5" t="str">
        <f ca="1">IFERROR(__xludf.DUMMYFUNCTION("""COMPUTED_VALUE"""),"No Data")</f>
        <v>No Data</v>
      </c>
      <c r="C1425" s="5"/>
      <c r="D1425" s="5"/>
    </row>
    <row r="1426" spans="1:4">
      <c r="A1426" s="5" t="str">
        <f ca="1">IFERROR(__xludf.DUMMYFUNCTION("""COMPUTED_VALUE"""),"19990520GAHEC")</f>
        <v>19990520GAHEC</v>
      </c>
      <c r="B1426" s="5" t="str">
        <f ca="1">IFERROR(__xludf.DUMMYFUNCTION("""COMPUTED_VALUE"""),"Handgun")</f>
        <v>Handgun</v>
      </c>
      <c r="C1426" s="5" t="str">
        <f ca="1">IFERROR(__xludf.DUMMYFUNCTION("""COMPUTED_VALUE"""),".357 caliber")</f>
        <v>.357 caliber</v>
      </c>
      <c r="D1426" s="5" t="str">
        <f ca="1">IFERROR(__xludf.DUMMYFUNCTION("""COMPUTED_VALUE"""),".357 pistol, .22 rifle")</f>
        <v>.357 pistol, .22 rifle</v>
      </c>
    </row>
    <row r="1427" spans="1:4">
      <c r="A1427" s="5" t="str">
        <f ca="1">IFERROR(__xludf.DUMMYFUNCTION("""COMPUTED_VALUE"""),"19990520GAHEC")</f>
        <v>19990520GAHEC</v>
      </c>
      <c r="B1427" s="5" t="str">
        <f ca="1">IFERROR(__xludf.DUMMYFUNCTION("""COMPUTED_VALUE"""),"Rifle")</f>
        <v>Rifle</v>
      </c>
      <c r="C1427" s="5" t="str">
        <f ca="1">IFERROR(__xludf.DUMMYFUNCTION("""COMPUTED_VALUE"""),".22 caliber")</f>
        <v>.22 caliber</v>
      </c>
      <c r="D1427" s="5" t="str">
        <f ca="1">IFERROR(__xludf.DUMMYFUNCTION("""COMPUTED_VALUE"""),".357 pistol, .22 rifle")</f>
        <v>.357 pistol, .22 rifle</v>
      </c>
    </row>
    <row r="1428" spans="1:4">
      <c r="A1428" s="5" t="str">
        <f ca="1">IFERROR(__xludf.DUMMYFUNCTION("""COMPUTED_VALUE"""),"19990422LASCB")</f>
        <v>19990422LASCB</v>
      </c>
      <c r="B1428" s="5" t="str">
        <f ca="1">IFERROR(__xludf.DUMMYFUNCTION("""COMPUTED_VALUE"""),"Handgun")</f>
        <v>Handgun</v>
      </c>
      <c r="C1428" s="5" t="str">
        <f ca="1">IFERROR(__xludf.DUMMYFUNCTION("""COMPUTED_VALUE"""),".22 caliber")</f>
        <v>.22 caliber</v>
      </c>
      <c r="D1428" s="5"/>
    </row>
    <row r="1429" spans="1:4">
      <c r="A1429" s="5" t="str">
        <f ca="1">IFERROR(__xludf.DUMMYFUNCTION("""COMPUTED_VALUE"""),"19990422GAMAA")</f>
        <v>19990422GAMAA</v>
      </c>
      <c r="B1429" s="5" t="str">
        <f ca="1">IFERROR(__xludf.DUMMYFUNCTION("""COMPUTED_VALUE"""),"Handgun")</f>
        <v>Handgun</v>
      </c>
      <c r="C1429" s="5" t="str">
        <f ca="1">IFERROR(__xludf.DUMMYFUNCTION("""COMPUTED_VALUE"""),"Unknown")</f>
        <v>Unknown</v>
      </c>
      <c r="D1429" s="5"/>
    </row>
    <row r="1430" spans="1:4">
      <c r="A1430" s="5" t="str">
        <f ca="1">IFERROR(__xludf.DUMMYFUNCTION("""COMPUTED_VALUE"""),"19990420COCOL")</f>
        <v>19990420COCOL</v>
      </c>
      <c r="B1430" s="5" t="str">
        <f ca="1">IFERROR(__xludf.DUMMYFUNCTION("""COMPUTED_VALUE"""),"Handgun")</f>
        <v>Handgun</v>
      </c>
      <c r="C1430" s="5" t="str">
        <f ca="1">IFERROR(__xludf.DUMMYFUNCTION("""COMPUTED_VALUE"""),"9mm")</f>
        <v>9mm</v>
      </c>
      <c r="D1430" s="5" t="str">
        <f ca="1">IFERROR(__xludf.DUMMYFUNCTION("""COMPUTED_VALUE"""),"TECH 9 Mini")</f>
        <v>TECH 9 Mini</v>
      </c>
    </row>
    <row r="1431" spans="1:4">
      <c r="A1431" s="5" t="str">
        <f ca="1">IFERROR(__xludf.DUMMYFUNCTION("""COMPUTED_VALUE"""),"19990420COCOL")</f>
        <v>19990420COCOL</v>
      </c>
      <c r="B1431" s="5" t="str">
        <f ca="1">IFERROR(__xludf.DUMMYFUNCTION("""COMPUTED_VALUE"""),"Rifle")</f>
        <v>Rifle</v>
      </c>
      <c r="C1431" s="5" t="str">
        <f ca="1">IFERROR(__xludf.DUMMYFUNCTION("""COMPUTED_VALUE"""),"9mm")</f>
        <v>9mm</v>
      </c>
      <c r="D1431" s="5" t="str">
        <f ca="1">IFERROR(__xludf.DUMMYFUNCTION("""COMPUTED_VALUE"""),"Hi-Point 995 Carbine")</f>
        <v>Hi-Point 995 Carbine</v>
      </c>
    </row>
    <row r="1432" spans="1:4">
      <c r="A1432" s="5" t="str">
        <f ca="1">IFERROR(__xludf.DUMMYFUNCTION("""COMPUTED_VALUE"""),"19990420COCOL")</f>
        <v>19990420COCOL</v>
      </c>
      <c r="B1432" s="5" t="str">
        <f ca="1">IFERROR(__xludf.DUMMYFUNCTION("""COMPUTED_VALUE"""),"Shotgun")</f>
        <v>Shotgun</v>
      </c>
      <c r="C1432" s="5" t="str">
        <f ca="1">IFERROR(__xludf.DUMMYFUNCTION("""COMPUTED_VALUE"""),"12 gauge")</f>
        <v>12 gauge</v>
      </c>
      <c r="D1432" s="5" t="str">
        <f ca="1">IFERROR(__xludf.DUMMYFUNCTION("""COMPUTED_VALUE"""),"Pump Action")</f>
        <v>Pump Action</v>
      </c>
    </row>
    <row r="1433" spans="1:4">
      <c r="A1433" s="5" t="str">
        <f ca="1">IFERROR(__xludf.DUMMYFUNCTION("""COMPUTED_VALUE"""),"19990420COCOL")</f>
        <v>19990420COCOL</v>
      </c>
      <c r="B1433" s="5" t="str">
        <f ca="1">IFERROR(__xludf.DUMMYFUNCTION("""COMPUTED_VALUE"""),"Shotgun")</f>
        <v>Shotgun</v>
      </c>
      <c r="C1433" s="5" t="str">
        <f ca="1">IFERROR(__xludf.DUMMYFUNCTION("""COMPUTED_VALUE"""),"12 gauge")</f>
        <v>12 gauge</v>
      </c>
      <c r="D1433" s="5" t="str">
        <f ca="1">IFERROR(__xludf.DUMMYFUNCTION("""COMPUTED_VALUE"""),"Double Barrel (sawed off)")</f>
        <v>Double Barrel (sawed off)</v>
      </c>
    </row>
    <row r="1434" spans="1:4">
      <c r="A1434" s="5" t="str">
        <f ca="1">IFERROR(__xludf.DUMMYFUNCTION("""COMPUTED_VALUE"""),"19990416IDNON")</f>
        <v>19990416IDNON</v>
      </c>
      <c r="B1434" s="5" t="str">
        <f ca="1">IFERROR(__xludf.DUMMYFUNCTION("""COMPUTED_VALUE"""),"Shotgun")</f>
        <v>Shotgun</v>
      </c>
      <c r="C1434" s="5" t="str">
        <f ca="1">IFERROR(__xludf.DUMMYFUNCTION("""COMPUTED_VALUE"""),"Unknown")</f>
        <v>Unknown</v>
      </c>
      <c r="D1434" s="5"/>
    </row>
    <row r="1435" spans="1:4">
      <c r="A1435" s="5" t="str">
        <f ca="1">IFERROR(__xludf.DUMMYFUNCTION("""COMPUTED_VALUE"""),"19990304ILNIS")</f>
        <v>19990304ILNIS</v>
      </c>
      <c r="B1435" s="5" t="str">
        <f ca="1">IFERROR(__xludf.DUMMYFUNCTION("""COMPUTED_VALUE"""),"Handgun")</f>
        <v>Handgun</v>
      </c>
      <c r="C1435" s="5" t="str">
        <f ca="1">IFERROR(__xludf.DUMMYFUNCTION("""COMPUTED_VALUE"""),".357 caliber")</f>
        <v>.357 caliber</v>
      </c>
      <c r="D1435" s="5"/>
    </row>
    <row r="1436" spans="1:4">
      <c r="A1436" s="5" t="str">
        <f ca="1">IFERROR(__xludf.DUMMYFUNCTION("""COMPUTED_VALUE"""),"19990211MSJEP")</f>
        <v>19990211MSJEP</v>
      </c>
      <c r="B1436" s="5" t="str">
        <f ca="1">IFERROR(__xludf.DUMMYFUNCTION("""COMPUTED_VALUE"""),"No Data")</f>
        <v>No Data</v>
      </c>
      <c r="C1436" s="5"/>
      <c r="D1436" s="5"/>
    </row>
    <row r="1437" spans="1:4">
      <c r="A1437" s="5" t="str">
        <f ca="1">IFERROR(__xludf.DUMMYFUNCTION("""COMPUTED_VALUE"""),"19990211ILOME")</f>
        <v>19990211ILOME</v>
      </c>
      <c r="B1437" s="5" t="str">
        <f ca="1">IFERROR(__xludf.DUMMYFUNCTION("""COMPUTED_VALUE"""),"Handgun")</f>
        <v>Handgun</v>
      </c>
      <c r="C1437" s="5" t="str">
        <f ca="1">IFERROR(__xludf.DUMMYFUNCTION("""COMPUTED_VALUE"""),".45 caliber")</f>
        <v>.45 caliber</v>
      </c>
      <c r="D1437" s="5"/>
    </row>
    <row r="1438" spans="1:4">
      <c r="A1438" s="5" t="str">
        <f ca="1">IFERROR(__xludf.DUMMYFUNCTION("""COMPUTED_VALUE"""),"19990121TXRIN")</f>
        <v>19990121TXRIN</v>
      </c>
      <c r="B1438" s="5" t="str">
        <f ca="1">IFERROR(__xludf.DUMMYFUNCTION("""COMPUTED_VALUE"""),"Handgun")</f>
        <v>Handgun</v>
      </c>
      <c r="C1438" s="5" t="str">
        <f ca="1">IFERROR(__xludf.DUMMYFUNCTION("""COMPUTED_VALUE"""),"9mm")</f>
        <v>9mm</v>
      </c>
      <c r="D1438" s="5"/>
    </row>
    <row r="1439" spans="1:4">
      <c r="A1439" s="5" t="str">
        <f ca="1">IFERROR(__xludf.DUMMYFUNCTION("""COMPUTED_VALUE"""),"19990114NYHAN")</f>
        <v>19990114NYHAN</v>
      </c>
      <c r="B1439" s="5" t="str">
        <f ca="1">IFERROR(__xludf.DUMMYFUNCTION("""COMPUTED_VALUE"""),"Handgun")</f>
        <v>Handgun</v>
      </c>
      <c r="C1439" s="5" t="str">
        <f ca="1">IFERROR(__xludf.DUMMYFUNCTION("""COMPUTED_VALUE"""),"Unknown")</f>
        <v>Unknown</v>
      </c>
      <c r="D1439" s="5"/>
    </row>
    <row r="1440" spans="1:4">
      <c r="A1440" s="5" t="str">
        <f ca="1">IFERROR(__xludf.DUMMYFUNCTION("""COMPUTED_VALUE"""),"19990108GACEC")</f>
        <v>19990108GACEC</v>
      </c>
      <c r="B1440" s="5" t="str">
        <f ca="1">IFERROR(__xludf.DUMMYFUNCTION("""COMPUTED_VALUE"""),"Handgun")</f>
        <v>Handgun</v>
      </c>
      <c r="C1440" s="5" t="str">
        <f ca="1">IFERROR(__xludf.DUMMYFUNCTION("""COMPUTED_VALUE"""),"Unknown")</f>
        <v>Unknown</v>
      </c>
      <c r="D1440" s="5"/>
    </row>
    <row r="1441" spans="1:4">
      <c r="A1441" s="5" t="str">
        <f ca="1">IFERROR(__xludf.DUMMYFUNCTION("""COMPUTED_VALUE"""),"19981211INBEI")</f>
        <v>19981211INBEI</v>
      </c>
      <c r="B1441" s="5" t="str">
        <f ca="1">IFERROR(__xludf.DUMMYFUNCTION("""COMPUTED_VALUE"""),"Handgun")</f>
        <v>Handgun</v>
      </c>
      <c r="C1441" s="5" t="str">
        <f ca="1">IFERROR(__xludf.DUMMYFUNCTION("""COMPUTED_VALUE"""),".22 caliber")</f>
        <v>.22 caliber</v>
      </c>
      <c r="D1441" s="5"/>
    </row>
    <row r="1442" spans="1:4">
      <c r="A1442" s="5" t="str">
        <f ca="1">IFERROR(__xludf.DUMMYFUNCTION("""COMPUTED_VALUE"""),"19981203INERG")</f>
        <v>19981203INERG</v>
      </c>
      <c r="B1442" s="5" t="str">
        <f ca="1">IFERROR(__xludf.DUMMYFUNCTION("""COMPUTED_VALUE"""),"Handgun")</f>
        <v>Handgun</v>
      </c>
      <c r="C1442" s="5" t="str">
        <f ca="1">IFERROR(__xludf.DUMMYFUNCTION("""COMPUTED_VALUE"""),"Unknown")</f>
        <v>Unknown</v>
      </c>
      <c r="D1442" s="5"/>
    </row>
    <row r="1443" spans="1:4">
      <c r="A1443" s="5" t="str">
        <f ca="1">IFERROR(__xludf.DUMMYFUNCTION("""COMPUTED_VALUE"""),"19981130NYHAH")</f>
        <v>19981130NYHAH</v>
      </c>
      <c r="B1443" s="5" t="str">
        <f ca="1">IFERROR(__xludf.DUMMYFUNCTION("""COMPUTED_VALUE"""),"Handgun")</f>
        <v>Handgun</v>
      </c>
      <c r="C1443" s="5" t="str">
        <f ca="1">IFERROR(__xludf.DUMMYFUNCTION("""COMPUTED_VALUE"""),".25 caliber")</f>
        <v>.25 caliber</v>
      </c>
      <c r="D1443" s="5"/>
    </row>
    <row r="1444" spans="1:4">
      <c r="A1444" s="5" t="str">
        <f ca="1">IFERROR(__xludf.DUMMYFUNCTION("""COMPUTED_VALUE"""),"19981103PAMAP")</f>
        <v>19981103PAMAP</v>
      </c>
      <c r="B1444" s="5" t="str">
        <f ca="1">IFERROR(__xludf.DUMMYFUNCTION("""COMPUTED_VALUE"""),"Rifle")</f>
        <v>Rifle</v>
      </c>
      <c r="C1444" s="5" t="str">
        <f ca="1">IFERROR(__xludf.DUMMYFUNCTION("""COMPUTED_VALUE"""),"Unknown")</f>
        <v>Unknown</v>
      </c>
      <c r="D1444" s="5"/>
    </row>
    <row r="1445" spans="1:4">
      <c r="A1445" s="5" t="str">
        <f ca="1">IFERROR(__xludf.DUMMYFUNCTION("""COMPUTED_VALUE"""),"19980930FLNOM")</f>
        <v>19980930FLNOM</v>
      </c>
      <c r="B1445" s="5" t="str">
        <f ca="1">IFERROR(__xludf.DUMMYFUNCTION("""COMPUTED_VALUE"""),"No Data")</f>
        <v>No Data</v>
      </c>
      <c r="C1445" s="5"/>
      <c r="D1445" s="5"/>
    </row>
    <row r="1446" spans="1:4">
      <c r="A1446" s="5" t="str">
        <f ca="1">IFERROR(__xludf.DUMMYFUNCTION("""COMPUTED_VALUE"""),"19980930FLLEL")</f>
        <v>19980930FLLEL</v>
      </c>
      <c r="B1446" s="5" t="str">
        <f ca="1">IFERROR(__xludf.DUMMYFUNCTION("""COMPUTED_VALUE"""),"Handgun")</f>
        <v>Handgun</v>
      </c>
      <c r="C1446" s="5" t="str">
        <f ca="1">IFERROR(__xludf.DUMMYFUNCTION("""COMPUTED_VALUE"""),"Unknown")</f>
        <v>Unknown</v>
      </c>
      <c r="D1446" s="5"/>
    </row>
    <row r="1447" spans="1:4">
      <c r="A1447" s="5" t="str">
        <f ca="1">IFERROR(__xludf.DUMMYFUNCTION("""COMPUTED_VALUE"""),"19980911CAHEG")</f>
        <v>19980911CAHEG</v>
      </c>
      <c r="B1447" s="5" t="str">
        <f ca="1">IFERROR(__xludf.DUMMYFUNCTION("""COMPUTED_VALUE"""),"No Data")</f>
        <v>No Data</v>
      </c>
      <c r="C1447" s="5"/>
      <c r="D1447" s="5"/>
    </row>
    <row r="1448" spans="1:4">
      <c r="A1448" s="5" t="str">
        <f ca="1">IFERROR(__xludf.DUMMYFUNCTION("""COMPUTED_VALUE"""),"19980615VAARR")</f>
        <v>19980615VAARR</v>
      </c>
      <c r="B1448" s="5" t="str">
        <f ca="1">IFERROR(__xludf.DUMMYFUNCTION("""COMPUTED_VALUE"""),"Handgun")</f>
        <v>Handgun</v>
      </c>
      <c r="C1448" s="5" t="str">
        <f ca="1">IFERROR(__xludf.DUMMYFUNCTION("""COMPUTED_VALUE"""),".32 caliber")</f>
        <v>.32 caliber</v>
      </c>
      <c r="D1448" s="5"/>
    </row>
    <row r="1449" spans="1:4">
      <c r="A1449" s="5" t="str">
        <f ca="1">IFERROR(__xludf.DUMMYFUNCTION("""COMPUTED_VALUE"""),"19980529FLSTF")</f>
        <v>19980529FLSTF</v>
      </c>
      <c r="B1449" s="5" t="str">
        <f ca="1">IFERROR(__xludf.DUMMYFUNCTION("""COMPUTED_VALUE"""),"Handgun")</f>
        <v>Handgun</v>
      </c>
      <c r="C1449" s="5" t="str">
        <f ca="1">IFERROR(__xludf.DUMMYFUNCTION("""COMPUTED_VALUE"""),"9mm")</f>
        <v>9mm</v>
      </c>
      <c r="D1449" s="5"/>
    </row>
    <row r="1450" spans="1:4">
      <c r="A1450" s="5" t="str">
        <f ca="1">IFERROR(__xludf.DUMMYFUNCTION("""COMPUTED_VALUE"""),"19980527CAWAP")</f>
        <v>19980527CAWAP</v>
      </c>
      <c r="B1450" s="5" t="str">
        <f ca="1">IFERROR(__xludf.DUMMYFUNCTION("""COMPUTED_VALUE"""),"No Data")</f>
        <v>No Data</v>
      </c>
      <c r="C1450" s="5"/>
      <c r="D1450" s="5"/>
    </row>
    <row r="1451" spans="1:4">
      <c r="A1451" s="5" t="str">
        <f ca="1">IFERROR(__xludf.DUMMYFUNCTION("""COMPUTED_VALUE"""),"19980521WAONO")</f>
        <v>19980521WAONO</v>
      </c>
      <c r="B1451" s="5" t="str">
        <f ca="1">IFERROR(__xludf.DUMMYFUNCTION("""COMPUTED_VALUE"""),"Handgun")</f>
        <v>Handgun</v>
      </c>
      <c r="C1451" s="5" t="str">
        <f ca="1">IFERROR(__xludf.DUMMYFUNCTION("""COMPUTED_VALUE"""),"9mm")</f>
        <v>9mm</v>
      </c>
      <c r="D1451" s="5"/>
    </row>
    <row r="1452" spans="1:4">
      <c r="A1452" s="5" t="str">
        <f ca="1">IFERROR(__xludf.DUMMYFUNCTION("""COMPUTED_VALUE"""),"19980521ORTHS")</f>
        <v>19980521ORTHS</v>
      </c>
      <c r="B1452" s="5" t="str">
        <f ca="1">IFERROR(__xludf.DUMMYFUNCTION("""COMPUTED_VALUE"""),"Handgun")</f>
        <v>Handgun</v>
      </c>
      <c r="C1452" s="5" t="str">
        <f ca="1">IFERROR(__xludf.DUMMYFUNCTION("""COMPUTED_VALUE"""),"9mm")</f>
        <v>9mm</v>
      </c>
      <c r="D1452" s="5"/>
    </row>
    <row r="1453" spans="1:4">
      <c r="A1453" s="5" t="str">
        <f ca="1">IFERROR(__xludf.DUMMYFUNCTION("""COMPUTED_VALUE"""),"19980521ORTHS")</f>
        <v>19980521ORTHS</v>
      </c>
      <c r="B1453" s="5" t="str">
        <f ca="1">IFERROR(__xludf.DUMMYFUNCTION("""COMPUTED_VALUE"""),"Handgun")</f>
        <v>Handgun</v>
      </c>
      <c r="C1453" s="5" t="str">
        <f ca="1">IFERROR(__xludf.DUMMYFUNCTION("""COMPUTED_VALUE"""),".22 caliber")</f>
        <v>.22 caliber</v>
      </c>
      <c r="D1453" s="5"/>
    </row>
    <row r="1454" spans="1:4">
      <c r="A1454" s="5" t="str">
        <f ca="1">IFERROR(__xludf.DUMMYFUNCTION("""COMPUTED_VALUE"""),"19980521ORTHS")</f>
        <v>19980521ORTHS</v>
      </c>
      <c r="B1454" s="5" t="str">
        <f ca="1">IFERROR(__xludf.DUMMYFUNCTION("""COMPUTED_VALUE"""),"Rifle")</f>
        <v>Rifle</v>
      </c>
      <c r="C1454" s="5" t="str">
        <f ca="1">IFERROR(__xludf.DUMMYFUNCTION("""COMPUTED_VALUE"""),".22 caliber")</f>
        <v>.22 caliber</v>
      </c>
      <c r="D1454" s="5"/>
    </row>
    <row r="1455" spans="1:4">
      <c r="A1455" s="5" t="str">
        <f ca="1">IFERROR(__xludf.DUMMYFUNCTION("""COMPUTED_VALUE"""),"19980521CARIR")</f>
        <v>19980521CARIR</v>
      </c>
      <c r="B1455" s="5" t="str">
        <f ca="1">IFERROR(__xludf.DUMMYFUNCTION("""COMPUTED_VALUE"""),"Handgun")</f>
        <v>Handgun</v>
      </c>
      <c r="C1455" s="5" t="str">
        <f ca="1">IFERROR(__xludf.DUMMYFUNCTION("""COMPUTED_VALUE"""),".38 caliber")</f>
        <v>.38 caliber</v>
      </c>
      <c r="D1455" s="5"/>
    </row>
    <row r="1456" spans="1:4">
      <c r="A1456" s="5" t="str">
        <f ca="1">IFERROR(__xludf.DUMMYFUNCTION("""COMPUTED_VALUE"""),"19980519TNLIF")</f>
        <v>19980519TNLIF</v>
      </c>
      <c r="B1456" s="5" t="str">
        <f ca="1">IFERROR(__xludf.DUMMYFUNCTION("""COMPUTED_VALUE"""),"Rifle")</f>
        <v>Rifle</v>
      </c>
      <c r="C1456" s="5" t="str">
        <f ca="1">IFERROR(__xludf.DUMMYFUNCTION("""COMPUTED_VALUE"""),".22 caliber")</f>
        <v>.22 caliber</v>
      </c>
      <c r="D1456" s="5"/>
    </row>
    <row r="1457" spans="1:4">
      <c r="A1457" s="5" t="str">
        <f ca="1">IFERROR(__xludf.DUMMYFUNCTION("""COMPUTED_VALUE"""),"19980501NYPUB")</f>
        <v>19980501NYPUB</v>
      </c>
      <c r="B1457" s="5" t="str">
        <f ca="1">IFERROR(__xludf.DUMMYFUNCTION("""COMPUTED_VALUE"""),"Handgun")</f>
        <v>Handgun</v>
      </c>
      <c r="C1457" s="5" t="str">
        <f ca="1">IFERROR(__xludf.DUMMYFUNCTION("""COMPUTED_VALUE"""),".357 caliber")</f>
        <v>.357 caliber</v>
      </c>
      <c r="D1457" s="5"/>
    </row>
    <row r="1458" spans="1:4">
      <c r="A1458" s="5" t="str">
        <f ca="1">IFERROR(__xludf.DUMMYFUNCTION("""COMPUTED_VALUE"""),"19980501FLNOM")</f>
        <v>19980501FLNOM</v>
      </c>
      <c r="B1458" s="5" t="str">
        <f ca="1">IFERROR(__xludf.DUMMYFUNCTION("""COMPUTED_VALUE"""),"No Data")</f>
        <v>No Data</v>
      </c>
      <c r="C1458" s="5"/>
      <c r="D1458" s="5"/>
    </row>
    <row r="1459" spans="1:4">
      <c r="A1459" s="5" t="str">
        <f ca="1">IFERROR(__xludf.DUMMYFUNCTION("""COMPUTED_VALUE"""),"19980428WIPAP")</f>
        <v>19980428WIPAP</v>
      </c>
      <c r="B1459" s="5" t="str">
        <f ca="1">IFERROR(__xludf.DUMMYFUNCTION("""COMPUTED_VALUE"""),"Handgun")</f>
        <v>Handgun</v>
      </c>
      <c r="C1459" s="5" t="str">
        <f ca="1">IFERROR(__xludf.DUMMYFUNCTION("""COMPUTED_VALUE"""),".22 caliber")</f>
        <v>.22 caliber</v>
      </c>
      <c r="D1459" s="5"/>
    </row>
    <row r="1460" spans="1:4">
      <c r="A1460" s="5" t="str">
        <f ca="1">IFERROR(__xludf.DUMMYFUNCTION("""COMPUTED_VALUE"""),"19980428CAPHP")</f>
        <v>19980428CAPHP</v>
      </c>
      <c r="B1460" s="5" t="str">
        <f ca="1">IFERROR(__xludf.DUMMYFUNCTION("""COMPUTED_VALUE"""),"Handgun")</f>
        <v>Handgun</v>
      </c>
      <c r="C1460" s="5" t="str">
        <f ca="1">IFERROR(__xludf.DUMMYFUNCTION("""COMPUTED_VALUE"""),"Unknown")</f>
        <v>Unknown</v>
      </c>
      <c r="D1460" s="5"/>
    </row>
    <row r="1461" spans="1:4">
      <c r="A1461" s="5" t="str">
        <f ca="1">IFERROR(__xludf.DUMMYFUNCTION("""COMPUTED_VALUE"""),"19980424PAPAE")</f>
        <v>19980424PAPAE</v>
      </c>
      <c r="B1461" s="5" t="str">
        <f ca="1">IFERROR(__xludf.DUMMYFUNCTION("""COMPUTED_VALUE"""),"Handgun")</f>
        <v>Handgun</v>
      </c>
      <c r="C1461" s="5" t="str">
        <f ca="1">IFERROR(__xludf.DUMMYFUNCTION("""COMPUTED_VALUE"""),".25 caliber")</f>
        <v>.25 caliber</v>
      </c>
      <c r="D1461" s="5"/>
    </row>
    <row r="1462" spans="1:4">
      <c r="A1462" s="5" t="str">
        <f ca="1">IFERROR(__xludf.DUMMYFUNCTION("""COMPUTED_VALUE"""),"19980423CACUL")</f>
        <v>19980423CACUL</v>
      </c>
      <c r="B1462" s="5" t="str">
        <f ca="1">IFERROR(__xludf.DUMMYFUNCTION("""COMPUTED_VALUE"""),"No Data")</f>
        <v>No Data</v>
      </c>
      <c r="C1462" s="5"/>
      <c r="D1462" s="5"/>
    </row>
    <row r="1463" spans="1:4">
      <c r="A1463" s="5" t="str">
        <f ca="1">IFERROR(__xludf.DUMMYFUNCTION("""COMPUTED_VALUE"""),"19980331WIOAO")</f>
        <v>19980331WIOAO</v>
      </c>
      <c r="B1463" s="5" t="str">
        <f ca="1">IFERROR(__xludf.DUMMYFUNCTION("""COMPUTED_VALUE"""),"Rifle")</f>
        <v>Rifle</v>
      </c>
      <c r="C1463" s="5" t="str">
        <f ca="1">IFERROR(__xludf.DUMMYFUNCTION("""COMPUTED_VALUE"""),"Unknown")</f>
        <v>Unknown</v>
      </c>
      <c r="D1463" s="5"/>
    </row>
    <row r="1464" spans="1:4">
      <c r="A1464" s="5" t="str">
        <f ca="1">IFERROR(__xludf.DUMMYFUNCTION("""COMPUTED_VALUE"""),"19980330NCGRC")</f>
        <v>19980330NCGRC</v>
      </c>
      <c r="B1464" s="5" t="str">
        <f ca="1">IFERROR(__xludf.DUMMYFUNCTION("""COMPUTED_VALUE"""),"Handgun")</f>
        <v>Handgun</v>
      </c>
      <c r="C1464" s="5" t="str">
        <f ca="1">IFERROR(__xludf.DUMMYFUNCTION("""COMPUTED_VALUE"""),"Unknown")</f>
        <v>Unknown</v>
      </c>
      <c r="D1464" s="5"/>
    </row>
    <row r="1465" spans="1:4">
      <c r="A1465" s="5" t="str">
        <f ca="1">IFERROR(__xludf.DUMMYFUNCTION("""COMPUTED_VALUE"""),"19980325MICOC")</f>
        <v>19980325MICOC</v>
      </c>
      <c r="B1465" s="5" t="str">
        <f ca="1">IFERROR(__xludf.DUMMYFUNCTION("""COMPUTED_VALUE"""),"Shotgun")</f>
        <v>Shotgun</v>
      </c>
      <c r="C1465" s="5" t="str">
        <f ca="1">IFERROR(__xludf.DUMMYFUNCTION("""COMPUTED_VALUE"""),"12 gauge")</f>
        <v>12 gauge</v>
      </c>
      <c r="D1465" s="5"/>
    </row>
    <row r="1466" spans="1:4">
      <c r="A1466" s="5" t="str">
        <f ca="1">IFERROR(__xludf.DUMMYFUNCTION("""COMPUTED_VALUE"""),"19980325CAFED")</f>
        <v>19980325CAFED</v>
      </c>
      <c r="B1466" s="5" t="str">
        <f ca="1">IFERROR(__xludf.DUMMYFUNCTION("""COMPUTED_VALUE"""),"Handgun")</f>
        <v>Handgun</v>
      </c>
      <c r="C1466" s="5" t="str">
        <f ca="1">IFERROR(__xludf.DUMMYFUNCTION("""COMPUTED_VALUE"""),".22 caliber")</f>
        <v>.22 caliber</v>
      </c>
      <c r="D1466" s="5"/>
    </row>
    <row r="1467" spans="1:4">
      <c r="A1467" s="5" t="str">
        <f ca="1">IFERROR(__xludf.DUMMYFUNCTION("""COMPUTED_VALUE"""),"19980324ARWEJ")</f>
        <v>19980324ARWEJ</v>
      </c>
      <c r="B1467" s="5" t="str">
        <f ca="1">IFERROR(__xludf.DUMMYFUNCTION("""COMPUTED_VALUE"""),"Multiple Unknown")</f>
        <v>Multiple Unknown</v>
      </c>
      <c r="C1467" s="5" t="str">
        <f ca="1">IFERROR(__xludf.DUMMYFUNCTION("""COMPUTED_VALUE"""),"Unknown")</f>
        <v>Unknown</v>
      </c>
      <c r="D1467" s="5"/>
    </row>
    <row r="1468" spans="1:4">
      <c r="A1468" s="5" t="str">
        <f ca="1">IFERROR(__xludf.DUMMYFUNCTION("""COMPUTED_VALUE"""),"19980227VAMAF")</f>
        <v>19980227VAMAF</v>
      </c>
      <c r="B1468" s="5" t="str">
        <f ca="1">IFERROR(__xludf.DUMMYFUNCTION("""COMPUTED_VALUE"""),"Rifle")</f>
        <v>Rifle</v>
      </c>
      <c r="C1468" s="5" t="str">
        <f ca="1">IFERROR(__xludf.DUMMYFUNCTION("""COMPUTED_VALUE"""),".22 caliber")</f>
        <v>.22 caliber</v>
      </c>
      <c r="D1468" s="5"/>
    </row>
    <row r="1469" spans="1:4">
      <c r="A1469" s="5" t="str">
        <f ca="1">IFERROR(__xludf.DUMMYFUNCTION("""COMPUTED_VALUE"""),"19980225MIRER")</f>
        <v>19980225MIRER</v>
      </c>
      <c r="B1469" s="5" t="str">
        <f ca="1">IFERROR(__xludf.DUMMYFUNCTION("""COMPUTED_VALUE"""),"Rifle")</f>
        <v>Rifle</v>
      </c>
      <c r="C1469" s="5" t="str">
        <f ca="1">IFERROR(__xludf.DUMMYFUNCTION("""COMPUTED_VALUE"""),".22 caliber")</f>
        <v>.22 caliber</v>
      </c>
      <c r="D1469" s="5"/>
    </row>
    <row r="1470" spans="1:4">
      <c r="A1470" s="5" t="str">
        <f ca="1">IFERROR(__xludf.DUMMYFUNCTION("""COMPUTED_VALUE"""),"19980212NJHOH")</f>
        <v>19980212NJHOH</v>
      </c>
      <c r="B1470" s="5" t="str">
        <f ca="1">IFERROR(__xludf.DUMMYFUNCTION("""COMPUTED_VALUE"""),"Handgun")</f>
        <v>Handgun</v>
      </c>
      <c r="C1470" s="5" t="str">
        <f ca="1">IFERROR(__xludf.DUMMYFUNCTION("""COMPUTED_VALUE"""),".38 caliber")</f>
        <v>.38 caliber</v>
      </c>
      <c r="D1470" s="5"/>
    </row>
    <row r="1471" spans="1:4">
      <c r="A1471" s="5" t="str">
        <f ca="1">IFERROR(__xludf.DUMMYFUNCTION("""COMPUTED_VALUE"""),"19971215ARSTS")</f>
        <v>19971215ARSTS</v>
      </c>
      <c r="B1471" s="5" t="str">
        <f ca="1">IFERROR(__xludf.DUMMYFUNCTION("""COMPUTED_VALUE"""),"Rifle")</f>
        <v>Rifle</v>
      </c>
      <c r="C1471" s="5" t="str">
        <f ca="1">IFERROR(__xludf.DUMMYFUNCTION("""COMPUTED_VALUE"""),".22 caliber")</f>
        <v>.22 caliber</v>
      </c>
      <c r="D1471" s="5"/>
    </row>
    <row r="1472" spans="1:4">
      <c r="A1472" s="5" t="str">
        <f ca="1">IFERROR(__xludf.DUMMYFUNCTION("""COMPUTED_VALUE"""),"19971201KYHEW")</f>
        <v>19971201KYHEW</v>
      </c>
      <c r="B1472" s="5" t="str">
        <f ca="1">IFERROR(__xludf.DUMMYFUNCTION("""COMPUTED_VALUE"""),"Multiple Unknown")</f>
        <v>Multiple Unknown</v>
      </c>
      <c r="C1472" s="5" t="str">
        <f ca="1">IFERROR(__xludf.DUMMYFUNCTION("""COMPUTED_VALUE"""),".22 caliber")</f>
        <v>.22 caliber</v>
      </c>
      <c r="D1472" s="5" t="str">
        <f ca="1">IFERROR(__xludf.DUMMYFUNCTION("""COMPUTED_VALUE"""),"5 firearms from neighbor, 2 shotguns from father")</f>
        <v>5 firearms from neighbor, 2 shotguns from father</v>
      </c>
    </row>
    <row r="1473" spans="1:4">
      <c r="A1473" s="5" t="str">
        <f ca="1">IFERROR(__xludf.DUMMYFUNCTION("""COMPUTED_VALUE"""),"19971201KYHEW")</f>
        <v>19971201KYHEW</v>
      </c>
      <c r="B1473" s="5" t="str">
        <f ca="1">IFERROR(__xludf.DUMMYFUNCTION("""COMPUTED_VALUE"""),"Shotgun")</f>
        <v>Shotgun</v>
      </c>
      <c r="C1473" s="5" t="str">
        <f ca="1">IFERROR(__xludf.DUMMYFUNCTION("""COMPUTED_VALUE"""),"Unknown")</f>
        <v>Unknown</v>
      </c>
      <c r="D1473" s="5" t="str">
        <f ca="1">IFERROR(__xludf.DUMMYFUNCTION("""COMPUTED_VALUE"""),"5 firearms from neighbor, 2 shotguns from father")</f>
        <v>5 firearms from neighbor, 2 shotguns from father</v>
      </c>
    </row>
    <row r="1474" spans="1:4">
      <c r="A1474" s="5" t="str">
        <f ca="1">IFERROR(__xludf.DUMMYFUNCTION("""COMPUTED_VALUE"""),"19971201KYHEW")</f>
        <v>19971201KYHEW</v>
      </c>
      <c r="B1474" s="5" t="str">
        <f ca="1">IFERROR(__xludf.DUMMYFUNCTION("""COMPUTED_VALUE"""),"Shotgun")</f>
        <v>Shotgun</v>
      </c>
      <c r="C1474" s="5" t="str">
        <f ca="1">IFERROR(__xludf.DUMMYFUNCTION("""COMPUTED_VALUE"""),"Unknown")</f>
        <v>Unknown</v>
      </c>
      <c r="D1474" s="5" t="str">
        <f ca="1">IFERROR(__xludf.DUMMYFUNCTION("""COMPUTED_VALUE"""),"5 firearms from neighbor, 2 shotguns from father")</f>
        <v>5 firearms from neighbor, 2 shotguns from father</v>
      </c>
    </row>
    <row r="1475" spans="1:4">
      <c r="A1475" s="5" t="str">
        <f ca="1">IFERROR(__xludf.DUMMYFUNCTION("""COMPUTED_VALUE"""),"19971113CACRS")</f>
        <v>19971113CACRS</v>
      </c>
      <c r="B1475" s="5" t="str">
        <f ca="1">IFERROR(__xludf.DUMMYFUNCTION("""COMPUTED_VALUE"""),"Handgun")</f>
        <v>Handgun</v>
      </c>
      <c r="C1475" s="5" t="str">
        <f ca="1">IFERROR(__xludf.DUMMYFUNCTION("""COMPUTED_VALUE"""),"Unknown")</f>
        <v>Unknown</v>
      </c>
      <c r="D1475" s="5"/>
    </row>
    <row r="1476" spans="1:4">
      <c r="A1476" s="5" t="str">
        <f ca="1">IFERROR(__xludf.DUMMYFUNCTION("""COMPUTED_VALUE"""),"19971107FLRIJ")</f>
        <v>19971107FLRIJ</v>
      </c>
      <c r="B1476" s="5" t="str">
        <f ca="1">IFERROR(__xludf.DUMMYFUNCTION("""COMPUTED_VALUE"""),"Handgun")</f>
        <v>Handgun</v>
      </c>
      <c r="C1476" s="5" t="str">
        <f ca="1">IFERROR(__xludf.DUMMYFUNCTION("""COMPUTED_VALUE"""),"Unknown")</f>
        <v>Unknown</v>
      </c>
      <c r="D1476" s="5"/>
    </row>
    <row r="1477" spans="1:4">
      <c r="A1477" s="5" t="str">
        <f ca="1">IFERROR(__xludf.DUMMYFUNCTION("""COMPUTED_VALUE"""),"19971022CAJON")</f>
        <v>19971022CAJON</v>
      </c>
      <c r="B1477" s="5" t="str">
        <f ca="1">IFERROR(__xludf.DUMMYFUNCTION("""COMPUTED_VALUE"""),"Handgun")</f>
        <v>Handgun</v>
      </c>
      <c r="C1477" s="5" t="str">
        <f ca="1">IFERROR(__xludf.DUMMYFUNCTION("""COMPUTED_VALUE"""),"9mm")</f>
        <v>9mm</v>
      </c>
      <c r="D1477" s="5"/>
    </row>
    <row r="1478" spans="1:4">
      <c r="A1478" s="5" t="str">
        <f ca="1">IFERROR(__xludf.DUMMYFUNCTION("""COMPUTED_VALUE"""),"19971020CAMCO")</f>
        <v>19971020CAMCO</v>
      </c>
      <c r="B1478" s="5" t="str">
        <f ca="1">IFERROR(__xludf.DUMMYFUNCTION("""COMPUTED_VALUE"""),"No Data")</f>
        <v>No Data</v>
      </c>
      <c r="C1478" s="5"/>
      <c r="D1478" s="5"/>
    </row>
    <row r="1479" spans="1:4">
      <c r="A1479" s="5" t="str">
        <f ca="1">IFERROR(__xludf.DUMMYFUNCTION("""COMPUTED_VALUE"""),"19971015FLLIP")</f>
        <v>19971015FLLIP</v>
      </c>
      <c r="B1479" s="5" t="str">
        <f ca="1">IFERROR(__xludf.DUMMYFUNCTION("""COMPUTED_VALUE"""),"Shotgun")</f>
        <v>Shotgun</v>
      </c>
      <c r="C1479" s="5" t="str">
        <f ca="1">IFERROR(__xludf.DUMMYFUNCTION("""COMPUTED_VALUE"""),".38 caliber")</f>
        <v>.38 caliber</v>
      </c>
      <c r="D1479" s="5"/>
    </row>
    <row r="1480" spans="1:4">
      <c r="A1480" s="5" t="str">
        <f ca="1">IFERROR(__xludf.DUMMYFUNCTION("""COMPUTED_VALUE"""),"19971014TXLAG")</f>
        <v>19971014TXLAG</v>
      </c>
      <c r="B1480" s="5" t="str">
        <f ca="1">IFERROR(__xludf.DUMMYFUNCTION("""COMPUTED_VALUE"""),"Handgun")</f>
        <v>Handgun</v>
      </c>
      <c r="C1480" s="5" t="str">
        <f ca="1">IFERROR(__xludf.DUMMYFUNCTION("""COMPUTED_VALUE"""),"Unknown")</f>
        <v>Unknown</v>
      </c>
      <c r="D1480" s="5"/>
    </row>
    <row r="1481" spans="1:4">
      <c r="A1481" s="5" t="str">
        <f ca="1">IFERROR(__xludf.DUMMYFUNCTION("""COMPUTED_VALUE"""),"19971010INWAG")</f>
        <v>19971010INWAG</v>
      </c>
      <c r="B1481" s="5" t="str">
        <f ca="1">IFERROR(__xludf.DUMMYFUNCTION("""COMPUTED_VALUE"""),"Handgun")</f>
        <v>Handgun</v>
      </c>
      <c r="C1481" s="5" t="str">
        <f ca="1">IFERROR(__xludf.DUMMYFUNCTION("""COMPUTED_VALUE"""),"Unknown")</f>
        <v>Unknown</v>
      </c>
      <c r="D1481" s="5"/>
    </row>
    <row r="1482" spans="1:4">
      <c r="A1482" s="5" t="str">
        <f ca="1">IFERROR(__xludf.DUMMYFUNCTION("""COMPUTED_VALUE"""),"19971005OKMOO")</f>
        <v>19971005OKMOO</v>
      </c>
      <c r="B1482" s="5" t="str">
        <f ca="1">IFERROR(__xludf.DUMMYFUNCTION("""COMPUTED_VALUE"""),"Handgun")</f>
        <v>Handgun</v>
      </c>
      <c r="C1482" s="5" t="str">
        <f ca="1">IFERROR(__xludf.DUMMYFUNCTION("""COMPUTED_VALUE"""),"9mm")</f>
        <v>9mm</v>
      </c>
      <c r="D1482" s="5"/>
    </row>
    <row r="1483" spans="1:4">
      <c r="A1483" s="5" t="str">
        <f ca="1">IFERROR(__xludf.DUMMYFUNCTION("""COMPUTED_VALUE"""),"19971001MSPEP")</f>
        <v>19971001MSPEP</v>
      </c>
      <c r="B1483" s="5" t="str">
        <f ca="1">IFERROR(__xludf.DUMMYFUNCTION("""COMPUTED_VALUE"""),"Rifle")</f>
        <v>Rifle</v>
      </c>
      <c r="C1483" s="5" t="str">
        <f ca="1">IFERROR(__xludf.DUMMYFUNCTION("""COMPUTED_VALUE"""),".30-30")</f>
        <v>.30-30</v>
      </c>
      <c r="D1483" s="5"/>
    </row>
    <row r="1484" spans="1:4">
      <c r="A1484" s="5" t="str">
        <f ca="1">IFERROR(__xludf.DUMMYFUNCTION("""COMPUTED_VALUE"""),"19970624ALJEM")</f>
        <v>19970624ALJEM</v>
      </c>
      <c r="B1484" s="5" t="str">
        <f ca="1">IFERROR(__xludf.DUMMYFUNCTION("""COMPUTED_VALUE"""),"Handgun")</f>
        <v>Handgun</v>
      </c>
      <c r="C1484" s="5" t="str">
        <f ca="1">IFERROR(__xludf.DUMMYFUNCTION("""COMPUTED_VALUE"""),".38 caliber")</f>
        <v>.38 caliber</v>
      </c>
      <c r="D1484" s="5"/>
    </row>
    <row r="1485" spans="1:4">
      <c r="A1485" s="5" t="str">
        <f ca="1">IFERROR(__xludf.DUMMYFUNCTION("""COMPUTED_VALUE"""),"19970520OHDUD")</f>
        <v>19970520OHDUD</v>
      </c>
      <c r="B1485" s="5" t="str">
        <f ca="1">IFERROR(__xludf.DUMMYFUNCTION("""COMPUTED_VALUE"""),"Handgun")</f>
        <v>Handgun</v>
      </c>
      <c r="C1485" s="5" t="str">
        <f ca="1">IFERROR(__xludf.DUMMYFUNCTION("""COMPUTED_VALUE"""),".38 caliber")</f>
        <v>.38 caliber</v>
      </c>
      <c r="D1485" s="5"/>
    </row>
    <row r="1486" spans="1:4">
      <c r="A1486" s="5" t="str">
        <f ca="1">IFERROR(__xludf.DUMMYFUNCTION("""COMPUTED_VALUE"""),"19970513FLNOM")</f>
        <v>19970513FLNOM</v>
      </c>
      <c r="B1486" s="5" t="str">
        <f ca="1">IFERROR(__xludf.DUMMYFUNCTION("""COMPUTED_VALUE"""),"Handgun")</f>
        <v>Handgun</v>
      </c>
      <c r="C1486" s="5" t="str">
        <f ca="1">IFERROR(__xludf.DUMMYFUNCTION("""COMPUTED_VALUE"""),".38 caliber")</f>
        <v>.38 caliber</v>
      </c>
      <c r="D1486" s="5"/>
    </row>
    <row r="1487" spans="1:4">
      <c r="A1487" s="5" t="str">
        <f ca="1">IFERROR(__xludf.DUMMYFUNCTION("""COMPUTED_VALUE"""),"19970430NYCIN")</f>
        <v>19970430NYCIN</v>
      </c>
      <c r="B1487" s="5" t="str">
        <f ca="1">IFERROR(__xludf.DUMMYFUNCTION("""COMPUTED_VALUE"""),"No Data")</f>
        <v>No Data</v>
      </c>
      <c r="C1487" s="5"/>
      <c r="D1487" s="5"/>
    </row>
    <row r="1488" spans="1:4">
      <c r="A1488" s="5" t="str">
        <f ca="1">IFERROR(__xludf.DUMMYFUNCTION("""COMPUTED_VALUE"""),"19970428CAJOL")</f>
        <v>19970428CAJOL</v>
      </c>
      <c r="B1488" s="5" t="str">
        <f ca="1">IFERROR(__xludf.DUMMYFUNCTION("""COMPUTED_VALUE"""),"Handgun")</f>
        <v>Handgun</v>
      </c>
      <c r="C1488" s="5" t="str">
        <f ca="1">IFERROR(__xludf.DUMMYFUNCTION("""COMPUTED_VALUE"""),"Unknown")</f>
        <v>Unknown</v>
      </c>
      <c r="D1488" s="5"/>
    </row>
    <row r="1489" spans="1:4">
      <c r="A1489" s="5" t="str">
        <f ca="1">IFERROR(__xludf.DUMMYFUNCTION("""COMPUTED_VALUE"""),"19970403CAMAM")</f>
        <v>19970403CAMAM</v>
      </c>
      <c r="B1489" s="5" t="str">
        <f ca="1">IFERROR(__xludf.DUMMYFUNCTION("""COMPUTED_VALUE"""),"No Data")</f>
        <v>No Data</v>
      </c>
      <c r="C1489" s="5"/>
      <c r="D1489" s="5"/>
    </row>
    <row r="1490" spans="1:4">
      <c r="A1490" s="5" t="str">
        <f ca="1">IFERROR(__xludf.DUMMYFUNCTION("""COMPUTED_VALUE"""),"19970317MIPED")</f>
        <v>19970317MIPED</v>
      </c>
      <c r="B1490" s="5" t="str">
        <f ca="1">IFERROR(__xludf.DUMMYFUNCTION("""COMPUTED_VALUE"""),"Handgun")</f>
        <v>Handgun</v>
      </c>
      <c r="C1490" s="5" t="str">
        <f ca="1">IFERROR(__xludf.DUMMYFUNCTION("""COMPUTED_VALUE"""),"Unknown")</f>
        <v>Unknown</v>
      </c>
      <c r="D1490" s="5"/>
    </row>
    <row r="1491" spans="1:4">
      <c r="A1491" s="5" t="str">
        <f ca="1">IFERROR(__xludf.DUMMYFUNCTION("""COMPUTED_VALUE"""),"19970221NVRAL")</f>
        <v>19970221NVRAL</v>
      </c>
      <c r="B1491" s="5" t="str">
        <f ca="1">IFERROR(__xludf.DUMMYFUNCTION("""COMPUTED_VALUE"""),"Handgun")</f>
        <v>Handgun</v>
      </c>
      <c r="C1491" s="5" t="str">
        <f ca="1">IFERROR(__xludf.DUMMYFUNCTION("""COMPUTED_VALUE"""),"9mm")</f>
        <v>9mm</v>
      </c>
      <c r="D1491" s="5"/>
    </row>
    <row r="1492" spans="1:4">
      <c r="A1492" s="5" t="str">
        <f ca="1">IFERROR(__xludf.DUMMYFUNCTION("""COMPUTED_VALUE"""),"19970220FLFIJ")</f>
        <v>19970220FLFIJ</v>
      </c>
      <c r="B1492" s="5" t="str">
        <f ca="1">IFERROR(__xludf.DUMMYFUNCTION("""COMPUTED_VALUE"""),"Handgun")</f>
        <v>Handgun</v>
      </c>
      <c r="C1492" s="5" t="str">
        <f ca="1">IFERROR(__xludf.DUMMYFUNCTION("""COMPUTED_VALUE"""),"Unknown")</f>
        <v>Unknown</v>
      </c>
      <c r="D1492" s="5"/>
    </row>
    <row r="1493" spans="1:4">
      <c r="A1493" s="5" t="str">
        <f ca="1">IFERROR(__xludf.DUMMYFUNCTION("""COMPUTED_VALUE"""),"19970219AKBEB")</f>
        <v>19970219AKBEB</v>
      </c>
      <c r="B1493" s="5" t="str">
        <f ca="1">IFERROR(__xludf.DUMMYFUNCTION("""COMPUTED_VALUE"""),"Shotgun")</f>
        <v>Shotgun</v>
      </c>
      <c r="C1493" s="5" t="str">
        <f ca="1">IFERROR(__xludf.DUMMYFUNCTION("""COMPUTED_VALUE"""),"12 gauge")</f>
        <v>12 gauge</v>
      </c>
      <c r="D1493" s="5"/>
    </row>
    <row r="1494" spans="1:4">
      <c r="A1494" s="5" t="str">
        <f ca="1">IFERROR(__xludf.DUMMYFUNCTION("""COMPUTED_VALUE"""),"19970213NYSAB")</f>
        <v>19970213NYSAB</v>
      </c>
      <c r="B1494" s="5" t="str">
        <f ca="1">IFERROR(__xludf.DUMMYFUNCTION("""COMPUTED_VALUE"""),"Handgun")</f>
        <v>Handgun</v>
      </c>
      <c r="C1494" s="5" t="str">
        <f ca="1">IFERROR(__xludf.DUMMYFUNCTION("""COMPUTED_VALUE"""),"Unknown")</f>
        <v>Unknown</v>
      </c>
      <c r="D1494" s="5"/>
    </row>
    <row r="1495" spans="1:4">
      <c r="A1495" s="5" t="str">
        <f ca="1">IFERROR(__xludf.DUMMYFUNCTION("""COMPUTED_VALUE"""),"19970213NYMOB")</f>
        <v>19970213NYMOB</v>
      </c>
      <c r="B1495" s="5" t="str">
        <f ca="1">IFERROR(__xludf.DUMMYFUNCTION("""COMPUTED_VALUE"""),"Handgun")</f>
        <v>Handgun</v>
      </c>
      <c r="C1495" s="5" t="str">
        <f ca="1">IFERROR(__xludf.DUMMYFUNCTION("""COMPUTED_VALUE"""),".25 caliber")</f>
        <v>.25 caliber</v>
      </c>
      <c r="D1495" s="5"/>
    </row>
    <row r="1496" spans="1:4">
      <c r="A1496" s="5" t="str">
        <f ca="1">IFERROR(__xludf.DUMMYFUNCTION("""COMPUTED_VALUE"""),"19970206MSWIJ")</f>
        <v>19970206MSWIJ</v>
      </c>
      <c r="B1496" s="5" t="str">
        <f ca="1">IFERROR(__xludf.DUMMYFUNCTION("""COMPUTED_VALUE"""),"Handgun")</f>
        <v>Handgun</v>
      </c>
      <c r="C1496" s="5" t="str">
        <f ca="1">IFERROR(__xludf.DUMMYFUNCTION("""COMPUTED_VALUE"""),"9mm")</f>
        <v>9mm</v>
      </c>
      <c r="D1496" s="5"/>
    </row>
    <row r="1497" spans="1:4">
      <c r="A1497" s="5" t="str">
        <f ca="1">IFERROR(__xludf.DUMMYFUNCTION("""COMPUTED_VALUE"""),"19970127FLCOW")</f>
        <v>19970127FLCOW</v>
      </c>
      <c r="B1497" s="5" t="str">
        <f ca="1">IFERROR(__xludf.DUMMYFUNCTION("""COMPUTED_VALUE"""),"Handgun")</f>
        <v>Handgun</v>
      </c>
      <c r="C1497" s="5" t="str">
        <f ca="1">IFERROR(__xludf.DUMMYFUNCTION("""COMPUTED_VALUE"""),".38 caliber")</f>
        <v>.38 caliber</v>
      </c>
      <c r="D1497" s="5"/>
    </row>
    <row r="1498" spans="1:4">
      <c r="A1498" s="5" t="str">
        <f ca="1">IFERROR(__xludf.DUMMYFUNCTION("""COMPUTED_VALUE"""),"19970108NYCRN")</f>
        <v>19970108NYCRN</v>
      </c>
      <c r="B1498" s="5" t="str">
        <f ca="1">IFERROR(__xludf.DUMMYFUNCTION("""COMPUTED_VALUE"""),"Handgun")</f>
        <v>Handgun</v>
      </c>
      <c r="C1498" s="5" t="str">
        <f ca="1">IFERROR(__xludf.DUMMYFUNCTION("""COMPUTED_VALUE"""),"Unknown")</f>
        <v>Unknown</v>
      </c>
      <c r="D1498" s="5"/>
    </row>
    <row r="1499" spans="1:4">
      <c r="A1499" s="5" t="str">
        <f ca="1">IFERROR(__xludf.DUMMYFUNCTION("""COMPUTED_VALUE"""),"19961127CAHIS")</f>
        <v>19961127CAHIS</v>
      </c>
      <c r="B1499" s="5" t="str">
        <f ca="1">IFERROR(__xludf.DUMMYFUNCTION("""COMPUTED_VALUE"""),"Handgun")</f>
        <v>Handgun</v>
      </c>
      <c r="C1499" s="5" t="str">
        <f ca="1">IFERROR(__xludf.DUMMYFUNCTION("""COMPUTED_VALUE"""),"Service Weapon")</f>
        <v>Service Weapon</v>
      </c>
      <c r="D1499" s="5"/>
    </row>
    <row r="1500" spans="1:4">
      <c r="A1500" s="5" t="str">
        <f ca="1">IFERROR(__xludf.DUMMYFUNCTION("""COMPUTED_VALUE"""),"19961014MOSUS")</f>
        <v>19961014MOSUS</v>
      </c>
      <c r="B1500" s="5" t="str">
        <f ca="1">IFERROR(__xludf.DUMMYFUNCTION("""COMPUTED_VALUE"""),"No Data")</f>
        <v>No Data</v>
      </c>
      <c r="C1500" s="5"/>
      <c r="D1500" s="5"/>
    </row>
    <row r="1501" spans="1:4">
      <c r="A1501" s="5" t="str">
        <f ca="1">IFERROR(__xludf.DUMMYFUNCTION("""COMPUTED_VALUE"""),"19961009ARJAS")</f>
        <v>19961009ARJAS</v>
      </c>
      <c r="B1501" s="5" t="str">
        <f ca="1">IFERROR(__xludf.DUMMYFUNCTION("""COMPUTED_VALUE"""),"No Data")</f>
        <v>No Data</v>
      </c>
      <c r="C1501" s="5"/>
      <c r="D1501" s="5"/>
    </row>
    <row r="1502" spans="1:4">
      <c r="A1502" s="5" t="str">
        <f ca="1">IFERROR(__xludf.DUMMYFUNCTION("""COMPUTED_VALUE"""),"19961004CASTP")</f>
        <v>19961004CASTP</v>
      </c>
      <c r="B1502" s="5" t="str">
        <f ca="1">IFERROR(__xludf.DUMMYFUNCTION("""COMPUTED_VALUE"""),"No Data")</f>
        <v>No Data</v>
      </c>
      <c r="C1502" s="5"/>
      <c r="D1502" s="5"/>
    </row>
    <row r="1503" spans="1:4">
      <c r="A1503" s="5" t="str">
        <f ca="1">IFERROR(__xludf.DUMMYFUNCTION("""COMPUTED_VALUE"""),"19961002PASMP")</f>
        <v>19961002PASMP</v>
      </c>
      <c r="B1503" s="5" t="str">
        <f ca="1">IFERROR(__xludf.DUMMYFUNCTION("""COMPUTED_VALUE"""),"No Data")</f>
        <v>No Data</v>
      </c>
      <c r="C1503" s="5"/>
      <c r="D1503" s="5"/>
    </row>
    <row r="1504" spans="1:4">
      <c r="A1504" s="5" t="str">
        <f ca="1">IFERROR(__xludf.DUMMYFUNCTION("""COMPUTED_VALUE"""),"19960925GADED")</f>
        <v>19960925GADED</v>
      </c>
      <c r="B1504" s="5" t="str">
        <f ca="1">IFERROR(__xludf.DUMMYFUNCTION("""COMPUTED_VALUE"""),"No Data")</f>
        <v>No Data</v>
      </c>
      <c r="C1504" s="5"/>
      <c r="D1504" s="5"/>
    </row>
    <row r="1505" spans="1:4">
      <c r="A1505" s="5" t="str">
        <f ca="1">IFERROR(__xludf.DUMMYFUNCTION("""COMPUTED_VALUE"""),"19960726CAJOL")</f>
        <v>19960726CAJOL</v>
      </c>
      <c r="B1505" s="5" t="str">
        <f ca="1">IFERROR(__xludf.DUMMYFUNCTION("""COMPUTED_VALUE"""),"Handgun")</f>
        <v>Handgun</v>
      </c>
      <c r="C1505" s="5" t="str">
        <f ca="1">IFERROR(__xludf.DUMMYFUNCTION("""COMPUTED_VALUE"""),"9mm")</f>
        <v>9mm</v>
      </c>
      <c r="D1505" s="5"/>
    </row>
    <row r="1506" spans="1:4">
      <c r="A1506" s="5" t="str">
        <f ca="1">IFERROR(__xludf.DUMMYFUNCTION("""COMPUTED_VALUE"""),"19960604CAWEH")</f>
        <v>19960604CAWEH</v>
      </c>
      <c r="B1506" s="5" t="str">
        <f ca="1">IFERROR(__xludf.DUMMYFUNCTION("""COMPUTED_VALUE"""),"No Data")</f>
        <v>No Data</v>
      </c>
      <c r="C1506" s="5"/>
      <c r="D1506" s="5"/>
    </row>
    <row r="1507" spans="1:4">
      <c r="A1507" s="5" t="str">
        <f ca="1">IFERROR(__xludf.DUMMYFUNCTION("""COMPUTED_VALUE"""),"19960522CACOC")</f>
        <v>19960522CACOC</v>
      </c>
      <c r="B1507" s="5" t="str">
        <f ca="1">IFERROR(__xludf.DUMMYFUNCTION("""COMPUTED_VALUE"""),"Handgun")</f>
        <v>Handgun</v>
      </c>
      <c r="C1507" s="5" t="str">
        <f ca="1">IFERROR(__xludf.DUMMYFUNCTION("""COMPUTED_VALUE"""),"Unknown")</f>
        <v>Unknown</v>
      </c>
      <c r="D1507" s="5"/>
    </row>
    <row r="1508" spans="1:4">
      <c r="A1508" s="5" t="str">
        <f ca="1">IFERROR(__xludf.DUMMYFUNCTION("""COMPUTED_VALUE"""),"19960514UTBIT")</f>
        <v>19960514UTBIT</v>
      </c>
      <c r="B1508" s="5" t="str">
        <f ca="1">IFERROR(__xludf.DUMMYFUNCTION("""COMPUTED_VALUE"""),"Handgun")</f>
        <v>Handgun</v>
      </c>
      <c r="C1508" s="5" t="str">
        <f ca="1">IFERROR(__xludf.DUMMYFUNCTION("""COMPUTED_VALUE"""),".357 caliber")</f>
        <v>.357 caliber</v>
      </c>
      <c r="D1508" s="5"/>
    </row>
    <row r="1509" spans="1:4">
      <c r="A1509" s="5" t="str">
        <f ca="1">IFERROR(__xludf.DUMMYFUNCTION("""COMPUTED_VALUE"""),"19960415DCMCW")</f>
        <v>19960415DCMCW</v>
      </c>
      <c r="B1509" s="5" t="str">
        <f ca="1">IFERROR(__xludf.DUMMYFUNCTION("""COMPUTED_VALUE"""),"No Data")</f>
        <v>No Data</v>
      </c>
      <c r="C1509" s="5"/>
      <c r="D1509" s="5"/>
    </row>
    <row r="1510" spans="1:4">
      <c r="A1510" s="5" t="str">
        <f ca="1">IFERROR(__xludf.DUMMYFUNCTION("""COMPUTED_VALUE"""),"19960411ALTAT")</f>
        <v>19960411ALTAT</v>
      </c>
      <c r="B1510" s="5" t="str">
        <f ca="1">IFERROR(__xludf.DUMMYFUNCTION("""COMPUTED_VALUE"""),"Shotgun")</f>
        <v>Shotgun</v>
      </c>
      <c r="C1510" s="5" t="str">
        <f ca="1">IFERROR(__xludf.DUMMYFUNCTION("""COMPUTED_VALUE"""),"12 gauge")</f>
        <v>12 gauge</v>
      </c>
      <c r="D1510" s="5"/>
    </row>
    <row r="1511" spans="1:4">
      <c r="A1511" s="5" t="str">
        <f ca="1">IFERROR(__xludf.DUMMYFUNCTION("""COMPUTED_VALUE"""),"19960319NVSWL")</f>
        <v>19960319NVSWL</v>
      </c>
      <c r="B1511" s="5" t="str">
        <f ca="1">IFERROR(__xludf.DUMMYFUNCTION("""COMPUTED_VALUE"""),"Other")</f>
        <v>Other</v>
      </c>
      <c r="C1511" s="5" t="str">
        <f ca="1">IFERROR(__xludf.DUMMYFUNCTION("""COMPUTED_VALUE"""),"Pellet")</f>
        <v>Pellet</v>
      </c>
      <c r="D1511" s="5"/>
    </row>
    <row r="1512" spans="1:4">
      <c r="A1512" s="5" t="str">
        <f ca="1">IFERROR(__xludf.DUMMYFUNCTION("""COMPUTED_VALUE"""),"19960311NCNON")</f>
        <v>19960311NCNON</v>
      </c>
      <c r="B1512" s="5" t="str">
        <f ca="1">IFERROR(__xludf.DUMMYFUNCTION("""COMPUTED_VALUE"""),"Handgun")</f>
        <v>Handgun</v>
      </c>
      <c r="C1512" s="5" t="str">
        <f ca="1">IFERROR(__xludf.DUMMYFUNCTION("""COMPUTED_VALUE"""),"9mm")</f>
        <v>9mm</v>
      </c>
      <c r="D1512" s="5"/>
    </row>
    <row r="1513" spans="1:4">
      <c r="A1513" s="5" t="str">
        <f ca="1">IFERROR(__xludf.DUMMYFUNCTION("""COMPUTED_VALUE"""),"19960229MOBES")</f>
        <v>19960229MOBES</v>
      </c>
      <c r="B1513" s="5" t="str">
        <f ca="1">IFERROR(__xludf.DUMMYFUNCTION("""COMPUTED_VALUE"""),"Handgun")</f>
        <v>Handgun</v>
      </c>
      <c r="C1513" s="5" t="str">
        <f ca="1">IFERROR(__xludf.DUMMYFUNCTION("""COMPUTED_VALUE"""),"9mm")</f>
        <v>9mm</v>
      </c>
      <c r="D1513" s="5"/>
    </row>
    <row r="1514" spans="1:4">
      <c r="A1514" s="5" t="str">
        <f ca="1">IFERROR(__xludf.DUMMYFUNCTION("""COMPUTED_VALUE"""),"19960222GAJES")</f>
        <v>19960222GAJES</v>
      </c>
      <c r="B1514" s="5" t="str">
        <f ca="1">IFERROR(__xludf.DUMMYFUNCTION("""COMPUTED_VALUE"""),"Handgun")</f>
        <v>Handgun</v>
      </c>
      <c r="C1514" s="5" t="str">
        <f ca="1">IFERROR(__xludf.DUMMYFUNCTION("""COMPUTED_VALUE"""),".38 caliber")</f>
        <v>.38 caliber</v>
      </c>
      <c r="D1514" s="5"/>
    </row>
    <row r="1515" spans="1:4">
      <c r="A1515" s="5" t="str">
        <f ca="1">IFERROR(__xludf.DUMMYFUNCTION("""COMPUTED_VALUE"""),"19960208CAMIM")</f>
        <v>19960208CAMIM</v>
      </c>
      <c r="B1515" s="5" t="str">
        <f ca="1">IFERROR(__xludf.DUMMYFUNCTION("""COMPUTED_VALUE"""),"Unknown")</f>
        <v>Unknown</v>
      </c>
      <c r="C1515" s="5" t="str">
        <f ca="1">IFERROR(__xludf.DUMMYFUNCTION("""COMPUTED_VALUE"""),".38 caliber")</f>
        <v>.38 caliber</v>
      </c>
      <c r="D1515" s="5"/>
    </row>
    <row r="1516" spans="1:4">
      <c r="A1516" s="5" t="str">
        <f ca="1">IFERROR(__xludf.DUMMYFUNCTION("""COMPUTED_VALUE"""),"19960202WAFRM")</f>
        <v>19960202WAFRM</v>
      </c>
      <c r="B1516" s="5" t="str">
        <f ca="1">IFERROR(__xludf.DUMMYFUNCTION("""COMPUTED_VALUE"""),"Handgun")</f>
        <v>Handgun</v>
      </c>
      <c r="C1516" s="5" t="str">
        <f ca="1">IFERROR(__xludf.DUMMYFUNCTION("""COMPUTED_VALUE"""),"Unknown")</f>
        <v>Unknown</v>
      </c>
      <c r="D1516" s="5" t="str">
        <f ca="1">IFERROR(__xludf.DUMMYFUNCTION("""COMPUTED_VALUE"""),"Rifle and 2 handguns taken from father")</f>
        <v>Rifle and 2 handguns taken from father</v>
      </c>
    </row>
    <row r="1517" spans="1:4">
      <c r="A1517" s="5" t="str">
        <f ca="1">IFERROR(__xludf.DUMMYFUNCTION("""COMPUTED_VALUE"""),"19960202WAFRM")</f>
        <v>19960202WAFRM</v>
      </c>
      <c r="B1517" s="5" t="str">
        <f ca="1">IFERROR(__xludf.DUMMYFUNCTION("""COMPUTED_VALUE"""),"Handgun")</f>
        <v>Handgun</v>
      </c>
      <c r="C1517" s="5" t="str">
        <f ca="1">IFERROR(__xludf.DUMMYFUNCTION("""COMPUTED_VALUE"""),"Unknown")</f>
        <v>Unknown</v>
      </c>
      <c r="D1517" s="5" t="str">
        <f ca="1">IFERROR(__xludf.DUMMYFUNCTION("""COMPUTED_VALUE"""),"Rifle and 2 handguns taken from father")</f>
        <v>Rifle and 2 handguns taken from father</v>
      </c>
    </row>
    <row r="1518" spans="1:4">
      <c r="A1518" s="5" t="str">
        <f ca="1">IFERROR(__xludf.DUMMYFUNCTION("""COMPUTED_VALUE"""),"19960202WAFRM")</f>
        <v>19960202WAFRM</v>
      </c>
      <c r="B1518" s="5" t="str">
        <f ca="1">IFERROR(__xludf.DUMMYFUNCTION("""COMPUTED_VALUE"""),"Rifle")</f>
        <v>Rifle</v>
      </c>
      <c r="C1518" s="5" t="str">
        <f ca="1">IFERROR(__xludf.DUMMYFUNCTION("""COMPUTED_VALUE"""),".30-30")</f>
        <v>.30-30</v>
      </c>
      <c r="D1518" s="5" t="str">
        <f ca="1">IFERROR(__xludf.DUMMYFUNCTION("""COMPUTED_VALUE"""),"Rifle and 2 handguns taken from father")</f>
        <v>Rifle and 2 handguns taken from father</v>
      </c>
    </row>
    <row r="1519" spans="1:4">
      <c r="A1519" s="5" t="str">
        <f ca="1">IFERROR(__xludf.DUMMYFUNCTION("""COMPUTED_VALUE"""),"19960126TNEAM")</f>
        <v>19960126TNEAM</v>
      </c>
      <c r="B1519" s="5" t="str">
        <f ca="1">IFERROR(__xludf.DUMMYFUNCTION("""COMPUTED_VALUE"""),"Handgun")</f>
        <v>Handgun</v>
      </c>
      <c r="C1519" s="5" t="str">
        <f ca="1">IFERROR(__xludf.DUMMYFUNCTION("""COMPUTED_VALUE"""),"Unknown")</f>
        <v>Unknown</v>
      </c>
      <c r="D1519" s="5"/>
    </row>
    <row r="1520" spans="1:4">
      <c r="A1520" s="5" t="str">
        <f ca="1">IFERROR(__xludf.DUMMYFUNCTION("""COMPUTED_VALUE"""),"19960119DCWIW")</f>
        <v>19960119DCWIW</v>
      </c>
      <c r="B1520" s="5" t="str">
        <f ca="1">IFERROR(__xludf.DUMMYFUNCTION("""COMPUTED_VALUE"""),"No Data")</f>
        <v>No Data</v>
      </c>
      <c r="C1520" s="5"/>
      <c r="D1520" s="5"/>
    </row>
    <row r="1521" spans="1:4">
      <c r="A1521" s="5" t="str">
        <f ca="1">IFERROR(__xludf.DUMMYFUNCTION("""COMPUTED_VALUE"""),"19960102PAGIG")</f>
        <v>19960102PAGIG</v>
      </c>
      <c r="B1521" s="5" t="str">
        <f ca="1">IFERROR(__xludf.DUMMYFUNCTION("""COMPUTED_VALUE"""),"No Data")</f>
        <v>No Data</v>
      </c>
      <c r="C1521" s="5"/>
      <c r="D1521" s="5"/>
    </row>
    <row r="1522" spans="1:4">
      <c r="A1522" s="5" t="str">
        <f ca="1">IFERROR(__xludf.DUMMYFUNCTION("""COMPUTED_VALUE"""),"19951128NYTHN")</f>
        <v>19951128NYTHN</v>
      </c>
      <c r="B1522" s="5" t="str">
        <f ca="1">IFERROR(__xludf.DUMMYFUNCTION("""COMPUTED_VALUE"""),"Handgun")</f>
        <v>Handgun</v>
      </c>
      <c r="C1522" s="5" t="str">
        <f ca="1">IFERROR(__xludf.DUMMYFUNCTION("""COMPUTED_VALUE"""),".25 caliber")</f>
        <v>.25 caliber</v>
      </c>
      <c r="D1522" s="5"/>
    </row>
    <row r="1523" spans="1:4">
      <c r="A1523" s="5" t="str">
        <f ca="1">IFERROR(__xludf.DUMMYFUNCTION("""COMPUTED_VALUE"""),"19951115TNRIL")</f>
        <v>19951115TNRIL</v>
      </c>
      <c r="B1523" s="5" t="str">
        <f ca="1">IFERROR(__xludf.DUMMYFUNCTION("""COMPUTED_VALUE"""),"Rifle")</f>
        <v>Rifle</v>
      </c>
      <c r="C1523" s="5" t="str">
        <f ca="1">IFERROR(__xludf.DUMMYFUNCTION("""COMPUTED_VALUE"""),".22 caliber")</f>
        <v>.22 caliber</v>
      </c>
      <c r="D1523" s="5"/>
    </row>
    <row r="1524" spans="1:4">
      <c r="A1524" s="5" t="str">
        <f ca="1">IFERROR(__xludf.DUMMYFUNCTION("""COMPUTED_VALUE"""),"19951102FLBLM")</f>
        <v>19951102FLBLM</v>
      </c>
      <c r="B1524" s="5" t="str">
        <f ca="1">IFERROR(__xludf.DUMMYFUNCTION("""COMPUTED_VALUE"""),"No Data")</f>
        <v>No Data</v>
      </c>
      <c r="C1524" s="5"/>
      <c r="D1524" s="5"/>
    </row>
    <row r="1525" spans="1:4">
      <c r="A1525" s="5" t="str">
        <f ca="1">IFERROR(__xludf.DUMMYFUNCTION("""COMPUTED_VALUE"""),"19951030VAJOR")</f>
        <v>19951030VAJOR</v>
      </c>
      <c r="B1525" s="5" t="str">
        <f ca="1">IFERROR(__xludf.DUMMYFUNCTION("""COMPUTED_VALUE"""),"Handgun")</f>
        <v>Handgun</v>
      </c>
      <c r="C1525" s="5" t="str">
        <f ca="1">IFERROR(__xludf.DUMMYFUNCTION("""COMPUTED_VALUE"""),".38 caliber")</f>
        <v>.38 caliber</v>
      </c>
      <c r="D1525" s="5"/>
    </row>
    <row r="1526" spans="1:4">
      <c r="A1526" s="5" t="str">
        <f ca="1">IFERROR(__xludf.DUMMYFUNCTION("""COMPUTED_VALUE"""),"19951023FLLAC")</f>
        <v>19951023FLLAC</v>
      </c>
      <c r="B1526" s="5" t="str">
        <f ca="1">IFERROR(__xludf.DUMMYFUNCTION("""COMPUTED_VALUE"""),"Handgun")</f>
        <v>Handgun</v>
      </c>
      <c r="C1526" s="5" t="str">
        <f ca="1">IFERROR(__xludf.DUMMYFUNCTION("""COMPUTED_VALUE"""),".25 caliber")</f>
        <v>.25 caliber</v>
      </c>
      <c r="D1526" s="5"/>
    </row>
    <row r="1527" spans="1:4">
      <c r="A1527" s="5" t="str">
        <f ca="1">IFERROR(__xludf.DUMMYFUNCTION("""COMPUTED_VALUE"""),"19951012SCBLB")</f>
        <v>19951012SCBLB</v>
      </c>
      <c r="B1527" s="5" t="str">
        <f ca="1">IFERROR(__xludf.DUMMYFUNCTION("""COMPUTED_VALUE"""),"Handgun")</f>
        <v>Handgun</v>
      </c>
      <c r="C1527" s="5" t="str">
        <f ca="1">IFERROR(__xludf.DUMMYFUNCTION("""COMPUTED_VALUE"""),".32 caliber")</f>
        <v>.32 caliber</v>
      </c>
      <c r="D1527" s="5"/>
    </row>
    <row r="1528" spans="1:4">
      <c r="A1528" s="5" t="str">
        <f ca="1">IFERROR(__xludf.DUMMYFUNCTION("""COMPUTED_VALUE"""),"19950929FLTAT")</f>
        <v>19950929FLTAT</v>
      </c>
      <c r="B1528" s="5" t="str">
        <f ca="1">IFERROR(__xludf.DUMMYFUNCTION("""COMPUTED_VALUE"""),"Handgun")</f>
        <v>Handgun</v>
      </c>
      <c r="C1528" s="5" t="str">
        <f ca="1">IFERROR(__xludf.DUMMYFUNCTION("""COMPUTED_VALUE"""),"9mm")</f>
        <v>9mm</v>
      </c>
      <c r="D1528" s="5"/>
    </row>
    <row r="1529" spans="1:4">
      <c r="A1529" s="5" t="str">
        <f ca="1">IFERROR(__xludf.DUMMYFUNCTION("""COMPUTED_VALUE"""),"19950927ALBLP")</f>
        <v>19950927ALBLP</v>
      </c>
      <c r="B1529" s="5" t="str">
        <f ca="1">IFERROR(__xludf.DUMMYFUNCTION("""COMPUTED_VALUE"""),"Handgun")</f>
        <v>Handgun</v>
      </c>
      <c r="C1529" s="5" t="str">
        <f ca="1">IFERROR(__xludf.DUMMYFUNCTION("""COMPUTED_VALUE"""),"Unknown")</f>
        <v>Unknown</v>
      </c>
      <c r="D1529" s="5"/>
    </row>
    <row r="1530" spans="1:4">
      <c r="A1530" s="5" t="str">
        <f ca="1">IFERROR(__xludf.DUMMYFUNCTION("""COMPUTED_VALUE"""),"19950915KYGEW")</f>
        <v>19950915KYGEW</v>
      </c>
      <c r="B1530" s="5" t="str">
        <f ca="1">IFERROR(__xludf.DUMMYFUNCTION("""COMPUTED_VALUE"""),"Multiple Handguns")</f>
        <v>Multiple Handguns</v>
      </c>
      <c r="C1530" s="5" t="str">
        <f ca="1">IFERROR(__xludf.DUMMYFUNCTION("""COMPUTED_VALUE"""),"Unknown")</f>
        <v>Unknown</v>
      </c>
      <c r="D1530" s="5"/>
    </row>
    <row r="1531" spans="1:4">
      <c r="A1531" s="5" t="str">
        <f ca="1">IFERROR(__xludf.DUMMYFUNCTION("""COMPUTED_VALUE"""),"19950914KSOLO")</f>
        <v>19950914KSOLO</v>
      </c>
      <c r="B1531" s="5" t="str">
        <f ca="1">IFERROR(__xludf.DUMMYFUNCTION("""COMPUTED_VALUE"""),"Handgun")</f>
        <v>Handgun</v>
      </c>
      <c r="C1531" s="5" t="str">
        <f ca="1">IFERROR(__xludf.DUMMYFUNCTION("""COMPUTED_VALUE"""),".22 caliber")</f>
        <v>.22 caliber</v>
      </c>
      <c r="D1531" s="5"/>
    </row>
    <row r="1532" spans="1:4">
      <c r="A1532" s="5" t="str">
        <f ca="1">IFERROR(__xludf.DUMMYFUNCTION("""COMPUTED_VALUE"""),"19950912TNCYM")</f>
        <v>19950912TNCYM</v>
      </c>
      <c r="B1532" s="5" t="str">
        <f ca="1">IFERROR(__xludf.DUMMYFUNCTION("""COMPUTED_VALUE"""),"Handgun")</f>
        <v>Handgun</v>
      </c>
      <c r="C1532" s="5" t="str">
        <f ca="1">IFERROR(__xludf.DUMMYFUNCTION("""COMPUTED_VALUE"""),".38 caliber")</f>
        <v>.38 caliber</v>
      </c>
      <c r="D1532" s="5"/>
    </row>
    <row r="1533" spans="1:4">
      <c r="A1533" s="5" t="str">
        <f ca="1">IFERROR(__xludf.DUMMYFUNCTION("""COMPUTED_VALUE"""),"19950829TXMEL")</f>
        <v>19950829TXMEL</v>
      </c>
      <c r="B1533" s="5" t="str">
        <f ca="1">IFERROR(__xludf.DUMMYFUNCTION("""COMPUTED_VALUE"""),"Shotgun")</f>
        <v>Shotgun</v>
      </c>
      <c r="C1533" s="5" t="str">
        <f ca="1">IFERROR(__xludf.DUMMYFUNCTION("""COMPUTED_VALUE"""),"Unknown")</f>
        <v>Unknown</v>
      </c>
      <c r="D1533" s="5"/>
    </row>
    <row r="1534" spans="1:4">
      <c r="A1534" s="5" t="str">
        <f ca="1">IFERROR(__xludf.DUMMYFUNCTION("""COMPUTED_VALUE"""),"19950614FLLAL")</f>
        <v>19950614FLLAL</v>
      </c>
      <c r="B1534" s="5" t="str">
        <f ca="1">IFERROR(__xludf.DUMMYFUNCTION("""COMPUTED_VALUE"""),"Handgun")</f>
        <v>Handgun</v>
      </c>
      <c r="C1534" s="5" t="str">
        <f ca="1">IFERROR(__xludf.DUMMYFUNCTION("""COMPUTED_VALUE"""),".45 caliber")</f>
        <v>.45 caliber</v>
      </c>
      <c r="D1534" s="5"/>
    </row>
    <row r="1535" spans="1:4">
      <c r="A1535" s="5" t="str">
        <f ca="1">IFERROR(__xludf.DUMMYFUNCTION("""COMPUTED_VALUE"""),"19950327MIRED")</f>
        <v>19950327MIRED</v>
      </c>
      <c r="B1535" s="5" t="str">
        <f ca="1">IFERROR(__xludf.DUMMYFUNCTION("""COMPUTED_VALUE"""),"Handgun")</f>
        <v>Handgun</v>
      </c>
      <c r="C1535" s="5" t="str">
        <f ca="1">IFERROR(__xludf.DUMMYFUNCTION("""COMPUTED_VALUE"""),".22 caliber")</f>
        <v>.22 caliber</v>
      </c>
      <c r="D1535" s="5"/>
    </row>
    <row r="1536" spans="1:4">
      <c r="A1536" s="5" t="str">
        <f ca="1">IFERROR(__xludf.DUMMYFUNCTION("""COMPUTED_VALUE"""),"19950303MIPED")</f>
        <v>19950303MIPED</v>
      </c>
      <c r="B1536" s="5" t="str">
        <f ca="1">IFERROR(__xludf.DUMMYFUNCTION("""COMPUTED_VALUE"""),"Handgun")</f>
        <v>Handgun</v>
      </c>
      <c r="C1536" s="5" t="str">
        <f ca="1">IFERROR(__xludf.DUMMYFUNCTION("""COMPUTED_VALUE"""),"Unknown")</f>
        <v>Unknown</v>
      </c>
      <c r="D1536" s="5"/>
    </row>
    <row r="1537" spans="1:4">
      <c r="A1537" s="5" t="str">
        <f ca="1">IFERROR(__xludf.DUMMYFUNCTION("""COMPUTED_VALUE"""),"19950208NECHS")</f>
        <v>19950208NECHS</v>
      </c>
      <c r="B1537" s="5" t="str">
        <f ca="1">IFERROR(__xludf.DUMMYFUNCTION("""COMPUTED_VALUE"""),"Handgun")</f>
        <v>Handgun</v>
      </c>
      <c r="C1537" s="5" t="str">
        <f ca="1">IFERROR(__xludf.DUMMYFUNCTION("""COMPUTED_VALUE"""),"Unknown")</f>
        <v>Unknown</v>
      </c>
      <c r="D1537" s="5"/>
    </row>
    <row r="1538" spans="1:4">
      <c r="A1538" s="5" t="str">
        <f ca="1">IFERROR(__xludf.DUMMYFUNCTION("""COMPUTED_VALUE"""),"19950202CAJOL")</f>
        <v>19950202CAJOL</v>
      </c>
      <c r="B1538" s="5" t="str">
        <f ca="1">IFERROR(__xludf.DUMMYFUNCTION("""COMPUTED_VALUE"""),"Handgun")</f>
        <v>Handgun</v>
      </c>
      <c r="C1538" s="5" t="str">
        <f ca="1">IFERROR(__xludf.DUMMYFUNCTION("""COMPUTED_VALUE"""),"Unknown")</f>
        <v>Unknown</v>
      </c>
      <c r="D1538" s="5"/>
    </row>
    <row r="1539" spans="1:4">
      <c r="A1539" s="5" t="str">
        <f ca="1">IFERROR(__xludf.DUMMYFUNCTION("""COMPUTED_VALUE"""),"19950124DCSPW")</f>
        <v>19950124DCSPW</v>
      </c>
      <c r="B1539" s="5" t="str">
        <f ca="1">IFERROR(__xludf.DUMMYFUNCTION("""COMPUTED_VALUE"""),"Handgun")</f>
        <v>Handgun</v>
      </c>
      <c r="C1539" s="5" t="str">
        <f ca="1">IFERROR(__xludf.DUMMYFUNCTION("""COMPUTED_VALUE"""),"Unknown")</f>
        <v>Unknown</v>
      </c>
      <c r="D1539" s="5"/>
    </row>
    <row r="1540" spans="1:4">
      <c r="A1540" s="5" t="str">
        <f ca="1">IFERROR(__xludf.DUMMYFUNCTION("""COMPUTED_VALUE"""),"19950123CASAR")</f>
        <v>19950123CASAR</v>
      </c>
      <c r="B1540" s="5" t="str">
        <f ca="1">IFERROR(__xludf.DUMMYFUNCTION("""COMPUTED_VALUE"""),"Shotgun")</f>
        <v>Shotgun</v>
      </c>
      <c r="C1540" s="5" t="str">
        <f ca="1">IFERROR(__xludf.DUMMYFUNCTION("""COMPUTED_VALUE"""),"Unknown")</f>
        <v>Unknown</v>
      </c>
      <c r="D1540" s="5"/>
    </row>
    <row r="1541" spans="1:4">
      <c r="A1541" s="5" t="str">
        <f ca="1">IFERROR(__xludf.DUMMYFUNCTION("""COMPUTED_VALUE"""),"19950112WAGAS")</f>
        <v>19950112WAGAS</v>
      </c>
      <c r="B1541" s="5" t="str">
        <f ca="1">IFERROR(__xludf.DUMMYFUNCTION("""COMPUTED_VALUE"""),"Handgun")</f>
        <v>Handgun</v>
      </c>
      <c r="C1541" s="5" t="str">
        <f ca="1">IFERROR(__xludf.DUMMYFUNCTION("""COMPUTED_VALUE"""),"9mm")</f>
        <v>9mm</v>
      </c>
      <c r="D1541" s="5"/>
    </row>
    <row r="1542" spans="1:4">
      <c r="A1542" s="5" t="str">
        <f ca="1">IFERROR(__xludf.DUMMYFUNCTION("""COMPUTED_VALUE"""),"19950110FLPAP")</f>
        <v>19950110FLPAP</v>
      </c>
      <c r="B1542" s="5" t="str">
        <f ca="1">IFERROR(__xludf.DUMMYFUNCTION("""COMPUTED_VALUE"""),"Handgun")</f>
        <v>Handgun</v>
      </c>
      <c r="C1542" s="5" t="str">
        <f ca="1">IFERROR(__xludf.DUMMYFUNCTION("""COMPUTED_VALUE"""),".25 caliber")</f>
        <v>.25 caliber</v>
      </c>
      <c r="D1542" s="5"/>
    </row>
    <row r="1543" spans="1:4">
      <c r="A1543" s="5" t="str">
        <f ca="1">IFERROR(__xludf.DUMMYFUNCTION("""COMPUTED_VALUE"""),"19950105DCCAW")</f>
        <v>19950105DCCAW</v>
      </c>
      <c r="B1543" s="5" t="str">
        <f ca="1">IFERROR(__xludf.DUMMYFUNCTION("""COMPUTED_VALUE"""),"Handgun")</f>
        <v>Handgun</v>
      </c>
      <c r="C1543" s="5" t="str">
        <f ca="1">IFERROR(__xludf.DUMMYFUNCTION("""COMPUTED_VALUE"""),".38 caliber")</f>
        <v>.38 caliber</v>
      </c>
      <c r="D1543" s="5"/>
    </row>
    <row r="1544" spans="1:4">
      <c r="A1544" s="5" t="str">
        <f ca="1">IFERROR(__xludf.DUMMYFUNCTION("""COMPUTED_VALUE"""),"19941115WASTT")</f>
        <v>19941115WASTT</v>
      </c>
      <c r="B1544" s="5" t="str">
        <f ca="1">IFERROR(__xludf.DUMMYFUNCTION("""COMPUTED_VALUE"""),"Handgun")</f>
        <v>Handgun</v>
      </c>
      <c r="C1544" s="5" t="str">
        <f ca="1">IFERROR(__xludf.DUMMYFUNCTION("""COMPUTED_VALUE"""),"Unknown")</f>
        <v>Unknown</v>
      </c>
      <c r="D1544" s="5"/>
    </row>
    <row r="1545" spans="1:4">
      <c r="A1545" s="5" t="str">
        <f ca="1">IFERROR(__xludf.DUMMYFUNCTION("""COMPUTED_VALUE"""),"19941108IAWEM")</f>
        <v>19941108IAWEM</v>
      </c>
      <c r="B1545" s="5" t="str">
        <f ca="1">IFERROR(__xludf.DUMMYFUNCTION("""COMPUTED_VALUE"""),"No Data")</f>
        <v>No Data</v>
      </c>
      <c r="C1545" s="5"/>
      <c r="D1545" s="5"/>
    </row>
    <row r="1546" spans="1:4">
      <c r="A1546" s="5" t="str">
        <f ca="1">IFERROR(__xludf.DUMMYFUNCTION("""COMPUTED_VALUE"""),"19941107OHWIW")</f>
        <v>19941107OHWIW</v>
      </c>
      <c r="B1546" s="5" t="str">
        <f ca="1">IFERROR(__xludf.DUMMYFUNCTION("""COMPUTED_VALUE"""),"No Data")</f>
        <v>No Data</v>
      </c>
      <c r="C1546" s="5"/>
      <c r="D1546" s="5"/>
    </row>
    <row r="1547" spans="1:4">
      <c r="A1547" s="5" t="str">
        <f ca="1">IFERROR(__xludf.DUMMYFUNCTION("""COMPUTED_VALUE"""),"19941105CATHS")</f>
        <v>19941105CATHS</v>
      </c>
      <c r="B1547" s="5" t="str">
        <f ca="1">IFERROR(__xludf.DUMMYFUNCTION("""COMPUTED_VALUE"""),"Handgun")</f>
        <v>Handgun</v>
      </c>
      <c r="C1547" s="5" t="str">
        <f ca="1">IFERROR(__xludf.DUMMYFUNCTION("""COMPUTED_VALUE"""),"Unknown")</f>
        <v>Unknown</v>
      </c>
      <c r="D1547" s="5"/>
    </row>
    <row r="1548" spans="1:4">
      <c r="A1548" s="5" t="str">
        <f ca="1">IFERROR(__xludf.DUMMYFUNCTION("""COMPUTED_VALUE"""),"19941031CAALA")</f>
        <v>19941031CAALA</v>
      </c>
      <c r="B1548" s="5" t="str">
        <f ca="1">IFERROR(__xludf.DUMMYFUNCTION("""COMPUTED_VALUE"""),"Handgun")</f>
        <v>Handgun</v>
      </c>
      <c r="C1548" s="5" t="str">
        <f ca="1">IFERROR(__xludf.DUMMYFUNCTION("""COMPUTED_VALUE"""),".45 caliber")</f>
        <v>.45 caliber</v>
      </c>
      <c r="D1548" s="5"/>
    </row>
    <row r="1549" spans="1:4">
      <c r="A1549" s="5" t="str">
        <f ca="1">IFERROR(__xludf.DUMMYFUNCTION("""COMPUTED_VALUE"""),"19941017ILHUC")</f>
        <v>19941017ILHUC</v>
      </c>
      <c r="B1549" s="5" t="str">
        <f ca="1">IFERROR(__xludf.DUMMYFUNCTION("""COMPUTED_VALUE"""),"Handgun")</f>
        <v>Handgun</v>
      </c>
      <c r="C1549" s="5" t="str">
        <f ca="1">IFERROR(__xludf.DUMMYFUNCTION("""COMPUTED_VALUE"""),"Unknown")</f>
        <v>Unknown</v>
      </c>
      <c r="D1549" s="5"/>
    </row>
    <row r="1550" spans="1:4">
      <c r="A1550" s="5" t="str">
        <f ca="1">IFERROR(__xludf.DUMMYFUNCTION("""COMPUTED_VALUE"""),"19941012NCGRG")</f>
        <v>19941012NCGRG</v>
      </c>
      <c r="B1550" s="5" t="str">
        <f ca="1">IFERROR(__xludf.DUMMYFUNCTION("""COMPUTED_VALUE"""),"No Data")</f>
        <v>No Data</v>
      </c>
      <c r="C1550" s="5"/>
      <c r="D1550" s="5"/>
    </row>
    <row r="1551" spans="1:4">
      <c r="A1551" s="5" t="str">
        <f ca="1">IFERROR(__xludf.DUMMYFUNCTION("""COMPUTED_VALUE"""),"19940922ORLEL")</f>
        <v>19940922ORLEL</v>
      </c>
      <c r="B1551" s="5" t="str">
        <f ca="1">IFERROR(__xludf.DUMMYFUNCTION("""COMPUTED_VALUE"""),"Handgun")</f>
        <v>Handgun</v>
      </c>
      <c r="C1551" s="5" t="str">
        <f ca="1">IFERROR(__xludf.DUMMYFUNCTION("""COMPUTED_VALUE"""),".22 caliber")</f>
        <v>.22 caliber</v>
      </c>
      <c r="D1551" s="5"/>
    </row>
    <row r="1552" spans="1:4">
      <c r="A1552" s="5" t="str">
        <f ca="1">IFERROR(__xludf.DUMMYFUNCTION("""COMPUTED_VALUE"""),"19940919CALOL")</f>
        <v>19940919CALOL</v>
      </c>
      <c r="B1552" s="5" t="str">
        <f ca="1">IFERROR(__xludf.DUMMYFUNCTION("""COMPUTED_VALUE"""),"No Data")</f>
        <v>No Data</v>
      </c>
      <c r="C1552" s="5"/>
      <c r="D1552" s="5"/>
    </row>
    <row r="1553" spans="1:4">
      <c r="A1553" s="5" t="str">
        <f ca="1">IFERROR(__xludf.DUMMYFUNCTION("""COMPUTED_VALUE"""),"19940908NYSWA")</f>
        <v>19940908NYSWA</v>
      </c>
      <c r="B1553" s="5" t="str">
        <f ca="1">IFERROR(__xludf.DUMMYFUNCTION("""COMPUTED_VALUE"""),"Handgun")</f>
        <v>Handgun</v>
      </c>
      <c r="C1553" s="5" t="str">
        <f ca="1">IFERROR(__xludf.DUMMYFUNCTION("""COMPUTED_VALUE"""),".22 caliber")</f>
        <v>.22 caliber</v>
      </c>
      <c r="D1553" s="5"/>
    </row>
    <row r="1554" spans="1:4">
      <c r="A1554" s="5" t="str">
        <f ca="1">IFERROR(__xludf.DUMMYFUNCTION("""COMPUTED_VALUE"""),"19940907CAHOL")</f>
        <v>19940907CAHOL</v>
      </c>
      <c r="B1554" s="5" t="str">
        <f ca="1">IFERROR(__xludf.DUMMYFUNCTION("""COMPUTED_VALUE"""),"No Data")</f>
        <v>No Data</v>
      </c>
      <c r="C1554" s="5"/>
      <c r="D1554" s="5"/>
    </row>
    <row r="1555" spans="1:4">
      <c r="A1555" s="5" t="str">
        <f ca="1">IFERROR(__xludf.DUMMYFUNCTION("""COMPUTED_VALUE"""),"19940725IAOTO")</f>
        <v>19940725IAOTO</v>
      </c>
      <c r="B1555" s="5" t="str">
        <f ca="1">IFERROR(__xludf.DUMMYFUNCTION("""COMPUTED_VALUE"""),"Handgun")</f>
        <v>Handgun</v>
      </c>
      <c r="C1555" s="5" t="str">
        <f ca="1">IFERROR(__xludf.DUMMYFUNCTION("""COMPUTED_VALUE"""),"Unknown")</f>
        <v>Unknown</v>
      </c>
      <c r="D1555" s="5"/>
    </row>
    <row r="1556" spans="1:4">
      <c r="A1556" s="5" t="str">
        <f ca="1">IFERROR(__xludf.DUMMYFUNCTION("""COMPUTED_VALUE"""),"19940724PAMAM")</f>
        <v>19940724PAMAM</v>
      </c>
      <c r="B1556" s="5" t="str">
        <f ca="1">IFERROR(__xludf.DUMMYFUNCTION("""COMPUTED_VALUE"""),"No Data")</f>
        <v>No Data</v>
      </c>
      <c r="C1556" s="5"/>
      <c r="D1556" s="5"/>
    </row>
    <row r="1557" spans="1:4">
      <c r="A1557" s="5" t="str">
        <f ca="1">IFERROR(__xludf.DUMMYFUNCTION("""COMPUTED_VALUE"""),"19940526KYLAU")</f>
        <v>19940526KYLAU</v>
      </c>
      <c r="B1557" s="5" t="str">
        <f ca="1">IFERROR(__xludf.DUMMYFUNCTION("""COMPUTED_VALUE"""),"Handgun")</f>
        <v>Handgun</v>
      </c>
      <c r="C1557" s="5" t="str">
        <f ca="1">IFERROR(__xludf.DUMMYFUNCTION("""COMPUTED_VALUE"""),"Unknown")</f>
        <v>Unknown</v>
      </c>
      <c r="D1557" s="5"/>
    </row>
    <row r="1558" spans="1:4">
      <c r="A1558" s="5" t="str">
        <f ca="1">IFERROR(__xludf.DUMMYFUNCTION("""COMPUTED_VALUE"""),"19940525NJLAW")</f>
        <v>19940525NJLAW</v>
      </c>
      <c r="B1558" s="5" t="str">
        <f ca="1">IFERROR(__xludf.DUMMYFUNCTION("""COMPUTED_VALUE"""),"Handgun")</f>
        <v>Handgun</v>
      </c>
      <c r="C1558" s="5" t="str">
        <f ca="1">IFERROR(__xludf.DUMMYFUNCTION("""COMPUTED_VALUE"""),".357 caliber")</f>
        <v>.357 caliber</v>
      </c>
      <c r="D1558" s="5"/>
    </row>
    <row r="1559" spans="1:4">
      <c r="A1559" s="5" t="str">
        <f ca="1">IFERROR(__xludf.DUMMYFUNCTION("""COMPUTED_VALUE"""),"19940525INLAS")</f>
        <v>19940525INLAS</v>
      </c>
      <c r="B1559" s="5" t="str">
        <f ca="1">IFERROR(__xludf.DUMMYFUNCTION("""COMPUTED_VALUE"""),"Handgun")</f>
        <v>Handgun</v>
      </c>
      <c r="C1559" s="5" t="str">
        <f ca="1">IFERROR(__xludf.DUMMYFUNCTION("""COMPUTED_VALUE"""),".22 caliber")</f>
        <v>.22 caliber</v>
      </c>
      <c r="D1559" s="5"/>
    </row>
    <row r="1560" spans="1:4">
      <c r="A1560" s="5" t="str">
        <f ca="1">IFERROR(__xludf.DUMMYFUNCTION("""COMPUTED_VALUE"""),"19940502FLNON")</f>
        <v>19940502FLNON</v>
      </c>
      <c r="B1560" s="5" t="str">
        <f ca="1">IFERROR(__xludf.DUMMYFUNCTION("""COMPUTED_VALUE"""),"Handgun")</f>
        <v>Handgun</v>
      </c>
      <c r="C1560" s="5" t="str">
        <f ca="1">IFERROR(__xludf.DUMMYFUNCTION("""COMPUTED_VALUE"""),".38 caliber")</f>
        <v>.38 caliber</v>
      </c>
      <c r="D1560" s="5"/>
    </row>
    <row r="1561" spans="1:4">
      <c r="A1561" s="5" t="str">
        <f ca="1">IFERROR(__xludf.DUMMYFUNCTION("""COMPUTED_VALUE"""),"19940421TNJTN")</f>
        <v>19940421TNJTN</v>
      </c>
      <c r="B1561" s="5" t="str">
        <f ca="1">IFERROR(__xludf.DUMMYFUNCTION("""COMPUTED_VALUE"""),"Handgun")</f>
        <v>Handgun</v>
      </c>
      <c r="C1561" s="5" t="str">
        <f ca="1">IFERROR(__xludf.DUMMYFUNCTION("""COMPUTED_VALUE"""),".25 caliber")</f>
        <v>.25 caliber</v>
      </c>
      <c r="D1561" s="5"/>
    </row>
    <row r="1562" spans="1:4">
      <c r="A1562" s="5" t="str">
        <f ca="1">IFERROR(__xludf.DUMMYFUNCTION("""COMPUTED_VALUE"""),"19940420INDIS")</f>
        <v>19940420INDIS</v>
      </c>
      <c r="B1562" s="5" t="str">
        <f ca="1">IFERROR(__xludf.DUMMYFUNCTION("""COMPUTED_VALUE"""),"Handgun")</f>
        <v>Handgun</v>
      </c>
      <c r="C1562" s="5" t="str">
        <f ca="1">IFERROR(__xludf.DUMMYFUNCTION("""COMPUTED_VALUE"""),"Unknown")</f>
        <v>Unknown</v>
      </c>
      <c r="D1562" s="5"/>
    </row>
    <row r="1563" spans="1:4">
      <c r="A1563" s="5" t="str">
        <f ca="1">IFERROR(__xludf.DUMMYFUNCTION("""COMPUTED_VALUE"""),"19940419DCELW")</f>
        <v>19940419DCELW</v>
      </c>
      <c r="B1563" s="5" t="str">
        <f ca="1">IFERROR(__xludf.DUMMYFUNCTION("""COMPUTED_VALUE"""),"No Data")</f>
        <v>No Data</v>
      </c>
      <c r="C1563" s="5"/>
      <c r="D1563" s="5"/>
    </row>
    <row r="1564" spans="1:4">
      <c r="A1564" s="5" t="str">
        <f ca="1">IFERROR(__xludf.DUMMYFUNCTION("""COMPUTED_VALUE"""),"19940413CA49L")</f>
        <v>19940413CA49L</v>
      </c>
      <c r="B1564" s="5" t="str">
        <f ca="1">IFERROR(__xludf.DUMMYFUNCTION("""COMPUTED_VALUE"""),"Handgun")</f>
        <v>Handgun</v>
      </c>
      <c r="C1564" s="5" t="str">
        <f ca="1">IFERROR(__xludf.DUMMYFUNCTION("""COMPUTED_VALUE"""),".38 caliber")</f>
        <v>.38 caliber</v>
      </c>
      <c r="D1564" s="5"/>
    </row>
    <row r="1565" spans="1:4">
      <c r="A1565" s="5" t="str">
        <f ca="1">IFERROR(__xludf.DUMMYFUNCTION("""COMPUTED_VALUE"""),"19940412MTMAB")</f>
        <v>19940412MTMAB</v>
      </c>
      <c r="B1565" s="5" t="str">
        <f ca="1">IFERROR(__xludf.DUMMYFUNCTION("""COMPUTED_VALUE"""),"Handgun")</f>
        <v>Handgun</v>
      </c>
      <c r="C1565" s="5" t="str">
        <f ca="1">IFERROR(__xludf.DUMMYFUNCTION("""COMPUTED_VALUE"""),".22 caliber")</f>
        <v>.22 caliber</v>
      </c>
      <c r="D1565" s="5"/>
    </row>
    <row r="1566" spans="1:4">
      <c r="A1566" s="5" t="str">
        <f ca="1">IFERROR(__xludf.DUMMYFUNCTION("""COMPUTED_VALUE"""),"19940408MDLAU")</f>
        <v>19940408MDLAU</v>
      </c>
      <c r="B1566" s="5" t="str">
        <f ca="1">IFERROR(__xludf.DUMMYFUNCTION("""COMPUTED_VALUE"""),"Handgun")</f>
        <v>Handgun</v>
      </c>
      <c r="C1566" s="5" t="str">
        <f ca="1">IFERROR(__xludf.DUMMYFUNCTION("""COMPUTED_VALUE"""),"9mm")</f>
        <v>9mm</v>
      </c>
      <c r="D1566" s="5"/>
    </row>
    <row r="1567" spans="1:4">
      <c r="A1567" s="5" t="str">
        <f ca="1">IFERROR(__xludf.DUMMYFUNCTION("""COMPUTED_VALUE"""),"19940405TXMCA")</f>
        <v>19940405TXMCA</v>
      </c>
      <c r="B1567" s="5" t="str">
        <f ca="1">IFERROR(__xludf.DUMMYFUNCTION("""COMPUTED_VALUE"""),"Handgun")</f>
        <v>Handgun</v>
      </c>
      <c r="C1567" s="5" t="str">
        <f ca="1">IFERROR(__xludf.DUMMYFUNCTION("""COMPUTED_VALUE"""),"Unknown")</f>
        <v>Unknown</v>
      </c>
      <c r="D1567" s="5"/>
    </row>
    <row r="1568" spans="1:4">
      <c r="A1568" s="5" t="str">
        <f ca="1">IFERROR(__xludf.DUMMYFUNCTION("""COMPUTED_VALUE"""),"19940325GAETC")</f>
        <v>19940325GAETC</v>
      </c>
      <c r="B1568" s="5" t="str">
        <f ca="1">IFERROR(__xludf.DUMMYFUNCTION("""COMPUTED_VALUE"""),"Handgun")</f>
        <v>Handgun</v>
      </c>
      <c r="C1568" s="5" t="str">
        <f ca="1">IFERROR(__xludf.DUMMYFUNCTION("""COMPUTED_VALUE"""),"9mm")</f>
        <v>9mm</v>
      </c>
      <c r="D1568" s="5"/>
    </row>
    <row r="1569" spans="1:4">
      <c r="A1569" s="5" t="str">
        <f ca="1">IFERROR(__xludf.DUMMYFUNCTION("""COMPUTED_VALUE"""),"19940323WABAS")</f>
        <v>19940323WABAS</v>
      </c>
      <c r="B1569" s="5" t="str">
        <f ca="1">IFERROR(__xludf.DUMMYFUNCTION("""COMPUTED_VALUE"""),"No Data")</f>
        <v>No Data</v>
      </c>
      <c r="C1569" s="5"/>
      <c r="D1569" s="5"/>
    </row>
    <row r="1570" spans="1:4">
      <c r="A1570" s="5" t="str">
        <f ca="1">IFERROR(__xludf.DUMMYFUNCTION("""COMPUTED_VALUE"""),"19940315SCGOC")</f>
        <v>19940315SCGOC</v>
      </c>
      <c r="B1570" s="5" t="str">
        <f ca="1">IFERROR(__xludf.DUMMYFUNCTION("""COMPUTED_VALUE"""),"No Data")</f>
        <v>No Data</v>
      </c>
      <c r="C1570" s="5"/>
      <c r="D1570" s="5"/>
    </row>
    <row r="1571" spans="1:4">
      <c r="A1571" s="5" t="str">
        <f ca="1">IFERROR(__xludf.DUMMYFUNCTION("""COMPUTED_VALUE"""),"19940309DCEAW")</f>
        <v>19940309DCEAW</v>
      </c>
      <c r="B1571" s="5" t="str">
        <f ca="1">IFERROR(__xludf.DUMMYFUNCTION("""COMPUTED_VALUE"""),"Handgun")</f>
        <v>Handgun</v>
      </c>
      <c r="C1571" s="5" t="str">
        <f ca="1">IFERROR(__xludf.DUMMYFUNCTION("""COMPUTED_VALUE"""),"Unknown")</f>
        <v>Unknown</v>
      </c>
      <c r="D1571" s="5"/>
    </row>
    <row r="1572" spans="1:4">
      <c r="A1572" s="5" t="str">
        <f ca="1">IFERROR(__xludf.DUMMYFUNCTION("""COMPUTED_VALUE"""),"19940303ALENB")</f>
        <v>19940303ALENB</v>
      </c>
      <c r="B1572" s="5" t="str">
        <f ca="1">IFERROR(__xludf.DUMMYFUNCTION("""COMPUTED_VALUE"""),"Handgun")</f>
        <v>Handgun</v>
      </c>
      <c r="C1572" s="5" t="str">
        <f ca="1">IFERROR(__xludf.DUMMYFUNCTION("""COMPUTED_VALUE"""),"Unknown")</f>
        <v>Unknown</v>
      </c>
      <c r="D1572" s="5"/>
    </row>
    <row r="1573" spans="1:4">
      <c r="A1573" s="5" t="str">
        <f ca="1">IFERROR(__xludf.DUMMYFUNCTION("""COMPUTED_VALUE"""),"19940301MOKEB")</f>
        <v>19940301MOKEB</v>
      </c>
      <c r="B1573" s="5" t="str">
        <f ca="1">IFERROR(__xludf.DUMMYFUNCTION("""COMPUTED_VALUE"""),"Shotgun")</f>
        <v>Shotgun</v>
      </c>
      <c r="C1573" s="5" t="str">
        <f ca="1">IFERROR(__xludf.DUMMYFUNCTION("""COMPUTED_VALUE"""),"Unknown")</f>
        <v>Unknown</v>
      </c>
      <c r="D1573" s="5"/>
    </row>
    <row r="1574" spans="1:4">
      <c r="A1574" s="5" t="str">
        <f ca="1">IFERROR(__xludf.DUMMYFUNCTION("""COMPUTED_VALUE"""),"19940218SCSPS")</f>
        <v>19940218SCSPS</v>
      </c>
      <c r="B1574" s="5" t="str">
        <f ca="1">IFERROR(__xludf.DUMMYFUNCTION("""COMPUTED_VALUE"""),"Handgun")</f>
        <v>Handgun</v>
      </c>
      <c r="C1574" s="5" t="str">
        <f ca="1">IFERROR(__xludf.DUMMYFUNCTION("""COMPUTED_VALUE"""),"9mm")</f>
        <v>9mm</v>
      </c>
      <c r="D1574" s="5"/>
    </row>
    <row r="1575" spans="1:4">
      <c r="A1575" s="5" t="str">
        <f ca="1">IFERROR(__xludf.DUMMYFUNCTION("""COMPUTED_VALUE"""),"19940208MIOSD")</f>
        <v>19940208MIOSD</v>
      </c>
      <c r="B1575" s="5" t="str">
        <f ca="1">IFERROR(__xludf.DUMMYFUNCTION("""COMPUTED_VALUE"""),"No Data")</f>
        <v>No Data</v>
      </c>
      <c r="C1575" s="5"/>
      <c r="D1575" s="5"/>
    </row>
    <row r="1576" spans="1:4">
      <c r="A1576" s="5" t="str">
        <f ca="1">IFERROR(__xludf.DUMMYFUNCTION("""COMPUTED_VALUE"""),"19940131WAWHS")</f>
        <v>19940131WAWHS</v>
      </c>
      <c r="B1576" s="5" t="str">
        <f ca="1">IFERROR(__xludf.DUMMYFUNCTION("""COMPUTED_VALUE"""),"Rifle")</f>
        <v>Rifle</v>
      </c>
      <c r="C1576" s="5" t="str">
        <f ca="1">IFERROR(__xludf.DUMMYFUNCTION("""COMPUTED_VALUE"""),"Semiautomatic")</f>
        <v>Semiautomatic</v>
      </c>
      <c r="D1576" s="5"/>
    </row>
    <row r="1577" spans="1:4">
      <c r="A1577" s="5" t="str">
        <f ca="1">IFERROR(__xludf.DUMMYFUNCTION("""COMPUTED_VALUE"""),"19940127CAWAS")</f>
        <v>19940127CAWAS</v>
      </c>
      <c r="B1577" s="5" t="str">
        <f ca="1">IFERROR(__xludf.DUMMYFUNCTION("""COMPUTED_VALUE"""),"Unknown")</f>
        <v>Unknown</v>
      </c>
      <c r="C1577" s="5" t="str">
        <f ca="1">IFERROR(__xludf.DUMMYFUNCTION("""COMPUTED_VALUE"""),"Unknown")</f>
        <v>Unknown</v>
      </c>
      <c r="D1577" s="5"/>
    </row>
    <row r="1578" spans="1:4">
      <c r="A1578" s="5" t="str">
        <f ca="1">IFERROR(__xludf.DUMMYFUNCTION("""COMPUTED_VALUE"""),"19940126DCPAW")</f>
        <v>19940126DCPAW</v>
      </c>
      <c r="B1578" s="5" t="str">
        <f ca="1">IFERROR(__xludf.DUMMYFUNCTION("""COMPUTED_VALUE"""),"Handgun")</f>
        <v>Handgun</v>
      </c>
      <c r="C1578" s="5" t="str">
        <f ca="1">IFERROR(__xludf.DUMMYFUNCTION("""COMPUTED_VALUE"""),"9mm")</f>
        <v>9mm</v>
      </c>
      <c r="D1578" s="5"/>
    </row>
    <row r="1579" spans="1:4">
      <c r="A1579" s="5" t="str">
        <f ca="1">IFERROR(__xludf.DUMMYFUNCTION("""COMPUTED_VALUE"""),"19940126DCELW")</f>
        <v>19940126DCELW</v>
      </c>
      <c r="B1579" s="5" t="str">
        <f ca="1">IFERROR(__xludf.DUMMYFUNCTION("""COMPUTED_VALUE"""),"No Data")</f>
        <v>No Data</v>
      </c>
      <c r="C1579" s="5"/>
      <c r="D1579" s="5"/>
    </row>
    <row r="1580" spans="1:4">
      <c r="A1580" s="5" t="str">
        <f ca="1">IFERROR(__xludf.DUMMYFUNCTION("""COMPUTED_VALUE"""),"19940124SCEAC")</f>
        <v>19940124SCEAC</v>
      </c>
      <c r="B1580" s="5" t="str">
        <f ca="1">IFERROR(__xludf.DUMMYFUNCTION("""COMPUTED_VALUE"""),"Handgun")</f>
        <v>Handgun</v>
      </c>
      <c r="C1580" s="5" t="str">
        <f ca="1">IFERROR(__xludf.DUMMYFUNCTION("""COMPUTED_VALUE"""),".22 caliber")</f>
        <v>.22 caliber</v>
      </c>
      <c r="D1580" s="5"/>
    </row>
    <row r="1581" spans="1:4">
      <c r="A1581" s="5" t="str">
        <f ca="1">IFERROR(__xludf.DUMMYFUNCTION("""COMPUTED_VALUE"""),"19940121TXKEK")</f>
        <v>19940121TXKEK</v>
      </c>
      <c r="B1581" s="5" t="str">
        <f ca="1">IFERROR(__xludf.DUMMYFUNCTION("""COMPUTED_VALUE"""),"Rifle")</f>
        <v>Rifle</v>
      </c>
      <c r="C1581" s="5" t="str">
        <f ca="1">IFERROR(__xludf.DUMMYFUNCTION("""COMPUTED_VALUE"""),".30-30")</f>
        <v>.30-30</v>
      </c>
      <c r="D1581" s="5"/>
    </row>
    <row r="1582" spans="1:4">
      <c r="A1582" s="5" t="str">
        <f ca="1">IFERROR(__xludf.DUMMYFUNCTION("""COMPUTED_VALUE"""),"19940120CALOH")</f>
        <v>19940120CALOH</v>
      </c>
      <c r="B1582" s="5" t="str">
        <f ca="1">IFERROR(__xludf.DUMMYFUNCTION("""COMPUTED_VALUE"""),"No Data")</f>
        <v>No Data</v>
      </c>
      <c r="C1582" s="5"/>
      <c r="D1582" s="5"/>
    </row>
    <row r="1583" spans="1:4">
      <c r="A1583" s="5" t="str">
        <f ca="1">IFERROR(__xludf.DUMMYFUNCTION("""COMPUTED_VALUE"""),"19931217MICHC")</f>
        <v>19931217MICHC</v>
      </c>
      <c r="B1583" s="5" t="str">
        <f ca="1">IFERROR(__xludf.DUMMYFUNCTION("""COMPUTED_VALUE"""),"Handgun")</f>
        <v>Handgun</v>
      </c>
      <c r="C1583" s="5" t="str">
        <f ca="1">IFERROR(__xludf.DUMMYFUNCTION("""COMPUTED_VALUE"""),"Unknown")</f>
        <v>Unknown</v>
      </c>
      <c r="D1583" s="5"/>
    </row>
    <row r="1584" spans="1:4">
      <c r="A1584" s="5" t="str">
        <f ca="1">IFERROR(__xludf.DUMMYFUNCTION("""COMPUTED_VALUE"""),"19931215CACHS")</f>
        <v>19931215CACHS</v>
      </c>
      <c r="B1584" s="5" t="str">
        <f ca="1">IFERROR(__xludf.DUMMYFUNCTION("""COMPUTED_VALUE"""),"Handgun")</f>
        <v>Handgun</v>
      </c>
      <c r="C1584" s="5" t="str">
        <f ca="1">IFERROR(__xludf.DUMMYFUNCTION("""COMPUTED_VALUE"""),"Unknown")</f>
        <v>Unknown</v>
      </c>
      <c r="D1584" s="5"/>
    </row>
    <row r="1585" spans="1:4">
      <c r="A1585" s="5" t="str">
        <f ca="1">IFERROR(__xludf.DUMMYFUNCTION("""COMPUTED_VALUE"""),"19931208GABES")</f>
        <v>19931208GABES</v>
      </c>
      <c r="B1585" s="5" t="str">
        <f ca="1">IFERROR(__xludf.DUMMYFUNCTION("""COMPUTED_VALUE"""),"Handgun")</f>
        <v>Handgun</v>
      </c>
      <c r="C1585" s="5" t="str">
        <f ca="1">IFERROR(__xludf.DUMMYFUNCTION("""COMPUTED_VALUE"""),"Unknown")</f>
        <v>Unknown</v>
      </c>
      <c r="D1585" s="5"/>
    </row>
    <row r="1586" spans="1:4">
      <c r="A1586" s="5" t="str">
        <f ca="1">IFERROR(__xludf.DUMMYFUNCTION("""COMPUTED_VALUE"""),"19931202CTNEN")</f>
        <v>19931202CTNEN</v>
      </c>
      <c r="B1586" s="5" t="str">
        <f ca="1">IFERROR(__xludf.DUMMYFUNCTION("""COMPUTED_VALUE"""),"No Data")</f>
        <v>No Data</v>
      </c>
      <c r="C1586" s="5"/>
      <c r="D1586" s="5"/>
    </row>
    <row r="1587" spans="1:4">
      <c r="A1587" s="5" t="str">
        <f ca="1">IFERROR(__xludf.DUMMYFUNCTION("""COMPUTED_VALUE"""),"19931201WIWAW")</f>
        <v>19931201WIWAW</v>
      </c>
      <c r="B1587" s="5" t="str">
        <f ca="1">IFERROR(__xludf.DUMMYFUNCTION("""COMPUTED_VALUE"""),"No Data")</f>
        <v>No Data</v>
      </c>
      <c r="C1587" s="5"/>
      <c r="D1587" s="5"/>
    </row>
    <row r="1588" spans="1:4">
      <c r="A1588" s="5" t="str">
        <f ca="1">IFERROR(__xludf.DUMMYFUNCTION("""COMPUTED_VALUE"""),"19931111ILRIS")</f>
        <v>19931111ILRIS</v>
      </c>
      <c r="B1588" s="5" t="str">
        <f ca="1">IFERROR(__xludf.DUMMYFUNCTION("""COMPUTED_VALUE"""),"Handgun")</f>
        <v>Handgun</v>
      </c>
      <c r="C1588" s="5" t="str">
        <f ca="1">IFERROR(__xludf.DUMMYFUNCTION("""COMPUTED_VALUE"""),"Unknown")</f>
        <v>Unknown</v>
      </c>
      <c r="D1588" s="5"/>
    </row>
    <row r="1589" spans="1:4">
      <c r="A1589" s="5" t="str">
        <f ca="1">IFERROR(__xludf.DUMMYFUNCTION("""COMPUTED_VALUE"""),"19931104MSBAB")</f>
        <v>19931104MSBAB</v>
      </c>
      <c r="B1589" s="5" t="str">
        <f ca="1">IFERROR(__xludf.DUMMYFUNCTION("""COMPUTED_VALUE"""),"No Data")</f>
        <v>No Data</v>
      </c>
      <c r="C1589" s="5"/>
      <c r="D1589" s="5"/>
    </row>
    <row r="1590" spans="1:4">
      <c r="A1590" s="5" t="str">
        <f ca="1">IFERROR(__xludf.DUMMYFUNCTION("""COMPUTED_VALUE"""),"19931104FLTEJ")</f>
        <v>19931104FLTEJ</v>
      </c>
      <c r="B1590" s="5" t="str">
        <f ca="1">IFERROR(__xludf.DUMMYFUNCTION("""COMPUTED_VALUE"""),"Handgun")</f>
        <v>Handgun</v>
      </c>
      <c r="C1590" s="5" t="str">
        <f ca="1">IFERROR(__xludf.DUMMYFUNCTION("""COMPUTED_VALUE"""),"Unknown")</f>
        <v>Unknown</v>
      </c>
      <c r="D1590" s="5"/>
    </row>
    <row r="1591" spans="1:4">
      <c r="A1591" s="5" t="str">
        <f ca="1">IFERROR(__xludf.DUMMYFUNCTION("""COMPUTED_VALUE"""),"19931104CTNEN")</f>
        <v>19931104CTNEN</v>
      </c>
      <c r="B1591" s="5" t="str">
        <f ca="1">IFERROR(__xludf.DUMMYFUNCTION("""COMPUTED_VALUE"""),"No Data")</f>
        <v>No Data</v>
      </c>
      <c r="C1591" s="5"/>
      <c r="D1591" s="5"/>
    </row>
    <row r="1592" spans="1:4">
      <c r="A1592" s="5" t="str">
        <f ca="1">IFERROR(__xludf.DUMMYFUNCTION("""COMPUTED_VALUE"""),"19931101ILSUC")</f>
        <v>19931101ILSUC</v>
      </c>
      <c r="B1592" s="5" t="str">
        <f ca="1">IFERROR(__xludf.DUMMYFUNCTION("""COMPUTED_VALUE"""),"Handgun")</f>
        <v>Handgun</v>
      </c>
      <c r="C1592" s="5" t="str">
        <f ca="1">IFERROR(__xludf.DUMMYFUNCTION("""COMPUTED_VALUE"""),"Unknown")</f>
        <v>Unknown</v>
      </c>
      <c r="D1592" s="5"/>
    </row>
    <row r="1593" spans="1:4">
      <c r="A1593" s="5" t="str">
        <f ca="1">IFERROR(__xludf.DUMMYFUNCTION("""COMPUTED_VALUE"""),"19931018DCJHW")</f>
        <v>19931018DCJHW</v>
      </c>
      <c r="B1593" s="5" t="str">
        <f ca="1">IFERROR(__xludf.DUMMYFUNCTION("""COMPUTED_VALUE"""),"Handgun")</f>
        <v>Handgun</v>
      </c>
      <c r="C1593" s="5" t="str">
        <f ca="1">IFERROR(__xludf.DUMMYFUNCTION("""COMPUTED_VALUE"""),"Unknown")</f>
        <v>Unknown</v>
      </c>
      <c r="D1593" s="5"/>
    </row>
    <row r="1594" spans="1:4">
      <c r="A1594" s="5" t="str">
        <f ca="1">IFERROR(__xludf.DUMMYFUNCTION("""COMPUTED_VALUE"""),"19931012DEDON")</f>
        <v>19931012DEDON</v>
      </c>
      <c r="B1594" s="5" t="str">
        <f ca="1">IFERROR(__xludf.DUMMYFUNCTION("""COMPUTED_VALUE"""),"Handgun")</f>
        <v>Handgun</v>
      </c>
      <c r="C1594" s="5" t="str">
        <f ca="1">IFERROR(__xludf.DUMMYFUNCTION("""COMPUTED_VALUE"""),".25 caliber")</f>
        <v>.25 caliber</v>
      </c>
      <c r="D1594" s="5"/>
    </row>
    <row r="1595" spans="1:4">
      <c r="A1595" s="5" t="str">
        <f ca="1">IFERROR(__xludf.DUMMYFUNCTION("""COMPUTED_VALUE"""),"19930928MSCOG")</f>
        <v>19930928MSCOG</v>
      </c>
      <c r="B1595" s="5" t="str">
        <f ca="1">IFERROR(__xludf.DUMMYFUNCTION("""COMPUTED_VALUE"""),"Handgun")</f>
        <v>Handgun</v>
      </c>
      <c r="C1595" s="5" t="str">
        <f ca="1">IFERROR(__xludf.DUMMYFUNCTION("""COMPUTED_VALUE"""),".22 caliber")</f>
        <v>.22 caliber</v>
      </c>
      <c r="D1595" s="5"/>
    </row>
    <row r="1596" spans="1:4">
      <c r="A1596" s="5" t="str">
        <f ca="1">IFERROR(__xludf.DUMMYFUNCTION("""COMPUTED_VALUE"""),"19930925DCWEW")</f>
        <v>19930925DCWEW</v>
      </c>
      <c r="B1596" s="5" t="str">
        <f ca="1">IFERROR(__xludf.DUMMYFUNCTION("""COMPUTED_VALUE"""),"Handgun")</f>
        <v>Handgun</v>
      </c>
      <c r="C1596" s="5" t="str">
        <f ca="1">IFERROR(__xludf.DUMMYFUNCTION("""COMPUTED_VALUE"""),"Unknown")</f>
        <v>Unknown</v>
      </c>
      <c r="D1596" s="5"/>
    </row>
    <row r="1597" spans="1:4">
      <c r="A1597" s="5" t="str">
        <f ca="1">IFERROR(__xludf.DUMMYFUNCTION("""COMPUTED_VALUE"""),"19930917WYCES")</f>
        <v>19930917WYCES</v>
      </c>
      <c r="B1597" s="5" t="str">
        <f ca="1">IFERROR(__xludf.DUMMYFUNCTION("""COMPUTED_VALUE"""),"Multiple Unknown")</f>
        <v>Multiple Unknown</v>
      </c>
      <c r="C1597" s="5" t="str">
        <f ca="1">IFERROR(__xludf.DUMMYFUNCTION("""COMPUTED_VALUE"""),"Unknown")</f>
        <v>Unknown</v>
      </c>
      <c r="D1597" s="5" t="str">
        <f ca="1">IFERROR(__xludf.DUMMYFUNCTION("""COMPUTED_VALUE"""),"Owned multiple firearms, military")</f>
        <v>Owned multiple firearms, military</v>
      </c>
    </row>
    <row r="1598" spans="1:4">
      <c r="A1598" s="5" t="str">
        <f ca="1">IFERROR(__xludf.DUMMYFUNCTION("""COMPUTED_VALUE"""),"19930917ILDOD")</f>
        <v>19930917ILDOD</v>
      </c>
      <c r="B1598" s="5" t="str">
        <f ca="1">IFERROR(__xludf.DUMMYFUNCTION("""COMPUTED_VALUE"""),"Handgun")</f>
        <v>Handgun</v>
      </c>
      <c r="C1598" s="5" t="str">
        <f ca="1">IFERROR(__xludf.DUMMYFUNCTION("""COMPUTED_VALUE"""),".25 caliber")</f>
        <v>.25 caliber</v>
      </c>
      <c r="D1598" s="5"/>
    </row>
    <row r="1599" spans="1:4">
      <c r="A1599" s="5" t="str">
        <f ca="1">IFERROR(__xludf.DUMMYFUNCTION("""COMPUTED_VALUE"""),"19930916ILROC")</f>
        <v>19930916ILROC</v>
      </c>
      <c r="B1599" s="5" t="str">
        <f ca="1">IFERROR(__xludf.DUMMYFUNCTION("""COMPUTED_VALUE"""),"No Data")</f>
        <v>No Data</v>
      </c>
      <c r="C1599" s="5"/>
      <c r="D1599" s="5"/>
    </row>
    <row r="1600" spans="1:4">
      <c r="A1600" s="5" t="str">
        <f ca="1">IFERROR(__xludf.DUMMYFUNCTION("""COMPUTED_VALUE"""),"19930912ALFAF")</f>
        <v>19930912ALFAF</v>
      </c>
      <c r="B1600" s="5" t="str">
        <f ca="1">IFERROR(__xludf.DUMMYFUNCTION("""COMPUTED_VALUE"""),"Handgun")</f>
        <v>Handgun</v>
      </c>
      <c r="C1600" s="5"/>
      <c r="D1600" s="5"/>
    </row>
    <row r="1601" spans="1:4">
      <c r="A1601" s="5" t="str">
        <f ca="1">IFERROR(__xludf.DUMMYFUNCTION("""COMPUTED_VALUE"""),"19930902TXROD")</f>
        <v>19930902TXROD</v>
      </c>
      <c r="B1601" s="5" t="str">
        <f ca="1">IFERROR(__xludf.DUMMYFUNCTION("""COMPUTED_VALUE"""),"Handgun")</f>
        <v>Handgun</v>
      </c>
      <c r="C1601" s="5" t="str">
        <f ca="1">IFERROR(__xludf.DUMMYFUNCTION("""COMPUTED_VALUE"""),"Unknown")</f>
        <v>Unknown</v>
      </c>
      <c r="D1601" s="5"/>
    </row>
    <row r="1602" spans="1:4">
      <c r="A1602" s="5" t="str">
        <f ca="1">IFERROR(__xludf.DUMMYFUNCTION("""COMPUTED_VALUE"""),"19930901KSJUJ")</f>
        <v>19930901KSJUJ</v>
      </c>
      <c r="B1602" s="5" t="str">
        <f ca="1">IFERROR(__xludf.DUMMYFUNCTION("""COMPUTED_VALUE"""),"Handgun")</f>
        <v>Handgun</v>
      </c>
      <c r="C1602" s="5" t="str">
        <f ca="1">IFERROR(__xludf.DUMMYFUNCTION("""COMPUTED_VALUE"""),"Unknown")</f>
        <v>Unknown</v>
      </c>
      <c r="D1602" s="5"/>
    </row>
    <row r="1603" spans="1:4">
      <c r="A1603" s="5" t="str">
        <f ca="1">IFERROR(__xludf.DUMMYFUNCTION("""COMPUTED_VALUE"""),"19930831GAHAA")</f>
        <v>19930831GAHAA</v>
      </c>
      <c r="B1603" s="5" t="str">
        <f ca="1">IFERROR(__xludf.DUMMYFUNCTION("""COMPUTED_VALUE"""),"Handgun")</f>
        <v>Handgun</v>
      </c>
      <c r="C1603" s="5" t="str">
        <f ca="1">IFERROR(__xludf.DUMMYFUNCTION("""COMPUTED_VALUE"""),".22 caliber")</f>
        <v>.22 caliber</v>
      </c>
      <c r="D1603" s="5"/>
    </row>
    <row r="1604" spans="1:4">
      <c r="A1604" s="5" t="str">
        <f ca="1">IFERROR(__xludf.DUMMYFUNCTION("""COMPUTED_VALUE"""),"19930803NYTHN")</f>
        <v>19930803NYTHN</v>
      </c>
      <c r="B1604" s="5" t="str">
        <f ca="1">IFERROR(__xludf.DUMMYFUNCTION("""COMPUTED_VALUE"""),"Handgun")</f>
        <v>Handgun</v>
      </c>
      <c r="C1604" s="5" t="str">
        <f ca="1">IFERROR(__xludf.DUMMYFUNCTION("""COMPUTED_VALUE"""),"Unknown")</f>
        <v>Unknown</v>
      </c>
      <c r="D1604" s="5"/>
    </row>
    <row r="1605" spans="1:4">
      <c r="A1605" s="5" t="str">
        <f ca="1">IFERROR(__xludf.DUMMYFUNCTION("""COMPUTED_VALUE"""),"19930707CADOL")</f>
        <v>19930707CADOL</v>
      </c>
      <c r="B1605" s="5" t="str">
        <f ca="1">IFERROR(__xludf.DUMMYFUNCTION("""COMPUTED_VALUE"""),"Handgun")</f>
        <v>Handgun</v>
      </c>
      <c r="C1605" s="5" t="str">
        <f ca="1">IFERROR(__xludf.DUMMYFUNCTION("""COMPUTED_VALUE"""),"Unknown")</f>
        <v>Unknown</v>
      </c>
      <c r="D1605" s="5"/>
    </row>
    <row r="1606" spans="1:4">
      <c r="A1606" s="5" t="str">
        <f ca="1">IFERROR(__xludf.DUMMYFUNCTION("""COMPUTED_VALUE"""),"19930527LAFRN")</f>
        <v>19930527LAFRN</v>
      </c>
      <c r="B1606" s="5" t="str">
        <f ca="1">IFERROR(__xludf.DUMMYFUNCTION("""COMPUTED_VALUE"""),"Handgun")</f>
        <v>Handgun</v>
      </c>
      <c r="C1606" s="5" t="str">
        <f ca="1">IFERROR(__xludf.DUMMYFUNCTION("""COMPUTED_VALUE"""),"Unknown")</f>
        <v>Unknown</v>
      </c>
      <c r="D1606" s="5"/>
    </row>
    <row r="1607" spans="1:4">
      <c r="A1607" s="5" t="str">
        <f ca="1">IFERROR(__xludf.DUMMYFUNCTION("""COMPUTED_VALUE"""),"19930524PAUPP")</f>
        <v>19930524PAUPP</v>
      </c>
      <c r="B1607" s="5" t="str">
        <f ca="1">IFERROR(__xludf.DUMMYFUNCTION("""COMPUTED_VALUE"""),"Handgun")</f>
        <v>Handgun</v>
      </c>
      <c r="C1607" s="5" t="str">
        <f ca="1">IFERROR(__xludf.DUMMYFUNCTION("""COMPUTED_VALUE"""),".22 caliber")</f>
        <v>.22 caliber</v>
      </c>
      <c r="D1607" s="5"/>
    </row>
    <row r="1608" spans="1:4">
      <c r="A1608" s="5" t="str">
        <f ca="1">IFERROR(__xludf.DUMMYFUNCTION("""COMPUTED_VALUE"""),"19930514TXNII")</f>
        <v>19930514TXNII</v>
      </c>
      <c r="B1608" s="5" t="str">
        <f ca="1">IFERROR(__xludf.DUMMYFUNCTION("""COMPUTED_VALUE"""),"Handgun")</f>
        <v>Handgun</v>
      </c>
      <c r="C1608" s="5" t="str">
        <f ca="1">IFERROR(__xludf.DUMMYFUNCTION("""COMPUTED_VALUE"""),".38 caliber")</f>
        <v>.38 caliber</v>
      </c>
      <c r="D1608" s="5"/>
    </row>
    <row r="1609" spans="1:4">
      <c r="A1609" s="5" t="str">
        <f ca="1">IFERROR(__xludf.DUMMYFUNCTION("""COMPUTED_VALUE"""),"19930416WAMOT")</f>
        <v>19930416WAMOT</v>
      </c>
      <c r="B1609" s="5" t="str">
        <f ca="1">IFERROR(__xludf.DUMMYFUNCTION("""COMPUTED_VALUE"""),"Handgun")</f>
        <v>Handgun</v>
      </c>
      <c r="C1609" s="5" t="str">
        <f ca="1">IFERROR(__xludf.DUMMYFUNCTION("""COMPUTED_VALUE"""),".357 caliber")</f>
        <v>.357 caliber</v>
      </c>
      <c r="D1609" s="5"/>
    </row>
    <row r="1610" spans="1:4">
      <c r="A1610" s="5" t="str">
        <f ca="1">IFERROR(__xludf.DUMMYFUNCTION("""COMPUTED_VALUE"""),"19930416CAGRS")</f>
        <v>19930416CAGRS</v>
      </c>
      <c r="B1610" s="5" t="str">
        <f ca="1">IFERROR(__xludf.DUMMYFUNCTION("""COMPUTED_VALUE"""),"Handgun")</f>
        <v>Handgun</v>
      </c>
      <c r="C1610" s="5" t="str">
        <f ca="1">IFERROR(__xludf.DUMMYFUNCTION("""COMPUTED_VALUE"""),"Unknown")</f>
        <v>Unknown</v>
      </c>
      <c r="D1610" s="5"/>
    </row>
    <row r="1611" spans="1:4">
      <c r="A1611" s="5" t="str">
        <f ca="1">IFERROR(__xludf.DUMMYFUNCTION("""COMPUTED_VALUE"""),"19930415MAFOA")</f>
        <v>19930415MAFOA</v>
      </c>
      <c r="B1611" s="5" t="str">
        <f ca="1">IFERROR(__xludf.DUMMYFUNCTION("""COMPUTED_VALUE"""),"Shotgun")</f>
        <v>Shotgun</v>
      </c>
      <c r="C1611" s="5" t="str">
        <f ca="1">IFERROR(__xludf.DUMMYFUNCTION("""COMPUTED_VALUE"""),"Unknown")</f>
        <v>Unknown</v>
      </c>
      <c r="D1611" s="5"/>
    </row>
    <row r="1612" spans="1:4">
      <c r="A1612" s="5" t="str">
        <f ca="1">IFERROR(__xludf.DUMMYFUNCTION("""COMPUTED_VALUE"""),"19930403CAGRS")</f>
        <v>19930403CAGRS</v>
      </c>
      <c r="B1612" s="5" t="str">
        <f ca="1">IFERROR(__xludf.DUMMYFUNCTION("""COMPUTED_VALUE"""),"Shotgun")</f>
        <v>Shotgun</v>
      </c>
      <c r="C1612" s="5" t="str">
        <f ca="1">IFERROR(__xludf.DUMMYFUNCTION("""COMPUTED_VALUE"""),"Unknown")</f>
        <v>Unknown</v>
      </c>
      <c r="D1612" s="5"/>
    </row>
    <row r="1613" spans="1:4">
      <c r="A1613" s="5" t="str">
        <f ca="1">IFERROR(__xludf.DUMMYFUNCTION("""COMPUTED_VALUE"""),"19930325MOSUS")</f>
        <v>19930325MOSUS</v>
      </c>
      <c r="B1613" s="5" t="str">
        <f ca="1">IFERROR(__xludf.DUMMYFUNCTION("""COMPUTED_VALUE"""),"Handgun")</f>
        <v>Handgun</v>
      </c>
      <c r="C1613" s="5" t="str">
        <f ca="1">IFERROR(__xludf.DUMMYFUNCTION("""COMPUTED_VALUE"""),"Unknown")</f>
        <v>Unknown</v>
      </c>
      <c r="D1613" s="5"/>
    </row>
    <row r="1614" spans="1:4">
      <c r="A1614" s="5" t="str">
        <f ca="1">IFERROR(__xludf.DUMMYFUNCTION("""COMPUTED_VALUE"""),"19930318GAHAH")</f>
        <v>19930318GAHAH</v>
      </c>
      <c r="B1614" s="5" t="str">
        <f ca="1">IFERROR(__xludf.DUMMYFUNCTION("""COMPUTED_VALUE"""),"Handgun")</f>
        <v>Handgun</v>
      </c>
      <c r="C1614" s="5" t="str">
        <f ca="1">IFERROR(__xludf.DUMMYFUNCTION("""COMPUTED_VALUE"""),"Unknown")</f>
        <v>Unknown</v>
      </c>
      <c r="D1614" s="5"/>
    </row>
    <row r="1615" spans="1:4">
      <c r="A1615" s="5" t="str">
        <f ca="1">IFERROR(__xludf.DUMMYFUNCTION("""COMPUTED_VALUE"""),"19930308VADOD")</f>
        <v>19930308VADOD</v>
      </c>
      <c r="B1615" s="5" t="str">
        <f ca="1">IFERROR(__xludf.DUMMYFUNCTION("""COMPUTED_VALUE"""),"Handgun")</f>
        <v>Handgun</v>
      </c>
      <c r="C1615" s="5" t="str">
        <f ca="1">IFERROR(__xludf.DUMMYFUNCTION("""COMPUTED_VALUE"""),".38 caliber")</f>
        <v>.38 caliber</v>
      </c>
      <c r="D1615" s="5"/>
    </row>
    <row r="1616" spans="1:4">
      <c r="A1616" s="5" t="str">
        <f ca="1">IFERROR(__xludf.DUMMYFUNCTION("""COMPUTED_VALUE"""),"19930226MAGLG")</f>
        <v>19930226MAGLG</v>
      </c>
      <c r="B1616" s="5" t="str">
        <f ca="1">IFERROR(__xludf.DUMMYFUNCTION("""COMPUTED_VALUE"""),"No Data")</f>
        <v>No Data</v>
      </c>
      <c r="C1616" s="5"/>
      <c r="D1616" s="5"/>
    </row>
    <row r="1617" spans="1:4">
      <c r="A1617" s="5" t="str">
        <f ca="1">IFERROR(__xludf.DUMMYFUNCTION("""COMPUTED_VALUE"""),"19930222CAREL")</f>
        <v>19930222CAREL</v>
      </c>
      <c r="B1617" s="5" t="str">
        <f ca="1">IFERROR(__xludf.DUMMYFUNCTION("""COMPUTED_VALUE"""),"Handgun")</f>
        <v>Handgun</v>
      </c>
      <c r="C1617" s="5" t="str">
        <f ca="1">IFERROR(__xludf.DUMMYFUNCTION("""COMPUTED_VALUE"""),"Unknown")</f>
        <v>Unknown</v>
      </c>
      <c r="D1617" s="5"/>
    </row>
    <row r="1618" spans="1:4">
      <c r="A1618" s="5" t="str">
        <f ca="1">IFERROR(__xludf.DUMMYFUNCTION("""COMPUTED_VALUE"""),"19930208MNMIM")</f>
        <v>19930208MNMIM</v>
      </c>
      <c r="B1618" s="5" t="str">
        <f ca="1">IFERROR(__xludf.DUMMYFUNCTION("""COMPUTED_VALUE"""),"Rifle")</f>
        <v>Rifle</v>
      </c>
      <c r="C1618" s="5" t="str">
        <f ca="1">IFERROR(__xludf.DUMMYFUNCTION("""COMPUTED_VALUE"""),".30-30")</f>
        <v>.30-30</v>
      </c>
      <c r="D1618" s="5"/>
    </row>
    <row r="1619" spans="1:4">
      <c r="A1619" s="5" t="str">
        <f ca="1">IFERROR(__xludf.DUMMYFUNCTION("""COMPUTED_VALUE"""),"19930208DCWAW")</f>
        <v>19930208DCWAW</v>
      </c>
      <c r="B1619" s="5" t="str">
        <f ca="1">IFERROR(__xludf.DUMMYFUNCTION("""COMPUTED_VALUE"""),"Handgun")</f>
        <v>Handgun</v>
      </c>
      <c r="C1619" s="5" t="str">
        <f ca="1">IFERROR(__xludf.DUMMYFUNCTION("""COMPUTED_VALUE"""),"Unknown")</f>
        <v>Unknown</v>
      </c>
      <c r="D1619" s="5"/>
    </row>
    <row r="1620" spans="1:4">
      <c r="A1620" s="5" t="str">
        <f ca="1">IFERROR(__xludf.DUMMYFUNCTION("""COMPUTED_VALUE"""),"19930204GACLA")</f>
        <v>19930204GACLA</v>
      </c>
      <c r="B1620" s="5" t="str">
        <f ca="1">IFERROR(__xludf.DUMMYFUNCTION("""COMPUTED_VALUE"""),"Handgun")</f>
        <v>Handgun</v>
      </c>
      <c r="C1620" s="5" t="str">
        <f ca="1">IFERROR(__xludf.DUMMYFUNCTION("""COMPUTED_VALUE"""),"Unknown")</f>
        <v>Unknown</v>
      </c>
      <c r="D1620" s="5"/>
    </row>
    <row r="1621" spans="1:4">
      <c r="A1621" s="5" t="str">
        <f ca="1">IFERROR(__xludf.DUMMYFUNCTION("""COMPUTED_VALUE"""),"19930203SCLEL")</f>
        <v>19930203SCLEL</v>
      </c>
      <c r="B1621" s="5" t="str">
        <f ca="1">IFERROR(__xludf.DUMMYFUNCTION("""COMPUTED_VALUE"""),"Handgun")</f>
        <v>Handgun</v>
      </c>
      <c r="C1621" s="5"/>
      <c r="D1621" s="5"/>
    </row>
    <row r="1622" spans="1:4">
      <c r="A1622" s="5" t="str">
        <f ca="1">IFERROR(__xludf.DUMMYFUNCTION("""COMPUTED_VALUE"""),"19930203SCGAC")</f>
        <v>19930203SCGAC</v>
      </c>
      <c r="B1622" s="5" t="str">
        <f ca="1">IFERROR(__xludf.DUMMYFUNCTION("""COMPUTED_VALUE"""),"Handgun")</f>
        <v>Handgun</v>
      </c>
      <c r="C1622" s="5" t="str">
        <f ca="1">IFERROR(__xludf.DUMMYFUNCTION("""COMPUTED_VALUE"""),"9mm")</f>
        <v>9mm</v>
      </c>
      <c r="D1622" s="5"/>
    </row>
    <row r="1623" spans="1:4">
      <c r="A1623" s="5" t="str">
        <f ca="1">IFERROR(__xludf.DUMMYFUNCTION("""COMPUTED_VALUE"""),"19930201WARER")</f>
        <v>19930201WARER</v>
      </c>
      <c r="B1623" s="5" t="str">
        <f ca="1">IFERROR(__xludf.DUMMYFUNCTION("""COMPUTED_VALUE"""),"No Data")</f>
        <v>No Data</v>
      </c>
      <c r="C1623" s="5"/>
      <c r="D1623" s="5"/>
    </row>
    <row r="1624" spans="1:4">
      <c r="A1624" s="5" t="str">
        <f ca="1">IFERROR(__xludf.DUMMYFUNCTION("""COMPUTED_VALUE"""),"19930201NYAMA")</f>
        <v>19930201NYAMA</v>
      </c>
      <c r="B1624" s="5" t="str">
        <f ca="1">IFERROR(__xludf.DUMMYFUNCTION("""COMPUTED_VALUE"""),"Handgun")</f>
        <v>Handgun</v>
      </c>
      <c r="C1624" s="5" t="str">
        <f ca="1">IFERROR(__xludf.DUMMYFUNCTION("""COMPUTED_VALUE"""),".22 caliber")</f>
        <v>.22 caliber</v>
      </c>
      <c r="D1624" s="5"/>
    </row>
    <row r="1625" spans="1:4">
      <c r="A1625" s="5" t="str">
        <f ca="1">IFERROR(__xludf.DUMMYFUNCTION("""COMPUTED_VALUE"""),"19930121CAFAL")</f>
        <v>19930121CAFAL</v>
      </c>
      <c r="B1625" s="5" t="str">
        <f ca="1">IFERROR(__xludf.DUMMYFUNCTION("""COMPUTED_VALUE"""),"Handgun")</f>
        <v>Handgun</v>
      </c>
      <c r="C1625" s="5" t="str">
        <f ca="1">IFERROR(__xludf.DUMMYFUNCTION("""COMPUTED_VALUE"""),".357 caliber")</f>
        <v>.357 caliber</v>
      </c>
      <c r="D1625" s="5"/>
    </row>
    <row r="1626" spans="1:4">
      <c r="A1626" s="5" t="str">
        <f ca="1">IFERROR(__xludf.DUMMYFUNCTION("""COMPUTED_VALUE"""),"19930118KYEAG")</f>
        <v>19930118KYEAG</v>
      </c>
      <c r="B1626" s="5" t="str">
        <f ca="1">IFERROR(__xludf.DUMMYFUNCTION("""COMPUTED_VALUE"""),"Handgun")</f>
        <v>Handgun</v>
      </c>
      <c r="C1626" s="5" t="str">
        <f ca="1">IFERROR(__xludf.DUMMYFUNCTION("""COMPUTED_VALUE"""),".38 caliber")</f>
        <v>.38 caliber</v>
      </c>
      <c r="D1626" s="5"/>
    </row>
    <row r="1627" spans="1:4">
      <c r="A1627" s="5" t="str">
        <f ca="1">IFERROR(__xludf.DUMMYFUNCTION("""COMPUTED_VALUE"""),"19930112FLNOM")</f>
        <v>19930112FLNOM</v>
      </c>
      <c r="B1627" s="5" t="str">
        <f ca="1">IFERROR(__xludf.DUMMYFUNCTION("""COMPUTED_VALUE"""),"Handgun")</f>
        <v>Handgun</v>
      </c>
      <c r="C1627" s="5" t="str">
        <f ca="1">IFERROR(__xludf.DUMMYFUNCTION("""COMPUTED_VALUE"""),"Unknown")</f>
        <v>Unknown</v>
      </c>
      <c r="D1627" s="5"/>
    </row>
    <row r="1628" spans="1:4">
      <c r="A1628" s="5" t="str">
        <f ca="1">IFERROR(__xludf.DUMMYFUNCTION("""COMPUTED_VALUE"""),"19930108PACRM")</f>
        <v>19930108PACRM</v>
      </c>
      <c r="B1628" s="5" t="str">
        <f ca="1">IFERROR(__xludf.DUMMYFUNCTION("""COMPUTED_VALUE"""),"Handgun")</f>
        <v>Handgun</v>
      </c>
      <c r="C1628" s="5"/>
      <c r="D1628" s="5"/>
    </row>
    <row r="1629" spans="1:4">
      <c r="A1629" s="5" t="str">
        <f ca="1">IFERROR(__xludf.DUMMYFUNCTION("""COMPUTED_VALUE"""),"19930105NYBRB")</f>
        <v>19930105NYBRB</v>
      </c>
      <c r="B1629" s="5" t="str">
        <f ca="1">IFERROR(__xludf.DUMMYFUNCTION("""COMPUTED_VALUE"""),"No Data")</f>
        <v>No Data</v>
      </c>
      <c r="C1629" s="5"/>
      <c r="D1629" s="5"/>
    </row>
    <row r="1630" spans="1:4">
      <c r="A1630" s="5" t="str">
        <f ca="1">IFERROR(__xludf.DUMMYFUNCTION("""COMPUTED_VALUE"""),"19921214NYWAW")</f>
        <v>19921214NYWAW</v>
      </c>
      <c r="B1630" s="5" t="str">
        <f ca="1">IFERROR(__xludf.DUMMYFUNCTION("""COMPUTED_VALUE"""),"Handgun")</f>
        <v>Handgun</v>
      </c>
      <c r="C1630" s="5" t="str">
        <f ca="1">IFERROR(__xludf.DUMMYFUNCTION("""COMPUTED_VALUE"""),".357 caliber")</f>
        <v>.357 caliber</v>
      </c>
      <c r="D1630" s="5"/>
    </row>
    <row r="1631" spans="1:4">
      <c r="A1631" s="5" t="str">
        <f ca="1">IFERROR(__xludf.DUMMYFUNCTION("""COMPUTED_VALUE"""),"19921203ILWOC")</f>
        <v>19921203ILWOC</v>
      </c>
      <c r="B1631" s="5" t="str">
        <f ca="1">IFERROR(__xludf.DUMMYFUNCTION("""COMPUTED_VALUE"""),"Handgun")</f>
        <v>Handgun</v>
      </c>
      <c r="C1631" s="5" t="str">
        <f ca="1">IFERROR(__xludf.DUMMYFUNCTION("""COMPUTED_VALUE"""),".357 caliber")</f>
        <v>.357 caliber</v>
      </c>
      <c r="D1631" s="5"/>
    </row>
    <row r="1632" spans="1:4">
      <c r="A1632" s="5" t="str">
        <f ca="1">IFERROR(__xludf.DUMMYFUNCTION("""COMPUTED_VALUE"""),"19921130ILORC")</f>
        <v>19921130ILORC</v>
      </c>
      <c r="B1632" s="5" t="str">
        <f ca="1">IFERROR(__xludf.DUMMYFUNCTION("""COMPUTED_VALUE"""),"Handgun")</f>
        <v>Handgun</v>
      </c>
      <c r="C1632" s="5" t="str">
        <f ca="1">IFERROR(__xludf.DUMMYFUNCTION("""COMPUTED_VALUE"""),"Unknown")</f>
        <v>Unknown</v>
      </c>
      <c r="D1632" s="5"/>
    </row>
    <row r="1633" spans="1:4">
      <c r="A1633" s="5" t="str">
        <f ca="1">IFERROR(__xludf.DUMMYFUNCTION("""COMPUTED_VALUE"""),"19921124ALROM")</f>
        <v>19921124ALROM</v>
      </c>
      <c r="B1633" s="5" t="str">
        <f ca="1">IFERROR(__xludf.DUMMYFUNCTION("""COMPUTED_VALUE"""),"Handgun")</f>
        <v>Handgun</v>
      </c>
      <c r="C1633" s="5" t="str">
        <f ca="1">IFERROR(__xludf.DUMMYFUNCTION("""COMPUTED_VALUE"""),"Unknown")</f>
        <v>Unknown</v>
      </c>
      <c r="D1633" s="5"/>
    </row>
    <row r="1634" spans="1:4">
      <c r="A1634" s="5" t="str">
        <f ca="1">IFERROR(__xludf.DUMMYFUNCTION("""COMPUTED_VALUE"""),"19921120ILTIC")</f>
        <v>19921120ILTIC</v>
      </c>
      <c r="B1634" s="5" t="str">
        <f ca="1">IFERROR(__xludf.DUMMYFUNCTION("""COMPUTED_VALUE"""),"Handgun")</f>
        <v>Handgun</v>
      </c>
      <c r="C1634" s="5" t="str">
        <f ca="1">IFERROR(__xludf.DUMMYFUNCTION("""COMPUTED_VALUE"""),".22 caliber")</f>
        <v>.22 caliber</v>
      </c>
      <c r="D1634" s="5"/>
    </row>
    <row r="1635" spans="1:4">
      <c r="A1635" s="5" t="str">
        <f ca="1">IFERROR(__xludf.DUMMYFUNCTION("""COMPUTED_VALUE"""),"19921116ALFAB")</f>
        <v>19921116ALFAB</v>
      </c>
      <c r="B1635" s="5" t="str">
        <f ca="1">IFERROR(__xludf.DUMMYFUNCTION("""COMPUTED_VALUE"""),"Handgun")</f>
        <v>Handgun</v>
      </c>
      <c r="C1635" s="5" t="str">
        <f ca="1">IFERROR(__xludf.DUMMYFUNCTION("""COMPUTED_VALUE"""),"Unknown")</f>
        <v>Unknown</v>
      </c>
      <c r="D1635" s="5"/>
    </row>
    <row r="1636" spans="1:4">
      <c r="A1636" s="5" t="str">
        <f ca="1">IFERROR(__xludf.DUMMYFUNCTION("""COMPUTED_VALUE"""),"19921113TXLAC")</f>
        <v>19921113TXLAC</v>
      </c>
      <c r="B1636" s="5" t="str">
        <f ca="1">IFERROR(__xludf.DUMMYFUNCTION("""COMPUTED_VALUE"""),"Handgun")</f>
        <v>Handgun</v>
      </c>
      <c r="C1636" s="5" t="str">
        <f ca="1">IFERROR(__xludf.DUMMYFUNCTION("""COMPUTED_VALUE"""),".45 caliber")</f>
        <v>.45 caliber</v>
      </c>
      <c r="D1636" s="5"/>
    </row>
    <row r="1637" spans="1:4">
      <c r="A1637" s="5" t="str">
        <f ca="1">IFERROR(__xludf.DUMMYFUNCTION("""COMPUTED_VALUE"""),"19921110ILSHC")</f>
        <v>19921110ILSHC</v>
      </c>
      <c r="B1637" s="5" t="str">
        <f ca="1">IFERROR(__xludf.DUMMYFUNCTION("""COMPUTED_VALUE"""),"Handgun")</f>
        <v>Handgun</v>
      </c>
      <c r="C1637" s="5" t="str">
        <f ca="1">IFERROR(__xludf.DUMMYFUNCTION("""COMPUTED_VALUE"""),".22 caliber")</f>
        <v>.22 caliber</v>
      </c>
      <c r="D1637" s="5"/>
    </row>
    <row r="1638" spans="1:4">
      <c r="A1638" s="5" t="str">
        <f ca="1">IFERROR(__xludf.DUMMYFUNCTION("""COMPUTED_VALUE"""),"19921104MIMUD")</f>
        <v>19921104MIMUD</v>
      </c>
      <c r="B1638" s="5" t="str">
        <f ca="1">IFERROR(__xludf.DUMMYFUNCTION("""COMPUTED_VALUE"""),"Handgun")</f>
        <v>Handgun</v>
      </c>
      <c r="C1638" s="5" t="str">
        <f ca="1">IFERROR(__xludf.DUMMYFUNCTION("""COMPUTED_VALUE"""),"Unknown")</f>
        <v>Unknown</v>
      </c>
      <c r="D1638" s="5"/>
    </row>
    <row r="1639" spans="1:4">
      <c r="A1639" s="5" t="str">
        <f ca="1">IFERROR(__xludf.DUMMYFUNCTION("""COMPUTED_VALUE"""),"19921104MIMAD")</f>
        <v>19921104MIMAD</v>
      </c>
      <c r="B1639" s="5" t="str">
        <f ca="1">IFERROR(__xludf.DUMMYFUNCTION("""COMPUTED_VALUE"""),"No Data")</f>
        <v>No Data</v>
      </c>
      <c r="C1639" s="5"/>
      <c r="D1639" s="5"/>
    </row>
    <row r="1640" spans="1:4">
      <c r="A1640" s="5" t="str">
        <f ca="1">IFERROR(__xludf.DUMMYFUNCTION("""COMPUTED_VALUE"""),"19921104MIFID")</f>
        <v>19921104MIFID</v>
      </c>
      <c r="B1640" s="5" t="str">
        <f ca="1">IFERROR(__xludf.DUMMYFUNCTION("""COMPUTED_VALUE"""),"Multiple Unknown")</f>
        <v>Multiple Unknown</v>
      </c>
      <c r="C1640" s="5" t="str">
        <f ca="1">IFERROR(__xludf.DUMMYFUNCTION("""COMPUTED_VALUE"""),"Unknown")</f>
        <v>Unknown</v>
      </c>
      <c r="D1640" s="5"/>
    </row>
    <row r="1641" spans="1:4">
      <c r="A1641" s="5" t="str">
        <f ca="1">IFERROR(__xludf.DUMMYFUNCTION("""COMPUTED_VALUE"""),"19921019NYEVB")</f>
        <v>19921019NYEVB</v>
      </c>
      <c r="B1641" s="5" t="str">
        <f ca="1">IFERROR(__xludf.DUMMYFUNCTION("""COMPUTED_VALUE"""),"Rifle")</f>
        <v>Rifle</v>
      </c>
      <c r="C1641" s="5" t="str">
        <f ca="1">IFERROR(__xludf.DUMMYFUNCTION("""COMPUTED_VALUE"""),"Unknown")</f>
        <v>Unknown</v>
      </c>
      <c r="D1641" s="5"/>
    </row>
    <row r="1642" spans="1:4">
      <c r="A1642" s="5" t="str">
        <f ca="1">IFERROR(__xludf.DUMMYFUNCTION("""COMPUTED_VALUE"""),"19921013AZDET")</f>
        <v>19921013AZDET</v>
      </c>
      <c r="B1642" s="5" t="str">
        <f ca="1">IFERROR(__xludf.DUMMYFUNCTION("""COMPUTED_VALUE"""),"Handgun")</f>
        <v>Handgun</v>
      </c>
      <c r="C1642" s="5" t="str">
        <f ca="1">IFERROR(__xludf.DUMMYFUNCTION("""COMPUTED_VALUE"""),".22 caliber")</f>
        <v>.22 caliber</v>
      </c>
      <c r="D1642" s="5"/>
    </row>
    <row r="1643" spans="1:4">
      <c r="A1643" s="5" t="str">
        <f ca="1">IFERROR(__xludf.DUMMYFUNCTION("""COMPUTED_VALUE"""),"19920930TXHOH")</f>
        <v>19920930TXHOH</v>
      </c>
      <c r="B1643" s="5" t="str">
        <f ca="1">IFERROR(__xludf.DUMMYFUNCTION("""COMPUTED_VALUE"""),"Shotgun")</f>
        <v>Shotgun</v>
      </c>
      <c r="C1643" s="5" t="str">
        <f ca="1">IFERROR(__xludf.DUMMYFUNCTION("""COMPUTED_VALUE"""),"Unknown")</f>
        <v>Unknown</v>
      </c>
      <c r="D1643" s="5"/>
    </row>
    <row r="1644" spans="1:4">
      <c r="A1644" s="5" t="str">
        <f ca="1">IFERROR(__xludf.DUMMYFUNCTION("""COMPUTED_VALUE"""),"19920930CAPAL")</f>
        <v>19920930CAPAL</v>
      </c>
      <c r="B1644" s="5" t="str">
        <f ca="1">IFERROR(__xludf.DUMMYFUNCTION("""COMPUTED_VALUE"""),"Handgun")</f>
        <v>Handgun</v>
      </c>
      <c r="C1644" s="5"/>
      <c r="D1644" s="5"/>
    </row>
    <row r="1645" spans="1:4">
      <c r="A1645" s="5" t="str">
        <f ca="1">IFERROR(__xludf.DUMMYFUNCTION("""COMPUTED_VALUE"""),"19920928CAHIS")</f>
        <v>19920928CAHIS</v>
      </c>
      <c r="B1645" s="5" t="str">
        <f ca="1">IFERROR(__xludf.DUMMYFUNCTION("""COMPUTED_VALUE"""),"Handgun")</f>
        <v>Handgun</v>
      </c>
      <c r="C1645" s="5" t="str">
        <f ca="1">IFERROR(__xludf.DUMMYFUNCTION("""COMPUTED_VALUE"""),"Unknown")</f>
        <v>Unknown</v>
      </c>
      <c r="D1645" s="5"/>
    </row>
    <row r="1646" spans="1:4">
      <c r="A1646" s="5" t="str">
        <f ca="1">IFERROR(__xludf.DUMMYFUNCTION("""COMPUTED_VALUE"""),"19920911TXPAA")</f>
        <v>19920911TXPAA</v>
      </c>
      <c r="B1646" s="5" t="str">
        <f ca="1">IFERROR(__xludf.DUMMYFUNCTION("""COMPUTED_VALUE"""),"Handgun")</f>
        <v>Handgun</v>
      </c>
      <c r="C1646" s="5" t="str">
        <f ca="1">IFERROR(__xludf.DUMMYFUNCTION("""COMPUTED_VALUE"""),".22 caliber")</f>
        <v>.22 caliber</v>
      </c>
      <c r="D1646" s="5"/>
    </row>
    <row r="1647" spans="1:4">
      <c r="A1647" s="5" t="str">
        <f ca="1">IFERROR(__xludf.DUMMYFUNCTION("""COMPUTED_VALUE"""),"19920606CAMEM")</f>
        <v>19920606CAMEM</v>
      </c>
      <c r="B1647" s="5" t="str">
        <f ca="1">IFERROR(__xludf.DUMMYFUNCTION("""COMPUTED_VALUE"""),"Handgun")</f>
        <v>Handgun</v>
      </c>
      <c r="C1647" s="5" t="str">
        <f ca="1">IFERROR(__xludf.DUMMYFUNCTION("""COMPUTED_VALUE"""),"Unknown")</f>
        <v>Unknown</v>
      </c>
      <c r="D1647" s="5"/>
    </row>
    <row r="1648" spans="1:4">
      <c r="A1648" s="5" t="str">
        <f ca="1">IFERROR(__xludf.DUMMYFUNCTION("""COMPUTED_VALUE"""),"19920530DCARW")</f>
        <v>19920530DCARW</v>
      </c>
      <c r="B1648" s="5" t="str">
        <f ca="1">IFERROR(__xludf.DUMMYFUNCTION("""COMPUTED_VALUE"""),"Handgun")</f>
        <v>Handgun</v>
      </c>
      <c r="C1648" s="5"/>
      <c r="D1648" s="5"/>
    </row>
    <row r="1649" spans="1:4">
      <c r="A1649" s="5" t="str">
        <f ca="1">IFERROR(__xludf.DUMMYFUNCTION("""COMPUTED_VALUE"""),"19920529CAVEL")</f>
        <v>19920529CAVEL</v>
      </c>
      <c r="B1649" s="5" t="str">
        <f ca="1">IFERROR(__xludf.DUMMYFUNCTION("""COMPUTED_VALUE"""),"No Data")</f>
        <v>No Data</v>
      </c>
      <c r="C1649" s="5"/>
      <c r="D1649" s="5"/>
    </row>
    <row r="1650" spans="1:4">
      <c r="A1650" s="5" t="str">
        <f ca="1">IFERROR(__xludf.DUMMYFUNCTION("""COMPUTED_VALUE"""),"19920514TXHUH")</f>
        <v>19920514TXHUH</v>
      </c>
      <c r="B1650" s="5" t="str">
        <f ca="1">IFERROR(__xludf.DUMMYFUNCTION("""COMPUTED_VALUE"""),"Handgun")</f>
        <v>Handgun</v>
      </c>
      <c r="C1650" s="5" t="str">
        <f ca="1">IFERROR(__xludf.DUMMYFUNCTION("""COMPUTED_VALUE"""),"Unknown")</f>
        <v>Unknown</v>
      </c>
      <c r="D1650" s="5"/>
    </row>
    <row r="1651" spans="1:4">
      <c r="A1651" s="5" t="str">
        <f ca="1">IFERROR(__xludf.DUMMYFUNCTION("""COMPUTED_VALUE"""),"19920514CASIN")</f>
        <v>19920514CASIN</v>
      </c>
      <c r="B1651" s="5" t="str">
        <f ca="1">IFERROR(__xludf.DUMMYFUNCTION("""COMPUTED_VALUE"""),"Handgun")</f>
        <v>Handgun</v>
      </c>
      <c r="C1651" s="5" t="str">
        <f ca="1">IFERROR(__xludf.DUMMYFUNCTION("""COMPUTED_VALUE"""),".357 caliber")</f>
        <v>.357 caliber</v>
      </c>
      <c r="D1651" s="5"/>
    </row>
    <row r="1652" spans="1:4">
      <c r="A1652" s="5" t="str">
        <f ca="1">IFERROR(__xludf.DUMMYFUNCTION("""COMPUTED_VALUE"""),"19920501CALIO")</f>
        <v>19920501CALIO</v>
      </c>
      <c r="B1652" s="5" t="str">
        <f ca="1">IFERROR(__xludf.DUMMYFUNCTION("""COMPUTED_VALUE"""),"Rifle")</f>
        <v>Rifle</v>
      </c>
      <c r="C1652" s="5" t="str">
        <f ca="1">IFERROR(__xludf.DUMMYFUNCTION("""COMPUTED_VALUE"""),".22 caliber")</f>
        <v>.22 caliber</v>
      </c>
      <c r="D1652" s="5" t="str">
        <f ca="1">IFERROR(__xludf.DUMMYFUNCTION("""COMPUTED_VALUE"""),"Shotgun and .22 rifle")</f>
        <v>Shotgun and .22 rifle</v>
      </c>
    </row>
    <row r="1653" spans="1:4">
      <c r="A1653" s="5" t="str">
        <f ca="1">IFERROR(__xludf.DUMMYFUNCTION("""COMPUTED_VALUE"""),"19920501CALIO")</f>
        <v>19920501CALIO</v>
      </c>
      <c r="B1653" s="5" t="str">
        <f ca="1">IFERROR(__xludf.DUMMYFUNCTION("""COMPUTED_VALUE"""),"Shotgun")</f>
        <v>Shotgun</v>
      </c>
      <c r="C1653" s="5" t="str">
        <f ca="1">IFERROR(__xludf.DUMMYFUNCTION("""COMPUTED_VALUE"""),"Unknown")</f>
        <v>Unknown</v>
      </c>
      <c r="D1653" s="5" t="str">
        <f ca="1">IFERROR(__xludf.DUMMYFUNCTION("""COMPUTED_VALUE"""),"Shotgun and .22 rifle")</f>
        <v>Shotgun and .22 rifle</v>
      </c>
    </row>
    <row r="1654" spans="1:4">
      <c r="A1654" s="5" t="str">
        <f ca="1">IFERROR(__xludf.DUMMYFUNCTION("""COMPUTED_VALUE"""),"19920417TXLID")</f>
        <v>19920417TXLID</v>
      </c>
      <c r="B1654" s="5" t="str">
        <f ca="1">IFERROR(__xludf.DUMMYFUNCTION("""COMPUTED_VALUE"""),"No Data")</f>
        <v>No Data</v>
      </c>
      <c r="C1654" s="5"/>
      <c r="D1654" s="5"/>
    </row>
    <row r="1655" spans="1:4">
      <c r="A1655" s="5" t="str">
        <f ca="1">IFERROR(__xludf.DUMMYFUNCTION("""COMPUTED_VALUE"""),"19920409FLFOF")</f>
        <v>19920409FLFOF</v>
      </c>
      <c r="B1655" s="5" t="str">
        <f ca="1">IFERROR(__xludf.DUMMYFUNCTION("""COMPUTED_VALUE"""),"Handgun")</f>
        <v>Handgun</v>
      </c>
      <c r="C1655" s="5" t="str">
        <f ca="1">IFERROR(__xludf.DUMMYFUNCTION("""COMPUTED_VALUE"""),"Unknown")</f>
        <v>Unknown</v>
      </c>
      <c r="D1655" s="5"/>
    </row>
    <row r="1656" spans="1:4">
      <c r="A1656" s="5" t="str">
        <f ca="1">IFERROR(__xludf.DUMMYFUNCTION("""COMPUTED_VALUE"""),"19920331LAOPA")</f>
        <v>19920331LAOPA</v>
      </c>
      <c r="B1656" s="5" t="str">
        <f ca="1">IFERROR(__xludf.DUMMYFUNCTION("""COMPUTED_VALUE"""),"Handgun")</f>
        <v>Handgun</v>
      </c>
      <c r="C1656" s="5" t="str">
        <f ca="1">IFERROR(__xludf.DUMMYFUNCTION("""COMPUTED_VALUE"""),"Unknown")</f>
        <v>Unknown</v>
      </c>
      <c r="D1656" s="5"/>
    </row>
    <row r="1657" spans="1:4">
      <c r="A1657" s="5" t="str">
        <f ca="1">IFERROR(__xludf.DUMMYFUNCTION("""COMPUTED_VALUE"""),"19920305OHHAO")</f>
        <v>19920305OHHAO</v>
      </c>
      <c r="B1657" s="5" t="str">
        <f ca="1">IFERROR(__xludf.DUMMYFUNCTION("""COMPUTED_VALUE"""),"Handgun")</f>
        <v>Handgun</v>
      </c>
      <c r="C1657" s="5" t="str">
        <f ca="1">IFERROR(__xludf.DUMMYFUNCTION("""COMPUTED_VALUE"""),"Unknown")</f>
        <v>Unknown</v>
      </c>
      <c r="D1657" s="5"/>
    </row>
    <row r="1658" spans="1:4">
      <c r="A1658" s="5" t="str">
        <f ca="1">IFERROR(__xludf.DUMMYFUNCTION("""COMPUTED_VALUE"""),"19920226NYTHB")</f>
        <v>19920226NYTHB</v>
      </c>
      <c r="B1658" s="5" t="str">
        <f ca="1">IFERROR(__xludf.DUMMYFUNCTION("""COMPUTED_VALUE"""),"Handgun")</f>
        <v>Handgun</v>
      </c>
      <c r="C1658" s="5" t="str">
        <f ca="1">IFERROR(__xludf.DUMMYFUNCTION("""COMPUTED_VALUE"""),".38 caliber")</f>
        <v>.38 caliber</v>
      </c>
      <c r="D1658" s="5"/>
    </row>
    <row r="1659" spans="1:4">
      <c r="A1659" s="5" t="str">
        <f ca="1">IFERROR(__xludf.DUMMYFUNCTION("""COMPUTED_VALUE"""),"19920207VABON")</f>
        <v>19920207VABON</v>
      </c>
      <c r="B1659" s="5" t="str">
        <f ca="1">IFERROR(__xludf.DUMMYFUNCTION("""COMPUTED_VALUE"""),"Handgun")</f>
        <v>Handgun</v>
      </c>
      <c r="C1659" s="5" t="str">
        <f ca="1">IFERROR(__xludf.DUMMYFUNCTION("""COMPUTED_VALUE"""),"Unknown")</f>
        <v>Unknown</v>
      </c>
      <c r="D1659" s="5"/>
    </row>
    <row r="1660" spans="1:4">
      <c r="A1660" s="5" t="str">
        <f ca="1">IFERROR(__xludf.DUMMYFUNCTION("""COMPUTED_VALUE"""),"19920206OKDOO")</f>
        <v>19920206OKDOO</v>
      </c>
      <c r="B1660" s="5" t="str">
        <f ca="1">IFERROR(__xludf.DUMMYFUNCTION("""COMPUTED_VALUE"""),"No Data")</f>
        <v>No Data</v>
      </c>
      <c r="C1660" s="5"/>
      <c r="D1660" s="5"/>
    </row>
    <row r="1661" spans="1:4">
      <c r="A1661" s="5" t="str">
        <f ca="1">IFERROR(__xludf.DUMMYFUNCTION("""COMPUTED_VALUE"""),"19920131LAFRG")</f>
        <v>19920131LAFRG</v>
      </c>
      <c r="B1661" s="5" t="str">
        <f ca="1">IFERROR(__xludf.DUMMYFUNCTION("""COMPUTED_VALUE"""),"Handgun")</f>
        <v>Handgun</v>
      </c>
      <c r="C1661" s="5" t="str">
        <f ca="1">IFERROR(__xludf.DUMMYFUNCTION("""COMPUTED_VALUE"""),"Unknown")</f>
        <v>Unknown</v>
      </c>
      <c r="D1661" s="5"/>
    </row>
    <row r="1662" spans="1:4">
      <c r="A1662" s="5" t="str">
        <f ca="1">IFERROR(__xludf.DUMMYFUNCTION("""COMPUTED_VALUE"""),"19920128LAFRG")</f>
        <v>19920128LAFRG</v>
      </c>
      <c r="B1662" s="5" t="str">
        <f ca="1">IFERROR(__xludf.DUMMYFUNCTION("""COMPUTED_VALUE"""),"Handgun")</f>
        <v>Handgun</v>
      </c>
      <c r="C1662" s="5" t="str">
        <f ca="1">IFERROR(__xludf.DUMMYFUNCTION("""COMPUTED_VALUE"""),"Unknown")</f>
        <v>Unknown</v>
      </c>
      <c r="D1662" s="5"/>
    </row>
    <row r="1663" spans="1:4">
      <c r="A1663" s="5" t="str">
        <f ca="1">IFERROR(__xludf.DUMMYFUNCTION("""COMPUTED_VALUE"""),"19920117SCGRG")</f>
        <v>19920117SCGRG</v>
      </c>
      <c r="B1663" s="5" t="str">
        <f ca="1">IFERROR(__xludf.DUMMYFUNCTION("""COMPUTED_VALUE"""),"Handgun")</f>
        <v>Handgun</v>
      </c>
      <c r="C1663" s="5"/>
      <c r="D1663" s="5"/>
    </row>
    <row r="1664" spans="1:4">
      <c r="A1664" s="5" t="str">
        <f ca="1">IFERROR(__xludf.DUMMYFUNCTION("""COMPUTED_VALUE"""),"19911226NCWHW")</f>
        <v>19911226NCWHW</v>
      </c>
      <c r="B1664" s="5" t="str">
        <f ca="1">IFERROR(__xludf.DUMMYFUNCTION("""COMPUTED_VALUE"""),"Handgun")</f>
        <v>Handgun</v>
      </c>
      <c r="C1664" s="5" t="str">
        <f ca="1">IFERROR(__xludf.DUMMYFUNCTION("""COMPUTED_VALUE"""),"Unknown")</f>
        <v>Unknown</v>
      </c>
      <c r="D1664" s="5"/>
    </row>
    <row r="1665" spans="1:4">
      <c r="A1665" s="5" t="str">
        <f ca="1">IFERROR(__xludf.DUMMYFUNCTION("""COMPUTED_VALUE"""),"19911125NYTHB")</f>
        <v>19911125NYTHB</v>
      </c>
      <c r="B1665" s="5" t="str">
        <f ca="1">IFERROR(__xludf.DUMMYFUNCTION("""COMPUTED_VALUE"""),"Handgun")</f>
        <v>Handgun</v>
      </c>
      <c r="C1665" s="5" t="str">
        <f ca="1">IFERROR(__xludf.DUMMYFUNCTION("""COMPUTED_VALUE"""),"9mm")</f>
        <v>9mm</v>
      </c>
      <c r="D1665" s="5"/>
    </row>
    <row r="1666" spans="1:4">
      <c r="A1666" s="5" t="str">
        <f ca="1">IFERROR(__xludf.DUMMYFUNCTION("""COMPUTED_VALUE"""),"19911114TXMIH")</f>
        <v>19911114TXMIH</v>
      </c>
      <c r="B1666" s="5" t="str">
        <f ca="1">IFERROR(__xludf.DUMMYFUNCTION("""COMPUTED_VALUE"""),"Handgun")</f>
        <v>Handgun</v>
      </c>
      <c r="C1666" s="5" t="str">
        <f ca="1">IFERROR(__xludf.DUMMYFUNCTION("""COMPUTED_VALUE"""),"Unknown")</f>
        <v>Unknown</v>
      </c>
      <c r="D1666" s="5"/>
    </row>
    <row r="1667" spans="1:4">
      <c r="A1667" s="5" t="str">
        <f ca="1">IFERROR(__xludf.DUMMYFUNCTION("""COMPUTED_VALUE"""),"19911111TXYSE")</f>
        <v>19911111TXYSE</v>
      </c>
      <c r="B1667" s="5" t="str">
        <f ca="1">IFERROR(__xludf.DUMMYFUNCTION("""COMPUTED_VALUE"""),"Handgun")</f>
        <v>Handgun</v>
      </c>
      <c r="C1667" s="5" t="str">
        <f ca="1">IFERROR(__xludf.DUMMYFUNCTION("""COMPUTED_VALUE"""),"Unknown")</f>
        <v>Unknown</v>
      </c>
      <c r="D1667" s="5"/>
    </row>
    <row r="1668" spans="1:4">
      <c r="A1668" s="5" t="str">
        <f ca="1">IFERROR(__xludf.DUMMYFUNCTION("""COMPUTED_VALUE"""),"19911106LAWAN")</f>
        <v>19911106LAWAN</v>
      </c>
      <c r="B1668" s="5" t="str">
        <f ca="1">IFERROR(__xludf.DUMMYFUNCTION("""COMPUTED_VALUE"""),"Handgun")</f>
        <v>Handgun</v>
      </c>
      <c r="C1668" s="5" t="str">
        <f ca="1">IFERROR(__xludf.DUMMYFUNCTION("""COMPUTED_VALUE"""),"Unknown")</f>
        <v>Unknown</v>
      </c>
      <c r="D1668" s="5"/>
    </row>
    <row r="1669" spans="1:4">
      <c r="A1669" s="5" t="str">
        <f ca="1">IFERROR(__xludf.DUMMYFUNCTION("""COMPUTED_VALUE"""),"19911023TXOAD")</f>
        <v>19911023TXOAD</v>
      </c>
      <c r="B1669" s="5" t="str">
        <f ca="1">IFERROR(__xludf.DUMMYFUNCTION("""COMPUTED_VALUE"""),"Handgun")</f>
        <v>Handgun</v>
      </c>
      <c r="C1669" s="5" t="str">
        <f ca="1">IFERROR(__xludf.DUMMYFUNCTION("""COMPUTED_VALUE"""),"Unknown")</f>
        <v>Unknown</v>
      </c>
      <c r="D1669" s="5"/>
    </row>
    <row r="1670" spans="1:4">
      <c r="A1670" s="5" t="str">
        <f ca="1">IFERROR(__xludf.DUMMYFUNCTION("""COMPUTED_VALUE"""),"19911015TXGEP")</f>
        <v>19911015TXGEP</v>
      </c>
      <c r="B1670" s="5" t="str">
        <f ca="1">IFERROR(__xludf.DUMMYFUNCTION("""COMPUTED_VALUE"""),"Rifle")</f>
        <v>Rifle</v>
      </c>
      <c r="C1670" s="5" t="str">
        <f ca="1">IFERROR(__xludf.DUMMYFUNCTION("""COMPUTED_VALUE"""),".22 caliber")</f>
        <v>.22 caliber</v>
      </c>
      <c r="D1670" s="5"/>
    </row>
    <row r="1671" spans="1:4">
      <c r="A1671" s="5" t="str">
        <f ca="1">IFERROR(__xludf.DUMMYFUNCTION("""COMPUTED_VALUE"""),"19911015SCWOW")</f>
        <v>19911015SCWOW</v>
      </c>
      <c r="B1671" s="5" t="str">
        <f ca="1">IFERROR(__xludf.DUMMYFUNCTION("""COMPUTED_VALUE"""),"Handgun")</f>
        <v>Handgun</v>
      </c>
      <c r="C1671" s="5" t="str">
        <f ca="1">IFERROR(__xludf.DUMMYFUNCTION("""COMPUTED_VALUE"""),"Unknown")</f>
        <v>Unknown</v>
      </c>
      <c r="D1671" s="5"/>
    </row>
    <row r="1672" spans="1:4">
      <c r="A1672" s="5" t="str">
        <f ca="1">IFERROR(__xludf.DUMMYFUNCTION("""COMPUTED_VALUE"""),"19911015NHMOS")</f>
        <v>19911015NHMOS</v>
      </c>
      <c r="B1672" s="5" t="str">
        <f ca="1">IFERROR(__xludf.DUMMYFUNCTION("""COMPUTED_VALUE"""),"Rifle")</f>
        <v>Rifle</v>
      </c>
      <c r="C1672" s="5" t="str">
        <f ca="1">IFERROR(__xludf.DUMMYFUNCTION("""COMPUTED_VALUE"""),"Unknown")</f>
        <v>Unknown</v>
      </c>
      <c r="D1672" s="5"/>
    </row>
    <row r="1673" spans="1:4">
      <c r="A1673" s="5" t="str">
        <f ca="1">IFERROR(__xludf.DUMMYFUNCTION("""COMPUTED_VALUE"""),"19911011MAMAR")</f>
        <v>19911011MAMAR</v>
      </c>
      <c r="B1673" s="5" t="str">
        <f ca="1">IFERROR(__xludf.DUMMYFUNCTION("""COMPUTED_VALUE"""),"Handgun")</f>
        <v>Handgun</v>
      </c>
      <c r="C1673" s="5" t="str">
        <f ca="1">IFERROR(__xludf.DUMMYFUNCTION("""COMPUTED_VALUE"""),".22 caliber")</f>
        <v>.22 caliber</v>
      </c>
      <c r="D1673" s="5"/>
    </row>
    <row r="1674" spans="1:4">
      <c r="A1674" s="5" t="str">
        <f ca="1">IFERROR(__xludf.DUMMYFUNCTION("""COMPUTED_VALUE"""),"19911009NYJAB")</f>
        <v>19911009NYJAB</v>
      </c>
      <c r="B1674" s="5" t="str">
        <f ca="1">IFERROR(__xludf.DUMMYFUNCTION("""COMPUTED_VALUE"""),"Handgun")</f>
        <v>Handgun</v>
      </c>
      <c r="C1674" s="5" t="str">
        <f ca="1">IFERROR(__xludf.DUMMYFUNCTION("""COMPUTED_VALUE"""),"Unknown")</f>
        <v>Unknown</v>
      </c>
      <c r="D1674" s="5"/>
    </row>
    <row r="1675" spans="1:4">
      <c r="A1675" s="5" t="str">
        <f ca="1">IFERROR(__xludf.DUMMYFUNCTION("""COMPUTED_VALUE"""),"19911004CAROL")</f>
        <v>19911004CAROL</v>
      </c>
      <c r="B1675" s="5" t="str">
        <f ca="1">IFERROR(__xludf.DUMMYFUNCTION("""COMPUTED_VALUE"""),"Handgun")</f>
        <v>Handgun</v>
      </c>
      <c r="C1675" s="5" t="str">
        <f ca="1">IFERROR(__xludf.DUMMYFUNCTION("""COMPUTED_VALUE"""),"Unknown")</f>
        <v>Unknown</v>
      </c>
      <c r="D1675" s="5"/>
    </row>
    <row r="1676" spans="1:4">
      <c r="A1676" s="5" t="str">
        <f ca="1">IFERROR(__xludf.DUMMYFUNCTION("""COMPUTED_VALUE"""),"19911004CADOL")</f>
        <v>19911004CADOL</v>
      </c>
      <c r="B1676" s="5" t="str">
        <f ca="1">IFERROR(__xludf.DUMMYFUNCTION("""COMPUTED_VALUE"""),"Handgun")</f>
        <v>Handgun</v>
      </c>
      <c r="C1676" s="5" t="str">
        <f ca="1">IFERROR(__xludf.DUMMYFUNCTION("""COMPUTED_VALUE"""),"Unknown")</f>
        <v>Unknown</v>
      </c>
      <c r="D1676" s="5"/>
    </row>
    <row r="1677" spans="1:4">
      <c r="A1677" s="5" t="str">
        <f ca="1">IFERROR(__xludf.DUMMYFUNCTION("""COMPUTED_VALUE"""),"19911002TXSPH")</f>
        <v>19911002TXSPH</v>
      </c>
      <c r="B1677" s="5" t="str">
        <f ca="1">IFERROR(__xludf.DUMMYFUNCTION("""COMPUTED_VALUE"""),"Handgun")</f>
        <v>Handgun</v>
      </c>
      <c r="C1677" s="5" t="str">
        <f ca="1">IFERROR(__xludf.DUMMYFUNCTION("""COMPUTED_VALUE"""),".25 caliber")</f>
        <v>.25 caliber</v>
      </c>
      <c r="D1677" s="5"/>
    </row>
    <row r="1678" spans="1:4">
      <c r="A1678" s="5" t="str">
        <f ca="1">IFERROR(__xludf.DUMMYFUNCTION("""COMPUTED_VALUE"""),"19910918TXCRC")</f>
        <v>19910918TXCRC</v>
      </c>
      <c r="B1678" s="5" t="str">
        <f ca="1">IFERROR(__xludf.DUMMYFUNCTION("""COMPUTED_VALUE"""),"Handgun")</f>
        <v>Handgun</v>
      </c>
      <c r="C1678" s="5" t="str">
        <f ca="1">IFERROR(__xludf.DUMMYFUNCTION("""COMPUTED_VALUE"""),".38 caliber")</f>
        <v>.38 caliber</v>
      </c>
      <c r="D1678" s="5"/>
    </row>
    <row r="1679" spans="1:4">
      <c r="A1679" s="5" t="str">
        <f ca="1">IFERROR(__xludf.DUMMYFUNCTION("""COMPUTED_VALUE"""),"19910917ILWOC")</f>
        <v>19910917ILWOC</v>
      </c>
      <c r="B1679" s="5" t="str">
        <f ca="1">IFERROR(__xludf.DUMMYFUNCTION("""COMPUTED_VALUE"""),"Handgun")</f>
        <v>Handgun</v>
      </c>
      <c r="C1679" s="5" t="str">
        <f ca="1">IFERROR(__xludf.DUMMYFUNCTION("""COMPUTED_VALUE"""),"Unknown")</f>
        <v>Unknown</v>
      </c>
      <c r="D1679" s="5"/>
    </row>
    <row r="1680" spans="1:4">
      <c r="A1680" s="5" t="str">
        <f ca="1">IFERROR(__xludf.DUMMYFUNCTION("""COMPUTED_VALUE"""),"19910913TXMAH")</f>
        <v>19910913TXMAH</v>
      </c>
      <c r="B1680" s="5" t="str">
        <f ca="1">IFERROR(__xludf.DUMMYFUNCTION("""COMPUTED_VALUE"""),"Handgun")</f>
        <v>Handgun</v>
      </c>
      <c r="C1680" s="5" t="str">
        <f ca="1">IFERROR(__xludf.DUMMYFUNCTION("""COMPUTED_VALUE"""),"Unknown")</f>
        <v>Unknown</v>
      </c>
      <c r="D1680" s="5"/>
    </row>
    <row r="1681" spans="1:4">
      <c r="A1681" s="5" t="str">
        <f ca="1">IFERROR(__xludf.DUMMYFUNCTION("""COMPUTED_VALUE"""),"19910730CAENC")</f>
        <v>19910730CAENC</v>
      </c>
      <c r="B1681" s="5" t="str">
        <f ca="1">IFERROR(__xludf.DUMMYFUNCTION("""COMPUTED_VALUE"""),"Handgun")</f>
        <v>Handgun</v>
      </c>
      <c r="C1681" s="5" t="str">
        <f ca="1">IFERROR(__xludf.DUMMYFUNCTION("""COMPUTED_VALUE"""),"Unknown")</f>
        <v>Unknown</v>
      </c>
      <c r="D1681" s="5"/>
    </row>
    <row r="1682" spans="1:4">
      <c r="A1682" s="5" t="str">
        <f ca="1">IFERROR(__xludf.DUMMYFUNCTION("""COMPUTED_VALUE"""),"19910722CAWEL")</f>
        <v>19910722CAWEL</v>
      </c>
      <c r="B1682" s="5" t="str">
        <f ca="1">IFERROR(__xludf.DUMMYFUNCTION("""COMPUTED_VALUE"""),"Handgun")</f>
        <v>Handgun</v>
      </c>
      <c r="C1682" s="5" t="str">
        <f ca="1">IFERROR(__xludf.DUMMYFUNCTION("""COMPUTED_VALUE"""),".22 caliber")</f>
        <v>.22 caliber</v>
      </c>
      <c r="D1682" s="5"/>
    </row>
    <row r="1683" spans="1:4">
      <c r="A1683" s="5" t="str">
        <f ca="1">IFERROR(__xludf.DUMMYFUNCTION("""COMPUTED_VALUE"""),"19910521FLSCP")</f>
        <v>19910521FLSCP</v>
      </c>
      <c r="B1683" s="5" t="str">
        <f ca="1">IFERROR(__xludf.DUMMYFUNCTION("""COMPUTED_VALUE"""),"Handgun")</f>
        <v>Handgun</v>
      </c>
      <c r="C1683" s="5" t="str">
        <f ca="1">IFERROR(__xludf.DUMMYFUNCTION("""COMPUTED_VALUE"""),".22 caliber")</f>
        <v>.22 caliber</v>
      </c>
      <c r="D1683" s="5"/>
    </row>
    <row r="1684" spans="1:4">
      <c r="A1684" s="5" t="str">
        <f ca="1">IFERROR(__xludf.DUMMYFUNCTION("""COMPUTED_VALUE"""),"19910521CAROS")</f>
        <v>19910521CAROS</v>
      </c>
      <c r="B1684" s="5" t="str">
        <f ca="1">IFERROR(__xludf.DUMMYFUNCTION("""COMPUTED_VALUE"""),"Handgun")</f>
        <v>Handgun</v>
      </c>
      <c r="C1684" s="5" t="str">
        <f ca="1">IFERROR(__xludf.DUMMYFUNCTION("""COMPUTED_VALUE"""),"Unknown")</f>
        <v>Unknown</v>
      </c>
      <c r="D1684" s="5"/>
    </row>
    <row r="1685" spans="1:4">
      <c r="A1685" s="5" t="str">
        <f ca="1">IFERROR(__xludf.DUMMYFUNCTION("""COMPUTED_VALUE"""),"19910516KSCOK")</f>
        <v>19910516KSCOK</v>
      </c>
      <c r="B1685" s="5" t="str">
        <f ca="1">IFERROR(__xludf.DUMMYFUNCTION("""COMPUTED_VALUE"""),"Rifle")</f>
        <v>Rifle</v>
      </c>
      <c r="C1685" s="5" t="str">
        <f ca="1">IFERROR(__xludf.DUMMYFUNCTION("""COMPUTED_VALUE"""),".22 caliber")</f>
        <v>.22 caliber</v>
      </c>
      <c r="D1685" s="5"/>
    </row>
    <row r="1686" spans="1:4">
      <c r="A1686" s="5" t="str">
        <f ca="1">IFERROR(__xludf.DUMMYFUNCTION("""COMPUTED_VALUE"""),"19910510OHFRC")</f>
        <v>19910510OHFRC</v>
      </c>
      <c r="B1686" s="5" t="str">
        <f ca="1">IFERROR(__xludf.DUMMYFUNCTION("""COMPUTED_VALUE"""),"Handgun")</f>
        <v>Handgun</v>
      </c>
      <c r="C1686" s="5" t="str">
        <f ca="1">IFERROR(__xludf.DUMMYFUNCTION("""COMPUTED_VALUE"""),"Unknown")</f>
        <v>Unknown</v>
      </c>
      <c r="D1686" s="5"/>
    </row>
    <row r="1687" spans="1:4">
      <c r="A1687" s="5" t="str">
        <f ca="1">IFERROR(__xludf.DUMMYFUNCTION("""COMPUTED_VALUE"""),"19910423MSHUB")</f>
        <v>19910423MSHUB</v>
      </c>
      <c r="B1687" s="5" t="str">
        <f ca="1">IFERROR(__xludf.DUMMYFUNCTION("""COMPUTED_VALUE"""),"Handgun")</f>
        <v>Handgun</v>
      </c>
      <c r="C1687" s="5" t="str">
        <f ca="1">IFERROR(__xludf.DUMMYFUNCTION("""COMPUTED_VALUE"""),".22 caliber")</f>
        <v>.22 caliber</v>
      </c>
      <c r="D1687" s="5"/>
    </row>
    <row r="1688" spans="1:4">
      <c r="A1688" s="5" t="str">
        <f ca="1">IFERROR(__xludf.DUMMYFUNCTION("""COMPUTED_VALUE"""),"19910423CARAC")</f>
        <v>19910423CARAC</v>
      </c>
      <c r="B1688" s="5" t="str">
        <f ca="1">IFERROR(__xludf.DUMMYFUNCTION("""COMPUTED_VALUE"""),"No Data")</f>
        <v>No Data</v>
      </c>
      <c r="C1688" s="5"/>
      <c r="D1688" s="5"/>
    </row>
    <row r="1689" spans="1:4">
      <c r="A1689" s="5" t="str">
        <f ca="1">IFERROR(__xludf.DUMMYFUNCTION("""COMPUTED_VALUE"""),"19910411SCNOR")</f>
        <v>19910411SCNOR</v>
      </c>
      <c r="B1689" s="5" t="str">
        <f ca="1">IFERROR(__xludf.DUMMYFUNCTION("""COMPUTED_VALUE"""),"Handgun")</f>
        <v>Handgun</v>
      </c>
      <c r="C1689" s="5" t="str">
        <f ca="1">IFERROR(__xludf.DUMMYFUNCTION("""COMPUTED_VALUE"""),".22 caliber")</f>
        <v>.22 caliber</v>
      </c>
      <c r="D1689" s="5"/>
    </row>
    <row r="1690" spans="1:4">
      <c r="A1690" s="5" t="str">
        <f ca="1">IFERROR(__xludf.DUMMYFUNCTION("""COMPUTED_VALUE"""),"19910325NCGAC")</f>
        <v>19910325NCGAC</v>
      </c>
      <c r="B1690" s="5" t="str">
        <f ca="1">IFERROR(__xludf.DUMMYFUNCTION("""COMPUTED_VALUE"""),"No Data")</f>
        <v>No Data</v>
      </c>
      <c r="C1690" s="5"/>
      <c r="D1690" s="5"/>
    </row>
    <row r="1691" spans="1:4">
      <c r="A1691" s="5" t="str">
        <f ca="1">IFERROR(__xludf.DUMMYFUNCTION("""COMPUTED_VALUE"""),"19910314SCWOP")</f>
        <v>19910314SCWOP</v>
      </c>
      <c r="B1691" s="5" t="str">
        <f ca="1">IFERROR(__xludf.DUMMYFUNCTION("""COMPUTED_VALUE"""),"No Data")</f>
        <v>No Data</v>
      </c>
      <c r="C1691" s="5"/>
      <c r="D1691" s="5"/>
    </row>
    <row r="1692" spans="1:4">
      <c r="A1692" s="5" t="str">
        <f ca="1">IFERROR(__xludf.DUMMYFUNCTION("""COMPUTED_VALUE"""),"19910313ALSES")</f>
        <v>19910313ALSES</v>
      </c>
      <c r="B1692" s="5" t="str">
        <f ca="1">IFERROR(__xludf.DUMMYFUNCTION("""COMPUTED_VALUE"""),"Handgun")</f>
        <v>Handgun</v>
      </c>
      <c r="C1692" s="5" t="str">
        <f ca="1">IFERROR(__xludf.DUMMYFUNCTION("""COMPUTED_VALUE"""),".22 caliber")</f>
        <v>.22 caliber</v>
      </c>
      <c r="D1692" s="5"/>
    </row>
    <row r="1693" spans="1:4">
      <c r="A1693" s="5" t="str">
        <f ca="1">IFERROR(__xludf.DUMMYFUNCTION("""COMPUTED_VALUE"""),"19910219LABON")</f>
        <v>19910219LABON</v>
      </c>
      <c r="B1693" s="5" t="str">
        <f ca="1">IFERROR(__xludf.DUMMYFUNCTION("""COMPUTED_VALUE"""),"Handgun")</f>
        <v>Handgun</v>
      </c>
      <c r="C1693" s="5" t="str">
        <f ca="1">IFERROR(__xludf.DUMMYFUNCTION("""COMPUTED_VALUE"""),"Unknown")</f>
        <v>Unknown</v>
      </c>
      <c r="D1693" s="5"/>
    </row>
    <row r="1694" spans="1:4">
      <c r="A1694" s="5" t="str">
        <f ca="1">IFERROR(__xludf.DUMMYFUNCTION("""COMPUTED_VALUE"""),"19910117TXHOD")</f>
        <v>19910117TXHOD</v>
      </c>
      <c r="B1694" s="5" t="str">
        <f ca="1">IFERROR(__xludf.DUMMYFUNCTION("""COMPUTED_VALUE"""),"Handgun")</f>
        <v>Handgun</v>
      </c>
      <c r="C1694" s="5" t="str">
        <f ca="1">IFERROR(__xludf.DUMMYFUNCTION("""COMPUTED_VALUE"""),"Unknown")</f>
        <v>Unknown</v>
      </c>
      <c r="D1694" s="5"/>
    </row>
    <row r="1695" spans="1:4">
      <c r="A1695" s="5" t="str">
        <f ca="1">IFERROR(__xludf.DUMMYFUNCTION("""COMPUTED_VALUE"""),"19910108TXRIR")</f>
        <v>19910108TXRIR</v>
      </c>
      <c r="B1695" s="5" t="str">
        <f ca="1">IFERROR(__xludf.DUMMYFUNCTION("""COMPUTED_VALUE"""),"Handgun")</f>
        <v>Handgun</v>
      </c>
      <c r="C1695" s="5" t="str">
        <f ca="1">IFERROR(__xludf.DUMMYFUNCTION("""COMPUTED_VALUE"""),".357 caliber")</f>
        <v>.357 caliber</v>
      </c>
      <c r="D1695" s="5"/>
    </row>
    <row r="1696" spans="1:4">
      <c r="A1696" s="5" t="str">
        <f ca="1">IFERROR(__xludf.DUMMYFUNCTION("""COMPUTED_VALUE"""),"19901213LASAS")</f>
        <v>19901213LASAS</v>
      </c>
      <c r="B1696" s="5" t="str">
        <f ca="1">IFERROR(__xludf.DUMMYFUNCTION("""COMPUTED_VALUE"""),"No Data")</f>
        <v>No Data</v>
      </c>
      <c r="C1696" s="5"/>
      <c r="D1696" s="5"/>
    </row>
    <row r="1697" spans="1:4">
      <c r="A1697" s="5" t="str">
        <f ca="1">IFERROR(__xludf.DUMMYFUNCTION("""COMPUTED_VALUE"""),"19901110TXJUD")</f>
        <v>19901110TXJUD</v>
      </c>
      <c r="B1697" s="5" t="str">
        <f ca="1">IFERROR(__xludf.DUMMYFUNCTION("""COMPUTED_VALUE"""),"Handgun")</f>
        <v>Handgun</v>
      </c>
      <c r="C1697" s="5" t="str">
        <f ca="1">IFERROR(__xludf.DUMMYFUNCTION("""COMPUTED_VALUE"""),".25 caliber")</f>
        <v>.25 caliber</v>
      </c>
      <c r="D1697" s="5" t="str">
        <f ca="1">IFERROR(__xludf.DUMMYFUNCTION("""COMPUTED_VALUE"""),"Automatic")</f>
        <v>Automatic</v>
      </c>
    </row>
    <row r="1698" spans="1:4">
      <c r="A1698" s="5" t="str">
        <f ca="1">IFERROR(__xludf.DUMMYFUNCTION("""COMPUTED_VALUE"""),"19901030TXNAG")</f>
        <v>19901030TXNAG</v>
      </c>
      <c r="B1698" s="5" t="str">
        <f ca="1">IFERROR(__xludf.DUMMYFUNCTION("""COMPUTED_VALUE"""),"Handgun")</f>
        <v>Handgun</v>
      </c>
      <c r="C1698" s="5" t="str">
        <f ca="1">IFERROR(__xludf.DUMMYFUNCTION("""COMPUTED_VALUE"""),".25 caliber")</f>
        <v>.25 caliber</v>
      </c>
      <c r="D1698" s="5"/>
    </row>
    <row r="1699" spans="1:4">
      <c r="A1699" s="5" t="str">
        <f ca="1">IFERROR(__xludf.DUMMYFUNCTION("""COMPUTED_VALUE"""),"19901029INCHC")</f>
        <v>19901029INCHC</v>
      </c>
      <c r="B1699" s="5" t="str">
        <f ca="1">IFERROR(__xludf.DUMMYFUNCTION("""COMPUTED_VALUE"""),"Handgun")</f>
        <v>Handgun</v>
      </c>
      <c r="C1699" s="5" t="str">
        <f ca="1">IFERROR(__xludf.DUMMYFUNCTION("""COMPUTED_VALUE"""),".44 caliber")</f>
        <v>.44 caliber</v>
      </c>
      <c r="D1699" s="5"/>
    </row>
    <row r="1700" spans="1:4">
      <c r="A1700" s="5" t="str">
        <f ca="1">IFERROR(__xludf.DUMMYFUNCTION("""COMPUTED_VALUE"""),"19901002TXWHD")</f>
        <v>19901002TXWHD</v>
      </c>
      <c r="B1700" s="5" t="str">
        <f ca="1">IFERROR(__xludf.DUMMYFUNCTION("""COMPUTED_VALUE"""),"Handgun")</f>
        <v>Handgun</v>
      </c>
      <c r="C1700" s="5" t="str">
        <f ca="1">IFERROR(__xludf.DUMMYFUNCTION("""COMPUTED_VALUE"""),"Unknown")</f>
        <v>Unknown</v>
      </c>
      <c r="D1700" s="5"/>
    </row>
    <row r="1701" spans="1:4">
      <c r="A1701" s="5" t="str">
        <f ca="1">IFERROR(__xludf.DUMMYFUNCTION("""COMPUTED_VALUE"""),"19900922ALLEB")</f>
        <v>19900922ALLEB</v>
      </c>
      <c r="B1701" s="5" t="str">
        <f ca="1">IFERROR(__xludf.DUMMYFUNCTION("""COMPUTED_VALUE"""),"Handgun")</f>
        <v>Handgun</v>
      </c>
      <c r="C1701" s="5" t="str">
        <f ca="1">IFERROR(__xludf.DUMMYFUNCTION("""COMPUTED_VALUE"""),"Unknown")</f>
        <v>Unknown</v>
      </c>
      <c r="D1701" s="5"/>
    </row>
    <row r="1702" spans="1:4">
      <c r="A1702" s="5" t="str">
        <f ca="1">IFERROR(__xludf.DUMMYFUNCTION("""COMPUTED_VALUE"""),"19900911TXSAS")</f>
        <v>19900911TXSAS</v>
      </c>
      <c r="B1702" s="5" t="str">
        <f ca="1">IFERROR(__xludf.DUMMYFUNCTION("""COMPUTED_VALUE"""),"Handgun")</f>
        <v>Handgun</v>
      </c>
      <c r="C1702" s="5" t="str">
        <f ca="1">IFERROR(__xludf.DUMMYFUNCTION("""COMPUTED_VALUE"""),".45 caliber")</f>
        <v>.45 caliber</v>
      </c>
      <c r="D1702" s="5"/>
    </row>
    <row r="1703" spans="1:4">
      <c r="A1703" s="5" t="str">
        <f ca="1">IFERROR(__xludf.DUMMYFUNCTION("""COMPUTED_VALUE"""),"19900906GASOC")</f>
        <v>19900906GASOC</v>
      </c>
      <c r="B1703" s="5" t="str">
        <f ca="1">IFERROR(__xludf.DUMMYFUNCTION("""COMPUTED_VALUE"""),"Rifle")</f>
        <v>Rifle</v>
      </c>
      <c r="C1703" s="5" t="str">
        <f ca="1">IFERROR(__xludf.DUMMYFUNCTION("""COMPUTED_VALUE"""),".30-06")</f>
        <v>.30-06</v>
      </c>
      <c r="D1703" s="5"/>
    </row>
    <row r="1704" spans="1:4">
      <c r="A1704" s="5" t="str">
        <f ca="1">IFERROR(__xludf.DUMMYFUNCTION("""COMPUTED_VALUE"""),"19900906GASOC")</f>
        <v>19900906GASOC</v>
      </c>
      <c r="B1704" s="5" t="str">
        <f ca="1">IFERROR(__xludf.DUMMYFUNCTION("""COMPUTED_VALUE"""),"Shotgun")</f>
        <v>Shotgun</v>
      </c>
      <c r="C1704" s="5" t="str">
        <f ca="1">IFERROR(__xludf.DUMMYFUNCTION("""COMPUTED_VALUE"""),"12 gauge")</f>
        <v>12 gauge</v>
      </c>
      <c r="D1704" s="5"/>
    </row>
    <row r="1705" spans="1:4">
      <c r="A1705" s="5" t="str">
        <f ca="1">IFERROR(__xludf.DUMMYFUNCTION("""COMPUTED_VALUE"""),"19900906GASOC")</f>
        <v>19900906GASOC</v>
      </c>
      <c r="B1705" s="5" t="str">
        <f ca="1">IFERROR(__xludf.DUMMYFUNCTION("""COMPUTED_VALUE"""),"Handgun")</f>
        <v>Handgun</v>
      </c>
      <c r="C1705" s="5" t="str">
        <f ca="1">IFERROR(__xludf.DUMMYFUNCTION("""COMPUTED_VALUE"""),".25 caliber")</f>
        <v>.25 caliber</v>
      </c>
      <c r="D1705" s="5"/>
    </row>
    <row r="1706" spans="1:4">
      <c r="A1706" s="5" t="str">
        <f ca="1">IFERROR(__xludf.DUMMYFUNCTION("""COMPUTED_VALUE"""),"19900827TXWHD")</f>
        <v>19900827TXWHD</v>
      </c>
      <c r="B1706" s="5" t="str">
        <f ca="1">IFERROR(__xludf.DUMMYFUNCTION("""COMPUTED_VALUE"""),"Handgun")</f>
        <v>Handgun</v>
      </c>
      <c r="C1706" s="5" t="str">
        <f ca="1">IFERROR(__xludf.DUMMYFUNCTION("""COMPUTED_VALUE"""),"Unknown")</f>
        <v>Unknown</v>
      </c>
      <c r="D1706" s="5"/>
    </row>
    <row r="1707" spans="1:4">
      <c r="A1707" s="5" t="str">
        <f ca="1">IFERROR(__xludf.DUMMYFUNCTION("""COMPUTED_VALUE"""),"19900827NVELL")</f>
        <v>19900827NVELL</v>
      </c>
      <c r="B1707" s="5" t="str">
        <f ca="1">IFERROR(__xludf.DUMMYFUNCTION("""COMPUTED_VALUE"""),"Handgun")</f>
        <v>Handgun</v>
      </c>
      <c r="C1707" s="5" t="str">
        <f ca="1">IFERROR(__xludf.DUMMYFUNCTION("""COMPUTED_VALUE"""),"Unknown")</f>
        <v>Unknown</v>
      </c>
      <c r="D1707" s="5"/>
    </row>
    <row r="1708" spans="1:4">
      <c r="A1708" s="5" t="str">
        <f ca="1">IFERROR(__xludf.DUMMYFUNCTION("""COMPUTED_VALUE"""),"19900824NCMYC")</f>
        <v>19900824NCMYC</v>
      </c>
      <c r="B1708" s="5" t="str">
        <f ca="1">IFERROR(__xludf.DUMMYFUNCTION("""COMPUTED_VALUE"""),"Handgun")</f>
        <v>Handgun</v>
      </c>
      <c r="C1708" s="5" t="str">
        <f ca="1">IFERROR(__xludf.DUMMYFUNCTION("""COMPUTED_VALUE"""),"Unknown")</f>
        <v>Unknown</v>
      </c>
      <c r="D1708" s="5"/>
    </row>
    <row r="1709" spans="1:4">
      <c r="A1709" s="5" t="str">
        <f ca="1">IFERROR(__xludf.DUMMYFUNCTION("""COMPUTED_VALUE"""),"19900531TXSUF")</f>
        <v>19900531TXSUF</v>
      </c>
      <c r="B1709" s="5" t="str">
        <f ca="1">IFERROR(__xludf.DUMMYFUNCTION("""COMPUTED_VALUE"""),"Handgun")</f>
        <v>Handgun</v>
      </c>
      <c r="C1709" s="5" t="str">
        <f ca="1">IFERROR(__xludf.DUMMYFUNCTION("""COMPUTED_VALUE"""),".22 caliber")</f>
        <v>.22 caliber</v>
      </c>
      <c r="D1709" s="5"/>
    </row>
    <row r="1710" spans="1:4">
      <c r="A1710" s="5" t="str">
        <f ca="1">IFERROR(__xludf.DUMMYFUNCTION("""COMPUTED_VALUE"""),"19900520TNHIC")</f>
        <v>19900520TNHIC</v>
      </c>
      <c r="B1710" s="5" t="str">
        <f ca="1">IFERROR(__xludf.DUMMYFUNCTION("""COMPUTED_VALUE"""),"No Data")</f>
        <v>No Data</v>
      </c>
      <c r="C1710" s="5"/>
      <c r="D1710" s="5"/>
    </row>
    <row r="1711" spans="1:4">
      <c r="A1711" s="5" t="str">
        <f ca="1">IFERROR(__xludf.DUMMYFUNCTION("""COMPUTED_VALUE"""),"19900504CAMOE")</f>
        <v>19900504CAMOE</v>
      </c>
      <c r="B1711" s="5" t="str">
        <f ca="1">IFERROR(__xludf.DUMMYFUNCTION("""COMPUTED_VALUE"""),"Handgun")</f>
        <v>Handgun</v>
      </c>
      <c r="C1711" s="5" t="str">
        <f ca="1">IFERROR(__xludf.DUMMYFUNCTION("""COMPUTED_VALUE"""),"Unknown")</f>
        <v>Unknown</v>
      </c>
      <c r="D1711" s="5"/>
    </row>
    <row r="1712" spans="1:4">
      <c r="A1712" s="5" t="str">
        <f ca="1">IFERROR(__xludf.DUMMYFUNCTION("""COMPUTED_VALUE"""),"19900403TXSKD")</f>
        <v>19900403TXSKD</v>
      </c>
      <c r="B1712" s="5" t="str">
        <f ca="1">IFERROR(__xludf.DUMMYFUNCTION("""COMPUTED_VALUE"""),"Handgun")</f>
        <v>Handgun</v>
      </c>
      <c r="C1712" s="5" t="str">
        <f ca="1">IFERROR(__xludf.DUMMYFUNCTION("""COMPUTED_VALUE"""),".25 caliber")</f>
        <v>.25 caliber</v>
      </c>
      <c r="D1712" s="5"/>
    </row>
    <row r="1713" spans="1:4">
      <c r="A1713" s="5" t="str">
        <f ca="1">IFERROR(__xludf.DUMMYFUNCTION("""COMPUTED_VALUE"""),"19900327NYNEB")</f>
        <v>19900327NYNEB</v>
      </c>
      <c r="B1713" s="5" t="str">
        <f ca="1">IFERROR(__xludf.DUMMYFUNCTION("""COMPUTED_VALUE"""),"Handgun")</f>
        <v>Handgun</v>
      </c>
      <c r="C1713" s="5" t="str">
        <f ca="1">IFERROR(__xludf.DUMMYFUNCTION("""COMPUTED_VALUE"""),".38 caliber")</f>
        <v>.38 caliber</v>
      </c>
      <c r="D1713" s="5"/>
    </row>
    <row r="1714" spans="1:4">
      <c r="A1714" s="5" t="str">
        <f ca="1">IFERROR(__xludf.DUMMYFUNCTION("""COMPUTED_VALUE"""),"19900220OHTAC")</f>
        <v>19900220OHTAC</v>
      </c>
      <c r="B1714" s="5" t="str">
        <f ca="1">IFERROR(__xludf.DUMMYFUNCTION("""COMPUTED_VALUE"""),"Handgun")</f>
        <v>Handgun</v>
      </c>
      <c r="C1714" s="5" t="str">
        <f ca="1">IFERROR(__xludf.DUMMYFUNCTION("""COMPUTED_VALUE"""),"9mm")</f>
        <v>9mm</v>
      </c>
      <c r="D1714" s="5"/>
    </row>
    <row r="1715" spans="1:4">
      <c r="A1715" s="5" t="str">
        <f ca="1">IFERROR(__xludf.DUMMYFUNCTION("""COMPUTED_VALUE"""),"19900116RICEP")</f>
        <v>19900116RICEP</v>
      </c>
      <c r="B1715" s="5" t="str">
        <f ca="1">IFERROR(__xludf.DUMMYFUNCTION("""COMPUTED_VALUE"""),"No Data")</f>
        <v>No Data</v>
      </c>
      <c r="C1715" s="5"/>
      <c r="D1715" s="5"/>
    </row>
    <row r="1716" spans="1:4">
      <c r="A1716" s="5" t="str">
        <f ca="1">IFERROR(__xludf.DUMMYFUNCTION("""COMPUTED_VALUE"""),"19891212SCCHC")</f>
        <v>19891212SCCHC</v>
      </c>
      <c r="B1716" s="5" t="str">
        <f ca="1">IFERROR(__xludf.DUMMYFUNCTION("""COMPUTED_VALUE"""),"Handgun")</f>
        <v>Handgun</v>
      </c>
      <c r="C1716" s="5" t="str">
        <f ca="1">IFERROR(__xludf.DUMMYFUNCTION("""COMPUTED_VALUE"""),".45 caliber")</f>
        <v>.45 caliber</v>
      </c>
      <c r="D1716" s="5"/>
    </row>
    <row r="1717" spans="1:4">
      <c r="A1717" s="5" t="str">
        <f ca="1">IFERROR(__xludf.DUMMYFUNCTION("""COMPUTED_VALUE"""),"19891205TXWWD")</f>
        <v>19891205TXWWD</v>
      </c>
      <c r="B1717" s="5" t="str">
        <f ca="1">IFERROR(__xludf.DUMMYFUNCTION("""COMPUTED_VALUE"""),"Handgun")</f>
        <v>Handgun</v>
      </c>
      <c r="C1717" s="5" t="str">
        <f ca="1">IFERROR(__xludf.DUMMYFUNCTION("""COMPUTED_VALUE"""),".25 caliber")</f>
        <v>.25 caliber</v>
      </c>
      <c r="D1717" s="5"/>
    </row>
    <row r="1718" spans="1:4">
      <c r="A1718" s="5" t="str">
        <f ca="1">IFERROR(__xludf.DUMMYFUNCTION("""COMPUTED_VALUE"""),"19891205PASEM")</f>
        <v>19891205PASEM</v>
      </c>
      <c r="B1718" s="5" t="str">
        <f ca="1">IFERROR(__xludf.DUMMYFUNCTION("""COMPUTED_VALUE"""),"Handgun")</f>
        <v>Handgun</v>
      </c>
      <c r="C1718" s="5" t="str">
        <f ca="1">IFERROR(__xludf.DUMMYFUNCTION("""COMPUTED_VALUE"""),".22 caliber")</f>
        <v>.22 caliber</v>
      </c>
      <c r="D1718" s="5"/>
    </row>
    <row r="1719" spans="1:4">
      <c r="A1719" s="5" t="str">
        <f ca="1">IFERROR(__xludf.DUMMYFUNCTION("""COMPUTED_VALUE"""),"19891204LACAS")</f>
        <v>19891204LACAS</v>
      </c>
      <c r="B1719" s="5" t="str">
        <f ca="1">IFERROR(__xludf.DUMMYFUNCTION("""COMPUTED_VALUE"""),"No Data")</f>
        <v>No Data</v>
      </c>
      <c r="C1719" s="5"/>
      <c r="D1719" s="5"/>
    </row>
    <row r="1720" spans="1:4">
      <c r="A1720" s="5" t="str">
        <f ca="1">IFERROR(__xludf.DUMMYFUNCTION("""COMPUTED_VALUE"""),"19891122CACHO")</f>
        <v>19891122CACHO</v>
      </c>
      <c r="B1720" s="5" t="str">
        <f ca="1">IFERROR(__xludf.DUMMYFUNCTION("""COMPUTED_VALUE"""),"Handgun")</f>
        <v>Handgun</v>
      </c>
      <c r="C1720" s="5" t="str">
        <f ca="1">IFERROR(__xludf.DUMMYFUNCTION("""COMPUTED_VALUE"""),".22 caliber")</f>
        <v>.22 caliber</v>
      </c>
      <c r="D1720" s="5"/>
    </row>
    <row r="1721" spans="1:4">
      <c r="A1721" s="5" t="str">
        <f ca="1">IFERROR(__xludf.DUMMYFUNCTION("""COMPUTED_VALUE"""),"19891115TXWOA")</f>
        <v>19891115TXWOA</v>
      </c>
      <c r="B1721" s="5" t="str">
        <f ca="1">IFERROR(__xludf.DUMMYFUNCTION("""COMPUTED_VALUE"""),"Handgun")</f>
        <v>Handgun</v>
      </c>
      <c r="C1721" s="5" t="str">
        <f ca="1">IFERROR(__xludf.DUMMYFUNCTION("""COMPUTED_VALUE"""),".22 caliber")</f>
        <v>.22 caliber</v>
      </c>
      <c r="D1721" s="5"/>
    </row>
    <row r="1722" spans="1:4">
      <c r="A1722" s="5" t="str">
        <f ca="1">IFERROR(__xludf.DUMMYFUNCTION("""COMPUTED_VALUE"""),"19891113NYALN")</f>
        <v>19891113NYALN</v>
      </c>
      <c r="B1722" s="5" t="str">
        <f ca="1">IFERROR(__xludf.DUMMYFUNCTION("""COMPUTED_VALUE"""),"Handgun")</f>
        <v>Handgun</v>
      </c>
      <c r="C1722" s="5" t="str">
        <f ca="1">IFERROR(__xludf.DUMMYFUNCTION("""COMPUTED_VALUE"""),".22 caliber")</f>
        <v>.22 caliber</v>
      </c>
      <c r="D1722" s="5"/>
    </row>
    <row r="1723" spans="1:4">
      <c r="A1723" s="5" t="str">
        <f ca="1">IFERROR(__xludf.DUMMYFUNCTION("""COMPUTED_VALUE"""),"19891031TXOLD")</f>
        <v>19891031TXOLD</v>
      </c>
      <c r="B1723" s="5" t="str">
        <f ca="1">IFERROR(__xludf.DUMMYFUNCTION("""COMPUTED_VALUE"""),"Other")</f>
        <v>Other</v>
      </c>
      <c r="C1723" s="5" t="str">
        <f ca="1">IFERROR(__xludf.DUMMYFUNCTION("""COMPUTED_VALUE"""),"BB")</f>
        <v>BB</v>
      </c>
      <c r="D1723" s="5"/>
    </row>
    <row r="1724" spans="1:4">
      <c r="A1724" s="5" t="str">
        <f ca="1">IFERROR(__xludf.DUMMYFUNCTION("""COMPUTED_VALUE"""),"19891005CALOA")</f>
        <v>19891005CALOA</v>
      </c>
      <c r="B1724" s="5" t="str">
        <f ca="1">IFERROR(__xludf.DUMMYFUNCTION("""COMPUTED_VALUE"""),"Handgun")</f>
        <v>Handgun</v>
      </c>
      <c r="C1724" s="5" t="str">
        <f ca="1">IFERROR(__xludf.DUMMYFUNCTION("""COMPUTED_VALUE"""),"Unknown")</f>
        <v>Unknown</v>
      </c>
      <c r="D1724" s="5" t="str">
        <f ca="1">IFERROR(__xludf.DUMMYFUNCTION("""COMPUTED_VALUE"""),"Shotgun, pistol")</f>
        <v>Shotgun, pistol</v>
      </c>
    </row>
    <row r="1725" spans="1:4">
      <c r="A1725" s="5" t="str">
        <f ca="1">IFERROR(__xludf.DUMMYFUNCTION("""COMPUTED_VALUE"""),"19891005CALOA")</f>
        <v>19891005CALOA</v>
      </c>
      <c r="B1725" s="5" t="str">
        <f ca="1">IFERROR(__xludf.DUMMYFUNCTION("""COMPUTED_VALUE"""),"Shotgun")</f>
        <v>Shotgun</v>
      </c>
      <c r="C1725" s="5" t="str">
        <f ca="1">IFERROR(__xludf.DUMMYFUNCTION("""COMPUTED_VALUE"""),"Unknown")</f>
        <v>Unknown</v>
      </c>
      <c r="D1725" s="5" t="str">
        <f ca="1">IFERROR(__xludf.DUMMYFUNCTION("""COMPUTED_VALUE"""),"Shotgun, pistol")</f>
        <v>Shotgun, pistol</v>
      </c>
    </row>
    <row r="1726" spans="1:4">
      <c r="A1726" s="5" t="str">
        <f ca="1">IFERROR(__xludf.DUMMYFUNCTION("""COMPUTED_VALUE"""),"19890918KYJAM")</f>
        <v>19890918KYJAM</v>
      </c>
      <c r="B1726" s="5" t="str">
        <f ca="1">IFERROR(__xludf.DUMMYFUNCTION("""COMPUTED_VALUE"""),"Shotgun")</f>
        <v>Shotgun</v>
      </c>
      <c r="C1726" s="5" t="str">
        <f ca="1">IFERROR(__xludf.DUMMYFUNCTION("""COMPUTED_VALUE"""),"Unknown")</f>
        <v>Unknown</v>
      </c>
      <c r="D1726" s="5"/>
    </row>
    <row r="1727" spans="1:4">
      <c r="A1727" s="5" t="str">
        <f ca="1">IFERROR(__xludf.DUMMYFUNCTION("""COMPUTED_VALUE"""),"19890911AZDYE")</f>
        <v>19890911AZDYE</v>
      </c>
      <c r="B1727" s="5" t="str">
        <f ca="1">IFERROR(__xludf.DUMMYFUNCTION("""COMPUTED_VALUE"""),"Handgun")</f>
        <v>Handgun</v>
      </c>
      <c r="C1727" s="5" t="str">
        <f ca="1">IFERROR(__xludf.DUMMYFUNCTION("""COMPUTED_VALUE"""),".25 caliber")</f>
        <v>.25 caliber</v>
      </c>
      <c r="D1727" s="5"/>
    </row>
    <row r="1728" spans="1:4">
      <c r="A1728" s="5" t="str">
        <f ca="1">IFERROR(__xludf.DUMMYFUNCTION("""COMPUTED_VALUE"""),"19890901VASAV")</f>
        <v>19890901VASAV</v>
      </c>
      <c r="B1728" s="5" t="str">
        <f ca="1">IFERROR(__xludf.DUMMYFUNCTION("""COMPUTED_VALUE"""),"Multiple Handguns")</f>
        <v>Multiple Handguns</v>
      </c>
      <c r="C1728" s="5"/>
      <c r="D1728" s="5"/>
    </row>
    <row r="1729" spans="1:4">
      <c r="A1729" s="5" t="str">
        <f ca="1">IFERROR(__xludf.DUMMYFUNCTION("""COMPUTED_VALUE"""),"19890426TXAMD")</f>
        <v>19890426TXAMD</v>
      </c>
      <c r="B1729" s="5" t="str">
        <f ca="1">IFERROR(__xludf.DUMMYFUNCTION("""COMPUTED_VALUE"""),"Handgun")</f>
        <v>Handgun</v>
      </c>
      <c r="C1729" s="5" t="str">
        <f ca="1">IFERROR(__xludf.DUMMYFUNCTION("""COMPUTED_VALUE"""),".22 caliber")</f>
        <v>.22 caliber</v>
      </c>
      <c r="D1729" s="5"/>
    </row>
    <row r="1730" spans="1:4">
      <c r="A1730" s="5" t="str">
        <f ca="1">IFERROR(__xludf.DUMMYFUNCTION("""COMPUTED_VALUE"""),"19890303INWIG")</f>
        <v>19890303INWIG</v>
      </c>
      <c r="B1730" s="5" t="str">
        <f ca="1">IFERROR(__xludf.DUMMYFUNCTION("""COMPUTED_VALUE"""),"Handgun")</f>
        <v>Handgun</v>
      </c>
      <c r="C1730" s="5" t="str">
        <f ca="1">IFERROR(__xludf.DUMMYFUNCTION("""COMPUTED_VALUE"""),".22 caliber")</f>
        <v>.22 caliber</v>
      </c>
      <c r="D1730" s="5"/>
    </row>
    <row r="1731" spans="1:4">
      <c r="A1731" s="5" t="str">
        <f ca="1">IFERROR(__xludf.DUMMYFUNCTION("""COMPUTED_VALUE"""),"19890210UTTHK")</f>
        <v>19890210UTTHK</v>
      </c>
      <c r="B1731" s="5" t="str">
        <f ca="1">IFERROR(__xludf.DUMMYFUNCTION("""COMPUTED_VALUE"""),"Handgun")</f>
        <v>Handgun</v>
      </c>
      <c r="C1731" s="5" t="str">
        <f ca="1">IFERROR(__xludf.DUMMYFUNCTION("""COMPUTED_VALUE"""),".22 caliber")</f>
        <v>.22 caliber</v>
      </c>
      <c r="D1731" s="5"/>
    </row>
    <row r="1732" spans="1:4">
      <c r="A1732" s="5" t="str">
        <f ca="1">IFERROR(__xludf.DUMMYFUNCTION("""COMPUTED_VALUE"""),"19890209IDRIR")</f>
        <v>19890209IDRIR</v>
      </c>
      <c r="B1732" s="5" t="str">
        <f ca="1">IFERROR(__xludf.DUMMYFUNCTION("""COMPUTED_VALUE"""),"Handgun")</f>
        <v>Handgun</v>
      </c>
      <c r="C1732" s="5" t="str">
        <f ca="1">IFERROR(__xludf.DUMMYFUNCTION("""COMPUTED_VALUE"""),".22 caliber")</f>
        <v>.22 caliber</v>
      </c>
      <c r="D1732" s="5"/>
    </row>
    <row r="1733" spans="1:4">
      <c r="A1733" s="5" t="str">
        <f ca="1">IFERROR(__xludf.DUMMYFUNCTION("""COMPUTED_VALUE"""),"19890126DCWOW")</f>
        <v>19890126DCWOW</v>
      </c>
      <c r="B1733" s="5" t="str">
        <f ca="1">IFERROR(__xludf.DUMMYFUNCTION("""COMPUTED_VALUE"""),"Handgun")</f>
        <v>Handgun</v>
      </c>
      <c r="C1733" s="5" t="str">
        <f ca="1">IFERROR(__xludf.DUMMYFUNCTION("""COMPUTED_VALUE"""),"Unknown")</f>
        <v>Unknown</v>
      </c>
      <c r="D1733" s="5"/>
    </row>
    <row r="1734" spans="1:4">
      <c r="A1734" s="5" t="str">
        <f ca="1">IFERROR(__xludf.DUMMYFUNCTION("""COMPUTED_VALUE"""),"19890117CACLS")</f>
        <v>19890117CACLS</v>
      </c>
      <c r="B1734" s="5" t="str">
        <f ca="1">IFERROR(__xludf.DUMMYFUNCTION("""COMPUTED_VALUE"""),"Handgun")</f>
        <v>Handgun</v>
      </c>
      <c r="C1734" s="5" t="str">
        <f ca="1">IFERROR(__xludf.DUMMYFUNCTION("""COMPUTED_VALUE"""),"9mm")</f>
        <v>9mm</v>
      </c>
      <c r="D1734" s="5" t="str">
        <f ca="1">IFERROR(__xludf.DUMMYFUNCTION("""COMPUTED_VALUE"""),"Taurus PT92 pistol")</f>
        <v>Taurus PT92 pistol</v>
      </c>
    </row>
    <row r="1735" spans="1:4">
      <c r="A1735" s="5" t="str">
        <f ca="1">IFERROR(__xludf.DUMMYFUNCTION("""COMPUTED_VALUE"""),"19890117CACLS")</f>
        <v>19890117CACLS</v>
      </c>
      <c r="B1735" s="5" t="str">
        <f ca="1">IFERROR(__xludf.DUMMYFUNCTION("""COMPUTED_VALUE"""),"Rifle")</f>
        <v>Rifle</v>
      </c>
      <c r="C1735" s="5" t="str">
        <f ca="1">IFERROR(__xludf.DUMMYFUNCTION("""COMPUTED_VALUE"""),".223 caliber")</f>
        <v>.223 caliber</v>
      </c>
      <c r="D1735" s="5" t="str">
        <f ca="1">IFERROR(__xludf.DUMMYFUNCTION("""COMPUTED_VALUE"""),"Semi-auto; Legal purchased AK-47 rifle carved with the words ""freedom"", ""victory"", ""Earthman"", and ""Hezbollah""")</f>
        <v>Semi-auto; Legal purchased AK-47 rifle carved with the words "freedom", "victory", "Earthman", and "Hezbollah"</v>
      </c>
    </row>
    <row r="1736" spans="1:4">
      <c r="A1736" s="5" t="str">
        <f ca="1">IFERROR(__xludf.DUMMYFUNCTION("""COMPUTED_VALUE"""),"19890105ARHEL")</f>
        <v>19890105ARHEL</v>
      </c>
      <c r="B1736" s="5" t="str">
        <f ca="1">IFERROR(__xludf.DUMMYFUNCTION("""COMPUTED_VALUE"""),"Handgun")</f>
        <v>Handgun</v>
      </c>
      <c r="C1736" s="5" t="str">
        <f ca="1">IFERROR(__xludf.DUMMYFUNCTION("""COMPUTED_VALUE"""),".22 caliber")</f>
        <v>.22 caliber</v>
      </c>
      <c r="D1736" s="5"/>
    </row>
    <row r="1737" spans="1:4">
      <c r="A1737" s="5" t="str">
        <f ca="1">IFERROR(__xludf.DUMMYFUNCTION("""COMPUTED_VALUE"""),"19881216VAATV")</f>
        <v>19881216VAATV</v>
      </c>
      <c r="B1737" s="5" t="str">
        <f ca="1">IFERROR(__xludf.DUMMYFUNCTION("""COMPUTED_VALUE"""),"Handgun")</f>
        <v>Handgun</v>
      </c>
      <c r="C1737" s="5" t="str">
        <f ca="1">IFERROR(__xludf.DUMMYFUNCTION("""COMPUTED_VALUE"""),"9mm")</f>
        <v>9mm</v>
      </c>
      <c r="D1737" s="5"/>
    </row>
    <row r="1738" spans="1:4">
      <c r="A1738" s="5" t="str">
        <f ca="1">IFERROR(__xludf.DUMMYFUNCTION("""COMPUTED_VALUE"""),"19881122TXABA")</f>
        <v>19881122TXABA</v>
      </c>
      <c r="B1738" s="5" t="str">
        <f ca="1">IFERROR(__xludf.DUMMYFUNCTION("""COMPUTED_VALUE"""),"Handgun")</f>
        <v>Handgun</v>
      </c>
      <c r="C1738" s="5" t="str">
        <f ca="1">IFERROR(__xludf.DUMMYFUNCTION("""COMPUTED_VALUE"""),".22 caliber")</f>
        <v>.22 caliber</v>
      </c>
      <c r="D1738" s="5"/>
    </row>
    <row r="1739" spans="1:4">
      <c r="A1739" s="5" t="str">
        <f ca="1">IFERROR(__xludf.DUMMYFUNCTION("""COMPUTED_VALUE"""),"19881107UTGLS")</f>
        <v>19881107UTGLS</v>
      </c>
      <c r="B1739" s="5" t="str">
        <f ca="1">IFERROR(__xludf.DUMMYFUNCTION("""COMPUTED_VALUE"""),"Handgun")</f>
        <v>Handgun</v>
      </c>
      <c r="C1739" s="5" t="str">
        <f ca="1">IFERROR(__xludf.DUMMYFUNCTION("""COMPUTED_VALUE"""),".22 caliber")</f>
        <v>.22 caliber</v>
      </c>
      <c r="D1739" s="5"/>
    </row>
    <row r="1740" spans="1:4">
      <c r="A1740" s="5" t="str">
        <f ca="1">IFERROR(__xludf.DUMMYFUNCTION("""COMPUTED_VALUE"""),"19881101FLPAJ")</f>
        <v>19881101FLPAJ</v>
      </c>
      <c r="B1740" s="5" t="str">
        <f ca="1">IFERROR(__xludf.DUMMYFUNCTION("""COMPUTED_VALUE"""),"Handgun")</f>
        <v>Handgun</v>
      </c>
      <c r="C1740" s="5" t="str">
        <f ca="1">IFERROR(__xludf.DUMMYFUNCTION("""COMPUTED_VALUE"""),".25 caliber")</f>
        <v>.25 caliber</v>
      </c>
      <c r="D1740" s="5"/>
    </row>
    <row r="1741" spans="1:4">
      <c r="A1741" s="5" t="str">
        <f ca="1">IFERROR(__xludf.DUMMYFUNCTION("""COMPUTED_VALUE"""),"19881007TXDIP")</f>
        <v>19881007TXDIP</v>
      </c>
      <c r="B1741" s="5" t="str">
        <f ca="1">IFERROR(__xludf.DUMMYFUNCTION("""COMPUTED_VALUE"""),"Handgun")</f>
        <v>Handgun</v>
      </c>
      <c r="C1741" s="5" t="str">
        <f ca="1">IFERROR(__xludf.DUMMYFUNCTION("""COMPUTED_VALUE"""),".22 caliber")</f>
        <v>.22 caliber</v>
      </c>
      <c r="D1741" s="5"/>
    </row>
    <row r="1742" spans="1:4">
      <c r="A1742" s="5" t="str">
        <f ca="1">IFERROR(__xludf.DUMMYFUNCTION("""COMPUTED_VALUE"""),"19881007MDSOB")</f>
        <v>19881007MDSOB</v>
      </c>
      <c r="B1742" s="5" t="str">
        <f ca="1">IFERROR(__xludf.DUMMYFUNCTION("""COMPUTED_VALUE"""),"Handgun")</f>
        <v>Handgun</v>
      </c>
      <c r="C1742" s="5" t="str">
        <f ca="1">IFERROR(__xludf.DUMMYFUNCTION("""COMPUTED_VALUE"""),"Unknown")</f>
        <v>Unknown</v>
      </c>
      <c r="D1742" s="5"/>
    </row>
    <row r="1743" spans="1:4">
      <c r="A1743" s="5" t="str">
        <f ca="1">IFERROR(__xludf.DUMMYFUNCTION("""COMPUTED_VALUE"""),"19881006ALMOM")</f>
        <v>19881006ALMOM</v>
      </c>
      <c r="B1743" s="5" t="str">
        <f ca="1">IFERROR(__xludf.DUMMYFUNCTION("""COMPUTED_VALUE"""),"Handgun")</f>
        <v>Handgun</v>
      </c>
      <c r="C1743" s="5" t="str">
        <f ca="1">IFERROR(__xludf.DUMMYFUNCTION("""COMPUTED_VALUE"""),"Unknown")</f>
        <v>Unknown</v>
      </c>
      <c r="D1743" s="5"/>
    </row>
    <row r="1744" spans="1:4">
      <c r="A1744" s="5" t="str">
        <f ca="1">IFERROR(__xludf.DUMMYFUNCTION("""COMPUTED_VALUE"""),"19881005MDEDB")</f>
        <v>19881005MDEDB</v>
      </c>
      <c r="B1744" s="5" t="str">
        <f ca="1">IFERROR(__xludf.DUMMYFUNCTION("""COMPUTED_VALUE"""),"Handgun")</f>
        <v>Handgun</v>
      </c>
      <c r="C1744" s="5" t="str">
        <f ca="1">IFERROR(__xludf.DUMMYFUNCTION("""COMPUTED_VALUE"""),"Unknown")</f>
        <v>Unknown</v>
      </c>
      <c r="D1744" s="5"/>
    </row>
    <row r="1745" spans="1:4">
      <c r="A1745" s="5" t="str">
        <f ca="1">IFERROR(__xludf.DUMMYFUNCTION("""COMPUTED_VALUE"""),"19881004LAISB")</f>
        <v>19881004LAISB</v>
      </c>
      <c r="B1745" s="5" t="str">
        <f ca="1">IFERROR(__xludf.DUMMYFUNCTION("""COMPUTED_VALUE"""),"No Data")</f>
        <v>No Data</v>
      </c>
      <c r="C1745" s="5"/>
      <c r="D1745" s="5"/>
    </row>
    <row r="1746" spans="1:4">
      <c r="A1746" s="5" t="str">
        <f ca="1">IFERROR(__xludf.DUMMYFUNCTION("""COMPUTED_VALUE"""),"19881004FLJEJ")</f>
        <v>19881004FLJEJ</v>
      </c>
      <c r="B1746" s="5" t="str">
        <f ca="1">IFERROR(__xludf.DUMMYFUNCTION("""COMPUTED_VALUE"""),"Handgun")</f>
        <v>Handgun</v>
      </c>
      <c r="C1746" s="5" t="str">
        <f ca="1">IFERROR(__xludf.DUMMYFUNCTION("""COMPUTED_VALUE"""),"Unknown")</f>
        <v>Unknown</v>
      </c>
      <c r="D1746" s="5"/>
    </row>
    <row r="1747" spans="1:4">
      <c r="A1747" s="5" t="str">
        <f ca="1">IFERROR(__xludf.DUMMYFUNCTION("""COMPUTED_VALUE"""),"19881003FLMAM")</f>
        <v>19881003FLMAM</v>
      </c>
      <c r="B1747" s="5" t="str">
        <f ca="1">IFERROR(__xludf.DUMMYFUNCTION("""COMPUTED_VALUE"""),"Rifle")</f>
        <v>Rifle</v>
      </c>
      <c r="C1747" s="5" t="str">
        <f ca="1">IFERROR(__xludf.DUMMYFUNCTION("""COMPUTED_VALUE"""),"Unknown")</f>
        <v>Unknown</v>
      </c>
      <c r="D1747" s="5"/>
    </row>
    <row r="1748" spans="1:4">
      <c r="A1748" s="5" t="str">
        <f ca="1">IFERROR(__xludf.DUMMYFUNCTION("""COMPUTED_VALUE"""),"19880926SCOAG")</f>
        <v>19880926SCOAG</v>
      </c>
      <c r="B1748" s="5" t="str">
        <f ca="1">IFERROR(__xludf.DUMMYFUNCTION("""COMPUTED_VALUE"""),"Handgun")</f>
        <v>Handgun</v>
      </c>
      <c r="C1748" s="5" t="str">
        <f ca="1">IFERROR(__xludf.DUMMYFUNCTION("""COMPUTED_VALUE"""),".22 caliber")</f>
        <v>.22 caliber</v>
      </c>
      <c r="D1748" s="5"/>
    </row>
    <row r="1749" spans="1:4">
      <c r="A1749" s="5" t="str">
        <f ca="1">IFERROR(__xludf.DUMMYFUNCTION("""COMPUTED_VALUE"""),"19880922ILMOC")</f>
        <v>19880922ILMOC</v>
      </c>
      <c r="B1749" s="5" t="str">
        <f ca="1">IFERROR(__xludf.DUMMYFUNCTION("""COMPUTED_VALUE"""),"Handgun")</f>
        <v>Handgun</v>
      </c>
      <c r="C1749" s="5" t="str">
        <f ca="1">IFERROR(__xludf.DUMMYFUNCTION("""COMPUTED_VALUE"""),".38 caliber")</f>
        <v>.38 caliber</v>
      </c>
      <c r="D1749" s="5"/>
    </row>
    <row r="1750" spans="1:4">
      <c r="A1750" s="5" t="str">
        <f ca="1">IFERROR(__xludf.DUMMYFUNCTION("""COMPUTED_VALUE"""),"19880903TXLID")</f>
        <v>19880903TXLID</v>
      </c>
      <c r="B1750" s="5" t="str">
        <f ca="1">IFERROR(__xludf.DUMMYFUNCTION("""COMPUTED_VALUE"""),"Handgun")</f>
        <v>Handgun</v>
      </c>
      <c r="C1750" s="5" t="str">
        <f ca="1">IFERROR(__xludf.DUMMYFUNCTION("""COMPUTED_VALUE"""),"Unknown")</f>
        <v>Unknown</v>
      </c>
      <c r="D1750" s="5"/>
    </row>
    <row r="1751" spans="1:4">
      <c r="A1751" s="5" t="str">
        <f ca="1">IFERROR(__xludf.DUMMYFUNCTION("""COMPUTED_VALUE"""),"19880902NCGAC")</f>
        <v>19880902NCGAC</v>
      </c>
      <c r="B1751" s="5" t="str">
        <f ca="1">IFERROR(__xludf.DUMMYFUNCTION("""COMPUTED_VALUE"""),"Handgun")</f>
        <v>Handgun</v>
      </c>
      <c r="C1751" s="5" t="str">
        <f ca="1">IFERROR(__xludf.DUMMYFUNCTION("""COMPUTED_VALUE"""),".38 caliber")</f>
        <v>.38 caliber</v>
      </c>
      <c r="D1751" s="5"/>
    </row>
    <row r="1752" spans="1:4">
      <c r="A1752" s="5" t="str">
        <f ca="1">IFERROR(__xludf.DUMMYFUNCTION("""COMPUTED_VALUE"""),"19880902GAGLA")</f>
        <v>19880902GAGLA</v>
      </c>
      <c r="B1752" s="5" t="str">
        <f ca="1">IFERROR(__xludf.DUMMYFUNCTION("""COMPUTED_VALUE"""),"Handgun")</f>
        <v>Handgun</v>
      </c>
      <c r="C1752" s="5" t="str">
        <f ca="1">IFERROR(__xludf.DUMMYFUNCTION("""COMPUTED_VALUE"""),"Unknown")</f>
        <v>Unknown</v>
      </c>
      <c r="D1752" s="5"/>
    </row>
    <row r="1753" spans="1:4">
      <c r="A1753" s="5" t="str">
        <f ca="1">IFERROR(__xludf.DUMMYFUNCTION("""COMPUTED_VALUE"""),"19880831SCWEA")</f>
        <v>19880831SCWEA</v>
      </c>
      <c r="B1753" s="5" t="str">
        <f ca="1">IFERROR(__xludf.DUMMYFUNCTION("""COMPUTED_VALUE"""),"Handgun")</f>
        <v>Handgun</v>
      </c>
      <c r="C1753" s="5" t="str">
        <f ca="1">IFERROR(__xludf.DUMMYFUNCTION("""COMPUTED_VALUE"""),".25 caliber")</f>
        <v>.25 caliber</v>
      </c>
      <c r="D1753" s="5"/>
    </row>
    <row r="1754" spans="1:4">
      <c r="A1754" s="5" t="str">
        <f ca="1">IFERROR(__xludf.DUMMYFUNCTION("""COMPUTED_VALUE"""),"19880831MICED")</f>
        <v>19880831MICED</v>
      </c>
      <c r="B1754" s="5" t="str">
        <f ca="1">IFERROR(__xludf.DUMMYFUNCTION("""COMPUTED_VALUE"""),"Multiple Handguns")</f>
        <v>Multiple Handguns</v>
      </c>
      <c r="C1754" s="5" t="str">
        <f ca="1">IFERROR(__xludf.DUMMYFUNCTION("""COMPUTED_VALUE"""),"Unknown")</f>
        <v>Unknown</v>
      </c>
      <c r="D1754" s="5"/>
    </row>
    <row r="1755" spans="1:4">
      <c r="A1755" s="5" t="str">
        <f ca="1">IFERROR(__xludf.DUMMYFUNCTION("""COMPUTED_VALUE"""),"19880711MSLAJ")</f>
        <v>19880711MSLAJ</v>
      </c>
      <c r="B1755" s="5" t="str">
        <f ca="1">IFERROR(__xludf.DUMMYFUNCTION("""COMPUTED_VALUE"""),"Handgun")</f>
        <v>Handgun</v>
      </c>
      <c r="C1755" s="5" t="str">
        <f ca="1">IFERROR(__xludf.DUMMYFUNCTION("""COMPUTED_VALUE"""),".22 caliber")</f>
        <v>.22 caliber</v>
      </c>
      <c r="D1755" s="5"/>
    </row>
    <row r="1756" spans="1:4">
      <c r="A1756" s="5" t="str">
        <f ca="1">IFERROR(__xludf.DUMMYFUNCTION("""COMPUTED_VALUE"""),"19880710WISIM")</f>
        <v>19880710WISIM</v>
      </c>
      <c r="B1756" s="5" t="str">
        <f ca="1">IFERROR(__xludf.DUMMYFUNCTION("""COMPUTED_VALUE"""),"Other")</f>
        <v>Other</v>
      </c>
      <c r="C1756" s="5" t="str">
        <f ca="1">IFERROR(__xludf.DUMMYFUNCTION("""COMPUTED_VALUE"""),"Submachine gun")</f>
        <v>Submachine gun</v>
      </c>
      <c r="D1756" s="5"/>
    </row>
    <row r="1757" spans="1:4">
      <c r="A1757" s="5" t="str">
        <f ca="1">IFERROR(__xludf.DUMMYFUNCTION("""COMPUTED_VALUE"""),"19880630HIAIO")</f>
        <v>19880630HIAIO</v>
      </c>
      <c r="B1757" s="5" t="str">
        <f ca="1">IFERROR(__xludf.DUMMYFUNCTION("""COMPUTED_VALUE"""),"Handgun")</f>
        <v>Handgun</v>
      </c>
      <c r="C1757" s="5" t="str">
        <f ca="1">IFERROR(__xludf.DUMMYFUNCTION("""COMPUTED_VALUE"""),".38 caliber")</f>
        <v>.38 caliber</v>
      </c>
      <c r="D1757" s="5"/>
    </row>
    <row r="1758" spans="1:4">
      <c r="A1758" s="5" t="str">
        <f ca="1">IFERROR(__xludf.DUMMYFUNCTION("""COMPUTED_VALUE"""),"19880617MIJOD")</f>
        <v>19880617MIJOD</v>
      </c>
      <c r="B1758" s="5" t="str">
        <f ca="1">IFERROR(__xludf.DUMMYFUNCTION("""COMPUTED_VALUE"""),"Handgun")</f>
        <v>Handgun</v>
      </c>
      <c r="C1758" s="5" t="str">
        <f ca="1">IFERROR(__xludf.DUMMYFUNCTION("""COMPUTED_VALUE"""),".22 caliber")</f>
        <v>.22 caliber</v>
      </c>
      <c r="D1758" s="5"/>
    </row>
    <row r="1759" spans="1:4">
      <c r="A1759" s="5" t="str">
        <f ca="1">IFERROR(__xludf.DUMMYFUNCTION("""COMPUTED_VALUE"""),"19880602MSWIJ")</f>
        <v>19880602MSWIJ</v>
      </c>
      <c r="B1759" s="5" t="str">
        <f ca="1">IFERROR(__xludf.DUMMYFUNCTION("""COMPUTED_VALUE"""),"Handgun")</f>
        <v>Handgun</v>
      </c>
      <c r="C1759" s="5" t="str">
        <f ca="1">IFERROR(__xludf.DUMMYFUNCTION("""COMPUTED_VALUE"""),".357 caliber")</f>
        <v>.357 caliber</v>
      </c>
      <c r="D1759" s="5"/>
    </row>
    <row r="1760" spans="1:4">
      <c r="A1760" s="5" t="str">
        <f ca="1">IFERROR(__xludf.DUMMYFUNCTION("""COMPUTED_VALUE"""),"19880531NYPUB")</f>
        <v>19880531NYPUB</v>
      </c>
      <c r="B1760" s="5" t="str">
        <f ca="1">IFERROR(__xludf.DUMMYFUNCTION("""COMPUTED_VALUE"""),"No Data")</f>
        <v>No Data</v>
      </c>
      <c r="C1760" s="5"/>
      <c r="D1760" s="5"/>
    </row>
    <row r="1761" spans="1:4">
      <c r="A1761" s="5" t="str">
        <f ca="1">IFERROR(__xludf.DUMMYFUNCTION("""COMPUTED_VALUE"""),"19880520ILHUW")</f>
        <v>19880520ILHUW</v>
      </c>
      <c r="B1761" s="5" t="str">
        <f ca="1">IFERROR(__xludf.DUMMYFUNCTION("""COMPUTED_VALUE"""),"Handgun")</f>
        <v>Handgun</v>
      </c>
      <c r="C1761" s="5" t="str">
        <f ca="1">IFERROR(__xludf.DUMMYFUNCTION("""COMPUTED_VALUE"""),".357 caliber")</f>
        <v>.357 caliber</v>
      </c>
      <c r="D1761" s="5"/>
    </row>
    <row r="1762" spans="1:4">
      <c r="A1762" s="5" t="str">
        <f ca="1">IFERROR(__xludf.DUMMYFUNCTION("""COMPUTED_VALUE"""),"19880520ILHUW")</f>
        <v>19880520ILHUW</v>
      </c>
      <c r="B1762" s="5" t="str">
        <f ca="1">IFERROR(__xludf.DUMMYFUNCTION("""COMPUTED_VALUE"""),"Handgun")</f>
        <v>Handgun</v>
      </c>
      <c r="C1762" s="5" t="str">
        <f ca="1">IFERROR(__xludf.DUMMYFUNCTION("""COMPUTED_VALUE"""),".22 caliber")</f>
        <v>.22 caliber</v>
      </c>
      <c r="D1762" s="5"/>
    </row>
    <row r="1763" spans="1:4">
      <c r="A1763" s="5" t="str">
        <f ca="1">IFERROR(__xludf.DUMMYFUNCTION("""COMPUTED_VALUE"""),"19880520ILHUW")</f>
        <v>19880520ILHUW</v>
      </c>
      <c r="B1763" s="5" t="str">
        <f ca="1">IFERROR(__xludf.DUMMYFUNCTION("""COMPUTED_VALUE"""),"Handgun")</f>
        <v>Handgun</v>
      </c>
      <c r="C1763" s="5" t="str">
        <f ca="1">IFERROR(__xludf.DUMMYFUNCTION("""COMPUTED_VALUE"""),".32 caliber")</f>
        <v>.32 caliber</v>
      </c>
      <c r="D1763" s="5"/>
    </row>
    <row r="1764" spans="1:4">
      <c r="A1764" s="5" t="str">
        <f ca="1">IFERROR(__xludf.DUMMYFUNCTION("""COMPUTED_VALUE"""),"19880516FLFOF")</f>
        <v>19880516FLFOF</v>
      </c>
      <c r="B1764" s="5" t="str">
        <f ca="1">IFERROR(__xludf.DUMMYFUNCTION("""COMPUTED_VALUE"""),"Handgun")</f>
        <v>Handgun</v>
      </c>
      <c r="C1764" s="5" t="str">
        <f ca="1">IFERROR(__xludf.DUMMYFUNCTION("""COMPUTED_VALUE"""),".22 caliber")</f>
        <v>.22 caliber</v>
      </c>
      <c r="D1764" s="5"/>
    </row>
    <row r="1765" spans="1:4">
      <c r="A1765" s="5" t="str">
        <f ca="1">IFERROR(__xludf.DUMMYFUNCTION("""COMPUTED_VALUE"""),"19880505ILMAC")</f>
        <v>19880505ILMAC</v>
      </c>
      <c r="B1765" s="5" t="str">
        <f ca="1">IFERROR(__xludf.DUMMYFUNCTION("""COMPUTED_VALUE"""),"Handgun")</f>
        <v>Handgun</v>
      </c>
      <c r="C1765" s="5" t="str">
        <f ca="1">IFERROR(__xludf.DUMMYFUNCTION("""COMPUTED_VALUE"""),".38 caliber")</f>
        <v>.38 caliber</v>
      </c>
      <c r="D1765" s="5"/>
    </row>
    <row r="1766" spans="1:4">
      <c r="A1766" s="5" t="str">
        <f ca="1">IFERROR(__xludf.DUMMYFUNCTION("""COMPUTED_VALUE"""),"19880324TXTRA")</f>
        <v>19880324TXTRA</v>
      </c>
      <c r="B1766" s="5" t="str">
        <f ca="1">IFERROR(__xludf.DUMMYFUNCTION("""COMPUTED_VALUE"""),"Other")</f>
        <v>Other</v>
      </c>
      <c r="C1766" s="5" t="str">
        <f ca="1">IFERROR(__xludf.DUMMYFUNCTION("""COMPUTED_VALUE"""),"BB")</f>
        <v>BB</v>
      </c>
      <c r="D1766" s="5"/>
    </row>
    <row r="1767" spans="1:4">
      <c r="A1767" s="5" t="str">
        <f ca="1">IFERROR(__xludf.DUMMYFUNCTION("""COMPUTED_VALUE"""),"19880323CACAS")</f>
        <v>19880323CACAS</v>
      </c>
      <c r="B1767" s="5" t="str">
        <f ca="1">IFERROR(__xludf.DUMMYFUNCTION("""COMPUTED_VALUE"""),"No Data")</f>
        <v>No Data</v>
      </c>
      <c r="C1767" s="5"/>
      <c r="D1767" s="5"/>
    </row>
    <row r="1768" spans="1:4">
      <c r="A1768" s="5" t="str">
        <f ca="1">IFERROR(__xludf.DUMMYFUNCTION("""COMPUTED_VALUE"""),"19880304MILED")</f>
        <v>19880304MILED</v>
      </c>
      <c r="B1768" s="5" t="str">
        <f ca="1">IFERROR(__xludf.DUMMYFUNCTION("""COMPUTED_VALUE"""),"No Data")</f>
        <v>No Data</v>
      </c>
      <c r="C1768" s="5"/>
      <c r="D1768" s="5"/>
    </row>
    <row r="1769" spans="1:4">
      <c r="A1769" s="5" t="str">
        <f ca="1">IFERROR(__xludf.DUMMYFUNCTION("""COMPUTED_VALUE"""),"19880226RIBRB")</f>
        <v>19880226RIBRB</v>
      </c>
      <c r="B1769" s="5" t="str">
        <f ca="1">IFERROR(__xludf.DUMMYFUNCTION("""COMPUTED_VALUE"""),"Handgun")</f>
        <v>Handgun</v>
      </c>
      <c r="C1769" s="5" t="str">
        <f ca="1">IFERROR(__xludf.DUMMYFUNCTION("""COMPUTED_VALUE"""),".22 caliber")</f>
        <v>.22 caliber</v>
      </c>
      <c r="D1769" s="5"/>
    </row>
    <row r="1770" spans="1:4">
      <c r="A1770" s="5" t="str">
        <f ca="1">IFERROR(__xludf.DUMMYFUNCTION("""COMPUTED_VALUE"""),"19880211FLPIL")</f>
        <v>19880211FLPIL</v>
      </c>
      <c r="B1770" s="5" t="str">
        <f ca="1">IFERROR(__xludf.DUMMYFUNCTION("""COMPUTED_VALUE"""),"Handgun")</f>
        <v>Handgun</v>
      </c>
      <c r="C1770" s="5" t="str">
        <f ca="1">IFERROR(__xludf.DUMMYFUNCTION("""COMPUTED_VALUE"""),".38 caliber")</f>
        <v>.38 caliber</v>
      </c>
      <c r="D1770" s="5" t="str">
        <f ca="1">IFERROR(__xludf.DUMMYFUNCTION("""COMPUTED_VALUE"""),".38 pistols (both)")</f>
        <v>.38 pistols (both)</v>
      </c>
    </row>
    <row r="1771" spans="1:4">
      <c r="A1771" s="5" t="str">
        <f ca="1">IFERROR(__xludf.DUMMYFUNCTION("""COMPUTED_VALUE"""),"19880211FLPIL")</f>
        <v>19880211FLPIL</v>
      </c>
      <c r="B1771" s="5" t="str">
        <f ca="1">IFERROR(__xludf.DUMMYFUNCTION("""COMPUTED_VALUE"""),"Handgun")</f>
        <v>Handgun</v>
      </c>
      <c r="C1771" s="5" t="str">
        <f ca="1">IFERROR(__xludf.DUMMYFUNCTION("""COMPUTED_VALUE"""),".38 caliber")</f>
        <v>.38 caliber</v>
      </c>
      <c r="D1771" s="5" t="str">
        <f ca="1">IFERROR(__xludf.DUMMYFUNCTION("""COMPUTED_VALUE"""),".38 pistols (both)")</f>
        <v>.38 pistols (both)</v>
      </c>
    </row>
    <row r="1772" spans="1:4">
      <c r="A1772" s="5" t="str">
        <f ca="1">IFERROR(__xludf.DUMMYFUNCTION("""COMPUTED_VALUE"""),"19880202ALWET")</f>
        <v>19880202ALWET</v>
      </c>
      <c r="B1772" s="5" t="str">
        <f ca="1">IFERROR(__xludf.DUMMYFUNCTION("""COMPUTED_VALUE"""),"Multiple Unknown")</f>
        <v>Multiple Unknown</v>
      </c>
      <c r="C1772" s="5" t="str">
        <f ca="1">IFERROR(__xludf.DUMMYFUNCTION("""COMPUTED_VALUE"""),"Unknown")</f>
        <v>Unknown</v>
      </c>
      <c r="D1772" s="5"/>
    </row>
    <row r="1773" spans="1:4">
      <c r="A1773" s="5" t="str">
        <f ca="1">IFERROR(__xludf.DUMMYFUNCTION("""COMPUTED_VALUE"""),"19880129TXREA")</f>
        <v>19880129TXREA</v>
      </c>
      <c r="B1773" s="5" t="str">
        <f ca="1">IFERROR(__xludf.DUMMYFUNCTION("""COMPUTED_VALUE"""),"No Data")</f>
        <v>No Data</v>
      </c>
      <c r="C1773" s="5"/>
      <c r="D1773" s="5"/>
    </row>
    <row r="1774" spans="1:4">
      <c r="A1774" s="5" t="str">
        <f ca="1">IFERROR(__xludf.DUMMYFUNCTION("""COMPUTED_VALUE"""),"19880120LASIR")</f>
        <v>19880120LASIR</v>
      </c>
      <c r="B1774" s="5" t="str">
        <f ca="1">IFERROR(__xludf.DUMMYFUNCTION("""COMPUTED_VALUE"""),"Handgun")</f>
        <v>Handgun</v>
      </c>
      <c r="C1774" s="5" t="str">
        <f ca="1">IFERROR(__xludf.DUMMYFUNCTION("""COMPUTED_VALUE"""),".357 caliber")</f>
        <v>.357 caliber</v>
      </c>
      <c r="D1774" s="5"/>
    </row>
    <row r="1775" spans="1:4">
      <c r="A1775" s="5" t="str">
        <f ca="1">IFERROR(__xludf.DUMMYFUNCTION("""COMPUTED_VALUE"""),"19880108PACRM")</f>
        <v>19880108PACRM</v>
      </c>
      <c r="B1775" s="5" t="str">
        <f ca="1">IFERROR(__xludf.DUMMYFUNCTION("""COMPUTED_VALUE"""),"Handgun")</f>
        <v>Handgun</v>
      </c>
      <c r="C1775" s="5" t="str">
        <f ca="1">IFERROR(__xludf.DUMMYFUNCTION("""COMPUTED_VALUE"""),".32 caliber")</f>
        <v>.32 caliber</v>
      </c>
      <c r="D1775" s="5"/>
    </row>
    <row r="1776" spans="1:4">
      <c r="A1776" s="5" t="str">
        <f ca="1">IFERROR(__xludf.DUMMYFUNCTION("""COMPUTED_VALUE"""),"19880106FLGAT")</f>
        <v>19880106FLGAT</v>
      </c>
      <c r="B1776" s="5" t="str">
        <f ca="1">IFERROR(__xludf.DUMMYFUNCTION("""COMPUTED_VALUE"""),"Handgun")</f>
        <v>Handgun</v>
      </c>
      <c r="C1776" s="5" t="str">
        <f ca="1">IFERROR(__xludf.DUMMYFUNCTION("""COMPUTED_VALUE"""),".357 caliber")</f>
        <v>.357 caliber</v>
      </c>
      <c r="D1776" s="5"/>
    </row>
    <row r="1777" spans="1:4">
      <c r="A1777" s="5" t="str">
        <f ca="1">IFERROR(__xludf.DUMMYFUNCTION("""COMPUTED_VALUE"""),"19880105PASPS")</f>
        <v>19880105PASPS</v>
      </c>
      <c r="B1777" s="5" t="str">
        <f ca="1">IFERROR(__xludf.DUMMYFUNCTION("""COMPUTED_VALUE"""),"Handgun")</f>
        <v>Handgun</v>
      </c>
      <c r="C1777" s="5" t="str">
        <f ca="1">IFERROR(__xludf.DUMMYFUNCTION("""COMPUTED_VALUE"""),"Unknown")</f>
        <v>Unknown</v>
      </c>
      <c r="D1777" s="5"/>
    </row>
    <row r="1778" spans="1:4">
      <c r="A1778" s="5" t="str">
        <f ca="1">IFERROR(__xludf.DUMMYFUNCTION("""COMPUTED_VALUE"""),"19871216TXMAK")</f>
        <v>19871216TXMAK</v>
      </c>
      <c r="B1778" s="5" t="str">
        <f ca="1">IFERROR(__xludf.DUMMYFUNCTION("""COMPUTED_VALUE"""),"Handgun")</f>
        <v>Handgun</v>
      </c>
      <c r="C1778" s="5" t="str">
        <f ca="1">IFERROR(__xludf.DUMMYFUNCTION("""COMPUTED_VALUE"""),".357 caliber")</f>
        <v>.357 caliber</v>
      </c>
      <c r="D1778" s="5"/>
    </row>
    <row r="1779" spans="1:4">
      <c r="A1779" s="5" t="str">
        <f ca="1">IFERROR(__xludf.DUMMYFUNCTION("""COMPUTED_VALUE"""),"19871215NYGRB")</f>
        <v>19871215NYGRB</v>
      </c>
      <c r="B1779" s="5" t="str">
        <f ca="1">IFERROR(__xludf.DUMMYFUNCTION("""COMPUTED_VALUE"""),"No Data")</f>
        <v>No Data</v>
      </c>
      <c r="C1779" s="5"/>
      <c r="D1779" s="5"/>
    </row>
    <row r="1780" spans="1:4">
      <c r="A1780" s="5" t="str">
        <f ca="1">IFERROR(__xludf.DUMMYFUNCTION("""COMPUTED_VALUE"""),"19871204NYEAN")</f>
        <v>19871204NYEAN</v>
      </c>
      <c r="B1780" s="5" t="str">
        <f ca="1">IFERROR(__xludf.DUMMYFUNCTION("""COMPUTED_VALUE"""),"Handgun")</f>
        <v>Handgun</v>
      </c>
      <c r="C1780" s="5" t="str">
        <f ca="1">IFERROR(__xludf.DUMMYFUNCTION("""COMPUTED_VALUE"""),"Unknown")</f>
        <v>Unknown</v>
      </c>
      <c r="D1780" s="5"/>
    </row>
    <row r="1781" spans="1:4">
      <c r="A1781" s="5" t="str">
        <f ca="1">IFERROR(__xludf.DUMMYFUNCTION("""COMPUTED_VALUE"""),"19871202FLENJ")</f>
        <v>19871202FLENJ</v>
      </c>
      <c r="B1781" s="5" t="str">
        <f ca="1">IFERROR(__xludf.DUMMYFUNCTION("""COMPUTED_VALUE"""),"Handgun")</f>
        <v>Handgun</v>
      </c>
      <c r="C1781" s="5" t="str">
        <f ca="1">IFERROR(__xludf.DUMMYFUNCTION("""COMPUTED_VALUE"""),".357 caliber")</f>
        <v>.357 caliber</v>
      </c>
      <c r="D1781" s="5"/>
    </row>
    <row r="1782" spans="1:4">
      <c r="A1782" s="5" t="str">
        <f ca="1">IFERROR(__xludf.DUMMYFUNCTION("""COMPUTED_VALUE"""),"19871130TXPES")</f>
        <v>19871130TXPES</v>
      </c>
      <c r="B1782" s="5" t="str">
        <f ca="1">IFERROR(__xludf.DUMMYFUNCTION("""COMPUTED_VALUE"""),"Handgun")</f>
        <v>Handgun</v>
      </c>
      <c r="C1782" s="5" t="str">
        <f ca="1">IFERROR(__xludf.DUMMYFUNCTION("""COMPUTED_VALUE"""),"Unknown")</f>
        <v>Unknown</v>
      </c>
      <c r="D1782" s="5"/>
    </row>
    <row r="1783" spans="1:4">
      <c r="A1783" s="5" t="str">
        <f ca="1">IFERROR(__xludf.DUMMYFUNCTION("""COMPUTED_VALUE"""),"19871114FLCLC")</f>
        <v>19871114FLCLC</v>
      </c>
      <c r="B1783" s="5" t="str">
        <f ca="1">IFERROR(__xludf.DUMMYFUNCTION("""COMPUTED_VALUE"""),"Handgun")</f>
        <v>Handgun</v>
      </c>
      <c r="C1783" s="5" t="str">
        <f ca="1">IFERROR(__xludf.DUMMYFUNCTION("""COMPUTED_VALUE"""),".45 caliber")</f>
        <v>.45 caliber</v>
      </c>
      <c r="D1783" s="5"/>
    </row>
    <row r="1784" spans="1:4">
      <c r="A1784" s="5" t="str">
        <f ca="1">IFERROR(__xludf.DUMMYFUNCTION("""COMPUTED_VALUE"""),"19871104MISOD")</f>
        <v>19871104MISOD</v>
      </c>
      <c r="B1784" s="5" t="str">
        <f ca="1">IFERROR(__xludf.DUMMYFUNCTION("""COMPUTED_VALUE"""),"Handgun")</f>
        <v>Handgun</v>
      </c>
      <c r="C1784" s="5" t="str">
        <f ca="1">IFERROR(__xludf.DUMMYFUNCTION("""COMPUTED_VALUE"""),"Unknown")</f>
        <v>Unknown</v>
      </c>
      <c r="D1784" s="5"/>
    </row>
    <row r="1785" spans="1:4">
      <c r="A1785" s="5" t="str">
        <f ca="1">IFERROR(__xludf.DUMMYFUNCTION("""COMPUTED_VALUE"""),"19871030NCSOK")</f>
        <v>19871030NCSOK</v>
      </c>
      <c r="B1785" s="5" t="str">
        <f ca="1">IFERROR(__xludf.DUMMYFUNCTION("""COMPUTED_VALUE"""),"Handgun")</f>
        <v>Handgun</v>
      </c>
      <c r="C1785" s="5" t="str">
        <f ca="1">IFERROR(__xludf.DUMMYFUNCTION("""COMPUTED_VALUE"""),".22 caliber")</f>
        <v>.22 caliber</v>
      </c>
      <c r="D1785" s="5"/>
    </row>
    <row r="1786" spans="1:4">
      <c r="A1786" s="5" t="str">
        <f ca="1">IFERROR(__xludf.DUMMYFUNCTION("""COMPUTED_VALUE"""),"19871014ILDUC")</f>
        <v>19871014ILDUC</v>
      </c>
      <c r="B1786" s="5" t="str">
        <f ca="1">IFERROR(__xludf.DUMMYFUNCTION("""COMPUTED_VALUE"""),"Handgun")</f>
        <v>Handgun</v>
      </c>
      <c r="C1786" s="5" t="str">
        <f ca="1">IFERROR(__xludf.DUMMYFUNCTION("""COMPUTED_VALUE"""),"Unknown")</f>
        <v>Unknown</v>
      </c>
      <c r="D1786" s="5"/>
    </row>
    <row r="1787" spans="1:4">
      <c r="A1787" s="5" t="str">
        <f ca="1">IFERROR(__xludf.DUMMYFUNCTION("""COMPUTED_VALUE"""),"19870928ILILL")</f>
        <v>19870928ILILL</v>
      </c>
      <c r="B1787" s="5" t="str">
        <f ca="1">IFERROR(__xludf.DUMMYFUNCTION("""COMPUTED_VALUE"""),"Handgun")</f>
        <v>Handgun</v>
      </c>
      <c r="C1787" s="5" t="str">
        <f ca="1">IFERROR(__xludf.DUMMYFUNCTION("""COMPUTED_VALUE"""),".22 caliber")</f>
        <v>.22 caliber</v>
      </c>
      <c r="D1787" s="5"/>
    </row>
    <row r="1788" spans="1:4">
      <c r="A1788" s="5" t="str">
        <f ca="1">IFERROR(__xludf.DUMMYFUNCTION("""COMPUTED_VALUE"""),"19870513ILOAO")</f>
        <v>19870513ILOAO</v>
      </c>
      <c r="B1788" s="5" t="str">
        <f ca="1">IFERROR(__xludf.DUMMYFUNCTION("""COMPUTED_VALUE"""),"Handgun")</f>
        <v>Handgun</v>
      </c>
      <c r="C1788" s="5" t="str">
        <f ca="1">IFERROR(__xludf.DUMMYFUNCTION("""COMPUTED_VALUE"""),".25 caliber")</f>
        <v>.25 caliber</v>
      </c>
      <c r="D1788" s="5"/>
    </row>
    <row r="1789" spans="1:4">
      <c r="A1789" s="5" t="str">
        <f ca="1">IFERROR(__xludf.DUMMYFUNCTION("""COMPUTED_VALUE"""),"19870506FLLET")</f>
        <v>19870506FLLET</v>
      </c>
      <c r="B1789" s="5" t="str">
        <f ca="1">IFERROR(__xludf.DUMMYFUNCTION("""COMPUTED_VALUE"""),"Handgun")</f>
        <v>Handgun</v>
      </c>
      <c r="C1789" s="5" t="str">
        <f ca="1">IFERROR(__xludf.DUMMYFUNCTION("""COMPUTED_VALUE"""),".38 caliber")</f>
        <v>.38 caliber</v>
      </c>
      <c r="D1789" s="5"/>
    </row>
    <row r="1790" spans="1:4">
      <c r="A1790" s="5" t="str">
        <f ca="1">IFERROR(__xludf.DUMMYFUNCTION("""COMPUTED_VALUE"""),"19870506ARMAJ")</f>
        <v>19870506ARMAJ</v>
      </c>
      <c r="B1790" s="5" t="str">
        <f ca="1">IFERROR(__xludf.DUMMYFUNCTION("""COMPUTED_VALUE"""),"Handgun")</f>
        <v>Handgun</v>
      </c>
      <c r="C1790" s="5" t="str">
        <f ca="1">IFERROR(__xludf.DUMMYFUNCTION("""COMPUTED_VALUE"""),".25 caliber")</f>
        <v>.25 caliber</v>
      </c>
      <c r="D1790" s="5"/>
    </row>
    <row r="1791" spans="1:4">
      <c r="A1791" s="5" t="str">
        <f ca="1">IFERROR(__xludf.DUMMYFUNCTION("""COMPUTED_VALUE"""),"19870503INPII")</f>
        <v>19870503INPII</v>
      </c>
      <c r="B1791" s="5" t="str">
        <f ca="1">IFERROR(__xludf.DUMMYFUNCTION("""COMPUTED_VALUE"""),"Handgun")</f>
        <v>Handgun</v>
      </c>
      <c r="C1791" s="5" t="str">
        <f ca="1">IFERROR(__xludf.DUMMYFUNCTION("""COMPUTED_VALUE"""),"Unknown")</f>
        <v>Unknown</v>
      </c>
      <c r="D1791" s="5"/>
    </row>
    <row r="1792" spans="1:4">
      <c r="A1792" s="5" t="str">
        <f ca="1">IFERROR(__xludf.DUMMYFUNCTION("""COMPUTED_VALUE"""),"19870430ORGRP")</f>
        <v>19870430ORGRP</v>
      </c>
      <c r="B1792" s="5" t="str">
        <f ca="1">IFERROR(__xludf.DUMMYFUNCTION("""COMPUTED_VALUE"""),"Handgun")</f>
        <v>Handgun</v>
      </c>
      <c r="C1792" s="5" t="str">
        <f ca="1">IFERROR(__xludf.DUMMYFUNCTION("""COMPUTED_VALUE"""),"Unknown")</f>
        <v>Unknown</v>
      </c>
      <c r="D1792" s="5"/>
    </row>
    <row r="1793" spans="1:4">
      <c r="A1793" s="5" t="str">
        <f ca="1">IFERROR(__xludf.DUMMYFUNCTION("""COMPUTED_VALUE"""),"19870416MIMUD")</f>
        <v>19870416MIMUD</v>
      </c>
      <c r="B1793" s="5" t="str">
        <f ca="1">IFERROR(__xludf.DUMMYFUNCTION("""COMPUTED_VALUE"""),"Handgun")</f>
        <v>Handgun</v>
      </c>
      <c r="C1793" s="5" t="str">
        <f ca="1">IFERROR(__xludf.DUMMYFUNCTION("""COMPUTED_VALUE"""),"Unknown")</f>
        <v>Unknown</v>
      </c>
      <c r="D1793" s="5"/>
    </row>
    <row r="1794" spans="1:4">
      <c r="A1794" s="5" t="str">
        <f ca="1">IFERROR(__xludf.DUMMYFUNCTION("""COMPUTED_VALUE"""),"19870330CAPAS")</f>
        <v>19870330CAPAS</v>
      </c>
      <c r="B1794" s="5" t="str">
        <f ca="1">IFERROR(__xludf.DUMMYFUNCTION("""COMPUTED_VALUE"""),"Handgun")</f>
        <v>Handgun</v>
      </c>
      <c r="C1794" s="5" t="str">
        <f ca="1">IFERROR(__xludf.DUMMYFUNCTION("""COMPUTED_VALUE"""),"Unknown")</f>
        <v>Unknown</v>
      </c>
      <c r="D1794" s="5"/>
    </row>
    <row r="1795" spans="1:4">
      <c r="A1795" s="5" t="str">
        <f ca="1">IFERROR(__xludf.DUMMYFUNCTION("""COMPUTED_VALUE"""),"19870306TXRIE")</f>
        <v>19870306TXRIE</v>
      </c>
      <c r="B1795" s="5" t="str">
        <f ca="1">IFERROR(__xludf.DUMMYFUNCTION("""COMPUTED_VALUE"""),"No Data")</f>
        <v>No Data</v>
      </c>
      <c r="C1795" s="5"/>
      <c r="D1795" s="5"/>
    </row>
    <row r="1796" spans="1:4">
      <c r="A1796" s="5" t="str">
        <f ca="1">IFERROR(__xludf.DUMMYFUNCTION("""COMPUTED_VALUE"""),"19870302MODED")</f>
        <v>19870302MODED</v>
      </c>
      <c r="B1796" s="5" t="str">
        <f ca="1">IFERROR(__xludf.DUMMYFUNCTION("""COMPUTED_VALUE"""),"Handgun")</f>
        <v>Handgun</v>
      </c>
      <c r="C1796" s="5" t="str">
        <f ca="1">IFERROR(__xludf.DUMMYFUNCTION("""COMPUTED_VALUE"""),".45 caliber")</f>
        <v>.45 caliber</v>
      </c>
      <c r="D1796" s="5"/>
    </row>
    <row r="1797" spans="1:4">
      <c r="A1797" s="5" t="str">
        <f ca="1">IFERROR(__xludf.DUMMYFUNCTION("""COMPUTED_VALUE"""),"19870224NYMON")</f>
        <v>19870224NYMON</v>
      </c>
      <c r="B1797" s="5" t="str">
        <f ca="1">IFERROR(__xludf.DUMMYFUNCTION("""COMPUTED_VALUE"""),"Handgun")</f>
        <v>Handgun</v>
      </c>
      <c r="C1797" s="5" t="str">
        <f ca="1">IFERROR(__xludf.DUMMYFUNCTION("""COMPUTED_VALUE"""),"Unknown")</f>
        <v>Unknown</v>
      </c>
      <c r="D1797" s="5"/>
    </row>
    <row r="1798" spans="1:4">
      <c r="A1798" s="5" t="str">
        <f ca="1">IFERROR(__xludf.DUMMYFUNCTION("""COMPUTED_VALUE"""),"19870213AZORM")</f>
        <v>19870213AZORM</v>
      </c>
      <c r="B1798" s="5" t="str">
        <f ca="1">IFERROR(__xludf.DUMMYFUNCTION("""COMPUTED_VALUE"""),"Multiple Unknown")</f>
        <v>Multiple Unknown</v>
      </c>
      <c r="C1798" s="5" t="str">
        <f ca="1">IFERROR(__xludf.DUMMYFUNCTION("""COMPUTED_VALUE"""),"Unknown")</f>
        <v>Unknown</v>
      </c>
      <c r="D1798" s="5"/>
    </row>
    <row r="1799" spans="1:4">
      <c r="A1799" s="5" t="str">
        <f ca="1">IFERROR(__xludf.DUMMYFUNCTION("""COMPUTED_VALUE"""),"19870210ARDAD")</f>
        <v>19870210ARDAD</v>
      </c>
      <c r="B1799" s="5" t="str">
        <f ca="1">IFERROR(__xludf.DUMMYFUNCTION("""COMPUTED_VALUE"""),"Rifle")</f>
        <v>Rifle</v>
      </c>
      <c r="C1799" s="5" t="str">
        <f ca="1">IFERROR(__xludf.DUMMYFUNCTION("""COMPUTED_VALUE"""),"Unknown")</f>
        <v>Unknown</v>
      </c>
      <c r="D1799" s="5"/>
    </row>
    <row r="1800" spans="1:4">
      <c r="A1800" s="5" t="str">
        <f ca="1">IFERROR(__xludf.DUMMYFUNCTION("""COMPUTED_VALUE"""),"19870123MIRED")</f>
        <v>19870123MIRED</v>
      </c>
      <c r="B1800" s="5" t="str">
        <f ca="1">IFERROR(__xludf.DUMMYFUNCTION("""COMPUTED_VALUE"""),"No Data")</f>
        <v>No Data</v>
      </c>
      <c r="C1800" s="5"/>
      <c r="D1800" s="5"/>
    </row>
    <row r="1801" spans="1:4">
      <c r="A1801" s="5" t="str">
        <f ca="1">IFERROR(__xludf.DUMMYFUNCTION("""COMPUTED_VALUE"""),"19870114CALOL")</f>
        <v>19870114CALOL</v>
      </c>
      <c r="B1801" s="5" t="str">
        <f ca="1">IFERROR(__xludf.DUMMYFUNCTION("""COMPUTED_VALUE"""),"Handgun")</f>
        <v>Handgun</v>
      </c>
      <c r="C1801" s="5" t="str">
        <f ca="1">IFERROR(__xludf.DUMMYFUNCTION("""COMPUTED_VALUE"""),".22 caliber")</f>
        <v>.22 caliber</v>
      </c>
      <c r="D1801" s="5"/>
    </row>
    <row r="1802" spans="1:4">
      <c r="A1802" s="5" t="str">
        <f ca="1">IFERROR(__xludf.DUMMYFUNCTION("""COMPUTED_VALUE"""),"19861204MTFEL")</f>
        <v>19861204MTFEL</v>
      </c>
      <c r="B1802" s="5" t="str">
        <f ca="1">IFERROR(__xludf.DUMMYFUNCTION("""COMPUTED_VALUE"""),"No Data")</f>
        <v>No Data</v>
      </c>
      <c r="C1802" s="5"/>
      <c r="D1802" s="5"/>
    </row>
    <row r="1803" spans="1:4">
      <c r="A1803" s="5" t="str">
        <f ca="1">IFERROR(__xludf.DUMMYFUNCTION("""COMPUTED_VALUE"""),"19861008TXSOD")</f>
        <v>19861008TXSOD</v>
      </c>
      <c r="B1803" s="5" t="str">
        <f ca="1">IFERROR(__xludf.DUMMYFUNCTION("""COMPUTED_VALUE"""),"Handgun")</f>
        <v>Handgun</v>
      </c>
      <c r="C1803" s="5" t="str">
        <f ca="1">IFERROR(__xludf.DUMMYFUNCTION("""COMPUTED_VALUE"""),".22 caliber")</f>
        <v>.22 caliber</v>
      </c>
      <c r="D1803" s="5"/>
    </row>
    <row r="1804" spans="1:4">
      <c r="A1804" s="5" t="str">
        <f ca="1">IFERROR(__xludf.DUMMYFUNCTION("""COMPUTED_VALUE"""),"19861003CAMOM")</f>
        <v>19861003CAMOM</v>
      </c>
      <c r="B1804" s="5" t="str">
        <f ca="1">IFERROR(__xludf.DUMMYFUNCTION("""COMPUTED_VALUE"""),"Handgun")</f>
        <v>Handgun</v>
      </c>
      <c r="C1804" s="5" t="str">
        <f ca="1">IFERROR(__xludf.DUMMYFUNCTION("""COMPUTED_VALUE"""),".22 caliber")</f>
        <v>.22 caliber</v>
      </c>
      <c r="D1804" s="5"/>
    </row>
    <row r="1805" spans="1:4">
      <c r="A1805" s="5" t="str">
        <f ca="1">IFERROR(__xludf.DUMMYFUNCTION("""COMPUTED_VALUE"""),"19860918CABEB")</f>
        <v>19860918CABEB</v>
      </c>
      <c r="B1805" s="5" t="str">
        <f ca="1">IFERROR(__xludf.DUMMYFUNCTION("""COMPUTED_VALUE"""),"Handgun")</f>
        <v>Handgun</v>
      </c>
      <c r="C1805" s="5" t="str">
        <f ca="1">IFERROR(__xludf.DUMMYFUNCTION("""COMPUTED_VALUE"""),".38 caliber")</f>
        <v>.38 caliber</v>
      </c>
      <c r="D1805" s="5"/>
    </row>
    <row r="1806" spans="1:4">
      <c r="A1806" s="5" t="str">
        <f ca="1">IFERROR(__xludf.DUMMYFUNCTION("""COMPUTED_VALUE"""),"19860912CAFAL")</f>
        <v>19860912CAFAL</v>
      </c>
      <c r="B1806" s="5" t="str">
        <f ca="1">IFERROR(__xludf.DUMMYFUNCTION("""COMPUTED_VALUE"""),"Handgun")</f>
        <v>Handgun</v>
      </c>
      <c r="C1806" s="5" t="str">
        <f ca="1">IFERROR(__xludf.DUMMYFUNCTION("""COMPUTED_VALUE"""),"Unknown")</f>
        <v>Unknown</v>
      </c>
      <c r="D1806" s="5"/>
    </row>
    <row r="1807" spans="1:4">
      <c r="A1807" s="5" t="str">
        <f ca="1">IFERROR(__xludf.DUMMYFUNCTION("""COMPUTED_VALUE"""),"19860517TNMAN")</f>
        <v>19860517TNMAN</v>
      </c>
      <c r="B1807" s="5" t="str">
        <f ca="1">IFERROR(__xludf.DUMMYFUNCTION("""COMPUTED_VALUE"""),"Handgun")</f>
        <v>Handgun</v>
      </c>
      <c r="C1807" s="5" t="str">
        <f ca="1">IFERROR(__xludf.DUMMYFUNCTION("""COMPUTED_VALUE"""),".22 caliber")</f>
        <v>.22 caliber</v>
      </c>
      <c r="D1807" s="5"/>
    </row>
    <row r="1808" spans="1:4">
      <c r="A1808" s="5" t="str">
        <f ca="1">IFERROR(__xludf.DUMMYFUNCTION("""COMPUTED_VALUE"""),"19860515GACAA")</f>
        <v>19860515GACAA</v>
      </c>
      <c r="B1808" s="5" t="str">
        <f ca="1">IFERROR(__xludf.DUMMYFUNCTION("""COMPUTED_VALUE"""),"Rifle")</f>
        <v>Rifle</v>
      </c>
      <c r="C1808" s="5" t="str">
        <f ca="1">IFERROR(__xludf.DUMMYFUNCTION("""COMPUTED_VALUE"""),"Unknown")</f>
        <v>Unknown</v>
      </c>
      <c r="D1808" s="5"/>
    </row>
    <row r="1809" spans="1:4">
      <c r="A1809" s="5" t="str">
        <f ca="1">IFERROR(__xludf.DUMMYFUNCTION("""COMPUTED_VALUE"""),"19860509NCPIF")</f>
        <v>19860509NCPIF</v>
      </c>
      <c r="B1809" s="5" t="str">
        <f ca="1">IFERROR(__xludf.DUMMYFUNCTION("""COMPUTED_VALUE"""),"Handgun")</f>
        <v>Handgun</v>
      </c>
      <c r="C1809" s="5" t="str">
        <f ca="1">IFERROR(__xludf.DUMMYFUNCTION("""COMPUTED_VALUE"""),".25 caliber")</f>
        <v>.25 caliber</v>
      </c>
      <c r="D1809" s="5"/>
    </row>
    <row r="1810" spans="1:4">
      <c r="A1810" s="5" t="str">
        <f ca="1">IFERROR(__xludf.DUMMYFUNCTION("""COMPUTED_VALUE"""),"19860429MOSES")</f>
        <v>19860429MOSES</v>
      </c>
      <c r="B1810" s="5" t="str">
        <f ca="1">IFERROR(__xludf.DUMMYFUNCTION("""COMPUTED_VALUE"""),"Shotgun")</f>
        <v>Shotgun</v>
      </c>
      <c r="C1810" s="5" t="str">
        <f ca="1">IFERROR(__xludf.DUMMYFUNCTION("""COMPUTED_VALUE"""),"12 gauge")</f>
        <v>12 gauge</v>
      </c>
      <c r="D1810" s="5"/>
    </row>
    <row r="1811" spans="1:4">
      <c r="A1811" s="5" t="str">
        <f ca="1">IFERROR(__xludf.DUMMYFUNCTION("""COMPUTED_VALUE"""),"19860423FLCHM")</f>
        <v>19860423FLCHM</v>
      </c>
      <c r="B1811" s="5" t="str">
        <f ca="1">IFERROR(__xludf.DUMMYFUNCTION("""COMPUTED_VALUE"""),"Handgun")</f>
        <v>Handgun</v>
      </c>
      <c r="C1811" s="5" t="str">
        <f ca="1">IFERROR(__xludf.DUMMYFUNCTION("""COMPUTED_VALUE"""),".22 caliber")</f>
        <v>.22 caliber</v>
      </c>
      <c r="D1811" s="5"/>
    </row>
    <row r="1812" spans="1:4">
      <c r="A1812" s="5" t="str">
        <f ca="1">IFERROR(__xludf.DUMMYFUNCTION("""COMPUTED_VALUE"""),"19860306ILTHD")</f>
        <v>19860306ILTHD</v>
      </c>
      <c r="B1812" s="5" t="str">
        <f ca="1">IFERROR(__xludf.DUMMYFUNCTION("""COMPUTED_VALUE"""),"Handgun")</f>
        <v>Handgun</v>
      </c>
      <c r="C1812" s="5" t="str">
        <f ca="1">IFERROR(__xludf.DUMMYFUNCTION("""COMPUTED_VALUE"""),".357 caliber")</f>
        <v>.357 caliber</v>
      </c>
      <c r="D1812" s="5"/>
    </row>
    <row r="1813" spans="1:4">
      <c r="A1813" s="5" t="str">
        <f ca="1">IFERROR(__xludf.DUMMYFUNCTION("""COMPUTED_VALUE"""),"19860224LABOS")</f>
        <v>19860224LABOS</v>
      </c>
      <c r="B1813" s="5" t="str">
        <f ca="1">IFERROR(__xludf.DUMMYFUNCTION("""COMPUTED_VALUE"""),"Handgun")</f>
        <v>Handgun</v>
      </c>
      <c r="C1813" s="5" t="str">
        <f ca="1">IFERROR(__xludf.DUMMYFUNCTION("""COMPUTED_VALUE"""),".45 caliber")</f>
        <v>.45 caliber</v>
      </c>
      <c r="D1813" s="5"/>
    </row>
    <row r="1814" spans="1:4">
      <c r="A1814" s="5" t="str">
        <f ca="1">IFERROR(__xludf.DUMMYFUNCTION("""COMPUTED_VALUE"""),"19860129MDLAB")</f>
        <v>19860129MDLAB</v>
      </c>
      <c r="B1814" s="5" t="str">
        <f ca="1">IFERROR(__xludf.DUMMYFUNCTION("""COMPUTED_VALUE"""),"Handgun")</f>
        <v>Handgun</v>
      </c>
      <c r="C1814" s="5" t="str">
        <f ca="1">IFERROR(__xludf.DUMMYFUNCTION("""COMPUTED_VALUE"""),"Unknown")</f>
        <v>Unknown</v>
      </c>
      <c r="D1814" s="5"/>
    </row>
    <row r="1815" spans="1:4">
      <c r="A1815" s="5" t="str">
        <f ca="1">IFERROR(__xludf.DUMMYFUNCTION("""COMPUTED_VALUE"""),"19860117CAVAL")</f>
        <v>19860117CAVAL</v>
      </c>
      <c r="B1815" s="5" t="str">
        <f ca="1">IFERROR(__xludf.DUMMYFUNCTION("""COMPUTED_VALUE"""),"Handgun")</f>
        <v>Handgun</v>
      </c>
      <c r="C1815" s="5" t="str">
        <f ca="1">IFERROR(__xludf.DUMMYFUNCTION("""COMPUTED_VALUE"""),"Unknown")</f>
        <v>Unknown</v>
      </c>
      <c r="D1815" s="5"/>
    </row>
    <row r="1816" spans="1:4">
      <c r="A1816" s="5" t="str">
        <f ca="1">IFERROR(__xludf.DUMMYFUNCTION("""COMPUTED_VALUE"""),"19860109NCNOD")</f>
        <v>19860109NCNOD</v>
      </c>
      <c r="B1816" s="5" t="str">
        <f ca="1">IFERROR(__xludf.DUMMYFUNCTION("""COMPUTED_VALUE"""),"Handgun")</f>
        <v>Handgun</v>
      </c>
      <c r="C1816" s="5" t="str">
        <f ca="1">IFERROR(__xludf.DUMMYFUNCTION("""COMPUTED_VALUE"""),".22 caliber")</f>
        <v>.22 caliber</v>
      </c>
      <c r="D1816" s="5"/>
    </row>
    <row r="1817" spans="1:4">
      <c r="A1817" s="5" t="str">
        <f ca="1">IFERROR(__xludf.DUMMYFUNCTION("""COMPUTED_VALUE"""),"19851210CTPOP")</f>
        <v>19851210CTPOP</v>
      </c>
      <c r="B1817" s="5" t="str">
        <f ca="1">IFERROR(__xludf.DUMMYFUNCTION("""COMPUTED_VALUE"""),"Handgun")</f>
        <v>Handgun</v>
      </c>
      <c r="C1817" s="5" t="str">
        <f ca="1">IFERROR(__xludf.DUMMYFUNCTION("""COMPUTED_VALUE"""),"9mm")</f>
        <v>9mm</v>
      </c>
      <c r="D1817" s="5"/>
    </row>
    <row r="1818" spans="1:4">
      <c r="A1818" s="5" t="str">
        <f ca="1">IFERROR(__xludf.DUMMYFUNCTION("""COMPUTED_VALUE"""),"19851209PAARP")</f>
        <v>19851209PAARP</v>
      </c>
      <c r="B1818" s="5" t="str">
        <f ca="1">IFERROR(__xludf.DUMMYFUNCTION("""COMPUTED_VALUE"""),"Other")</f>
        <v>Other</v>
      </c>
      <c r="C1818" s="5" t="str">
        <f ca="1">IFERROR(__xludf.DUMMYFUNCTION("""COMPUTED_VALUE"""),"Unknown")</f>
        <v>Unknown</v>
      </c>
      <c r="D1818" s="5"/>
    </row>
    <row r="1819" spans="1:4">
      <c r="A1819" s="5" t="str">
        <f ca="1">IFERROR(__xludf.DUMMYFUNCTION("""COMPUTED_VALUE"""),"19851203NHCOC")</f>
        <v>19851203NHCOC</v>
      </c>
      <c r="B1819" s="5" t="str">
        <f ca="1">IFERROR(__xludf.DUMMYFUNCTION("""COMPUTED_VALUE"""),"Shotgun")</f>
        <v>Shotgun</v>
      </c>
      <c r="C1819" s="5" t="str">
        <f ca="1">IFERROR(__xludf.DUMMYFUNCTION("""COMPUTED_VALUE"""),"20 gauge")</f>
        <v>20 gauge</v>
      </c>
      <c r="D1819" s="5"/>
    </row>
    <row r="1820" spans="1:4">
      <c r="A1820" s="5" t="str">
        <f ca="1">IFERROR(__xludf.DUMMYFUNCTION("""COMPUTED_VALUE"""),"19851127ALCHB")</f>
        <v>19851127ALCHB</v>
      </c>
      <c r="B1820" s="5" t="str">
        <f ca="1">IFERROR(__xludf.DUMMYFUNCTION("""COMPUTED_VALUE"""),"Handgun")</f>
        <v>Handgun</v>
      </c>
      <c r="C1820" s="5" t="str">
        <f ca="1">IFERROR(__xludf.DUMMYFUNCTION("""COMPUTED_VALUE"""),".22 caliber")</f>
        <v>.22 caliber</v>
      </c>
      <c r="D1820" s="5"/>
    </row>
    <row r="1821" spans="1:4">
      <c r="A1821" s="5" t="str">
        <f ca="1">IFERROR(__xludf.DUMMYFUNCTION("""COMPUTED_VALUE"""),"19851126WASPS")</f>
        <v>19851126WASPS</v>
      </c>
      <c r="B1821" s="5" t="str">
        <f ca="1">IFERROR(__xludf.DUMMYFUNCTION("""COMPUTED_VALUE"""),"Rifle")</f>
        <v>Rifle</v>
      </c>
      <c r="C1821" s="5" t="str">
        <f ca="1">IFERROR(__xludf.DUMMYFUNCTION("""COMPUTED_VALUE"""),".22 caliber")</f>
        <v>.22 caliber</v>
      </c>
      <c r="D1821" s="5"/>
    </row>
    <row r="1822" spans="1:4">
      <c r="A1822" s="5" t="str">
        <f ca="1">IFERROR(__xludf.DUMMYFUNCTION("""COMPUTED_VALUE"""),"19851022OHSOG")</f>
        <v>19851022OHSOG</v>
      </c>
      <c r="B1822" s="5" t="str">
        <f ca="1">IFERROR(__xludf.DUMMYFUNCTION("""COMPUTED_VALUE"""),"Handgun")</f>
        <v>Handgun</v>
      </c>
      <c r="C1822" s="5" t="str">
        <f ca="1">IFERROR(__xludf.DUMMYFUNCTION("""COMPUTED_VALUE"""),"Service Weapon")</f>
        <v>Service Weapon</v>
      </c>
      <c r="D1822" s="5"/>
    </row>
    <row r="1823" spans="1:4">
      <c r="A1823" s="5" t="str">
        <f ca="1">IFERROR(__xludf.DUMMYFUNCTION("""COMPUTED_VALUE"""),"19851018MIMUD")</f>
        <v>19851018MIMUD</v>
      </c>
      <c r="B1823" s="5" t="str">
        <f ca="1">IFERROR(__xludf.DUMMYFUNCTION("""COMPUTED_VALUE"""),"Shotgun")</f>
        <v>Shotgun</v>
      </c>
      <c r="C1823" s="5" t="str">
        <f ca="1">IFERROR(__xludf.DUMMYFUNCTION("""COMPUTED_VALUE"""),"Unknown")</f>
        <v>Unknown</v>
      </c>
      <c r="D1823" s="5"/>
    </row>
    <row r="1824" spans="1:4">
      <c r="A1824" s="5" t="str">
        <f ca="1">IFERROR(__xludf.DUMMYFUNCTION("""COMPUTED_VALUE"""),"19851008MDLAB")</f>
        <v>19851008MDLAB</v>
      </c>
      <c r="B1824" s="5" t="str">
        <f ca="1">IFERROR(__xludf.DUMMYFUNCTION("""COMPUTED_VALUE"""),"Handgun")</f>
        <v>Handgun</v>
      </c>
      <c r="C1824" s="5" t="str">
        <f ca="1">IFERROR(__xludf.DUMMYFUNCTION("""COMPUTED_VALUE"""),"Unknown")</f>
        <v>Unknown</v>
      </c>
      <c r="D1824" s="5"/>
    </row>
    <row r="1825" spans="1:4">
      <c r="A1825" s="5" t="str">
        <f ca="1">IFERROR(__xludf.DUMMYFUNCTION("""COMPUTED_VALUE"""),"19850925OHTRT")</f>
        <v>19850925OHTRT</v>
      </c>
      <c r="B1825" s="5" t="str">
        <f ca="1">IFERROR(__xludf.DUMMYFUNCTION("""COMPUTED_VALUE"""),"Handgun")</f>
        <v>Handgun</v>
      </c>
      <c r="C1825" s="5" t="str">
        <f ca="1">IFERROR(__xludf.DUMMYFUNCTION("""COMPUTED_VALUE"""),"Unknown")</f>
        <v>Unknown</v>
      </c>
      <c r="D1825" s="5"/>
    </row>
    <row r="1826" spans="1:4">
      <c r="A1826" s="5" t="str">
        <f ca="1">IFERROR(__xludf.DUMMYFUNCTION("""COMPUTED_VALUE"""),"19850920TXLAC")</f>
        <v>19850920TXLAC</v>
      </c>
      <c r="B1826" s="5" t="str">
        <f ca="1">IFERROR(__xludf.DUMMYFUNCTION("""COMPUTED_VALUE"""),"Handgun")</f>
        <v>Handgun</v>
      </c>
      <c r="C1826" s="5" t="str">
        <f ca="1">IFERROR(__xludf.DUMMYFUNCTION("""COMPUTED_VALUE"""),".357 caliber")</f>
        <v>.357 caliber</v>
      </c>
      <c r="D1826" s="5"/>
    </row>
    <row r="1827" spans="1:4">
      <c r="A1827" s="5" t="str">
        <f ca="1">IFERROR(__xludf.DUMMYFUNCTION("""COMPUTED_VALUE"""),"19850909TXWHH")</f>
        <v>19850909TXWHH</v>
      </c>
      <c r="B1827" s="5" t="str">
        <f ca="1">IFERROR(__xludf.DUMMYFUNCTION("""COMPUTED_VALUE"""),"Handgun")</f>
        <v>Handgun</v>
      </c>
      <c r="C1827" s="5" t="str">
        <f ca="1">IFERROR(__xludf.DUMMYFUNCTION("""COMPUTED_VALUE"""),"Unknown")</f>
        <v>Unknown</v>
      </c>
      <c r="D1827" s="5"/>
    </row>
    <row r="1828" spans="1:4">
      <c r="A1828" s="5" t="str">
        <f ca="1">IFERROR(__xludf.DUMMYFUNCTION("""COMPUTED_VALUE"""),"19850904VAEAR")</f>
        <v>19850904VAEAR</v>
      </c>
      <c r="B1828" s="5" t="str">
        <f ca="1">IFERROR(__xludf.DUMMYFUNCTION("""COMPUTED_VALUE"""),"Handgun")</f>
        <v>Handgun</v>
      </c>
      <c r="C1828" s="5" t="str">
        <f ca="1">IFERROR(__xludf.DUMMYFUNCTION("""COMPUTED_VALUE"""),".38 caliber")</f>
        <v>.38 caliber</v>
      </c>
      <c r="D1828" s="5"/>
    </row>
    <row r="1829" spans="1:4">
      <c r="A1829" s="5" t="str">
        <f ca="1">IFERROR(__xludf.DUMMYFUNCTION("""COMPUTED_VALUE"""),"19850724TXHIH")</f>
        <v>19850724TXHIH</v>
      </c>
      <c r="B1829" s="5" t="str">
        <f ca="1">IFERROR(__xludf.DUMMYFUNCTION("""COMPUTED_VALUE"""),"Handgun")</f>
        <v>Handgun</v>
      </c>
      <c r="C1829" s="5" t="str">
        <f ca="1">IFERROR(__xludf.DUMMYFUNCTION("""COMPUTED_VALUE"""),"Unknown")</f>
        <v>Unknown</v>
      </c>
      <c r="D1829" s="5"/>
    </row>
    <row r="1830" spans="1:4">
      <c r="A1830" s="5" t="str">
        <f ca="1">IFERROR(__xludf.DUMMYFUNCTION("""COMPUTED_VALUE"""),"19850516FLPAB")</f>
        <v>19850516FLPAB</v>
      </c>
      <c r="B1830" s="5" t="str">
        <f ca="1">IFERROR(__xludf.DUMMYFUNCTION("""COMPUTED_VALUE"""),"Handgun")</f>
        <v>Handgun</v>
      </c>
      <c r="C1830" s="5" t="str">
        <f ca="1">IFERROR(__xludf.DUMMYFUNCTION("""COMPUTED_VALUE"""),"Unknown")</f>
        <v>Unknown</v>
      </c>
      <c r="D1830" s="5"/>
    </row>
    <row r="1831" spans="1:4">
      <c r="A1831" s="5" t="str">
        <f ca="1">IFERROR(__xludf.DUMMYFUNCTION("""COMPUTED_VALUE"""),"19850418TNSOS")</f>
        <v>19850418TNSOS</v>
      </c>
      <c r="B1831" s="5" t="str">
        <f ca="1">IFERROR(__xludf.DUMMYFUNCTION("""COMPUTED_VALUE"""),"Handgun")</f>
        <v>Handgun</v>
      </c>
      <c r="C1831" s="5" t="str">
        <f ca="1">IFERROR(__xludf.DUMMYFUNCTION("""COMPUTED_VALUE"""),".45 caliber")</f>
        <v>.45 caliber</v>
      </c>
      <c r="D1831" s="5"/>
    </row>
    <row r="1832" spans="1:4">
      <c r="A1832" s="5" t="str">
        <f ca="1">IFERROR(__xludf.DUMMYFUNCTION("""COMPUTED_VALUE"""),"19850416TXMAA")</f>
        <v>19850416TXMAA</v>
      </c>
      <c r="B1832" s="5" t="str">
        <f ca="1">IFERROR(__xludf.DUMMYFUNCTION("""COMPUTED_VALUE"""),"Handgun")</f>
        <v>Handgun</v>
      </c>
      <c r="C1832" s="5" t="str">
        <f ca="1">IFERROR(__xludf.DUMMYFUNCTION("""COMPUTED_VALUE"""),"Service Weapon")</f>
        <v>Service Weapon</v>
      </c>
      <c r="D1832" s="5"/>
    </row>
    <row r="1833" spans="1:4">
      <c r="A1833" s="5" t="str">
        <f ca="1">IFERROR(__xludf.DUMMYFUNCTION("""COMPUTED_VALUE"""),"19850205CTAIH")</f>
        <v>19850205CTAIH</v>
      </c>
      <c r="B1833" s="5" t="str">
        <f ca="1">IFERROR(__xludf.DUMMYFUNCTION("""COMPUTED_VALUE"""),"Handgun")</f>
        <v>Handgun</v>
      </c>
      <c r="C1833" s="5" t="str">
        <f ca="1">IFERROR(__xludf.DUMMYFUNCTION("""COMPUTED_VALUE"""),"Unknown")</f>
        <v>Unknown</v>
      </c>
      <c r="D1833" s="5"/>
    </row>
    <row r="1834" spans="1:4">
      <c r="A1834" s="5" t="str">
        <f ca="1">IFERROR(__xludf.DUMMYFUNCTION("""COMPUTED_VALUE"""),"19850126MASTB")</f>
        <v>19850126MASTB</v>
      </c>
      <c r="B1834" s="5" t="str">
        <f ca="1">IFERROR(__xludf.DUMMYFUNCTION("""COMPUTED_VALUE"""),"Handgun")</f>
        <v>Handgun</v>
      </c>
      <c r="C1834" s="5" t="str">
        <f ca="1">IFERROR(__xludf.DUMMYFUNCTION("""COMPUTED_VALUE"""),"Unknown")</f>
        <v>Unknown</v>
      </c>
      <c r="D1834" s="5"/>
    </row>
    <row r="1835" spans="1:4">
      <c r="A1835" s="5" t="str">
        <f ca="1">IFERROR(__xludf.DUMMYFUNCTION("""COMPUTED_VALUE"""),"19850121KSGOG")</f>
        <v>19850121KSGOG</v>
      </c>
      <c r="B1835" s="5" t="str">
        <f ca="1">IFERROR(__xludf.DUMMYFUNCTION("""COMPUTED_VALUE"""),"Handgun")</f>
        <v>Handgun</v>
      </c>
      <c r="C1835" s="5" t="str">
        <f ca="1">IFERROR(__xludf.DUMMYFUNCTION("""COMPUTED_VALUE"""),".357 caliber")</f>
        <v>.357 caliber</v>
      </c>
      <c r="D1835" s="5" t="str">
        <f ca="1">IFERROR(__xludf.DUMMYFUNCTION("""COMPUTED_VALUE"""),"M1A .308 and .357 Magnum")</f>
        <v>M1A .308 and .357 Magnum</v>
      </c>
    </row>
    <row r="1836" spans="1:4">
      <c r="A1836" s="5" t="str">
        <f ca="1">IFERROR(__xludf.DUMMYFUNCTION("""COMPUTED_VALUE"""),"19850121KSGOG")</f>
        <v>19850121KSGOG</v>
      </c>
      <c r="B1836" s="5" t="str">
        <f ca="1">IFERROR(__xludf.DUMMYFUNCTION("""COMPUTED_VALUE"""),"Rifle")</f>
        <v>Rifle</v>
      </c>
      <c r="C1836" s="5" t="str">
        <f ca="1">IFERROR(__xludf.DUMMYFUNCTION("""COMPUTED_VALUE"""),".308 caliber")</f>
        <v>.308 caliber</v>
      </c>
      <c r="D1836" s="5" t="str">
        <f ca="1">IFERROR(__xludf.DUMMYFUNCTION("""COMPUTED_VALUE"""),"M1A .308 and .357 Magnum")</f>
        <v>M1A .308 and .357 Magnum</v>
      </c>
    </row>
    <row r="1837" spans="1:4">
      <c r="A1837" s="5" t="str">
        <f ca="1">IFERROR(__xludf.DUMMYFUNCTION("""COMPUTED_VALUE"""),"19850118TXARA")</f>
        <v>19850118TXARA</v>
      </c>
      <c r="B1837" s="5" t="str">
        <f ca="1">IFERROR(__xludf.DUMMYFUNCTION("""COMPUTED_VALUE"""),"Shotgun")</f>
        <v>Shotgun</v>
      </c>
      <c r="C1837" s="5" t="str">
        <f ca="1">IFERROR(__xludf.DUMMYFUNCTION("""COMPUTED_VALUE"""),"410 gauge")</f>
        <v>410 gauge</v>
      </c>
      <c r="D1837" s="5"/>
    </row>
    <row r="1838" spans="1:4">
      <c r="A1838" s="5" t="str">
        <f ca="1">IFERROR(__xludf.DUMMYFUNCTION("""COMPUTED_VALUE"""),"19841207MOEDS")</f>
        <v>19841207MOEDS</v>
      </c>
      <c r="B1838" s="5" t="str">
        <f ca="1">IFERROR(__xludf.DUMMYFUNCTION("""COMPUTED_VALUE"""),"Multiple Unknown")</f>
        <v>Multiple Unknown</v>
      </c>
      <c r="C1838" s="5" t="str">
        <f ca="1">IFERROR(__xludf.DUMMYFUNCTION("""COMPUTED_VALUE"""),"Unknown")</f>
        <v>Unknown</v>
      </c>
      <c r="D1838" s="5"/>
    </row>
    <row r="1839" spans="1:4">
      <c r="A1839" s="5" t="str">
        <f ca="1">IFERROR(__xludf.DUMMYFUNCTION("""COMPUTED_VALUE"""),"19841126MDMIR")</f>
        <v>19841126MDMIR</v>
      </c>
      <c r="B1839" s="5" t="str">
        <f ca="1">IFERROR(__xludf.DUMMYFUNCTION("""COMPUTED_VALUE"""),"Handgun")</f>
        <v>Handgun</v>
      </c>
      <c r="C1839" s="5" t="str">
        <f ca="1">IFERROR(__xludf.DUMMYFUNCTION("""COMPUTED_VALUE"""),".22 caliber")</f>
        <v>.22 caliber</v>
      </c>
      <c r="D1839" s="5"/>
    </row>
    <row r="1840" spans="1:4">
      <c r="A1840" s="5" t="str">
        <f ca="1">IFERROR(__xludf.DUMMYFUNCTION("""COMPUTED_VALUE"""),"19841109CTWIN")</f>
        <v>19841109CTWIN</v>
      </c>
      <c r="B1840" s="5" t="str">
        <f ca="1">IFERROR(__xludf.DUMMYFUNCTION("""COMPUTED_VALUE"""),"Handgun")</f>
        <v>Handgun</v>
      </c>
      <c r="C1840" s="5" t="str">
        <f ca="1">IFERROR(__xludf.DUMMYFUNCTION("""COMPUTED_VALUE"""),"9mm")</f>
        <v>9mm</v>
      </c>
      <c r="D1840" s="5"/>
    </row>
    <row r="1841" spans="1:4">
      <c r="A1841" s="5" t="str">
        <f ca="1">IFERROR(__xludf.DUMMYFUNCTION("""COMPUTED_VALUE"""),"19841031LAEAG")</f>
        <v>19841031LAEAG</v>
      </c>
      <c r="B1841" s="5" t="str">
        <f ca="1">IFERROR(__xludf.DUMMYFUNCTION("""COMPUTED_VALUE"""),"Handgun")</f>
        <v>Handgun</v>
      </c>
      <c r="C1841" s="5" t="str">
        <f ca="1">IFERROR(__xludf.DUMMYFUNCTION("""COMPUTED_VALUE"""),".22 caliber")</f>
        <v>.22 caliber</v>
      </c>
      <c r="D1841" s="5"/>
    </row>
    <row r="1842" spans="1:4">
      <c r="A1842" s="5" t="str">
        <f ca="1">IFERROR(__xludf.DUMMYFUNCTION("""COMPUTED_VALUE"""),"19841030SCPEP")</f>
        <v>19841030SCPEP</v>
      </c>
      <c r="B1842" s="5" t="str">
        <f ca="1">IFERROR(__xludf.DUMMYFUNCTION("""COMPUTED_VALUE"""),"Handgun")</f>
        <v>Handgun</v>
      </c>
      <c r="C1842" s="5" t="str">
        <f ca="1">IFERROR(__xludf.DUMMYFUNCTION("""COMPUTED_VALUE"""),".32 caliber")</f>
        <v>.32 caliber</v>
      </c>
      <c r="D1842" s="5"/>
    </row>
    <row r="1843" spans="1:4">
      <c r="A1843" s="5" t="str">
        <f ca="1">IFERROR(__xludf.DUMMYFUNCTION("""COMPUTED_VALUE"""),"19841024OHWEC")</f>
        <v>19841024OHWEC</v>
      </c>
      <c r="B1843" s="5" t="str">
        <f ca="1">IFERROR(__xludf.DUMMYFUNCTION("""COMPUTED_VALUE"""),"Handgun")</f>
        <v>Handgun</v>
      </c>
      <c r="C1843" s="5" t="str">
        <f ca="1">IFERROR(__xludf.DUMMYFUNCTION("""COMPUTED_VALUE"""),"Unknown")</f>
        <v>Unknown</v>
      </c>
      <c r="D1843" s="5"/>
    </row>
    <row r="1844" spans="1:4">
      <c r="A1844" s="5" t="str">
        <f ca="1">IFERROR(__xludf.DUMMYFUNCTION("""COMPUTED_VALUE"""),"19841024MISOD")</f>
        <v>19841024MISOD</v>
      </c>
      <c r="B1844" s="5" t="str">
        <f ca="1">IFERROR(__xludf.DUMMYFUNCTION("""COMPUTED_VALUE"""),"Handgun")</f>
        <v>Handgun</v>
      </c>
      <c r="C1844" s="5" t="str">
        <f ca="1">IFERROR(__xludf.DUMMYFUNCTION("""COMPUTED_VALUE"""),".38 caliber")</f>
        <v>.38 caliber</v>
      </c>
      <c r="D1844" s="5"/>
    </row>
    <row r="1845" spans="1:4">
      <c r="A1845" s="5" t="str">
        <f ca="1">IFERROR(__xludf.DUMMYFUNCTION("""COMPUTED_VALUE"""),"19841022MICED")</f>
        <v>19841022MICED</v>
      </c>
      <c r="B1845" s="5" t="str">
        <f ca="1">IFERROR(__xludf.DUMMYFUNCTION("""COMPUTED_VALUE"""),"Handgun")</f>
        <v>Handgun</v>
      </c>
      <c r="C1845" s="5" t="str">
        <f ca="1">IFERROR(__xludf.DUMMYFUNCTION("""COMPUTED_VALUE"""),"Unknown")</f>
        <v>Unknown</v>
      </c>
      <c r="D1845" s="5"/>
    </row>
    <row r="1846" spans="1:4">
      <c r="A1846" s="5" t="str">
        <f ca="1">IFERROR(__xludf.DUMMYFUNCTION("""COMPUTED_VALUE"""),"19841021PAWYE")</f>
        <v>19841021PAWYE</v>
      </c>
      <c r="B1846" s="5" t="str">
        <f ca="1">IFERROR(__xludf.DUMMYFUNCTION("""COMPUTED_VALUE"""),"Other")</f>
        <v>Other</v>
      </c>
      <c r="C1846" s="5" t="str">
        <f ca="1">IFERROR(__xludf.DUMMYFUNCTION("""COMPUTED_VALUE"""),"Pellet")</f>
        <v>Pellet</v>
      </c>
      <c r="D1846" s="5"/>
    </row>
    <row r="1847" spans="1:4">
      <c r="A1847" s="5" t="str">
        <f ca="1">IFERROR(__xludf.DUMMYFUNCTION("""COMPUTED_VALUE"""),"19840928TXRIN")</f>
        <v>19840928TXRIN</v>
      </c>
      <c r="B1847" s="5" t="str">
        <f ca="1">IFERROR(__xludf.DUMMYFUNCTION("""COMPUTED_VALUE"""),"Multiple Unknown")</f>
        <v>Multiple Unknown</v>
      </c>
      <c r="C1847" s="5" t="str">
        <f ca="1">IFERROR(__xludf.DUMMYFUNCTION("""COMPUTED_VALUE"""),"Unknown")</f>
        <v>Unknown</v>
      </c>
      <c r="D1847" s="5"/>
    </row>
    <row r="1848" spans="1:4">
      <c r="A1848" s="5" t="str">
        <f ca="1">IFERROR(__xludf.DUMMYFUNCTION("""COMPUTED_VALUE"""),"19840928TXMIH")</f>
        <v>19840928TXMIH</v>
      </c>
      <c r="B1848" s="5" t="str">
        <f ca="1">IFERROR(__xludf.DUMMYFUNCTION("""COMPUTED_VALUE"""),"Rifle")</f>
        <v>Rifle</v>
      </c>
      <c r="C1848" s="5" t="str">
        <f ca="1">IFERROR(__xludf.DUMMYFUNCTION("""COMPUTED_VALUE"""),"Unknown")</f>
        <v>Unknown</v>
      </c>
      <c r="D1848" s="5"/>
    </row>
    <row r="1849" spans="1:4">
      <c r="A1849" s="5" t="str">
        <f ca="1">IFERROR(__xludf.DUMMYFUNCTION("""COMPUTED_VALUE"""),"19840831LABOS")</f>
        <v>19840831LABOS</v>
      </c>
      <c r="B1849" s="5" t="str">
        <f ca="1">IFERROR(__xludf.DUMMYFUNCTION("""COMPUTED_VALUE"""),"Handgun")</f>
        <v>Handgun</v>
      </c>
      <c r="C1849" s="5" t="str">
        <f ca="1">IFERROR(__xludf.DUMMYFUNCTION("""COMPUTED_VALUE"""),"Unknown")</f>
        <v>Unknown</v>
      </c>
      <c r="D1849" s="5"/>
    </row>
    <row r="1850" spans="1:4">
      <c r="A1850" s="5" t="str">
        <f ca="1">IFERROR(__xludf.DUMMYFUNCTION("""COMPUTED_VALUE"""),"19840710MIMUD")</f>
        <v>19840710MIMUD</v>
      </c>
      <c r="B1850" s="5" t="str">
        <f ca="1">IFERROR(__xludf.DUMMYFUNCTION("""COMPUTED_VALUE"""),"No Data")</f>
        <v>No Data</v>
      </c>
      <c r="C1850" s="5"/>
      <c r="D1850" s="5"/>
    </row>
    <row r="1851" spans="1:4">
      <c r="A1851" s="5" t="str">
        <f ca="1">IFERROR(__xludf.DUMMYFUNCTION("""COMPUTED_VALUE"""),"19840522OHCLC")</f>
        <v>19840522OHCLC</v>
      </c>
      <c r="B1851" s="5" t="str">
        <f ca="1">IFERROR(__xludf.DUMMYFUNCTION("""COMPUTED_VALUE"""),"Handgun")</f>
        <v>Handgun</v>
      </c>
      <c r="C1851" s="5" t="str">
        <f ca="1">IFERROR(__xludf.DUMMYFUNCTION("""COMPUTED_VALUE"""),".25 caliber")</f>
        <v>.25 caliber</v>
      </c>
      <c r="D1851" s="5"/>
    </row>
    <row r="1852" spans="1:4">
      <c r="A1852" s="5" t="str">
        <f ca="1">IFERROR(__xludf.DUMMYFUNCTION("""COMPUTED_VALUE"""),"19840518CANON")</f>
        <v>19840518CANON</v>
      </c>
      <c r="B1852" s="5" t="str">
        <f ca="1">IFERROR(__xludf.DUMMYFUNCTION("""COMPUTED_VALUE"""),"Shotgun")</f>
        <v>Shotgun</v>
      </c>
      <c r="C1852" s="5" t="str">
        <f ca="1">IFERROR(__xludf.DUMMYFUNCTION("""COMPUTED_VALUE"""),"Unknown")</f>
        <v>Unknown</v>
      </c>
      <c r="D1852" s="5"/>
    </row>
    <row r="1853" spans="1:4">
      <c r="A1853" s="5" t="str">
        <f ca="1">IFERROR(__xludf.DUMMYFUNCTION("""COMPUTED_VALUE"""),"19840517TXBOH")</f>
        <v>19840517TXBOH</v>
      </c>
      <c r="B1853" s="5" t="str">
        <f ca="1">IFERROR(__xludf.DUMMYFUNCTION("""COMPUTED_VALUE"""),"Handgun")</f>
        <v>Handgun</v>
      </c>
      <c r="C1853" s="5" t="str">
        <f ca="1">IFERROR(__xludf.DUMMYFUNCTION("""COMPUTED_VALUE"""),".25 caliber")</f>
        <v>.25 caliber</v>
      </c>
      <c r="D1853" s="5"/>
    </row>
    <row r="1854" spans="1:4">
      <c r="A1854" s="5" t="str">
        <f ca="1">IFERROR(__xludf.DUMMYFUNCTION("""COMPUTED_VALUE"""),"19840517IASOP")</f>
        <v>19840517IASOP</v>
      </c>
      <c r="B1854" s="5" t="str">
        <f ca="1">IFERROR(__xludf.DUMMYFUNCTION("""COMPUTED_VALUE"""),"Handgun")</f>
        <v>Handgun</v>
      </c>
      <c r="C1854" s="5" t="str">
        <f ca="1">IFERROR(__xludf.DUMMYFUNCTION("""COMPUTED_VALUE"""),".38 caliber")</f>
        <v>.38 caliber</v>
      </c>
      <c r="D1854" s="5"/>
    </row>
    <row r="1855" spans="1:4">
      <c r="A1855" s="5" t="str">
        <f ca="1">IFERROR(__xludf.DUMMYFUNCTION("""COMPUTED_VALUE"""),"19840515MTCMG")</f>
        <v>19840515MTCMG</v>
      </c>
      <c r="B1855" s="5" t="str">
        <f ca="1">IFERROR(__xludf.DUMMYFUNCTION("""COMPUTED_VALUE"""),"Rifle")</f>
        <v>Rifle</v>
      </c>
      <c r="C1855" s="5" t="str">
        <f ca="1">IFERROR(__xludf.DUMMYFUNCTION("""COMPUTED_VALUE"""),".22 caliber")</f>
        <v>.22 caliber</v>
      </c>
      <c r="D1855" s="5"/>
    </row>
    <row r="1856" spans="1:4">
      <c r="A1856" s="5" t="str">
        <f ca="1">IFERROR(__xludf.DUMMYFUNCTION("""COMPUTED_VALUE"""),"19840426NCROW")</f>
        <v>19840426NCROW</v>
      </c>
      <c r="B1856" s="5" t="str">
        <f ca="1">IFERROR(__xludf.DUMMYFUNCTION("""COMPUTED_VALUE"""),"Handgun")</f>
        <v>Handgun</v>
      </c>
      <c r="C1856" s="5" t="str">
        <f ca="1">IFERROR(__xludf.DUMMYFUNCTION("""COMPUTED_VALUE"""),"Unknown")</f>
        <v>Unknown</v>
      </c>
      <c r="D1856" s="5"/>
    </row>
    <row r="1857" spans="1:4">
      <c r="A1857" s="5" t="str">
        <f ca="1">IFERROR(__xludf.DUMMYFUNCTION("""COMPUTED_VALUE"""),"19840420MIPRD")</f>
        <v>19840420MIPRD</v>
      </c>
      <c r="B1857" s="5" t="str">
        <f ca="1">IFERROR(__xludf.DUMMYFUNCTION("""COMPUTED_VALUE"""),"Handgun")</f>
        <v>Handgun</v>
      </c>
      <c r="C1857" s="5" t="str">
        <f ca="1">IFERROR(__xludf.DUMMYFUNCTION("""COMPUTED_VALUE"""),"Unknown")</f>
        <v>Unknown</v>
      </c>
      <c r="D1857" s="5"/>
    </row>
    <row r="1858" spans="1:4">
      <c r="A1858" s="5" t="str">
        <f ca="1">IFERROR(__xludf.DUMMYFUNCTION("""COMPUTED_VALUE"""),"19840405LACLC")</f>
        <v>19840405LACLC</v>
      </c>
      <c r="B1858" s="5" t="str">
        <f ca="1">IFERROR(__xludf.DUMMYFUNCTION("""COMPUTED_VALUE"""),"Handgun")</f>
        <v>Handgun</v>
      </c>
      <c r="C1858" s="5" t="str">
        <f ca="1">IFERROR(__xludf.DUMMYFUNCTION("""COMPUTED_VALUE"""),"Unknown")</f>
        <v>Unknown</v>
      </c>
      <c r="D1858" s="5"/>
    </row>
    <row r="1859" spans="1:4">
      <c r="A1859" s="5" t="str">
        <f ca="1">IFERROR(__xludf.DUMMYFUNCTION("""COMPUTED_VALUE"""),"19840224CA49L")</f>
        <v>19840224CA49L</v>
      </c>
      <c r="B1859" s="5" t="str">
        <f ca="1">IFERROR(__xludf.DUMMYFUNCTION("""COMPUTED_VALUE"""),"Rifle")</f>
        <v>Rifle</v>
      </c>
      <c r="C1859" s="5" t="str">
        <f ca="1">IFERROR(__xludf.DUMMYFUNCTION("""COMPUTED_VALUE"""),"AR-15")</f>
        <v>AR-15</v>
      </c>
      <c r="D1859" s="5" t="str">
        <f ca="1">IFERROR(__xludf.DUMMYFUNCTION("""COMPUTED_VALUE"""),"AR15 and 2 shotguns")</f>
        <v>AR15 and 2 shotguns</v>
      </c>
    </row>
    <row r="1860" spans="1:4">
      <c r="A1860" s="5" t="str">
        <f ca="1">IFERROR(__xludf.DUMMYFUNCTION("""COMPUTED_VALUE"""),"19840224CA49L")</f>
        <v>19840224CA49L</v>
      </c>
      <c r="B1860" s="5" t="str">
        <f ca="1">IFERROR(__xludf.DUMMYFUNCTION("""COMPUTED_VALUE"""),"Shotgun")</f>
        <v>Shotgun</v>
      </c>
      <c r="C1860" s="5" t="str">
        <f ca="1">IFERROR(__xludf.DUMMYFUNCTION("""COMPUTED_VALUE"""),"Unknown")</f>
        <v>Unknown</v>
      </c>
      <c r="D1860" s="5" t="str">
        <f ca="1">IFERROR(__xludf.DUMMYFUNCTION("""COMPUTED_VALUE"""),"AR15 and 2 shotguns")</f>
        <v>AR15 and 2 shotguns</v>
      </c>
    </row>
    <row r="1861" spans="1:4">
      <c r="A1861" s="5" t="str">
        <f ca="1">IFERROR(__xludf.DUMMYFUNCTION("""COMPUTED_VALUE"""),"19840224CA49L")</f>
        <v>19840224CA49L</v>
      </c>
      <c r="B1861" s="5" t="str">
        <f ca="1">IFERROR(__xludf.DUMMYFUNCTION("""COMPUTED_VALUE"""),"Shotgun")</f>
        <v>Shotgun</v>
      </c>
      <c r="C1861" s="5" t="str">
        <f ca="1">IFERROR(__xludf.DUMMYFUNCTION("""COMPUTED_VALUE"""),"Unknown")</f>
        <v>Unknown</v>
      </c>
      <c r="D1861" s="5" t="str">
        <f ca="1">IFERROR(__xludf.DUMMYFUNCTION("""COMPUTED_VALUE"""),"AR15 and 2 shotguns")</f>
        <v>AR15 and 2 shotguns</v>
      </c>
    </row>
    <row r="1862" spans="1:4">
      <c r="A1862" s="5" t="str">
        <f ca="1">IFERROR(__xludf.DUMMYFUNCTION("""COMPUTED_VALUE"""),"19840221TXSHH")</f>
        <v>19840221TXSHH</v>
      </c>
      <c r="B1862" s="5" t="str">
        <f ca="1">IFERROR(__xludf.DUMMYFUNCTION("""COMPUTED_VALUE"""),"Handgun")</f>
        <v>Handgun</v>
      </c>
      <c r="C1862" s="5" t="str">
        <f ca="1">IFERROR(__xludf.DUMMYFUNCTION("""COMPUTED_VALUE"""),".38 caliber")</f>
        <v>.38 caliber</v>
      </c>
      <c r="D1862" s="5"/>
    </row>
    <row r="1863" spans="1:4">
      <c r="A1863" s="5" t="str">
        <f ca="1">IFERROR(__xludf.DUMMYFUNCTION("""COMPUTED_VALUE"""),"19840206KYCEL")</f>
        <v>19840206KYCEL</v>
      </c>
      <c r="B1863" s="5" t="str">
        <f ca="1">IFERROR(__xludf.DUMMYFUNCTION("""COMPUTED_VALUE"""),"Handgun")</f>
        <v>Handgun</v>
      </c>
      <c r="C1863" s="5" t="str">
        <f ca="1">IFERROR(__xludf.DUMMYFUNCTION("""COMPUTED_VALUE"""),"Unknown")</f>
        <v>Unknown</v>
      </c>
      <c r="D1863" s="5"/>
    </row>
    <row r="1864" spans="1:4">
      <c r="A1864" s="5" t="str">
        <f ca="1">IFERROR(__xludf.DUMMYFUNCTION("""COMPUTED_VALUE"""),"19840105MDLAB")</f>
        <v>19840105MDLAB</v>
      </c>
      <c r="B1864" s="5" t="str">
        <f ca="1">IFERROR(__xludf.DUMMYFUNCTION("""COMPUTED_VALUE"""),"Handgun")</f>
        <v>Handgun</v>
      </c>
      <c r="C1864" s="5" t="str">
        <f ca="1">IFERROR(__xludf.DUMMYFUNCTION("""COMPUTED_VALUE"""),"Unknown")</f>
        <v>Unknown</v>
      </c>
      <c r="D1864" s="5"/>
    </row>
    <row r="1865" spans="1:4">
      <c r="A1865" s="5" t="str">
        <f ca="1">IFERROR(__xludf.DUMMYFUNCTION("""COMPUTED_VALUE"""),"19831216ILBOR")</f>
        <v>19831216ILBOR</v>
      </c>
      <c r="B1865" s="5" t="str">
        <f ca="1">IFERROR(__xludf.DUMMYFUNCTION("""COMPUTED_VALUE"""),"Handgun")</f>
        <v>Handgun</v>
      </c>
      <c r="C1865" s="5" t="str">
        <f ca="1">IFERROR(__xludf.DUMMYFUNCTION("""COMPUTED_VALUE"""),".357 caliber")</f>
        <v>.357 caliber</v>
      </c>
      <c r="D1865" s="5"/>
    </row>
    <row r="1866" spans="1:4">
      <c r="A1866" s="5" t="str">
        <f ca="1">IFERROR(__xludf.DUMMYFUNCTION("""COMPUTED_VALUE"""),"19831202INCRC")</f>
        <v>19831202INCRC</v>
      </c>
      <c r="B1866" s="5" t="str">
        <f ca="1">IFERROR(__xludf.DUMMYFUNCTION("""COMPUTED_VALUE"""),"Handgun")</f>
        <v>Handgun</v>
      </c>
      <c r="C1866" s="5" t="str">
        <f ca="1">IFERROR(__xludf.DUMMYFUNCTION("""COMPUTED_VALUE"""),".44 caliber")</f>
        <v>.44 caliber</v>
      </c>
      <c r="D1866" s="5"/>
    </row>
    <row r="1867" spans="1:4">
      <c r="A1867" s="5" t="str">
        <f ca="1">IFERROR(__xludf.DUMMYFUNCTION("""COMPUTED_VALUE"""),"19831118MDHAB")</f>
        <v>19831118MDHAB</v>
      </c>
      <c r="B1867" s="5" t="str">
        <f ca="1">IFERROR(__xludf.DUMMYFUNCTION("""COMPUTED_VALUE"""),"Handgun")</f>
        <v>Handgun</v>
      </c>
      <c r="C1867" s="5" t="str">
        <f ca="1">IFERROR(__xludf.DUMMYFUNCTION("""COMPUTED_VALUE"""),"Unknown")</f>
        <v>Unknown</v>
      </c>
      <c r="D1867" s="5"/>
    </row>
    <row r="1868" spans="1:4">
      <c r="A1868" s="5" t="str">
        <f ca="1">IFERROR(__xludf.DUMMYFUNCTION("""COMPUTED_VALUE"""),"19831117ILJAC")</f>
        <v>19831117ILJAC</v>
      </c>
      <c r="B1868" s="5" t="str">
        <f ca="1">IFERROR(__xludf.DUMMYFUNCTION("""COMPUTED_VALUE"""),"Handgun")</f>
        <v>Handgun</v>
      </c>
      <c r="C1868" s="5" t="str">
        <f ca="1">IFERROR(__xludf.DUMMYFUNCTION("""COMPUTED_VALUE"""),"Unknown")</f>
        <v>Unknown</v>
      </c>
      <c r="D1868" s="5"/>
    </row>
    <row r="1869" spans="1:4">
      <c r="A1869" s="5" t="str">
        <f ca="1">IFERROR(__xludf.DUMMYFUNCTION("""COMPUTED_VALUE"""),"19831108MIHIH")</f>
        <v>19831108MIHIH</v>
      </c>
      <c r="B1869" s="5" t="str">
        <f ca="1">IFERROR(__xludf.DUMMYFUNCTION("""COMPUTED_VALUE"""),"Handgun")</f>
        <v>Handgun</v>
      </c>
      <c r="C1869" s="5" t="str">
        <f ca="1">IFERROR(__xludf.DUMMYFUNCTION("""COMPUTED_VALUE"""),".38 caliber")</f>
        <v>.38 caliber</v>
      </c>
      <c r="D1869" s="5"/>
    </row>
    <row r="1870" spans="1:4">
      <c r="A1870" s="5" t="str">
        <f ca="1">IFERROR(__xludf.DUMMYFUNCTION("""COMPUTED_VALUE"""),"19831022MDCAB")</f>
        <v>19831022MDCAB</v>
      </c>
      <c r="B1870" s="5" t="str">
        <f ca="1">IFERROR(__xludf.DUMMYFUNCTION("""COMPUTED_VALUE"""),"Other")</f>
        <v>Other</v>
      </c>
      <c r="C1870" s="5" t="str">
        <f ca="1">IFERROR(__xludf.DUMMYFUNCTION("""COMPUTED_VALUE"""),"Starter")</f>
        <v>Starter</v>
      </c>
      <c r="D1870" s="5"/>
    </row>
    <row r="1871" spans="1:4">
      <c r="A1871" s="5" t="str">
        <f ca="1">IFERROR(__xludf.DUMMYFUNCTION("""COMPUTED_VALUE"""),"19831007CACOL")</f>
        <v>19831007CACOL</v>
      </c>
      <c r="B1871" s="5" t="str">
        <f ca="1">IFERROR(__xludf.DUMMYFUNCTION("""COMPUTED_VALUE"""),"Handgun")</f>
        <v>Handgun</v>
      </c>
      <c r="C1871" s="5" t="str">
        <f ca="1">IFERROR(__xludf.DUMMYFUNCTION("""COMPUTED_VALUE"""),"Unknown")</f>
        <v>Unknown</v>
      </c>
      <c r="D1871" s="5"/>
    </row>
    <row r="1872" spans="1:4">
      <c r="A1872" s="5" t="str">
        <f ca="1">IFERROR(__xludf.DUMMYFUNCTION("""COMPUTED_VALUE"""),"19830930TXTET")</f>
        <v>19830930TXTET</v>
      </c>
      <c r="B1872" s="5" t="str">
        <f ca="1">IFERROR(__xludf.DUMMYFUNCTION("""COMPUTED_VALUE"""),"No Data")</f>
        <v>No Data</v>
      </c>
      <c r="C1872" s="5"/>
      <c r="D1872" s="5"/>
    </row>
    <row r="1873" spans="1:4">
      <c r="A1873" s="5" t="str">
        <f ca="1">IFERROR(__xludf.DUMMYFUNCTION("""COMPUTED_VALUE"""),"19830921MDWAB")</f>
        <v>19830921MDWAB</v>
      </c>
      <c r="B1873" s="5" t="str">
        <f ca="1">IFERROR(__xludf.DUMMYFUNCTION("""COMPUTED_VALUE"""),"Handgun")</f>
        <v>Handgun</v>
      </c>
      <c r="C1873" s="5" t="str">
        <f ca="1">IFERROR(__xludf.DUMMYFUNCTION("""COMPUTED_VALUE"""),".22 caliber")</f>
        <v>.22 caliber</v>
      </c>
      <c r="D1873" s="5"/>
    </row>
    <row r="1874" spans="1:4">
      <c r="A1874" s="5" t="str">
        <f ca="1">IFERROR(__xludf.DUMMYFUNCTION("""COMPUTED_VALUE"""),"19830912MIHED")</f>
        <v>19830912MIHED</v>
      </c>
      <c r="B1874" s="5" t="str">
        <f ca="1">IFERROR(__xludf.DUMMYFUNCTION("""COMPUTED_VALUE"""),"Handgun")</f>
        <v>Handgun</v>
      </c>
      <c r="C1874" s="5" t="str">
        <f ca="1">IFERROR(__xludf.DUMMYFUNCTION("""COMPUTED_VALUE"""),"Unknown")</f>
        <v>Unknown</v>
      </c>
      <c r="D1874" s="5"/>
    </row>
    <row r="1875" spans="1:4">
      <c r="A1875" s="5" t="str">
        <f ca="1">IFERROR(__xludf.DUMMYFUNCTION("""COMPUTED_VALUE"""),"19830912CAMAC")</f>
        <v>19830912CAMAC</v>
      </c>
      <c r="B1875" s="5" t="str">
        <f ca="1">IFERROR(__xludf.DUMMYFUNCTION("""COMPUTED_VALUE"""),"Multiple Handguns")</f>
        <v>Multiple Handguns</v>
      </c>
      <c r="C1875" s="5" t="str">
        <f ca="1">IFERROR(__xludf.DUMMYFUNCTION("""COMPUTED_VALUE"""),"Unknown")</f>
        <v>Unknown</v>
      </c>
      <c r="D1875" s="5"/>
    </row>
    <row r="1876" spans="1:4">
      <c r="A1876" s="5" t="str">
        <f ca="1">IFERROR(__xludf.DUMMYFUNCTION("""COMPUTED_VALUE"""),"19830526PAGRJ")</f>
        <v>19830526PAGRJ</v>
      </c>
      <c r="B1876" s="5" t="str">
        <f ca="1">IFERROR(__xludf.DUMMYFUNCTION("""COMPUTED_VALUE"""),"Handgun")</f>
        <v>Handgun</v>
      </c>
      <c r="C1876" s="5" t="str">
        <f ca="1">IFERROR(__xludf.DUMMYFUNCTION("""COMPUTED_VALUE"""),".22 caliber")</f>
        <v>.22 caliber</v>
      </c>
      <c r="D1876" s="5"/>
    </row>
    <row r="1877" spans="1:4">
      <c r="A1877" s="5" t="str">
        <f ca="1">IFERROR(__xludf.DUMMYFUNCTION("""COMPUTED_VALUE"""),"19830523OHMAM")</f>
        <v>19830523OHMAM</v>
      </c>
      <c r="B1877" s="5" t="str">
        <f ca="1">IFERROR(__xludf.DUMMYFUNCTION("""COMPUTED_VALUE"""),"Handgun")</f>
        <v>Handgun</v>
      </c>
      <c r="C1877" s="5" t="str">
        <f ca="1">IFERROR(__xludf.DUMMYFUNCTION("""COMPUTED_VALUE"""),"Unknown")</f>
        <v>Unknown</v>
      </c>
      <c r="D1877" s="5"/>
    </row>
    <row r="1878" spans="1:4">
      <c r="A1878" s="5" t="str">
        <f ca="1">IFERROR(__xludf.DUMMYFUNCTION("""COMPUTED_VALUE"""),"19830518FLNOM")</f>
        <v>19830518FLNOM</v>
      </c>
      <c r="B1878" s="5" t="str">
        <f ca="1">IFERROR(__xludf.DUMMYFUNCTION("""COMPUTED_VALUE"""),"Handgun")</f>
        <v>Handgun</v>
      </c>
      <c r="C1878" s="5" t="str">
        <f ca="1">IFERROR(__xludf.DUMMYFUNCTION("""COMPUTED_VALUE"""),"Unknown")</f>
        <v>Unknown</v>
      </c>
      <c r="D1878" s="5"/>
    </row>
    <row r="1879" spans="1:4">
      <c r="A1879" s="5" t="str">
        <f ca="1">IFERROR(__xludf.DUMMYFUNCTION("""COMPUTED_VALUE"""),"19830516TXLAD")</f>
        <v>19830516TXLAD</v>
      </c>
      <c r="B1879" s="5" t="str">
        <f ca="1">IFERROR(__xludf.DUMMYFUNCTION("""COMPUTED_VALUE"""),"Handgun")</f>
        <v>Handgun</v>
      </c>
      <c r="C1879" s="5" t="str">
        <f ca="1">IFERROR(__xludf.DUMMYFUNCTION("""COMPUTED_VALUE"""),".357 caliber")</f>
        <v>.357 caliber</v>
      </c>
      <c r="D1879" s="5"/>
    </row>
    <row r="1880" spans="1:4">
      <c r="A1880" s="5" t="str">
        <f ca="1">IFERROR(__xludf.DUMMYFUNCTION("""COMPUTED_VALUE"""),"19830516NYBRN")</f>
        <v>19830516NYBRN</v>
      </c>
      <c r="B1880" s="5" t="str">
        <f ca="1">IFERROR(__xludf.DUMMYFUNCTION("""COMPUTED_VALUE"""),"Rifle")</f>
        <v>Rifle</v>
      </c>
      <c r="C1880" s="5" t="str">
        <f ca="1">IFERROR(__xludf.DUMMYFUNCTION("""COMPUTED_VALUE"""),".22 caliber")</f>
        <v>.22 caliber</v>
      </c>
      <c r="D1880" s="5"/>
    </row>
    <row r="1881" spans="1:4">
      <c r="A1881" s="5" t="str">
        <f ca="1">IFERROR(__xludf.DUMMYFUNCTION("""COMPUTED_VALUE"""),"19830421MOBES")</f>
        <v>19830421MOBES</v>
      </c>
      <c r="B1881" s="5" t="str">
        <f ca="1">IFERROR(__xludf.DUMMYFUNCTION("""COMPUTED_VALUE"""),"No Data")</f>
        <v>No Data</v>
      </c>
      <c r="C1881" s="5"/>
      <c r="D1881" s="5"/>
    </row>
    <row r="1882" spans="1:4">
      <c r="A1882" s="5" t="str">
        <f ca="1">IFERROR(__xludf.DUMMYFUNCTION("""COMPUTED_VALUE"""),"19830331ILSAC")</f>
        <v>19830331ILSAC</v>
      </c>
      <c r="B1882" s="5" t="str">
        <f ca="1">IFERROR(__xludf.DUMMYFUNCTION("""COMPUTED_VALUE"""),"Handgun")</f>
        <v>Handgun</v>
      </c>
      <c r="C1882" s="5" t="str">
        <f ca="1">IFERROR(__xludf.DUMMYFUNCTION("""COMPUTED_VALUE"""),".38 caliber")</f>
        <v>.38 caliber</v>
      </c>
      <c r="D1882" s="5"/>
    </row>
    <row r="1883" spans="1:4">
      <c r="A1883" s="5" t="str">
        <f ca="1">IFERROR(__xludf.DUMMYFUNCTION("""COMPUTED_VALUE"""),"19830202NMALA")</f>
        <v>19830202NMALA</v>
      </c>
      <c r="B1883" s="5" t="str">
        <f ca="1">IFERROR(__xludf.DUMMYFUNCTION("""COMPUTED_VALUE"""),"No Data")</f>
        <v>No Data</v>
      </c>
      <c r="C1883" s="5"/>
      <c r="D1883" s="5"/>
    </row>
    <row r="1884" spans="1:4">
      <c r="A1884" s="5" t="str">
        <f ca="1">IFERROR(__xludf.DUMMYFUNCTION("""COMPUTED_VALUE"""),"19830201TNRIM")</f>
        <v>19830201TNRIM</v>
      </c>
      <c r="B1884" s="5" t="str">
        <f ca="1">IFERROR(__xludf.DUMMYFUNCTION("""COMPUTED_VALUE"""),"Handgun")</f>
        <v>Handgun</v>
      </c>
      <c r="C1884" s="5" t="str">
        <f ca="1">IFERROR(__xludf.DUMMYFUNCTION("""COMPUTED_VALUE"""),".25 caliber")</f>
        <v>.25 caliber</v>
      </c>
      <c r="D1884" s="5"/>
    </row>
    <row r="1885" spans="1:4">
      <c r="A1885" s="5" t="str">
        <f ca="1">IFERROR(__xludf.DUMMYFUNCTION("""COMPUTED_VALUE"""),"19830131FLDED")</f>
        <v>19830131FLDED</v>
      </c>
      <c r="B1885" s="5" t="str">
        <f ca="1">IFERROR(__xludf.DUMMYFUNCTION("""COMPUTED_VALUE"""),"Handgun")</f>
        <v>Handgun</v>
      </c>
      <c r="C1885" s="5" t="str">
        <f ca="1">IFERROR(__xludf.DUMMYFUNCTION("""COMPUTED_VALUE"""),".22 caliber")</f>
        <v>.22 caliber</v>
      </c>
      <c r="D1885" s="5"/>
    </row>
    <row r="1886" spans="1:4">
      <c r="A1886" s="5" t="str">
        <f ca="1">IFERROR(__xludf.DUMMYFUNCTION("""COMPUTED_VALUE"""),"19830130TXWEC")</f>
        <v>19830130TXWEC</v>
      </c>
      <c r="B1886" s="5" t="str">
        <f ca="1">IFERROR(__xludf.DUMMYFUNCTION("""COMPUTED_VALUE"""),"Handgun")</f>
        <v>Handgun</v>
      </c>
      <c r="C1886" s="5" t="str">
        <f ca="1">IFERROR(__xludf.DUMMYFUNCTION("""COMPUTED_VALUE"""),"Unknown")</f>
        <v>Unknown</v>
      </c>
      <c r="D1886" s="5"/>
    </row>
    <row r="1887" spans="1:4">
      <c r="A1887" s="5" t="str">
        <f ca="1">IFERROR(__xludf.DUMMYFUNCTION("""COMPUTED_VALUE"""),"19830128MDWIB")</f>
        <v>19830128MDWIB</v>
      </c>
      <c r="B1887" s="5" t="str">
        <f ca="1">IFERROR(__xludf.DUMMYFUNCTION("""COMPUTED_VALUE"""),"Handgun")</f>
        <v>Handgun</v>
      </c>
      <c r="C1887" s="5" t="str">
        <f ca="1">IFERROR(__xludf.DUMMYFUNCTION("""COMPUTED_VALUE"""),".25 caliber")</f>
        <v>.25 caliber</v>
      </c>
      <c r="D1887" s="5"/>
    </row>
    <row r="1888" spans="1:4">
      <c r="A1888" s="5" t="str">
        <f ca="1">IFERROR(__xludf.DUMMYFUNCTION("""COMPUTED_VALUE"""),"19830120MOPAB")</f>
        <v>19830120MOPAB</v>
      </c>
      <c r="B1888" s="5" t="str">
        <f ca="1">IFERROR(__xludf.DUMMYFUNCTION("""COMPUTED_VALUE"""),"Handgun")</f>
        <v>Handgun</v>
      </c>
      <c r="C1888" s="5" t="str">
        <f ca="1">IFERROR(__xludf.DUMMYFUNCTION("""COMPUTED_VALUE"""),".22 caliber")</f>
        <v>.22 caliber</v>
      </c>
      <c r="D1888" s="5" t="str">
        <f ca="1">IFERROR(__xludf.DUMMYFUNCTION("""COMPUTED_VALUE"""),"Two .22 automatic")</f>
        <v>Two .22 automatic</v>
      </c>
    </row>
    <row r="1889" spans="1:4">
      <c r="A1889" s="5" t="str">
        <f ca="1">IFERROR(__xludf.DUMMYFUNCTION("""COMPUTED_VALUE"""),"19830120MOPAB")</f>
        <v>19830120MOPAB</v>
      </c>
      <c r="B1889" s="5" t="str">
        <f ca="1">IFERROR(__xludf.DUMMYFUNCTION("""COMPUTED_VALUE"""),"Handgun")</f>
        <v>Handgun</v>
      </c>
      <c r="C1889" s="5" t="str">
        <f ca="1">IFERROR(__xludf.DUMMYFUNCTION("""COMPUTED_VALUE"""),".22 caliber")</f>
        <v>.22 caliber</v>
      </c>
      <c r="D1889" s="5" t="str">
        <f ca="1">IFERROR(__xludf.DUMMYFUNCTION("""COMPUTED_VALUE"""),"Two .22 automatic")</f>
        <v>Two .22 automatic</v>
      </c>
    </row>
    <row r="1890" spans="1:4">
      <c r="A1890" s="5" t="str">
        <f ca="1">IFERROR(__xludf.DUMMYFUNCTION("""COMPUTED_VALUE"""),"19830118TXJOH")</f>
        <v>19830118TXJOH</v>
      </c>
      <c r="B1890" s="5" t="str">
        <f ca="1">IFERROR(__xludf.DUMMYFUNCTION("""COMPUTED_VALUE"""),"Handgun")</f>
        <v>Handgun</v>
      </c>
      <c r="C1890" s="5" t="str">
        <f ca="1">IFERROR(__xludf.DUMMYFUNCTION("""COMPUTED_VALUE"""),".22 caliber")</f>
        <v>.22 caliber</v>
      </c>
      <c r="D1890" s="5"/>
    </row>
    <row r="1891" spans="1:4">
      <c r="A1891" s="5" t="str">
        <f ca="1">IFERROR(__xludf.DUMMYFUNCTION("""COMPUTED_VALUE"""),"19821220MIFID")</f>
        <v>19821220MIFID</v>
      </c>
      <c r="B1891" s="5" t="str">
        <f ca="1">IFERROR(__xludf.DUMMYFUNCTION("""COMPUTED_VALUE"""),"Handgun")</f>
        <v>Handgun</v>
      </c>
      <c r="C1891" s="5" t="str">
        <f ca="1">IFERROR(__xludf.DUMMYFUNCTION("""COMPUTED_VALUE"""),"Unknown")</f>
        <v>Unknown</v>
      </c>
      <c r="D1891" s="5"/>
    </row>
    <row r="1892" spans="1:4">
      <c r="A1892" s="5" t="str">
        <f ca="1">IFERROR(__xludf.DUMMYFUNCTION("""COMPUTED_VALUE"""),"19821206ALHUH")</f>
        <v>19821206ALHUH</v>
      </c>
      <c r="B1892" s="5" t="str">
        <f ca="1">IFERROR(__xludf.DUMMYFUNCTION("""COMPUTED_VALUE"""),"Handgun")</f>
        <v>Handgun</v>
      </c>
      <c r="C1892" s="5" t="str">
        <f ca="1">IFERROR(__xludf.DUMMYFUNCTION("""COMPUTED_VALUE"""),"Unknown")</f>
        <v>Unknown</v>
      </c>
      <c r="D1892" s="5"/>
    </row>
    <row r="1893" spans="1:4">
      <c r="A1893" s="5" t="str">
        <f ca="1">IFERROR(__xludf.DUMMYFUNCTION("""COMPUTED_VALUE"""),"19821112MSWIJ")</f>
        <v>19821112MSWIJ</v>
      </c>
      <c r="B1893" s="5" t="str">
        <f ca="1">IFERROR(__xludf.DUMMYFUNCTION("""COMPUTED_VALUE"""),"Shotgun")</f>
        <v>Shotgun</v>
      </c>
      <c r="C1893" s="5" t="str">
        <f ca="1">IFERROR(__xludf.DUMMYFUNCTION("""COMPUTED_VALUE"""),"Unknown")</f>
        <v>Unknown</v>
      </c>
      <c r="D1893" s="5"/>
    </row>
    <row r="1894" spans="1:4">
      <c r="A1894" s="5" t="str">
        <f ca="1">IFERROR(__xludf.DUMMYFUNCTION("""COMPUTED_VALUE"""),"19821108MICOD")</f>
        <v>19821108MICOD</v>
      </c>
      <c r="B1894" s="5" t="str">
        <f ca="1">IFERROR(__xludf.DUMMYFUNCTION("""COMPUTED_VALUE"""),"Handgun")</f>
        <v>Handgun</v>
      </c>
      <c r="C1894" s="5" t="str">
        <f ca="1">IFERROR(__xludf.DUMMYFUNCTION("""COMPUTED_VALUE"""),".22 caliber")</f>
        <v>.22 caliber</v>
      </c>
      <c r="D1894" s="5"/>
    </row>
    <row r="1895" spans="1:4">
      <c r="A1895" s="5" t="str">
        <f ca="1">IFERROR(__xludf.DUMMYFUNCTION("""COMPUTED_VALUE"""),"19821101NYELE")</f>
        <v>19821101NYELE</v>
      </c>
      <c r="B1895" s="5" t="str">
        <f ca="1">IFERROR(__xludf.DUMMYFUNCTION("""COMPUTED_VALUE"""),"Handgun")</f>
        <v>Handgun</v>
      </c>
      <c r="C1895" s="5" t="str">
        <f ca="1">IFERROR(__xludf.DUMMYFUNCTION("""COMPUTED_VALUE"""),"Unknown")</f>
        <v>Unknown</v>
      </c>
      <c r="D1895" s="5"/>
    </row>
    <row r="1896" spans="1:4">
      <c r="A1896" s="5" t="str">
        <f ca="1">IFERROR(__xludf.DUMMYFUNCTION("""COMPUTED_VALUE"""),"19820915ARSOP")</f>
        <v>19820915ARSOP</v>
      </c>
      <c r="B1896" s="5" t="str">
        <f ca="1">IFERROR(__xludf.DUMMYFUNCTION("""COMPUTED_VALUE"""),"Handgun")</f>
        <v>Handgun</v>
      </c>
      <c r="C1896" s="5" t="str">
        <f ca="1">IFERROR(__xludf.DUMMYFUNCTION("""COMPUTED_VALUE"""),".22 caliber")</f>
        <v>.22 caliber</v>
      </c>
      <c r="D1896" s="5"/>
    </row>
    <row r="1897" spans="1:4">
      <c r="A1897" s="5" t="str">
        <f ca="1">IFERROR(__xludf.DUMMYFUNCTION("""COMPUTED_VALUE"""),"19820910VALAB")</f>
        <v>19820910VALAB</v>
      </c>
      <c r="B1897" s="5" t="str">
        <f ca="1">IFERROR(__xludf.DUMMYFUNCTION("""COMPUTED_VALUE"""),"No Data")</f>
        <v>No Data</v>
      </c>
      <c r="C1897" s="5"/>
      <c r="D1897" s="5"/>
    </row>
    <row r="1898" spans="1:4">
      <c r="A1898" s="5" t="str">
        <f ca="1">IFERROR(__xludf.DUMMYFUNCTION("""COMPUTED_VALUE"""),"19820527NVGAL")</f>
        <v>19820527NVGAL</v>
      </c>
      <c r="B1898" s="5" t="str">
        <f ca="1">IFERROR(__xludf.DUMMYFUNCTION("""COMPUTED_VALUE"""),"Other")</f>
        <v>Other</v>
      </c>
      <c r="C1898" s="5" t="str">
        <f ca="1">IFERROR(__xludf.DUMMYFUNCTION("""COMPUTED_VALUE"""),"Pellet")</f>
        <v>Pellet</v>
      </c>
      <c r="D1898" s="5"/>
    </row>
    <row r="1899" spans="1:4">
      <c r="A1899" s="5" t="str">
        <f ca="1">IFERROR(__xludf.DUMMYFUNCTION("""COMPUTED_VALUE"""),"19820430FLANA")</f>
        <v>19820430FLANA</v>
      </c>
      <c r="B1899" s="5" t="str">
        <f ca="1">IFERROR(__xludf.DUMMYFUNCTION("""COMPUTED_VALUE"""),"Handgun")</f>
        <v>Handgun</v>
      </c>
      <c r="C1899" s="5" t="str">
        <f ca="1">IFERROR(__xludf.DUMMYFUNCTION("""COMPUTED_VALUE"""),".22 caliber")</f>
        <v>.22 caliber</v>
      </c>
      <c r="D1899" s="5"/>
    </row>
    <row r="1900" spans="1:4">
      <c r="A1900" s="5" t="str">
        <f ca="1">IFERROR(__xludf.DUMMYFUNCTION("""COMPUTED_VALUE"""),"19820429GARUE")</f>
        <v>19820429GARUE</v>
      </c>
      <c r="B1900" s="5" t="str">
        <f ca="1">IFERROR(__xludf.DUMMYFUNCTION("""COMPUTED_VALUE"""),"Rifle")</f>
        <v>Rifle</v>
      </c>
      <c r="C1900" s="5" t="str">
        <f ca="1">IFERROR(__xludf.DUMMYFUNCTION("""COMPUTED_VALUE"""),"Unknown")</f>
        <v>Unknown</v>
      </c>
      <c r="D1900" s="5"/>
    </row>
    <row r="1901" spans="1:4">
      <c r="A1901" s="5" t="str">
        <f ca="1">IFERROR(__xludf.DUMMYFUNCTION("""COMPUTED_VALUE"""),"19820415MDFOB")</f>
        <v>19820415MDFOB</v>
      </c>
      <c r="B1901" s="5" t="str">
        <f ca="1">IFERROR(__xludf.DUMMYFUNCTION("""COMPUTED_VALUE"""),"Handgun")</f>
        <v>Handgun</v>
      </c>
      <c r="C1901" s="5" t="str">
        <f ca="1">IFERROR(__xludf.DUMMYFUNCTION("""COMPUTED_VALUE"""),".32 caliber")</f>
        <v>.32 caliber</v>
      </c>
      <c r="D1901" s="5"/>
    </row>
    <row r="1902" spans="1:4">
      <c r="A1902" s="5" t="str">
        <f ca="1">IFERROR(__xludf.DUMMYFUNCTION("""COMPUTED_VALUE"""),"19820407CODEL")</f>
        <v>19820407CODEL</v>
      </c>
      <c r="B1902" s="5" t="str">
        <f ca="1">IFERROR(__xludf.DUMMYFUNCTION("""COMPUTED_VALUE"""),"Handgun")</f>
        <v>Handgun</v>
      </c>
      <c r="C1902" s="5" t="str">
        <f ca="1">IFERROR(__xludf.DUMMYFUNCTION("""COMPUTED_VALUE"""),".38 caliber")</f>
        <v>.38 caliber</v>
      </c>
      <c r="D1902" s="5"/>
    </row>
    <row r="1903" spans="1:4">
      <c r="A1903" s="5" t="str">
        <f ca="1">IFERROR(__xludf.DUMMYFUNCTION("""COMPUTED_VALUE"""),"19820319NVVAL")</f>
        <v>19820319NVVAL</v>
      </c>
      <c r="B1903" s="5" t="str">
        <f ca="1">IFERROR(__xludf.DUMMYFUNCTION("""COMPUTED_VALUE"""),"Handgun")</f>
        <v>Handgun</v>
      </c>
      <c r="C1903" s="5" t="str">
        <f ca="1">IFERROR(__xludf.DUMMYFUNCTION("""COMPUTED_VALUE"""),".22 caliber")</f>
        <v>.22 caliber</v>
      </c>
      <c r="D1903" s="5"/>
    </row>
    <row r="1904" spans="1:4">
      <c r="A1904" s="5" t="str">
        <f ca="1">IFERROR(__xludf.DUMMYFUNCTION("""COMPUTED_VALUE"""),"19820317OHLOL")</f>
        <v>19820317OHLOL</v>
      </c>
      <c r="B1904" s="5" t="str">
        <f ca="1">IFERROR(__xludf.DUMMYFUNCTION("""COMPUTED_VALUE"""),"Handgun")</f>
        <v>Handgun</v>
      </c>
      <c r="C1904" s="5" t="str">
        <f ca="1">IFERROR(__xludf.DUMMYFUNCTION("""COMPUTED_VALUE"""),".25 caliber")</f>
        <v>.25 caliber</v>
      </c>
      <c r="D1904" s="5"/>
    </row>
    <row r="1905" spans="1:4">
      <c r="A1905" s="5" t="str">
        <f ca="1">IFERROR(__xludf.DUMMYFUNCTION("""COMPUTED_VALUE"""),"19820315ORSPS")</f>
        <v>19820315ORSPS</v>
      </c>
      <c r="B1905" s="5" t="str">
        <f ca="1">IFERROR(__xludf.DUMMYFUNCTION("""COMPUTED_VALUE"""),"Handgun")</f>
        <v>Handgun</v>
      </c>
      <c r="C1905" s="5" t="str">
        <f ca="1">IFERROR(__xludf.DUMMYFUNCTION("""COMPUTED_VALUE"""),".38 caliber")</f>
        <v>.38 caliber</v>
      </c>
      <c r="D1905" s="5"/>
    </row>
    <row r="1906" spans="1:4">
      <c r="A1906" s="5" t="str">
        <f ca="1">IFERROR(__xludf.DUMMYFUNCTION("""COMPUTED_VALUE"""),"19820209LAJON")</f>
        <v>19820209LAJON</v>
      </c>
      <c r="B1906" s="5" t="str">
        <f ca="1">IFERROR(__xludf.DUMMYFUNCTION("""COMPUTED_VALUE"""),"No Data")</f>
        <v>No Data</v>
      </c>
      <c r="C1906" s="5"/>
      <c r="D1906" s="5"/>
    </row>
    <row r="1907" spans="1:4">
      <c r="A1907" s="5" t="str">
        <f ca="1">IFERROR(__xludf.DUMMYFUNCTION("""COMPUTED_VALUE"""),"19820208MADOD")</f>
        <v>19820208MADOD</v>
      </c>
      <c r="B1907" s="5" t="str">
        <f ca="1">IFERROR(__xludf.DUMMYFUNCTION("""COMPUTED_VALUE"""),"Handgun")</f>
        <v>Handgun</v>
      </c>
      <c r="C1907" s="5" t="str">
        <f ca="1">IFERROR(__xludf.DUMMYFUNCTION("""COMPUTED_VALUE"""),".38 caliber")</f>
        <v>.38 caliber</v>
      </c>
      <c r="D1907" s="5"/>
    </row>
    <row r="1908" spans="1:4">
      <c r="A1908" s="5" t="str">
        <f ca="1">IFERROR(__xludf.DUMMYFUNCTION("""COMPUTED_VALUE"""),"19820205TNHAM")</f>
        <v>19820205TNHAM</v>
      </c>
      <c r="B1908" s="5" t="str">
        <f ca="1">IFERROR(__xludf.DUMMYFUNCTION("""COMPUTED_VALUE"""),"Handgun")</f>
        <v>Handgun</v>
      </c>
      <c r="C1908" s="5" t="str">
        <f ca="1">IFERROR(__xludf.DUMMYFUNCTION("""COMPUTED_VALUE"""),"Unknown")</f>
        <v>Unknown</v>
      </c>
      <c r="D1908" s="5"/>
    </row>
    <row r="1909" spans="1:4">
      <c r="A1909" s="5" t="str">
        <f ca="1">IFERROR(__xludf.DUMMYFUNCTION("""COMPUTED_VALUE"""),"19811223NYJAB")</f>
        <v>19811223NYJAB</v>
      </c>
      <c r="B1909" s="5" t="str">
        <f ca="1">IFERROR(__xludf.DUMMYFUNCTION("""COMPUTED_VALUE"""),"Handgun")</f>
        <v>Handgun</v>
      </c>
      <c r="C1909" s="5" t="str">
        <f ca="1">IFERROR(__xludf.DUMMYFUNCTION("""COMPUTED_VALUE"""),"Unknown")</f>
        <v>Unknown</v>
      </c>
      <c r="D1909" s="5"/>
    </row>
    <row r="1910" spans="1:4">
      <c r="A1910" s="5" t="str">
        <f ca="1">IFERROR(__xludf.DUMMYFUNCTION("""COMPUTED_VALUE"""),"19811216TXUNH")</f>
        <v>19811216TXUNH</v>
      </c>
      <c r="B1910" s="5" t="str">
        <f ca="1">IFERROR(__xludf.DUMMYFUNCTION("""COMPUTED_VALUE"""),"Handgun")</f>
        <v>Handgun</v>
      </c>
      <c r="C1910" s="5" t="str">
        <f ca="1">IFERROR(__xludf.DUMMYFUNCTION("""COMPUTED_VALUE"""),".22 caliber")</f>
        <v>.22 caliber</v>
      </c>
      <c r="D1910" s="5"/>
    </row>
    <row r="1911" spans="1:4">
      <c r="A1911" s="5" t="str">
        <f ca="1">IFERROR(__xludf.DUMMYFUNCTION("""COMPUTED_VALUE"""),"19811209NYGEB")</f>
        <v>19811209NYGEB</v>
      </c>
      <c r="B1911" s="5" t="str">
        <f ca="1">IFERROR(__xludf.DUMMYFUNCTION("""COMPUTED_VALUE"""),"Handgun")</f>
        <v>Handgun</v>
      </c>
      <c r="C1911" s="5" t="str">
        <f ca="1">IFERROR(__xludf.DUMMYFUNCTION("""COMPUTED_VALUE"""),"Unknown")</f>
        <v>Unknown</v>
      </c>
      <c r="D1911" s="5"/>
    </row>
    <row r="1912" spans="1:4">
      <c r="A1912" s="5" t="str">
        <f ca="1">IFERROR(__xludf.DUMMYFUNCTION("""COMPUTED_VALUE"""),"19811013CTHAH")</f>
        <v>19811013CTHAH</v>
      </c>
      <c r="B1912" s="5" t="str">
        <f ca="1">IFERROR(__xludf.DUMMYFUNCTION("""COMPUTED_VALUE"""),"Handgun")</f>
        <v>Handgun</v>
      </c>
      <c r="C1912" s="5" t="str">
        <f ca="1">IFERROR(__xludf.DUMMYFUNCTION("""COMPUTED_VALUE"""),"Unknown")</f>
        <v>Unknown</v>
      </c>
      <c r="D1912" s="5"/>
    </row>
    <row r="1913" spans="1:4">
      <c r="A1913" s="5" t="str">
        <f ca="1">IFERROR(__xludf.DUMMYFUNCTION("""COMPUTED_VALUE"""),"19810913MDABA")</f>
        <v>19810913MDABA</v>
      </c>
      <c r="B1913" s="5" t="str">
        <f ca="1">IFERROR(__xludf.DUMMYFUNCTION("""COMPUTED_VALUE"""),"Handgun")</f>
        <v>Handgun</v>
      </c>
      <c r="C1913" s="5" t="str">
        <f ca="1">IFERROR(__xludf.DUMMYFUNCTION("""COMPUTED_VALUE"""),"Service Weapon")</f>
        <v>Service Weapon</v>
      </c>
      <c r="D1913" s="5"/>
    </row>
    <row r="1914" spans="1:4">
      <c r="A1914" s="5" t="str">
        <f ca="1">IFERROR(__xludf.DUMMYFUNCTION("""COMPUTED_VALUE"""),"19810908FLSTW")</f>
        <v>19810908FLSTW</v>
      </c>
      <c r="B1914" s="5" t="str">
        <f ca="1">IFERROR(__xludf.DUMMYFUNCTION("""COMPUTED_VALUE"""),"Handgun")</f>
        <v>Handgun</v>
      </c>
      <c r="C1914" s="5" t="str">
        <f ca="1">IFERROR(__xludf.DUMMYFUNCTION("""COMPUTED_VALUE"""),".22 caliber")</f>
        <v>.22 caliber</v>
      </c>
      <c r="D1914" s="5"/>
    </row>
    <row r="1915" spans="1:4">
      <c r="A1915" s="5" t="str">
        <f ca="1">IFERROR(__xludf.DUMMYFUNCTION("""COMPUTED_VALUE"""),"19810904NMHOS")</f>
        <v>19810904NMHOS</v>
      </c>
      <c r="B1915" s="5" t="str">
        <f ca="1">IFERROR(__xludf.DUMMYFUNCTION("""COMPUTED_VALUE"""),"Handgun")</f>
        <v>Handgun</v>
      </c>
      <c r="C1915" s="5" t="str">
        <f ca="1">IFERROR(__xludf.DUMMYFUNCTION("""COMPUTED_VALUE"""),".22 caliber")</f>
        <v>.22 caliber</v>
      </c>
      <c r="D1915" s="5"/>
    </row>
    <row r="1916" spans="1:4">
      <c r="A1916" s="5" t="str">
        <f ca="1">IFERROR(__xludf.DUMMYFUNCTION("""COMPUTED_VALUE"""),"19810901PAWIP")</f>
        <v>19810901PAWIP</v>
      </c>
      <c r="B1916" s="5" t="str">
        <f ca="1">IFERROR(__xludf.DUMMYFUNCTION("""COMPUTED_VALUE"""),"Handgun")</f>
        <v>Handgun</v>
      </c>
      <c r="C1916" s="5" t="str">
        <f ca="1">IFERROR(__xludf.DUMMYFUNCTION("""COMPUTED_VALUE"""),".25 caliber")</f>
        <v>.25 caliber</v>
      </c>
      <c r="D1916" s="5"/>
    </row>
    <row r="1917" spans="1:4">
      <c r="A1917" s="5" t="str">
        <f ca="1">IFERROR(__xludf.DUMMYFUNCTION("""COMPUTED_VALUE"""),"19810515LANEN")</f>
        <v>19810515LANEN</v>
      </c>
      <c r="B1917" s="5" t="str">
        <f ca="1">IFERROR(__xludf.DUMMYFUNCTION("""COMPUTED_VALUE"""),"Handgun")</f>
        <v>Handgun</v>
      </c>
      <c r="C1917" s="5" t="str">
        <f ca="1">IFERROR(__xludf.DUMMYFUNCTION("""COMPUTED_VALUE"""),".22 caliber")</f>
        <v>.22 caliber</v>
      </c>
      <c r="D1917" s="5"/>
    </row>
    <row r="1918" spans="1:4">
      <c r="A1918" s="5" t="str">
        <f ca="1">IFERROR(__xludf.DUMMYFUNCTION("""COMPUTED_VALUE"""),"19810407MSPOP")</f>
        <v>19810407MSPOP</v>
      </c>
      <c r="B1918" s="5" t="str">
        <f ca="1">IFERROR(__xludf.DUMMYFUNCTION("""COMPUTED_VALUE"""),"No Data")</f>
        <v>No Data</v>
      </c>
      <c r="C1918" s="5"/>
      <c r="D1918" s="5"/>
    </row>
    <row r="1919" spans="1:4">
      <c r="A1919" s="5" t="str">
        <f ca="1">IFERROR(__xludf.DUMMYFUNCTION("""COMPUTED_VALUE"""),"19810402OHALC")</f>
        <v>19810402OHALC</v>
      </c>
      <c r="B1919" s="5" t="str">
        <f ca="1">IFERROR(__xludf.DUMMYFUNCTION("""COMPUTED_VALUE"""),"Handgun")</f>
        <v>Handgun</v>
      </c>
      <c r="C1919" s="5" t="str">
        <f ca="1">IFERROR(__xludf.DUMMYFUNCTION("""COMPUTED_VALUE"""),".22 caliber")</f>
        <v>.22 caliber</v>
      </c>
      <c r="D1919" s="5"/>
    </row>
    <row r="1920" spans="1:4">
      <c r="A1920" s="5" t="str">
        <f ca="1">IFERROR(__xludf.DUMMYFUNCTION("""COMPUTED_VALUE"""),"19810328FLDIF")</f>
        <v>19810328FLDIF</v>
      </c>
      <c r="B1920" s="5" t="str">
        <f ca="1">IFERROR(__xludf.DUMMYFUNCTION("""COMPUTED_VALUE"""),"Handgun")</f>
        <v>Handgun</v>
      </c>
      <c r="C1920" s="5" t="str">
        <f ca="1">IFERROR(__xludf.DUMMYFUNCTION("""COMPUTED_VALUE"""),"Unknown")</f>
        <v>Unknown</v>
      </c>
      <c r="D1920" s="5"/>
    </row>
    <row r="1921" spans="1:4">
      <c r="A1921" s="5" t="str">
        <f ca="1">IFERROR(__xludf.DUMMYFUNCTION("""COMPUTED_VALUE"""),"19810303INMAI")</f>
        <v>19810303INMAI</v>
      </c>
      <c r="B1921" s="5" t="str">
        <f ca="1">IFERROR(__xludf.DUMMYFUNCTION("""COMPUTED_VALUE"""),"Handgun")</f>
        <v>Handgun</v>
      </c>
      <c r="C1921" s="5" t="str">
        <f ca="1">IFERROR(__xludf.DUMMYFUNCTION("""COMPUTED_VALUE"""),"Unknown")</f>
        <v>Unknown</v>
      </c>
      <c r="D1921" s="5"/>
    </row>
    <row r="1922" spans="1:4">
      <c r="A1922" s="5" t="str">
        <f ca="1">IFERROR(__xludf.DUMMYFUNCTION("""COMPUTED_VALUE"""),"19810210CAMAL")</f>
        <v>19810210CAMAL</v>
      </c>
      <c r="B1922" s="5" t="str">
        <f ca="1">IFERROR(__xludf.DUMMYFUNCTION("""COMPUTED_VALUE"""),"Shotgun")</f>
        <v>Shotgun</v>
      </c>
      <c r="C1922" s="5" t="str">
        <f ca="1">IFERROR(__xludf.DUMMYFUNCTION("""COMPUTED_VALUE"""),"Unknown")</f>
        <v>Unknown</v>
      </c>
      <c r="D1922" s="5"/>
    </row>
    <row r="1923" spans="1:4">
      <c r="A1923" s="5" t="str">
        <f ca="1">IFERROR(__xludf.DUMMYFUNCTION("""COMPUTED_VALUE"""),"19810210ARLIL")</f>
        <v>19810210ARLIL</v>
      </c>
      <c r="B1923" s="5" t="str">
        <f ca="1">IFERROR(__xludf.DUMMYFUNCTION("""COMPUTED_VALUE"""),"Handgun")</f>
        <v>Handgun</v>
      </c>
      <c r="C1923" s="5" t="str">
        <f ca="1">IFERROR(__xludf.DUMMYFUNCTION("""COMPUTED_VALUE"""),"Unknown")</f>
        <v>Unknown</v>
      </c>
      <c r="D1923" s="5"/>
    </row>
    <row r="1924" spans="1:4">
      <c r="A1924" s="5" t="str">
        <f ca="1">IFERROR(__xludf.DUMMYFUNCTION("""COMPUTED_VALUE"""),"19810122MDFRB")</f>
        <v>19810122MDFRB</v>
      </c>
      <c r="B1924" s="5" t="str">
        <f ca="1">IFERROR(__xludf.DUMMYFUNCTION("""COMPUTED_VALUE"""),"Handgun")</f>
        <v>Handgun</v>
      </c>
      <c r="C1924" s="5" t="str">
        <f ca="1">IFERROR(__xludf.DUMMYFUNCTION("""COMPUTED_VALUE"""),"Unknown")</f>
        <v>Unknown</v>
      </c>
      <c r="D1924" s="5"/>
    </row>
    <row r="1925" spans="1:4">
      <c r="A1925" s="5" t="str">
        <f ca="1">IFERROR(__xludf.DUMMYFUNCTION("""COMPUTED_VALUE"""),"19810121OHWIB")</f>
        <v>19810121OHWIB</v>
      </c>
      <c r="B1925" s="5" t="str">
        <f ca="1">IFERROR(__xludf.DUMMYFUNCTION("""COMPUTED_VALUE"""),"Handgun")</f>
        <v>Handgun</v>
      </c>
      <c r="C1925" s="5" t="str">
        <f ca="1">IFERROR(__xludf.DUMMYFUNCTION("""COMPUTED_VALUE"""),".38 caliber")</f>
        <v>.38 caliber</v>
      </c>
      <c r="D1925" s="5"/>
    </row>
    <row r="1926" spans="1:4">
      <c r="A1926" s="5" t="str">
        <f ca="1">IFERROR(__xludf.DUMMYFUNCTION("""COMPUTED_VALUE"""),"19801212OHLOL")</f>
        <v>19801212OHLOL</v>
      </c>
      <c r="B1926" s="5" t="str">
        <f ca="1">IFERROR(__xludf.DUMMYFUNCTION("""COMPUTED_VALUE"""),"Handgun")</f>
        <v>Handgun</v>
      </c>
      <c r="C1926" s="5" t="str">
        <f ca="1">IFERROR(__xludf.DUMMYFUNCTION("""COMPUTED_VALUE"""),".22 caliber")</f>
        <v>.22 caliber</v>
      </c>
      <c r="D1926" s="5"/>
    </row>
    <row r="1927" spans="1:4">
      <c r="A1927" s="5" t="str">
        <f ca="1">IFERROR(__xludf.DUMMYFUNCTION("""COMPUTED_VALUE"""),"19801212ALPAB")</f>
        <v>19801212ALPAB</v>
      </c>
      <c r="B1927" s="5" t="str">
        <f ca="1">IFERROR(__xludf.DUMMYFUNCTION("""COMPUTED_VALUE"""),"Handgun")</f>
        <v>Handgun</v>
      </c>
      <c r="C1927" s="5" t="str">
        <f ca="1">IFERROR(__xludf.DUMMYFUNCTION("""COMPUTED_VALUE"""),"Unknown")</f>
        <v>Unknown</v>
      </c>
      <c r="D1927" s="5"/>
    </row>
    <row r="1928" spans="1:4">
      <c r="A1928" s="5" t="str">
        <f ca="1">IFERROR(__xludf.DUMMYFUNCTION("""COMPUTED_VALUE"""),"19801117TXEAF")</f>
        <v>19801117TXEAF</v>
      </c>
      <c r="B1928" s="5" t="str">
        <f ca="1">IFERROR(__xludf.DUMMYFUNCTION("""COMPUTED_VALUE"""),"Handgun")</f>
        <v>Handgun</v>
      </c>
      <c r="C1928" s="5" t="str">
        <f ca="1">IFERROR(__xludf.DUMMYFUNCTION("""COMPUTED_VALUE"""),".22 caliber")</f>
        <v>.22 caliber</v>
      </c>
      <c r="D1928" s="5"/>
    </row>
    <row r="1929" spans="1:4">
      <c r="A1929" s="5" t="str">
        <f ca="1">IFERROR(__xludf.DUMMYFUNCTION("""COMPUTED_VALUE"""),"19801031ALHUH")</f>
        <v>19801031ALHUH</v>
      </c>
      <c r="B1929" s="5" t="str">
        <f ca="1">IFERROR(__xludf.DUMMYFUNCTION("""COMPUTED_VALUE"""),"Handgun")</f>
        <v>Handgun</v>
      </c>
      <c r="C1929" s="5" t="str">
        <f ca="1">IFERROR(__xludf.DUMMYFUNCTION("""COMPUTED_VALUE"""),".22 caliber")</f>
        <v>.22 caliber</v>
      </c>
      <c r="D1929" s="5"/>
    </row>
    <row r="1930" spans="1:4">
      <c r="A1930" s="5" t="str">
        <f ca="1">IFERROR(__xludf.DUMMYFUNCTION("""COMPUTED_VALUE"""),"19801013ALCET")</f>
        <v>19801013ALCET</v>
      </c>
      <c r="B1930" s="5" t="str">
        <f ca="1">IFERROR(__xludf.DUMMYFUNCTION("""COMPUTED_VALUE"""),"Handgun")</f>
        <v>Handgun</v>
      </c>
      <c r="C1930" s="5" t="str">
        <f ca="1">IFERROR(__xludf.DUMMYFUNCTION("""COMPUTED_VALUE"""),"Unknown")</f>
        <v>Unknown</v>
      </c>
      <c r="D1930" s="5"/>
    </row>
    <row r="1931" spans="1:4">
      <c r="A1931" s="5" t="str">
        <f ca="1">IFERROR(__xludf.DUMMYFUNCTION("""COMPUTED_VALUE"""),"19800926CTBRB")</f>
        <v>19800926CTBRB</v>
      </c>
      <c r="B1931" s="5" t="str">
        <f ca="1">IFERROR(__xludf.DUMMYFUNCTION("""COMPUTED_VALUE"""),"Rifle")</f>
        <v>Rifle</v>
      </c>
      <c r="C1931" s="5" t="str">
        <f ca="1">IFERROR(__xludf.DUMMYFUNCTION("""COMPUTED_VALUE"""),".22 caliber")</f>
        <v>.22 caliber</v>
      </c>
      <c r="D1931" s="5"/>
    </row>
    <row r="1932" spans="1:4">
      <c r="A1932" s="5" t="str">
        <f ca="1">IFERROR(__xludf.DUMMYFUNCTION("""COMPUTED_VALUE"""),"19800911ALJOM")</f>
        <v>19800911ALJOM</v>
      </c>
      <c r="B1932" s="5" t="str">
        <f ca="1">IFERROR(__xludf.DUMMYFUNCTION("""COMPUTED_VALUE"""),"Handgun")</f>
        <v>Handgun</v>
      </c>
      <c r="C1932" s="5" t="str">
        <f ca="1">IFERROR(__xludf.DUMMYFUNCTION("""COMPUTED_VALUE"""),"Unknown")</f>
        <v>Unknown</v>
      </c>
      <c r="D1932" s="5"/>
    </row>
    <row r="1933" spans="1:4">
      <c r="A1933" s="5" t="str">
        <f ca="1">IFERROR(__xludf.DUMMYFUNCTION("""COMPUTED_VALUE"""),"19800910DCSPW")</f>
        <v>19800910DCSPW</v>
      </c>
      <c r="B1933" s="5" t="str">
        <f ca="1">IFERROR(__xludf.DUMMYFUNCTION("""COMPUTED_VALUE"""),"Handgun")</f>
        <v>Handgun</v>
      </c>
      <c r="C1933" s="5" t="str">
        <f ca="1">IFERROR(__xludf.DUMMYFUNCTION("""COMPUTED_VALUE"""),".25 caliber")</f>
        <v>.25 caliber</v>
      </c>
      <c r="D1933" s="5"/>
    </row>
    <row r="1934" spans="1:4">
      <c r="A1934" s="5" t="str">
        <f ca="1">IFERROR(__xludf.DUMMYFUNCTION("""COMPUTED_VALUE"""),"19800908FLFOJ")</f>
        <v>19800908FLFOJ</v>
      </c>
      <c r="B1934" s="5" t="str">
        <f ca="1">IFERROR(__xludf.DUMMYFUNCTION("""COMPUTED_VALUE"""),"Handgun")</f>
        <v>Handgun</v>
      </c>
      <c r="C1934" s="5" t="str">
        <f ca="1">IFERROR(__xludf.DUMMYFUNCTION("""COMPUTED_VALUE"""),"Unknown")</f>
        <v>Unknown</v>
      </c>
      <c r="D1934" s="5"/>
    </row>
    <row r="1935" spans="1:4">
      <c r="A1935" s="5" t="str">
        <f ca="1">IFERROR(__xludf.DUMMYFUNCTION("""COMPUTED_VALUE"""),"19800902CAWHL")</f>
        <v>19800902CAWHL</v>
      </c>
      <c r="B1935" s="5" t="str">
        <f ca="1">IFERROR(__xludf.DUMMYFUNCTION("""COMPUTED_VALUE"""),"Shotgun")</f>
        <v>Shotgun</v>
      </c>
      <c r="C1935" s="5" t="str">
        <f ca="1">IFERROR(__xludf.DUMMYFUNCTION("""COMPUTED_VALUE"""),"12 gauge")</f>
        <v>12 gauge</v>
      </c>
      <c r="D1935" s="5"/>
    </row>
    <row r="1936" spans="1:4">
      <c r="A1936" s="5" t="str">
        <f ca="1">IFERROR(__xludf.DUMMYFUNCTION("""COMPUTED_VALUE"""),"19800530NYCLB")</f>
        <v>19800530NYCLB</v>
      </c>
      <c r="B1936" s="5" t="str">
        <f ca="1">IFERROR(__xludf.DUMMYFUNCTION("""COMPUTED_VALUE"""),"Handgun")</f>
        <v>Handgun</v>
      </c>
      <c r="C1936" s="5" t="str">
        <f ca="1">IFERROR(__xludf.DUMMYFUNCTION("""COMPUTED_VALUE"""),".38 caliber")</f>
        <v>.38 caliber</v>
      </c>
      <c r="D1936" s="5"/>
    </row>
    <row r="1937" spans="1:4">
      <c r="A1937" s="5" t="str">
        <f ca="1">IFERROR(__xludf.DUMMYFUNCTION("""COMPUTED_VALUE"""),"19800417VACAC")</f>
        <v>19800417VACAC</v>
      </c>
      <c r="B1937" s="5" t="str">
        <f ca="1">IFERROR(__xludf.DUMMYFUNCTION("""COMPUTED_VALUE"""),"Handgun")</f>
        <v>Handgun</v>
      </c>
      <c r="C1937" s="5" t="str">
        <f ca="1">IFERROR(__xludf.DUMMYFUNCTION("""COMPUTED_VALUE"""),"Unknown")</f>
        <v>Unknown</v>
      </c>
      <c r="D1937" s="5"/>
    </row>
    <row r="1938" spans="1:4">
      <c r="A1938" s="5" t="str">
        <f ca="1">IFERROR(__xludf.DUMMYFUNCTION("""COMPUTED_VALUE"""),"19800331MDFRB")</f>
        <v>19800331MDFRB</v>
      </c>
      <c r="B1938" s="5" t="str">
        <f ca="1">IFERROR(__xludf.DUMMYFUNCTION("""COMPUTED_VALUE"""),"Handgun")</f>
        <v>Handgun</v>
      </c>
      <c r="C1938" s="5" t="str">
        <f ca="1">IFERROR(__xludf.DUMMYFUNCTION("""COMPUTED_VALUE"""),".32 caliber")</f>
        <v>.32 caliber</v>
      </c>
      <c r="D1938" s="5"/>
    </row>
    <row r="1939" spans="1:4">
      <c r="A1939" s="5" t="str">
        <f ca="1">IFERROR(__xludf.DUMMYFUNCTION("""COMPUTED_VALUE"""),"19800320TXJLD")</f>
        <v>19800320TXJLD</v>
      </c>
      <c r="B1939" s="5" t="str">
        <f ca="1">IFERROR(__xludf.DUMMYFUNCTION("""COMPUTED_VALUE"""),"Handgun")</f>
        <v>Handgun</v>
      </c>
      <c r="C1939" s="5" t="str">
        <f ca="1">IFERROR(__xludf.DUMMYFUNCTION("""COMPUTED_VALUE"""),".38 caliber")</f>
        <v>.38 caliber</v>
      </c>
      <c r="D1939" s="5"/>
    </row>
    <row r="1940" spans="1:4">
      <c r="A1940" s="5" t="str">
        <f ca="1">IFERROR(__xludf.DUMMYFUNCTION("""COMPUTED_VALUE"""),"19800215MSHUM")</f>
        <v>19800215MSHUM</v>
      </c>
      <c r="B1940" s="5" t="str">
        <f ca="1">IFERROR(__xludf.DUMMYFUNCTION("""COMPUTED_VALUE"""),"Handgun")</f>
        <v>Handgun</v>
      </c>
      <c r="C1940" s="5" t="str">
        <f ca="1">IFERROR(__xludf.DUMMYFUNCTION("""COMPUTED_VALUE"""),".32 caliber")</f>
        <v>.32 caliber</v>
      </c>
      <c r="D1940" s="5"/>
    </row>
    <row r="1941" spans="1:4">
      <c r="A1941" s="5" t="str">
        <f ca="1">IFERROR(__xludf.DUMMYFUNCTION("""COMPUTED_VALUE"""),"19800211INARI")</f>
        <v>19800211INARI</v>
      </c>
      <c r="B1941" s="5" t="str">
        <f ca="1">IFERROR(__xludf.DUMMYFUNCTION("""COMPUTED_VALUE"""),"Handgun")</f>
        <v>Handgun</v>
      </c>
      <c r="C1941" s="5" t="str">
        <f ca="1">IFERROR(__xludf.DUMMYFUNCTION("""COMPUTED_VALUE"""),".22 caliber")</f>
        <v>.22 caliber</v>
      </c>
      <c r="D1941" s="5"/>
    </row>
    <row r="1942" spans="1:4">
      <c r="A1942" s="5" t="str">
        <f ca="1">IFERROR(__xludf.DUMMYFUNCTION("""COMPUTED_VALUE"""),"19800207TXVAL")</f>
        <v>19800207TXVAL</v>
      </c>
      <c r="B1942" s="5" t="str">
        <f ca="1">IFERROR(__xludf.DUMMYFUNCTION("""COMPUTED_VALUE"""),"Handgun")</f>
        <v>Handgun</v>
      </c>
      <c r="C1942" s="5" t="str">
        <f ca="1">IFERROR(__xludf.DUMMYFUNCTION("""COMPUTED_VALUE"""),".25 caliber")</f>
        <v>.25 caliber</v>
      </c>
      <c r="D1942" s="5"/>
    </row>
    <row r="1943" spans="1:4">
      <c r="A1943" s="5" t="str">
        <f ca="1">IFERROR(__xludf.DUMMYFUNCTION("""COMPUTED_VALUE"""),"19800201DCLAW")</f>
        <v>19800201DCLAW</v>
      </c>
      <c r="B1943" s="5" t="str">
        <f ca="1">IFERROR(__xludf.DUMMYFUNCTION("""COMPUTED_VALUE"""),"Handgun")</f>
        <v>Handgun</v>
      </c>
      <c r="C1943" s="5" t="str">
        <f ca="1">IFERROR(__xludf.DUMMYFUNCTION("""COMPUTED_VALUE"""),".22 caliber")</f>
        <v>.22 caliber</v>
      </c>
      <c r="D1943" s="5"/>
    </row>
    <row r="1944" spans="1:4">
      <c r="A1944" s="5" t="str">
        <f ca="1">IFERROR(__xludf.DUMMYFUNCTION("""COMPUTED_VALUE"""),"19800129VALAW")</f>
        <v>19800129VALAW</v>
      </c>
      <c r="B1944" s="5" t="str">
        <f ca="1">IFERROR(__xludf.DUMMYFUNCTION("""COMPUTED_VALUE"""),"Handgun")</f>
        <v>Handgun</v>
      </c>
      <c r="C1944" s="5" t="str">
        <f ca="1">IFERROR(__xludf.DUMMYFUNCTION("""COMPUTED_VALUE"""),".45 caliber")</f>
        <v>.45 caliber</v>
      </c>
      <c r="D1944" s="5"/>
    </row>
    <row r="1945" spans="1:4">
      <c r="A1945" s="5" t="str">
        <f ca="1">IFERROR(__xludf.DUMMYFUNCTION("""COMPUTED_VALUE"""),"19800107ARSTS")</f>
        <v>19800107ARSTS</v>
      </c>
      <c r="B1945" s="5" t="str">
        <f ca="1">IFERROR(__xludf.DUMMYFUNCTION("""COMPUTED_VALUE"""),"Handgun")</f>
        <v>Handgun</v>
      </c>
      <c r="C1945" s="5" t="str">
        <f ca="1">IFERROR(__xludf.DUMMYFUNCTION("""COMPUTED_VALUE"""),".22 caliber")</f>
        <v>.22 caliber</v>
      </c>
      <c r="D1945" s="5"/>
    </row>
    <row r="1946" spans="1:4">
      <c r="A1946" s="5" t="str">
        <f ca="1">IFERROR(__xludf.DUMMYFUNCTION("""COMPUTED_VALUE"""),"19791221MOBLS")</f>
        <v>19791221MOBLS</v>
      </c>
      <c r="B1946" s="5" t="str">
        <f ca="1">IFERROR(__xludf.DUMMYFUNCTION("""COMPUTED_VALUE"""),"Handgun")</f>
        <v>Handgun</v>
      </c>
      <c r="C1946" s="5" t="str">
        <f ca="1">IFERROR(__xludf.DUMMYFUNCTION("""COMPUTED_VALUE"""),"Unknown")</f>
        <v>Unknown</v>
      </c>
      <c r="D1946" s="5"/>
    </row>
    <row r="1947" spans="1:4">
      <c r="A1947" s="5" t="str">
        <f ca="1">IFERROR(__xludf.DUMMYFUNCTION("""COMPUTED_VALUE"""),"19791203MDEAB")</f>
        <v>19791203MDEAB</v>
      </c>
      <c r="B1947" s="5" t="str">
        <f ca="1">IFERROR(__xludf.DUMMYFUNCTION("""COMPUTED_VALUE"""),"Handgun")</f>
        <v>Handgun</v>
      </c>
      <c r="C1947" s="5" t="str">
        <f ca="1">IFERROR(__xludf.DUMMYFUNCTION("""COMPUTED_VALUE"""),".25 caliber")</f>
        <v>.25 caliber</v>
      </c>
      <c r="D1947" s="5"/>
    </row>
    <row r="1948" spans="1:4">
      <c r="A1948" s="5" t="str">
        <f ca="1">IFERROR(__xludf.DUMMYFUNCTION("""COMPUTED_VALUE"""),"19791130TXUNL")</f>
        <v>19791130TXUNL</v>
      </c>
      <c r="B1948" s="5" t="str">
        <f ca="1">IFERROR(__xludf.DUMMYFUNCTION("""COMPUTED_VALUE"""),"Handgun")</f>
        <v>Handgun</v>
      </c>
      <c r="C1948" s="5" t="str">
        <f ca="1">IFERROR(__xludf.DUMMYFUNCTION("""COMPUTED_VALUE"""),".22 caliber")</f>
        <v>.22 caliber</v>
      </c>
      <c r="D1948" s="5"/>
    </row>
    <row r="1949" spans="1:4">
      <c r="A1949" s="5" t="str">
        <f ca="1">IFERROR(__xludf.DUMMYFUNCTION("""COMPUTED_VALUE"""),"19791105INWAI")</f>
        <v>19791105INWAI</v>
      </c>
      <c r="B1949" s="5" t="str">
        <f ca="1">IFERROR(__xludf.DUMMYFUNCTION("""COMPUTED_VALUE"""),"Handgun")</f>
        <v>Handgun</v>
      </c>
      <c r="C1949" s="5" t="str">
        <f ca="1">IFERROR(__xludf.DUMMYFUNCTION("""COMPUTED_VALUE"""),"Unknown")</f>
        <v>Unknown</v>
      </c>
      <c r="D1949" s="5"/>
    </row>
    <row r="1950" spans="1:4">
      <c r="A1950" s="5" t="str">
        <f ca="1">IFERROR(__xludf.DUMMYFUNCTION("""COMPUTED_VALUE"""),"19791023MOOFS")</f>
        <v>19791023MOOFS</v>
      </c>
      <c r="B1950" s="5" t="str">
        <f ca="1">IFERROR(__xludf.DUMMYFUNCTION("""COMPUTED_VALUE"""),"Handgun")</f>
        <v>Handgun</v>
      </c>
      <c r="C1950" s="5" t="str">
        <f ca="1">IFERROR(__xludf.DUMMYFUNCTION("""COMPUTED_VALUE"""),"Unknown")</f>
        <v>Unknown</v>
      </c>
      <c r="D1950" s="5"/>
    </row>
    <row r="1951" spans="1:4">
      <c r="A1951" s="5" t="str">
        <f ca="1">IFERROR(__xludf.DUMMYFUNCTION("""COMPUTED_VALUE"""),"19790928MACHC")</f>
        <v>19790928MACHC</v>
      </c>
      <c r="B1951" s="5" t="str">
        <f ca="1">IFERROR(__xludf.DUMMYFUNCTION("""COMPUTED_VALUE"""),"Rifle")</f>
        <v>Rifle</v>
      </c>
      <c r="C1951" s="5" t="str">
        <f ca="1">IFERROR(__xludf.DUMMYFUNCTION("""COMPUTED_VALUE"""),"Unknown")</f>
        <v>Unknown</v>
      </c>
      <c r="D1951" s="5"/>
    </row>
    <row r="1952" spans="1:4">
      <c r="A1952" s="5" t="str">
        <f ca="1">IFERROR(__xludf.DUMMYFUNCTION("""COMPUTED_VALUE"""),"19790926LACAN")</f>
        <v>19790926LACAN</v>
      </c>
      <c r="B1952" s="5" t="str">
        <f ca="1">IFERROR(__xludf.DUMMYFUNCTION("""COMPUTED_VALUE"""),"Handgun")</f>
        <v>Handgun</v>
      </c>
      <c r="C1952" s="5" t="str">
        <f ca="1">IFERROR(__xludf.DUMMYFUNCTION("""COMPUTED_VALUE"""),".38 caliber")</f>
        <v>.38 caliber</v>
      </c>
      <c r="D1952" s="5"/>
    </row>
    <row r="1953" spans="1:4">
      <c r="A1953" s="5" t="str">
        <f ca="1">IFERROR(__xludf.DUMMYFUNCTION("""COMPUTED_VALUE"""),"19790614OHNEN")</f>
        <v>19790614OHNEN</v>
      </c>
      <c r="B1953" s="5" t="str">
        <f ca="1">IFERROR(__xludf.DUMMYFUNCTION("""COMPUTED_VALUE"""),"Handgun")</f>
        <v>Handgun</v>
      </c>
      <c r="C1953" s="5" t="str">
        <f ca="1">IFERROR(__xludf.DUMMYFUNCTION("""COMPUTED_VALUE"""),".22 caliber")</f>
        <v>.22 caliber</v>
      </c>
      <c r="D1953" s="5"/>
    </row>
    <row r="1954" spans="1:4">
      <c r="A1954" s="5" t="str">
        <f ca="1">IFERROR(__xludf.DUMMYFUNCTION("""COMPUTED_VALUE"""),"19790426TXAZA")</f>
        <v>19790426TXAZA</v>
      </c>
      <c r="B1954" s="5" t="str">
        <f ca="1">IFERROR(__xludf.DUMMYFUNCTION("""COMPUTED_VALUE"""),"Handgun")</f>
        <v>Handgun</v>
      </c>
      <c r="C1954" s="5" t="str">
        <f ca="1">IFERROR(__xludf.DUMMYFUNCTION("""COMPUTED_VALUE"""),".22 caliber")</f>
        <v>.22 caliber</v>
      </c>
      <c r="D1954" s="5"/>
    </row>
    <row r="1955" spans="1:4">
      <c r="A1955" s="5" t="str">
        <f ca="1">IFERROR(__xludf.DUMMYFUNCTION("""COMPUTED_VALUE"""),"19790425PAMAH")</f>
        <v>19790425PAMAH</v>
      </c>
      <c r="B1955" s="5" t="str">
        <f ca="1">IFERROR(__xludf.DUMMYFUNCTION("""COMPUTED_VALUE"""),"Rifle")</f>
        <v>Rifle</v>
      </c>
      <c r="C1955" s="5" t="str">
        <f ca="1">IFERROR(__xludf.DUMMYFUNCTION("""COMPUTED_VALUE"""),"Unknown")</f>
        <v>Unknown</v>
      </c>
      <c r="D1955" s="5"/>
    </row>
    <row r="1956" spans="1:4">
      <c r="A1956" s="5" t="str">
        <f ca="1">IFERROR(__xludf.DUMMYFUNCTION("""COMPUTED_VALUE"""),"19790416WIWIM")</f>
        <v>19790416WIWIM</v>
      </c>
      <c r="B1956" s="5" t="str">
        <f ca="1">IFERROR(__xludf.DUMMYFUNCTION("""COMPUTED_VALUE"""),"Shotgun")</f>
        <v>Shotgun</v>
      </c>
      <c r="C1956" s="5" t="str">
        <f ca="1">IFERROR(__xludf.DUMMYFUNCTION("""COMPUTED_VALUE"""),"Unknown")</f>
        <v>Unknown</v>
      </c>
      <c r="D1956" s="5"/>
    </row>
    <row r="1957" spans="1:4">
      <c r="A1957" s="5" t="str">
        <f ca="1">IFERROR(__xludf.DUMMYFUNCTION("""COMPUTED_VALUE"""),"19790328CALOL")</f>
        <v>19790328CALOL</v>
      </c>
      <c r="B1957" s="5" t="str">
        <f ca="1">IFERROR(__xludf.DUMMYFUNCTION("""COMPUTED_VALUE"""),"Handgun")</f>
        <v>Handgun</v>
      </c>
      <c r="C1957" s="5" t="str">
        <f ca="1">IFERROR(__xludf.DUMMYFUNCTION("""COMPUTED_VALUE"""),"Unknown")</f>
        <v>Unknown</v>
      </c>
      <c r="D1957" s="5"/>
    </row>
    <row r="1958" spans="1:4">
      <c r="A1958" s="5" t="str">
        <f ca="1">IFERROR(__xludf.DUMMYFUNCTION("""COMPUTED_VALUE"""),"19790314FLMCM")</f>
        <v>19790314FLMCM</v>
      </c>
      <c r="B1958" s="5" t="str">
        <f ca="1">IFERROR(__xludf.DUMMYFUNCTION("""COMPUTED_VALUE"""),"Handgun")</f>
        <v>Handgun</v>
      </c>
      <c r="C1958" s="5" t="str">
        <f ca="1">IFERROR(__xludf.DUMMYFUNCTION("""COMPUTED_VALUE"""),"Unknown")</f>
        <v>Unknown</v>
      </c>
      <c r="D1958" s="5"/>
    </row>
    <row r="1959" spans="1:4">
      <c r="A1959" s="5" t="str">
        <f ca="1">IFERROR(__xludf.DUMMYFUNCTION("""COMPUTED_VALUE"""),"19790226CABAB")</f>
        <v>19790226CABAB</v>
      </c>
      <c r="B1959" s="5" t="str">
        <f ca="1">IFERROR(__xludf.DUMMYFUNCTION("""COMPUTED_VALUE"""),"Handgun")</f>
        <v>Handgun</v>
      </c>
      <c r="C1959" s="5"/>
      <c r="D1959" s="5" t="str">
        <f ca="1">IFERROR(__xludf.DUMMYFUNCTION("""COMPUTED_VALUE"""),"Pistol")</f>
        <v>Pistol</v>
      </c>
    </row>
    <row r="1960" spans="1:4">
      <c r="A1960" s="5" t="str">
        <f ca="1">IFERROR(__xludf.DUMMYFUNCTION("""COMPUTED_VALUE"""),"19790129CAGRS")</f>
        <v>19790129CAGRS</v>
      </c>
      <c r="B1960" s="5" t="str">
        <f ca="1">IFERROR(__xludf.DUMMYFUNCTION("""COMPUTED_VALUE"""),"Rifle")</f>
        <v>Rifle</v>
      </c>
      <c r="C1960" s="5" t="str">
        <f ca="1">IFERROR(__xludf.DUMMYFUNCTION("""COMPUTED_VALUE"""),".22 caliber")</f>
        <v>.22 caliber</v>
      </c>
      <c r="D1960" s="5"/>
    </row>
    <row r="1961" spans="1:4">
      <c r="A1961" s="5" t="str">
        <f ca="1">IFERROR(__xludf.DUMMYFUNCTION("""COMPUTED_VALUE"""),"19781214CTWIN")</f>
        <v>19781214CTWIN</v>
      </c>
      <c r="B1961" s="5" t="str">
        <f ca="1">IFERROR(__xludf.DUMMYFUNCTION("""COMPUTED_VALUE"""),"Handgun")</f>
        <v>Handgun</v>
      </c>
      <c r="C1961" s="5" t="str">
        <f ca="1">IFERROR(__xludf.DUMMYFUNCTION("""COMPUTED_VALUE"""),"Unknown")</f>
        <v>Unknown</v>
      </c>
      <c r="D1961" s="5"/>
    </row>
    <row r="1962" spans="1:4">
      <c r="A1962" s="5" t="str">
        <f ca="1">IFERROR(__xludf.DUMMYFUNCTION("""COMPUTED_VALUE"""),"19781129NYPAN")</f>
        <v>19781129NYPAN</v>
      </c>
      <c r="B1962" s="5" t="str">
        <f ca="1">IFERROR(__xludf.DUMMYFUNCTION("""COMPUTED_VALUE"""),"Handgun")</f>
        <v>Handgun</v>
      </c>
      <c r="C1962" s="5" t="str">
        <f ca="1">IFERROR(__xludf.DUMMYFUNCTION("""COMPUTED_VALUE"""),".22 caliber")</f>
        <v>.22 caliber</v>
      </c>
      <c r="D1962" s="5"/>
    </row>
    <row r="1963" spans="1:4">
      <c r="A1963" s="5" t="str">
        <f ca="1">IFERROR(__xludf.DUMMYFUNCTION("""COMPUTED_VALUE"""),"19781017MOUNU")</f>
        <v>19781017MOUNU</v>
      </c>
      <c r="B1963" s="5" t="str">
        <f ca="1">IFERROR(__xludf.DUMMYFUNCTION("""COMPUTED_VALUE"""),"Handgun")</f>
        <v>Handgun</v>
      </c>
      <c r="C1963" s="5" t="str">
        <f ca="1">IFERROR(__xludf.DUMMYFUNCTION("""COMPUTED_VALUE"""),"Unknown")</f>
        <v>Unknown</v>
      </c>
      <c r="D1963" s="5"/>
    </row>
    <row r="1964" spans="1:4">
      <c r="A1964" s="5" t="str">
        <f ca="1">IFERROR(__xludf.DUMMYFUNCTION("""COMPUTED_VALUE"""),"19781017ALLAL")</f>
        <v>19781017ALLAL</v>
      </c>
      <c r="B1964" s="5" t="str">
        <f ca="1">IFERROR(__xludf.DUMMYFUNCTION("""COMPUTED_VALUE"""),"Handgun")</f>
        <v>Handgun</v>
      </c>
      <c r="C1964" s="5" t="str">
        <f ca="1">IFERROR(__xludf.DUMMYFUNCTION("""COMPUTED_VALUE"""),".22 caliber")</f>
        <v>.22 caliber</v>
      </c>
      <c r="D1964" s="5"/>
    </row>
    <row r="1965" spans="1:4">
      <c r="A1965" s="5" t="str">
        <f ca="1">IFERROR(__xludf.DUMMYFUNCTION("""COMPUTED_VALUE"""),"19780610MAWEW")</f>
        <v>19780610MAWEW</v>
      </c>
      <c r="B1965" s="5" t="str">
        <f ca="1">IFERROR(__xludf.DUMMYFUNCTION("""COMPUTED_VALUE"""),"Handgun")</f>
        <v>Handgun</v>
      </c>
      <c r="C1965" s="5" t="str">
        <f ca="1">IFERROR(__xludf.DUMMYFUNCTION("""COMPUTED_VALUE"""),".22 caliber")</f>
        <v>.22 caliber</v>
      </c>
      <c r="D1965" s="5"/>
    </row>
    <row r="1966" spans="1:4">
      <c r="A1966" s="5" t="str">
        <f ca="1">IFERROR(__xludf.DUMMYFUNCTION("""COMPUTED_VALUE"""),"19780607DEDOD")</f>
        <v>19780607DEDOD</v>
      </c>
      <c r="B1966" s="5" t="str">
        <f ca="1">IFERROR(__xludf.DUMMYFUNCTION("""COMPUTED_VALUE"""),"Handgun")</f>
        <v>Handgun</v>
      </c>
      <c r="C1966" s="5" t="str">
        <f ca="1">IFERROR(__xludf.DUMMYFUNCTION("""COMPUTED_VALUE"""),"Unknown")</f>
        <v>Unknown</v>
      </c>
      <c r="D1966" s="5"/>
    </row>
    <row r="1967" spans="1:4">
      <c r="A1967" s="5" t="str">
        <f ca="1">IFERROR(__xludf.DUMMYFUNCTION("""COMPUTED_VALUE"""),"19780519PADOP")</f>
        <v>19780519PADOP</v>
      </c>
      <c r="B1967" s="5" t="str">
        <f ca="1">IFERROR(__xludf.DUMMYFUNCTION("""COMPUTED_VALUE"""),"Multiple Rifles")</f>
        <v>Multiple Rifles</v>
      </c>
      <c r="C1967" s="5" t="str">
        <f ca="1">IFERROR(__xludf.DUMMYFUNCTION("""COMPUTED_VALUE"""),"Unknown")</f>
        <v>Unknown</v>
      </c>
      <c r="D1967" s="5"/>
    </row>
    <row r="1968" spans="1:4">
      <c r="A1968" s="5" t="str">
        <f ca="1">IFERROR(__xludf.DUMMYFUNCTION("""COMPUTED_VALUE"""),"19780518TXMUA")</f>
        <v>19780518TXMUA</v>
      </c>
      <c r="B1968" s="5" t="str">
        <f ca="1">IFERROR(__xludf.DUMMYFUNCTION("""COMPUTED_VALUE"""),"Rifle")</f>
        <v>Rifle</v>
      </c>
      <c r="C1968" s="5" t="str">
        <f ca="1">IFERROR(__xludf.DUMMYFUNCTION("""COMPUTED_VALUE"""),".22 caliber")</f>
        <v>.22 caliber</v>
      </c>
      <c r="D1968" s="5"/>
    </row>
    <row r="1969" spans="1:4">
      <c r="A1969" s="5" t="str">
        <f ca="1">IFERROR(__xludf.DUMMYFUNCTION("""COMPUTED_VALUE"""),"19780428ILRIN")</f>
        <v>19780428ILRIN</v>
      </c>
      <c r="B1969" s="5" t="str">
        <f ca="1">IFERROR(__xludf.DUMMYFUNCTION("""COMPUTED_VALUE"""),"Handgun")</f>
        <v>Handgun</v>
      </c>
      <c r="C1969" s="5" t="str">
        <f ca="1">IFERROR(__xludf.DUMMYFUNCTION("""COMPUTED_VALUE"""),"Unknown")</f>
        <v>Unknown</v>
      </c>
      <c r="D1969" s="5"/>
    </row>
    <row r="1970" spans="1:4">
      <c r="A1970" s="5" t="str">
        <f ca="1">IFERROR(__xludf.DUMMYFUNCTION("""COMPUTED_VALUE"""),"19780426TXPAD")</f>
        <v>19780426TXPAD</v>
      </c>
      <c r="B1970" s="5" t="str">
        <f ca="1">IFERROR(__xludf.DUMMYFUNCTION("""COMPUTED_VALUE"""),"Handgun")</f>
        <v>Handgun</v>
      </c>
      <c r="C1970" s="5" t="str">
        <f ca="1">IFERROR(__xludf.DUMMYFUNCTION("""COMPUTED_VALUE"""),".38 caliber")</f>
        <v>.38 caliber</v>
      </c>
      <c r="D1970" s="5"/>
    </row>
    <row r="1971" spans="1:4">
      <c r="A1971" s="5" t="str">
        <f ca="1">IFERROR(__xludf.DUMMYFUNCTION("""COMPUTED_VALUE"""),"19780414MIFOD")</f>
        <v>19780414MIFOD</v>
      </c>
      <c r="B1971" s="5" t="str">
        <f ca="1">IFERROR(__xludf.DUMMYFUNCTION("""COMPUTED_VALUE"""),"Handgun")</f>
        <v>Handgun</v>
      </c>
      <c r="C1971" s="5" t="str">
        <f ca="1">IFERROR(__xludf.DUMMYFUNCTION("""COMPUTED_VALUE"""),"Unknown")</f>
        <v>Unknown</v>
      </c>
      <c r="D1971" s="5"/>
    </row>
    <row r="1972" spans="1:4">
      <c r="A1972" s="5" t="str">
        <f ca="1">IFERROR(__xludf.DUMMYFUNCTION("""COMPUTED_VALUE"""),"19780329TNGAN")</f>
        <v>19780329TNGAN</v>
      </c>
      <c r="B1972" s="5" t="str">
        <f ca="1">IFERROR(__xludf.DUMMYFUNCTION("""COMPUTED_VALUE"""),"Handgun")</f>
        <v>Handgun</v>
      </c>
      <c r="C1972" s="5" t="str">
        <f ca="1">IFERROR(__xludf.DUMMYFUNCTION("""COMPUTED_VALUE"""),"Unknown")</f>
        <v>Unknown</v>
      </c>
      <c r="D1972" s="5"/>
    </row>
    <row r="1973" spans="1:4">
      <c r="A1973" s="5" t="str">
        <f ca="1">IFERROR(__xludf.DUMMYFUNCTION("""COMPUTED_VALUE"""),"19780309CAMOS")</f>
        <v>19780309CAMOS</v>
      </c>
      <c r="B1973" s="5" t="str">
        <f ca="1">IFERROR(__xludf.DUMMYFUNCTION("""COMPUTED_VALUE"""),"Rifle")</f>
        <v>Rifle</v>
      </c>
      <c r="C1973" s="5" t="str">
        <f ca="1">IFERROR(__xludf.DUMMYFUNCTION("""COMPUTED_VALUE"""),".22 caliber")</f>
        <v>.22 caliber</v>
      </c>
      <c r="D1973" s="5"/>
    </row>
    <row r="1974" spans="1:4">
      <c r="A1974" s="5" t="str">
        <f ca="1">IFERROR(__xludf.DUMMYFUNCTION("""COMPUTED_VALUE"""),"19780222MIEVL")</f>
        <v>19780222MIEVL</v>
      </c>
      <c r="B1974" s="5" t="str">
        <f ca="1">IFERROR(__xludf.DUMMYFUNCTION("""COMPUTED_VALUE"""),"Handgun")</f>
        <v>Handgun</v>
      </c>
      <c r="C1974" s="5" t="str">
        <f ca="1">IFERROR(__xludf.DUMMYFUNCTION("""COMPUTED_VALUE"""),".22 caliber")</f>
        <v>.22 caliber</v>
      </c>
      <c r="D1974" s="5"/>
    </row>
    <row r="1975" spans="1:4">
      <c r="A1975" s="5" t="str">
        <f ca="1">IFERROR(__xludf.DUMMYFUNCTION("""COMPUTED_VALUE"""),"19780209WVHAS")</f>
        <v>19780209WVHAS</v>
      </c>
      <c r="B1975" s="5" t="str">
        <f ca="1">IFERROR(__xludf.DUMMYFUNCTION("""COMPUTED_VALUE"""),"Handgun")</f>
        <v>Handgun</v>
      </c>
      <c r="C1975" s="5" t="str">
        <f ca="1">IFERROR(__xludf.DUMMYFUNCTION("""COMPUTED_VALUE"""),".22 caliber")</f>
        <v>.22 caliber</v>
      </c>
      <c r="D1975" s="5"/>
    </row>
    <row r="1976" spans="1:4">
      <c r="A1976" s="5" t="str">
        <f ca="1">IFERROR(__xludf.DUMMYFUNCTION("""COMPUTED_VALUE"""),"19780111KYCHH")</f>
        <v>19780111KYCHH</v>
      </c>
      <c r="B1976" s="5" t="str">
        <f ca="1">IFERROR(__xludf.DUMMYFUNCTION("""COMPUTED_VALUE"""),"Handgun")</f>
        <v>Handgun</v>
      </c>
      <c r="C1976" s="5" t="str">
        <f ca="1">IFERROR(__xludf.DUMMYFUNCTION("""COMPUTED_VALUE"""),".32 caliber")</f>
        <v>.32 caliber</v>
      </c>
      <c r="D1976" s="5"/>
    </row>
    <row r="1977" spans="1:4">
      <c r="A1977" s="5" t="str">
        <f ca="1">IFERROR(__xludf.DUMMYFUNCTION("""COMPUTED_VALUE"""),"19771215MABLC")</f>
        <v>19771215MABLC</v>
      </c>
      <c r="B1977" s="5" t="str">
        <f ca="1">IFERROR(__xludf.DUMMYFUNCTION("""COMPUTED_VALUE"""),"No Data")</f>
        <v>No Data</v>
      </c>
      <c r="C1977" s="5"/>
      <c r="D1977" s="5"/>
    </row>
    <row r="1978" spans="1:4">
      <c r="A1978" s="5" t="str">
        <f ca="1">IFERROR(__xludf.DUMMYFUNCTION("""COMPUTED_VALUE"""),"19771212FLWEW")</f>
        <v>19771212FLWEW</v>
      </c>
      <c r="B1978" s="5" t="str">
        <f ca="1">IFERROR(__xludf.DUMMYFUNCTION("""COMPUTED_VALUE"""),"Handgun")</f>
        <v>Handgun</v>
      </c>
      <c r="C1978" s="5" t="str">
        <f ca="1">IFERROR(__xludf.DUMMYFUNCTION("""COMPUTED_VALUE"""),"Unknown")</f>
        <v>Unknown</v>
      </c>
      <c r="D1978" s="5"/>
    </row>
    <row r="1979" spans="1:4">
      <c r="A1979" s="5" t="str">
        <f ca="1">IFERROR(__xludf.DUMMYFUNCTION("""COMPUTED_VALUE"""),"19771209CAPES")</f>
        <v>19771209CAPES</v>
      </c>
      <c r="B1979" s="5" t="str">
        <f ca="1">IFERROR(__xludf.DUMMYFUNCTION("""COMPUTED_VALUE"""),"Handgun")</f>
        <v>Handgun</v>
      </c>
      <c r="C1979" s="5" t="str">
        <f ca="1">IFERROR(__xludf.DUMMYFUNCTION("""COMPUTED_VALUE"""),".22 caliber")</f>
        <v>.22 caliber</v>
      </c>
      <c r="D1979" s="5"/>
    </row>
    <row r="1980" spans="1:4">
      <c r="A1980" s="5" t="str">
        <f ca="1">IFERROR(__xludf.DUMMYFUNCTION("""COMPUTED_VALUE"""),"19771129MOVAS")</f>
        <v>19771129MOVAS</v>
      </c>
      <c r="B1980" s="5" t="str">
        <f ca="1">IFERROR(__xludf.DUMMYFUNCTION("""COMPUTED_VALUE"""),"No Data")</f>
        <v>No Data</v>
      </c>
      <c r="C1980" s="5"/>
      <c r="D1980" s="5"/>
    </row>
    <row r="1981" spans="1:4">
      <c r="A1981" s="5" t="str">
        <f ca="1">IFERROR(__xludf.DUMMYFUNCTION("""COMPUTED_VALUE"""),"19771129MOHAS")</f>
        <v>19771129MOHAS</v>
      </c>
      <c r="B1981" s="5" t="str">
        <f ca="1">IFERROR(__xludf.DUMMYFUNCTION("""COMPUTED_VALUE"""),"Rifle")</f>
        <v>Rifle</v>
      </c>
      <c r="C1981" s="5" t="str">
        <f ca="1">IFERROR(__xludf.DUMMYFUNCTION("""COMPUTED_VALUE"""),".22 caliber")</f>
        <v>.22 caliber</v>
      </c>
      <c r="D1981" s="5"/>
    </row>
    <row r="1982" spans="1:4">
      <c r="A1982" s="5" t="str">
        <f ca="1">IFERROR(__xludf.DUMMYFUNCTION("""COMPUTED_VALUE"""),"19770711COSOC")</f>
        <v>19770711COSOC</v>
      </c>
      <c r="B1982" s="5" t="str">
        <f ca="1">IFERROR(__xludf.DUMMYFUNCTION("""COMPUTED_VALUE"""),"Handgun")</f>
        <v>Handgun</v>
      </c>
      <c r="C1982" s="5" t="str">
        <f ca="1">IFERROR(__xludf.DUMMYFUNCTION("""COMPUTED_VALUE"""),".32 caliber")</f>
        <v>.32 caliber</v>
      </c>
      <c r="D1982" s="5"/>
    </row>
    <row r="1983" spans="1:4">
      <c r="A1983" s="5" t="str">
        <f ca="1">IFERROR(__xludf.DUMMYFUNCTION("""COMPUTED_VALUE"""),"19770622ILHOC")</f>
        <v>19770622ILHOC</v>
      </c>
      <c r="B1983" s="5" t="str">
        <f ca="1">IFERROR(__xludf.DUMMYFUNCTION("""COMPUTED_VALUE"""),"No Data")</f>
        <v>No Data</v>
      </c>
      <c r="C1983" s="5"/>
      <c r="D1983" s="5"/>
    </row>
    <row r="1984" spans="1:4">
      <c r="A1984" s="5" t="str">
        <f ca="1">IFERROR(__xludf.DUMMYFUNCTION("""COMPUTED_VALUE"""),"19770517FLSTC")</f>
        <v>19770517FLSTC</v>
      </c>
      <c r="B1984" s="5" t="str">
        <f ca="1">IFERROR(__xludf.DUMMYFUNCTION("""COMPUTED_VALUE"""),"Rifle")</f>
        <v>Rifle</v>
      </c>
      <c r="C1984" s="5" t="str">
        <f ca="1">IFERROR(__xludf.DUMMYFUNCTION("""COMPUTED_VALUE"""),".22 caliber")</f>
        <v>.22 caliber</v>
      </c>
      <c r="D1984" s="5"/>
    </row>
    <row r="1985" spans="1:4">
      <c r="A1985" s="5" t="str">
        <f ca="1">IFERROR(__xludf.DUMMYFUNCTION("""COMPUTED_VALUE"""),"19770418TNPIN")</f>
        <v>19770418TNPIN</v>
      </c>
      <c r="B1985" s="5" t="str">
        <f ca="1">IFERROR(__xludf.DUMMYFUNCTION("""COMPUTED_VALUE"""),"Handgun")</f>
        <v>Handgun</v>
      </c>
      <c r="C1985" s="5" t="str">
        <f ca="1">IFERROR(__xludf.DUMMYFUNCTION("""COMPUTED_VALUE"""),"Unknown")</f>
        <v>Unknown</v>
      </c>
      <c r="D1985" s="5"/>
    </row>
    <row r="1986" spans="1:4">
      <c r="A1986" s="5" t="str">
        <f ca="1">IFERROR(__xludf.DUMMYFUNCTION("""COMPUTED_VALUE"""),"19770407TXWHW")</f>
        <v>19770407TXWHW</v>
      </c>
      <c r="B1986" s="5" t="str">
        <f ca="1">IFERROR(__xludf.DUMMYFUNCTION("""COMPUTED_VALUE"""),"Handgun")</f>
        <v>Handgun</v>
      </c>
      <c r="C1986" s="5" t="str">
        <f ca="1">IFERROR(__xludf.DUMMYFUNCTION("""COMPUTED_VALUE"""),".38 caliber")</f>
        <v>.38 caliber</v>
      </c>
      <c r="D1986" s="5"/>
    </row>
    <row r="1987" spans="1:4">
      <c r="A1987" s="5" t="str">
        <f ca="1">IFERROR(__xludf.DUMMYFUNCTION("""COMPUTED_VALUE"""),"19770321NYPAH")</f>
        <v>19770321NYPAH</v>
      </c>
      <c r="B1987" s="5" t="str">
        <f ca="1">IFERROR(__xludf.DUMMYFUNCTION("""COMPUTED_VALUE"""),"Rifle")</f>
        <v>Rifle</v>
      </c>
      <c r="C1987" s="5" t="str">
        <f ca="1">IFERROR(__xludf.DUMMYFUNCTION("""COMPUTED_VALUE"""),".22 caliber")</f>
        <v>.22 caliber</v>
      </c>
      <c r="D1987" s="5"/>
    </row>
    <row r="1988" spans="1:4">
      <c r="A1988" s="5" t="str">
        <f ca="1">IFERROR(__xludf.DUMMYFUNCTION("""COMPUTED_VALUE"""),"19770308ILCOE")</f>
        <v>19770308ILCOE</v>
      </c>
      <c r="B1988" s="5" t="str">
        <f ca="1">IFERROR(__xludf.DUMMYFUNCTION("""COMPUTED_VALUE"""),"Handgun")</f>
        <v>Handgun</v>
      </c>
      <c r="C1988" s="5" t="str">
        <f ca="1">IFERROR(__xludf.DUMMYFUNCTION("""COMPUTED_VALUE"""),".25 caliber")</f>
        <v>.25 caliber</v>
      </c>
      <c r="D1988" s="5"/>
    </row>
    <row r="1989" spans="1:4">
      <c r="A1989" s="5" t="str">
        <f ca="1">IFERROR(__xludf.DUMMYFUNCTION("""COMPUTED_VALUE"""),"19770228TXHOA")</f>
        <v>19770228TXHOA</v>
      </c>
      <c r="B1989" s="5" t="str">
        <f ca="1">IFERROR(__xludf.DUMMYFUNCTION("""COMPUTED_VALUE"""),"Handgun")</f>
        <v>Handgun</v>
      </c>
      <c r="C1989" s="5" t="str">
        <f ca="1">IFERROR(__xludf.DUMMYFUNCTION("""COMPUTED_VALUE"""),"Unknown")</f>
        <v>Unknown</v>
      </c>
      <c r="D1989" s="5"/>
    </row>
    <row r="1990" spans="1:4">
      <c r="A1990" s="5" t="str">
        <f ca="1">IFERROR(__xludf.DUMMYFUNCTION("""COMPUTED_VALUE"""),"19770228MOROS")</f>
        <v>19770228MOROS</v>
      </c>
      <c r="B1990" s="5" t="str">
        <f ca="1">IFERROR(__xludf.DUMMYFUNCTION("""COMPUTED_VALUE"""),"No Data")</f>
        <v>No Data</v>
      </c>
      <c r="C1990" s="5"/>
      <c r="D1990" s="5"/>
    </row>
    <row r="1991" spans="1:4">
      <c r="A1991" s="5" t="str">
        <f ca="1">IFERROR(__xludf.DUMMYFUNCTION("""COMPUTED_VALUE"""),"19770209ILFEC")</f>
        <v>19770209ILFEC</v>
      </c>
      <c r="B1991" s="5" t="str">
        <f ca="1">IFERROR(__xludf.DUMMYFUNCTION("""COMPUTED_VALUE"""),"Handgun")</f>
        <v>Handgun</v>
      </c>
      <c r="C1991" s="5" t="str">
        <f ca="1">IFERROR(__xludf.DUMMYFUNCTION("""COMPUTED_VALUE"""),"Unknown")</f>
        <v>Unknown</v>
      </c>
      <c r="D1991" s="5"/>
    </row>
    <row r="1992" spans="1:4">
      <c r="A1992" s="5" t="str">
        <f ca="1">IFERROR(__xludf.DUMMYFUNCTION("""COMPUTED_VALUE"""),"19770113ILOLB")</f>
        <v>19770113ILOLB</v>
      </c>
      <c r="B1992" s="5" t="str">
        <f ca="1">IFERROR(__xludf.DUMMYFUNCTION("""COMPUTED_VALUE"""),"Handgun")</f>
        <v>Handgun</v>
      </c>
      <c r="C1992" s="5" t="str">
        <f ca="1">IFERROR(__xludf.DUMMYFUNCTION("""COMPUTED_VALUE"""),"Unknown")</f>
        <v>Unknown</v>
      </c>
      <c r="D1992" s="5"/>
    </row>
    <row r="1993" spans="1:4">
      <c r="A1993" s="5" t="str">
        <f ca="1">IFERROR(__xludf.DUMMYFUNCTION("""COMPUTED_VALUE"""),"19761210MOFRS")</f>
        <v>19761210MOFRS</v>
      </c>
      <c r="B1993" s="5" t="str">
        <f ca="1">IFERROR(__xludf.DUMMYFUNCTION("""COMPUTED_VALUE"""),"Handgun")</f>
        <v>Handgun</v>
      </c>
      <c r="C1993" s="5" t="str">
        <f ca="1">IFERROR(__xludf.DUMMYFUNCTION("""COMPUTED_VALUE"""),".38 caliber")</f>
        <v>.38 caliber</v>
      </c>
      <c r="D1993" s="5"/>
    </row>
    <row r="1994" spans="1:4">
      <c r="A1994" s="5" t="str">
        <f ca="1">IFERROR(__xludf.DUMMYFUNCTION("""COMPUTED_VALUE"""),"19761110MIBUD")</f>
        <v>19761110MIBUD</v>
      </c>
      <c r="B1994" s="5" t="str">
        <f ca="1">IFERROR(__xludf.DUMMYFUNCTION("""COMPUTED_VALUE"""),"Handgun")</f>
        <v>Handgun</v>
      </c>
      <c r="C1994" s="5" t="str">
        <f ca="1">IFERROR(__xludf.DUMMYFUNCTION("""COMPUTED_VALUE"""),"Unknown")</f>
        <v>Unknown</v>
      </c>
      <c r="D1994" s="5"/>
    </row>
    <row r="1995" spans="1:4">
      <c r="A1995" s="5" t="str">
        <f ca="1">IFERROR(__xludf.DUMMYFUNCTION("""COMPUTED_VALUE"""),"19760920NCGUG")</f>
        <v>19760920NCGUG</v>
      </c>
      <c r="B1995" s="5" t="str">
        <f ca="1">IFERROR(__xludf.DUMMYFUNCTION("""COMPUTED_VALUE"""),"Shotgun")</f>
        <v>Shotgun</v>
      </c>
      <c r="C1995" s="5" t="str">
        <f ca="1">IFERROR(__xludf.DUMMYFUNCTION("""COMPUTED_VALUE"""),"Unknown")</f>
        <v>Unknown</v>
      </c>
      <c r="D1995" s="5"/>
    </row>
    <row r="1996" spans="1:4">
      <c r="A1996" s="5" t="str">
        <f ca="1">IFERROR(__xludf.DUMMYFUNCTION("""COMPUTED_VALUE"""),"19760602MDMTC")</f>
        <v>19760602MDMTC</v>
      </c>
      <c r="B1996" s="5" t="str">
        <f ca="1">IFERROR(__xludf.DUMMYFUNCTION("""COMPUTED_VALUE"""),"No Data")</f>
        <v>No Data</v>
      </c>
      <c r="C1996" s="5"/>
      <c r="D1996" s="5"/>
    </row>
    <row r="1997" spans="1:4">
      <c r="A1997" s="5" t="str">
        <f ca="1">IFERROR(__xludf.DUMMYFUNCTION("""COMPUTED_VALUE"""),"19760514FLPAW")</f>
        <v>19760514FLPAW</v>
      </c>
      <c r="B1997" s="5" t="str">
        <f ca="1">IFERROR(__xludf.DUMMYFUNCTION("""COMPUTED_VALUE"""),"Handgun")</f>
        <v>Handgun</v>
      </c>
      <c r="C1997" s="5" t="str">
        <f ca="1">IFERROR(__xludf.DUMMYFUNCTION("""COMPUTED_VALUE"""),".38 caliber")</f>
        <v>.38 caliber</v>
      </c>
      <c r="D1997" s="5"/>
    </row>
    <row r="1998" spans="1:4">
      <c r="A1998" s="5" t="str">
        <f ca="1">IFERROR(__xludf.DUMMYFUNCTION("""COMPUTED_VALUE"""),"19760513MOMAS")</f>
        <v>19760513MOMAS</v>
      </c>
      <c r="B1998" s="5" t="str">
        <f ca="1">IFERROR(__xludf.DUMMYFUNCTION("""COMPUTED_VALUE"""),"Handgun")</f>
        <v>Handgun</v>
      </c>
      <c r="C1998" s="5" t="str">
        <f ca="1">IFERROR(__xludf.DUMMYFUNCTION("""COMPUTED_VALUE"""),"Unknown")</f>
        <v>Unknown</v>
      </c>
      <c r="D1998" s="5"/>
    </row>
    <row r="1999" spans="1:4">
      <c r="A1999" s="5" t="str">
        <f ca="1">IFERROR(__xludf.DUMMYFUNCTION("""COMPUTED_VALUE"""),"19760412TXODF")</f>
        <v>19760412TXODF</v>
      </c>
      <c r="B1999" s="5" t="str">
        <f ca="1">IFERROR(__xludf.DUMMYFUNCTION("""COMPUTED_VALUE"""),"Handgun")</f>
        <v>Handgun</v>
      </c>
      <c r="C1999" s="5" t="str">
        <f ca="1">IFERROR(__xludf.DUMMYFUNCTION("""COMPUTED_VALUE"""),"Unknown")</f>
        <v>Unknown</v>
      </c>
      <c r="D1999" s="5"/>
    </row>
    <row r="2000" spans="1:4">
      <c r="A2000" s="5" t="str">
        <f ca="1">IFERROR(__xludf.DUMMYFUNCTION("""COMPUTED_VALUE"""),"19760212MIMUD")</f>
        <v>19760212MIMUD</v>
      </c>
      <c r="B2000" s="5" t="str">
        <f ca="1">IFERROR(__xludf.DUMMYFUNCTION("""COMPUTED_VALUE"""),"Handgun")</f>
        <v>Handgun</v>
      </c>
      <c r="C2000" s="5" t="str">
        <f ca="1">IFERROR(__xludf.DUMMYFUNCTION("""COMPUTED_VALUE"""),"Unknown")</f>
        <v>Unknown</v>
      </c>
      <c r="D2000" s="5"/>
    </row>
    <row r="2001" spans="1:4">
      <c r="A2001" s="5" t="str">
        <f ca="1">IFERROR(__xludf.DUMMYFUNCTION("""COMPUTED_VALUE"""),"19760206FLESP")</f>
        <v>19760206FLESP</v>
      </c>
      <c r="B2001" s="5" t="str">
        <f ca="1">IFERROR(__xludf.DUMMYFUNCTION("""COMPUTED_VALUE"""),"No Data")</f>
        <v>No Data</v>
      </c>
      <c r="C2001" s="5"/>
      <c r="D2001" s="5"/>
    </row>
    <row r="2002" spans="1:4">
      <c r="A2002" s="5" t="str">
        <f ca="1">IFERROR(__xludf.DUMMYFUNCTION("""COMPUTED_VALUE"""),"19760123OHCOC")</f>
        <v>19760123OHCOC</v>
      </c>
      <c r="B2002" s="5" t="str">
        <f ca="1">IFERROR(__xludf.DUMMYFUNCTION("""COMPUTED_VALUE"""),"Handgun")</f>
        <v>Handgun</v>
      </c>
      <c r="C2002" s="5" t="str">
        <f ca="1">IFERROR(__xludf.DUMMYFUNCTION("""COMPUTED_VALUE"""),".25 caliber")</f>
        <v>.25 caliber</v>
      </c>
      <c r="D2002" s="5"/>
    </row>
    <row r="2003" spans="1:4">
      <c r="A2003" s="5" t="str">
        <f ca="1">IFERROR(__xludf.DUMMYFUNCTION("""COMPUTED_VALUE"""),"19760101AZCAP")</f>
        <v>19760101AZCAP</v>
      </c>
      <c r="B2003" s="5" t="str">
        <f ca="1">IFERROR(__xludf.DUMMYFUNCTION("""COMPUTED_VALUE"""),"Rifle")</f>
        <v>Rifle</v>
      </c>
      <c r="C2003" s="5" t="str">
        <f ca="1">IFERROR(__xludf.DUMMYFUNCTION("""COMPUTED_VALUE"""),".22 caliber")</f>
        <v>.22 caliber</v>
      </c>
      <c r="D2003" s="5"/>
    </row>
    <row r="2004" spans="1:4">
      <c r="A2004" s="5" t="str">
        <f ca="1">IFERROR(__xludf.DUMMYFUNCTION("""COMPUTED_VALUE"""),"19751218CAORS")</f>
        <v>19751218CAORS</v>
      </c>
      <c r="B2004" s="5" t="str">
        <f ca="1">IFERROR(__xludf.DUMMYFUNCTION("""COMPUTED_VALUE"""),"Rifle")</f>
        <v>Rifle</v>
      </c>
      <c r="C2004" s="5" t="str">
        <f ca="1">IFERROR(__xludf.DUMMYFUNCTION("""COMPUTED_VALUE"""),".22 caliber")</f>
        <v>.22 caliber</v>
      </c>
      <c r="D2004" s="5"/>
    </row>
    <row r="2005" spans="1:4">
      <c r="A2005" s="5" t="str">
        <f ca="1">IFERROR(__xludf.DUMMYFUNCTION("""COMPUTED_VALUE"""),"19751024GAMUA")</f>
        <v>19751024GAMUA</v>
      </c>
      <c r="B2005" s="5" t="str">
        <f ca="1">IFERROR(__xludf.DUMMYFUNCTION("""COMPUTED_VALUE"""),"Handgun")</f>
        <v>Handgun</v>
      </c>
      <c r="C2005" s="5" t="str">
        <f ca="1">IFERROR(__xludf.DUMMYFUNCTION("""COMPUTED_VALUE"""),".38 caliber")</f>
        <v>.38 caliber</v>
      </c>
      <c r="D2005" s="5"/>
    </row>
    <row r="2006" spans="1:4">
      <c r="A2006" s="5" t="str">
        <f ca="1">IFERROR(__xludf.DUMMYFUNCTION("""COMPUTED_VALUE"""),"19751001NMHEA")</f>
        <v>19751001NMHEA</v>
      </c>
      <c r="B2006" s="5" t="str">
        <f ca="1">IFERROR(__xludf.DUMMYFUNCTION("""COMPUTED_VALUE"""),"Handgun")</f>
        <v>Handgun</v>
      </c>
      <c r="C2006" s="5" t="str">
        <f ca="1">IFERROR(__xludf.DUMMYFUNCTION("""COMPUTED_VALUE"""),".38 caliber")</f>
        <v>.38 caliber</v>
      </c>
      <c r="D2006" s="5"/>
    </row>
    <row r="2007" spans="1:4">
      <c r="A2007" s="5" t="str">
        <f ca="1">IFERROR(__xludf.DUMMYFUNCTION("""COMPUTED_VALUE"""),"19750911OKGRO")</f>
        <v>19750911OKGRO</v>
      </c>
      <c r="B2007" s="5" t="str">
        <f ca="1">IFERROR(__xludf.DUMMYFUNCTION("""COMPUTED_VALUE"""),"Unknown")</f>
        <v>Unknown</v>
      </c>
      <c r="C2007" s="5" t="str">
        <f ca="1">IFERROR(__xludf.DUMMYFUNCTION("""COMPUTED_VALUE"""),"Unknown")</f>
        <v>Unknown</v>
      </c>
      <c r="D2007" s="5"/>
    </row>
    <row r="2008" spans="1:4">
      <c r="A2008" s="5" t="str">
        <f ca="1">IFERROR(__xludf.DUMMYFUNCTION("""COMPUTED_VALUE"""),"19750711MOCES")</f>
        <v>19750711MOCES</v>
      </c>
      <c r="B2008" s="5" t="str">
        <f ca="1">IFERROR(__xludf.DUMMYFUNCTION("""COMPUTED_VALUE"""),"Handgun")</f>
        <v>Handgun</v>
      </c>
      <c r="C2008" s="5" t="str">
        <f ca="1">IFERROR(__xludf.DUMMYFUNCTION("""COMPUTED_VALUE"""),"Unknown")</f>
        <v>Unknown</v>
      </c>
      <c r="D2008" s="5"/>
    </row>
    <row r="2009" spans="1:4">
      <c r="A2009" s="5" t="str">
        <f ca="1">IFERROR(__xludf.DUMMYFUNCTION("""COMPUTED_VALUE"""),"19750709ILDEC")</f>
        <v>19750709ILDEC</v>
      </c>
      <c r="B2009" s="5" t="str">
        <f ca="1">IFERROR(__xludf.DUMMYFUNCTION("""COMPUTED_VALUE"""),"No Data")</f>
        <v>No Data</v>
      </c>
      <c r="C2009" s="5"/>
      <c r="D2009" s="5"/>
    </row>
    <row r="2010" spans="1:4">
      <c r="A2010" s="5" t="str">
        <f ca="1">IFERROR(__xludf.DUMMYFUNCTION("""COMPUTED_VALUE"""),"19750527MIPID")</f>
        <v>19750527MIPID</v>
      </c>
      <c r="B2010" s="5" t="str">
        <f ca="1">IFERROR(__xludf.DUMMYFUNCTION("""COMPUTED_VALUE"""),"Rifle")</f>
        <v>Rifle</v>
      </c>
      <c r="C2010" s="5" t="str">
        <f ca="1">IFERROR(__xludf.DUMMYFUNCTION("""COMPUTED_VALUE"""),"Unknown")</f>
        <v>Unknown</v>
      </c>
      <c r="D2010" s="5"/>
    </row>
    <row r="2011" spans="1:4">
      <c r="A2011" s="5" t="str">
        <f ca="1">IFERROR(__xludf.DUMMYFUNCTION("""COMPUTED_VALUE"""),"19750515MOROS")</f>
        <v>19750515MOROS</v>
      </c>
      <c r="B2011" s="5" t="str">
        <f ca="1">IFERROR(__xludf.DUMMYFUNCTION("""COMPUTED_VALUE"""),"Handgun")</f>
        <v>Handgun</v>
      </c>
      <c r="C2011" s="5" t="str">
        <f ca="1">IFERROR(__xludf.DUMMYFUNCTION("""COMPUTED_VALUE"""),".32 caliber")</f>
        <v>.32 caliber</v>
      </c>
      <c r="D2011" s="5"/>
    </row>
    <row r="2012" spans="1:4">
      <c r="A2012" s="5" t="str">
        <f ca="1">IFERROR(__xludf.DUMMYFUNCTION("""COMPUTED_VALUE"""),"19750321VAFAR")</f>
        <v>19750321VAFAR</v>
      </c>
      <c r="B2012" s="5" t="str">
        <f ca="1">IFERROR(__xludf.DUMMYFUNCTION("""COMPUTED_VALUE"""),"Rifle")</f>
        <v>Rifle</v>
      </c>
      <c r="C2012" s="5" t="str">
        <f ca="1">IFERROR(__xludf.DUMMYFUNCTION("""COMPUTED_VALUE"""),".22 caliber")</f>
        <v>.22 caliber</v>
      </c>
      <c r="D2012" s="5"/>
    </row>
    <row r="2013" spans="1:4">
      <c r="A2013" s="5" t="str">
        <f ca="1">IFERROR(__xludf.DUMMYFUNCTION("""COMPUTED_VALUE"""),"19750321OHPAD")</f>
        <v>19750321OHPAD</v>
      </c>
      <c r="B2013" s="5" t="str">
        <f ca="1">IFERROR(__xludf.DUMMYFUNCTION("""COMPUTED_VALUE"""),"Handgun")</f>
        <v>Handgun</v>
      </c>
      <c r="C2013" s="5" t="str">
        <f ca="1">IFERROR(__xludf.DUMMYFUNCTION("""COMPUTED_VALUE"""),".22 caliber")</f>
        <v>.22 caliber</v>
      </c>
      <c r="D2013" s="5"/>
    </row>
    <row r="2014" spans="1:4">
      <c r="A2014" s="5" t="str">
        <f ca="1">IFERROR(__xludf.DUMMYFUNCTION("""COMPUTED_VALUE"""),"19750318MOSUS")</f>
        <v>19750318MOSUS</v>
      </c>
      <c r="B2014" s="5" t="str">
        <f ca="1">IFERROR(__xludf.DUMMYFUNCTION("""COMPUTED_VALUE"""),"Unknown")</f>
        <v>Unknown</v>
      </c>
      <c r="C2014" s="5" t="str">
        <f ca="1">IFERROR(__xludf.DUMMYFUNCTION("""COMPUTED_VALUE"""),"Unknown")</f>
        <v>Unknown</v>
      </c>
      <c r="D2014" s="5"/>
    </row>
    <row r="2015" spans="1:4">
      <c r="A2015" s="5" t="str">
        <f ca="1">IFERROR(__xludf.DUMMYFUNCTION("""COMPUTED_VALUE"""),"19750312TXJOH")</f>
        <v>19750312TXJOH</v>
      </c>
      <c r="B2015" s="5" t="str">
        <f ca="1">IFERROR(__xludf.DUMMYFUNCTION("""COMPUTED_VALUE"""),"Handgun")</f>
        <v>Handgun</v>
      </c>
      <c r="C2015" s="5" t="str">
        <f ca="1">IFERROR(__xludf.DUMMYFUNCTION("""COMPUTED_VALUE"""),"Unknown")</f>
        <v>Unknown</v>
      </c>
      <c r="D2015" s="5"/>
    </row>
    <row r="2016" spans="1:4">
      <c r="A2016" s="5" t="str">
        <f ca="1">IFERROR(__xludf.DUMMYFUNCTION("""COMPUTED_VALUE"""),"19750224NJSTP")</f>
        <v>19750224NJSTP</v>
      </c>
      <c r="B2016" s="5" t="str">
        <f ca="1">IFERROR(__xludf.DUMMYFUNCTION("""COMPUTED_VALUE"""),"Shotgun")</f>
        <v>Shotgun</v>
      </c>
      <c r="C2016" s="5" t="str">
        <f ca="1">IFERROR(__xludf.DUMMYFUNCTION("""COMPUTED_VALUE"""),"Unknown")</f>
        <v>Unknown</v>
      </c>
      <c r="D2016" s="5"/>
    </row>
    <row r="2017" spans="1:4">
      <c r="A2017" s="5" t="str">
        <f ca="1">IFERROR(__xludf.DUMMYFUNCTION("""COMPUTED_VALUE"""),"19750207NYBOM")</f>
        <v>19750207NYBOM</v>
      </c>
      <c r="B2017" s="5" t="str">
        <f ca="1">IFERROR(__xludf.DUMMYFUNCTION("""COMPUTED_VALUE"""),"Handgun")</f>
        <v>Handgun</v>
      </c>
      <c r="C2017" s="5" t="str">
        <f ca="1">IFERROR(__xludf.DUMMYFUNCTION("""COMPUTED_VALUE"""),".38 caliber")</f>
        <v>.38 caliber</v>
      </c>
      <c r="D2017" s="5"/>
    </row>
    <row r="2018" spans="1:4">
      <c r="A2018" s="5" t="str">
        <f ca="1">IFERROR(__xludf.DUMMYFUNCTION("""COMPUTED_VALUE"""),"19741230NYOLO")</f>
        <v>19741230NYOLO</v>
      </c>
      <c r="B2018" s="5" t="str">
        <f ca="1">IFERROR(__xludf.DUMMYFUNCTION("""COMPUTED_VALUE"""),"Multiple Unknown")</f>
        <v>Multiple Unknown</v>
      </c>
      <c r="C2018" s="5" t="str">
        <f ca="1">IFERROR(__xludf.DUMMYFUNCTION("""COMPUTED_VALUE"""),"Unknown")</f>
        <v>Unknown</v>
      </c>
      <c r="D2018" s="5"/>
    </row>
    <row r="2019" spans="1:4">
      <c r="A2019" s="5" t="str">
        <f ca="1">IFERROR(__xludf.DUMMYFUNCTION("""COMPUTED_VALUE"""),"19741218CAMAL")</f>
        <v>19741218CAMAL</v>
      </c>
      <c r="B2019" s="5" t="str">
        <f ca="1">IFERROR(__xludf.DUMMYFUNCTION("""COMPUTED_VALUE"""),"Handgun")</f>
        <v>Handgun</v>
      </c>
      <c r="C2019" s="5" t="str">
        <f ca="1">IFERROR(__xludf.DUMMYFUNCTION("""COMPUTED_VALUE"""),"Unknown")</f>
        <v>Unknown</v>
      </c>
      <c r="D2019" s="5"/>
    </row>
    <row r="2020" spans="1:4">
      <c r="A2020" s="5" t="str">
        <f ca="1">IFERROR(__xludf.DUMMYFUNCTION("""COMPUTED_VALUE"""),"19741125SCCAC")</f>
        <v>19741125SCCAC</v>
      </c>
      <c r="B2020" s="5" t="str">
        <f ca="1">IFERROR(__xludf.DUMMYFUNCTION("""COMPUTED_VALUE"""),"Handgun")</f>
        <v>Handgun</v>
      </c>
      <c r="C2020" s="5" t="str">
        <f ca="1">IFERROR(__xludf.DUMMYFUNCTION("""COMPUTED_VALUE"""),"Unknown")</f>
        <v>Unknown</v>
      </c>
      <c r="D2020" s="5"/>
    </row>
    <row r="2021" spans="1:4">
      <c r="A2021" s="5" t="str">
        <f ca="1">IFERROR(__xludf.DUMMYFUNCTION("""COMPUTED_VALUE"""),"19741121ARBOL")</f>
        <v>19741121ARBOL</v>
      </c>
      <c r="B2021" s="5" t="str">
        <f ca="1">IFERROR(__xludf.DUMMYFUNCTION("""COMPUTED_VALUE"""),"Handgun")</f>
        <v>Handgun</v>
      </c>
      <c r="C2021" s="5" t="str">
        <f ca="1">IFERROR(__xludf.DUMMYFUNCTION("""COMPUTED_VALUE"""),".38 caliber")</f>
        <v>.38 caliber</v>
      </c>
      <c r="D2021" s="5"/>
    </row>
    <row r="2022" spans="1:4">
      <c r="A2022" s="5" t="str">
        <f ca="1">IFERROR(__xludf.DUMMYFUNCTION("""COMPUTED_VALUE"""),"19741118SCCAC")</f>
        <v>19741118SCCAC</v>
      </c>
      <c r="B2022" s="5" t="str">
        <f ca="1">IFERROR(__xludf.DUMMYFUNCTION("""COMPUTED_VALUE"""),"No Data")</f>
        <v>No Data</v>
      </c>
      <c r="C2022" s="5"/>
      <c r="D2022" s="5"/>
    </row>
    <row r="2023" spans="1:4">
      <c r="A2023" s="5" t="str">
        <f ca="1">IFERROR(__xludf.DUMMYFUNCTION("""COMPUTED_VALUE"""),"19741021MDDOB")</f>
        <v>19741021MDDOB</v>
      </c>
      <c r="B2023" s="5" t="str">
        <f ca="1">IFERROR(__xludf.DUMMYFUNCTION("""COMPUTED_VALUE"""),"Handgun")</f>
        <v>Handgun</v>
      </c>
      <c r="C2023" s="5" t="str">
        <f ca="1">IFERROR(__xludf.DUMMYFUNCTION("""COMPUTED_VALUE"""),"Unknown")</f>
        <v>Unknown</v>
      </c>
      <c r="D2023" s="5"/>
    </row>
    <row r="2024" spans="1:4">
      <c r="A2024" s="5" t="str">
        <f ca="1">IFERROR(__xludf.DUMMYFUNCTION("""COMPUTED_VALUE"""),"19741007LADEH")</f>
        <v>19741007LADEH</v>
      </c>
      <c r="B2024" s="5" t="str">
        <f ca="1">IFERROR(__xludf.DUMMYFUNCTION("""COMPUTED_VALUE"""),"Handgun")</f>
        <v>Handgun</v>
      </c>
      <c r="C2024" s="5" t="str">
        <f ca="1">IFERROR(__xludf.DUMMYFUNCTION("""COMPUTED_VALUE"""),".45 caliber")</f>
        <v>.45 caliber</v>
      </c>
      <c r="D2024" s="5"/>
    </row>
    <row r="2025" spans="1:4">
      <c r="A2025" s="5" t="str">
        <f ca="1">IFERROR(__xludf.DUMMYFUNCTION("""COMPUTED_VALUE"""),"19740925CASAL")</f>
        <v>19740925CASAL</v>
      </c>
      <c r="B2025" s="5" t="str">
        <f ca="1">IFERROR(__xludf.DUMMYFUNCTION("""COMPUTED_VALUE"""),"Handgun")</f>
        <v>Handgun</v>
      </c>
      <c r="C2025" s="5" t="str">
        <f ca="1">IFERROR(__xludf.DUMMYFUNCTION("""COMPUTED_VALUE"""),"Unknown")</f>
        <v>Unknown</v>
      </c>
      <c r="D2025" s="5"/>
    </row>
    <row r="2026" spans="1:4">
      <c r="A2026" s="5" t="str">
        <f ca="1">IFERROR(__xludf.DUMMYFUNCTION("""COMPUTED_VALUE"""),"19740923CAJED")</f>
        <v>19740923CAJED</v>
      </c>
      <c r="B2026" s="5" t="str">
        <f ca="1">IFERROR(__xludf.DUMMYFUNCTION("""COMPUTED_VALUE"""),"Handgun")</f>
        <v>Handgun</v>
      </c>
      <c r="C2026" s="5" t="str">
        <f ca="1">IFERROR(__xludf.DUMMYFUNCTION("""COMPUTED_VALUE"""),"Unknown")</f>
        <v>Unknown</v>
      </c>
      <c r="D2026" s="5"/>
    </row>
    <row r="2027" spans="1:4">
      <c r="A2027" s="5" t="str">
        <f ca="1">IFERROR(__xludf.DUMMYFUNCTION("""COMPUTED_VALUE"""),"19740519FLHIO")</f>
        <v>19740519FLHIO</v>
      </c>
      <c r="B2027" s="5" t="str">
        <f ca="1">IFERROR(__xludf.DUMMYFUNCTION("""COMPUTED_VALUE"""),"Rifle")</f>
        <v>Rifle</v>
      </c>
      <c r="C2027" s="5" t="str">
        <f ca="1">IFERROR(__xludf.DUMMYFUNCTION("""COMPUTED_VALUE"""),"Unknown")</f>
        <v>Unknown</v>
      </c>
      <c r="D2027" s="5"/>
    </row>
    <row r="2028" spans="1:4">
      <c r="A2028" s="5" t="str">
        <f ca="1">IFERROR(__xludf.DUMMYFUNCTION("""COMPUTED_VALUE"""),"19740510TNCHR")</f>
        <v>19740510TNCHR</v>
      </c>
      <c r="B2028" s="5" t="str">
        <f ca="1">IFERROR(__xludf.DUMMYFUNCTION("""COMPUTED_VALUE"""),"Handgun")</f>
        <v>Handgun</v>
      </c>
      <c r="C2028" s="5" t="str">
        <f ca="1">IFERROR(__xludf.DUMMYFUNCTION("""COMPUTED_VALUE"""),"Unknown")</f>
        <v>Unknown</v>
      </c>
      <c r="D2028" s="5"/>
    </row>
    <row r="2029" spans="1:4">
      <c r="A2029" s="5" t="str">
        <f ca="1">IFERROR(__xludf.DUMMYFUNCTION("""COMPUTED_VALUE"""),"19740402CTSTB")</f>
        <v>19740402CTSTB</v>
      </c>
      <c r="B2029" s="5" t="str">
        <f ca="1">IFERROR(__xludf.DUMMYFUNCTION("""COMPUTED_VALUE"""),"Other")</f>
        <v>Other</v>
      </c>
      <c r="C2029" s="5" t="str">
        <f ca="1">IFERROR(__xludf.DUMMYFUNCTION("""COMPUTED_VALUE"""),"Unknown")</f>
        <v>Unknown</v>
      </c>
      <c r="D2029" s="5"/>
    </row>
    <row r="2030" spans="1:4">
      <c r="A2030" s="5" t="str">
        <f ca="1">IFERROR(__xludf.DUMMYFUNCTION("""COMPUTED_VALUE"""),"19740322INBRB")</f>
        <v>19740322INBRB</v>
      </c>
      <c r="B2030" s="5" t="str">
        <f ca="1">IFERROR(__xludf.DUMMYFUNCTION("""COMPUTED_VALUE"""),"Rifle")</f>
        <v>Rifle</v>
      </c>
      <c r="C2030" s="5" t="str">
        <f ca="1">IFERROR(__xludf.DUMMYFUNCTION("""COMPUTED_VALUE"""),".22 caliber")</f>
        <v>.22 caliber</v>
      </c>
      <c r="D2030" s="5"/>
    </row>
    <row r="2031" spans="1:4">
      <c r="A2031" s="5" t="str">
        <f ca="1">IFERROR(__xludf.DUMMYFUNCTION("""COMPUTED_VALUE"""),"19740207CAJAO")</f>
        <v>19740207CAJAO</v>
      </c>
      <c r="B2031" s="5" t="str">
        <f ca="1">IFERROR(__xludf.DUMMYFUNCTION("""COMPUTED_VALUE"""),"Handgun")</f>
        <v>Handgun</v>
      </c>
      <c r="C2031" s="5" t="str">
        <f ca="1">IFERROR(__xludf.DUMMYFUNCTION("""COMPUTED_VALUE"""),"Unknown")</f>
        <v>Unknown</v>
      </c>
      <c r="D2031" s="5"/>
    </row>
    <row r="2032" spans="1:4">
      <c r="A2032" s="5" t="str">
        <f ca="1">IFERROR(__xludf.DUMMYFUNCTION("""COMPUTED_VALUE"""),"19740122CALOL")</f>
        <v>19740122CALOL</v>
      </c>
      <c r="B2032" s="5" t="str">
        <f ca="1">IFERROR(__xludf.DUMMYFUNCTION("""COMPUTED_VALUE"""),"No Data")</f>
        <v>No Data</v>
      </c>
      <c r="C2032" s="5"/>
      <c r="D2032" s="5"/>
    </row>
    <row r="2033" spans="1:4">
      <c r="A2033" s="5" t="str">
        <f ca="1">IFERROR(__xludf.DUMMYFUNCTION("""COMPUTED_VALUE"""),"19740117ILBAC")</f>
        <v>19740117ILBAC</v>
      </c>
      <c r="B2033" s="5" t="str">
        <f ca="1">IFERROR(__xludf.DUMMYFUNCTION("""COMPUTED_VALUE"""),"Handgun")</f>
        <v>Handgun</v>
      </c>
      <c r="C2033" s="5" t="str">
        <f ca="1">IFERROR(__xludf.DUMMYFUNCTION("""COMPUTED_VALUE"""),".38 caliber")</f>
        <v>.38 caliber</v>
      </c>
      <c r="D2033" s="5" t="str">
        <f ca="1">IFERROR(__xludf.DUMMYFUNCTION("""COMPUTED_VALUE"""),".38-caliber snub-nose revolver and .45-caliber pistol")</f>
        <v>.38-caliber snub-nose revolver and .45-caliber pistol</v>
      </c>
    </row>
    <row r="2034" spans="1:4">
      <c r="A2034" s="5" t="str">
        <f ca="1">IFERROR(__xludf.DUMMYFUNCTION("""COMPUTED_VALUE"""),"19740117ILBAC")</f>
        <v>19740117ILBAC</v>
      </c>
      <c r="B2034" s="5" t="str">
        <f ca="1">IFERROR(__xludf.DUMMYFUNCTION("""COMPUTED_VALUE"""),"Handgun")</f>
        <v>Handgun</v>
      </c>
      <c r="C2034" s="5" t="str">
        <f ca="1">IFERROR(__xludf.DUMMYFUNCTION("""COMPUTED_VALUE"""),".45 caliber")</f>
        <v>.45 caliber</v>
      </c>
      <c r="D2034" s="5" t="str">
        <f ca="1">IFERROR(__xludf.DUMMYFUNCTION("""COMPUTED_VALUE"""),".38-caliber snub-nose revolver and .45-caliber pistol")</f>
        <v>.38-caliber snub-nose revolver and .45-caliber pistol</v>
      </c>
    </row>
    <row r="2035" spans="1:4">
      <c r="A2035" s="5" t="str">
        <f ca="1">IFERROR(__xludf.DUMMYFUNCTION("""COMPUTED_VALUE"""),"19731213OHHUC")</f>
        <v>19731213OHHUC</v>
      </c>
      <c r="B2035" s="5" t="str">
        <f ca="1">IFERROR(__xludf.DUMMYFUNCTION("""COMPUTED_VALUE"""),"Handgun")</f>
        <v>Handgun</v>
      </c>
      <c r="C2035" s="5" t="str">
        <f ca="1">IFERROR(__xludf.DUMMYFUNCTION("""COMPUTED_VALUE"""),".22 caliber")</f>
        <v>.22 caliber</v>
      </c>
      <c r="D2035" s="5"/>
    </row>
    <row r="2036" spans="1:4">
      <c r="A2036" s="5" t="str">
        <f ca="1">IFERROR(__xludf.DUMMYFUNCTION("""COMPUTED_VALUE"""),"19731206CAFRL")</f>
        <v>19731206CAFRL</v>
      </c>
      <c r="B2036" s="5" t="str">
        <f ca="1">IFERROR(__xludf.DUMMYFUNCTION("""COMPUTED_VALUE"""),"Handgun")</f>
        <v>Handgun</v>
      </c>
      <c r="C2036" s="5" t="str">
        <f ca="1">IFERROR(__xludf.DUMMYFUNCTION("""COMPUTED_VALUE"""),"Unknown")</f>
        <v>Unknown</v>
      </c>
      <c r="D2036" s="5"/>
    </row>
    <row r="2037" spans="1:4">
      <c r="A2037" s="5" t="str">
        <f ca="1">IFERROR(__xludf.DUMMYFUNCTION("""COMPUTED_VALUE"""),"19731109CALOL")</f>
        <v>19731109CALOL</v>
      </c>
      <c r="B2037" s="5" t="str">
        <f ca="1">IFERROR(__xludf.DUMMYFUNCTION("""COMPUTED_VALUE"""),"No Data")</f>
        <v>No Data</v>
      </c>
      <c r="C2037" s="5"/>
      <c r="D2037" s="5"/>
    </row>
    <row r="2038" spans="1:4">
      <c r="A2038" s="5" t="str">
        <f ca="1">IFERROR(__xludf.DUMMYFUNCTION("""COMPUTED_VALUE"""),"19731108ILWOC")</f>
        <v>19731108ILWOC</v>
      </c>
      <c r="B2038" s="5" t="str">
        <f ca="1">IFERROR(__xludf.DUMMYFUNCTION("""COMPUTED_VALUE"""),"Handgun")</f>
        <v>Handgun</v>
      </c>
      <c r="C2038" s="5" t="str">
        <f ca="1">IFERROR(__xludf.DUMMYFUNCTION("""COMPUTED_VALUE"""),".38 caliber")</f>
        <v>.38 caliber</v>
      </c>
      <c r="D2038" s="5"/>
    </row>
    <row r="2039" spans="1:4">
      <c r="A2039" s="5" t="str">
        <f ca="1">IFERROR(__xludf.DUMMYFUNCTION("""COMPUTED_VALUE"""),"19731031MONOS")</f>
        <v>19731031MONOS</v>
      </c>
      <c r="B2039" s="5" t="str">
        <f ca="1">IFERROR(__xludf.DUMMYFUNCTION("""COMPUTED_VALUE"""),"Shotgun")</f>
        <v>Shotgun</v>
      </c>
      <c r="C2039" s="5" t="str">
        <f ca="1">IFERROR(__xludf.DUMMYFUNCTION("""COMPUTED_VALUE"""),"Unknown")</f>
        <v>Unknown</v>
      </c>
      <c r="D2039" s="5"/>
    </row>
    <row r="2040" spans="1:4">
      <c r="A2040" s="5" t="str">
        <f ca="1">IFERROR(__xludf.DUMMYFUNCTION("""COMPUTED_VALUE"""),"19731024MNCEM")</f>
        <v>19731024MNCEM</v>
      </c>
      <c r="B2040" s="5" t="str">
        <f ca="1">IFERROR(__xludf.DUMMYFUNCTION("""COMPUTED_VALUE"""),"Shotgun")</f>
        <v>Shotgun</v>
      </c>
      <c r="C2040" s="5" t="str">
        <f ca="1">IFERROR(__xludf.DUMMYFUNCTION("""COMPUTED_VALUE"""),"Unknown")</f>
        <v>Unknown</v>
      </c>
      <c r="D2040" s="5"/>
    </row>
    <row r="2041" spans="1:4">
      <c r="A2041" s="5" t="str">
        <f ca="1">IFERROR(__xludf.DUMMYFUNCTION("""COMPUTED_VALUE"""),"19731023OHBAB")</f>
        <v>19731023OHBAB</v>
      </c>
      <c r="B2041" s="5" t="str">
        <f ca="1">IFERROR(__xludf.DUMMYFUNCTION("""COMPUTED_VALUE"""),"Handgun")</f>
        <v>Handgun</v>
      </c>
      <c r="C2041" s="5" t="str">
        <f ca="1">IFERROR(__xludf.DUMMYFUNCTION("""COMPUTED_VALUE"""),".22 caliber")</f>
        <v>.22 caliber</v>
      </c>
      <c r="D2041" s="5"/>
    </row>
    <row r="2042" spans="1:4">
      <c r="A2042" s="5" t="str">
        <f ca="1">IFERROR(__xludf.DUMMYFUNCTION("""COMPUTED_VALUE"""),"19731023MOSUS")</f>
        <v>19731023MOSUS</v>
      </c>
      <c r="B2042" s="5" t="str">
        <f ca="1">IFERROR(__xludf.DUMMYFUNCTION("""COMPUTED_VALUE"""),"Multiple Unknown")</f>
        <v>Multiple Unknown</v>
      </c>
      <c r="C2042" s="5" t="str">
        <f ca="1">IFERROR(__xludf.DUMMYFUNCTION("""COMPUTED_VALUE"""),"Unknown")</f>
        <v>Unknown</v>
      </c>
      <c r="D2042" s="5"/>
    </row>
    <row r="2043" spans="1:4">
      <c r="A2043" s="5" t="str">
        <f ca="1">IFERROR(__xludf.DUMMYFUNCTION("""COMPUTED_VALUE"""),"19731019MOBES")</f>
        <v>19731019MOBES</v>
      </c>
      <c r="B2043" s="5" t="str">
        <f ca="1">IFERROR(__xludf.DUMMYFUNCTION("""COMPUTED_VALUE"""),"No Data")</f>
        <v>No Data</v>
      </c>
      <c r="C2043" s="5"/>
      <c r="D2043" s="5"/>
    </row>
    <row r="2044" spans="1:4">
      <c r="A2044" s="5" t="str">
        <f ca="1">IFERROR(__xludf.DUMMYFUNCTION("""COMPUTED_VALUE"""),"19731002ILELA")</f>
        <v>19731002ILELA</v>
      </c>
      <c r="B2044" s="5" t="str">
        <f ca="1">IFERROR(__xludf.DUMMYFUNCTION("""COMPUTED_VALUE"""),"Handgun")</f>
        <v>Handgun</v>
      </c>
      <c r="C2044" s="5" t="str">
        <f ca="1">IFERROR(__xludf.DUMMYFUNCTION("""COMPUTED_VALUE"""),".38 caliber")</f>
        <v>.38 caliber</v>
      </c>
      <c r="D2044" s="5"/>
    </row>
    <row r="2045" spans="1:4">
      <c r="A2045" s="5" t="str">
        <f ca="1">IFERROR(__xludf.DUMMYFUNCTION("""COMPUTED_VALUE"""),"19730928CAWIL")</f>
        <v>19730928CAWIL</v>
      </c>
      <c r="B2045" s="5" t="str">
        <f ca="1">IFERROR(__xludf.DUMMYFUNCTION("""COMPUTED_VALUE"""),"Handgun")</f>
        <v>Handgun</v>
      </c>
      <c r="C2045" s="5" t="str">
        <f ca="1">IFERROR(__xludf.DUMMYFUNCTION("""COMPUTED_VALUE"""),"Unknown")</f>
        <v>Unknown</v>
      </c>
      <c r="D2045" s="5"/>
    </row>
    <row r="2046" spans="1:4">
      <c r="A2046" s="5" t="str">
        <f ca="1">IFERROR(__xludf.DUMMYFUNCTION("""COMPUTED_VALUE"""),"19730501OHRAY")</f>
        <v>19730501OHRAY</v>
      </c>
      <c r="B2046" s="5" t="str">
        <f ca="1">IFERROR(__xludf.DUMMYFUNCTION("""COMPUTED_VALUE"""),"Handgun")</f>
        <v>Handgun</v>
      </c>
      <c r="C2046" s="5" t="str">
        <f ca="1">IFERROR(__xludf.DUMMYFUNCTION("""COMPUTED_VALUE"""),"Unknown")</f>
        <v>Unknown</v>
      </c>
      <c r="D2046" s="5"/>
    </row>
    <row r="2047" spans="1:4">
      <c r="A2047" s="5" t="str">
        <f ca="1">IFERROR(__xludf.DUMMYFUNCTION("""COMPUTED_VALUE"""),"19730405CALOL")</f>
        <v>19730405CALOL</v>
      </c>
      <c r="B2047" s="5" t="str">
        <f ca="1">IFERROR(__xludf.DUMMYFUNCTION("""COMPUTED_VALUE"""),"Handgun")</f>
        <v>Handgun</v>
      </c>
      <c r="C2047" s="5" t="str">
        <f ca="1">IFERROR(__xludf.DUMMYFUNCTION("""COMPUTED_VALUE"""),"Unknown")</f>
        <v>Unknown</v>
      </c>
      <c r="D2047" s="5"/>
    </row>
    <row r="2048" spans="1:4">
      <c r="A2048" s="5" t="str">
        <f ca="1">IFERROR(__xludf.DUMMYFUNCTION("""COMPUTED_VALUE"""),"19730226VAARR")</f>
        <v>19730226VAARR</v>
      </c>
      <c r="B2048" s="5" t="str">
        <f ca="1">IFERROR(__xludf.DUMMYFUNCTION("""COMPUTED_VALUE"""),"Handgun")</f>
        <v>Handgun</v>
      </c>
      <c r="C2048" s="5" t="str">
        <f ca="1">IFERROR(__xludf.DUMMYFUNCTION("""COMPUTED_VALUE"""),".38 caliber")</f>
        <v>.38 caliber</v>
      </c>
      <c r="D2048" s="5"/>
    </row>
    <row r="2049" spans="1:4">
      <c r="A2049" s="5" t="str">
        <f ca="1">IFERROR(__xludf.DUMMYFUNCTION("""COMPUTED_VALUE"""),"19730212ALBOM")</f>
        <v>19730212ALBOM</v>
      </c>
      <c r="B2049" s="5" t="str">
        <f ca="1">IFERROR(__xludf.DUMMYFUNCTION("""COMPUTED_VALUE"""),"Handgun")</f>
        <v>Handgun</v>
      </c>
      <c r="C2049" s="5" t="str">
        <f ca="1">IFERROR(__xludf.DUMMYFUNCTION("""COMPUTED_VALUE"""),"Unknown")</f>
        <v>Unknown</v>
      </c>
      <c r="D2049" s="5"/>
    </row>
    <row r="2050" spans="1:4">
      <c r="A2050" s="5" t="str">
        <f ca="1">IFERROR(__xludf.DUMMYFUNCTION("""COMPUTED_VALUE"""),"19730131NCCUB")</f>
        <v>19730131NCCUB</v>
      </c>
      <c r="B2050" s="5" t="str">
        <f ca="1">IFERROR(__xludf.DUMMYFUNCTION("""COMPUTED_VALUE"""),"Handgun")</f>
        <v>Handgun</v>
      </c>
      <c r="C2050" s="5" t="str">
        <f ca="1">IFERROR(__xludf.DUMMYFUNCTION("""COMPUTED_VALUE"""),"Unknown")</f>
        <v>Unknown</v>
      </c>
      <c r="D2050" s="5"/>
    </row>
    <row r="2051" spans="1:4">
      <c r="A2051" s="5" t="str">
        <f ca="1">IFERROR(__xludf.DUMMYFUNCTION("""COMPUTED_VALUE"""),"19730118CAJOL")</f>
        <v>19730118CAJOL</v>
      </c>
      <c r="B2051" s="5" t="str">
        <f ca="1">IFERROR(__xludf.DUMMYFUNCTION("""COMPUTED_VALUE"""),"Handgun")</f>
        <v>Handgun</v>
      </c>
      <c r="C2051" s="5" t="str">
        <f ca="1">IFERROR(__xludf.DUMMYFUNCTION("""COMPUTED_VALUE"""),"Unknown")</f>
        <v>Unknown</v>
      </c>
      <c r="D2051" s="5"/>
    </row>
    <row r="2052" spans="1:4">
      <c r="A2052" s="5" t="str">
        <f ca="1">IFERROR(__xludf.DUMMYFUNCTION("""COMPUTED_VALUE"""),"19730105NCSOS")</f>
        <v>19730105NCSOS</v>
      </c>
      <c r="B2052" s="5" t="str">
        <f ca="1">IFERROR(__xludf.DUMMYFUNCTION("""COMPUTED_VALUE"""),"Handgun")</f>
        <v>Handgun</v>
      </c>
      <c r="C2052" s="5" t="str">
        <f ca="1">IFERROR(__xludf.DUMMYFUNCTION("""COMPUTED_VALUE"""),"Unknown")</f>
        <v>Unknown</v>
      </c>
      <c r="D2052" s="5"/>
    </row>
    <row r="2053" spans="1:4">
      <c r="A2053" s="5" t="str">
        <f ca="1">IFERROR(__xludf.DUMMYFUNCTION("""COMPUTED_VALUE"""),"19721129FLMIM")</f>
        <v>19721129FLMIM</v>
      </c>
      <c r="B2053" s="5" t="str">
        <f ca="1">IFERROR(__xludf.DUMMYFUNCTION("""COMPUTED_VALUE"""),"No Data")</f>
        <v>No Data</v>
      </c>
      <c r="C2053" s="5"/>
      <c r="D2053" s="5"/>
    </row>
    <row r="2054" spans="1:4">
      <c r="A2054" s="5" t="str">
        <f ca="1">IFERROR(__xludf.DUMMYFUNCTION("""COMPUTED_VALUE"""),"19721127MIPOP")</f>
        <v>19721127MIPOP</v>
      </c>
      <c r="B2054" s="5" t="str">
        <f ca="1">IFERROR(__xludf.DUMMYFUNCTION("""COMPUTED_VALUE"""),"No Data")</f>
        <v>No Data</v>
      </c>
      <c r="C2054" s="5"/>
      <c r="D2054" s="5"/>
    </row>
    <row r="2055" spans="1:4">
      <c r="A2055" s="5" t="str">
        <f ca="1">IFERROR(__xludf.DUMMYFUNCTION("""COMPUTED_VALUE"""),"19721111CAJEL")</f>
        <v>19721111CAJEL</v>
      </c>
      <c r="B2055" s="5" t="str">
        <f ca="1">IFERROR(__xludf.DUMMYFUNCTION("""COMPUTED_VALUE"""),"No Data")</f>
        <v>No Data</v>
      </c>
      <c r="C2055" s="5"/>
      <c r="D2055" s="5"/>
    </row>
    <row r="2056" spans="1:4">
      <c r="A2056" s="5" t="str">
        <f ca="1">IFERROR(__xludf.DUMMYFUNCTION("""COMPUTED_VALUE"""),"19720921OHTHA")</f>
        <v>19720921OHTHA</v>
      </c>
      <c r="B2056" s="5" t="str">
        <f ca="1">IFERROR(__xludf.DUMMYFUNCTION("""COMPUTED_VALUE"""),"Handgun")</f>
        <v>Handgun</v>
      </c>
      <c r="C2056" s="5" t="str">
        <f ca="1">IFERROR(__xludf.DUMMYFUNCTION("""COMPUTED_VALUE"""),"Unknown")</f>
        <v>Unknown</v>
      </c>
      <c r="D2056" s="5"/>
    </row>
    <row r="2057" spans="1:4">
      <c r="A2057" s="5" t="str">
        <f ca="1">IFERROR(__xludf.DUMMYFUNCTION("""COMPUTED_VALUE"""),"19720919TXCUH")</f>
        <v>19720919TXCUH</v>
      </c>
      <c r="B2057" s="5" t="str">
        <f ca="1">IFERROR(__xludf.DUMMYFUNCTION("""COMPUTED_VALUE"""),"Handgun")</f>
        <v>Handgun</v>
      </c>
      <c r="C2057" s="5" t="str">
        <f ca="1">IFERROR(__xludf.DUMMYFUNCTION("""COMPUTED_VALUE"""),".22 caliber")</f>
        <v>.22 caliber</v>
      </c>
      <c r="D2057" s="5"/>
    </row>
    <row r="2058" spans="1:4">
      <c r="A2058" s="5" t="str">
        <f ca="1">IFERROR(__xludf.DUMMYFUNCTION("""COMPUTED_VALUE"""),"19720915MISAS")</f>
        <v>19720915MISAS</v>
      </c>
      <c r="B2058" s="5" t="str">
        <f ca="1">IFERROR(__xludf.DUMMYFUNCTION("""COMPUTED_VALUE"""),"No Data")</f>
        <v>No Data</v>
      </c>
      <c r="C2058" s="5"/>
      <c r="D2058" s="5"/>
    </row>
    <row r="2059" spans="1:4">
      <c r="A2059" s="5" t="str">
        <f ca="1">IFERROR(__xludf.DUMMYFUNCTION("""COMPUTED_VALUE"""),"19720914TXFRH")</f>
        <v>19720914TXFRH</v>
      </c>
      <c r="B2059" s="5" t="str">
        <f ca="1">IFERROR(__xludf.DUMMYFUNCTION("""COMPUTED_VALUE"""),"Handgun")</f>
        <v>Handgun</v>
      </c>
      <c r="C2059" s="5" t="str">
        <f ca="1">IFERROR(__xludf.DUMMYFUNCTION("""COMPUTED_VALUE"""),".25 caliber")</f>
        <v>.25 caliber</v>
      </c>
      <c r="D2059" s="5"/>
    </row>
    <row r="2060" spans="1:4">
      <c r="A2060" s="5" t="str">
        <f ca="1">IFERROR(__xludf.DUMMYFUNCTION("""COMPUTED_VALUE"""),"19720505INDEI")</f>
        <v>19720505INDEI</v>
      </c>
      <c r="B2060" s="5" t="str">
        <f ca="1">IFERROR(__xludf.DUMMYFUNCTION("""COMPUTED_VALUE"""),"Handgun")</f>
        <v>Handgun</v>
      </c>
      <c r="C2060" s="5" t="str">
        <f ca="1">IFERROR(__xludf.DUMMYFUNCTION("""COMPUTED_VALUE"""),".32 caliber")</f>
        <v>.32 caliber</v>
      </c>
      <c r="D2060" s="5"/>
    </row>
    <row r="2061" spans="1:4">
      <c r="A2061" s="5" t="str">
        <f ca="1">IFERROR(__xludf.DUMMYFUNCTION("""COMPUTED_VALUE"""),"19720504NVLIR")</f>
        <v>19720504NVLIR</v>
      </c>
      <c r="B2061" s="5" t="str">
        <f ca="1">IFERROR(__xludf.DUMMYFUNCTION("""COMPUTED_VALUE"""),"Handgun")</f>
        <v>Handgun</v>
      </c>
      <c r="C2061" s="5" t="str">
        <f ca="1">IFERROR(__xludf.DUMMYFUNCTION("""COMPUTED_VALUE"""),".22 caliber")</f>
        <v>.22 caliber</v>
      </c>
      <c r="D2061" s="5"/>
    </row>
    <row r="2062" spans="1:4">
      <c r="A2062" s="5" t="str">
        <f ca="1">IFERROR(__xludf.DUMMYFUNCTION("""COMPUTED_VALUE"""),"19720412LAEAG")</f>
        <v>19720412LAEAG</v>
      </c>
      <c r="B2062" s="5" t="str">
        <f ca="1">IFERROR(__xludf.DUMMYFUNCTION("""COMPUTED_VALUE"""),"No Data")</f>
        <v>No Data</v>
      </c>
      <c r="C2062" s="5"/>
      <c r="D2062" s="5"/>
    </row>
    <row r="2063" spans="1:4">
      <c r="A2063" s="5" t="str">
        <f ca="1">IFERROR(__xludf.DUMMYFUNCTION("""COMPUTED_VALUE"""),"19720313TXUNH")</f>
        <v>19720313TXUNH</v>
      </c>
      <c r="B2063" s="5" t="str">
        <f ca="1">IFERROR(__xludf.DUMMYFUNCTION("""COMPUTED_VALUE"""),"Handgun")</f>
        <v>Handgun</v>
      </c>
      <c r="C2063" s="5" t="str">
        <f ca="1">IFERROR(__xludf.DUMMYFUNCTION("""COMPUTED_VALUE"""),"Unknown")</f>
        <v>Unknown</v>
      </c>
      <c r="D2063" s="5"/>
    </row>
    <row r="2064" spans="1:4">
      <c r="A2064" s="5" t="str">
        <f ca="1">IFERROR(__xludf.DUMMYFUNCTION("""COMPUTED_VALUE"""),"19720228CAMAL")</f>
        <v>19720228CAMAL</v>
      </c>
      <c r="B2064" s="5" t="str">
        <f ca="1">IFERROR(__xludf.DUMMYFUNCTION("""COMPUTED_VALUE"""),"Handgun")</f>
        <v>Handgun</v>
      </c>
      <c r="C2064" s="5" t="str">
        <f ca="1">IFERROR(__xludf.DUMMYFUNCTION("""COMPUTED_VALUE"""),".22 caliber")</f>
        <v>.22 caliber</v>
      </c>
      <c r="D2064" s="5"/>
    </row>
    <row r="2065" spans="1:4">
      <c r="A2065" s="5" t="str">
        <f ca="1">IFERROR(__xludf.DUMMYFUNCTION("""COMPUTED_VALUE"""),"19720215ILKEC")</f>
        <v>19720215ILKEC</v>
      </c>
      <c r="B2065" s="5" t="str">
        <f ca="1">IFERROR(__xludf.DUMMYFUNCTION("""COMPUTED_VALUE"""),"Handgun")</f>
        <v>Handgun</v>
      </c>
      <c r="C2065" s="5" t="str">
        <f ca="1">IFERROR(__xludf.DUMMYFUNCTION("""COMPUTED_VALUE"""),"Service Weapon")</f>
        <v>Service Weapon</v>
      </c>
      <c r="D2065" s="5"/>
    </row>
    <row r="2066" spans="1:4">
      <c r="A2066" s="5" t="str">
        <f ca="1">IFERROR(__xludf.DUMMYFUNCTION("""COMPUTED_VALUE"""),"19720214ILCAC")</f>
        <v>19720214ILCAC</v>
      </c>
      <c r="B2066" s="5" t="str">
        <f ca="1">IFERROR(__xludf.DUMMYFUNCTION("""COMPUTED_VALUE"""),"Handgun")</f>
        <v>Handgun</v>
      </c>
      <c r="C2066" s="5" t="str">
        <f ca="1">IFERROR(__xludf.DUMMYFUNCTION("""COMPUTED_VALUE"""),"Unknown")</f>
        <v>Unknown</v>
      </c>
      <c r="D2066" s="5"/>
    </row>
    <row r="2067" spans="1:4">
      <c r="A2067" s="5" t="str">
        <f ca="1">IFERROR(__xludf.DUMMYFUNCTION("""COMPUTED_VALUE"""),"19720126MDHAB")</f>
        <v>19720126MDHAB</v>
      </c>
      <c r="B2067" s="5" t="str">
        <f ca="1">IFERROR(__xludf.DUMMYFUNCTION("""COMPUTED_VALUE"""),"Rifle")</f>
        <v>Rifle</v>
      </c>
      <c r="C2067" s="5" t="str">
        <f ca="1">IFERROR(__xludf.DUMMYFUNCTION("""COMPUTED_VALUE"""),".22 caliber")</f>
        <v>.22 caliber</v>
      </c>
      <c r="D2067" s="5"/>
    </row>
    <row r="2068" spans="1:4">
      <c r="A2068" s="5" t="str">
        <f ca="1">IFERROR(__xludf.DUMMYFUNCTION("""COMPUTED_VALUE"""),"19720126MDGWB")</f>
        <v>19720126MDGWB</v>
      </c>
      <c r="B2068" s="5" t="str">
        <f ca="1">IFERROR(__xludf.DUMMYFUNCTION("""COMPUTED_VALUE"""),"Handgun")</f>
        <v>Handgun</v>
      </c>
      <c r="C2068" s="5" t="str">
        <f ca="1">IFERROR(__xludf.DUMMYFUNCTION("""COMPUTED_VALUE"""),"Unknown")</f>
        <v>Unknown</v>
      </c>
      <c r="D2068" s="5"/>
    </row>
    <row r="2069" spans="1:4">
      <c r="A2069" s="5" t="str">
        <f ca="1">IFERROR(__xludf.DUMMYFUNCTION("""COMPUTED_VALUE"""),"19720124OHSTS")</f>
        <v>19720124OHSTS</v>
      </c>
      <c r="B2069" s="5" t="str">
        <f ca="1">IFERROR(__xludf.DUMMYFUNCTION("""COMPUTED_VALUE"""),"Handgun")</f>
        <v>Handgun</v>
      </c>
      <c r="C2069" s="5" t="str">
        <f ca="1">IFERROR(__xludf.DUMMYFUNCTION("""COMPUTED_VALUE"""),".22 caliber")</f>
        <v>.22 caliber</v>
      </c>
      <c r="D2069" s="5"/>
    </row>
    <row r="2070" spans="1:4">
      <c r="A2070" s="5" t="str">
        <f ca="1">IFERROR(__xludf.DUMMYFUNCTION("""COMPUTED_VALUE"""),"19720105DCPAW")</f>
        <v>19720105DCPAW</v>
      </c>
      <c r="B2070" s="5" t="str">
        <f ca="1">IFERROR(__xludf.DUMMYFUNCTION("""COMPUTED_VALUE"""),"Handgun")</f>
        <v>Handgun</v>
      </c>
      <c r="C2070" s="5" t="str">
        <f ca="1">IFERROR(__xludf.DUMMYFUNCTION("""COMPUTED_VALUE"""),".22 caliber")</f>
        <v>.22 caliber</v>
      </c>
      <c r="D2070" s="5"/>
    </row>
    <row r="2071" spans="1:4">
      <c r="A2071" s="5" t="str">
        <f ca="1">IFERROR(__xludf.DUMMYFUNCTION("""COMPUTED_VALUE"""),"19711213MDCAB")</f>
        <v>19711213MDCAB</v>
      </c>
      <c r="B2071" s="5" t="str">
        <f ca="1">IFERROR(__xludf.DUMMYFUNCTION("""COMPUTED_VALUE"""),"Handgun")</f>
        <v>Handgun</v>
      </c>
      <c r="C2071" s="5" t="str">
        <f ca="1">IFERROR(__xludf.DUMMYFUNCTION("""COMPUTED_VALUE"""),".22 caliber")</f>
        <v>.22 caliber</v>
      </c>
      <c r="D2071" s="5"/>
    </row>
    <row r="2072" spans="1:4">
      <c r="A2072" s="5" t="str">
        <f ca="1">IFERROR(__xludf.DUMMYFUNCTION("""COMPUTED_VALUE"""),"19711206CALOL")</f>
        <v>19711206CALOL</v>
      </c>
      <c r="B2072" s="5" t="str">
        <f ca="1">IFERROR(__xludf.DUMMYFUNCTION("""COMPUTED_VALUE"""),"Handgun")</f>
        <v>Handgun</v>
      </c>
      <c r="C2072" s="5" t="str">
        <f ca="1">IFERROR(__xludf.DUMMYFUNCTION("""COMPUTED_VALUE"""),".22 caliber")</f>
        <v>.22 caliber</v>
      </c>
      <c r="D2072" s="5"/>
    </row>
    <row r="2073" spans="1:4">
      <c r="A2073" s="5" t="str">
        <f ca="1">IFERROR(__xludf.DUMMYFUNCTION("""COMPUTED_VALUE"""),"19711124MDEDB")</f>
        <v>19711124MDEDB</v>
      </c>
      <c r="B2073" s="5" t="str">
        <f ca="1">IFERROR(__xludf.DUMMYFUNCTION("""COMPUTED_VALUE"""),"Handgun")</f>
        <v>Handgun</v>
      </c>
      <c r="C2073" s="5" t="str">
        <f ca="1">IFERROR(__xludf.DUMMYFUNCTION("""COMPUTED_VALUE"""),"Unknown")</f>
        <v>Unknown</v>
      </c>
      <c r="D2073" s="5"/>
    </row>
    <row r="2074" spans="1:4">
      <c r="A2074" s="5" t="str">
        <f ca="1">IFERROR(__xludf.DUMMYFUNCTION("""COMPUTED_VALUE"""),"19711108OKGRT")</f>
        <v>19711108OKGRT</v>
      </c>
      <c r="B2074" s="5" t="str">
        <f ca="1">IFERROR(__xludf.DUMMYFUNCTION("""COMPUTED_VALUE"""),"Handgun")</f>
        <v>Handgun</v>
      </c>
      <c r="C2074" s="5" t="str">
        <f ca="1">IFERROR(__xludf.DUMMYFUNCTION("""COMPUTED_VALUE"""),".22 caliber")</f>
        <v>.22 caliber</v>
      </c>
      <c r="D2074" s="5"/>
    </row>
    <row r="2075" spans="1:4">
      <c r="A2075" s="5" t="str">
        <f ca="1">IFERROR(__xludf.DUMMYFUNCTION("""COMPUTED_VALUE"""),"19711103NMCAC")</f>
        <v>19711103NMCAC</v>
      </c>
      <c r="B2075" s="5" t="str">
        <f ca="1">IFERROR(__xludf.DUMMYFUNCTION("""COMPUTED_VALUE"""),"Rifle")</f>
        <v>Rifle</v>
      </c>
      <c r="C2075" s="5" t="str">
        <f ca="1">IFERROR(__xludf.DUMMYFUNCTION("""COMPUTED_VALUE"""),"Automatic")</f>
        <v>Automatic</v>
      </c>
      <c r="D2075" s="5"/>
    </row>
    <row r="2076" spans="1:4">
      <c r="A2076" s="5" t="str">
        <f ca="1">IFERROR(__xludf.DUMMYFUNCTION("""COMPUTED_VALUE"""),"19711029MDFRB")</f>
        <v>19711029MDFRB</v>
      </c>
      <c r="B2076" s="5" t="str">
        <f ca="1">IFERROR(__xludf.DUMMYFUNCTION("""COMPUTED_VALUE"""),"Handgun")</f>
        <v>Handgun</v>
      </c>
      <c r="C2076" s="5" t="str">
        <f ca="1">IFERROR(__xludf.DUMMYFUNCTION("""COMPUTED_VALUE"""),"Unknown")</f>
        <v>Unknown</v>
      </c>
      <c r="D2076" s="5"/>
    </row>
    <row r="2077" spans="1:4">
      <c r="A2077" s="5" t="str">
        <f ca="1">IFERROR(__xludf.DUMMYFUNCTION("""COMPUTED_VALUE"""),"19711029MDFOB")</f>
        <v>19711029MDFOB</v>
      </c>
      <c r="B2077" s="5" t="str">
        <f ca="1">IFERROR(__xludf.DUMMYFUNCTION("""COMPUTED_VALUE"""),"Rifle")</f>
        <v>Rifle</v>
      </c>
      <c r="C2077" s="5" t="str">
        <f ca="1">IFERROR(__xludf.DUMMYFUNCTION("""COMPUTED_VALUE"""),".22 caliber")</f>
        <v>.22 caliber</v>
      </c>
      <c r="D2077" s="5"/>
    </row>
    <row r="2078" spans="1:4">
      <c r="A2078" s="5" t="str">
        <f ca="1">IFERROR(__xludf.DUMMYFUNCTION("""COMPUTED_VALUE"""),"19711028MDCIB")</f>
        <v>19711028MDCIB</v>
      </c>
      <c r="B2078" s="5" t="str">
        <f ca="1">IFERROR(__xludf.DUMMYFUNCTION("""COMPUTED_VALUE"""),"Handgun")</f>
        <v>Handgun</v>
      </c>
      <c r="C2078" s="5" t="str">
        <f ca="1">IFERROR(__xludf.DUMMYFUNCTION("""COMPUTED_VALUE"""),"Unknown")</f>
        <v>Unknown</v>
      </c>
      <c r="D2078" s="5"/>
    </row>
    <row r="2079" spans="1:4">
      <c r="A2079" s="5" t="str">
        <f ca="1">IFERROR(__xludf.DUMMYFUNCTION("""COMPUTED_VALUE"""),"19710929VAPEP")</f>
        <v>19710929VAPEP</v>
      </c>
      <c r="B2079" s="5" t="str">
        <f ca="1">IFERROR(__xludf.DUMMYFUNCTION("""COMPUTED_VALUE"""),"Handgun")</f>
        <v>Handgun</v>
      </c>
      <c r="C2079" s="5" t="str">
        <f ca="1">IFERROR(__xludf.DUMMYFUNCTION("""COMPUTED_VALUE"""),"Unknown")</f>
        <v>Unknown</v>
      </c>
      <c r="D2079" s="5"/>
    </row>
    <row r="2080" spans="1:4">
      <c r="A2080" s="5" t="str">
        <f ca="1">IFERROR(__xludf.DUMMYFUNCTION("""COMPUTED_VALUE"""),"19710928MNCEM")</f>
        <v>19710928MNCEM</v>
      </c>
      <c r="B2080" s="5" t="str">
        <f ca="1">IFERROR(__xludf.DUMMYFUNCTION("""COMPUTED_VALUE"""),"No Data")</f>
        <v>No Data</v>
      </c>
      <c r="C2080" s="5"/>
      <c r="D2080" s="5"/>
    </row>
    <row r="2081" spans="1:4">
      <c r="A2081" s="5" t="str">
        <f ca="1">IFERROR(__xludf.DUMMYFUNCTION("""COMPUTED_VALUE"""),"19710924NYMCB")</f>
        <v>19710924NYMCB</v>
      </c>
      <c r="B2081" s="5" t="str">
        <f ca="1">IFERROR(__xludf.DUMMYFUNCTION("""COMPUTED_VALUE"""),"Handgun")</f>
        <v>Handgun</v>
      </c>
      <c r="C2081" s="5" t="str">
        <f ca="1">IFERROR(__xludf.DUMMYFUNCTION("""COMPUTED_VALUE"""),"Unknown")</f>
        <v>Unknown</v>
      </c>
      <c r="D2081" s="5"/>
    </row>
    <row r="2082" spans="1:4">
      <c r="A2082" s="5" t="str">
        <f ca="1">IFERROR(__xludf.DUMMYFUNCTION("""COMPUTED_VALUE"""),"19710909TXDUL")</f>
        <v>19710909TXDUL</v>
      </c>
      <c r="B2082" s="5" t="str">
        <f ca="1">IFERROR(__xludf.DUMMYFUNCTION("""COMPUTED_VALUE"""),"Handgun")</f>
        <v>Handgun</v>
      </c>
      <c r="C2082" s="5" t="str">
        <f ca="1">IFERROR(__xludf.DUMMYFUNCTION("""COMPUTED_VALUE"""),".22 caliber")</f>
        <v>.22 caliber</v>
      </c>
      <c r="D2082" s="5"/>
    </row>
    <row r="2083" spans="1:4">
      <c r="A2083" s="5" t="str">
        <f ca="1">IFERROR(__xludf.DUMMYFUNCTION("""COMPUTED_VALUE"""),"19710820PAMOM")</f>
        <v>19710820PAMOM</v>
      </c>
      <c r="B2083" s="5" t="str">
        <f ca="1">IFERROR(__xludf.DUMMYFUNCTION("""COMPUTED_VALUE"""),"Handgun")</f>
        <v>Handgun</v>
      </c>
      <c r="C2083" s="5" t="str">
        <f ca="1">IFERROR(__xludf.DUMMYFUNCTION("""COMPUTED_VALUE"""),"Unknown")</f>
        <v>Unknown</v>
      </c>
      <c r="D2083" s="5"/>
    </row>
    <row r="2084" spans="1:4">
      <c r="A2084" s="5" t="str">
        <f ca="1">IFERROR(__xludf.DUMMYFUNCTION("""COMPUTED_VALUE"""),"19710602NYEAE")</f>
        <v>19710602NYEAE</v>
      </c>
      <c r="B2084" s="5" t="str">
        <f ca="1">IFERROR(__xludf.DUMMYFUNCTION("""COMPUTED_VALUE"""),"Handgun")</f>
        <v>Handgun</v>
      </c>
      <c r="C2084" s="5" t="str">
        <f ca="1">IFERROR(__xludf.DUMMYFUNCTION("""COMPUTED_VALUE"""),".22 caliber")</f>
        <v>.22 caliber</v>
      </c>
      <c r="D2084" s="5"/>
    </row>
    <row r="2085" spans="1:4">
      <c r="A2085" s="5" t="str">
        <f ca="1">IFERROR(__xludf.DUMMYFUNCTION("""COMPUTED_VALUE"""),"19710527MIBES")</f>
        <v>19710527MIBES</v>
      </c>
      <c r="B2085" s="5" t="str">
        <f ca="1">IFERROR(__xludf.DUMMYFUNCTION("""COMPUTED_VALUE"""),"Handgun")</f>
        <v>Handgun</v>
      </c>
      <c r="C2085" s="5" t="str">
        <f ca="1">IFERROR(__xludf.DUMMYFUNCTION("""COMPUTED_VALUE"""),"Unknown")</f>
        <v>Unknown</v>
      </c>
      <c r="D2085" s="5"/>
    </row>
    <row r="2086" spans="1:4">
      <c r="A2086" s="5" t="str">
        <f ca="1">IFERROR(__xludf.DUMMYFUNCTION("""COMPUTED_VALUE"""),"19710405PAWIH")</f>
        <v>19710405PAWIH</v>
      </c>
      <c r="B2086" s="5" t="str">
        <f ca="1">IFERROR(__xludf.DUMMYFUNCTION("""COMPUTED_VALUE"""),"Handgun")</f>
        <v>Handgun</v>
      </c>
      <c r="C2086" s="5" t="str">
        <f ca="1">IFERROR(__xludf.DUMMYFUNCTION("""COMPUTED_VALUE"""),"Unknown")</f>
        <v>Unknown</v>
      </c>
      <c r="D2086" s="5"/>
    </row>
    <row r="2087" spans="1:4">
      <c r="A2087" s="5" t="str">
        <f ca="1">IFERROR(__xludf.DUMMYFUNCTION("""COMPUTED_VALUE"""),"19710309AZROT")</f>
        <v>19710309AZROT</v>
      </c>
      <c r="B2087" s="5" t="str">
        <f ca="1">IFERROR(__xludf.DUMMYFUNCTION("""COMPUTED_VALUE"""),"Handgun")</f>
        <v>Handgun</v>
      </c>
      <c r="C2087" s="5" t="str">
        <f ca="1">IFERROR(__xludf.DUMMYFUNCTION("""COMPUTED_VALUE"""),".22 caliber")</f>
        <v>.22 caliber</v>
      </c>
      <c r="D2087" s="5"/>
    </row>
    <row r="2088" spans="1:4">
      <c r="A2088" s="5" t="str">
        <f ca="1">IFERROR(__xludf.DUMMYFUNCTION("""COMPUTED_VALUE"""),"19710225OHFRC")</f>
        <v>19710225OHFRC</v>
      </c>
      <c r="B2088" s="5" t="str">
        <f ca="1">IFERROR(__xludf.DUMMYFUNCTION("""COMPUTED_VALUE"""),"Rifle")</f>
        <v>Rifle</v>
      </c>
      <c r="C2088" s="5" t="str">
        <f ca="1">IFERROR(__xludf.DUMMYFUNCTION("""COMPUTED_VALUE"""),".22 caliber")</f>
        <v>.22 caliber</v>
      </c>
      <c r="D2088" s="5"/>
    </row>
    <row r="2089" spans="1:4">
      <c r="A2089" s="5" t="str">
        <f ca="1">IFERROR(__xludf.DUMMYFUNCTION("""COMPUTED_VALUE"""),"19710210TXOAD")</f>
        <v>19710210TXOAD</v>
      </c>
      <c r="B2089" s="5" t="str">
        <f ca="1">IFERROR(__xludf.DUMMYFUNCTION("""COMPUTED_VALUE"""),"Shotgun")</f>
        <v>Shotgun</v>
      </c>
      <c r="C2089" s="5" t="str">
        <f ca="1">IFERROR(__xludf.DUMMYFUNCTION("""COMPUTED_VALUE"""),"12 gauge")</f>
        <v>12 gauge</v>
      </c>
      <c r="D2089" s="5"/>
    </row>
    <row r="2090" spans="1:4">
      <c r="A2090" s="5" t="str">
        <f ca="1">IFERROR(__xludf.DUMMYFUNCTION("""COMPUTED_VALUE"""),"19710205PAJOW")</f>
        <v>19710205PAJOW</v>
      </c>
      <c r="B2090" s="5" t="str">
        <f ca="1">IFERROR(__xludf.DUMMYFUNCTION("""COMPUTED_VALUE"""),"Handgun")</f>
        <v>Handgun</v>
      </c>
      <c r="C2090" s="5" t="str">
        <f ca="1">IFERROR(__xludf.DUMMYFUNCTION("""COMPUTED_VALUE"""),"Unknown")</f>
        <v>Unknown</v>
      </c>
      <c r="D2090" s="5"/>
    </row>
    <row r="2091" spans="1:4">
      <c r="A2091" s="5" t="str">
        <f ca="1">IFERROR(__xludf.DUMMYFUNCTION("""COMPUTED_VALUE"""),"19710202PAMOP")</f>
        <v>19710202PAMOP</v>
      </c>
      <c r="B2091" s="5" t="str">
        <f ca="1">IFERROR(__xludf.DUMMYFUNCTION("""COMPUTED_VALUE"""),"Handgun")</f>
        <v>Handgun</v>
      </c>
      <c r="C2091" s="5" t="str">
        <f ca="1">IFERROR(__xludf.DUMMYFUNCTION("""COMPUTED_VALUE"""),".45 caliber")</f>
        <v>.45 caliber</v>
      </c>
      <c r="D2091" s="5"/>
    </row>
    <row r="2092" spans="1:4">
      <c r="A2092" s="5" t="str">
        <f ca="1">IFERROR(__xludf.DUMMYFUNCTION("""COMPUTED_VALUE"""),"19701212WIXAA")</f>
        <v>19701212WIXAA</v>
      </c>
      <c r="B2092" s="5" t="str">
        <f ca="1">IFERROR(__xludf.DUMMYFUNCTION("""COMPUTED_VALUE"""),"Handgun")</f>
        <v>Handgun</v>
      </c>
      <c r="C2092" s="5" t="str">
        <f ca="1">IFERROR(__xludf.DUMMYFUNCTION("""COMPUTED_VALUE"""),"Service Weapon")</f>
        <v>Service Weapon</v>
      </c>
      <c r="D2092" s="5"/>
    </row>
    <row r="2093" spans="1:4">
      <c r="A2093" s="5" t="str">
        <f ca="1">IFERROR(__xludf.DUMMYFUNCTION("""COMPUTED_VALUE"""),"19701120ILHAC")</f>
        <v>19701120ILHAC</v>
      </c>
      <c r="B2093" s="5" t="str">
        <f ca="1">IFERROR(__xludf.DUMMYFUNCTION("""COMPUTED_VALUE"""),"Handgun")</f>
        <v>Handgun</v>
      </c>
      <c r="C2093" s="5" t="str">
        <f ca="1">IFERROR(__xludf.DUMMYFUNCTION("""COMPUTED_VALUE"""),"Unknown")</f>
        <v>Unknown</v>
      </c>
      <c r="D2093" s="5"/>
    </row>
    <row r="2094" spans="1:4">
      <c r="A2094" s="5" t="str">
        <f ca="1">IFERROR(__xludf.DUMMYFUNCTION("""COMPUTED_VALUE"""),"19701027OHAPM")</f>
        <v>19701027OHAPM</v>
      </c>
      <c r="B2094" s="5" t="str">
        <f ca="1">IFERROR(__xludf.DUMMYFUNCTION("""COMPUTED_VALUE"""),"Handgun")</f>
        <v>Handgun</v>
      </c>
      <c r="C2094" s="5" t="str">
        <f ca="1">IFERROR(__xludf.DUMMYFUNCTION("""COMPUTED_VALUE"""),".38 caliber")</f>
        <v>.38 caliber</v>
      </c>
      <c r="D2094" s="5"/>
    </row>
    <row r="2095" spans="1:4">
      <c r="A2095" s="5" t="str">
        <f ca="1">IFERROR(__xludf.DUMMYFUNCTION("""COMPUTED_VALUE"""),"19701020TNWAN")</f>
        <v>19701020TNWAN</v>
      </c>
      <c r="B2095" s="5" t="str">
        <f ca="1">IFERROR(__xludf.DUMMYFUNCTION("""COMPUTED_VALUE"""),"Handgun")</f>
        <v>Handgun</v>
      </c>
      <c r="C2095" s="5" t="str">
        <f ca="1">IFERROR(__xludf.DUMMYFUNCTION("""COMPUTED_VALUE"""),"Unknown")</f>
        <v>Unknown</v>
      </c>
      <c r="D2095" s="5"/>
    </row>
    <row r="2096" spans="1:4">
      <c r="A2096" s="5" t="str">
        <f ca="1">IFERROR(__xludf.DUMMYFUNCTION("""COMPUTED_VALUE"""),"19701019TNBOM")</f>
        <v>19701019TNBOM</v>
      </c>
      <c r="B2096" s="5" t="str">
        <f ca="1">IFERROR(__xludf.DUMMYFUNCTION("""COMPUTED_VALUE"""),"Handgun")</f>
        <v>Handgun</v>
      </c>
      <c r="C2096" s="5" t="str">
        <f ca="1">IFERROR(__xludf.DUMMYFUNCTION("""COMPUTED_VALUE"""),"Unknown")</f>
        <v>Unknown</v>
      </c>
      <c r="D2096" s="5"/>
    </row>
    <row r="2097" spans="1:4">
      <c r="A2097" s="5" t="str">
        <f ca="1">IFERROR(__xludf.DUMMYFUNCTION("""COMPUTED_VALUE"""),"19701005MIPOD")</f>
        <v>19701005MIPOD</v>
      </c>
      <c r="B2097" s="5" t="str">
        <f ca="1">IFERROR(__xludf.DUMMYFUNCTION("""COMPUTED_VALUE"""),"Handgun")</f>
        <v>Handgun</v>
      </c>
      <c r="C2097" s="5" t="str">
        <f ca="1">IFERROR(__xludf.DUMMYFUNCTION("""COMPUTED_VALUE"""),"Unknown")</f>
        <v>Unknown</v>
      </c>
      <c r="D2097" s="5"/>
    </row>
    <row r="2098" spans="1:4">
      <c r="A2098" s="5" t="str">
        <f ca="1">IFERROR(__xludf.DUMMYFUNCTION("""COMPUTED_VALUE"""),"19700928IACED")</f>
        <v>19700928IACED</v>
      </c>
      <c r="B2098" s="5" t="str">
        <f ca="1">IFERROR(__xludf.DUMMYFUNCTION("""COMPUTED_VALUE"""),"No Data")</f>
        <v>No Data</v>
      </c>
      <c r="C2098" s="5"/>
      <c r="D2098" s="5"/>
    </row>
    <row r="2099" spans="1:4">
      <c r="A2099" s="5" t="str">
        <f ca="1">IFERROR(__xludf.DUMMYFUNCTION("""COMPUTED_VALUE"""),"19700924IDMEM")</f>
        <v>19700924IDMEM</v>
      </c>
      <c r="B2099" s="5" t="str">
        <f ca="1">IFERROR(__xludf.DUMMYFUNCTION("""COMPUTED_VALUE"""),"Handgun")</f>
        <v>Handgun</v>
      </c>
      <c r="C2099" s="5" t="str">
        <f ca="1">IFERROR(__xludf.DUMMYFUNCTION("""COMPUTED_VALUE"""),".22 caliber")</f>
        <v>.22 caliber</v>
      </c>
      <c r="D2099" s="5"/>
    </row>
    <row r="2100" spans="1:4">
      <c r="A2100" s="5" t="str">
        <f ca="1">IFERROR(__xludf.DUMMYFUNCTION("""COMPUTED_VALUE"""),"19700914TNHAN")</f>
        <v>19700914TNHAN</v>
      </c>
      <c r="B2100" s="5" t="str">
        <f ca="1">IFERROR(__xludf.DUMMYFUNCTION("""COMPUTED_VALUE"""),"Rifle")</f>
        <v>Rifle</v>
      </c>
      <c r="C2100" s="5" t="str">
        <f ca="1">IFERROR(__xludf.DUMMYFUNCTION("""COMPUTED_VALUE"""),"Unknown")</f>
        <v>Unknown</v>
      </c>
      <c r="D2100" s="5"/>
    </row>
    <row r="2101" spans="1:4">
      <c r="A2101" s="5" t="str">
        <f ca="1">IFERROR(__xludf.DUMMYFUNCTION("""COMPUTED_VALUE"""),"19700831FLALM")</f>
        <v>19700831FLALM</v>
      </c>
      <c r="B2101" s="5" t="str">
        <f ca="1">IFERROR(__xludf.DUMMYFUNCTION("""COMPUTED_VALUE"""),"Rifle")</f>
        <v>Rifle</v>
      </c>
      <c r="C2101" s="5" t="str">
        <f ca="1">IFERROR(__xludf.DUMMYFUNCTION("""COMPUTED_VALUE"""),"Unknown")</f>
        <v>Unknown</v>
      </c>
      <c r="D2101" s="5"/>
    </row>
    <row r="2102" spans="1:4">
      <c r="A2102" s="5" t="str">
        <f ca="1">IFERROR(__xludf.DUMMYFUNCTION("""COMPUTED_VALUE"""),"19700828TXRIE")</f>
        <v>19700828TXRIE</v>
      </c>
      <c r="B2102" s="5" t="str">
        <f ca="1">IFERROR(__xludf.DUMMYFUNCTION("""COMPUTED_VALUE"""),"Handgun")</f>
        <v>Handgun</v>
      </c>
      <c r="C2102" s="5" t="str">
        <f ca="1">IFERROR(__xludf.DUMMYFUNCTION("""COMPUTED_VALUE"""),"Unknown")</f>
        <v>Unknown</v>
      </c>
      <c r="D2102" s="5"/>
    </row>
    <row r="2103" spans="1:4">
      <c r="A2103" s="5" t="str">
        <f ca="1">IFERROR(__xludf.DUMMYFUNCTION("""COMPUTED_VALUE"""),"19700515UTBEO")</f>
        <v>19700515UTBEO</v>
      </c>
      <c r="B2103" s="5" t="str">
        <f ca="1">IFERROR(__xludf.DUMMYFUNCTION("""COMPUTED_VALUE"""),"Handgun")</f>
        <v>Handgun</v>
      </c>
      <c r="C2103" s="5" t="str">
        <f ca="1">IFERROR(__xludf.DUMMYFUNCTION("""COMPUTED_VALUE"""),"9mm")</f>
        <v>9mm</v>
      </c>
      <c r="D2103" s="5"/>
    </row>
    <row r="2104" spans="1:4">
      <c r="A2104" s="5" t="str">
        <f ca="1">IFERROR(__xludf.DUMMYFUNCTION("""COMPUTED_VALUE"""),"19700508FLCAD")</f>
        <v>19700508FLCAD</v>
      </c>
      <c r="B2104" s="5" t="str">
        <f ca="1">IFERROR(__xludf.DUMMYFUNCTION("""COMPUTED_VALUE"""),"Handgun")</f>
        <v>Handgun</v>
      </c>
      <c r="C2104" s="5" t="str">
        <f ca="1">IFERROR(__xludf.DUMMYFUNCTION("""COMPUTED_VALUE"""),".22 caliber")</f>
        <v>.22 caliber</v>
      </c>
      <c r="D2104" s="5"/>
    </row>
    <row r="2105" spans="1:4">
      <c r="A2105" s="5" t="str">
        <f ca="1">IFERROR(__xludf.DUMMYFUNCTION("""COMPUTED_VALUE"""),"19700422DEPIW")</f>
        <v>19700422DEPIW</v>
      </c>
      <c r="B2105" s="5" t="str">
        <f ca="1">IFERROR(__xludf.DUMMYFUNCTION("""COMPUTED_VALUE"""),"Handgun")</f>
        <v>Handgun</v>
      </c>
      <c r="C2105" s="5" t="str">
        <f ca="1">IFERROR(__xludf.DUMMYFUNCTION("""COMPUTED_VALUE"""),".38 caliber")</f>
        <v>.38 caliber</v>
      </c>
      <c r="D2105" s="5"/>
    </row>
    <row r="2106" spans="1:4">
      <c r="A2106" s="5" t="str">
        <f ca="1">IFERROR(__xludf.DUMMYFUNCTION("""COMPUTED_VALUE"""),"19700415ARPIP")</f>
        <v>19700415ARPIP</v>
      </c>
      <c r="B2106" s="5" t="str">
        <f ca="1">IFERROR(__xludf.DUMMYFUNCTION("""COMPUTED_VALUE"""),"Multiple Handguns")</f>
        <v>Multiple Handguns</v>
      </c>
      <c r="C2106" s="5" t="str">
        <f ca="1">IFERROR(__xludf.DUMMYFUNCTION("""COMPUTED_VALUE"""),"Unknown")</f>
        <v>Unknown</v>
      </c>
      <c r="D2106" s="5"/>
    </row>
    <row r="2107" spans="1:4">
      <c r="A2107" s="5" t="str">
        <f ca="1">IFERROR(__xludf.DUMMYFUNCTION("""COMPUTED_VALUE"""),"19700323CADAL")</f>
        <v>19700323CADAL</v>
      </c>
      <c r="B2107" s="5" t="str">
        <f ca="1">IFERROR(__xludf.DUMMYFUNCTION("""COMPUTED_VALUE"""),"Handgun")</f>
        <v>Handgun</v>
      </c>
      <c r="C2107" s="5" t="str">
        <f ca="1">IFERROR(__xludf.DUMMYFUNCTION("""COMPUTED_VALUE"""),"Unknown")</f>
        <v>Unknown</v>
      </c>
      <c r="D2107" s="5"/>
    </row>
    <row r="2108" spans="1:4">
      <c r="A2108" s="5" t="str">
        <f ca="1">IFERROR(__xludf.DUMMYFUNCTION("""COMPUTED_VALUE"""),"19700206OHJOC")</f>
        <v>19700206OHJOC</v>
      </c>
      <c r="B2108" s="5" t="str">
        <f ca="1">IFERROR(__xludf.DUMMYFUNCTION("""COMPUTED_VALUE"""),"Handgun")</f>
        <v>Handgun</v>
      </c>
      <c r="C2108" s="5" t="str">
        <f ca="1">IFERROR(__xludf.DUMMYFUNCTION("""COMPUTED_VALUE"""),"Unknown")</f>
        <v>Unknown</v>
      </c>
      <c r="D2108" s="5"/>
    </row>
    <row r="2109" spans="1:4">
      <c r="A2109" s="5" t="str">
        <f ca="1">IFERROR(__xludf.DUMMYFUNCTION("""COMPUTED_VALUE"""),"19700105DCUNW")</f>
        <v>19700105DCUNW</v>
      </c>
      <c r="B2109" s="5" t="str">
        <f ca="1">IFERROR(__xludf.DUMMYFUNCTION("""COMPUTED_VALUE"""),"Handgun")</f>
        <v>Handgun</v>
      </c>
      <c r="C2109" s="5" t="str">
        <f ca="1">IFERROR(__xludf.DUMMYFUNCTION("""COMPUTED_VALUE"""),"Unknown")</f>
        <v>Unknown</v>
      </c>
      <c r="D2109" s="5"/>
    </row>
    <row r="2110" spans="1:4">
      <c r="A2110" s="5" t="str">
        <f ca="1">IFERROR(__xludf.DUMMYFUNCTION("""COMPUTED_VALUE"""),"19700105DCSOW")</f>
        <v>19700105DCSOW</v>
      </c>
      <c r="B2110" s="5" t="str">
        <f ca="1">IFERROR(__xludf.DUMMYFUNCTION("""COMPUTED_VALUE"""),"Handgun")</f>
        <v>Handgun</v>
      </c>
      <c r="C2110" s="5" t="str">
        <f ca="1">IFERROR(__xludf.DUMMYFUNCTION("""COMPUTED_VALUE"""),".22 caliber")</f>
        <v>.22 caliber</v>
      </c>
      <c r="D2110" s="5"/>
    </row>
    <row r="2111" spans="1:4">
      <c r="A2111" s="5" t="str">
        <f ca="1">IFERROR(__xludf.DUMMYFUNCTION("""COMPUTED_VALUE"""),"19700105DCHIW")</f>
        <v>19700105DCHIW</v>
      </c>
      <c r="B2111" s="5" t="str">
        <f ca="1">IFERROR(__xludf.DUMMYFUNCTION("""COMPUTED_VALUE"""),"Handgun")</f>
        <v>Handgun</v>
      </c>
      <c r="C2111" s="5" t="str">
        <f ca="1">IFERROR(__xludf.DUMMYFUNCTION("""COMPUTED_VALUE"""),"Unknown")</f>
        <v>Unknown</v>
      </c>
      <c r="D2111"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Riedman</cp:lastModifiedBy>
  <dcterms:modified xsi:type="dcterms:W3CDTF">2022-09-13T10:21:57Z</dcterms:modified>
</cp:coreProperties>
</file>